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zachd\Dropbox\Video Game Lists\"/>
    </mc:Choice>
  </mc:AlternateContent>
  <xr:revisionPtr revIDLastSave="0" documentId="13_ncr:1_{982145D8-F370-4CC7-9A3D-F108B33FD9DD}" xr6:coauthVersionLast="47" xr6:coauthVersionMax="47" xr10:uidLastSave="{00000000-0000-0000-0000-000000000000}"/>
  <bookViews>
    <workbookView xWindow="19095" yWindow="0" windowWidth="19410" windowHeight="20985" tabRatio="885" xr2:uid="{1620481F-C435-4307-BEBD-2FC1CFBC45CB}"/>
  </bookViews>
  <sheets>
    <sheet name="Games" sheetId="1" r:id="rId1"/>
    <sheet name="Games On Order" sheetId="68" r:id="rId2"/>
    <sheet name="Finished Games (Adtl Metadata)" sheetId="69" r:id="rId3"/>
  </sheets>
  <definedNames>
    <definedName name="_xlnm._FilterDatabase" localSheetId="2" hidden="1">'Finished Games (Adtl Metadata)'!$A$1:$R$1222</definedName>
    <definedName name="_xlnm._FilterDatabase" localSheetId="0" hidden="1">Games!$A$1:$AB$10426</definedName>
    <definedName name="Z_27CD999D_077E_4AAD_9B12_102015DE6011_.wvu.Cols" localSheetId="0" hidden="1">Games!$I:$J,Games!$L:$Y</definedName>
    <definedName name="Z_27CD999D_077E_4AAD_9B12_102015DE6011_.wvu.FilterData" localSheetId="2" hidden="1">'Finished Games (Adtl Metadata)'!$A$1:$R$1075</definedName>
    <definedName name="Z_27CD999D_077E_4AAD_9B12_102015DE6011_.wvu.FilterData" localSheetId="0" hidden="1">Games!$A$1:$AB$7152</definedName>
    <definedName name="Z_E19BF558_CF7A_4C36_981A_080DBBE265DE_.wvu.FilterData" localSheetId="2" hidden="1">'Finished Games (Adtl Metadata)'!$A$1:$R$1075</definedName>
    <definedName name="Z_E19BF558_CF7A_4C36_981A_080DBBE265DE_.wvu.FilterData" localSheetId="0" hidden="1">Games!$A$1:$AB$7152</definedName>
  </definedNames>
  <calcPr calcId="191029"/>
  <customWorkbookViews>
    <customWorkbookView name="Unplayed JRPGs" guid="{27CD999D-077E-4AAD-9B12-102015DE6011}" xWindow="2560" windowWidth="1324" windowHeight="1400" tabRatio="885" activeSheetId="1"/>
    <customWorkbookView name="Default" guid="{E19BF558-CF7A-4C36-981A-080DBBE265DE}" xWindow="2560" windowWidth="1324" windowHeight="1400" tabRatio="885" activeSheetId="1"/>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1429" i="1" l="1"/>
  <c r="S2361" i="1"/>
  <c r="V10632" i="1"/>
  <c r="AB10632" i="1"/>
  <c r="AC10628" i="1"/>
  <c r="AC10629" i="1"/>
  <c r="AC10630" i="1"/>
  <c r="AC10631" i="1"/>
  <c r="V10631" i="1"/>
  <c r="AB10631" i="1"/>
  <c r="AB10630" i="1"/>
  <c r="AB10629" i="1"/>
  <c r="AB10628" i="1"/>
  <c r="AC10627" i="1"/>
  <c r="V10627" i="1"/>
  <c r="AB10627" i="1"/>
  <c r="Z10626" i="1"/>
  <c r="AC10626" i="1"/>
  <c r="V10626" i="1"/>
  <c r="AB10626" i="1"/>
  <c r="S2048" i="1"/>
  <c r="S10624" i="1"/>
  <c r="S1791" i="1"/>
  <c r="V10625" i="1"/>
  <c r="AC10625" i="1" s="1"/>
  <c r="AB10625" i="1"/>
  <c r="AC10624" i="1"/>
  <c r="V10624" i="1"/>
  <c r="AB10624" i="1"/>
  <c r="V10623" i="1"/>
  <c r="AC10623" i="1" s="1"/>
  <c r="AB10623" i="1"/>
  <c r="S115" i="1"/>
  <c r="AC10622" i="1"/>
  <c r="AB10622" i="1"/>
  <c r="AC10621" i="1"/>
  <c r="V10621" i="1"/>
  <c r="AB10621" i="1"/>
  <c r="V10620" i="1"/>
  <c r="AC10620" i="1" s="1"/>
  <c r="AB10620" i="1"/>
  <c r="S6" i="1"/>
  <c r="AC10615" i="1"/>
  <c r="AC10616" i="1"/>
  <c r="AC10617" i="1"/>
  <c r="AC10618" i="1"/>
  <c r="V10619" i="1"/>
  <c r="AC10619" i="1" s="1"/>
  <c r="AB10619" i="1"/>
  <c r="V10618" i="1"/>
  <c r="AB10618" i="1"/>
  <c r="V10617" i="1"/>
  <c r="AB10617" i="1"/>
  <c r="V10616" i="1"/>
  <c r="AB10616" i="1"/>
  <c r="V10615" i="1"/>
  <c r="AB10615" i="1"/>
  <c r="V10614" i="1"/>
  <c r="AC10614" i="1" s="1"/>
  <c r="AB10614" i="1"/>
  <c r="S3334" i="1"/>
  <c r="S3140" i="1"/>
  <c r="AB10612" i="1"/>
  <c r="AB10613" i="1"/>
  <c r="AC10613" i="1"/>
  <c r="V10613" i="1"/>
  <c r="V10612" i="1"/>
  <c r="AC10612" i="1" s="1"/>
  <c r="S2" i="1"/>
  <c r="AC10611" i="1"/>
  <c r="V10611" i="1"/>
  <c r="AB10611" i="1"/>
  <c r="V10610" i="1"/>
  <c r="AC10610" i="1" s="1"/>
  <c r="AB10610" i="1"/>
  <c r="S7" i="1"/>
  <c r="AC8563" i="1"/>
  <c r="AC10317" i="1"/>
  <c r="S169" i="1"/>
  <c r="V10317" i="1"/>
  <c r="AB10317" i="1"/>
  <c r="V8563" i="1"/>
  <c r="AB8563" i="1"/>
  <c r="S4561" i="1"/>
  <c r="AC2816" i="1"/>
  <c r="AC4898" i="1"/>
  <c r="AC1425" i="1"/>
  <c r="AC88" i="1"/>
  <c r="AC53" i="1"/>
  <c r="AC2" i="1"/>
  <c r="AB4" i="1"/>
  <c r="AB2816" i="1"/>
  <c r="AB4898" i="1"/>
  <c r="AB1425" i="1"/>
  <c r="AB88" i="1"/>
  <c r="AB53" i="1"/>
  <c r="AB2" i="1"/>
  <c r="V4898" i="1"/>
  <c r="Z2816" i="1"/>
  <c r="V2816" i="1"/>
  <c r="AC4" i="1"/>
  <c r="V4" i="1"/>
  <c r="S1176" i="1"/>
  <c r="S2389" i="1"/>
  <c r="S3864" i="1"/>
  <c r="S844" i="1"/>
  <c r="AC3" i="1"/>
  <c r="V3" i="1"/>
  <c r="AB3" i="1"/>
  <c r="AB9268" i="1"/>
  <c r="AB9771" i="1"/>
  <c r="AB1525" i="1"/>
  <c r="AB10296" i="1"/>
  <c r="AB9987" i="1"/>
  <c r="AB9772" i="1"/>
  <c r="AB9305" i="1"/>
  <c r="AB9628" i="1"/>
  <c r="AB8727" i="1"/>
  <c r="AB360" i="1"/>
  <c r="AB2242" i="1"/>
  <c r="AB1575" i="1"/>
  <c r="AC9093" i="1"/>
  <c r="AC10296" i="1"/>
  <c r="AC9987" i="1"/>
  <c r="AC9772" i="1"/>
  <c r="AC9305" i="1"/>
  <c r="AC9628" i="1"/>
  <c r="AC8727" i="1"/>
  <c r="AC2242" i="1"/>
  <c r="AC1575" i="1"/>
  <c r="V1575" i="1"/>
  <c r="V2242" i="1"/>
  <c r="V360" i="1"/>
  <c r="AC360" i="1" s="1"/>
  <c r="S171" i="1"/>
  <c r="Z9628" i="1"/>
  <c r="V9628" i="1"/>
  <c r="V9305" i="1"/>
  <c r="V9772" i="1"/>
  <c r="V9987" i="1"/>
  <c r="V10296" i="1"/>
  <c r="V1525" i="1"/>
  <c r="AC1525" i="1" s="1"/>
  <c r="Z9771" i="1"/>
  <c r="V9771" i="1"/>
  <c r="AC9771" i="1" s="1"/>
  <c r="V9268" i="1"/>
  <c r="AC9268" i="1" s="1"/>
  <c r="V9093" i="1"/>
  <c r="AB9093" i="1"/>
  <c r="V10171" i="1"/>
  <c r="AC10171" i="1" s="1"/>
  <c r="AB10171" i="1"/>
  <c r="V9371" i="1"/>
  <c r="AC9371" i="1" s="1"/>
  <c r="AB9371" i="1"/>
  <c r="V8150" i="1"/>
  <c r="AC8150" i="1" s="1"/>
  <c r="AB8150" i="1"/>
  <c r="V9544" i="1"/>
  <c r="AC9544" i="1" s="1"/>
  <c r="AB9544" i="1"/>
  <c r="V7279" i="1"/>
  <c r="AC7279" i="1" s="1"/>
  <c r="AB7279" i="1"/>
  <c r="AC9845" i="1"/>
  <c r="V9845" i="1"/>
  <c r="AB9845" i="1"/>
  <c r="Z2909" i="1"/>
  <c r="V2909" i="1"/>
  <c r="AC2909" i="1" s="1"/>
  <c r="AB2909" i="1"/>
  <c r="V1524" i="1"/>
  <c r="AC1524" i="1" s="1"/>
  <c r="AB1524" i="1"/>
  <c r="AB9267" i="1"/>
  <c r="AB8875" i="1"/>
  <c r="AB7784" i="1"/>
  <c r="AB6164" i="1"/>
  <c r="AB8645" i="1"/>
  <c r="V8645" i="1"/>
  <c r="AC8645" i="1" s="1"/>
  <c r="V6164" i="1"/>
  <c r="AC6164" i="1" s="1"/>
  <c r="V7784" i="1"/>
  <c r="AC7784" i="1" s="1"/>
  <c r="V8875" i="1"/>
  <c r="AC8875" i="1" s="1"/>
  <c r="V9267" i="1"/>
  <c r="AC9267" i="1" s="1"/>
  <c r="V9543" i="1"/>
  <c r="AC9543" i="1" s="1"/>
  <c r="AB9543" i="1"/>
  <c r="AC9986" i="1"/>
  <c r="V9986" i="1"/>
  <c r="AB9986" i="1"/>
  <c r="V9770" i="1"/>
  <c r="AC9770" i="1" s="1"/>
  <c r="AB9770" i="1"/>
  <c r="Z3392" i="1"/>
  <c r="V3392" i="1"/>
  <c r="AC3392" i="1" s="1"/>
  <c r="AB3392" i="1"/>
  <c r="Z3184" i="1"/>
  <c r="V3184" i="1"/>
  <c r="AC3184" i="1" s="1"/>
  <c r="AB3184" i="1"/>
  <c r="S871" i="1"/>
  <c r="S1196" i="1"/>
  <c r="S2738" i="1"/>
  <c r="V806" i="1"/>
  <c r="AC806" i="1" s="1"/>
  <c r="AB806" i="1"/>
  <c r="V8104" i="1"/>
  <c r="AC8104" i="1" s="1"/>
  <c r="AB8104" i="1"/>
  <c r="V8103" i="1"/>
  <c r="AC8103" i="1" s="1"/>
  <c r="AB8103" i="1"/>
  <c r="V754" i="1"/>
  <c r="AC754" i="1" s="1"/>
  <c r="AB754" i="1"/>
  <c r="AC31" i="1"/>
  <c r="AC32" i="1"/>
  <c r="AC51" i="1"/>
  <c r="AC33" i="1"/>
  <c r="AC34" i="1"/>
  <c r="AC35" i="1"/>
  <c r="AC36" i="1"/>
  <c r="AC37" i="1"/>
  <c r="AC38" i="1"/>
  <c r="AC39" i="1"/>
  <c r="AC40" i="1"/>
  <c r="AC52" i="1"/>
  <c r="AC41" i="1"/>
  <c r="AC42" i="1"/>
  <c r="AC43" i="1"/>
  <c r="AC44" i="1"/>
  <c r="AC45" i="1"/>
  <c r="AC46" i="1"/>
  <c r="AC47" i="1"/>
  <c r="AC66" i="1"/>
  <c r="AC68" i="1"/>
  <c r="AC69" i="1"/>
  <c r="AC70" i="1"/>
  <c r="AC74" i="1"/>
  <c r="AC80" i="1"/>
  <c r="AC81" i="1"/>
  <c r="AC83" i="1"/>
  <c r="AC84" i="1"/>
  <c r="AC90" i="1"/>
  <c r="AC92" i="1"/>
  <c r="AC93" i="1"/>
  <c r="AC95" i="1"/>
  <c r="AC96" i="1"/>
  <c r="AC97" i="1"/>
  <c r="AC98" i="1"/>
  <c r="AC100" i="1"/>
  <c r="AC103" i="1"/>
  <c r="AC104" i="1"/>
  <c r="AC106" i="1"/>
  <c r="AC108" i="1"/>
  <c r="AC109" i="1"/>
  <c r="AC110" i="1"/>
  <c r="AC111" i="1"/>
  <c r="AC112" i="1"/>
  <c r="AC113" i="1"/>
  <c r="AC117" i="1"/>
  <c r="AC121" i="1"/>
  <c r="AC123" i="1"/>
  <c r="AC124" i="1"/>
  <c r="AC125" i="1"/>
  <c r="AC129" i="1"/>
  <c r="AC150" i="1"/>
  <c r="AC152" i="1"/>
  <c r="AC153" i="1"/>
  <c r="AC154" i="1"/>
  <c r="AC155" i="1"/>
  <c r="AC156" i="1"/>
  <c r="AC162" i="1"/>
  <c r="AC163" i="1"/>
  <c r="AC165" i="1"/>
  <c r="AC198" i="1"/>
  <c r="AC177" i="1"/>
  <c r="AC179" i="1"/>
  <c r="AC199" i="1"/>
  <c r="AC200" i="1"/>
  <c r="AC204" i="1"/>
  <c r="AC205" i="1"/>
  <c r="AC207" i="1"/>
  <c r="AC211" i="1"/>
  <c r="AC212" i="1"/>
  <c r="AC216" i="1"/>
  <c r="AC222" i="1"/>
  <c r="AC225" i="1"/>
  <c r="AC227" i="1"/>
  <c r="AC228" i="1"/>
  <c r="AC231" i="1"/>
  <c r="AC234" i="1"/>
  <c r="AC235" i="1"/>
  <c r="AC240" i="1"/>
  <c r="AC244" i="1"/>
  <c r="AC247" i="1"/>
  <c r="AC248" i="1"/>
  <c r="AC249" i="1"/>
  <c r="AC259" i="1"/>
  <c r="AC262" i="1"/>
  <c r="AC267" i="1"/>
  <c r="AC273" i="1"/>
  <c r="AC278" i="1"/>
  <c r="AC280" i="1"/>
  <c r="AC283" i="1"/>
  <c r="AC284" i="1"/>
  <c r="AC286" i="1"/>
  <c r="AC287" i="1"/>
  <c r="AC292" i="1"/>
  <c r="AC299" i="1"/>
  <c r="AC309" i="1"/>
  <c r="AC312" i="1"/>
  <c r="AC313" i="1"/>
  <c r="AC319" i="1"/>
  <c r="AC320" i="1"/>
  <c r="AC321" i="1"/>
  <c r="AC337" i="1"/>
  <c r="AC340" i="1"/>
  <c r="AC348" i="1"/>
  <c r="AC358" i="1"/>
  <c r="AC490" i="1"/>
  <c r="AC364" i="1"/>
  <c r="AC374" i="1"/>
  <c r="AC375" i="1"/>
  <c r="AC376" i="1"/>
  <c r="AC377" i="1"/>
  <c r="AC379" i="1"/>
  <c r="AC392" i="1"/>
  <c r="AC408" i="1"/>
  <c r="AC419" i="1"/>
  <c r="AC421" i="1"/>
  <c r="AC423" i="1"/>
  <c r="AC435" i="1"/>
  <c r="AC445" i="1"/>
  <c r="AC471" i="1"/>
  <c r="AC472" i="1"/>
  <c r="AC475" i="1"/>
  <c r="AC485" i="1"/>
  <c r="AC504" i="1"/>
  <c r="AC505" i="1"/>
  <c r="AC511" i="1"/>
  <c r="AC521" i="1"/>
  <c r="AC523" i="1"/>
  <c r="AC524" i="1"/>
  <c r="AC525" i="1"/>
  <c r="AC542" i="1"/>
  <c r="AC827" i="1"/>
  <c r="AC548" i="1"/>
  <c r="AC552" i="1"/>
  <c r="AC561" i="1"/>
  <c r="AC571" i="1"/>
  <c r="AC576" i="1"/>
  <c r="AC594" i="1"/>
  <c r="AC604" i="1"/>
  <c r="AC613" i="1"/>
  <c r="AC618" i="1"/>
  <c r="AC629" i="1"/>
  <c r="AC636" i="1"/>
  <c r="AC653" i="1"/>
  <c r="AC667" i="1"/>
  <c r="AC676" i="1"/>
  <c r="AC677" i="1"/>
  <c r="AC688" i="1"/>
  <c r="AC692" i="1"/>
  <c r="AC731" i="1"/>
  <c r="AC739" i="1"/>
  <c r="AC746" i="1"/>
  <c r="AC750" i="1"/>
  <c r="AC755" i="1"/>
  <c r="AC765" i="1"/>
  <c r="AC767" i="1"/>
  <c r="AC771" i="1"/>
  <c r="AC778" i="1"/>
  <c r="AC784" i="1"/>
  <c r="AC795" i="1"/>
  <c r="AC804" i="1"/>
  <c r="AC808" i="1"/>
  <c r="AC834" i="1"/>
  <c r="AC847" i="1"/>
  <c r="AC856" i="1"/>
  <c r="AC899" i="1"/>
  <c r="AC909" i="1"/>
  <c r="AC910" i="1"/>
  <c r="AC921" i="1"/>
  <c r="AC924" i="1"/>
  <c r="AC1194" i="1"/>
  <c r="AC929" i="1"/>
  <c r="AC947" i="1"/>
  <c r="AC961" i="1"/>
  <c r="AC964" i="1"/>
  <c r="AC977" i="1"/>
  <c r="AC989" i="1"/>
  <c r="AC995" i="1"/>
  <c r="AC1009" i="1"/>
  <c r="AC1020" i="1"/>
  <c r="AC1037" i="1"/>
  <c r="AC1048" i="1"/>
  <c r="AC1061" i="1"/>
  <c r="AC1073" i="1"/>
  <c r="AC1097" i="1"/>
  <c r="AC1104" i="1"/>
  <c r="AC1105" i="1"/>
  <c r="AC1108" i="1"/>
  <c r="AC1109" i="1"/>
  <c r="AC1116" i="1"/>
  <c r="AC1122" i="1"/>
  <c r="AC1124" i="1"/>
  <c r="AC1134" i="1"/>
  <c r="AC1152" i="1"/>
  <c r="AC1154" i="1"/>
  <c r="AC1204" i="1"/>
  <c r="AC1209" i="1"/>
  <c r="AC1215" i="1"/>
  <c r="AC1216" i="1"/>
  <c r="AC1219" i="1"/>
  <c r="AC1239" i="1"/>
  <c r="AC1245" i="1"/>
  <c r="AC1248" i="1"/>
  <c r="AC1255" i="1"/>
  <c r="AC1269" i="1"/>
  <c r="AC1270" i="1"/>
  <c r="AC1280" i="1"/>
  <c r="AC1283" i="1"/>
  <c r="AC1290" i="1"/>
  <c r="AC1292" i="1"/>
  <c r="AC1301" i="1"/>
  <c r="AC1304" i="1"/>
  <c r="AC1308" i="1"/>
  <c r="AC1312" i="1"/>
  <c r="AC1320" i="1"/>
  <c r="AC1326" i="1"/>
  <c r="AC1333" i="1"/>
  <c r="AC1339" i="1"/>
  <c r="AC1342" i="1"/>
  <c r="AC1344" i="1"/>
  <c r="AC1345" i="1"/>
  <c r="AC1356" i="1"/>
  <c r="AC1363" i="1"/>
  <c r="AC1376" i="1"/>
  <c r="AC1379" i="1"/>
  <c r="AC1392" i="1"/>
  <c r="AC1403" i="1"/>
  <c r="AC1415" i="1"/>
  <c r="AC1439" i="1"/>
  <c r="AC1469" i="1"/>
  <c r="AC1473" i="1"/>
  <c r="AC1486" i="1"/>
  <c r="AC1498" i="1"/>
  <c r="AC1529" i="1"/>
  <c r="AC1534" i="1"/>
  <c r="AC1535" i="1"/>
  <c r="AC1558" i="1"/>
  <c r="AC1562" i="1"/>
  <c r="AC1567" i="1"/>
  <c r="AC1590" i="1"/>
  <c r="AC1597" i="1"/>
  <c r="AC1609" i="1"/>
  <c r="AC1610" i="1"/>
  <c r="AC1615" i="1"/>
  <c r="AC1616" i="1"/>
  <c r="AC1621" i="1"/>
  <c r="AC1628" i="1"/>
  <c r="AC1630" i="1"/>
  <c r="AC1631" i="1"/>
  <c r="AC1664" i="1"/>
  <c r="AC1666" i="1"/>
  <c r="AC1668" i="1"/>
  <c r="AC1684" i="1"/>
  <c r="AC1706" i="1"/>
  <c r="AC1725" i="1"/>
  <c r="AC1739" i="1"/>
  <c r="AC1762" i="1"/>
  <c r="AC1778" i="1"/>
  <c r="AC1839" i="1"/>
  <c r="AC1842" i="1"/>
  <c r="AC1854" i="1"/>
  <c r="AC1886" i="1"/>
  <c r="AC1898" i="1"/>
  <c r="AC1905" i="1"/>
  <c r="AC1907" i="1"/>
  <c r="AC1910" i="1"/>
  <c r="AC1931" i="1"/>
  <c r="AC1941" i="1"/>
  <c r="AC1953" i="1"/>
  <c r="AC1980" i="1"/>
  <c r="AC1997" i="1"/>
  <c r="AC2009" i="1"/>
  <c r="AC2093" i="1"/>
  <c r="AC2123" i="1"/>
  <c r="AC2131" i="1"/>
  <c r="AC2157" i="1"/>
  <c r="AC2165" i="1"/>
  <c r="AC2315" i="1"/>
  <c r="AC2331" i="1"/>
  <c r="AC2364" i="1"/>
  <c r="AC2385" i="1"/>
  <c r="AC2445" i="1"/>
  <c r="AC2455" i="1"/>
  <c r="AC2568" i="1"/>
  <c r="AC2757" i="1"/>
  <c r="AC2897" i="1"/>
  <c r="AC2921" i="1"/>
  <c r="AC3031" i="1"/>
  <c r="AC3081" i="1"/>
  <c r="AC3098" i="1"/>
  <c r="AC3170" i="1"/>
  <c r="AC3258" i="1"/>
  <c r="AC3266" i="1"/>
  <c r="AC3383" i="1"/>
  <c r="AC3454" i="1"/>
  <c r="AC3525" i="1"/>
  <c r="AC3529" i="1"/>
  <c r="AC3597" i="1"/>
  <c r="AC3614" i="1"/>
  <c r="AC3618" i="1"/>
  <c r="AC3673" i="1"/>
  <c r="AC3755" i="1"/>
  <c r="AC3813" i="1"/>
  <c r="AC3820" i="1"/>
  <c r="AC3840" i="1"/>
  <c r="AC3955" i="1"/>
  <c r="AC4106" i="1"/>
  <c r="AC4113" i="1"/>
  <c r="AC4187" i="1"/>
  <c r="AC4213" i="1"/>
  <c r="AC4240" i="1"/>
  <c r="AC4283" i="1"/>
  <c r="AC4383" i="1"/>
  <c r="AC4500" i="1"/>
  <c r="AC4545" i="1"/>
  <c r="AC4546" i="1"/>
  <c r="AC4548" i="1"/>
  <c r="AC4615" i="1"/>
  <c r="AC4622" i="1"/>
  <c r="AC4631" i="1"/>
  <c r="AC4633" i="1"/>
  <c r="AC4639" i="1"/>
  <c r="AC4724" i="1"/>
  <c r="AC4738" i="1"/>
  <c r="AC4739" i="1"/>
  <c r="AC4740" i="1"/>
  <c r="AC4759" i="1"/>
  <c r="AC4760" i="1"/>
  <c r="AC4770" i="1"/>
  <c r="AC4819" i="1"/>
  <c r="AC4827" i="1"/>
  <c r="AC4855" i="1"/>
  <c r="AC4860" i="1"/>
  <c r="AC4904" i="1"/>
  <c r="AC4905" i="1"/>
  <c r="AC4906" i="1"/>
  <c r="AC4908" i="1"/>
  <c r="AC4915" i="1"/>
  <c r="AC4920" i="1"/>
  <c r="AC4922" i="1"/>
  <c r="AC4924" i="1"/>
  <c r="AC4933" i="1"/>
  <c r="AC4936" i="1"/>
  <c r="AC4946" i="1"/>
  <c r="AC4949" i="1"/>
  <c r="AC4950" i="1"/>
  <c r="AC4951" i="1"/>
  <c r="AC4960" i="1"/>
  <c r="AC4966" i="1"/>
  <c r="AC5004" i="1"/>
  <c r="AC5024" i="1"/>
  <c r="AC5067" i="1"/>
  <c r="AC5342" i="1"/>
  <c r="AC5343" i="1"/>
  <c r="AC5360" i="1"/>
  <c r="AC5363" i="1"/>
  <c r="AC5402" i="1"/>
  <c r="AC5414" i="1"/>
  <c r="AC5534" i="1"/>
  <c r="AC5643" i="1"/>
  <c r="AC5644" i="1"/>
  <c r="AC5657" i="1"/>
  <c r="AC5830" i="1"/>
  <c r="AC5895" i="1"/>
  <c r="AC5957" i="1"/>
  <c r="AC6141" i="1"/>
  <c r="AC6247" i="1"/>
  <c r="AC6249" i="1"/>
  <c r="AC6250" i="1"/>
  <c r="AC6255" i="1"/>
  <c r="AC6420" i="1"/>
  <c r="AC6456" i="1"/>
  <c r="AC6462" i="1"/>
  <c r="AC6468" i="1"/>
  <c r="AC6577" i="1"/>
  <c r="AC6581" i="1"/>
  <c r="AC6745" i="1"/>
  <c r="AC6828" i="1"/>
  <c r="AC6950" i="1"/>
  <c r="AC7317" i="1"/>
  <c r="AC7535" i="1"/>
  <c r="AC8292" i="1"/>
  <c r="AC8310" i="1"/>
  <c r="AC8311" i="1"/>
  <c r="AC8317" i="1"/>
  <c r="AC8452" i="1"/>
  <c r="AC8519" i="1"/>
  <c r="AC8520" i="1"/>
  <c r="AC8533" i="1"/>
  <c r="AC8669" i="1"/>
  <c r="AC8680" i="1"/>
  <c r="AC8721" i="1"/>
  <c r="AC8722" i="1"/>
  <c r="AC8723" i="1"/>
  <c r="AC8803" i="1"/>
  <c r="AC8884" i="1"/>
  <c r="AC8963" i="1"/>
  <c r="AC9007" i="1"/>
  <c r="AC9053" i="1"/>
  <c r="AC9255" i="1"/>
  <c r="AC9293" i="1"/>
  <c r="AC9319" i="1"/>
  <c r="AC9404" i="1"/>
  <c r="AC9536" i="1"/>
  <c r="AC9581" i="1"/>
  <c r="AC9596" i="1"/>
  <c r="AC9757" i="1"/>
  <c r="AC9806" i="1"/>
  <c r="AC9807" i="1"/>
  <c r="AC9876" i="1"/>
  <c r="AC10029" i="1"/>
  <c r="AC10030" i="1"/>
  <c r="AC10031" i="1"/>
  <c r="AC10167" i="1"/>
  <c r="AC10204" i="1"/>
  <c r="AC10377" i="1"/>
  <c r="AC10378" i="1"/>
  <c r="AC10379" i="1"/>
  <c r="AC10470" i="1"/>
  <c r="AC10494" i="1"/>
  <c r="AC10496" i="1"/>
  <c r="AC10516" i="1"/>
  <c r="AC10569" i="1"/>
  <c r="AC10571" i="1"/>
  <c r="AC10597" i="1"/>
  <c r="AC10609" i="1"/>
  <c r="AC1699" i="1"/>
  <c r="AC237" i="1"/>
  <c r="AC73" i="1"/>
  <c r="AC241" i="1"/>
  <c r="AC753" i="1"/>
  <c r="AC1288" i="1"/>
  <c r="AC1031" i="1"/>
  <c r="AC64" i="1"/>
  <c r="AC710" i="1"/>
  <c r="AC99" i="1"/>
  <c r="AC567" i="1"/>
  <c r="AC62" i="1"/>
  <c r="AC382" i="1"/>
  <c r="AC403" i="1"/>
  <c r="AC61" i="1"/>
  <c r="AC58" i="1"/>
  <c r="AC8436" i="1"/>
  <c r="AC9326" i="1"/>
  <c r="AC101" i="1"/>
  <c r="AC102" i="1"/>
  <c r="AC450" i="1"/>
  <c r="AC134" i="1"/>
  <c r="AC59" i="1"/>
  <c r="AC221" i="1"/>
  <c r="AC48" i="1"/>
  <c r="AC157" i="1"/>
  <c r="AC1174" i="1"/>
  <c r="AC610" i="1"/>
  <c r="AC315" i="1"/>
  <c r="AC71" i="1"/>
  <c r="AC148" i="1"/>
  <c r="AC455" i="1"/>
  <c r="AC54" i="1"/>
  <c r="AC412" i="1"/>
  <c r="AC898" i="1"/>
  <c r="AC955" i="1"/>
  <c r="AC526" i="1"/>
  <c r="AC56" i="1"/>
  <c r="AC9983" i="1"/>
  <c r="AC9984" i="1"/>
  <c r="AC1954" i="1"/>
  <c r="AC887" i="1"/>
  <c r="AC7398" i="1"/>
  <c r="AC7043" i="1"/>
  <c r="AC10218" i="1"/>
  <c r="AC9542" i="1"/>
  <c r="AC10582" i="1"/>
  <c r="AC844" i="1"/>
  <c r="AC843" i="1"/>
  <c r="AC367" i="1"/>
  <c r="AC361" i="1"/>
  <c r="AC355" i="1"/>
  <c r="AC350" i="1"/>
  <c r="AC89" i="1"/>
  <c r="AC346" i="1"/>
  <c r="AC347" i="1"/>
  <c r="AC341" i="1"/>
  <c r="AC342" i="1"/>
  <c r="AC336" i="1"/>
  <c r="AC331" i="1"/>
  <c r="AC326" i="1"/>
  <c r="AC170" i="1"/>
  <c r="AC275" i="1"/>
  <c r="AC443" i="1"/>
  <c r="AC272" i="1"/>
  <c r="AC159" i="1"/>
  <c r="AC169" i="1"/>
  <c r="S2402" i="1"/>
  <c r="V57" i="1"/>
  <c r="AC57" i="1" s="1"/>
  <c r="V49" i="1"/>
  <c r="AC49" i="1" s="1"/>
  <c r="S170" i="1"/>
  <c r="S881" i="1"/>
  <c r="S3096" i="1"/>
  <c r="V50" i="1"/>
  <c r="AC50" i="1" s="1"/>
  <c r="AB50" i="1"/>
  <c r="V169" i="1"/>
  <c r="AB169" i="1"/>
  <c r="S455" i="1"/>
  <c r="S487" i="1"/>
  <c r="S3513" i="1"/>
  <c r="AB159" i="1"/>
  <c r="S827" i="1"/>
  <c r="V307" i="1"/>
  <c r="AC307" i="1" s="1"/>
  <c r="AB307" i="1"/>
  <c r="S1194" i="1"/>
  <c r="V167" i="1"/>
  <c r="AC167" i="1" s="1"/>
  <c r="AB167" i="1"/>
  <c r="V611" i="1"/>
  <c r="AC611" i="1" s="1"/>
  <c r="AB611" i="1"/>
  <c r="S175" i="1"/>
  <c r="V9204" i="1"/>
  <c r="AC9204" i="1" s="1"/>
  <c r="AB9204" i="1"/>
  <c r="V9015" i="1"/>
  <c r="AC9015" i="1" s="1"/>
  <c r="AB9015" i="1"/>
  <c r="V10213" i="1"/>
  <c r="AC10213" i="1" s="1"/>
  <c r="AB10213" i="1"/>
  <c r="V10027" i="1"/>
  <c r="AC10027" i="1" s="1"/>
  <c r="AB10027" i="1"/>
  <c r="V7113" i="1"/>
  <c r="AC7113" i="1" s="1"/>
  <c r="AB7113" i="1"/>
  <c r="V272" i="1"/>
  <c r="AB272" i="1"/>
  <c r="V396" i="1"/>
  <c r="AC396" i="1" s="1"/>
  <c r="AB396" i="1"/>
  <c r="AB443" i="1"/>
  <c r="AB275" i="1"/>
  <c r="Z8862" i="1"/>
  <c r="Z8861" i="1"/>
  <c r="V7242" i="1"/>
  <c r="AC7242" i="1" s="1"/>
  <c r="V8666" i="1"/>
  <c r="AC8666" i="1" s="1"/>
  <c r="V8766" i="1"/>
  <c r="AC8766" i="1" s="1"/>
  <c r="V8862" i="1"/>
  <c r="AC8862" i="1" s="1"/>
  <c r="V9045" i="1"/>
  <c r="AC9045" i="1" s="1"/>
  <c r="V8861" i="1"/>
  <c r="AC8861" i="1" s="1"/>
  <c r="AB7242" i="1"/>
  <c r="AB8666" i="1"/>
  <c r="AB8766" i="1"/>
  <c r="AB8862" i="1"/>
  <c r="AB9045" i="1"/>
  <c r="AB8861" i="1"/>
  <c r="V549" i="1"/>
  <c r="AC549" i="1" s="1"/>
  <c r="AB549" i="1"/>
  <c r="V743" i="1"/>
  <c r="AC743" i="1" s="1"/>
  <c r="AB743" i="1"/>
  <c r="V265" i="1"/>
  <c r="AC265" i="1" s="1"/>
  <c r="AB265" i="1"/>
  <c r="AB170" i="1"/>
  <c r="Z89" i="1"/>
  <c r="Z10493" i="1"/>
  <c r="Z9797" i="1"/>
  <c r="Z9542" i="1"/>
  <c r="Z9382" i="1"/>
  <c r="V5" i="1"/>
  <c r="AC5" i="1" s="1"/>
  <c r="V6294" i="1"/>
  <c r="AC6294" i="1" s="1"/>
  <c r="V9985" i="1"/>
  <c r="AC9985" i="1" s="1"/>
  <c r="V10493" i="1"/>
  <c r="AC10493" i="1" s="1"/>
  <c r="V10170" i="1"/>
  <c r="AC10170" i="1" s="1"/>
  <c r="V10589" i="1"/>
  <c r="AC10589" i="1" s="1"/>
  <c r="V10583" i="1"/>
  <c r="AC10583" i="1" s="1"/>
  <c r="V10526" i="1"/>
  <c r="AC10526" i="1" s="1"/>
  <c r="V9357" i="1"/>
  <c r="AC9357" i="1" s="1"/>
  <c r="V9343" i="1"/>
  <c r="AC9343" i="1" s="1"/>
  <c r="V9844" i="1"/>
  <c r="AC9844" i="1" s="1"/>
  <c r="V10416" i="1"/>
  <c r="AC10416" i="1" s="1"/>
  <c r="V9797" i="1"/>
  <c r="AC9797" i="1" s="1"/>
  <c r="V10212" i="1"/>
  <c r="AC10212" i="1" s="1"/>
  <c r="V9542" i="1"/>
  <c r="AB5466" i="1"/>
  <c r="AB5344" i="1"/>
  <c r="AB55" i="1"/>
  <c r="AB135" i="1"/>
  <c r="AB78" i="1"/>
  <c r="AB87" i="1"/>
  <c r="AB10218" i="1"/>
  <c r="AB9382" i="1"/>
  <c r="AB9542" i="1"/>
  <c r="AB10212" i="1"/>
  <c r="AB9797" i="1"/>
  <c r="AB10416" i="1"/>
  <c r="AB9844" i="1"/>
  <c r="AB9343" i="1"/>
  <c r="AB9357" i="1"/>
  <c r="AB10526" i="1"/>
  <c r="AB10582" i="1"/>
  <c r="AB10583" i="1"/>
  <c r="AB10589" i="1"/>
  <c r="AB10493" i="1"/>
  <c r="AB10170" i="1"/>
  <c r="AB9985" i="1"/>
  <c r="AB6294" i="1"/>
  <c r="AB5" i="1"/>
  <c r="AB844" i="1"/>
  <c r="AB843" i="1"/>
  <c r="AB367" i="1"/>
  <c r="AB361" i="1"/>
  <c r="AB355" i="1"/>
  <c r="AB350" i="1"/>
  <c r="AB89" i="1"/>
  <c r="AB346" i="1"/>
  <c r="AB347" i="1"/>
  <c r="AB341" i="1"/>
  <c r="AB342" i="1"/>
  <c r="AB336" i="1"/>
  <c r="AB331" i="1"/>
  <c r="AB326" i="1"/>
  <c r="AB115" i="1"/>
  <c r="V9382" i="1"/>
  <c r="AC9382" i="1" s="1"/>
  <c r="V115" i="1"/>
  <c r="AC115" i="1" s="1"/>
  <c r="Z87" i="1"/>
  <c r="Z78" i="1"/>
  <c r="Z135" i="1"/>
  <c r="Z55" i="1"/>
  <c r="V87" i="1"/>
  <c r="AC87" i="1" s="1"/>
  <c r="V78" i="1"/>
  <c r="AC78" i="1" s="1"/>
  <c r="V135" i="1"/>
  <c r="AC135" i="1" s="1"/>
  <c r="V55" i="1"/>
  <c r="AC55" i="1" s="1"/>
  <c r="V5344" i="1"/>
  <c r="AC5344" i="1" s="1"/>
  <c r="V5466" i="1"/>
  <c r="AC5466" i="1" s="1"/>
  <c r="V4471" i="1"/>
  <c r="AC4471" i="1" s="1"/>
  <c r="AB4471" i="1"/>
  <c r="V5183" i="1"/>
  <c r="AC5183" i="1" s="1"/>
  <c r="AB5183" i="1"/>
  <c r="AB1954" i="1"/>
  <c r="AB887" i="1"/>
  <c r="AB10311" i="1"/>
  <c r="AB10384" i="1"/>
  <c r="AB10169" i="1"/>
  <c r="AB9804" i="1"/>
  <c r="AB9769" i="1"/>
  <c r="AB9541" i="1"/>
  <c r="AB9339" i="1"/>
  <c r="AB8873" i="1"/>
  <c r="AB8906" i="1"/>
  <c r="AB8650" i="1"/>
  <c r="AB8210" i="1"/>
  <c r="AB8037" i="1"/>
  <c r="AB7623" i="1"/>
  <c r="AB7831" i="1"/>
  <c r="AB7398" i="1"/>
  <c r="AB7137" i="1"/>
  <c r="AB7043" i="1"/>
  <c r="AB7146" i="1"/>
  <c r="AB7050" i="1"/>
  <c r="AB7038" i="1"/>
  <c r="AB6986" i="1"/>
  <c r="AB6905" i="1"/>
  <c r="AB6906" i="1"/>
  <c r="AB6076" i="1"/>
  <c r="AB6077" i="1"/>
  <c r="AB6379" i="1"/>
  <c r="Z7623" i="1"/>
  <c r="Z8906" i="1"/>
  <c r="Z10384" i="1"/>
  <c r="V6379" i="1"/>
  <c r="AC6379" i="1" s="1"/>
  <c r="V6077" i="1"/>
  <c r="AC6077" i="1" s="1"/>
  <c r="V6076" i="1"/>
  <c r="AC6076" i="1" s="1"/>
  <c r="V6906" i="1"/>
  <c r="AC6906" i="1" s="1"/>
  <c r="V6905" i="1"/>
  <c r="AC6905" i="1" s="1"/>
  <c r="V6986" i="1"/>
  <c r="AC6986" i="1" s="1"/>
  <c r="V7050" i="1"/>
  <c r="AC7050" i="1" s="1"/>
  <c r="V7146" i="1"/>
  <c r="AC7146" i="1" s="1"/>
  <c r="V7038" i="1"/>
  <c r="AC7038" i="1" s="1"/>
  <c r="V7043" i="1"/>
  <c r="V7137" i="1"/>
  <c r="AC7137" i="1" s="1"/>
  <c r="V7398" i="1"/>
  <c r="V7831" i="1"/>
  <c r="AC7831" i="1" s="1"/>
  <c r="V7623" i="1"/>
  <c r="AC7623" i="1" s="1"/>
  <c r="V8037" i="1"/>
  <c r="AC8037" i="1" s="1"/>
  <c r="V8210" i="1"/>
  <c r="AC8210" i="1" s="1"/>
  <c r="V8650" i="1"/>
  <c r="AC8650" i="1" s="1"/>
  <c r="V8906" i="1"/>
  <c r="AC8906" i="1" s="1"/>
  <c r="V8873" i="1"/>
  <c r="AC8873" i="1" s="1"/>
  <c r="V9339" i="1"/>
  <c r="AC9339" i="1" s="1"/>
  <c r="V9541" i="1"/>
  <c r="AC9541" i="1" s="1"/>
  <c r="V9769" i="1"/>
  <c r="AC9769" i="1" s="1"/>
  <c r="V9804" i="1"/>
  <c r="AC9804" i="1" s="1"/>
  <c r="V10169" i="1"/>
  <c r="AC10169" i="1" s="1"/>
  <c r="V10384" i="1"/>
  <c r="AC10384" i="1" s="1"/>
  <c r="V10311" i="1"/>
  <c r="AC10311" i="1" s="1"/>
  <c r="Z2436" i="1"/>
  <c r="Z10383" i="1"/>
  <c r="V2436" i="1"/>
  <c r="AC2436" i="1" s="1"/>
  <c r="AB2436" i="1"/>
  <c r="V2849" i="1"/>
  <c r="AC2849" i="1" s="1"/>
  <c r="AB2849" i="1"/>
  <c r="V9540" i="1"/>
  <c r="AC9540" i="1" s="1"/>
  <c r="AB9540" i="1"/>
  <c r="V9539" i="1"/>
  <c r="AC9539" i="1" s="1"/>
  <c r="AB9539" i="1"/>
  <c r="V9893" i="1"/>
  <c r="AC9893" i="1" s="1"/>
  <c r="AB9893" i="1"/>
  <c r="V9768" i="1"/>
  <c r="AC9768" i="1" s="1"/>
  <c r="AB9768" i="1"/>
  <c r="V9767" i="1"/>
  <c r="AC9767" i="1" s="1"/>
  <c r="AB9767" i="1"/>
  <c r="V9766" i="1"/>
  <c r="AC9766" i="1" s="1"/>
  <c r="AB9766" i="1"/>
  <c r="V9765" i="1"/>
  <c r="AC9765" i="1" s="1"/>
  <c r="AB9765" i="1"/>
  <c r="V10168" i="1"/>
  <c r="AC10168" i="1" s="1"/>
  <c r="AB10168" i="1"/>
  <c r="AB9984" i="1"/>
  <c r="V9764" i="1"/>
  <c r="AC9764" i="1" s="1"/>
  <c r="AB9764" i="1"/>
  <c r="AB9983" i="1"/>
  <c r="V10295" i="1"/>
  <c r="AC10295" i="1" s="1"/>
  <c r="AB10295" i="1"/>
  <c r="V10294" i="1"/>
  <c r="AC10294" i="1" s="1"/>
  <c r="AB10294" i="1"/>
  <c r="V10383" i="1"/>
  <c r="AC10383" i="1" s="1"/>
  <c r="AB10383" i="1"/>
  <c r="AB56" i="1"/>
  <c r="Z526" i="1"/>
  <c r="AB526" i="1"/>
  <c r="Z955" i="1"/>
  <c r="AB955" i="1"/>
  <c r="AB898" i="1"/>
  <c r="V972" i="1"/>
  <c r="AC972" i="1" s="1"/>
  <c r="AB972" i="1"/>
  <c r="V1281" i="1"/>
  <c r="AC1281" i="1" s="1"/>
  <c r="AB1281" i="1"/>
  <c r="V495" i="1"/>
  <c r="AC495" i="1" s="1"/>
  <c r="AB495" i="1"/>
  <c r="Z82" i="1"/>
  <c r="V210" i="1"/>
  <c r="AC210" i="1" s="1"/>
  <c r="V705" i="1"/>
  <c r="AC705" i="1" s="1"/>
  <c r="V363" i="1"/>
  <c r="AC363" i="1" s="1"/>
  <c r="V274" i="1"/>
  <c r="AC274" i="1" s="1"/>
  <c r="V82" i="1"/>
  <c r="AC82" i="1" s="1"/>
  <c r="AB82" i="1"/>
  <c r="AB210" i="1"/>
  <c r="AB705" i="1"/>
  <c r="AB412" i="1"/>
  <c r="AB363" i="1"/>
  <c r="AB274" i="1"/>
  <c r="V253" i="1"/>
  <c r="AC253" i="1" s="1"/>
  <c r="AB253" i="1"/>
  <c r="AB54" i="1"/>
  <c r="V65" i="1"/>
  <c r="AC65" i="1" s="1"/>
  <c r="AB65" i="1"/>
  <c r="S3105" i="1"/>
  <c r="AB48" i="1"/>
  <c r="AB157" i="1"/>
  <c r="AB411" i="1"/>
  <c r="AB1174" i="1"/>
  <c r="AB527" i="1"/>
  <c r="AB610" i="1"/>
  <c r="AB315" i="1"/>
  <c r="AB71" i="1"/>
  <c r="AB409" i="1"/>
  <c r="AB148" i="1"/>
  <c r="AB455" i="1"/>
  <c r="V455" i="1"/>
  <c r="V409" i="1"/>
  <c r="AC409" i="1" s="1"/>
  <c r="V527" i="1"/>
  <c r="AC527" i="1" s="1"/>
  <c r="V411" i="1"/>
  <c r="AC411" i="1" s="1"/>
  <c r="AB221" i="1"/>
  <c r="AB59" i="1"/>
  <c r="AB134" i="1"/>
  <c r="AB203" i="1"/>
  <c r="V203" i="1"/>
  <c r="AC203" i="1" s="1"/>
  <c r="AB450" i="1"/>
  <c r="AB102" i="1"/>
  <c r="Z101" i="1"/>
  <c r="AB101" i="1"/>
  <c r="S197" i="1"/>
  <c r="Z8152" i="1"/>
  <c r="Z7886" i="1"/>
  <c r="Z8217" i="1"/>
  <c r="Z7998" i="1"/>
  <c r="Z8148" i="1"/>
  <c r="Z8391" i="1"/>
  <c r="Z9014" i="1"/>
  <c r="Z9326" i="1"/>
  <c r="V4781" i="1"/>
  <c r="AC4781" i="1" s="1"/>
  <c r="V7910" i="1"/>
  <c r="AC7910" i="1" s="1"/>
  <c r="V7703" i="1"/>
  <c r="AC7703" i="1" s="1"/>
  <c r="V8784" i="1"/>
  <c r="AC8784" i="1" s="1"/>
  <c r="V8142" i="1"/>
  <c r="AC8142" i="1" s="1"/>
  <c r="V7884" i="1"/>
  <c r="AC7884" i="1" s="1"/>
  <c r="V8152" i="1"/>
  <c r="AC8152" i="1" s="1"/>
  <c r="V8246" i="1"/>
  <c r="AC8246" i="1" s="1"/>
  <c r="V8366" i="1"/>
  <c r="AC8366" i="1" s="1"/>
  <c r="V7886" i="1"/>
  <c r="AC7886" i="1" s="1"/>
  <c r="V7982" i="1"/>
  <c r="AC7982" i="1" s="1"/>
  <c r="V8217" i="1"/>
  <c r="AC8217" i="1" s="1"/>
  <c r="V8014" i="1"/>
  <c r="AC8014" i="1" s="1"/>
  <c r="V7872" i="1"/>
  <c r="AC7872" i="1" s="1"/>
  <c r="V8434" i="1"/>
  <c r="AC8434" i="1" s="1"/>
  <c r="V7998" i="1"/>
  <c r="AC7998" i="1" s="1"/>
  <c r="V7830" i="1"/>
  <c r="AC7830" i="1" s="1"/>
  <c r="V6793" i="1"/>
  <c r="AC6793" i="1" s="1"/>
  <c r="V7905" i="1"/>
  <c r="AC7905" i="1" s="1"/>
  <c r="V7904" i="1"/>
  <c r="AC7904" i="1" s="1"/>
  <c r="V7652" i="1"/>
  <c r="AC7652" i="1" s="1"/>
  <c r="V8059" i="1"/>
  <c r="AC8059" i="1" s="1"/>
  <c r="V8147" i="1"/>
  <c r="AC8147" i="1" s="1"/>
  <c r="V6872" i="1"/>
  <c r="AC6872" i="1" s="1"/>
  <c r="V7383" i="1"/>
  <c r="AC7383" i="1" s="1"/>
  <c r="V8144" i="1"/>
  <c r="AC8144" i="1" s="1"/>
  <c r="V8389" i="1"/>
  <c r="AC8389" i="1" s="1"/>
  <c r="V8148" i="1"/>
  <c r="AC8148" i="1" s="1"/>
  <c r="V8391" i="1"/>
  <c r="AC8391" i="1" s="1"/>
  <c r="V9014" i="1"/>
  <c r="AC9014" i="1" s="1"/>
  <c r="AB4781" i="1"/>
  <c r="AB7910" i="1"/>
  <c r="AB7703" i="1"/>
  <c r="AB8784" i="1"/>
  <c r="AB8142" i="1"/>
  <c r="AB7884" i="1"/>
  <c r="AB8152" i="1"/>
  <c r="AB8246" i="1"/>
  <c r="AB8366" i="1"/>
  <c r="AB7886" i="1"/>
  <c r="AB7982" i="1"/>
  <c r="AB8217" i="1"/>
  <c r="AB8014" i="1"/>
  <c r="AB7872" i="1"/>
  <c r="AB8434" i="1"/>
  <c r="AB7998" i="1"/>
  <c r="AB6793" i="1"/>
  <c r="AB7830" i="1"/>
  <c r="AB7905" i="1"/>
  <c r="AB7904" i="1"/>
  <c r="AB7652" i="1"/>
  <c r="AB8059" i="1"/>
  <c r="AB8147" i="1"/>
  <c r="AB6872" i="1"/>
  <c r="AB7383" i="1"/>
  <c r="AB8144" i="1"/>
  <c r="AB8389" i="1"/>
  <c r="AB8148" i="1"/>
  <c r="AB8391" i="1"/>
  <c r="AB9014" i="1"/>
  <c r="V9326" i="1"/>
  <c r="AB9326" i="1"/>
  <c r="AB9011" i="1"/>
  <c r="AB9262" i="1"/>
  <c r="AB58" i="1"/>
  <c r="AB9047" i="1"/>
  <c r="AB8842" i="1"/>
  <c r="AB8726" i="1"/>
  <c r="AB9012" i="1"/>
  <c r="AB8414" i="1"/>
  <c r="AB8247" i="1"/>
  <c r="AB8463" i="1"/>
  <c r="AB8588" i="1"/>
  <c r="AB8199" i="1"/>
  <c r="AB8778" i="1"/>
  <c r="AB8521" i="1"/>
  <c r="AB8441" i="1"/>
  <c r="AB10292" i="1"/>
  <c r="AB9981" i="1"/>
  <c r="AB9761" i="1"/>
  <c r="AB9762" i="1"/>
  <c r="AB9538" i="1"/>
  <c r="AB9263" i="1"/>
  <c r="AB8780" i="1"/>
  <c r="AB8308" i="1"/>
  <c r="AB7449" i="1"/>
  <c r="AB4082" i="1"/>
  <c r="AB10382" i="1"/>
  <c r="AB10293" i="1"/>
  <c r="AB9646" i="1"/>
  <c r="AB9982" i="1"/>
  <c r="AB9763" i="1"/>
  <c r="AB9441" i="1"/>
  <c r="AB9264" i="1"/>
  <c r="AB9265" i="1"/>
  <c r="AB9013" i="1"/>
  <c r="AB9266" i="1"/>
  <c r="AB8436" i="1"/>
  <c r="V8436" i="1"/>
  <c r="V9266" i="1"/>
  <c r="AC9266" i="1" s="1"/>
  <c r="V9013" i="1"/>
  <c r="AC9013" i="1" s="1"/>
  <c r="V9265" i="1"/>
  <c r="AC9265" i="1" s="1"/>
  <c r="V9264" i="1"/>
  <c r="AC9264" i="1" s="1"/>
  <c r="V9441" i="1"/>
  <c r="AC9441" i="1" s="1"/>
  <c r="V9763" i="1"/>
  <c r="AC9763" i="1" s="1"/>
  <c r="V9982" i="1"/>
  <c r="AC9982" i="1" s="1"/>
  <c r="V9646" i="1"/>
  <c r="AC9646" i="1" s="1"/>
  <c r="V10293" i="1"/>
  <c r="AC10293" i="1" s="1"/>
  <c r="V10382" i="1"/>
  <c r="AC10382" i="1" s="1"/>
  <c r="V4082" i="1"/>
  <c r="AC4082" i="1" s="1"/>
  <c r="V7449" i="1"/>
  <c r="AC7449" i="1" s="1"/>
  <c r="V8308" i="1"/>
  <c r="AC8308" i="1" s="1"/>
  <c r="V8780" i="1"/>
  <c r="AC8780" i="1" s="1"/>
  <c r="V9263" i="1"/>
  <c r="AC9263" i="1" s="1"/>
  <c r="V9538" i="1"/>
  <c r="AC9538" i="1" s="1"/>
  <c r="V9762" i="1"/>
  <c r="AC9762" i="1" s="1"/>
  <c r="V9761" i="1"/>
  <c r="AC9761" i="1" s="1"/>
  <c r="V9981" i="1"/>
  <c r="AC9981" i="1" s="1"/>
  <c r="V10292" i="1"/>
  <c r="AC10292" i="1" s="1"/>
  <c r="Z8441" i="1"/>
  <c r="Z8588" i="1"/>
  <c r="Z8463" i="1"/>
  <c r="Z8414" i="1"/>
  <c r="Z9047" i="1"/>
  <c r="V8441" i="1"/>
  <c r="AC8441" i="1" s="1"/>
  <c r="V8521" i="1"/>
  <c r="AC8521" i="1" s="1"/>
  <c r="V8778" i="1"/>
  <c r="AC8778" i="1" s="1"/>
  <c r="V8199" i="1"/>
  <c r="AC8199" i="1" s="1"/>
  <c r="V8588" i="1"/>
  <c r="AC8588" i="1" s="1"/>
  <c r="V8463" i="1"/>
  <c r="AC8463" i="1" s="1"/>
  <c r="V8247" i="1"/>
  <c r="AC8247" i="1" s="1"/>
  <c r="V8414" i="1"/>
  <c r="AC8414" i="1" s="1"/>
  <c r="V9012" i="1"/>
  <c r="AC9012" i="1" s="1"/>
  <c r="V8726" i="1"/>
  <c r="AC8726" i="1" s="1"/>
  <c r="V8842" i="1"/>
  <c r="AC8842" i="1" s="1"/>
  <c r="V9047" i="1"/>
  <c r="AC9047" i="1" s="1"/>
  <c r="V9262" i="1"/>
  <c r="AC9262" i="1" s="1"/>
  <c r="V9011" i="1"/>
  <c r="AC9011" i="1" s="1"/>
  <c r="V9261" i="1"/>
  <c r="AC9261" i="1" s="1"/>
  <c r="AB9261" i="1"/>
  <c r="V9260" i="1"/>
  <c r="AC9260" i="1" s="1"/>
  <c r="AB9260" i="1"/>
  <c r="Z9591" i="1"/>
  <c r="V9591" i="1"/>
  <c r="AC9591" i="1" s="1"/>
  <c r="AB9591" i="1"/>
  <c r="V760" i="1" l="1"/>
  <c r="AC760" i="1" s="1"/>
  <c r="AB760" i="1"/>
  <c r="V8058" i="1"/>
  <c r="AC8058" i="1" s="1"/>
  <c r="AB8058" i="1"/>
  <c r="V60" i="1"/>
  <c r="AC60" i="1" s="1"/>
  <c r="AB60" i="1"/>
  <c r="AB61" i="1"/>
  <c r="V1060" i="1"/>
  <c r="AC1060" i="1" s="1"/>
  <c r="V1545" i="1"/>
  <c r="AC1545" i="1" s="1"/>
  <c r="V175" i="1"/>
  <c r="AC175" i="1" s="1"/>
  <c r="V1112" i="1"/>
  <c r="AC1112" i="1" s="1"/>
  <c r="V2528" i="1"/>
  <c r="AC2528" i="1" s="1"/>
  <c r="V1985" i="1"/>
  <c r="AC1985" i="1" s="1"/>
  <c r="V1899" i="1"/>
  <c r="AC1899" i="1" s="1"/>
  <c r="V1938" i="1"/>
  <c r="AC1938" i="1" s="1"/>
  <c r="V2132" i="1"/>
  <c r="AC2132" i="1" s="1"/>
  <c r="V1088" i="1"/>
  <c r="AC1088" i="1" s="1"/>
  <c r="V2794" i="1"/>
  <c r="AC2794" i="1" s="1"/>
  <c r="V3263" i="1"/>
  <c r="AC3263" i="1" s="1"/>
  <c r="V63" i="1"/>
  <c r="AC63" i="1" s="1"/>
  <c r="V171" i="1"/>
  <c r="AC171" i="1" s="1"/>
  <c r="AB1060" i="1"/>
  <c r="AB1545" i="1"/>
  <c r="AB403" i="1"/>
  <c r="AB382" i="1"/>
  <c r="AB175" i="1"/>
  <c r="AB62" i="1"/>
  <c r="AB567" i="1"/>
  <c r="AB99" i="1"/>
  <c r="AB1112" i="1"/>
  <c r="AB2528" i="1"/>
  <c r="AB710" i="1"/>
  <c r="AB64" i="1"/>
  <c r="AB1985" i="1"/>
  <c r="AB1031" i="1"/>
  <c r="AB1288" i="1"/>
  <c r="AB1899" i="1"/>
  <c r="AB753" i="1"/>
  <c r="AB241" i="1"/>
  <c r="AB73" i="1"/>
  <c r="AB237" i="1"/>
  <c r="AB1938" i="1"/>
  <c r="AB2132" i="1"/>
  <c r="AB1699" i="1"/>
  <c r="AB1088" i="1"/>
  <c r="AB2794" i="1"/>
  <c r="AB3263" i="1"/>
  <c r="AB63" i="1"/>
  <c r="AB171" i="1"/>
  <c r="S2031" i="1"/>
  <c r="AB8810" i="1"/>
  <c r="AB9564" i="1"/>
  <c r="AB5579" i="1"/>
  <c r="AB4784" i="1"/>
  <c r="AB8950" i="1"/>
  <c r="AB10291" i="1"/>
  <c r="AB10106" i="1"/>
  <c r="AB7115" i="1"/>
  <c r="AB7505" i="1"/>
  <c r="AB8465" i="1"/>
  <c r="Z8810" i="1"/>
  <c r="V8810" i="1"/>
  <c r="AC8810" i="1" s="1"/>
  <c r="V9564" i="1"/>
  <c r="AC9564" i="1" s="1"/>
  <c r="Z5579" i="1"/>
  <c r="V5579" i="1"/>
  <c r="AC5579" i="1" s="1"/>
  <c r="V4784" i="1"/>
  <c r="AC4784" i="1" s="1"/>
  <c r="V8950" i="1"/>
  <c r="AC8950" i="1" s="1"/>
  <c r="V10291" i="1"/>
  <c r="AC10291" i="1" s="1"/>
  <c r="V10106" i="1"/>
  <c r="AC10106" i="1" s="1"/>
  <c r="V7115" i="1"/>
  <c r="AC7115" i="1" s="1"/>
  <c r="V7505" i="1"/>
  <c r="AC7505" i="1" s="1"/>
  <c r="V8465" i="1"/>
  <c r="AC8465" i="1" s="1"/>
  <c r="V8530" i="1"/>
  <c r="AC8530" i="1" s="1"/>
  <c r="AB8530" i="1"/>
  <c r="V8405" i="1"/>
  <c r="AC8405" i="1" s="1"/>
  <c r="AB8405" i="1"/>
  <c r="V5166" i="1"/>
  <c r="AC5166" i="1" s="1"/>
  <c r="AB5166" i="1"/>
  <c r="Z7089" i="1"/>
  <c r="V7089" i="1"/>
  <c r="AC7089" i="1" s="1"/>
  <c r="AB7089" i="1"/>
  <c r="Z9010" i="1"/>
  <c r="V9010" i="1"/>
  <c r="AC9010" i="1" s="1"/>
  <c r="AB9010" i="1"/>
  <c r="Z9259" i="1"/>
  <c r="V9259" i="1"/>
  <c r="AC9259" i="1" s="1"/>
  <c r="AB9259" i="1"/>
  <c r="Z9068" i="1"/>
  <c r="V9068" i="1"/>
  <c r="AC9068" i="1" s="1"/>
  <c r="AB9068" i="1"/>
  <c r="AB4778" i="1"/>
  <c r="AB4779" i="1"/>
  <c r="AB4757" i="1"/>
  <c r="AB4479" i="1"/>
  <c r="AB4473" i="1"/>
  <c r="AB3700" i="1"/>
  <c r="AB5029" i="1"/>
  <c r="AB4893" i="1"/>
  <c r="AB8917" i="1"/>
  <c r="AB8361" i="1"/>
  <c r="AB8151" i="1"/>
  <c r="AB8202" i="1"/>
  <c r="AB8135" i="1"/>
  <c r="AB8002" i="1"/>
  <c r="AB7792" i="1"/>
  <c r="AB8146" i="1"/>
  <c r="AB8050" i="1"/>
  <c r="AB6950" i="1"/>
  <c r="AB10496" i="1"/>
  <c r="AB10290" i="1"/>
  <c r="AB10481" i="1"/>
  <c r="AB10423" i="1"/>
  <c r="AB10394" i="1"/>
  <c r="AB10250" i="1"/>
  <c r="AB10415" i="1"/>
  <c r="AB10084" i="1"/>
  <c r="AB10253" i="1"/>
  <c r="AB8601" i="1"/>
  <c r="AB8472" i="1"/>
  <c r="AB5038" i="1"/>
  <c r="V5038" i="1"/>
  <c r="AC5038" i="1" s="1"/>
  <c r="V8472" i="1"/>
  <c r="AC8472" i="1" s="1"/>
  <c r="Z8601" i="1"/>
  <c r="V8601" i="1"/>
  <c r="AC8601" i="1" s="1"/>
  <c r="V10253" i="1"/>
  <c r="AC10253" i="1" s="1"/>
  <c r="Z10084" i="1"/>
  <c r="V10084" i="1"/>
  <c r="AC10084" i="1" s="1"/>
  <c r="V10415" i="1"/>
  <c r="AC10415" i="1" s="1"/>
  <c r="V10250" i="1"/>
  <c r="AC10250" i="1" s="1"/>
  <c r="V10394" i="1"/>
  <c r="AC10394" i="1" s="1"/>
  <c r="V10423" i="1"/>
  <c r="AC10423" i="1" s="1"/>
  <c r="Z10481" i="1"/>
  <c r="V10481" i="1"/>
  <c r="AC10481" i="1" s="1"/>
  <c r="V10290" i="1"/>
  <c r="AC10290" i="1" s="1"/>
  <c r="V8050" i="1"/>
  <c r="AC8050" i="1" s="1"/>
  <c r="V8146" i="1"/>
  <c r="AC8146" i="1" s="1"/>
  <c r="V7792" i="1"/>
  <c r="AC7792" i="1" s="1"/>
  <c r="V8002" i="1"/>
  <c r="AC8002" i="1" s="1"/>
  <c r="V8135" i="1"/>
  <c r="AC8135" i="1" s="1"/>
  <c r="V8202" i="1"/>
  <c r="AC8202" i="1" s="1"/>
  <c r="V8151" i="1"/>
  <c r="AC8151" i="1" s="1"/>
  <c r="V8361" i="1"/>
  <c r="AC8361" i="1" s="1"/>
  <c r="V8917" i="1"/>
  <c r="AC8917" i="1" s="1"/>
  <c r="V4893" i="1"/>
  <c r="AC4893" i="1" s="1"/>
  <c r="V5029" i="1"/>
  <c r="AC5029" i="1" s="1"/>
  <c r="V3700" i="1"/>
  <c r="AC3700" i="1" s="1"/>
  <c r="V4473" i="1"/>
  <c r="AC4473" i="1" s="1"/>
  <c r="V4479" i="1"/>
  <c r="AC4479" i="1" s="1"/>
  <c r="V4757" i="1"/>
  <c r="AC4757" i="1" s="1"/>
  <c r="V4779" i="1"/>
  <c r="AC4779" i="1" s="1"/>
  <c r="V4778" i="1"/>
  <c r="AC4778" i="1" s="1"/>
  <c r="AB10494" i="1"/>
  <c r="AB66" i="1"/>
  <c r="V172" i="1"/>
  <c r="AC172" i="1" s="1"/>
  <c r="AB172" i="1"/>
  <c r="AB9883" i="1"/>
  <c r="V9883" i="1"/>
  <c r="AC9883" i="1" s="1"/>
  <c r="V6368" i="1"/>
  <c r="AC6368" i="1" s="1"/>
  <c r="AB6368" i="1"/>
  <c r="V950" i="1"/>
  <c r="AC950" i="1" s="1"/>
  <c r="AB950" i="1"/>
  <c r="AB124" i="1"/>
  <c r="AB521" i="1"/>
  <c r="V3613" i="1"/>
  <c r="AC3613" i="1" s="1"/>
  <c r="V2726" i="1"/>
  <c r="AC2726" i="1" s="1"/>
  <c r="AB2726" i="1"/>
  <c r="V6042" i="1"/>
  <c r="AC6042" i="1" s="1"/>
  <c r="AB6042" i="1"/>
  <c r="V6919" i="1"/>
  <c r="AC6919" i="1" s="1"/>
  <c r="AB6919" i="1"/>
  <c r="V7387" i="1"/>
  <c r="AC7387" i="1" s="1"/>
  <c r="AB7387" i="1"/>
  <c r="V1002" i="1"/>
  <c r="AC1002" i="1" s="1"/>
  <c r="AB1002" i="1"/>
  <c r="V317" i="1"/>
  <c r="AC317" i="1" s="1"/>
  <c r="AB317" i="1"/>
  <c r="AB267" i="1"/>
  <c r="V906" i="1"/>
  <c r="AC906" i="1" s="1"/>
  <c r="AB906" i="1"/>
  <c r="V656" i="1"/>
  <c r="AC656" i="1" s="1"/>
  <c r="AB656" i="1"/>
  <c r="V2263" i="1"/>
  <c r="AC2263" i="1" s="1"/>
  <c r="AB2263" i="1"/>
  <c r="AB47" i="1"/>
  <c r="AB388" i="1"/>
  <c r="AB1834" i="1"/>
  <c r="AB673" i="1"/>
  <c r="V673" i="1"/>
  <c r="AC673" i="1" s="1"/>
  <c r="V1834" i="1"/>
  <c r="AC1834" i="1" s="1"/>
  <c r="V388" i="1"/>
  <c r="AC388" i="1" s="1"/>
  <c r="V690" i="1"/>
  <c r="AC690" i="1" s="1"/>
  <c r="AB690" i="1"/>
  <c r="V322" i="1"/>
  <c r="AC322" i="1" s="1"/>
  <c r="AB322" i="1"/>
  <c r="V885" i="1"/>
  <c r="AC885" i="1" s="1"/>
  <c r="AB885" i="1"/>
  <c r="AB287" i="1"/>
  <c r="V652" i="1"/>
  <c r="AC652" i="1" s="1"/>
  <c r="AB652" i="1"/>
  <c r="AB212" i="1"/>
  <c r="AB83" i="1"/>
  <c r="AB100" i="1"/>
  <c r="AB156" i="1"/>
  <c r="V114" i="1"/>
  <c r="AC114" i="1" s="1"/>
  <c r="AB114" i="1"/>
  <c r="AB604" i="1"/>
  <c r="AB81" i="1"/>
  <c r="V6203" i="1"/>
  <c r="AC6203" i="1" s="1"/>
  <c r="S2020" i="1"/>
  <c r="S1195" i="1"/>
  <c r="V2453" i="1"/>
  <c r="AC2453" i="1" s="1"/>
  <c r="AB2453" i="1"/>
  <c r="AB2650" i="1"/>
  <c r="V2650" i="1"/>
  <c r="AC2650" i="1" s="1"/>
  <c r="V3353" i="1"/>
  <c r="AC3353" i="1" s="1"/>
  <c r="AB3353" i="1"/>
  <c r="V2495" i="1"/>
  <c r="AC2495" i="1" s="1"/>
  <c r="AB2495" i="1"/>
  <c r="V67" i="1"/>
  <c r="AC67" i="1" s="1"/>
  <c r="S3101" i="1"/>
  <c r="V800" i="1"/>
  <c r="AC800" i="1" s="1"/>
  <c r="AB800" i="1"/>
  <c r="V10026" i="1"/>
  <c r="AC10026" i="1" s="1"/>
  <c r="AB10026" i="1"/>
  <c r="S1636" i="1"/>
  <c r="V2079" i="1"/>
  <c r="AC2079" i="1" s="1"/>
  <c r="AB2079" i="1"/>
  <c r="V1062" i="1"/>
  <c r="AC1062" i="1" s="1"/>
  <c r="AB1062" i="1"/>
  <c r="V886" i="1"/>
  <c r="AC886" i="1" s="1"/>
  <c r="AB886" i="1"/>
  <c r="AB90" i="1"/>
  <c r="V908" i="1"/>
  <c r="AC908" i="1" s="1"/>
  <c r="AB908" i="1"/>
  <c r="V2919" i="1"/>
  <c r="AC2919" i="1" s="1"/>
  <c r="AB2919" i="1"/>
  <c r="S3091" i="1"/>
  <c r="V4791" i="1"/>
  <c r="AC4791" i="1" s="1"/>
  <c r="AB4791" i="1"/>
  <c r="V5435" i="1"/>
  <c r="AC5435" i="1" s="1"/>
  <c r="AB5435" i="1"/>
  <c r="V8822" i="1"/>
  <c r="AC8822" i="1" s="1"/>
  <c r="AB8822" i="1"/>
  <c r="V9009" i="1"/>
  <c r="AC9009" i="1" s="1"/>
  <c r="AB9009" i="1"/>
  <c r="V9338" i="1"/>
  <c r="AC9338" i="1" s="1"/>
  <c r="AB9338" i="1"/>
  <c r="V10261" i="1"/>
  <c r="AC10261" i="1" s="1"/>
  <c r="AB10261" i="1"/>
  <c r="V6170" i="1"/>
  <c r="AC6170" i="1" s="1"/>
  <c r="AB6170" i="1"/>
  <c r="AB309" i="1"/>
  <c r="V1788" i="1"/>
  <c r="AC1788" i="1" s="1"/>
  <c r="AB1788" i="1"/>
  <c r="Z10570" i="1"/>
  <c r="Z10082" i="1"/>
  <c r="Z9747" i="1"/>
  <c r="Z9527" i="1"/>
  <c r="S852" i="1"/>
  <c r="V310" i="1"/>
  <c r="AC310" i="1" s="1"/>
  <c r="AB310" i="1"/>
  <c r="Z8752" i="1"/>
  <c r="Z8570" i="1"/>
  <c r="Z8171" i="1"/>
  <c r="Z8127" i="1"/>
  <c r="Z8038" i="1"/>
  <c r="Z7972" i="1"/>
  <c r="V3364" i="1"/>
  <c r="AC3364" i="1" s="1"/>
  <c r="AB3364" i="1"/>
  <c r="S180" i="1"/>
  <c r="AB9359" i="1"/>
  <c r="AB8905" i="1"/>
  <c r="AB8856" i="1"/>
  <c r="AB8390" i="1"/>
  <c r="AB7871" i="1"/>
  <c r="AB7685" i="1"/>
  <c r="AB6719" i="1"/>
  <c r="AB5424" i="1"/>
  <c r="AB2232" i="1"/>
  <c r="AB2782" i="1"/>
  <c r="AB228" i="1"/>
  <c r="AB871" i="1"/>
  <c r="AB1196" i="1"/>
  <c r="V2232" i="1"/>
  <c r="AC2232" i="1" s="1"/>
  <c r="V2782" i="1"/>
  <c r="AC2782" i="1" s="1"/>
  <c r="V871" i="1"/>
  <c r="AC871" i="1" s="1"/>
  <c r="V1196" i="1"/>
  <c r="AC1196" i="1" s="1"/>
  <c r="Z7453" i="1"/>
  <c r="Z6819" i="1"/>
  <c r="Z5647" i="1"/>
  <c r="Z1567" i="1"/>
  <c r="Z653" i="1"/>
  <c r="Z104" i="1"/>
  <c r="Z98" i="1"/>
  <c r="V5424" i="1"/>
  <c r="AC5424" i="1" s="1"/>
  <c r="V6719" i="1"/>
  <c r="AC6719" i="1" s="1"/>
  <c r="Z7685" i="1"/>
  <c r="V7685" i="1"/>
  <c r="AC7685" i="1" s="1"/>
  <c r="Z7871" i="1"/>
  <c r="V7871" i="1"/>
  <c r="AC7871" i="1" s="1"/>
  <c r="Z8390" i="1"/>
  <c r="V8390" i="1"/>
  <c r="AC8390" i="1" s="1"/>
  <c r="Z8856" i="1"/>
  <c r="V8856" i="1"/>
  <c r="AC8856" i="1" s="1"/>
  <c r="Z8905" i="1"/>
  <c r="V8905" i="1"/>
  <c r="AC8905" i="1" s="1"/>
  <c r="V9359" i="1"/>
  <c r="AC9359" i="1" s="1"/>
  <c r="V9760" i="1"/>
  <c r="AC9760" i="1" s="1"/>
  <c r="AB9760" i="1"/>
  <c r="V9685" i="1"/>
  <c r="AC9685" i="1" s="1"/>
  <c r="AB9685" i="1"/>
  <c r="AB248" i="1"/>
  <c r="V86" i="1"/>
  <c r="AC86" i="1" s="1"/>
  <c r="V85" i="1"/>
  <c r="AC85" i="1" s="1"/>
  <c r="S492" i="1"/>
  <c r="S195" i="1"/>
  <c r="V492" i="1"/>
  <c r="AC492" i="1" s="1"/>
  <c r="AB492" i="1"/>
  <c r="V3272" i="1"/>
  <c r="AC3272" i="1" s="1"/>
  <c r="AB3272" i="1"/>
  <c r="S2419" i="1"/>
  <c r="V7732" i="1"/>
  <c r="AC7732" i="1" s="1"/>
  <c r="AB7732" i="1"/>
  <c r="V77" i="1"/>
  <c r="AC77" i="1" s="1"/>
  <c r="AB77" i="1"/>
  <c r="AB70" i="1"/>
  <c r="AB10039" i="1"/>
  <c r="AB7443" i="1"/>
  <c r="AB8211" i="1"/>
  <c r="AB5616" i="1"/>
  <c r="AB7444" i="1"/>
  <c r="AB5569" i="1"/>
  <c r="AB4111" i="1"/>
  <c r="Z8211" i="1"/>
  <c r="Z10039" i="1"/>
  <c r="Z10381" i="1"/>
  <c r="Z10529" i="1"/>
  <c r="Z10083" i="1"/>
  <c r="V4111" i="1"/>
  <c r="AC4111" i="1" s="1"/>
  <c r="V5569" i="1"/>
  <c r="AC5569" i="1" s="1"/>
  <c r="V7444" i="1"/>
  <c r="AC7444" i="1" s="1"/>
  <c r="V5616" i="1"/>
  <c r="AC5616" i="1" s="1"/>
  <c r="V8211" i="1"/>
  <c r="AC8211" i="1" s="1"/>
  <c r="V7443" i="1"/>
  <c r="AC7443" i="1" s="1"/>
  <c r="V10039" i="1"/>
  <c r="AC10039" i="1" s="1"/>
  <c r="V10381" i="1"/>
  <c r="AC10381" i="1" s="1"/>
  <c r="V10529" i="1"/>
  <c r="AC10529" i="1" s="1"/>
  <c r="V6904" i="1"/>
  <c r="AC6904" i="1" s="1"/>
  <c r="V9684" i="1"/>
  <c r="AC9684" i="1" s="1"/>
  <c r="V8600" i="1"/>
  <c r="AC8600" i="1" s="1"/>
  <c r="V10534" i="1"/>
  <c r="AC10534" i="1" s="1"/>
  <c r="V10105" i="1"/>
  <c r="AC10105" i="1" s="1"/>
  <c r="V10438" i="1"/>
  <c r="AC10438" i="1" s="1"/>
  <c r="V8089" i="1"/>
  <c r="AC8089" i="1" s="1"/>
  <c r="V9126" i="1"/>
  <c r="AC9126" i="1" s="1"/>
  <c r="V10083" i="1"/>
  <c r="AC10083" i="1" s="1"/>
  <c r="AB10381" i="1"/>
  <c r="AB10529" i="1"/>
  <c r="AB6904" i="1"/>
  <c r="AB9684" i="1"/>
  <c r="AB8600" i="1"/>
  <c r="AB10534" i="1"/>
  <c r="AB10105" i="1"/>
  <c r="AB10438" i="1"/>
  <c r="V10444" i="1"/>
  <c r="AC10444" i="1" s="1"/>
  <c r="AB10444" i="1"/>
  <c r="AB8089" i="1"/>
  <c r="AB9126" i="1"/>
  <c r="AB10083" i="1"/>
  <c r="AB68" i="1"/>
  <c r="V236" i="1"/>
  <c r="AC236" i="1" s="1"/>
  <c r="AB236" i="1"/>
  <c r="V752" i="1"/>
  <c r="AC752" i="1" s="1"/>
  <c r="AB752" i="1"/>
  <c r="V301" i="1"/>
  <c r="AC301" i="1" s="1"/>
  <c r="AB301" i="1"/>
  <c r="V349" i="1"/>
  <c r="AC349" i="1" s="1"/>
  <c r="AB349" i="1"/>
  <c r="V448" i="1"/>
  <c r="AC448" i="1" s="1"/>
  <c r="AB448" i="1"/>
  <c r="AB163" i="1"/>
  <c r="AB74" i="1"/>
  <c r="V1632" i="1"/>
  <c r="AC1632" i="1" s="1"/>
  <c r="S1632" i="1"/>
  <c r="AB1632" i="1"/>
  <c r="S489" i="1"/>
  <c r="V562" i="1"/>
  <c r="AC562" i="1" s="1"/>
  <c r="AB562" i="1"/>
  <c r="V271" i="1"/>
  <c r="AC271" i="1" s="1"/>
  <c r="AB271" i="1"/>
  <c r="V489" i="1"/>
  <c r="AC489" i="1" s="1"/>
  <c r="AB489" i="1"/>
  <c r="V1276" i="1"/>
  <c r="AC1276" i="1" s="1"/>
  <c r="AB1276" i="1"/>
  <c r="V535" i="1"/>
  <c r="AC535" i="1" s="1"/>
  <c r="AB535" i="1"/>
  <c r="S2764" i="1"/>
  <c r="V6782" i="1"/>
  <c r="AC6782" i="1" s="1"/>
  <c r="AB6782" i="1"/>
  <c r="V7202" i="1"/>
  <c r="AC7202" i="1" s="1"/>
  <c r="AB7202" i="1"/>
  <c r="V7382" i="1"/>
  <c r="AC7382" i="1" s="1"/>
  <c r="AB7382" i="1"/>
  <c r="V7435" i="1"/>
  <c r="AC7435" i="1" s="1"/>
  <c r="AB7435" i="1"/>
  <c r="AB804" i="1"/>
  <c r="V381" i="1"/>
  <c r="AC381" i="1" s="1"/>
  <c r="AB381" i="1"/>
  <c r="AB259" i="1"/>
  <c r="V852" i="1"/>
  <c r="AC852" i="1" s="1"/>
  <c r="AB852" i="1"/>
  <c r="V72" i="1"/>
  <c r="AC72" i="1" s="1"/>
  <c r="AB72" i="1"/>
  <c r="AB5661" i="1"/>
  <c r="AB4743" i="1"/>
  <c r="AB8091" i="1"/>
  <c r="AB10205" i="1"/>
  <c r="AB6409" i="1"/>
  <c r="AB6738" i="1"/>
  <c r="AB8387" i="1"/>
  <c r="AB6710" i="1"/>
  <c r="AB7527" i="1"/>
  <c r="AB7651" i="1"/>
  <c r="V7651" i="1"/>
  <c r="AC7651" i="1" s="1"/>
  <c r="V7527" i="1"/>
  <c r="AC7527" i="1" s="1"/>
  <c r="V6710" i="1"/>
  <c r="AC6710" i="1" s="1"/>
  <c r="V8387" i="1"/>
  <c r="AC8387" i="1" s="1"/>
  <c r="V6738" i="1"/>
  <c r="AC6738" i="1" s="1"/>
  <c r="V6409" i="1"/>
  <c r="AC6409" i="1" s="1"/>
  <c r="Z10205" i="1"/>
  <c r="V10205" i="1"/>
  <c r="AC10205" i="1" s="1"/>
  <c r="V8091" i="1"/>
  <c r="AC8091" i="1" s="1"/>
  <c r="Z4743" i="1"/>
  <c r="V4743" i="1"/>
  <c r="AC4743" i="1" s="1"/>
  <c r="Z5661" i="1"/>
  <c r="V5661" i="1"/>
  <c r="AC5661" i="1" s="1"/>
  <c r="V654" i="1"/>
  <c r="AC654" i="1" s="1"/>
  <c r="AB654" i="1"/>
  <c r="S188" i="1"/>
  <c r="V269" i="1"/>
  <c r="AC269" i="1" s="1"/>
  <c r="AB269" i="1"/>
  <c r="V126" i="1"/>
  <c r="AC126" i="1" s="1"/>
  <c r="AB126" i="1"/>
  <c r="V2788" i="1"/>
  <c r="AC2788" i="1" s="1"/>
  <c r="AB2788" i="1"/>
  <c r="V174" i="1"/>
  <c r="AC174" i="1" s="1"/>
  <c r="S174" i="1"/>
  <c r="AB174" i="1"/>
  <c r="Z9152" i="1"/>
  <c r="V9152" i="1"/>
  <c r="AC9152" i="1" s="1"/>
  <c r="AB9152" i="1"/>
  <c r="V9643" i="1"/>
  <c r="AC9643" i="1" s="1"/>
  <c r="AB9643" i="1"/>
  <c r="S178" i="1"/>
  <c r="V178" i="1"/>
  <c r="AC178" i="1" s="1"/>
  <c r="AB178" i="1"/>
  <c r="V2494" i="1"/>
  <c r="AC2494" i="1" s="1"/>
  <c r="AB2494" i="1"/>
  <c r="AB109" i="1"/>
  <c r="V258" i="1"/>
  <c r="AC258" i="1" s="1"/>
  <c r="AB258" i="1"/>
  <c r="S9558" i="1"/>
  <c r="Z205" i="1"/>
  <c r="AB205" i="1"/>
  <c r="V75" i="1"/>
  <c r="AC75" i="1" s="1"/>
  <c r="AB75" i="1"/>
  <c r="AB6456" i="1"/>
  <c r="V8064" i="1"/>
  <c r="AC8064" i="1" s="1"/>
  <c r="AB8064" i="1"/>
  <c r="V6871" i="1"/>
  <c r="AC6871" i="1" s="1"/>
  <c r="AB6871" i="1"/>
  <c r="V7432" i="1"/>
  <c r="AC7432" i="1" s="1"/>
  <c r="AB7432" i="1"/>
  <c r="V7274" i="1"/>
  <c r="AC7274" i="1" s="1"/>
  <c r="AB7274" i="1"/>
  <c r="V7667" i="1"/>
  <c r="AC7667" i="1" s="1"/>
  <c r="AB7667" i="1"/>
  <c r="V7711" i="1"/>
  <c r="AC7711" i="1" s="1"/>
  <c r="AB7711" i="1"/>
  <c r="AB8424" i="1"/>
  <c r="AB8616" i="1"/>
  <c r="V8616" i="1"/>
  <c r="AC8616" i="1" s="1"/>
  <c r="V8424" i="1"/>
  <c r="AC8424" i="1" s="1"/>
  <c r="S2401" i="1"/>
  <c r="S4564" i="1"/>
  <c r="AB1597" i="1"/>
  <c r="V2615" i="1"/>
  <c r="AC2615" i="1" s="1"/>
  <c r="AB2615" i="1"/>
  <c r="S1205" i="1"/>
  <c r="V140" i="1"/>
  <c r="AC140" i="1" s="1"/>
  <c r="AB140" i="1"/>
  <c r="V76" i="1"/>
  <c r="AC76" i="1" s="1"/>
  <c r="AB76" i="1"/>
  <c r="S9794" i="1"/>
  <c r="V595" i="1"/>
  <c r="AC595" i="1" s="1"/>
  <c r="AB595" i="1"/>
  <c r="S177" i="1"/>
  <c r="V6016" i="1"/>
  <c r="AC6016" i="1" s="1"/>
  <c r="AB6016" i="1"/>
  <c r="AB8612" i="1"/>
  <c r="AB8461" i="1"/>
  <c r="AB8422" i="1"/>
  <c r="AB8185" i="1"/>
  <c r="AB7981" i="1"/>
  <c r="AB6122" i="1"/>
  <c r="AB4766" i="1"/>
  <c r="V4766" i="1"/>
  <c r="AC4766" i="1" s="1"/>
  <c r="V6122" i="1"/>
  <c r="AC6122" i="1" s="1"/>
  <c r="V7981" i="1"/>
  <c r="AC7981" i="1" s="1"/>
  <c r="Z8185" i="1"/>
  <c r="V8185" i="1"/>
  <c r="AC8185" i="1" s="1"/>
  <c r="V8422" i="1"/>
  <c r="AC8422" i="1" s="1"/>
  <c r="V8461" i="1"/>
  <c r="AC8461" i="1" s="1"/>
  <c r="V8612" i="1"/>
  <c r="AC8612" i="1" s="1"/>
  <c r="V5410" i="1"/>
  <c r="AC5410" i="1" s="1"/>
  <c r="AB5410" i="1"/>
  <c r="V5933" i="1"/>
  <c r="AC5933" i="1" s="1"/>
  <c r="AB5933" i="1"/>
  <c r="S456" i="1"/>
  <c r="S1204" i="1"/>
  <c r="AB177" i="1"/>
  <c r="AB2625" i="1"/>
  <c r="AB1941" i="1"/>
  <c r="AB1692" i="1"/>
  <c r="V1692" i="1"/>
  <c r="AC1692" i="1" s="1"/>
  <c r="Z1941" i="1"/>
  <c r="V2625" i="1"/>
  <c r="AC2625" i="1" s="1"/>
  <c r="AB1439" i="1"/>
  <c r="AB827" i="1"/>
  <c r="V550" i="1"/>
  <c r="AC550" i="1" s="1"/>
  <c r="AB550" i="1"/>
  <c r="V1430" i="1"/>
  <c r="AC1430" i="1" s="1"/>
  <c r="AB1430" i="1"/>
  <c r="S1209" i="1"/>
  <c r="AB231" i="1"/>
  <c r="V709" i="1"/>
  <c r="AC709" i="1" s="1"/>
  <c r="AB709" i="1"/>
  <c r="AB1152" i="1"/>
  <c r="AB227" i="1"/>
  <c r="V1601" i="1"/>
  <c r="AC1601" i="1" s="1"/>
  <c r="AB1601" i="1"/>
  <c r="V456" i="1"/>
  <c r="AC456" i="1" s="1"/>
  <c r="AB456" i="1"/>
  <c r="V195" i="1"/>
  <c r="AC195" i="1" s="1"/>
  <c r="AB195" i="1"/>
  <c r="V2199" i="1"/>
  <c r="AC2199" i="1" s="1"/>
  <c r="AB2199" i="1"/>
  <c r="V2908" i="1"/>
  <c r="AC2908" i="1" s="1"/>
  <c r="AB2908" i="1"/>
  <c r="V2916" i="1"/>
  <c r="AC2916" i="1" s="1"/>
  <c r="AB2916" i="1"/>
  <c r="V2285" i="1"/>
  <c r="AC2285" i="1" s="1"/>
  <c r="AB2285" i="1"/>
  <c r="V2641" i="1"/>
  <c r="AC2641" i="1" s="1"/>
  <c r="AB2641" i="1"/>
  <c r="AB152" i="1"/>
  <c r="V646" i="1"/>
  <c r="AC646" i="1" s="1"/>
  <c r="AB646" i="1"/>
  <c r="V303" i="1"/>
  <c r="AC303" i="1" s="1"/>
  <c r="AB303" i="1"/>
  <c r="V79" i="1"/>
  <c r="AC79" i="1" s="1"/>
  <c r="AB79" i="1"/>
  <c r="AB80" i="1"/>
  <c r="V2344" i="1"/>
  <c r="AC2344" i="1" s="1"/>
  <c r="AB2344" i="1"/>
  <c r="V220" i="1"/>
  <c r="AC220" i="1" s="1"/>
  <c r="AB220" i="1"/>
  <c r="AB9695" i="1"/>
  <c r="AB9308" i="1"/>
  <c r="AB7213" i="1"/>
  <c r="V7213" i="1"/>
  <c r="AC7213" i="1" s="1"/>
  <c r="V9308" i="1"/>
  <c r="AC9308" i="1" s="1"/>
  <c r="V9695" i="1"/>
  <c r="AC9695" i="1" s="1"/>
  <c r="V5227" i="1"/>
  <c r="AC5227" i="1" s="1"/>
  <c r="AB5227" i="1"/>
  <c r="V6711" i="1"/>
  <c r="AC6711" i="1" s="1"/>
  <c r="AB6711" i="1"/>
  <c r="V6860" i="1"/>
  <c r="AC6860" i="1" s="1"/>
  <c r="AB6860" i="1"/>
  <c r="V6903" i="1"/>
  <c r="AC6903" i="1" s="1"/>
  <c r="AB6903" i="1"/>
  <c r="S452" i="1"/>
  <c r="S1181" i="1"/>
  <c r="S882" i="1"/>
  <c r="N1025" i="69"/>
  <c r="S4574" i="1"/>
  <c r="N1293" i="69"/>
  <c r="V208" i="1"/>
  <c r="AC208" i="1" s="1"/>
  <c r="AB208" i="1"/>
  <c r="V6070" i="1"/>
  <c r="AC6070" i="1" s="1"/>
  <c r="AB6070" i="1"/>
  <c r="V555" i="1"/>
  <c r="AC555" i="1" s="1"/>
  <c r="AB555" i="1"/>
  <c r="V452" i="1"/>
  <c r="AC452" i="1" s="1"/>
  <c r="AB452" i="1"/>
  <c r="V599" i="1"/>
  <c r="AC599" i="1" s="1"/>
  <c r="AB599" i="1"/>
  <c r="Z8717" i="1"/>
  <c r="V7231" i="1"/>
  <c r="AC7231" i="1" s="1"/>
  <c r="AB7231" i="1"/>
  <c r="V4711" i="1"/>
  <c r="AC4711" i="1" s="1"/>
  <c r="AB4711" i="1"/>
  <c r="V5072" i="1"/>
  <c r="AC5072" i="1" s="1"/>
  <c r="AB5072" i="1"/>
  <c r="V6427" i="1"/>
  <c r="AC6427" i="1" s="1"/>
  <c r="AB6427" i="1"/>
  <c r="V4090" i="1"/>
  <c r="AC4090" i="1" s="1"/>
  <c r="AB4090" i="1"/>
  <c r="V4172" i="1"/>
  <c r="AC4172" i="1" s="1"/>
  <c r="AB4172" i="1"/>
  <c r="V6028" i="1"/>
  <c r="AC6028" i="1" s="1"/>
  <c r="AB6028" i="1"/>
  <c r="V6366" i="1"/>
  <c r="AC6366" i="1" s="1"/>
  <c r="AB6366" i="1"/>
  <c r="V7082" i="1"/>
  <c r="AC7082" i="1" s="1"/>
  <c r="AB7082" i="1"/>
  <c r="V6990" i="1"/>
  <c r="AC6990" i="1" s="1"/>
  <c r="AB6990" i="1"/>
  <c r="V4310" i="1"/>
  <c r="AC4310" i="1" s="1"/>
  <c r="AB4310" i="1"/>
  <c r="V5281" i="1"/>
  <c r="AC5281" i="1" s="1"/>
  <c r="AB5281" i="1"/>
  <c r="Z6340" i="1"/>
  <c r="V6340" i="1"/>
  <c r="AC6340" i="1" s="1"/>
  <c r="AB6340" i="1"/>
  <c r="AB173" i="1"/>
  <c r="V173" i="1"/>
  <c r="AC173" i="1" s="1"/>
  <c r="V2357" i="1"/>
  <c r="AC2357" i="1" s="1"/>
  <c r="AB2357" i="1"/>
  <c r="S1631" i="1"/>
  <c r="AB1631" i="1"/>
  <c r="V1522" i="1"/>
  <c r="AC1522" i="1" s="1"/>
  <c r="AB1522" i="1"/>
  <c r="V823" i="1"/>
  <c r="AC823" i="1" s="1"/>
  <c r="AB823" i="1"/>
  <c r="V1549" i="1"/>
  <c r="AC1549" i="1" s="1"/>
  <c r="AB1549" i="1"/>
  <c r="AB162" i="1"/>
  <c r="S872" i="1"/>
  <c r="V1164" i="1"/>
  <c r="AC1164" i="1" s="1"/>
  <c r="AB1164" i="1"/>
  <c r="AB117" i="1"/>
  <c r="AB147" i="1"/>
  <c r="AB278" i="1"/>
  <c r="AB337" i="1"/>
  <c r="AB365" i="1"/>
  <c r="AB964" i="1"/>
  <c r="V365" i="1"/>
  <c r="AC365" i="1" s="1"/>
  <c r="V147" i="1"/>
  <c r="AC147" i="1" s="1"/>
  <c r="AB4539" i="1"/>
  <c r="V4539" i="1"/>
  <c r="AC4539" i="1" s="1"/>
  <c r="AB10404" i="1"/>
  <c r="AB7042" i="1"/>
  <c r="AB10402" i="1"/>
  <c r="AB10544" i="1"/>
  <c r="AB10569" i="1"/>
  <c r="AB5343" i="1"/>
  <c r="AB10247" i="1"/>
  <c r="AB10556" i="1"/>
  <c r="AB8180" i="1"/>
  <c r="AB10497" i="1"/>
  <c r="AB9805" i="1"/>
  <c r="AB10357" i="1"/>
  <c r="AB4671" i="1"/>
  <c r="AB4478" i="1"/>
  <c r="AB10442" i="1"/>
  <c r="AB10461" i="1"/>
  <c r="AB10502" i="1"/>
  <c r="AB10470" i="1"/>
  <c r="AB10541" i="1"/>
  <c r="AB10538" i="1"/>
  <c r="AB10222" i="1"/>
  <c r="AB10368" i="1"/>
  <c r="AB10540" i="1"/>
  <c r="AB9314" i="1"/>
  <c r="AB8402" i="1"/>
  <c r="AB10367" i="1"/>
  <c r="AB7755" i="1"/>
  <c r="AB10379" i="1"/>
  <c r="V7755" i="1"/>
  <c r="AC7755" i="1" s="1"/>
  <c r="V10367" i="1"/>
  <c r="AC10367" i="1" s="1"/>
  <c r="V8402" i="1"/>
  <c r="AC8402" i="1" s="1"/>
  <c r="V9314" i="1"/>
  <c r="AC9314" i="1" s="1"/>
  <c r="V10540" i="1"/>
  <c r="AC10540" i="1" s="1"/>
  <c r="V10368" i="1"/>
  <c r="AC10368" i="1" s="1"/>
  <c r="V10222" i="1"/>
  <c r="AC10222" i="1" s="1"/>
  <c r="V10538" i="1"/>
  <c r="AC10538" i="1" s="1"/>
  <c r="V10541" i="1"/>
  <c r="AC10541" i="1" s="1"/>
  <c r="V10502" i="1"/>
  <c r="AC10502" i="1" s="1"/>
  <c r="V10461" i="1"/>
  <c r="AC10461" i="1" s="1"/>
  <c r="Z10442" i="1"/>
  <c r="V10442" i="1"/>
  <c r="AC10442" i="1" s="1"/>
  <c r="V4478" i="1"/>
  <c r="AC4478" i="1" s="1"/>
  <c r="V4671" i="1"/>
  <c r="AC4671" i="1" s="1"/>
  <c r="V10357" i="1"/>
  <c r="AC10357" i="1" s="1"/>
  <c r="V9805" i="1"/>
  <c r="AC9805" i="1" s="1"/>
  <c r="V10497" i="1"/>
  <c r="AC10497" i="1" s="1"/>
  <c r="V8180" i="1"/>
  <c r="AC8180" i="1" s="1"/>
  <c r="Z10556" i="1"/>
  <c r="V10556" i="1"/>
  <c r="AC10556" i="1" s="1"/>
  <c r="V10247" i="1"/>
  <c r="AC10247" i="1" s="1"/>
  <c r="V10544" i="1"/>
  <c r="AC10544" i="1" s="1"/>
  <c r="V10402" i="1"/>
  <c r="AC10402" i="1" s="1"/>
  <c r="V7042" i="1"/>
  <c r="AC7042" i="1" s="1"/>
  <c r="V10404" i="1"/>
  <c r="AC10404" i="1" s="1"/>
  <c r="V6380" i="1"/>
  <c r="AC6380" i="1" s="1"/>
  <c r="AB6380" i="1"/>
  <c r="V8716" i="1"/>
  <c r="AC8716" i="1" s="1"/>
  <c r="AB8716" i="1"/>
  <c r="S471" i="1"/>
  <c r="AB471" i="1"/>
  <c r="AB2568" i="1"/>
  <c r="S5678" i="1"/>
  <c r="V6895" i="1"/>
  <c r="AC6895" i="1" s="1"/>
  <c r="AB6895" i="1"/>
  <c r="V141" i="1"/>
  <c r="AC141" i="1" s="1"/>
  <c r="AB141" i="1"/>
  <c r="V122" i="1"/>
  <c r="AC122" i="1" s="1"/>
  <c r="AB122" i="1"/>
  <c r="S462" i="1"/>
  <c r="AB6180" i="1"/>
  <c r="AB6253" i="1"/>
  <c r="AB6251" i="1"/>
  <c r="AB6254" i="1"/>
  <c r="AB6252" i="1"/>
  <c r="V6252" i="1"/>
  <c r="AC6252" i="1" s="1"/>
  <c r="V6254" i="1"/>
  <c r="AC6254" i="1" s="1"/>
  <c r="V6251" i="1"/>
  <c r="AC6251" i="1" s="1"/>
  <c r="V6253" i="1"/>
  <c r="AC6253" i="1" s="1"/>
  <c r="Z6180" i="1"/>
  <c r="V6180" i="1"/>
  <c r="AC6180" i="1" s="1"/>
  <c r="AB5660" i="1"/>
  <c r="AB4860" i="1"/>
  <c r="AB5265" i="1"/>
  <c r="Z5265" i="1"/>
  <c r="V5265" i="1"/>
  <c r="AC5265" i="1" s="1"/>
  <c r="Z4860" i="1"/>
  <c r="V5660" i="1"/>
  <c r="AC5660" i="1" s="1"/>
  <c r="V5490" i="1"/>
  <c r="AC5490" i="1" s="1"/>
  <c r="AB5490" i="1"/>
  <c r="V5955" i="1"/>
  <c r="AC5955" i="1" s="1"/>
  <c r="AB5955" i="1"/>
  <c r="AB6581" i="1"/>
  <c r="Z5802" i="1"/>
  <c r="V5802" i="1"/>
  <c r="AC5802" i="1" s="1"/>
  <c r="AB5802" i="1"/>
  <c r="Z6847" i="1"/>
  <c r="V6847" i="1"/>
  <c r="AC6847" i="1" s="1"/>
  <c r="AB6847" i="1"/>
  <c r="V4753" i="1"/>
  <c r="AC4753" i="1" s="1"/>
  <c r="AB4753" i="1"/>
  <c r="AB5342" i="1"/>
  <c r="AB9977" i="1"/>
  <c r="AB7068" i="1"/>
  <c r="AB5938" i="1"/>
  <c r="AB4360" i="1"/>
  <c r="AB8973" i="1"/>
  <c r="AB7658" i="1"/>
  <c r="AB7445" i="1"/>
  <c r="AB8347" i="1"/>
  <c r="AB9254" i="1"/>
  <c r="AB7743" i="1"/>
  <c r="AB7454" i="1"/>
  <c r="AB7172" i="1"/>
  <c r="Z7454" i="1"/>
  <c r="Z7743" i="1"/>
  <c r="V7172" i="1"/>
  <c r="AC7172" i="1" s="1"/>
  <c r="V7454" i="1"/>
  <c r="AC7454" i="1" s="1"/>
  <c r="V7743" i="1"/>
  <c r="AC7743" i="1" s="1"/>
  <c r="V9254" i="1"/>
  <c r="AC9254" i="1" s="1"/>
  <c r="V8347" i="1"/>
  <c r="AC8347" i="1" s="1"/>
  <c r="V7445" i="1"/>
  <c r="AC7445" i="1" s="1"/>
  <c r="V7658" i="1"/>
  <c r="AC7658" i="1" s="1"/>
  <c r="V8973" i="1"/>
  <c r="AC8973" i="1" s="1"/>
  <c r="V4360" i="1"/>
  <c r="AC4360" i="1" s="1"/>
  <c r="V5938" i="1"/>
  <c r="AC5938" i="1" s="1"/>
  <c r="V7068" i="1"/>
  <c r="AC7068" i="1" s="1"/>
  <c r="V9977" i="1"/>
  <c r="AC9977" i="1" s="1"/>
  <c r="V5181" i="1"/>
  <c r="AC5181" i="1" s="1"/>
  <c r="AB5181" i="1"/>
  <c r="V4816" i="1"/>
  <c r="AC4816" i="1" s="1"/>
  <c r="AB4816" i="1"/>
  <c r="V5591" i="1"/>
  <c r="AC5591" i="1" s="1"/>
  <c r="AB5591" i="1"/>
  <c r="V8404" i="1"/>
  <c r="AC8404" i="1" s="1"/>
  <c r="AB8404" i="1"/>
  <c r="V4404" i="1"/>
  <c r="AC4404" i="1" s="1"/>
  <c r="AB4404" i="1"/>
  <c r="V3904" i="1"/>
  <c r="AC3904" i="1" s="1"/>
  <c r="AB3904" i="1"/>
  <c r="V8997" i="1"/>
  <c r="AC8997" i="1" s="1"/>
  <c r="AB8997" i="1"/>
  <c r="Z8718" i="1"/>
  <c r="V6398" i="1"/>
  <c r="AC6398" i="1" s="1"/>
  <c r="AB6398" i="1"/>
  <c r="V5471" i="1"/>
  <c r="AC5471" i="1" s="1"/>
  <c r="V5472" i="1"/>
  <c r="AC5472" i="1" s="1"/>
  <c r="AB5471" i="1"/>
  <c r="AB5472" i="1"/>
  <c r="V9841" i="1"/>
  <c r="AC9841" i="1" s="1"/>
  <c r="AB9841" i="1"/>
  <c r="V4720" i="1"/>
  <c r="AC4720" i="1" s="1"/>
  <c r="AB4720" i="1"/>
  <c r="V5788" i="1"/>
  <c r="AC5788" i="1" s="1"/>
  <c r="AB5788" i="1"/>
  <c r="V4349" i="1"/>
  <c r="AC4349" i="1" s="1"/>
  <c r="AB4349" i="1"/>
  <c r="V6038" i="1"/>
  <c r="AC6038" i="1" s="1"/>
  <c r="AB6038" i="1"/>
  <c r="V5888" i="1"/>
  <c r="AC5888" i="1" s="1"/>
  <c r="AB5888" i="1"/>
  <c r="V9003" i="1"/>
  <c r="AC9003" i="1" s="1"/>
  <c r="AB9003" i="1"/>
  <c r="V8718" i="1"/>
  <c r="AC8718" i="1" s="1"/>
  <c r="AB8718" i="1"/>
  <c r="V8945" i="1"/>
  <c r="AC8945" i="1" s="1"/>
  <c r="AB8945" i="1"/>
  <c r="V7511" i="1"/>
  <c r="AC7511" i="1" s="1"/>
  <c r="AB7511" i="1"/>
  <c r="Z9604" i="1"/>
  <c r="V9604" i="1"/>
  <c r="AC9604" i="1" s="1"/>
  <c r="AB9604" i="1"/>
  <c r="AB222" i="1"/>
  <c r="V251" i="1"/>
  <c r="AC251" i="1" s="1"/>
  <c r="AB251" i="1"/>
  <c r="V323" i="1"/>
  <c r="AC323" i="1" s="1"/>
  <c r="AB323" i="1"/>
  <c r="Z84" i="1"/>
  <c r="AB84" i="1"/>
  <c r="V139" i="1"/>
  <c r="AC139" i="1" s="1"/>
  <c r="AB139" i="1"/>
  <c r="S3488" i="1"/>
  <c r="V5724" i="1"/>
  <c r="AC5724" i="1" s="1"/>
  <c r="AB5724" i="1"/>
  <c r="S5993" i="1"/>
  <c r="AB1684" i="1"/>
  <c r="AB1713" i="1"/>
  <c r="V1713" i="1"/>
  <c r="AC1713" i="1" s="1"/>
  <c r="V8098" i="1"/>
  <c r="AC8098" i="1" s="1"/>
  <c r="AB8098" i="1"/>
  <c r="V7759" i="1"/>
  <c r="AC7759" i="1" s="1"/>
  <c r="AB7759" i="1"/>
  <c r="V1625" i="1"/>
  <c r="AC1625" i="1" s="1"/>
  <c r="S1625" i="1"/>
  <c r="AB1625" i="1"/>
  <c r="S854" i="1"/>
  <c r="S1651" i="1"/>
  <c r="V1365" i="1"/>
  <c r="AC1365" i="1" s="1"/>
  <c r="AB1365" i="1"/>
  <c r="V577" i="1"/>
  <c r="AC577" i="1" s="1"/>
  <c r="AB577" i="1"/>
  <c r="V663" i="1"/>
  <c r="AC663" i="1" s="1"/>
  <c r="AB663" i="1"/>
  <c r="V201" i="1"/>
  <c r="AC201" i="1" s="1"/>
  <c r="AB201" i="1"/>
  <c r="AB85" i="1"/>
  <c r="AB765" i="1"/>
  <c r="Z225" i="1"/>
  <c r="AB225" i="1"/>
  <c r="V713" i="1"/>
  <c r="AC713" i="1" s="1"/>
  <c r="AB713" i="1"/>
  <c r="AB280" i="1"/>
  <c r="V1127" i="1"/>
  <c r="AC1127" i="1" s="1"/>
  <c r="AB1127" i="1"/>
  <c r="AB369" i="1"/>
  <c r="V369" i="1"/>
  <c r="AC369" i="1" s="1"/>
  <c r="V565" i="1"/>
  <c r="AC565" i="1" s="1"/>
  <c r="AB565" i="1"/>
  <c r="S493" i="1"/>
  <c r="AB86" i="1"/>
  <c r="V7420" i="1"/>
  <c r="AC7420" i="1" s="1"/>
  <c r="V2306" i="1"/>
  <c r="AC2306" i="1" s="1"/>
  <c r="AB3613" i="1"/>
  <c r="V1828" i="1"/>
  <c r="AC1828" i="1" s="1"/>
  <c r="V1831" i="1"/>
  <c r="AC1831" i="1" s="1"/>
  <c r="V1830" i="1"/>
  <c r="AC1830" i="1" s="1"/>
  <c r="V1829" i="1"/>
  <c r="AC1829" i="1" s="1"/>
  <c r="V1833" i="1"/>
  <c r="AC1833" i="1" s="1"/>
  <c r="V1832" i="1"/>
  <c r="AC1832" i="1" s="1"/>
  <c r="V1836" i="1"/>
  <c r="AC1836" i="1" s="1"/>
  <c r="V1835" i="1"/>
  <c r="AC1835" i="1" s="1"/>
  <c r="V1837" i="1"/>
  <c r="AC1837" i="1" s="1"/>
  <c r="V1838" i="1"/>
  <c r="AC1838" i="1" s="1"/>
  <c r="V1841" i="1"/>
  <c r="AC1841" i="1" s="1"/>
  <c r="V1840" i="1"/>
  <c r="AC1840" i="1" s="1"/>
  <c r="V1843" i="1"/>
  <c r="AC1843" i="1" s="1"/>
  <c r="V1845" i="1"/>
  <c r="AC1845" i="1" s="1"/>
  <c r="V1846" i="1"/>
  <c r="AC1846" i="1" s="1"/>
  <c r="V1844" i="1"/>
  <c r="AC1844" i="1" s="1"/>
  <c r="V1847" i="1"/>
  <c r="AC1847" i="1" s="1"/>
  <c r="V1848" i="1"/>
  <c r="AC1848" i="1" s="1"/>
  <c r="V1849" i="1"/>
  <c r="AC1849" i="1" s="1"/>
  <c r="V1850" i="1"/>
  <c r="AC1850" i="1" s="1"/>
  <c r="V1851" i="1"/>
  <c r="AC1851" i="1" s="1"/>
  <c r="V1853" i="1"/>
  <c r="AC1853" i="1" s="1"/>
  <c r="V1852" i="1"/>
  <c r="AC1852" i="1" s="1"/>
  <c r="V1855" i="1"/>
  <c r="AC1855" i="1" s="1"/>
  <c r="V1856" i="1"/>
  <c r="AC1856" i="1" s="1"/>
  <c r="V1857" i="1"/>
  <c r="AC1857" i="1" s="1"/>
  <c r="V1858" i="1"/>
  <c r="AC1858" i="1" s="1"/>
  <c r="V1859" i="1"/>
  <c r="AC1859" i="1" s="1"/>
  <c r="V1860" i="1"/>
  <c r="AC1860" i="1" s="1"/>
  <c r="V1861" i="1"/>
  <c r="AC1861" i="1" s="1"/>
  <c r="V1862" i="1"/>
  <c r="AC1862" i="1" s="1"/>
  <c r="V1863" i="1"/>
  <c r="AC1863" i="1" s="1"/>
  <c r="V1866" i="1"/>
  <c r="AC1866" i="1" s="1"/>
  <c r="V1867" i="1"/>
  <c r="AC1867" i="1" s="1"/>
  <c r="V1868" i="1"/>
  <c r="AC1868" i="1" s="1"/>
  <c r="V1865" i="1"/>
  <c r="AC1865" i="1" s="1"/>
  <c r="V1864" i="1"/>
  <c r="AC1864" i="1" s="1"/>
  <c r="V1869" i="1"/>
  <c r="AC1869" i="1" s="1"/>
  <c r="V1870" i="1"/>
  <c r="AC1870" i="1" s="1"/>
  <c r="V1872" i="1"/>
  <c r="AC1872" i="1" s="1"/>
  <c r="V1874" i="1"/>
  <c r="AC1874" i="1" s="1"/>
  <c r="V1873" i="1"/>
  <c r="AC1873" i="1" s="1"/>
  <c r="V1871" i="1"/>
  <c r="AC1871" i="1" s="1"/>
  <c r="V1875" i="1"/>
  <c r="AC1875" i="1" s="1"/>
  <c r="V1876" i="1"/>
  <c r="AC1876" i="1" s="1"/>
  <c r="V1878" i="1"/>
  <c r="AC1878" i="1" s="1"/>
  <c r="V1879" i="1"/>
  <c r="AC1879" i="1" s="1"/>
  <c r="V1877" i="1"/>
  <c r="AC1877" i="1" s="1"/>
  <c r="V1880" i="1"/>
  <c r="AC1880" i="1" s="1"/>
  <c r="V1883" i="1"/>
  <c r="AC1883" i="1" s="1"/>
  <c r="V1882" i="1"/>
  <c r="AC1882" i="1" s="1"/>
  <c r="V1881" i="1"/>
  <c r="AC1881" i="1" s="1"/>
  <c r="V1885" i="1"/>
  <c r="AC1885" i="1" s="1"/>
  <c r="V1884" i="1"/>
  <c r="AC1884" i="1" s="1"/>
  <c r="V1887" i="1"/>
  <c r="AC1887" i="1" s="1"/>
  <c r="V1889" i="1"/>
  <c r="AC1889" i="1" s="1"/>
  <c r="V1888" i="1"/>
  <c r="AC1888" i="1" s="1"/>
  <c r="V1892" i="1"/>
  <c r="AC1892" i="1" s="1"/>
  <c r="V1891" i="1"/>
  <c r="AC1891" i="1" s="1"/>
  <c r="V1890" i="1"/>
  <c r="AC1890" i="1" s="1"/>
  <c r="V1893" i="1"/>
  <c r="AC1893" i="1" s="1"/>
  <c r="V1894" i="1"/>
  <c r="AC1894" i="1" s="1"/>
  <c r="V1896" i="1"/>
  <c r="AC1896" i="1" s="1"/>
  <c r="V1895" i="1"/>
  <c r="AC1895" i="1" s="1"/>
  <c r="V1897" i="1"/>
  <c r="AC1897" i="1" s="1"/>
  <c r="V1901" i="1"/>
  <c r="AC1901" i="1" s="1"/>
  <c r="V1903" i="1"/>
  <c r="AC1903" i="1" s="1"/>
  <c r="V1904" i="1"/>
  <c r="AC1904" i="1" s="1"/>
  <c r="V1900" i="1"/>
  <c r="AC1900" i="1" s="1"/>
  <c r="V1902" i="1"/>
  <c r="AC1902" i="1" s="1"/>
  <c r="V1906" i="1"/>
  <c r="AC1906" i="1" s="1"/>
  <c r="V1909" i="1"/>
  <c r="AC1909" i="1" s="1"/>
  <c r="V1908" i="1"/>
  <c r="AC1908" i="1" s="1"/>
  <c r="V1911" i="1"/>
  <c r="AC1911" i="1" s="1"/>
  <c r="V1912" i="1"/>
  <c r="AC1912" i="1" s="1"/>
  <c r="V1827" i="1"/>
  <c r="AC1827" i="1" s="1"/>
  <c r="V1823" i="1"/>
  <c r="AC1823" i="1" s="1"/>
  <c r="V1826" i="1"/>
  <c r="AC1826" i="1" s="1"/>
  <c r="V1825" i="1"/>
  <c r="AC1825" i="1" s="1"/>
  <c r="V1824" i="1"/>
  <c r="AC1824" i="1" s="1"/>
  <c r="V1822" i="1"/>
  <c r="AC1822" i="1" s="1"/>
  <c r="V1821" i="1"/>
  <c r="AC1821" i="1" s="1"/>
  <c r="V1820" i="1"/>
  <c r="AC1820" i="1" s="1"/>
  <c r="V1818" i="1"/>
  <c r="AC1818" i="1" s="1"/>
  <c r="V1819" i="1"/>
  <c r="AC1819" i="1" s="1"/>
  <c r="V1816" i="1"/>
  <c r="AC1816" i="1" s="1"/>
  <c r="V1817" i="1"/>
  <c r="AC1817" i="1" s="1"/>
  <c r="V1813" i="1"/>
  <c r="AC1813" i="1" s="1"/>
  <c r="V1814" i="1"/>
  <c r="AC1814" i="1" s="1"/>
  <c r="V1815" i="1"/>
  <c r="AC1815" i="1" s="1"/>
  <c r="V1809" i="1"/>
  <c r="AC1809" i="1" s="1"/>
  <c r="V1810" i="1"/>
  <c r="AC1810" i="1" s="1"/>
  <c r="V1812" i="1"/>
  <c r="AC1812" i="1" s="1"/>
  <c r="V1811" i="1"/>
  <c r="AC1811" i="1" s="1"/>
  <c r="V1808" i="1"/>
  <c r="AC1808" i="1" s="1"/>
  <c r="V1807" i="1"/>
  <c r="AC1807" i="1" s="1"/>
  <c r="V1806" i="1"/>
  <c r="AC1806" i="1" s="1"/>
  <c r="V1805" i="1"/>
  <c r="AC1805" i="1" s="1"/>
  <c r="V1804" i="1"/>
  <c r="AC1804" i="1" s="1"/>
  <c r="V1803" i="1"/>
  <c r="AC1803" i="1" s="1"/>
  <c r="V1802" i="1"/>
  <c r="AC1802" i="1" s="1"/>
  <c r="V1801" i="1"/>
  <c r="AC1801" i="1" s="1"/>
  <c r="V1800" i="1"/>
  <c r="AC1800" i="1" s="1"/>
  <c r="V1799" i="1"/>
  <c r="AC1799" i="1" s="1"/>
  <c r="V1794" i="1"/>
  <c r="AC1794" i="1" s="1"/>
  <c r="V1798" i="1"/>
  <c r="AC1798" i="1" s="1"/>
  <c r="V1796" i="1"/>
  <c r="AC1796" i="1" s="1"/>
  <c r="V1795" i="1"/>
  <c r="AC1795" i="1" s="1"/>
  <c r="V1797" i="1"/>
  <c r="AC1797" i="1" s="1"/>
  <c r="V1793" i="1"/>
  <c r="AC1793" i="1" s="1"/>
  <c r="V1791" i="1"/>
  <c r="AC1791" i="1" s="1"/>
  <c r="V1792" i="1"/>
  <c r="AC1792" i="1" s="1"/>
  <c r="V1789" i="1"/>
  <c r="AC1789" i="1" s="1"/>
  <c r="V1790" i="1"/>
  <c r="AC1790" i="1" s="1"/>
  <c r="V2031" i="1"/>
  <c r="AC2031" i="1" s="1"/>
  <c r="V1913" i="1"/>
  <c r="AC1913" i="1" s="1"/>
  <c r="V1914" i="1"/>
  <c r="AC1914" i="1" s="1"/>
  <c r="V1916" i="1"/>
  <c r="AC1916" i="1" s="1"/>
  <c r="V1915" i="1"/>
  <c r="AC1915" i="1" s="1"/>
  <c r="V1917" i="1"/>
  <c r="AC1917" i="1" s="1"/>
  <c r="V1918" i="1"/>
  <c r="AC1918" i="1" s="1"/>
  <c r="V1919" i="1"/>
  <c r="AC1919" i="1" s="1"/>
  <c r="V1920" i="1"/>
  <c r="AC1920" i="1" s="1"/>
  <c r="V1921" i="1"/>
  <c r="AC1921" i="1" s="1"/>
  <c r="V1924" i="1"/>
  <c r="AC1924" i="1" s="1"/>
  <c r="V1923" i="1"/>
  <c r="AC1923" i="1" s="1"/>
  <c r="V1922" i="1"/>
  <c r="AC1922" i="1" s="1"/>
  <c r="V1925" i="1"/>
  <c r="AC1925" i="1" s="1"/>
  <c r="V1927" i="1"/>
  <c r="AC1927" i="1" s="1"/>
  <c r="V1926" i="1"/>
  <c r="AC1926" i="1" s="1"/>
  <c r="V1928" i="1"/>
  <c r="AC1928" i="1" s="1"/>
  <c r="V1929" i="1"/>
  <c r="AC1929" i="1" s="1"/>
  <c r="V1930" i="1"/>
  <c r="AC1930" i="1" s="1"/>
  <c r="V1934" i="1"/>
  <c r="AC1934" i="1" s="1"/>
  <c r="V1932" i="1"/>
  <c r="AC1932" i="1" s="1"/>
  <c r="V1933" i="1"/>
  <c r="AC1933" i="1" s="1"/>
  <c r="V1935" i="1"/>
  <c r="AC1935" i="1" s="1"/>
  <c r="V1937" i="1"/>
  <c r="AC1937" i="1" s="1"/>
  <c r="V1936" i="1"/>
  <c r="AC1936" i="1" s="1"/>
  <c r="V1939" i="1"/>
  <c r="AC1939" i="1" s="1"/>
  <c r="V1940" i="1"/>
  <c r="AC1940" i="1" s="1"/>
  <c r="V1942" i="1"/>
  <c r="AC1942" i="1" s="1"/>
  <c r="V1944" i="1"/>
  <c r="AC1944" i="1" s="1"/>
  <c r="V1943" i="1"/>
  <c r="AC1943" i="1" s="1"/>
  <c r="V1945" i="1"/>
  <c r="AC1945" i="1" s="1"/>
  <c r="V1946" i="1"/>
  <c r="AC1946" i="1" s="1"/>
  <c r="V1947" i="1"/>
  <c r="AC1947" i="1" s="1"/>
  <c r="V1948" i="1"/>
  <c r="AC1948" i="1" s="1"/>
  <c r="V1950" i="1"/>
  <c r="AC1950" i="1" s="1"/>
  <c r="V1949" i="1"/>
  <c r="AC1949" i="1" s="1"/>
  <c r="V1952" i="1"/>
  <c r="AC1952" i="1" s="1"/>
  <c r="V1951" i="1"/>
  <c r="AC1951" i="1" s="1"/>
  <c r="V1787" i="1"/>
  <c r="AC1787" i="1" s="1"/>
  <c r="V1785" i="1"/>
  <c r="AC1785" i="1" s="1"/>
  <c r="V1786" i="1"/>
  <c r="AC1786" i="1" s="1"/>
  <c r="V1784" i="1"/>
  <c r="AC1784" i="1" s="1"/>
  <c r="V1782" i="1"/>
  <c r="AC1782" i="1" s="1"/>
  <c r="V1783" i="1"/>
  <c r="AC1783" i="1" s="1"/>
  <c r="V1781" i="1"/>
  <c r="AC1781" i="1" s="1"/>
  <c r="V1779" i="1"/>
  <c r="AC1779" i="1" s="1"/>
  <c r="V1780" i="1"/>
  <c r="AC1780" i="1" s="1"/>
  <c r="V1777" i="1"/>
  <c r="AC1777" i="1" s="1"/>
  <c r="V1774" i="1"/>
  <c r="AC1774" i="1" s="1"/>
  <c r="V1776" i="1"/>
  <c r="AC1776" i="1" s="1"/>
  <c r="V1773" i="1"/>
  <c r="AC1773" i="1" s="1"/>
  <c r="V1772" i="1"/>
  <c r="AC1772" i="1" s="1"/>
  <c r="V1775" i="1"/>
  <c r="AC1775" i="1" s="1"/>
  <c r="V1771" i="1"/>
  <c r="AC1771" i="1" s="1"/>
  <c r="V1770" i="1"/>
  <c r="AC1770" i="1" s="1"/>
  <c r="V1769" i="1"/>
  <c r="AC1769" i="1" s="1"/>
  <c r="V1765" i="1"/>
  <c r="AC1765" i="1" s="1"/>
  <c r="V2020" i="1"/>
  <c r="AC2020" i="1" s="1"/>
  <c r="V1766" i="1"/>
  <c r="AC1766" i="1" s="1"/>
  <c r="V1768" i="1"/>
  <c r="AC1768" i="1" s="1"/>
  <c r="V1767" i="1"/>
  <c r="AC1767" i="1" s="1"/>
  <c r="V1763" i="1"/>
  <c r="AC1763" i="1" s="1"/>
  <c r="V1764" i="1"/>
  <c r="AC1764" i="1" s="1"/>
  <c r="V1761" i="1"/>
  <c r="AC1761" i="1" s="1"/>
  <c r="V1760" i="1"/>
  <c r="AC1760" i="1" s="1"/>
  <c r="V1955" i="1"/>
  <c r="AC1955" i="1" s="1"/>
  <c r="V1958" i="1"/>
  <c r="AC1958" i="1" s="1"/>
  <c r="V1960" i="1"/>
  <c r="AC1960" i="1" s="1"/>
  <c r="V1959" i="1"/>
  <c r="AC1959" i="1" s="1"/>
  <c r="V1956" i="1"/>
  <c r="AC1956" i="1" s="1"/>
  <c r="V1957" i="1"/>
  <c r="AC1957" i="1" s="1"/>
  <c r="V1961" i="1"/>
  <c r="AC1961" i="1" s="1"/>
  <c r="V1962" i="1"/>
  <c r="AC1962" i="1" s="1"/>
  <c r="V1963" i="1"/>
  <c r="AC1963" i="1" s="1"/>
  <c r="V1964" i="1"/>
  <c r="AC1964" i="1" s="1"/>
  <c r="V1967" i="1"/>
  <c r="AC1967" i="1" s="1"/>
  <c r="V1965" i="1"/>
  <c r="AC1965" i="1" s="1"/>
  <c r="V1966" i="1"/>
  <c r="AC1966" i="1" s="1"/>
  <c r="V1968" i="1"/>
  <c r="AC1968" i="1" s="1"/>
  <c r="V1970" i="1"/>
  <c r="AC1970" i="1" s="1"/>
  <c r="V1969" i="1"/>
  <c r="AC1969" i="1" s="1"/>
  <c r="V1971" i="1"/>
  <c r="AC1971" i="1" s="1"/>
  <c r="V1972" i="1"/>
  <c r="AC1972" i="1" s="1"/>
  <c r="V1977" i="1"/>
  <c r="AC1977" i="1" s="1"/>
  <c r="V1979" i="1"/>
  <c r="AC1979" i="1" s="1"/>
  <c r="V1973" i="1"/>
  <c r="AC1973" i="1" s="1"/>
  <c r="V1974" i="1"/>
  <c r="AC1974" i="1" s="1"/>
  <c r="V1975" i="1"/>
  <c r="AC1975" i="1" s="1"/>
  <c r="V1976" i="1"/>
  <c r="AC1976" i="1" s="1"/>
  <c r="V1978" i="1"/>
  <c r="AC1978" i="1" s="1"/>
  <c r="V1982" i="1"/>
  <c r="AC1982" i="1" s="1"/>
  <c r="V1981" i="1"/>
  <c r="AC1981" i="1" s="1"/>
  <c r="V1983" i="1"/>
  <c r="AC1983" i="1" s="1"/>
  <c r="V1984" i="1"/>
  <c r="AC1984" i="1" s="1"/>
  <c r="V1986" i="1"/>
  <c r="AC1986" i="1" s="1"/>
  <c r="V1988" i="1"/>
  <c r="AC1988" i="1" s="1"/>
  <c r="V1989" i="1"/>
  <c r="AC1989" i="1" s="1"/>
  <c r="V1987" i="1"/>
  <c r="AC1987" i="1" s="1"/>
  <c r="V1990" i="1"/>
  <c r="AC1990" i="1" s="1"/>
  <c r="V1991" i="1"/>
  <c r="AC1991" i="1" s="1"/>
  <c r="V1992" i="1"/>
  <c r="AC1992" i="1" s="1"/>
  <c r="V1759" i="1"/>
  <c r="AC1759" i="1" s="1"/>
  <c r="V1757" i="1"/>
  <c r="AC1757" i="1" s="1"/>
  <c r="V1754" i="1"/>
  <c r="AC1754" i="1" s="1"/>
  <c r="V1755" i="1"/>
  <c r="AC1755" i="1" s="1"/>
  <c r="V1756" i="1"/>
  <c r="AC1756" i="1" s="1"/>
  <c r="V2018" i="1"/>
  <c r="AC2018" i="1" s="1"/>
  <c r="V1758" i="1"/>
  <c r="AC1758" i="1" s="1"/>
  <c r="V1753" i="1"/>
  <c r="AC1753" i="1" s="1"/>
  <c r="V1752" i="1"/>
  <c r="AC1752" i="1" s="1"/>
  <c r="V1751" i="1"/>
  <c r="AC1751" i="1" s="1"/>
  <c r="V1750" i="1"/>
  <c r="AC1750" i="1" s="1"/>
  <c r="V1747" i="1"/>
  <c r="AC1747" i="1" s="1"/>
  <c r="V1748" i="1"/>
  <c r="AC1748" i="1" s="1"/>
  <c r="V1749" i="1"/>
  <c r="AC1749" i="1" s="1"/>
  <c r="V1746" i="1"/>
  <c r="AC1746" i="1" s="1"/>
  <c r="V1744" i="1"/>
  <c r="AC1744" i="1" s="1"/>
  <c r="V1743" i="1"/>
  <c r="AC1743" i="1" s="1"/>
  <c r="V1742" i="1"/>
  <c r="AC1742" i="1" s="1"/>
  <c r="V1745" i="1"/>
  <c r="AC1745" i="1" s="1"/>
  <c r="V1741" i="1"/>
  <c r="AC1741" i="1" s="1"/>
  <c r="V1740" i="1"/>
  <c r="AC1740" i="1" s="1"/>
  <c r="V1738" i="1"/>
  <c r="AC1738" i="1" s="1"/>
  <c r="V1737" i="1"/>
  <c r="AC1737" i="1" s="1"/>
  <c r="V1735" i="1"/>
  <c r="AC1735" i="1" s="1"/>
  <c r="V1736" i="1"/>
  <c r="AC1736" i="1" s="1"/>
  <c r="V1734" i="1"/>
  <c r="AC1734" i="1" s="1"/>
  <c r="V1732" i="1"/>
  <c r="AC1732" i="1" s="1"/>
  <c r="V1731" i="1"/>
  <c r="AC1731" i="1" s="1"/>
  <c r="V1733" i="1"/>
  <c r="AC1733" i="1" s="1"/>
  <c r="V1730" i="1"/>
  <c r="AC1730" i="1" s="1"/>
  <c r="V1728" i="1"/>
  <c r="AC1728" i="1" s="1"/>
  <c r="V1729" i="1"/>
  <c r="AC1729" i="1" s="1"/>
  <c r="V1727" i="1"/>
  <c r="AC1727" i="1" s="1"/>
  <c r="V1726" i="1"/>
  <c r="AC1726" i="1" s="1"/>
  <c r="V1724" i="1"/>
  <c r="AC1724" i="1" s="1"/>
  <c r="V1723" i="1"/>
  <c r="AC1723" i="1" s="1"/>
  <c r="V1722" i="1"/>
  <c r="AC1722" i="1" s="1"/>
  <c r="V1721" i="1"/>
  <c r="AC1721" i="1" s="1"/>
  <c r="V1720" i="1"/>
  <c r="AC1720" i="1" s="1"/>
  <c r="V1715" i="1"/>
  <c r="AC1715" i="1" s="1"/>
  <c r="V1719" i="1"/>
  <c r="AC1719" i="1" s="1"/>
  <c r="V1717" i="1"/>
  <c r="AC1717" i="1" s="1"/>
  <c r="V1718" i="1"/>
  <c r="AC1718" i="1" s="1"/>
  <c r="V1716" i="1"/>
  <c r="AC1716" i="1" s="1"/>
  <c r="V1714" i="1"/>
  <c r="AC1714" i="1" s="1"/>
  <c r="V1712" i="1"/>
  <c r="AC1712" i="1" s="1"/>
  <c r="V1710" i="1"/>
  <c r="AC1710" i="1" s="1"/>
  <c r="V1708" i="1"/>
  <c r="AC1708" i="1" s="1"/>
  <c r="V1711" i="1"/>
  <c r="AC1711" i="1" s="1"/>
  <c r="V1709" i="1"/>
  <c r="AC1709" i="1" s="1"/>
  <c r="V1707" i="1"/>
  <c r="AC1707" i="1" s="1"/>
  <c r="V1705" i="1"/>
  <c r="AC1705" i="1" s="1"/>
  <c r="V1704" i="1"/>
  <c r="AC1704" i="1" s="1"/>
  <c r="V1703" i="1"/>
  <c r="AC1703" i="1" s="1"/>
  <c r="V1702" i="1"/>
  <c r="AC1702" i="1" s="1"/>
  <c r="V1700" i="1"/>
  <c r="AC1700" i="1" s="1"/>
  <c r="V1701" i="1"/>
  <c r="AC1701" i="1" s="1"/>
  <c r="V1697" i="1"/>
  <c r="AC1697" i="1" s="1"/>
  <c r="V1696" i="1"/>
  <c r="AC1696" i="1" s="1"/>
  <c r="V1698" i="1"/>
  <c r="AC1698" i="1" s="1"/>
  <c r="V1695" i="1"/>
  <c r="AC1695" i="1" s="1"/>
  <c r="V1694" i="1"/>
  <c r="AC1694" i="1" s="1"/>
  <c r="V1993" i="1"/>
  <c r="AC1993" i="1" s="1"/>
  <c r="V1994" i="1"/>
  <c r="AC1994" i="1" s="1"/>
  <c r="V1996" i="1"/>
  <c r="AC1996" i="1" s="1"/>
  <c r="V1995" i="1"/>
  <c r="AC1995" i="1" s="1"/>
  <c r="V6" i="1"/>
  <c r="AC6" i="1" s="1"/>
  <c r="V1998" i="1"/>
  <c r="AC1998" i="1" s="1"/>
  <c r="V2000" i="1"/>
  <c r="AC2000" i="1" s="1"/>
  <c r="V1999" i="1"/>
  <c r="AC1999" i="1" s="1"/>
  <c r="V2001" i="1"/>
  <c r="AC2001" i="1" s="1"/>
  <c r="V2002" i="1"/>
  <c r="AC2002" i="1" s="1"/>
  <c r="V2003" i="1"/>
  <c r="AC2003" i="1" s="1"/>
  <c r="V2004" i="1"/>
  <c r="AC2004" i="1" s="1"/>
  <c r="V2005" i="1"/>
  <c r="AC2005" i="1" s="1"/>
  <c r="V2007" i="1"/>
  <c r="AC2007" i="1" s="1"/>
  <c r="V2006" i="1"/>
  <c r="AC2006" i="1" s="1"/>
  <c r="V2008" i="1"/>
  <c r="AC2008" i="1" s="1"/>
  <c r="V2011" i="1"/>
  <c r="AC2011" i="1" s="1"/>
  <c r="V1693" i="1"/>
  <c r="AC1693" i="1" s="1"/>
  <c r="V1687" i="1"/>
  <c r="AC1687" i="1" s="1"/>
  <c r="V1686" i="1"/>
  <c r="AC1686" i="1" s="1"/>
  <c r="V1689" i="1"/>
  <c r="AC1689" i="1" s="1"/>
  <c r="V1688" i="1"/>
  <c r="AC1688" i="1" s="1"/>
  <c r="V1691" i="1"/>
  <c r="AC1691" i="1" s="1"/>
  <c r="V1690" i="1"/>
  <c r="AC1690" i="1" s="1"/>
  <c r="V1685" i="1"/>
  <c r="AC1685" i="1" s="1"/>
  <c r="V1683" i="1"/>
  <c r="AC1683" i="1" s="1"/>
  <c r="V1679" i="1"/>
  <c r="AC1679" i="1" s="1"/>
  <c r="V1680" i="1"/>
  <c r="AC1680" i="1" s="1"/>
  <c r="V1682" i="1"/>
  <c r="AC1682" i="1" s="1"/>
  <c r="V1681" i="1"/>
  <c r="AC1681" i="1" s="1"/>
  <c r="V1678" i="1"/>
  <c r="AC1678" i="1" s="1"/>
  <c r="V1677" i="1"/>
  <c r="AC1677" i="1" s="1"/>
  <c r="V1676" i="1"/>
  <c r="AC1676" i="1" s="1"/>
  <c r="V1675" i="1"/>
  <c r="AC1675" i="1" s="1"/>
  <c r="V1674" i="1"/>
  <c r="AC1674" i="1" s="1"/>
  <c r="V1670" i="1"/>
  <c r="AC1670" i="1" s="1"/>
  <c r="V1672" i="1"/>
  <c r="AC1672" i="1" s="1"/>
  <c r="V1673" i="1"/>
  <c r="AC1673" i="1" s="1"/>
  <c r="V1671" i="1"/>
  <c r="AC1671" i="1" s="1"/>
  <c r="V1669" i="1"/>
  <c r="AC1669" i="1" s="1"/>
  <c r="V1667" i="1"/>
  <c r="AC1667" i="1" s="1"/>
  <c r="V2010" i="1"/>
  <c r="AC2010" i="1" s="1"/>
  <c r="V2012" i="1"/>
  <c r="AC2012" i="1" s="1"/>
  <c r="V2013" i="1"/>
  <c r="AC2013" i="1" s="1"/>
  <c r="V2014" i="1"/>
  <c r="AC2014" i="1" s="1"/>
  <c r="V2015" i="1"/>
  <c r="AC2015" i="1" s="1"/>
  <c r="V2016" i="1"/>
  <c r="AC2016" i="1" s="1"/>
  <c r="V2017" i="1"/>
  <c r="AC2017" i="1" s="1"/>
  <c r="V2019" i="1"/>
  <c r="AC2019" i="1" s="1"/>
  <c r="V2022" i="1"/>
  <c r="AC2022" i="1" s="1"/>
  <c r="V2021" i="1"/>
  <c r="AC2021" i="1" s="1"/>
  <c r="V2023" i="1"/>
  <c r="AC2023" i="1" s="1"/>
  <c r="V2024" i="1"/>
  <c r="AC2024" i="1" s="1"/>
  <c r="V2025" i="1"/>
  <c r="AC2025" i="1" s="1"/>
  <c r="V2026" i="1"/>
  <c r="AC2026" i="1" s="1"/>
  <c r="V2027" i="1"/>
  <c r="AC2027" i="1" s="1"/>
  <c r="V2028" i="1"/>
  <c r="AC2028" i="1" s="1"/>
  <c r="V2029" i="1"/>
  <c r="AC2029" i="1" s="1"/>
  <c r="V2030" i="1"/>
  <c r="AC2030" i="1" s="1"/>
  <c r="V2032" i="1"/>
  <c r="AC2032" i="1" s="1"/>
  <c r="V2033" i="1"/>
  <c r="AC2033" i="1" s="1"/>
  <c r="V2034" i="1"/>
  <c r="AC2034" i="1" s="1"/>
  <c r="V2035" i="1"/>
  <c r="AC2035" i="1" s="1"/>
  <c r="V2036" i="1"/>
  <c r="AC2036" i="1" s="1"/>
  <c r="V2037" i="1"/>
  <c r="AC2037" i="1" s="1"/>
  <c r="V2038" i="1"/>
  <c r="AC2038" i="1" s="1"/>
  <c r="V2039" i="1"/>
  <c r="AC2039" i="1" s="1"/>
  <c r="V2040" i="1"/>
  <c r="AC2040" i="1" s="1"/>
  <c r="V2043" i="1"/>
  <c r="AC2043" i="1" s="1"/>
  <c r="V2041" i="1"/>
  <c r="AC2041" i="1" s="1"/>
  <c r="V2042" i="1"/>
  <c r="AC2042" i="1" s="1"/>
  <c r="V2044" i="1"/>
  <c r="AC2044" i="1" s="1"/>
  <c r="V2045" i="1"/>
  <c r="AC2045" i="1" s="1"/>
  <c r="V2047" i="1"/>
  <c r="AC2047" i="1" s="1"/>
  <c r="V2046" i="1"/>
  <c r="AC2046" i="1" s="1"/>
  <c r="V2048" i="1"/>
  <c r="AC2048" i="1" s="1"/>
  <c r="V2049" i="1"/>
  <c r="AC2049" i="1" s="1"/>
  <c r="V2050" i="1"/>
  <c r="AC2050" i="1" s="1"/>
  <c r="V2051" i="1"/>
  <c r="AC2051" i="1" s="1"/>
  <c r="V2052" i="1"/>
  <c r="AC2052" i="1" s="1"/>
  <c r="V2053" i="1"/>
  <c r="AC2053" i="1" s="1"/>
  <c r="V2054" i="1"/>
  <c r="AC2054" i="1" s="1"/>
  <c r="V2055" i="1"/>
  <c r="AC2055" i="1" s="1"/>
  <c r="V2056" i="1"/>
  <c r="AC2056" i="1" s="1"/>
  <c r="V2057" i="1"/>
  <c r="AC2057" i="1" s="1"/>
  <c r="V2058" i="1"/>
  <c r="AC2058" i="1" s="1"/>
  <c r="V2059" i="1"/>
  <c r="AC2059" i="1" s="1"/>
  <c r="V2061" i="1"/>
  <c r="AC2061" i="1" s="1"/>
  <c r="V2060" i="1"/>
  <c r="AC2060" i="1" s="1"/>
  <c r="V2389" i="1"/>
  <c r="AC2389" i="1" s="1"/>
  <c r="V2063" i="1"/>
  <c r="AC2063" i="1" s="1"/>
  <c r="V2064" i="1"/>
  <c r="AC2064" i="1" s="1"/>
  <c r="V2065" i="1"/>
  <c r="AC2065" i="1" s="1"/>
  <c r="V2066" i="1"/>
  <c r="AC2066" i="1" s="1"/>
  <c r="V2067" i="1"/>
  <c r="AC2067" i="1" s="1"/>
  <c r="V2069" i="1"/>
  <c r="AC2069" i="1" s="1"/>
  <c r="V2068" i="1"/>
  <c r="AC2068" i="1" s="1"/>
  <c r="V2070" i="1"/>
  <c r="AC2070" i="1" s="1"/>
  <c r="V2073" i="1"/>
  <c r="AC2073" i="1" s="1"/>
  <c r="V2075" i="1"/>
  <c r="AC2075" i="1" s="1"/>
  <c r="V2071" i="1"/>
  <c r="AC2071" i="1" s="1"/>
  <c r="V2072" i="1"/>
  <c r="AC2072" i="1" s="1"/>
  <c r="V2074" i="1"/>
  <c r="AC2074" i="1" s="1"/>
  <c r="V2078" i="1"/>
  <c r="AC2078" i="1" s="1"/>
  <c r="V2077" i="1"/>
  <c r="AC2077" i="1" s="1"/>
  <c r="V2076" i="1"/>
  <c r="AC2076" i="1" s="1"/>
  <c r="V2086" i="1"/>
  <c r="AC2086" i="1" s="1"/>
  <c r="V2081" i="1"/>
  <c r="AC2081" i="1" s="1"/>
  <c r="V2084" i="1"/>
  <c r="AC2084" i="1" s="1"/>
  <c r="V2082" i="1"/>
  <c r="AC2082" i="1" s="1"/>
  <c r="V2080" i="1"/>
  <c r="AC2080" i="1" s="1"/>
  <c r="V2085" i="1"/>
  <c r="AC2085" i="1" s="1"/>
  <c r="V2083" i="1"/>
  <c r="AC2083" i="1" s="1"/>
  <c r="V2087" i="1"/>
  <c r="AC2087" i="1" s="1"/>
  <c r="V2092" i="1"/>
  <c r="AC2092" i="1" s="1"/>
  <c r="V2088" i="1"/>
  <c r="AC2088" i="1" s="1"/>
  <c r="V2091" i="1"/>
  <c r="AC2091" i="1" s="1"/>
  <c r="V2090" i="1"/>
  <c r="AC2090" i="1" s="1"/>
  <c r="V2089" i="1"/>
  <c r="AC2089" i="1" s="1"/>
  <c r="V2094" i="1"/>
  <c r="AC2094" i="1" s="1"/>
  <c r="V2095" i="1"/>
  <c r="AC2095" i="1" s="1"/>
  <c r="V2096" i="1"/>
  <c r="AC2096" i="1" s="1"/>
  <c r="V2097" i="1"/>
  <c r="AC2097" i="1" s="1"/>
  <c r="V2098" i="1"/>
  <c r="AC2098" i="1" s="1"/>
  <c r="V2102" i="1"/>
  <c r="AC2102" i="1" s="1"/>
  <c r="V2101" i="1"/>
  <c r="AC2101" i="1" s="1"/>
  <c r="V2100" i="1"/>
  <c r="AC2100" i="1" s="1"/>
  <c r="V2099" i="1"/>
  <c r="AC2099" i="1" s="1"/>
  <c r="V2105" i="1"/>
  <c r="AC2105" i="1" s="1"/>
  <c r="V2104" i="1"/>
  <c r="AC2104" i="1" s="1"/>
  <c r="V2103" i="1"/>
  <c r="AC2103" i="1" s="1"/>
  <c r="V2106" i="1"/>
  <c r="AC2106" i="1" s="1"/>
  <c r="V2108" i="1"/>
  <c r="AC2108" i="1" s="1"/>
  <c r="V2107" i="1"/>
  <c r="AC2107" i="1" s="1"/>
  <c r="V2109" i="1"/>
  <c r="AC2109" i="1" s="1"/>
  <c r="V2115" i="1"/>
  <c r="AC2115" i="1" s="1"/>
  <c r="V2112" i="1"/>
  <c r="AC2112" i="1" s="1"/>
  <c r="V2114" i="1"/>
  <c r="AC2114" i="1" s="1"/>
  <c r="V2110" i="1"/>
  <c r="AC2110" i="1" s="1"/>
  <c r="V2116" i="1"/>
  <c r="AC2116" i="1" s="1"/>
  <c r="V2113" i="1"/>
  <c r="AC2113" i="1" s="1"/>
  <c r="V2111" i="1"/>
  <c r="AC2111" i="1" s="1"/>
  <c r="V2117" i="1"/>
  <c r="AC2117" i="1" s="1"/>
  <c r="V2118" i="1"/>
  <c r="AC2118" i="1" s="1"/>
  <c r="V2120" i="1"/>
  <c r="AC2120" i="1" s="1"/>
  <c r="V2119" i="1"/>
  <c r="AC2119" i="1" s="1"/>
  <c r="V2122" i="1"/>
  <c r="AC2122" i="1" s="1"/>
  <c r="V2121" i="1"/>
  <c r="AC2121" i="1" s="1"/>
  <c r="V2124" i="1"/>
  <c r="AC2124" i="1" s="1"/>
  <c r="V2126" i="1"/>
  <c r="AC2126" i="1" s="1"/>
  <c r="V2125" i="1"/>
  <c r="AC2125" i="1" s="1"/>
  <c r="V2127" i="1"/>
  <c r="AC2127" i="1" s="1"/>
  <c r="V2128" i="1"/>
  <c r="AC2128" i="1" s="1"/>
  <c r="V2129" i="1"/>
  <c r="AC2129" i="1" s="1"/>
  <c r="V2130" i="1"/>
  <c r="AC2130" i="1" s="1"/>
  <c r="V2133" i="1"/>
  <c r="AC2133" i="1" s="1"/>
  <c r="V2134" i="1"/>
  <c r="AC2134" i="1" s="1"/>
  <c r="V2135" i="1"/>
  <c r="AC2135" i="1" s="1"/>
  <c r="V2136" i="1"/>
  <c r="AC2136" i="1" s="1"/>
  <c r="V2137" i="1"/>
  <c r="AC2137" i="1" s="1"/>
  <c r="V2138" i="1"/>
  <c r="AC2138" i="1" s="1"/>
  <c r="V2139" i="1"/>
  <c r="AC2139" i="1" s="1"/>
  <c r="V2143" i="1"/>
  <c r="AC2143" i="1" s="1"/>
  <c r="V2141" i="1"/>
  <c r="AC2141" i="1" s="1"/>
  <c r="V2142" i="1"/>
  <c r="AC2142" i="1" s="1"/>
  <c r="V2140" i="1"/>
  <c r="AC2140" i="1" s="1"/>
  <c r="V2145" i="1"/>
  <c r="AC2145" i="1" s="1"/>
  <c r="V2144" i="1"/>
  <c r="AC2144" i="1" s="1"/>
  <c r="V2147" i="1"/>
  <c r="AC2147" i="1" s="1"/>
  <c r="V2149" i="1"/>
  <c r="AC2149" i="1" s="1"/>
  <c r="V2148" i="1"/>
  <c r="AC2148" i="1" s="1"/>
  <c r="V2146" i="1"/>
  <c r="AC2146" i="1" s="1"/>
  <c r="V2150" i="1"/>
  <c r="AC2150" i="1" s="1"/>
  <c r="V2151" i="1"/>
  <c r="AC2151" i="1" s="1"/>
  <c r="V2153" i="1"/>
  <c r="AC2153" i="1" s="1"/>
  <c r="V2156" i="1"/>
  <c r="AC2156" i="1" s="1"/>
  <c r="V2154" i="1"/>
  <c r="AC2154" i="1" s="1"/>
  <c r="V2152" i="1"/>
  <c r="AC2152" i="1" s="1"/>
  <c r="V2155" i="1"/>
  <c r="AC2155" i="1" s="1"/>
  <c r="V2159" i="1"/>
  <c r="AC2159" i="1" s="1"/>
  <c r="V2158" i="1"/>
  <c r="AC2158" i="1" s="1"/>
  <c r="V2161" i="1"/>
  <c r="AC2161" i="1" s="1"/>
  <c r="V2160" i="1"/>
  <c r="AC2160" i="1" s="1"/>
  <c r="V2162" i="1"/>
  <c r="AC2162" i="1" s="1"/>
  <c r="V2401" i="1"/>
  <c r="AC2401" i="1" s="1"/>
  <c r="V2164" i="1"/>
  <c r="AC2164" i="1" s="1"/>
  <c r="V2402" i="1"/>
  <c r="AC2402" i="1" s="1"/>
  <c r="V2163" i="1"/>
  <c r="AC2163" i="1" s="1"/>
  <c r="V2167" i="1"/>
  <c r="AC2167" i="1" s="1"/>
  <c r="V2166" i="1"/>
  <c r="AC2166" i="1" s="1"/>
  <c r="V2168" i="1"/>
  <c r="AC2168" i="1" s="1"/>
  <c r="V2169" i="1"/>
  <c r="AC2169" i="1" s="1"/>
  <c r="V2170" i="1"/>
  <c r="AC2170" i="1" s="1"/>
  <c r="V2171" i="1"/>
  <c r="AC2171" i="1" s="1"/>
  <c r="V2172" i="1"/>
  <c r="AC2172" i="1" s="1"/>
  <c r="V2174" i="1"/>
  <c r="AC2174" i="1" s="1"/>
  <c r="V2173" i="1"/>
  <c r="AC2173" i="1" s="1"/>
  <c r="V2176" i="1"/>
  <c r="AC2176" i="1" s="1"/>
  <c r="V2175" i="1"/>
  <c r="AC2175" i="1" s="1"/>
  <c r="V2177" i="1"/>
  <c r="AC2177" i="1" s="1"/>
  <c r="V2183" i="1"/>
  <c r="AC2183" i="1" s="1"/>
  <c r="V2181" i="1"/>
  <c r="AC2181" i="1" s="1"/>
  <c r="V2182" i="1"/>
  <c r="AC2182" i="1" s="1"/>
  <c r="V2178" i="1"/>
  <c r="AC2178" i="1" s="1"/>
  <c r="V2180" i="1"/>
  <c r="AC2180" i="1" s="1"/>
  <c r="V2179" i="1"/>
  <c r="AC2179" i="1" s="1"/>
  <c r="V2184" i="1"/>
  <c r="AC2184" i="1" s="1"/>
  <c r="V2186" i="1"/>
  <c r="AC2186" i="1" s="1"/>
  <c r="V2187" i="1"/>
  <c r="AC2187" i="1" s="1"/>
  <c r="V2190" i="1"/>
  <c r="AC2190" i="1" s="1"/>
  <c r="V2188" i="1"/>
  <c r="AC2188" i="1" s="1"/>
  <c r="V2189" i="1"/>
  <c r="AC2189" i="1" s="1"/>
  <c r="V2191" i="1"/>
  <c r="AC2191" i="1" s="1"/>
  <c r="V2192" i="1"/>
  <c r="AC2192" i="1" s="1"/>
  <c r="V2193" i="1"/>
  <c r="AC2193" i="1" s="1"/>
  <c r="V2194" i="1"/>
  <c r="AC2194" i="1" s="1"/>
  <c r="V2195" i="1"/>
  <c r="AC2195" i="1" s="1"/>
  <c r="V2197" i="1"/>
  <c r="AC2197" i="1" s="1"/>
  <c r="V2196" i="1"/>
  <c r="AC2196" i="1" s="1"/>
  <c r="V2198" i="1"/>
  <c r="AC2198" i="1" s="1"/>
  <c r="V7" i="1"/>
  <c r="AC7" i="1" s="1"/>
  <c r="V2200" i="1"/>
  <c r="AC2200" i="1" s="1"/>
  <c r="V2202" i="1"/>
  <c r="AC2202" i="1" s="1"/>
  <c r="V2201" i="1"/>
  <c r="AC2201" i="1" s="1"/>
  <c r="V2204" i="1"/>
  <c r="AC2204" i="1" s="1"/>
  <c r="V2208" i="1"/>
  <c r="AC2208" i="1" s="1"/>
  <c r="V2205" i="1"/>
  <c r="AC2205" i="1" s="1"/>
  <c r="V2206" i="1"/>
  <c r="AC2206" i="1" s="1"/>
  <c r="V2207" i="1"/>
  <c r="AC2207" i="1" s="1"/>
  <c r="V2210" i="1"/>
  <c r="AC2210" i="1" s="1"/>
  <c r="V2211" i="1"/>
  <c r="AC2211" i="1" s="1"/>
  <c r="V2209" i="1"/>
  <c r="AC2209" i="1" s="1"/>
  <c r="V2212" i="1"/>
  <c r="AC2212" i="1" s="1"/>
  <c r="V2213" i="1"/>
  <c r="AC2213" i="1" s="1"/>
  <c r="V2215" i="1"/>
  <c r="AC2215" i="1" s="1"/>
  <c r="V2214" i="1"/>
  <c r="AC2214" i="1" s="1"/>
  <c r="V2217" i="1"/>
  <c r="AC2217" i="1" s="1"/>
  <c r="V2216" i="1"/>
  <c r="AC2216" i="1" s="1"/>
  <c r="V2218" i="1"/>
  <c r="AC2218" i="1" s="1"/>
  <c r="V2220" i="1"/>
  <c r="AC2220" i="1" s="1"/>
  <c r="V2219" i="1"/>
  <c r="AC2219" i="1" s="1"/>
  <c r="V2221" i="1"/>
  <c r="AC2221" i="1" s="1"/>
  <c r="V2223" i="1"/>
  <c r="AC2223" i="1" s="1"/>
  <c r="V2222" i="1"/>
  <c r="AC2222" i="1" s="1"/>
  <c r="V2224" i="1"/>
  <c r="AC2224" i="1" s="1"/>
  <c r="V2225" i="1"/>
  <c r="AC2225" i="1" s="1"/>
  <c r="V2227" i="1"/>
  <c r="AC2227" i="1" s="1"/>
  <c r="V2226" i="1"/>
  <c r="AC2226" i="1" s="1"/>
  <c r="V2229" i="1"/>
  <c r="AC2229" i="1" s="1"/>
  <c r="V2230" i="1"/>
  <c r="AC2230" i="1" s="1"/>
  <c r="V2231" i="1"/>
  <c r="AC2231" i="1" s="1"/>
  <c r="V2233" i="1"/>
  <c r="AC2233" i="1" s="1"/>
  <c r="V2235" i="1"/>
  <c r="AC2235" i="1" s="1"/>
  <c r="V2234" i="1"/>
  <c r="AC2234" i="1" s="1"/>
  <c r="V2236" i="1"/>
  <c r="AC2236" i="1" s="1"/>
  <c r="V2237" i="1"/>
  <c r="AC2237" i="1" s="1"/>
  <c r="V2240" i="1"/>
  <c r="AC2240" i="1" s="1"/>
  <c r="V2238" i="1"/>
  <c r="AC2238" i="1" s="1"/>
  <c r="V2241" i="1"/>
  <c r="AC2241" i="1" s="1"/>
  <c r="V2239" i="1"/>
  <c r="AC2239" i="1" s="1"/>
  <c r="V2243" i="1"/>
  <c r="AC2243" i="1" s="1"/>
  <c r="V2245" i="1"/>
  <c r="AC2245" i="1" s="1"/>
  <c r="V2244" i="1"/>
  <c r="AC2244" i="1" s="1"/>
  <c r="V2246" i="1"/>
  <c r="AC2246" i="1" s="1"/>
  <c r="V2247" i="1"/>
  <c r="AC2247" i="1" s="1"/>
  <c r="V2248" i="1"/>
  <c r="AC2248" i="1" s="1"/>
  <c r="V2250" i="1"/>
  <c r="AC2250" i="1" s="1"/>
  <c r="V2249" i="1"/>
  <c r="AC2249" i="1" s="1"/>
  <c r="V2251" i="1"/>
  <c r="AC2251" i="1" s="1"/>
  <c r="V2253" i="1"/>
  <c r="AC2253" i="1" s="1"/>
  <c r="V2252" i="1"/>
  <c r="AC2252" i="1" s="1"/>
  <c r="V2254" i="1"/>
  <c r="AC2254" i="1" s="1"/>
  <c r="V2255" i="1"/>
  <c r="AC2255" i="1" s="1"/>
  <c r="V2257" i="1"/>
  <c r="AC2257" i="1" s="1"/>
  <c r="V2256" i="1"/>
  <c r="AC2256" i="1" s="1"/>
  <c r="V2259" i="1"/>
  <c r="AC2259" i="1" s="1"/>
  <c r="V2258" i="1"/>
  <c r="AC2258" i="1" s="1"/>
  <c r="V2261" i="1"/>
  <c r="AC2261" i="1" s="1"/>
  <c r="V2260" i="1"/>
  <c r="AC2260" i="1" s="1"/>
  <c r="V2262" i="1"/>
  <c r="AC2262" i="1" s="1"/>
  <c r="V2265" i="1"/>
  <c r="AC2265" i="1" s="1"/>
  <c r="V2264" i="1"/>
  <c r="AC2264" i="1" s="1"/>
  <c r="V2268" i="1"/>
  <c r="AC2268" i="1" s="1"/>
  <c r="V2267" i="1"/>
  <c r="AC2267" i="1" s="1"/>
  <c r="V2266" i="1"/>
  <c r="AC2266" i="1" s="1"/>
  <c r="V2269" i="1"/>
  <c r="AC2269" i="1" s="1"/>
  <c r="V2273" i="1"/>
  <c r="AC2273" i="1" s="1"/>
  <c r="V2274" i="1"/>
  <c r="AC2274" i="1" s="1"/>
  <c r="V2272" i="1"/>
  <c r="AC2272" i="1" s="1"/>
  <c r="V2271" i="1"/>
  <c r="AC2271" i="1" s="1"/>
  <c r="V2270" i="1"/>
  <c r="AC2270" i="1" s="1"/>
  <c r="V2275" i="1"/>
  <c r="AC2275" i="1" s="1"/>
  <c r="V2276" i="1"/>
  <c r="AC2276" i="1" s="1"/>
  <c r="V2277" i="1"/>
  <c r="AC2277" i="1" s="1"/>
  <c r="V2278" i="1"/>
  <c r="AC2278" i="1" s="1"/>
  <c r="V2279" i="1"/>
  <c r="AC2279" i="1" s="1"/>
  <c r="V2280" i="1"/>
  <c r="AC2280" i="1" s="1"/>
  <c r="V2281" i="1"/>
  <c r="AC2281" i="1" s="1"/>
  <c r="V2282" i="1"/>
  <c r="AC2282" i="1" s="1"/>
  <c r="V2284" i="1"/>
  <c r="AC2284" i="1" s="1"/>
  <c r="V2283" i="1"/>
  <c r="AC2283" i="1" s="1"/>
  <c r="V2286" i="1"/>
  <c r="AC2286" i="1" s="1"/>
  <c r="V2287" i="1"/>
  <c r="AC2287" i="1" s="1"/>
  <c r="V2290" i="1"/>
  <c r="AC2290" i="1" s="1"/>
  <c r="V2289" i="1"/>
  <c r="AC2289" i="1" s="1"/>
  <c r="V2288" i="1"/>
  <c r="AC2288" i="1" s="1"/>
  <c r="V2293" i="1"/>
  <c r="AC2293" i="1" s="1"/>
  <c r="V2291" i="1"/>
  <c r="AC2291" i="1" s="1"/>
  <c r="V2292" i="1"/>
  <c r="AC2292" i="1" s="1"/>
  <c r="V2294" i="1"/>
  <c r="AC2294" i="1" s="1"/>
  <c r="V2295" i="1"/>
  <c r="AC2295" i="1" s="1"/>
  <c r="V2297" i="1"/>
  <c r="AC2297" i="1" s="1"/>
  <c r="V2296" i="1"/>
  <c r="AC2296" i="1" s="1"/>
  <c r="V2298" i="1"/>
  <c r="AC2298" i="1" s="1"/>
  <c r="V2299" i="1"/>
  <c r="AC2299" i="1" s="1"/>
  <c r="V2300" i="1"/>
  <c r="AC2300" i="1" s="1"/>
  <c r="V2302" i="1"/>
  <c r="AC2302" i="1" s="1"/>
  <c r="V2301" i="1"/>
  <c r="AC2301" i="1" s="1"/>
  <c r="V2303" i="1"/>
  <c r="AC2303" i="1" s="1"/>
  <c r="V2304" i="1"/>
  <c r="AC2304" i="1" s="1"/>
  <c r="V2305" i="1"/>
  <c r="AC2305" i="1" s="1"/>
  <c r="V2310" i="1"/>
  <c r="AC2310" i="1" s="1"/>
  <c r="V2312" i="1"/>
  <c r="AC2312" i="1" s="1"/>
  <c r="V2311" i="1"/>
  <c r="AC2311" i="1" s="1"/>
  <c r="V2307" i="1"/>
  <c r="AC2307" i="1" s="1"/>
  <c r="V2309" i="1"/>
  <c r="AC2309" i="1" s="1"/>
  <c r="V2308" i="1"/>
  <c r="AC2308" i="1" s="1"/>
  <c r="V2419" i="1"/>
  <c r="AC2419" i="1" s="1"/>
  <c r="V2313" i="1"/>
  <c r="AC2313" i="1" s="1"/>
  <c r="V2314" i="1"/>
  <c r="AC2314" i="1" s="1"/>
  <c r="V2316" i="1"/>
  <c r="AC2316" i="1" s="1"/>
  <c r="V2317" i="1"/>
  <c r="AC2317" i="1" s="1"/>
  <c r="V2318" i="1"/>
  <c r="AC2318" i="1" s="1"/>
  <c r="V2319" i="1"/>
  <c r="AC2319" i="1" s="1"/>
  <c r="V2320" i="1"/>
  <c r="AC2320" i="1" s="1"/>
  <c r="V2321" i="1"/>
  <c r="AC2321" i="1" s="1"/>
  <c r="V2322" i="1"/>
  <c r="AC2322" i="1" s="1"/>
  <c r="V2324" i="1"/>
  <c r="AC2324" i="1" s="1"/>
  <c r="V2325" i="1"/>
  <c r="AC2325" i="1" s="1"/>
  <c r="V2328" i="1"/>
  <c r="AC2328" i="1" s="1"/>
  <c r="V2326" i="1"/>
  <c r="AC2326" i="1" s="1"/>
  <c r="V2327" i="1"/>
  <c r="AC2327" i="1" s="1"/>
  <c r="V2330" i="1"/>
  <c r="AC2330" i="1" s="1"/>
  <c r="V2329" i="1"/>
  <c r="AC2329" i="1" s="1"/>
  <c r="V2423" i="1"/>
  <c r="AC2423" i="1" s="1"/>
  <c r="V2334" i="1"/>
  <c r="AC2334" i="1" s="1"/>
  <c r="V2333" i="1"/>
  <c r="AC2333" i="1" s="1"/>
  <c r="V2332" i="1"/>
  <c r="AC2332" i="1" s="1"/>
  <c r="V2335" i="1"/>
  <c r="AC2335" i="1" s="1"/>
  <c r="V2336" i="1"/>
  <c r="AC2336" i="1" s="1"/>
  <c r="V2337" i="1"/>
  <c r="AC2337" i="1" s="1"/>
  <c r="V2338" i="1"/>
  <c r="AC2338" i="1" s="1"/>
  <c r="V2341" i="1"/>
  <c r="AC2341" i="1" s="1"/>
  <c r="V2339" i="1"/>
  <c r="AC2339" i="1" s="1"/>
  <c r="V2340" i="1"/>
  <c r="AC2340" i="1" s="1"/>
  <c r="V2342" i="1"/>
  <c r="AC2342" i="1" s="1"/>
  <c r="V2343" i="1"/>
  <c r="AC2343" i="1" s="1"/>
  <c r="V2346" i="1"/>
  <c r="AC2346" i="1" s="1"/>
  <c r="V2345" i="1"/>
  <c r="AC2345" i="1" s="1"/>
  <c r="V2348" i="1"/>
  <c r="AC2348" i="1" s="1"/>
  <c r="V2347" i="1"/>
  <c r="AC2347" i="1" s="1"/>
  <c r="V2349" i="1"/>
  <c r="AC2349" i="1" s="1"/>
  <c r="V2351" i="1"/>
  <c r="AC2351" i="1" s="1"/>
  <c r="V2353" i="1"/>
  <c r="AC2353" i="1" s="1"/>
  <c r="V2352" i="1"/>
  <c r="AC2352" i="1" s="1"/>
  <c r="V2350" i="1"/>
  <c r="AC2350" i="1" s="1"/>
  <c r="V2355" i="1"/>
  <c r="AC2355" i="1" s="1"/>
  <c r="V2354" i="1"/>
  <c r="AC2354" i="1" s="1"/>
  <c r="V2356" i="1"/>
  <c r="AC2356" i="1" s="1"/>
  <c r="V2358" i="1"/>
  <c r="AC2358" i="1" s="1"/>
  <c r="V2360" i="1"/>
  <c r="AC2360" i="1" s="1"/>
  <c r="V2359" i="1"/>
  <c r="AC2359" i="1" s="1"/>
  <c r="V2361" i="1"/>
  <c r="AC2361" i="1" s="1"/>
  <c r="V2363" i="1"/>
  <c r="AC2363" i="1" s="1"/>
  <c r="V2362" i="1"/>
  <c r="AC2362" i="1" s="1"/>
  <c r="V2365" i="1"/>
  <c r="AC2365" i="1" s="1"/>
  <c r="V2366" i="1"/>
  <c r="AC2366" i="1" s="1"/>
  <c r="V2367" i="1"/>
  <c r="AC2367" i="1" s="1"/>
  <c r="V2370" i="1"/>
  <c r="AC2370" i="1" s="1"/>
  <c r="V2368" i="1"/>
  <c r="AC2368" i="1" s="1"/>
  <c r="V2369" i="1"/>
  <c r="AC2369" i="1" s="1"/>
  <c r="V2372" i="1"/>
  <c r="AC2372" i="1" s="1"/>
  <c r="V2371" i="1"/>
  <c r="AC2371" i="1" s="1"/>
  <c r="V2373" i="1"/>
  <c r="AC2373" i="1" s="1"/>
  <c r="V2374" i="1"/>
  <c r="AC2374" i="1" s="1"/>
  <c r="V2375" i="1"/>
  <c r="AC2375" i="1" s="1"/>
  <c r="V2376" i="1"/>
  <c r="AC2376" i="1" s="1"/>
  <c r="V2377" i="1"/>
  <c r="AC2377" i="1" s="1"/>
  <c r="V2378" i="1"/>
  <c r="AC2378" i="1" s="1"/>
  <c r="V2379" i="1"/>
  <c r="AC2379" i="1" s="1"/>
  <c r="V2380" i="1"/>
  <c r="AC2380" i="1" s="1"/>
  <c r="V2381" i="1"/>
  <c r="AC2381" i="1" s="1"/>
  <c r="V2382" i="1"/>
  <c r="AC2382" i="1" s="1"/>
  <c r="V2384" i="1"/>
  <c r="AC2384" i="1" s="1"/>
  <c r="V2386" i="1"/>
  <c r="AC2386" i="1" s="1"/>
  <c r="V2387" i="1"/>
  <c r="AC2387" i="1" s="1"/>
  <c r="V2388" i="1"/>
  <c r="AC2388" i="1" s="1"/>
  <c r="V2390" i="1"/>
  <c r="AC2390" i="1" s="1"/>
  <c r="V2391" i="1"/>
  <c r="AC2391" i="1" s="1"/>
  <c r="V2392" i="1"/>
  <c r="AC2392" i="1" s="1"/>
  <c r="V2394" i="1"/>
  <c r="AC2394" i="1" s="1"/>
  <c r="V2393" i="1"/>
  <c r="AC2393" i="1" s="1"/>
  <c r="V2395" i="1"/>
  <c r="AC2395" i="1" s="1"/>
  <c r="V2396" i="1"/>
  <c r="AC2396" i="1" s="1"/>
  <c r="V2397" i="1"/>
  <c r="AC2397" i="1" s="1"/>
  <c r="V2398" i="1"/>
  <c r="AC2398" i="1" s="1"/>
  <c r="V2399" i="1"/>
  <c r="AC2399" i="1" s="1"/>
  <c r="V2400" i="1"/>
  <c r="AC2400" i="1" s="1"/>
  <c r="V2403" i="1"/>
  <c r="AC2403" i="1" s="1"/>
  <c r="V2404" i="1"/>
  <c r="AC2404" i="1" s="1"/>
  <c r="V2405" i="1"/>
  <c r="AC2405" i="1" s="1"/>
  <c r="V2406" i="1"/>
  <c r="AC2406" i="1" s="1"/>
  <c r="V2407" i="1"/>
  <c r="AC2407" i="1" s="1"/>
  <c r="V2408" i="1"/>
  <c r="AC2408" i="1" s="1"/>
  <c r="V2409" i="1"/>
  <c r="AC2409" i="1" s="1"/>
  <c r="V2410" i="1"/>
  <c r="AC2410" i="1" s="1"/>
  <c r="V2411" i="1"/>
  <c r="AC2411" i="1" s="1"/>
  <c r="V2412" i="1"/>
  <c r="AC2412" i="1" s="1"/>
  <c r="V2413" i="1"/>
  <c r="AC2413" i="1" s="1"/>
  <c r="V2414" i="1"/>
  <c r="AC2414" i="1" s="1"/>
  <c r="V2415" i="1"/>
  <c r="AC2415" i="1" s="1"/>
  <c r="V2416" i="1"/>
  <c r="AC2416" i="1" s="1"/>
  <c r="V2417" i="1"/>
  <c r="AC2417" i="1" s="1"/>
  <c r="V2418" i="1"/>
  <c r="AC2418" i="1" s="1"/>
  <c r="V2420" i="1"/>
  <c r="AC2420" i="1" s="1"/>
  <c r="V2421" i="1"/>
  <c r="AC2421" i="1" s="1"/>
  <c r="V2422" i="1"/>
  <c r="AC2422" i="1" s="1"/>
  <c r="V2424" i="1"/>
  <c r="AC2424" i="1" s="1"/>
  <c r="V2425" i="1"/>
  <c r="AC2425" i="1" s="1"/>
  <c r="V2427" i="1"/>
  <c r="AC2427" i="1" s="1"/>
  <c r="V2426" i="1"/>
  <c r="AC2426" i="1" s="1"/>
  <c r="V2428" i="1"/>
  <c r="AC2428" i="1" s="1"/>
  <c r="V2429" i="1"/>
  <c r="AC2429" i="1" s="1"/>
  <c r="V2430" i="1"/>
  <c r="AC2430" i="1" s="1"/>
  <c r="V2431" i="1"/>
  <c r="AC2431" i="1" s="1"/>
  <c r="V2432" i="1"/>
  <c r="AC2432" i="1" s="1"/>
  <c r="V2433" i="1"/>
  <c r="AC2433" i="1" s="1"/>
  <c r="V2434" i="1"/>
  <c r="AC2434" i="1" s="1"/>
  <c r="V2435" i="1"/>
  <c r="AC2435" i="1" s="1"/>
  <c r="V2437" i="1"/>
  <c r="AC2437" i="1" s="1"/>
  <c r="V2438" i="1"/>
  <c r="AC2438" i="1" s="1"/>
  <c r="V2439" i="1"/>
  <c r="AC2439" i="1" s="1"/>
  <c r="V2440" i="1"/>
  <c r="AC2440" i="1" s="1"/>
  <c r="V2441" i="1"/>
  <c r="AC2441" i="1" s="1"/>
  <c r="V2444" i="1"/>
  <c r="AC2444" i="1" s="1"/>
  <c r="V2443" i="1"/>
  <c r="AC2443" i="1" s="1"/>
  <c r="V2442" i="1"/>
  <c r="AC2442" i="1" s="1"/>
  <c r="V8" i="1"/>
  <c r="AC8" i="1" s="1"/>
  <c r="V2447" i="1"/>
  <c r="AC2447" i="1" s="1"/>
  <c r="V2448" i="1"/>
  <c r="AC2448" i="1" s="1"/>
  <c r="V2449" i="1"/>
  <c r="AC2449" i="1" s="1"/>
  <c r="V2451" i="1"/>
  <c r="AC2451" i="1" s="1"/>
  <c r="V2450" i="1"/>
  <c r="AC2450" i="1" s="1"/>
  <c r="V2452" i="1"/>
  <c r="AC2452" i="1" s="1"/>
  <c r="V2738" i="1"/>
  <c r="AC2738" i="1" s="1"/>
  <c r="V2454" i="1"/>
  <c r="AC2454" i="1" s="1"/>
  <c r="V2456" i="1"/>
  <c r="AC2456" i="1" s="1"/>
  <c r="V2457" i="1"/>
  <c r="AC2457" i="1" s="1"/>
  <c r="V2458" i="1"/>
  <c r="AC2458" i="1" s="1"/>
  <c r="V2459" i="1"/>
  <c r="AC2459" i="1" s="1"/>
  <c r="V2460" i="1"/>
  <c r="AC2460" i="1" s="1"/>
  <c r="V2462" i="1"/>
  <c r="AC2462" i="1" s="1"/>
  <c r="V2461" i="1"/>
  <c r="AC2461" i="1" s="1"/>
  <c r="V2463" i="1"/>
  <c r="AC2463" i="1" s="1"/>
  <c r="V2464" i="1"/>
  <c r="AC2464" i="1" s="1"/>
  <c r="V2465" i="1"/>
  <c r="AC2465" i="1" s="1"/>
  <c r="V2468" i="1"/>
  <c r="AC2468" i="1" s="1"/>
  <c r="V2466" i="1"/>
  <c r="AC2466" i="1" s="1"/>
  <c r="V2467" i="1"/>
  <c r="AC2467" i="1" s="1"/>
  <c r="V2469" i="1"/>
  <c r="AC2469" i="1" s="1"/>
  <c r="V2470" i="1"/>
  <c r="AC2470" i="1" s="1"/>
  <c r="V2471" i="1"/>
  <c r="AC2471" i="1" s="1"/>
  <c r="V2473" i="1"/>
  <c r="AC2473" i="1" s="1"/>
  <c r="V2472" i="1"/>
  <c r="AC2472" i="1" s="1"/>
  <c r="V2474" i="1"/>
  <c r="AC2474" i="1" s="1"/>
  <c r="V2475" i="1"/>
  <c r="AC2475" i="1" s="1"/>
  <c r="V2476" i="1"/>
  <c r="AC2476" i="1" s="1"/>
  <c r="V2478" i="1"/>
  <c r="AC2478" i="1" s="1"/>
  <c r="V2477" i="1"/>
  <c r="AC2477" i="1" s="1"/>
  <c r="V2479" i="1"/>
  <c r="AC2479" i="1" s="1"/>
  <c r="V2480" i="1"/>
  <c r="AC2480" i="1" s="1"/>
  <c r="V2481" i="1"/>
  <c r="AC2481" i="1" s="1"/>
  <c r="V2482" i="1"/>
  <c r="AC2482" i="1" s="1"/>
  <c r="V2483" i="1"/>
  <c r="AC2483" i="1" s="1"/>
  <c r="V2487" i="1"/>
  <c r="AC2487" i="1" s="1"/>
  <c r="V2486" i="1"/>
  <c r="AC2486" i="1" s="1"/>
  <c r="V2484" i="1"/>
  <c r="AC2484" i="1" s="1"/>
  <c r="V2488" i="1"/>
  <c r="AC2488" i="1" s="1"/>
  <c r="V2490" i="1"/>
  <c r="AC2490" i="1" s="1"/>
  <c r="V2489" i="1"/>
  <c r="AC2489" i="1" s="1"/>
  <c r="V2493" i="1"/>
  <c r="AC2493" i="1" s="1"/>
  <c r="V2492" i="1"/>
  <c r="AC2492" i="1" s="1"/>
  <c r="V2491" i="1"/>
  <c r="AC2491" i="1" s="1"/>
  <c r="V2496" i="1"/>
  <c r="AC2496" i="1" s="1"/>
  <c r="V2499" i="1"/>
  <c r="AC2499" i="1" s="1"/>
  <c r="V2497" i="1"/>
  <c r="AC2497" i="1" s="1"/>
  <c r="V2498" i="1"/>
  <c r="AC2498" i="1" s="1"/>
  <c r="V2500" i="1"/>
  <c r="AC2500" i="1" s="1"/>
  <c r="V2501" i="1"/>
  <c r="AC2501" i="1" s="1"/>
  <c r="V2504" i="1"/>
  <c r="AC2504" i="1" s="1"/>
  <c r="V2503" i="1"/>
  <c r="AC2503" i="1" s="1"/>
  <c r="V2502" i="1"/>
  <c r="AC2502" i="1" s="1"/>
  <c r="V2506" i="1"/>
  <c r="AC2506" i="1" s="1"/>
  <c r="V2507" i="1"/>
  <c r="AC2507" i="1" s="1"/>
  <c r="V2505" i="1"/>
  <c r="AC2505" i="1" s="1"/>
  <c r="V2508" i="1"/>
  <c r="AC2508" i="1" s="1"/>
  <c r="V2509" i="1"/>
  <c r="AC2509" i="1" s="1"/>
  <c r="V2510" i="1"/>
  <c r="AC2510" i="1" s="1"/>
  <c r="V2511" i="1"/>
  <c r="AC2511" i="1" s="1"/>
  <c r="V2515" i="1"/>
  <c r="AC2515" i="1" s="1"/>
  <c r="V2512" i="1"/>
  <c r="AC2512" i="1" s="1"/>
  <c r="V2513" i="1"/>
  <c r="AC2513" i="1" s="1"/>
  <c r="V2514" i="1"/>
  <c r="AC2514" i="1" s="1"/>
  <c r="V2520" i="1"/>
  <c r="AC2520" i="1" s="1"/>
  <c r="V2519" i="1"/>
  <c r="AC2519" i="1" s="1"/>
  <c r="V2516" i="1"/>
  <c r="AC2516" i="1" s="1"/>
  <c r="V2518" i="1"/>
  <c r="AC2518" i="1" s="1"/>
  <c r="V2521" i="1"/>
  <c r="AC2521" i="1" s="1"/>
  <c r="V2517" i="1"/>
  <c r="AC2517" i="1" s="1"/>
  <c r="V2523" i="1"/>
  <c r="AC2523" i="1" s="1"/>
  <c r="V2524" i="1"/>
  <c r="AC2524" i="1" s="1"/>
  <c r="V2522" i="1"/>
  <c r="AC2522" i="1" s="1"/>
  <c r="V2525" i="1"/>
  <c r="AC2525" i="1" s="1"/>
  <c r="V2527" i="1"/>
  <c r="AC2527" i="1" s="1"/>
  <c r="V2526" i="1"/>
  <c r="AC2526" i="1" s="1"/>
  <c r="V2530" i="1"/>
  <c r="AC2530" i="1" s="1"/>
  <c r="V2529" i="1"/>
  <c r="AC2529" i="1" s="1"/>
  <c r="V2531" i="1"/>
  <c r="AC2531" i="1" s="1"/>
  <c r="V2532" i="1"/>
  <c r="AC2532" i="1" s="1"/>
  <c r="V2533" i="1"/>
  <c r="AC2533" i="1" s="1"/>
  <c r="V2534" i="1"/>
  <c r="AC2534" i="1" s="1"/>
  <c r="V2535" i="1"/>
  <c r="AC2535" i="1" s="1"/>
  <c r="V2536" i="1"/>
  <c r="AC2536" i="1" s="1"/>
  <c r="V2539" i="1"/>
  <c r="AC2539" i="1" s="1"/>
  <c r="V2537" i="1"/>
  <c r="AC2537" i="1" s="1"/>
  <c r="V2538" i="1"/>
  <c r="AC2538" i="1" s="1"/>
  <c r="V2540" i="1"/>
  <c r="AC2540" i="1" s="1"/>
  <c r="V2541" i="1"/>
  <c r="AC2541" i="1" s="1"/>
  <c r="V2542" i="1"/>
  <c r="AC2542" i="1" s="1"/>
  <c r="V2544" i="1"/>
  <c r="AC2544" i="1" s="1"/>
  <c r="V2543" i="1"/>
  <c r="AC2543" i="1" s="1"/>
  <c r="V2545" i="1"/>
  <c r="AC2545" i="1" s="1"/>
  <c r="V2546" i="1"/>
  <c r="AC2546" i="1" s="1"/>
  <c r="V2548" i="1"/>
  <c r="AC2548" i="1" s="1"/>
  <c r="V2547" i="1"/>
  <c r="AC2547" i="1" s="1"/>
  <c r="V2551" i="1"/>
  <c r="AC2551" i="1" s="1"/>
  <c r="V2554" i="1"/>
  <c r="AC2554" i="1" s="1"/>
  <c r="V2550" i="1"/>
  <c r="AC2550" i="1" s="1"/>
  <c r="V2555" i="1"/>
  <c r="AC2555" i="1" s="1"/>
  <c r="V2549" i="1"/>
  <c r="AC2549" i="1" s="1"/>
  <c r="V2552" i="1"/>
  <c r="AC2552" i="1" s="1"/>
  <c r="V2553" i="1"/>
  <c r="AC2553" i="1" s="1"/>
  <c r="V2556" i="1"/>
  <c r="AC2556" i="1" s="1"/>
  <c r="V2557" i="1"/>
  <c r="AC2557" i="1" s="1"/>
  <c r="V2558" i="1"/>
  <c r="AC2558" i="1" s="1"/>
  <c r="V2560" i="1"/>
  <c r="AC2560" i="1" s="1"/>
  <c r="V2559" i="1"/>
  <c r="AC2559" i="1" s="1"/>
  <c r="V2561" i="1"/>
  <c r="AC2561" i="1" s="1"/>
  <c r="V2564" i="1"/>
  <c r="AC2564" i="1" s="1"/>
  <c r="V2562" i="1"/>
  <c r="AC2562" i="1" s="1"/>
  <c r="V2563" i="1"/>
  <c r="AC2563" i="1" s="1"/>
  <c r="V2565" i="1"/>
  <c r="AC2565" i="1" s="1"/>
  <c r="V2566" i="1"/>
  <c r="AC2566" i="1" s="1"/>
  <c r="V2567" i="1"/>
  <c r="AC2567" i="1" s="1"/>
  <c r="V2569" i="1"/>
  <c r="AC2569" i="1" s="1"/>
  <c r="V2570" i="1"/>
  <c r="AC2570" i="1" s="1"/>
  <c r="V2571" i="1"/>
  <c r="AC2571" i="1" s="1"/>
  <c r="V2572" i="1"/>
  <c r="AC2572" i="1" s="1"/>
  <c r="V2573" i="1"/>
  <c r="AC2573" i="1" s="1"/>
  <c r="V2574" i="1"/>
  <c r="AC2574" i="1" s="1"/>
  <c r="V2577" i="1"/>
  <c r="AC2577" i="1" s="1"/>
  <c r="V2576" i="1"/>
  <c r="AC2576" i="1" s="1"/>
  <c r="V2575" i="1"/>
  <c r="AC2575" i="1" s="1"/>
  <c r="V2579" i="1"/>
  <c r="AC2579" i="1" s="1"/>
  <c r="V2578" i="1"/>
  <c r="AC2578" i="1" s="1"/>
  <c r="V2581" i="1"/>
  <c r="AC2581" i="1" s="1"/>
  <c r="V2580" i="1"/>
  <c r="AC2580" i="1" s="1"/>
  <c r="V2582" i="1"/>
  <c r="AC2582" i="1" s="1"/>
  <c r="V2584" i="1"/>
  <c r="AC2584" i="1" s="1"/>
  <c r="V2583" i="1"/>
  <c r="AC2583" i="1" s="1"/>
  <c r="V2586" i="1"/>
  <c r="AC2586" i="1" s="1"/>
  <c r="V2585" i="1"/>
  <c r="AC2585" i="1" s="1"/>
  <c r="V2587" i="1"/>
  <c r="AC2587" i="1" s="1"/>
  <c r="V2589" i="1"/>
  <c r="AC2589" i="1" s="1"/>
  <c r="V2590" i="1"/>
  <c r="AC2590" i="1" s="1"/>
  <c r="V2591" i="1"/>
  <c r="AC2591" i="1" s="1"/>
  <c r="V2588" i="1"/>
  <c r="AC2588" i="1" s="1"/>
  <c r="V2592" i="1"/>
  <c r="AC2592" i="1" s="1"/>
  <c r="V2593" i="1"/>
  <c r="AC2593" i="1" s="1"/>
  <c r="V2595" i="1"/>
  <c r="AC2595" i="1" s="1"/>
  <c r="V2594" i="1"/>
  <c r="AC2594" i="1" s="1"/>
  <c r="V2599" i="1"/>
  <c r="AC2599" i="1" s="1"/>
  <c r="V2597" i="1"/>
  <c r="AC2597" i="1" s="1"/>
  <c r="V2598" i="1"/>
  <c r="AC2598" i="1" s="1"/>
  <c r="V2600" i="1"/>
  <c r="AC2600" i="1" s="1"/>
  <c r="V2601" i="1"/>
  <c r="AC2601" i="1" s="1"/>
  <c r="V2596" i="1"/>
  <c r="AC2596" i="1" s="1"/>
  <c r="V2602" i="1"/>
  <c r="AC2602" i="1" s="1"/>
  <c r="V2603" i="1"/>
  <c r="AC2603" i="1" s="1"/>
  <c r="V2606" i="1"/>
  <c r="AC2606" i="1" s="1"/>
  <c r="V2605" i="1"/>
  <c r="AC2605" i="1" s="1"/>
  <c r="V2607" i="1"/>
  <c r="AC2607" i="1" s="1"/>
  <c r="V2604" i="1"/>
  <c r="AC2604" i="1" s="1"/>
  <c r="V2608" i="1"/>
  <c r="AC2608" i="1" s="1"/>
  <c r="V2609" i="1"/>
  <c r="AC2609" i="1" s="1"/>
  <c r="V2610" i="1"/>
  <c r="AC2610" i="1" s="1"/>
  <c r="V2611" i="1"/>
  <c r="AC2611" i="1" s="1"/>
  <c r="V2614" i="1"/>
  <c r="AC2614" i="1" s="1"/>
  <c r="V2612" i="1"/>
  <c r="AC2612" i="1" s="1"/>
  <c r="V2613" i="1"/>
  <c r="AC2613" i="1" s="1"/>
  <c r="V2616" i="1"/>
  <c r="AC2616" i="1" s="1"/>
  <c r="V2619" i="1"/>
  <c r="AC2619" i="1" s="1"/>
  <c r="V2617" i="1"/>
  <c r="AC2617" i="1" s="1"/>
  <c r="V2618" i="1"/>
  <c r="AC2618" i="1" s="1"/>
  <c r="V2620" i="1"/>
  <c r="AC2620" i="1" s="1"/>
  <c r="V2621" i="1"/>
  <c r="AC2621" i="1" s="1"/>
  <c r="V2622" i="1"/>
  <c r="AC2622" i="1" s="1"/>
  <c r="V2624" i="1"/>
  <c r="AC2624" i="1" s="1"/>
  <c r="V2623" i="1"/>
  <c r="AC2623" i="1" s="1"/>
  <c r="V2626" i="1"/>
  <c r="AC2626" i="1" s="1"/>
  <c r="V2627" i="1"/>
  <c r="AC2627" i="1" s="1"/>
  <c r="V2631" i="1"/>
  <c r="AC2631" i="1" s="1"/>
  <c r="V2629" i="1"/>
  <c r="AC2629" i="1" s="1"/>
  <c r="V2630" i="1"/>
  <c r="AC2630" i="1" s="1"/>
  <c r="V2628" i="1"/>
  <c r="AC2628" i="1" s="1"/>
  <c r="V2634" i="1"/>
  <c r="AC2634" i="1" s="1"/>
  <c r="V2632" i="1"/>
  <c r="AC2632" i="1" s="1"/>
  <c r="V2633" i="1"/>
  <c r="AC2633" i="1" s="1"/>
  <c r="V2635" i="1"/>
  <c r="AC2635" i="1" s="1"/>
  <c r="V2636" i="1"/>
  <c r="AC2636" i="1" s="1"/>
  <c r="V2637" i="1"/>
  <c r="AC2637" i="1" s="1"/>
  <c r="V2638" i="1"/>
  <c r="AC2638" i="1" s="1"/>
  <c r="V2639" i="1"/>
  <c r="AC2639" i="1" s="1"/>
  <c r="V2640" i="1"/>
  <c r="AC2640" i="1" s="1"/>
  <c r="V2642" i="1"/>
  <c r="AC2642" i="1" s="1"/>
  <c r="V2644" i="1"/>
  <c r="AC2644" i="1" s="1"/>
  <c r="V2643" i="1"/>
  <c r="AC2643" i="1" s="1"/>
  <c r="V2645" i="1"/>
  <c r="AC2645" i="1" s="1"/>
  <c r="V2647" i="1"/>
  <c r="AC2647" i="1" s="1"/>
  <c r="V2648" i="1"/>
  <c r="AC2648" i="1" s="1"/>
  <c r="V2649" i="1"/>
  <c r="AC2649" i="1" s="1"/>
  <c r="V2646" i="1"/>
  <c r="AC2646" i="1" s="1"/>
  <c r="V2651" i="1"/>
  <c r="AC2651" i="1" s="1"/>
  <c r="V2652" i="1"/>
  <c r="AC2652" i="1" s="1"/>
  <c r="V2653" i="1"/>
  <c r="AC2653" i="1" s="1"/>
  <c r="V2656" i="1"/>
  <c r="AC2656" i="1" s="1"/>
  <c r="V2655" i="1"/>
  <c r="AC2655" i="1" s="1"/>
  <c r="V2654" i="1"/>
  <c r="AC2654" i="1" s="1"/>
  <c r="V2657" i="1"/>
  <c r="AC2657" i="1" s="1"/>
  <c r="V2658" i="1"/>
  <c r="AC2658" i="1" s="1"/>
  <c r="V2661" i="1"/>
  <c r="AC2661" i="1" s="1"/>
  <c r="V2660" i="1"/>
  <c r="AC2660" i="1" s="1"/>
  <c r="V2662" i="1"/>
  <c r="AC2662" i="1" s="1"/>
  <c r="V2659" i="1"/>
  <c r="AC2659" i="1" s="1"/>
  <c r="V2663" i="1"/>
  <c r="AC2663" i="1" s="1"/>
  <c r="V2664" i="1"/>
  <c r="AC2664" i="1" s="1"/>
  <c r="V2665" i="1"/>
  <c r="AC2665" i="1" s="1"/>
  <c r="V2666" i="1"/>
  <c r="AC2666" i="1" s="1"/>
  <c r="V2668" i="1"/>
  <c r="AC2668" i="1" s="1"/>
  <c r="V2667" i="1"/>
  <c r="AC2667" i="1" s="1"/>
  <c r="V2670" i="1"/>
  <c r="AC2670" i="1" s="1"/>
  <c r="V2669" i="1"/>
  <c r="AC2669" i="1" s="1"/>
  <c r="V2671" i="1"/>
  <c r="AC2671" i="1" s="1"/>
  <c r="V2672" i="1"/>
  <c r="AC2672" i="1" s="1"/>
  <c r="V2673" i="1"/>
  <c r="AC2673" i="1" s="1"/>
  <c r="V2674" i="1"/>
  <c r="AC2674" i="1" s="1"/>
  <c r="V2676" i="1"/>
  <c r="AC2676" i="1" s="1"/>
  <c r="V2677" i="1"/>
  <c r="AC2677" i="1" s="1"/>
  <c r="V2675" i="1"/>
  <c r="AC2675" i="1" s="1"/>
  <c r="V2678" i="1"/>
  <c r="AC2678" i="1" s="1"/>
  <c r="V2679" i="1"/>
  <c r="AC2679" i="1" s="1"/>
  <c r="V2682" i="1"/>
  <c r="AC2682" i="1" s="1"/>
  <c r="V2680" i="1"/>
  <c r="AC2680" i="1" s="1"/>
  <c r="V2681" i="1"/>
  <c r="AC2681" i="1" s="1"/>
  <c r="V2683" i="1"/>
  <c r="AC2683" i="1" s="1"/>
  <c r="V2685" i="1"/>
  <c r="AC2685" i="1" s="1"/>
  <c r="V2686" i="1"/>
  <c r="AC2686" i="1" s="1"/>
  <c r="V2684" i="1"/>
  <c r="AC2684" i="1" s="1"/>
  <c r="V2687" i="1"/>
  <c r="AC2687" i="1" s="1"/>
  <c r="V2688" i="1"/>
  <c r="AC2688" i="1" s="1"/>
  <c r="V2690" i="1"/>
  <c r="AC2690" i="1" s="1"/>
  <c r="V2689" i="1"/>
  <c r="AC2689" i="1" s="1"/>
  <c r="V2691" i="1"/>
  <c r="AC2691" i="1" s="1"/>
  <c r="V2692" i="1"/>
  <c r="AC2692" i="1" s="1"/>
  <c r="V2693" i="1"/>
  <c r="AC2693" i="1" s="1"/>
  <c r="V2694" i="1"/>
  <c r="AC2694" i="1" s="1"/>
  <c r="V2695" i="1"/>
  <c r="AC2695" i="1" s="1"/>
  <c r="V2696" i="1"/>
  <c r="AC2696" i="1" s="1"/>
  <c r="V2698" i="1"/>
  <c r="AC2698" i="1" s="1"/>
  <c r="V2699" i="1"/>
  <c r="AC2699" i="1" s="1"/>
  <c r="V2697" i="1"/>
  <c r="AC2697" i="1" s="1"/>
  <c r="V2701" i="1"/>
  <c r="AC2701" i="1" s="1"/>
  <c r="V2700" i="1"/>
  <c r="AC2700" i="1" s="1"/>
  <c r="V2702" i="1"/>
  <c r="AC2702" i="1" s="1"/>
  <c r="V2703" i="1"/>
  <c r="AC2703" i="1" s="1"/>
  <c r="V2705" i="1"/>
  <c r="AC2705" i="1" s="1"/>
  <c r="V2704" i="1"/>
  <c r="AC2704" i="1" s="1"/>
  <c r="V2706" i="1"/>
  <c r="AC2706" i="1" s="1"/>
  <c r="V2707" i="1"/>
  <c r="AC2707" i="1" s="1"/>
  <c r="V2708" i="1"/>
  <c r="AC2708" i="1" s="1"/>
  <c r="V2709" i="1"/>
  <c r="AC2709" i="1" s="1"/>
  <c r="V2710" i="1"/>
  <c r="AC2710" i="1" s="1"/>
  <c r="V2713" i="1"/>
  <c r="AC2713" i="1" s="1"/>
  <c r="V2712" i="1"/>
  <c r="AC2712" i="1" s="1"/>
  <c r="V2711" i="1"/>
  <c r="AC2711" i="1" s="1"/>
  <c r="V2714" i="1"/>
  <c r="AC2714" i="1" s="1"/>
  <c r="V2718" i="1"/>
  <c r="AC2718" i="1" s="1"/>
  <c r="V2715" i="1"/>
  <c r="AC2715" i="1" s="1"/>
  <c r="V2717" i="1"/>
  <c r="AC2717" i="1" s="1"/>
  <c r="V2716" i="1"/>
  <c r="AC2716" i="1" s="1"/>
  <c r="V2719" i="1"/>
  <c r="AC2719" i="1" s="1"/>
  <c r="V2764" i="1"/>
  <c r="AC2764" i="1" s="1"/>
  <c r="V2721" i="1"/>
  <c r="AC2721" i="1" s="1"/>
  <c r="V2722" i="1"/>
  <c r="AC2722" i="1" s="1"/>
  <c r="V2720" i="1"/>
  <c r="AC2720" i="1" s="1"/>
  <c r="V2723" i="1"/>
  <c r="AC2723" i="1" s="1"/>
  <c r="V2724" i="1"/>
  <c r="AC2724" i="1" s="1"/>
  <c r="V2725" i="1"/>
  <c r="AC2725" i="1" s="1"/>
  <c r="V2728" i="1"/>
  <c r="AC2728" i="1" s="1"/>
  <c r="V2729" i="1"/>
  <c r="AC2729" i="1" s="1"/>
  <c r="V2727" i="1"/>
  <c r="AC2727" i="1" s="1"/>
  <c r="V2730" i="1"/>
  <c r="AC2730" i="1" s="1"/>
  <c r="V2731" i="1"/>
  <c r="AC2731" i="1" s="1"/>
  <c r="V2732" i="1"/>
  <c r="AC2732" i="1" s="1"/>
  <c r="V2733" i="1"/>
  <c r="AC2733" i="1" s="1"/>
  <c r="V2734" i="1"/>
  <c r="AC2734" i="1" s="1"/>
  <c r="V2735" i="1"/>
  <c r="AC2735" i="1" s="1"/>
  <c r="V2736" i="1"/>
  <c r="AC2736" i="1" s="1"/>
  <c r="S3119" i="1"/>
  <c r="V3057" i="1"/>
  <c r="AC3057" i="1" s="1"/>
  <c r="AB3057" i="1"/>
  <c r="V2737" i="1"/>
  <c r="AC2737" i="1" s="1"/>
  <c r="V2739" i="1"/>
  <c r="AC2739" i="1" s="1"/>
  <c r="V2740" i="1"/>
  <c r="AC2740" i="1" s="1"/>
  <c r="V2741" i="1"/>
  <c r="AC2741" i="1" s="1"/>
  <c r="V2742" i="1"/>
  <c r="AC2742" i="1" s="1"/>
  <c r="V2743" i="1"/>
  <c r="AC2743" i="1" s="1"/>
  <c r="V2744" i="1"/>
  <c r="AC2744" i="1" s="1"/>
  <c r="V2745" i="1"/>
  <c r="AC2745" i="1" s="1"/>
  <c r="V2746" i="1"/>
  <c r="AC2746" i="1" s="1"/>
  <c r="V2747" i="1"/>
  <c r="AC2747" i="1" s="1"/>
  <c r="V2748" i="1"/>
  <c r="AC2748" i="1" s="1"/>
  <c r="V2749" i="1"/>
  <c r="AC2749" i="1" s="1"/>
  <c r="V2750" i="1"/>
  <c r="AC2750" i="1" s="1"/>
  <c r="V2751" i="1"/>
  <c r="AC2751" i="1" s="1"/>
  <c r="V2752" i="1"/>
  <c r="AC2752" i="1" s="1"/>
  <c r="V2753" i="1"/>
  <c r="AC2753" i="1" s="1"/>
  <c r="V2754" i="1"/>
  <c r="AC2754" i="1" s="1"/>
  <c r="V2755" i="1"/>
  <c r="AC2755" i="1" s="1"/>
  <c r="V2756" i="1"/>
  <c r="AC2756" i="1" s="1"/>
  <c r="V2759" i="1"/>
  <c r="AC2759" i="1" s="1"/>
  <c r="V2758" i="1"/>
  <c r="AC2758" i="1" s="1"/>
  <c r="V2760" i="1"/>
  <c r="AC2760" i="1" s="1"/>
  <c r="V2762" i="1"/>
  <c r="AC2762" i="1" s="1"/>
  <c r="V2761" i="1"/>
  <c r="AC2761" i="1" s="1"/>
  <c r="V2763" i="1"/>
  <c r="AC2763" i="1" s="1"/>
  <c r="V2765" i="1"/>
  <c r="AC2765" i="1" s="1"/>
  <c r="V2766" i="1"/>
  <c r="AC2766" i="1" s="1"/>
  <c r="V2767" i="1"/>
  <c r="AC2767" i="1" s="1"/>
  <c r="V2768" i="1"/>
  <c r="AC2768" i="1" s="1"/>
  <c r="V2769" i="1"/>
  <c r="AC2769" i="1" s="1"/>
  <c r="V2770" i="1"/>
  <c r="AC2770" i="1" s="1"/>
  <c r="V2771" i="1"/>
  <c r="AC2771" i="1" s="1"/>
  <c r="V2772" i="1"/>
  <c r="AC2772" i="1" s="1"/>
  <c r="V2773" i="1"/>
  <c r="AC2773" i="1" s="1"/>
  <c r="V2774" i="1"/>
  <c r="AC2774" i="1" s="1"/>
  <c r="V2775" i="1"/>
  <c r="AC2775" i="1" s="1"/>
  <c r="V2776" i="1"/>
  <c r="AC2776" i="1" s="1"/>
  <c r="V2777" i="1"/>
  <c r="AC2777" i="1" s="1"/>
  <c r="V2778" i="1"/>
  <c r="AC2778" i="1" s="1"/>
  <c r="V2781" i="1"/>
  <c r="AC2781" i="1" s="1"/>
  <c r="V2779" i="1"/>
  <c r="AC2779" i="1" s="1"/>
  <c r="V2780" i="1"/>
  <c r="AC2780" i="1" s="1"/>
  <c r="V2783" i="1"/>
  <c r="AC2783" i="1" s="1"/>
  <c r="V2785" i="1"/>
  <c r="AC2785" i="1" s="1"/>
  <c r="V2784" i="1"/>
  <c r="AC2784" i="1" s="1"/>
  <c r="V2786" i="1"/>
  <c r="AC2786" i="1" s="1"/>
  <c r="V2787" i="1"/>
  <c r="AC2787" i="1" s="1"/>
  <c r="V2790" i="1"/>
  <c r="AC2790" i="1" s="1"/>
  <c r="V2791" i="1"/>
  <c r="AC2791" i="1" s="1"/>
  <c r="V2789" i="1"/>
  <c r="AC2789" i="1" s="1"/>
  <c r="V2792" i="1"/>
  <c r="AC2792" i="1" s="1"/>
  <c r="V2793" i="1"/>
  <c r="AC2793" i="1" s="1"/>
  <c r="V2798" i="1"/>
  <c r="AC2798" i="1" s="1"/>
  <c r="V2797" i="1"/>
  <c r="AC2797" i="1" s="1"/>
  <c r="V2799" i="1"/>
  <c r="AC2799" i="1" s="1"/>
  <c r="V2796" i="1"/>
  <c r="AC2796" i="1" s="1"/>
  <c r="V2795" i="1"/>
  <c r="AC2795" i="1" s="1"/>
  <c r="V2800" i="1"/>
  <c r="AC2800" i="1" s="1"/>
  <c r="V2802" i="1"/>
  <c r="AC2802" i="1" s="1"/>
  <c r="V2803" i="1"/>
  <c r="AC2803" i="1" s="1"/>
  <c r="V2805" i="1"/>
  <c r="AC2805" i="1" s="1"/>
  <c r="V2801" i="1"/>
  <c r="AC2801" i="1" s="1"/>
  <c r="V2804" i="1"/>
  <c r="AC2804" i="1" s="1"/>
  <c r="V2808" i="1"/>
  <c r="AC2808" i="1" s="1"/>
  <c r="V2807" i="1"/>
  <c r="AC2807" i="1" s="1"/>
  <c r="V2806" i="1"/>
  <c r="AC2806" i="1" s="1"/>
  <c r="V2809" i="1"/>
  <c r="AC2809" i="1" s="1"/>
  <c r="V2811" i="1"/>
  <c r="AC2811" i="1" s="1"/>
  <c r="V2810" i="1"/>
  <c r="AC2810" i="1" s="1"/>
  <c r="V2812" i="1"/>
  <c r="AC2812" i="1" s="1"/>
  <c r="V2815" i="1"/>
  <c r="AC2815" i="1" s="1"/>
  <c r="V2814" i="1"/>
  <c r="AC2814" i="1" s="1"/>
  <c r="V2813" i="1"/>
  <c r="AC2813" i="1" s="1"/>
  <c r="V2817" i="1"/>
  <c r="AC2817" i="1" s="1"/>
  <c r="V2818" i="1"/>
  <c r="AC2818" i="1" s="1"/>
  <c r="V2820" i="1"/>
  <c r="AC2820" i="1" s="1"/>
  <c r="V2819" i="1"/>
  <c r="AC2819" i="1" s="1"/>
  <c r="V2825" i="1"/>
  <c r="AC2825" i="1" s="1"/>
  <c r="V2823" i="1"/>
  <c r="AC2823" i="1" s="1"/>
  <c r="V2824" i="1"/>
  <c r="AC2824" i="1" s="1"/>
  <c r="V2821" i="1"/>
  <c r="AC2821" i="1" s="1"/>
  <c r="V2822" i="1"/>
  <c r="AC2822" i="1" s="1"/>
  <c r="V3091" i="1"/>
  <c r="AC3091" i="1" s="1"/>
  <c r="V2827" i="1"/>
  <c r="AC2827" i="1" s="1"/>
  <c r="V2828" i="1"/>
  <c r="AC2828" i="1" s="1"/>
  <c r="V2829" i="1"/>
  <c r="AC2829" i="1" s="1"/>
  <c r="V2830" i="1"/>
  <c r="AC2830" i="1" s="1"/>
  <c r="V2831" i="1"/>
  <c r="AC2831" i="1" s="1"/>
  <c r="V2832" i="1"/>
  <c r="AC2832" i="1" s="1"/>
  <c r="V2833" i="1"/>
  <c r="AC2833" i="1" s="1"/>
  <c r="V2834" i="1"/>
  <c r="AC2834" i="1" s="1"/>
  <c r="V2838" i="1"/>
  <c r="AC2838" i="1" s="1"/>
  <c r="V2837" i="1"/>
  <c r="AC2837" i="1" s="1"/>
  <c r="V2836" i="1"/>
  <c r="AC2836" i="1" s="1"/>
  <c r="V2835" i="1"/>
  <c r="AC2835" i="1" s="1"/>
  <c r="V2839" i="1"/>
  <c r="AC2839" i="1" s="1"/>
  <c r="V2840" i="1"/>
  <c r="AC2840" i="1" s="1"/>
  <c r="V2842" i="1"/>
  <c r="AC2842" i="1" s="1"/>
  <c r="V2844" i="1"/>
  <c r="AC2844" i="1" s="1"/>
  <c r="V2845" i="1"/>
  <c r="AC2845" i="1" s="1"/>
  <c r="V2841" i="1"/>
  <c r="AC2841" i="1" s="1"/>
  <c r="V2843" i="1"/>
  <c r="AC2843" i="1" s="1"/>
  <c r="V2846" i="1"/>
  <c r="AC2846" i="1" s="1"/>
  <c r="V2847" i="1"/>
  <c r="AC2847" i="1" s="1"/>
  <c r="V2848" i="1"/>
  <c r="AC2848" i="1" s="1"/>
  <c r="V2850" i="1"/>
  <c r="AC2850" i="1" s="1"/>
  <c r="V2854" i="1"/>
  <c r="AC2854" i="1" s="1"/>
  <c r="V2852" i="1"/>
  <c r="AC2852" i="1" s="1"/>
  <c r="V2853" i="1"/>
  <c r="AC2853" i="1" s="1"/>
  <c r="V2851" i="1"/>
  <c r="AC2851" i="1" s="1"/>
  <c r="V2855" i="1"/>
  <c r="AC2855" i="1" s="1"/>
  <c r="V2856" i="1"/>
  <c r="AC2856" i="1" s="1"/>
  <c r="V2858" i="1"/>
  <c r="AC2858" i="1" s="1"/>
  <c r="V2857" i="1"/>
  <c r="AC2857" i="1" s="1"/>
  <c r="V2860" i="1"/>
  <c r="AC2860" i="1" s="1"/>
  <c r="V2859" i="1"/>
  <c r="AC2859" i="1" s="1"/>
  <c r="V2862" i="1"/>
  <c r="AC2862" i="1" s="1"/>
  <c r="V2861" i="1"/>
  <c r="AC2861" i="1" s="1"/>
  <c r="V2864" i="1"/>
  <c r="AC2864" i="1" s="1"/>
  <c r="V2863" i="1"/>
  <c r="AC2863" i="1" s="1"/>
  <c r="V2865" i="1"/>
  <c r="AC2865" i="1" s="1"/>
  <c r="V2866" i="1"/>
  <c r="AC2866" i="1" s="1"/>
  <c r="V2867" i="1"/>
  <c r="AC2867" i="1" s="1"/>
  <c r="V2869" i="1"/>
  <c r="AC2869" i="1" s="1"/>
  <c r="V2868" i="1"/>
  <c r="AC2868" i="1" s="1"/>
  <c r="V2870" i="1"/>
  <c r="AC2870" i="1" s="1"/>
  <c r="V2871" i="1"/>
  <c r="AC2871" i="1" s="1"/>
  <c r="V2874" i="1"/>
  <c r="AC2874" i="1" s="1"/>
  <c r="V2873" i="1"/>
  <c r="AC2873" i="1" s="1"/>
  <c r="V2872" i="1"/>
  <c r="AC2872" i="1" s="1"/>
  <c r="V2875" i="1"/>
  <c r="AC2875" i="1" s="1"/>
  <c r="V2876" i="1"/>
  <c r="AC2876" i="1" s="1"/>
  <c r="V2877" i="1"/>
  <c r="AC2877" i="1" s="1"/>
  <c r="V2879" i="1"/>
  <c r="AC2879" i="1" s="1"/>
  <c r="V2878" i="1"/>
  <c r="AC2878" i="1" s="1"/>
  <c r="V2881" i="1"/>
  <c r="AC2881" i="1" s="1"/>
  <c r="V2880" i="1"/>
  <c r="AC2880" i="1" s="1"/>
  <c r="V2882" i="1"/>
  <c r="AC2882" i="1" s="1"/>
  <c r="V2886" i="1"/>
  <c r="AC2886" i="1" s="1"/>
  <c r="V2885" i="1"/>
  <c r="AC2885" i="1" s="1"/>
  <c r="V2887" i="1"/>
  <c r="AC2887" i="1" s="1"/>
  <c r="V2888" i="1"/>
  <c r="AC2888" i="1" s="1"/>
  <c r="V2884" i="1"/>
  <c r="AC2884" i="1" s="1"/>
  <c r="V2883" i="1"/>
  <c r="AC2883" i="1" s="1"/>
  <c r="V2890" i="1"/>
  <c r="AC2890" i="1" s="1"/>
  <c r="V2889" i="1"/>
  <c r="AC2889" i="1" s="1"/>
  <c r="V2891" i="1"/>
  <c r="AC2891" i="1" s="1"/>
  <c r="V2892" i="1"/>
  <c r="AC2892" i="1" s="1"/>
  <c r="V2893" i="1"/>
  <c r="AC2893" i="1" s="1"/>
  <c r="V2894" i="1"/>
  <c r="AC2894" i="1" s="1"/>
  <c r="V2895" i="1"/>
  <c r="AC2895" i="1" s="1"/>
  <c r="V3096" i="1"/>
  <c r="AC3096" i="1" s="1"/>
  <c r="V2896" i="1"/>
  <c r="AC2896" i="1" s="1"/>
  <c r="V2900" i="1"/>
  <c r="AC2900" i="1" s="1"/>
  <c r="V2898" i="1"/>
  <c r="AC2898" i="1" s="1"/>
  <c r="V2901" i="1"/>
  <c r="AC2901" i="1" s="1"/>
  <c r="V2902" i="1"/>
  <c r="AC2902" i="1" s="1"/>
  <c r="V2899" i="1"/>
  <c r="AC2899" i="1" s="1"/>
  <c r="V2903" i="1"/>
  <c r="AC2903" i="1" s="1"/>
  <c r="V2904" i="1"/>
  <c r="AC2904" i="1" s="1"/>
  <c r="V2906" i="1"/>
  <c r="AC2906" i="1" s="1"/>
  <c r="V2905" i="1"/>
  <c r="AC2905" i="1" s="1"/>
  <c r="V2907" i="1"/>
  <c r="AC2907" i="1" s="1"/>
  <c r="V2911" i="1"/>
  <c r="AC2911" i="1" s="1"/>
  <c r="V2910" i="1"/>
  <c r="AC2910" i="1" s="1"/>
  <c r="V2913" i="1"/>
  <c r="AC2913" i="1" s="1"/>
  <c r="V2914" i="1"/>
  <c r="AC2914" i="1" s="1"/>
  <c r="V2912" i="1"/>
  <c r="AC2912" i="1" s="1"/>
  <c r="V2915" i="1"/>
  <c r="AC2915" i="1" s="1"/>
  <c r="V2917" i="1"/>
  <c r="AC2917" i="1" s="1"/>
  <c r="V2918" i="1"/>
  <c r="AC2918" i="1" s="1"/>
  <c r="V2920" i="1"/>
  <c r="AC2920" i="1" s="1"/>
  <c r="V2922" i="1"/>
  <c r="AC2922" i="1" s="1"/>
  <c r="V2923" i="1"/>
  <c r="AC2923" i="1" s="1"/>
  <c r="V2924" i="1"/>
  <c r="AC2924" i="1" s="1"/>
  <c r="V2925" i="1"/>
  <c r="AC2925" i="1" s="1"/>
  <c r="V2926" i="1"/>
  <c r="AC2926" i="1" s="1"/>
  <c r="V2927" i="1"/>
  <c r="AC2927" i="1" s="1"/>
  <c r="V2928" i="1"/>
  <c r="AC2928" i="1" s="1"/>
  <c r="V2929" i="1"/>
  <c r="AC2929" i="1" s="1"/>
  <c r="V2930" i="1"/>
  <c r="AC2930" i="1" s="1"/>
  <c r="V3101" i="1"/>
  <c r="AC3101" i="1" s="1"/>
  <c r="V2932" i="1"/>
  <c r="AC2932" i="1" s="1"/>
  <c r="V2931" i="1"/>
  <c r="AC2931" i="1" s="1"/>
  <c r="V2933" i="1"/>
  <c r="AC2933" i="1" s="1"/>
  <c r="V2934" i="1"/>
  <c r="AC2934" i="1" s="1"/>
  <c r="V2936" i="1"/>
  <c r="AC2936" i="1" s="1"/>
  <c r="V2937" i="1"/>
  <c r="AC2937" i="1" s="1"/>
  <c r="V2935" i="1"/>
  <c r="AC2935" i="1" s="1"/>
  <c r="V2939" i="1"/>
  <c r="AC2939" i="1" s="1"/>
  <c r="V2938" i="1"/>
  <c r="AC2938" i="1" s="1"/>
  <c r="V2940" i="1"/>
  <c r="AC2940" i="1" s="1"/>
  <c r="V2942" i="1"/>
  <c r="AC2942" i="1" s="1"/>
  <c r="V2941" i="1"/>
  <c r="AC2941" i="1" s="1"/>
  <c r="V2944" i="1"/>
  <c r="AC2944" i="1" s="1"/>
  <c r="V2943" i="1"/>
  <c r="AC2943" i="1" s="1"/>
  <c r="V2945" i="1"/>
  <c r="AC2945" i="1" s="1"/>
  <c r="V2946" i="1"/>
  <c r="AC2946" i="1" s="1"/>
  <c r="V2948" i="1"/>
  <c r="AC2948" i="1" s="1"/>
  <c r="V2949" i="1"/>
  <c r="AC2949" i="1" s="1"/>
  <c r="V2950" i="1"/>
  <c r="AC2950" i="1" s="1"/>
  <c r="V2951" i="1"/>
  <c r="AC2951" i="1" s="1"/>
  <c r="V2952" i="1"/>
  <c r="AC2952" i="1" s="1"/>
  <c r="V2953" i="1"/>
  <c r="AC2953" i="1" s="1"/>
  <c r="V2954" i="1"/>
  <c r="AC2954" i="1" s="1"/>
  <c r="V3105" i="1"/>
  <c r="AC3105" i="1" s="1"/>
  <c r="V2955" i="1"/>
  <c r="AC2955" i="1" s="1"/>
  <c r="V2956" i="1"/>
  <c r="AC2956" i="1" s="1"/>
  <c r="V2959" i="1"/>
  <c r="AC2959" i="1" s="1"/>
  <c r="V2957" i="1"/>
  <c r="AC2957" i="1" s="1"/>
  <c r="V2958" i="1"/>
  <c r="AC2958" i="1" s="1"/>
  <c r="V2960" i="1"/>
  <c r="AC2960" i="1" s="1"/>
  <c r="V94" i="1"/>
  <c r="AC94" i="1" s="1"/>
  <c r="V2963" i="1"/>
  <c r="AC2963" i="1" s="1"/>
  <c r="V2961" i="1"/>
  <c r="AC2961" i="1" s="1"/>
  <c r="V2962" i="1"/>
  <c r="AC2962" i="1" s="1"/>
  <c r="V2965" i="1"/>
  <c r="AC2965" i="1" s="1"/>
  <c r="V2964" i="1"/>
  <c r="AC2964" i="1" s="1"/>
  <c r="V2966" i="1"/>
  <c r="AC2966" i="1" s="1"/>
  <c r="V2967" i="1"/>
  <c r="AC2967" i="1" s="1"/>
  <c r="V2968" i="1"/>
  <c r="AC2968" i="1" s="1"/>
  <c r="V2969" i="1"/>
  <c r="AC2969" i="1" s="1"/>
  <c r="V2970" i="1"/>
  <c r="AC2970" i="1" s="1"/>
  <c r="V2971" i="1"/>
  <c r="AC2971" i="1" s="1"/>
  <c r="V2972" i="1"/>
  <c r="AC2972" i="1" s="1"/>
  <c r="V2974" i="1"/>
  <c r="AC2974" i="1" s="1"/>
  <c r="V2973" i="1"/>
  <c r="AC2973" i="1" s="1"/>
  <c r="V2977" i="1"/>
  <c r="AC2977" i="1" s="1"/>
  <c r="V2975" i="1"/>
  <c r="AC2975" i="1" s="1"/>
  <c r="V2976" i="1"/>
  <c r="AC2976" i="1" s="1"/>
  <c r="V2979" i="1"/>
  <c r="AC2979" i="1" s="1"/>
  <c r="V2978" i="1"/>
  <c r="AC2978" i="1" s="1"/>
  <c r="V2980" i="1"/>
  <c r="AC2980" i="1" s="1"/>
  <c r="V2981" i="1"/>
  <c r="AC2981" i="1" s="1"/>
  <c r="V2982" i="1"/>
  <c r="AC2982" i="1" s="1"/>
  <c r="V2983" i="1"/>
  <c r="AC2983" i="1" s="1"/>
  <c r="V2985" i="1"/>
  <c r="AC2985" i="1" s="1"/>
  <c r="V2984" i="1"/>
  <c r="AC2984" i="1" s="1"/>
  <c r="V2986" i="1"/>
  <c r="AC2986" i="1" s="1"/>
  <c r="V2987" i="1"/>
  <c r="AC2987" i="1" s="1"/>
  <c r="V2990" i="1"/>
  <c r="AC2990" i="1" s="1"/>
  <c r="V2988" i="1"/>
  <c r="AC2988" i="1" s="1"/>
  <c r="V2989" i="1"/>
  <c r="AC2989" i="1" s="1"/>
  <c r="V2992" i="1"/>
  <c r="AC2992" i="1" s="1"/>
  <c r="V2991" i="1"/>
  <c r="AC2991" i="1" s="1"/>
  <c r="V2993" i="1"/>
  <c r="AC2993" i="1" s="1"/>
  <c r="V2995" i="1"/>
  <c r="AC2995" i="1" s="1"/>
  <c r="V2994" i="1"/>
  <c r="AC2994" i="1" s="1"/>
  <c r="V2996" i="1"/>
  <c r="AC2996" i="1" s="1"/>
  <c r="V2997" i="1"/>
  <c r="AC2997" i="1" s="1"/>
  <c r="V2999" i="1"/>
  <c r="AC2999" i="1" s="1"/>
  <c r="V2998" i="1"/>
  <c r="AC2998" i="1" s="1"/>
  <c r="V3000" i="1"/>
  <c r="AC3000" i="1" s="1"/>
  <c r="V3001" i="1"/>
  <c r="AC3001" i="1" s="1"/>
  <c r="V3003" i="1"/>
  <c r="AC3003" i="1" s="1"/>
  <c r="V3002" i="1"/>
  <c r="AC3002" i="1" s="1"/>
  <c r="V3004" i="1"/>
  <c r="AC3004" i="1" s="1"/>
  <c r="V3005" i="1"/>
  <c r="AC3005" i="1" s="1"/>
  <c r="V3006" i="1"/>
  <c r="AC3006" i="1" s="1"/>
  <c r="V3008" i="1"/>
  <c r="AC3008" i="1" s="1"/>
  <c r="V3007" i="1"/>
  <c r="AC3007" i="1" s="1"/>
  <c r="V3009" i="1"/>
  <c r="AC3009" i="1" s="1"/>
  <c r="V3010" i="1"/>
  <c r="AC3010" i="1" s="1"/>
  <c r="V3013" i="1"/>
  <c r="AC3013" i="1" s="1"/>
  <c r="V3011" i="1"/>
  <c r="AC3011" i="1" s="1"/>
  <c r="V3012" i="1"/>
  <c r="AC3012" i="1" s="1"/>
  <c r="V3014" i="1"/>
  <c r="AC3014" i="1" s="1"/>
  <c r="V3015" i="1"/>
  <c r="AC3015" i="1" s="1"/>
  <c r="V3017" i="1"/>
  <c r="AC3017" i="1" s="1"/>
  <c r="V3019" i="1"/>
  <c r="AC3019" i="1" s="1"/>
  <c r="V3020" i="1"/>
  <c r="AC3020" i="1" s="1"/>
  <c r="V3018" i="1"/>
  <c r="AC3018" i="1" s="1"/>
  <c r="V3021" i="1"/>
  <c r="AC3021" i="1" s="1"/>
  <c r="V3022" i="1"/>
  <c r="AC3022" i="1" s="1"/>
  <c r="V3023" i="1"/>
  <c r="AC3023" i="1" s="1"/>
  <c r="V3024" i="1"/>
  <c r="AC3024" i="1" s="1"/>
  <c r="V3026" i="1"/>
  <c r="AC3026" i="1" s="1"/>
  <c r="V3025" i="1"/>
  <c r="AC3025" i="1" s="1"/>
  <c r="V3027" i="1"/>
  <c r="AC3027" i="1" s="1"/>
  <c r="V3030" i="1"/>
  <c r="AC3030" i="1" s="1"/>
  <c r="V3029" i="1"/>
  <c r="AC3029" i="1" s="1"/>
  <c r="V3028" i="1"/>
  <c r="AC3028" i="1" s="1"/>
  <c r="V3032" i="1"/>
  <c r="AC3032" i="1" s="1"/>
  <c r="V3119" i="1"/>
  <c r="AC3119" i="1" s="1"/>
  <c r="V3033" i="1"/>
  <c r="AC3033" i="1" s="1"/>
  <c r="V3034" i="1"/>
  <c r="AC3034" i="1" s="1"/>
  <c r="V3035" i="1"/>
  <c r="AC3035" i="1" s="1"/>
  <c r="V3036" i="1"/>
  <c r="AC3036" i="1" s="1"/>
  <c r="V3037" i="1"/>
  <c r="AC3037" i="1" s="1"/>
  <c r="V3038" i="1"/>
  <c r="AC3038" i="1" s="1"/>
  <c r="V3039" i="1"/>
  <c r="AC3039" i="1" s="1"/>
  <c r="V3040" i="1"/>
  <c r="AC3040" i="1" s="1"/>
  <c r="V3041" i="1"/>
  <c r="AC3041" i="1" s="1"/>
  <c r="V3043" i="1"/>
  <c r="AC3043" i="1" s="1"/>
  <c r="V3042" i="1"/>
  <c r="AC3042" i="1" s="1"/>
  <c r="V3044" i="1"/>
  <c r="AC3044" i="1" s="1"/>
  <c r="V3046" i="1"/>
  <c r="AC3046" i="1" s="1"/>
  <c r="V3045" i="1"/>
  <c r="AC3045" i="1" s="1"/>
  <c r="V3047" i="1"/>
  <c r="AC3047" i="1" s="1"/>
  <c r="V3048" i="1"/>
  <c r="AC3048" i="1" s="1"/>
  <c r="V3049" i="1"/>
  <c r="AC3049" i="1" s="1"/>
  <c r="V3050" i="1"/>
  <c r="AC3050" i="1" s="1"/>
  <c r="V3051" i="1"/>
  <c r="AC3051" i="1" s="1"/>
  <c r="V3052" i="1"/>
  <c r="AC3052" i="1" s="1"/>
  <c r="V3053" i="1"/>
  <c r="AC3053" i="1" s="1"/>
  <c r="V3056" i="1"/>
  <c r="AC3056" i="1" s="1"/>
  <c r="V3054" i="1"/>
  <c r="AC3054" i="1" s="1"/>
  <c r="V3055" i="1"/>
  <c r="AC3055" i="1" s="1"/>
  <c r="V3058" i="1"/>
  <c r="AC3058" i="1" s="1"/>
  <c r="V3061" i="1"/>
  <c r="AC3061" i="1" s="1"/>
  <c r="V3060" i="1"/>
  <c r="AC3060" i="1" s="1"/>
  <c r="V3059" i="1"/>
  <c r="AC3059" i="1" s="1"/>
  <c r="V3062" i="1"/>
  <c r="AC3062" i="1" s="1"/>
  <c r="V3063" i="1"/>
  <c r="AC3063" i="1" s="1"/>
  <c r="V3064" i="1"/>
  <c r="AC3064" i="1" s="1"/>
  <c r="V3065" i="1"/>
  <c r="AC3065" i="1" s="1"/>
  <c r="V3067" i="1"/>
  <c r="AC3067" i="1" s="1"/>
  <c r="V3066" i="1"/>
  <c r="AC3066" i="1" s="1"/>
  <c r="V3068" i="1"/>
  <c r="AC3068" i="1" s="1"/>
  <c r="V3069" i="1"/>
  <c r="AC3069" i="1" s="1"/>
  <c r="V3070" i="1"/>
  <c r="AC3070" i="1" s="1"/>
  <c r="V3071" i="1"/>
  <c r="AC3071" i="1" s="1"/>
  <c r="V3072" i="1"/>
  <c r="AC3072" i="1" s="1"/>
  <c r="V3073" i="1"/>
  <c r="AC3073" i="1" s="1"/>
  <c r="V3074" i="1"/>
  <c r="AC3074" i="1" s="1"/>
  <c r="V3075" i="1"/>
  <c r="AC3075" i="1" s="1"/>
  <c r="V3076" i="1"/>
  <c r="AC3076" i="1" s="1"/>
  <c r="V3077" i="1"/>
  <c r="AC3077" i="1" s="1"/>
  <c r="V3078" i="1"/>
  <c r="AC3078" i="1" s="1"/>
  <c r="V3079" i="1"/>
  <c r="AC3079" i="1" s="1"/>
  <c r="V3080" i="1"/>
  <c r="AC3080" i="1" s="1"/>
  <c r="V3082" i="1"/>
  <c r="AC3082" i="1" s="1"/>
  <c r="V3083" i="1"/>
  <c r="AC3083" i="1" s="1"/>
  <c r="V3084" i="1"/>
  <c r="AC3084" i="1" s="1"/>
  <c r="V3085" i="1"/>
  <c r="AC3085" i="1" s="1"/>
  <c r="V3087" i="1"/>
  <c r="AC3087" i="1" s="1"/>
  <c r="V3086" i="1"/>
  <c r="AC3086" i="1" s="1"/>
  <c r="V3088" i="1"/>
  <c r="AC3088" i="1" s="1"/>
  <c r="V3089" i="1"/>
  <c r="AC3089" i="1" s="1"/>
  <c r="V3090" i="1"/>
  <c r="AC3090" i="1" s="1"/>
  <c r="V3092" i="1"/>
  <c r="AC3092" i="1" s="1"/>
  <c r="V3093" i="1"/>
  <c r="AC3093" i="1" s="1"/>
  <c r="V3094" i="1"/>
  <c r="AC3094" i="1" s="1"/>
  <c r="V3095" i="1"/>
  <c r="AC3095" i="1" s="1"/>
  <c r="V3097" i="1"/>
  <c r="AC3097" i="1" s="1"/>
  <c r="V3099" i="1"/>
  <c r="AC3099" i="1" s="1"/>
  <c r="V3100" i="1"/>
  <c r="AC3100" i="1" s="1"/>
  <c r="V3102" i="1"/>
  <c r="AC3102" i="1" s="1"/>
  <c r="V3103" i="1"/>
  <c r="AC3103" i="1" s="1"/>
  <c r="V3104" i="1"/>
  <c r="AC3104" i="1" s="1"/>
  <c r="V3106" i="1"/>
  <c r="AC3106" i="1" s="1"/>
  <c r="V3107" i="1"/>
  <c r="AC3107" i="1" s="1"/>
  <c r="V3108" i="1"/>
  <c r="AC3108" i="1" s="1"/>
  <c r="V3109" i="1"/>
  <c r="V3110" i="1"/>
  <c r="AC3110" i="1" s="1"/>
  <c r="V3111" i="1"/>
  <c r="AC3111" i="1" s="1"/>
  <c r="V3112" i="1"/>
  <c r="AC3112" i="1" s="1"/>
  <c r="V3113" i="1"/>
  <c r="AC3113" i="1" s="1"/>
  <c r="V3114" i="1"/>
  <c r="AC3114" i="1" s="1"/>
  <c r="V3115" i="1"/>
  <c r="AC3115" i="1" s="1"/>
  <c r="V3116" i="1"/>
  <c r="AC3116" i="1" s="1"/>
  <c r="V3117" i="1"/>
  <c r="AC3117" i="1" s="1"/>
  <c r="V3118" i="1"/>
  <c r="AC3118" i="1" s="1"/>
  <c r="V3120" i="1"/>
  <c r="AC3120" i="1" s="1"/>
  <c r="V3121" i="1"/>
  <c r="AC3121" i="1" s="1"/>
  <c r="V3122" i="1"/>
  <c r="AC3122" i="1" s="1"/>
  <c r="V3123" i="1"/>
  <c r="AC3123" i="1" s="1"/>
  <c r="V3124" i="1"/>
  <c r="AC3124" i="1" s="1"/>
  <c r="V3126" i="1"/>
  <c r="AC3126" i="1" s="1"/>
  <c r="V1665" i="1"/>
  <c r="AC1665" i="1" s="1"/>
  <c r="V1663" i="1"/>
  <c r="AC1663" i="1" s="1"/>
  <c r="V1662" i="1"/>
  <c r="AC1662" i="1" s="1"/>
  <c r="V1661" i="1"/>
  <c r="AC1661" i="1" s="1"/>
  <c r="V1660" i="1"/>
  <c r="AC1660" i="1" s="1"/>
  <c r="V1659" i="1"/>
  <c r="AC1659" i="1" s="1"/>
  <c r="V1658" i="1"/>
  <c r="AC1658" i="1" s="1"/>
  <c r="V1657" i="1"/>
  <c r="AC1657" i="1" s="1"/>
  <c r="V1656" i="1"/>
  <c r="AC1656" i="1" s="1"/>
  <c r="V1655" i="1"/>
  <c r="AC1655" i="1" s="1"/>
  <c r="V1654" i="1"/>
  <c r="AC1654" i="1" s="1"/>
  <c r="V1653" i="1"/>
  <c r="AC1653" i="1" s="1"/>
  <c r="V1652" i="1"/>
  <c r="AC1652" i="1" s="1"/>
  <c r="V1650" i="1"/>
  <c r="AC1650" i="1" s="1"/>
  <c r="V1649" i="1"/>
  <c r="AC1649" i="1" s="1"/>
  <c r="V1648" i="1"/>
  <c r="AC1648" i="1" s="1"/>
  <c r="V1647" i="1"/>
  <c r="AC1647" i="1" s="1"/>
  <c r="V1645" i="1"/>
  <c r="AC1645" i="1" s="1"/>
  <c r="V1646" i="1"/>
  <c r="AC1646" i="1" s="1"/>
  <c r="V1644" i="1"/>
  <c r="AC1644" i="1" s="1"/>
  <c r="V1643" i="1"/>
  <c r="AC1643" i="1" s="1"/>
  <c r="V1642" i="1"/>
  <c r="AC1642" i="1" s="1"/>
  <c r="V1641" i="1"/>
  <c r="AC1641" i="1" s="1"/>
  <c r="V1640" i="1"/>
  <c r="AC1640" i="1" s="1"/>
  <c r="V1639" i="1"/>
  <c r="AC1639" i="1" s="1"/>
  <c r="V1638" i="1"/>
  <c r="AC1638" i="1" s="1"/>
  <c r="V1637" i="1"/>
  <c r="AC1637" i="1" s="1"/>
  <c r="V1635" i="1"/>
  <c r="AC1635" i="1" s="1"/>
  <c r="V1634" i="1"/>
  <c r="AC1634" i="1" s="1"/>
  <c r="V1633" i="1"/>
  <c r="AC1633" i="1" s="1"/>
  <c r="V1626" i="1"/>
  <c r="AC1626" i="1" s="1"/>
  <c r="V1627" i="1"/>
  <c r="AC1627" i="1" s="1"/>
  <c r="V1624" i="1"/>
  <c r="AC1624" i="1" s="1"/>
  <c r="V1622" i="1"/>
  <c r="AC1622" i="1" s="1"/>
  <c r="V1620" i="1"/>
  <c r="AC1620" i="1" s="1"/>
  <c r="V1619" i="1"/>
  <c r="AC1619" i="1" s="1"/>
  <c r="V1618" i="1"/>
  <c r="AC1618" i="1" s="1"/>
  <c r="V1617" i="1"/>
  <c r="AC1617" i="1" s="1"/>
  <c r="V1614" i="1"/>
  <c r="AC1614" i="1" s="1"/>
  <c r="V1613" i="1"/>
  <c r="AC1613" i="1" s="1"/>
  <c r="V1612" i="1"/>
  <c r="AC1612" i="1" s="1"/>
  <c r="V1611" i="1"/>
  <c r="AC1611" i="1" s="1"/>
  <c r="V1607" i="1"/>
  <c r="AC1607" i="1" s="1"/>
  <c r="V1608" i="1"/>
  <c r="AC1608" i="1" s="1"/>
  <c r="V1603" i="1"/>
  <c r="AC1603" i="1" s="1"/>
  <c r="V1605" i="1"/>
  <c r="AC1605" i="1" s="1"/>
  <c r="V1604" i="1"/>
  <c r="AC1604" i="1" s="1"/>
  <c r="V1606" i="1"/>
  <c r="AC1606" i="1" s="1"/>
  <c r="V1602" i="1"/>
  <c r="AC1602" i="1" s="1"/>
  <c r="V1600" i="1"/>
  <c r="AC1600" i="1" s="1"/>
  <c r="V1599" i="1"/>
  <c r="AC1599" i="1" s="1"/>
  <c r="V1598" i="1"/>
  <c r="AC1598" i="1" s="1"/>
  <c r="V1596" i="1"/>
  <c r="AC1596" i="1" s="1"/>
  <c r="V1595" i="1"/>
  <c r="AC1595" i="1" s="1"/>
  <c r="V1594" i="1"/>
  <c r="AC1594" i="1" s="1"/>
  <c r="V1592" i="1"/>
  <c r="AC1592" i="1" s="1"/>
  <c r="V1591" i="1"/>
  <c r="AC1591" i="1" s="1"/>
  <c r="V1593" i="1"/>
  <c r="AC1593" i="1" s="1"/>
  <c r="V1587" i="1"/>
  <c r="AC1587" i="1" s="1"/>
  <c r="V1588" i="1"/>
  <c r="AC1588" i="1" s="1"/>
  <c r="V1589" i="1"/>
  <c r="AC1589" i="1" s="1"/>
  <c r="V1586" i="1"/>
  <c r="AC1586" i="1" s="1"/>
  <c r="V1584" i="1"/>
  <c r="AC1584" i="1" s="1"/>
  <c r="V1585" i="1"/>
  <c r="AC1585" i="1" s="1"/>
  <c r="V1583" i="1"/>
  <c r="AC1583" i="1" s="1"/>
  <c r="V1582" i="1"/>
  <c r="AC1582" i="1" s="1"/>
  <c r="V1579" i="1"/>
  <c r="AC1579" i="1" s="1"/>
  <c r="V1581" i="1"/>
  <c r="AC1581" i="1" s="1"/>
  <c r="V1580" i="1"/>
  <c r="AC1580" i="1" s="1"/>
  <c r="V1578" i="1"/>
  <c r="AC1578" i="1" s="1"/>
  <c r="V1576" i="1"/>
  <c r="AC1576" i="1" s="1"/>
  <c r="V1577" i="1"/>
  <c r="AC1577" i="1" s="1"/>
  <c r="V1574" i="1"/>
  <c r="AC1574" i="1" s="1"/>
  <c r="V1573" i="1"/>
  <c r="AC1573" i="1" s="1"/>
  <c r="V1572" i="1"/>
  <c r="AC1572" i="1" s="1"/>
  <c r="V1570" i="1"/>
  <c r="AC1570" i="1" s="1"/>
  <c r="V1571" i="1"/>
  <c r="AC1571" i="1" s="1"/>
  <c r="V1569" i="1"/>
  <c r="AC1569" i="1" s="1"/>
  <c r="V1568" i="1"/>
  <c r="AC1568" i="1" s="1"/>
  <c r="V1566" i="1"/>
  <c r="AC1566" i="1" s="1"/>
  <c r="V1564" i="1"/>
  <c r="AC1564" i="1" s="1"/>
  <c r="V1565" i="1"/>
  <c r="AC1565" i="1" s="1"/>
  <c r="V1563" i="1"/>
  <c r="AC1563" i="1" s="1"/>
  <c r="V1560" i="1"/>
  <c r="AC1560" i="1" s="1"/>
  <c r="V1561" i="1"/>
  <c r="AC1561" i="1" s="1"/>
  <c r="V1557" i="1"/>
  <c r="AC1557" i="1" s="1"/>
  <c r="V1559" i="1"/>
  <c r="AC1559" i="1" s="1"/>
  <c r="V1556" i="1"/>
  <c r="AC1556" i="1" s="1"/>
  <c r="V1555" i="1"/>
  <c r="AC1555" i="1" s="1"/>
  <c r="V1554" i="1"/>
  <c r="AC1554" i="1" s="1"/>
  <c r="V1553" i="1"/>
  <c r="AC1553" i="1" s="1"/>
  <c r="V1551" i="1"/>
  <c r="AC1551" i="1" s="1"/>
  <c r="V1552" i="1"/>
  <c r="AC1552" i="1" s="1"/>
  <c r="V1550" i="1"/>
  <c r="AC1550" i="1" s="1"/>
  <c r="V1547" i="1"/>
  <c r="AC1547" i="1" s="1"/>
  <c r="V1548" i="1"/>
  <c r="AC1548" i="1" s="1"/>
  <c r="V1546" i="1"/>
  <c r="AC1546" i="1" s="1"/>
  <c r="V1540" i="1"/>
  <c r="AC1540" i="1" s="1"/>
  <c r="V1538" i="1"/>
  <c r="AC1538" i="1" s="1"/>
  <c r="V1543" i="1"/>
  <c r="AC1543" i="1" s="1"/>
  <c r="V1542" i="1"/>
  <c r="AC1542" i="1" s="1"/>
  <c r="V1541" i="1"/>
  <c r="AC1541" i="1" s="1"/>
  <c r="V1544" i="1"/>
  <c r="AC1544" i="1" s="1"/>
  <c r="V1539" i="1"/>
  <c r="AC1539" i="1" s="1"/>
  <c r="V1537" i="1"/>
  <c r="AC1537" i="1" s="1"/>
  <c r="V1536" i="1"/>
  <c r="AC1536" i="1" s="1"/>
  <c r="V1533" i="1"/>
  <c r="AC1533" i="1" s="1"/>
  <c r="V1531" i="1"/>
  <c r="AC1531" i="1" s="1"/>
  <c r="V1532" i="1"/>
  <c r="AC1532" i="1" s="1"/>
  <c r="V1530" i="1"/>
  <c r="AC1530" i="1" s="1"/>
  <c r="V1528" i="1"/>
  <c r="AC1528" i="1" s="1"/>
  <c r="V1527" i="1"/>
  <c r="AC1527" i="1" s="1"/>
  <c r="V1526" i="1"/>
  <c r="AC1526" i="1" s="1"/>
  <c r="V1523" i="1"/>
  <c r="AC1523" i="1" s="1"/>
  <c r="V1520" i="1"/>
  <c r="AC1520" i="1" s="1"/>
  <c r="V1521" i="1"/>
  <c r="AC1521" i="1" s="1"/>
  <c r="V1519" i="1"/>
  <c r="AC1519" i="1" s="1"/>
  <c r="V1518" i="1"/>
  <c r="AC1518" i="1" s="1"/>
  <c r="V1515" i="1"/>
  <c r="AC1515" i="1" s="1"/>
  <c r="V1516" i="1"/>
  <c r="AC1516" i="1" s="1"/>
  <c r="V1517" i="1"/>
  <c r="AC1517" i="1" s="1"/>
  <c r="V1514" i="1"/>
  <c r="AC1514" i="1" s="1"/>
  <c r="V1513" i="1"/>
  <c r="AC1513" i="1" s="1"/>
  <c r="V1512" i="1"/>
  <c r="AC1512" i="1" s="1"/>
  <c r="V1511" i="1"/>
  <c r="AC1511" i="1" s="1"/>
  <c r="V1510" i="1"/>
  <c r="AC1510" i="1" s="1"/>
  <c r="V1506" i="1"/>
  <c r="AC1506" i="1" s="1"/>
  <c r="V1507" i="1"/>
  <c r="AC1507" i="1" s="1"/>
  <c r="V1509" i="1"/>
  <c r="AC1509" i="1" s="1"/>
  <c r="V1508" i="1"/>
  <c r="AC1508" i="1" s="1"/>
  <c r="V1505" i="1"/>
  <c r="AC1505" i="1" s="1"/>
  <c r="V1504" i="1"/>
  <c r="AC1504" i="1" s="1"/>
  <c r="V1503" i="1"/>
  <c r="AC1503" i="1" s="1"/>
  <c r="V1502" i="1"/>
  <c r="AC1502" i="1" s="1"/>
  <c r="V1501" i="1"/>
  <c r="AC1501" i="1" s="1"/>
  <c r="V1500" i="1"/>
  <c r="AC1500" i="1" s="1"/>
  <c r="V1499" i="1"/>
  <c r="AC1499" i="1" s="1"/>
  <c r="V1496" i="1"/>
  <c r="AC1496" i="1" s="1"/>
  <c r="V1497" i="1"/>
  <c r="AC1497" i="1" s="1"/>
  <c r="V1495" i="1"/>
  <c r="AC1495" i="1" s="1"/>
  <c r="V1494" i="1"/>
  <c r="AC1494" i="1" s="1"/>
  <c r="V1492" i="1"/>
  <c r="AC1492" i="1" s="1"/>
  <c r="V1491" i="1"/>
  <c r="AC1491" i="1" s="1"/>
  <c r="V1490" i="1"/>
  <c r="AC1490" i="1" s="1"/>
  <c r="V1489" i="1"/>
  <c r="AC1489" i="1" s="1"/>
  <c r="V1487" i="1"/>
  <c r="AC1487" i="1" s="1"/>
  <c r="V1488" i="1"/>
  <c r="AC1488" i="1" s="1"/>
  <c r="V1485" i="1"/>
  <c r="AC1485" i="1" s="1"/>
  <c r="V1484" i="1"/>
  <c r="AC1484" i="1" s="1"/>
  <c r="V1478" i="1"/>
  <c r="AC1478" i="1" s="1"/>
  <c r="V1477" i="1"/>
  <c r="AC1477" i="1" s="1"/>
  <c r="V1480" i="1"/>
  <c r="AC1480" i="1" s="1"/>
  <c r="V1483" i="1"/>
  <c r="AC1483" i="1" s="1"/>
  <c r="V1481" i="1"/>
  <c r="AC1481" i="1" s="1"/>
  <c r="V1476" i="1"/>
  <c r="AC1476" i="1" s="1"/>
  <c r="V1482" i="1"/>
  <c r="AC1482" i="1" s="1"/>
  <c r="V1479" i="1"/>
  <c r="AC1479" i="1" s="1"/>
  <c r="V1474" i="1"/>
  <c r="AC1474" i="1" s="1"/>
  <c r="V1475" i="1"/>
  <c r="AC1475" i="1" s="1"/>
  <c r="V1472" i="1"/>
  <c r="AC1472" i="1" s="1"/>
  <c r="V1470" i="1"/>
  <c r="AC1470" i="1" s="1"/>
  <c r="V1468" i="1"/>
  <c r="AC1468" i="1" s="1"/>
  <c r="V1467" i="1"/>
  <c r="AC1467" i="1" s="1"/>
  <c r="V1471" i="1"/>
  <c r="AC1471" i="1" s="1"/>
  <c r="V1465" i="1"/>
  <c r="AC1465" i="1" s="1"/>
  <c r="V1466" i="1"/>
  <c r="AC1466" i="1" s="1"/>
  <c r="V1464" i="1"/>
  <c r="AC1464" i="1" s="1"/>
  <c r="V1651" i="1"/>
  <c r="AC1651" i="1" s="1"/>
  <c r="V1463" i="1"/>
  <c r="AC1463" i="1" s="1"/>
  <c r="V1462" i="1"/>
  <c r="AC1462" i="1" s="1"/>
  <c r="V1461" i="1"/>
  <c r="AC1461" i="1" s="1"/>
  <c r="V1459" i="1"/>
  <c r="AC1459" i="1" s="1"/>
  <c r="V1456" i="1"/>
  <c r="AC1456" i="1" s="1"/>
  <c r="V1458" i="1"/>
  <c r="AC1458" i="1" s="1"/>
  <c r="V1457" i="1"/>
  <c r="AC1457" i="1" s="1"/>
  <c r="V1460" i="1"/>
  <c r="AC1460" i="1" s="1"/>
  <c r="V1455" i="1"/>
  <c r="AC1455" i="1" s="1"/>
  <c r="V1454" i="1"/>
  <c r="AC1454" i="1" s="1"/>
  <c r="V1453" i="1"/>
  <c r="AC1453" i="1" s="1"/>
  <c r="V1452" i="1"/>
  <c r="AC1452" i="1" s="1"/>
  <c r="V1451" i="1"/>
  <c r="AC1451" i="1" s="1"/>
  <c r="V1450" i="1"/>
  <c r="AC1450" i="1" s="1"/>
  <c r="V1449" i="1"/>
  <c r="AC1449" i="1" s="1"/>
  <c r="V1446" i="1"/>
  <c r="AC1446" i="1" s="1"/>
  <c r="V1448" i="1"/>
  <c r="AC1448" i="1" s="1"/>
  <c r="V1447" i="1"/>
  <c r="AC1447" i="1" s="1"/>
  <c r="V1445" i="1"/>
  <c r="AC1445" i="1" s="1"/>
  <c r="V1444" i="1"/>
  <c r="AC1444" i="1" s="1"/>
  <c r="V1443" i="1"/>
  <c r="AC1443" i="1" s="1"/>
  <c r="V1442" i="1"/>
  <c r="AC1442" i="1" s="1"/>
  <c r="V1440" i="1"/>
  <c r="AC1440" i="1" s="1"/>
  <c r="V1441" i="1"/>
  <c r="AC1441" i="1" s="1"/>
  <c r="V1437" i="1"/>
  <c r="AC1437" i="1" s="1"/>
  <c r="V1438" i="1"/>
  <c r="AC1438" i="1" s="1"/>
  <c r="V1436" i="1"/>
  <c r="AC1436" i="1" s="1"/>
  <c r="V1435" i="1"/>
  <c r="AC1435" i="1" s="1"/>
  <c r="V1434" i="1"/>
  <c r="AC1434" i="1" s="1"/>
  <c r="V1432" i="1"/>
  <c r="AC1432" i="1" s="1"/>
  <c r="V1433" i="1"/>
  <c r="AC1433" i="1" s="1"/>
  <c r="V1431" i="1"/>
  <c r="AC1431" i="1" s="1"/>
  <c r="V1429" i="1"/>
  <c r="AC1429" i="1" s="1"/>
  <c r="V1428" i="1"/>
  <c r="AC1428" i="1" s="1"/>
  <c r="V1427" i="1"/>
  <c r="AC1427" i="1" s="1"/>
  <c r="V1426" i="1"/>
  <c r="AC1426" i="1" s="1"/>
  <c r="V1424" i="1"/>
  <c r="AC1424" i="1" s="1"/>
  <c r="V1422" i="1"/>
  <c r="AC1422" i="1" s="1"/>
  <c r="V1420" i="1"/>
  <c r="AC1420" i="1" s="1"/>
  <c r="V1423" i="1"/>
  <c r="AC1423" i="1" s="1"/>
  <c r="V1421" i="1"/>
  <c r="AC1421" i="1" s="1"/>
  <c r="V1419" i="1"/>
  <c r="AC1419" i="1" s="1"/>
  <c r="V1418" i="1"/>
  <c r="AC1418" i="1" s="1"/>
  <c r="V1417" i="1"/>
  <c r="AC1417" i="1" s="1"/>
  <c r="V1416" i="1"/>
  <c r="AC1416" i="1" s="1"/>
  <c r="V1414" i="1"/>
  <c r="AC1414" i="1" s="1"/>
  <c r="V1413" i="1"/>
  <c r="AC1413" i="1" s="1"/>
  <c r="V1412" i="1"/>
  <c r="AC1412" i="1" s="1"/>
  <c r="V1411" i="1"/>
  <c r="AC1411" i="1" s="1"/>
  <c r="V1410" i="1"/>
  <c r="AC1410" i="1" s="1"/>
  <c r="V1409" i="1"/>
  <c r="AC1409" i="1" s="1"/>
  <c r="V1407" i="1"/>
  <c r="AC1407" i="1" s="1"/>
  <c r="V1408" i="1"/>
  <c r="AC1408" i="1" s="1"/>
  <c r="V1406" i="1"/>
  <c r="AC1406" i="1" s="1"/>
  <c r="V1405" i="1"/>
  <c r="AC1405" i="1" s="1"/>
  <c r="V1404" i="1"/>
  <c r="AC1404" i="1" s="1"/>
  <c r="V1402" i="1"/>
  <c r="AC1402" i="1" s="1"/>
  <c r="V1401" i="1"/>
  <c r="AC1401" i="1" s="1"/>
  <c r="V1399" i="1"/>
  <c r="AC1399" i="1" s="1"/>
  <c r="V1400" i="1"/>
  <c r="AC1400" i="1" s="1"/>
  <c r="V1398" i="1"/>
  <c r="AC1398" i="1" s="1"/>
  <c r="V1396" i="1"/>
  <c r="AC1396" i="1" s="1"/>
  <c r="V1397" i="1"/>
  <c r="AC1397" i="1" s="1"/>
  <c r="V1395" i="1"/>
  <c r="AC1395" i="1" s="1"/>
  <c r="V1393" i="1"/>
  <c r="AC1393" i="1" s="1"/>
  <c r="V1394" i="1"/>
  <c r="AC1394" i="1" s="1"/>
  <c r="V1391" i="1"/>
  <c r="AC1391" i="1" s="1"/>
  <c r="V1389" i="1"/>
  <c r="AC1389" i="1" s="1"/>
  <c r="V1390" i="1"/>
  <c r="AC1390" i="1" s="1"/>
  <c r="V1388" i="1"/>
  <c r="AC1388" i="1" s="1"/>
  <c r="V1384" i="1"/>
  <c r="AC1384" i="1" s="1"/>
  <c r="V1385" i="1"/>
  <c r="AC1385" i="1" s="1"/>
  <c r="V1386" i="1"/>
  <c r="AC1386" i="1" s="1"/>
  <c r="V1387" i="1"/>
  <c r="AC1387" i="1" s="1"/>
  <c r="V1383" i="1"/>
  <c r="AC1383" i="1" s="1"/>
  <c r="V1382" i="1"/>
  <c r="AC1382" i="1" s="1"/>
  <c r="V1381" i="1"/>
  <c r="AC1381" i="1" s="1"/>
  <c r="V1380" i="1"/>
  <c r="AC1380" i="1" s="1"/>
  <c r="V1377" i="1"/>
  <c r="AC1377" i="1" s="1"/>
  <c r="V1378" i="1"/>
  <c r="AC1378" i="1" s="1"/>
  <c r="V1375" i="1"/>
  <c r="AC1375" i="1" s="1"/>
  <c r="V1373" i="1"/>
  <c r="AC1373" i="1" s="1"/>
  <c r="V1374" i="1"/>
  <c r="AC1374" i="1" s="1"/>
  <c r="V1372" i="1"/>
  <c r="AC1372" i="1" s="1"/>
  <c r="V1371" i="1"/>
  <c r="AC1371" i="1" s="1"/>
  <c r="V1370" i="1"/>
  <c r="AC1370" i="1" s="1"/>
  <c r="V1636" i="1"/>
  <c r="AC1636" i="1" s="1"/>
  <c r="V1368" i="1"/>
  <c r="AC1368" i="1" s="1"/>
  <c r="V1369" i="1"/>
  <c r="AC1369" i="1" s="1"/>
  <c r="V1367" i="1"/>
  <c r="AC1367" i="1" s="1"/>
  <c r="V1366" i="1"/>
  <c r="AC1366" i="1" s="1"/>
  <c r="V1360" i="1"/>
  <c r="AC1360" i="1" s="1"/>
  <c r="V1357" i="1"/>
  <c r="AC1357" i="1" s="1"/>
  <c r="V1361" i="1"/>
  <c r="AC1361" i="1" s="1"/>
  <c r="V1362" i="1"/>
  <c r="AC1362" i="1" s="1"/>
  <c r="V1358" i="1"/>
  <c r="AC1358" i="1" s="1"/>
  <c r="V1359" i="1"/>
  <c r="AC1359" i="1" s="1"/>
  <c r="V1364" i="1"/>
  <c r="AC1364" i="1" s="1"/>
  <c r="V1355" i="1"/>
  <c r="AC1355" i="1" s="1"/>
  <c r="V1354" i="1"/>
  <c r="AC1354" i="1" s="1"/>
  <c r="V1351" i="1"/>
  <c r="AC1351" i="1" s="1"/>
  <c r="V1352" i="1"/>
  <c r="AC1352" i="1" s="1"/>
  <c r="V1353" i="1"/>
  <c r="AC1353" i="1" s="1"/>
  <c r="V1350" i="1"/>
  <c r="AC1350" i="1" s="1"/>
  <c r="V1347" i="1"/>
  <c r="AC1347" i="1" s="1"/>
  <c r="V1349" i="1"/>
  <c r="AC1349" i="1" s="1"/>
  <c r="V1348" i="1"/>
  <c r="AC1348" i="1" s="1"/>
  <c r="V1346" i="1"/>
  <c r="AC1346" i="1" s="1"/>
  <c r="V1343" i="1"/>
  <c r="AC1343" i="1" s="1"/>
  <c r="AB320" i="1"/>
  <c r="V20" i="1"/>
  <c r="AC20" i="1" s="1"/>
  <c r="AB20" i="1"/>
  <c r="V1341" i="1"/>
  <c r="AC1341" i="1" s="1"/>
  <c r="V1340" i="1"/>
  <c r="AC1340" i="1" s="1"/>
  <c r="V1335" i="1"/>
  <c r="AC1335" i="1" s="1"/>
  <c r="V1334" i="1"/>
  <c r="AC1334" i="1" s="1"/>
  <c r="V1338" i="1"/>
  <c r="AC1338" i="1" s="1"/>
  <c r="V1336" i="1"/>
  <c r="AC1336" i="1" s="1"/>
  <c r="V1337" i="1"/>
  <c r="AC1337" i="1" s="1"/>
  <c r="V1330" i="1"/>
  <c r="AC1330" i="1" s="1"/>
  <c r="V1329" i="1"/>
  <c r="AC1329" i="1" s="1"/>
  <c r="V1331" i="1"/>
  <c r="AC1331" i="1" s="1"/>
  <c r="V1327" i="1"/>
  <c r="AC1327" i="1" s="1"/>
  <c r="V1328" i="1"/>
  <c r="AC1328" i="1" s="1"/>
  <c r="V1325" i="1"/>
  <c r="AC1325" i="1" s="1"/>
  <c r="V1324" i="1"/>
  <c r="AC1324" i="1" s="1"/>
  <c r="V1323" i="1"/>
  <c r="AC1323" i="1" s="1"/>
  <c r="V1322" i="1"/>
  <c r="AC1322" i="1" s="1"/>
  <c r="V1321" i="1"/>
  <c r="AC1321" i="1" s="1"/>
  <c r="V1319" i="1"/>
  <c r="AC1319" i="1" s="1"/>
  <c r="V1317" i="1"/>
  <c r="AC1317" i="1" s="1"/>
  <c r="V1318" i="1"/>
  <c r="AC1318" i="1" s="1"/>
  <c r="V1315" i="1"/>
  <c r="AC1315" i="1" s="1"/>
  <c r="V1311" i="1"/>
  <c r="AC1311" i="1" s="1"/>
  <c r="V1313" i="1"/>
  <c r="AC1313" i="1" s="1"/>
  <c r="V1314" i="1"/>
  <c r="AC1314" i="1" s="1"/>
  <c r="V1316" i="1"/>
  <c r="AC1316" i="1" s="1"/>
  <c r="V1310" i="1"/>
  <c r="AC1310" i="1" s="1"/>
  <c r="V1309" i="1"/>
  <c r="AC1309" i="1" s="1"/>
  <c r="V1305" i="1"/>
  <c r="AC1305" i="1" s="1"/>
  <c r="V1307" i="1"/>
  <c r="AC1307" i="1" s="1"/>
  <c r="V1306" i="1"/>
  <c r="AC1306" i="1" s="1"/>
  <c r="V1303" i="1"/>
  <c r="AC1303" i="1" s="1"/>
  <c r="V1302" i="1"/>
  <c r="AC1302" i="1" s="1"/>
  <c r="V1300" i="1"/>
  <c r="AC1300" i="1" s="1"/>
  <c r="V1299" i="1"/>
  <c r="AC1299" i="1" s="1"/>
  <c r="V1298" i="1"/>
  <c r="AC1298" i="1" s="1"/>
  <c r="V1297" i="1"/>
  <c r="AC1297" i="1" s="1"/>
  <c r="V1296" i="1"/>
  <c r="AC1296" i="1" s="1"/>
  <c r="V1294" i="1"/>
  <c r="AC1294" i="1" s="1"/>
  <c r="V1293" i="1"/>
  <c r="AC1293" i="1" s="1"/>
  <c r="V1295" i="1"/>
  <c r="AC1295" i="1" s="1"/>
  <c r="V1291" i="1"/>
  <c r="AC1291" i="1" s="1"/>
  <c r="V1289" i="1"/>
  <c r="AC1289" i="1" s="1"/>
  <c r="V1287" i="1"/>
  <c r="AC1287" i="1" s="1"/>
  <c r="V1286" i="1"/>
  <c r="AC1286" i="1" s="1"/>
  <c r="V1284" i="1"/>
  <c r="AC1284" i="1" s="1"/>
  <c r="V1285" i="1"/>
  <c r="AC1285" i="1" s="1"/>
  <c r="V1282" i="1"/>
  <c r="AC1282" i="1" s="1"/>
  <c r="V1277" i="1"/>
  <c r="AC1277" i="1" s="1"/>
  <c r="V1279" i="1"/>
  <c r="AC1279" i="1" s="1"/>
  <c r="V1278" i="1"/>
  <c r="AC1278" i="1" s="1"/>
  <c r="V1275" i="1"/>
  <c r="AC1275" i="1" s="1"/>
  <c r="V1274" i="1"/>
  <c r="AC1274" i="1" s="1"/>
  <c r="V1273" i="1"/>
  <c r="AC1273" i="1" s="1"/>
  <c r="V1272" i="1"/>
  <c r="AC1272" i="1" s="1"/>
  <c r="V1271" i="1"/>
  <c r="AC1271" i="1" s="1"/>
  <c r="V1266" i="1"/>
  <c r="AC1266" i="1" s="1"/>
  <c r="V1268" i="1"/>
  <c r="AC1268" i="1" s="1"/>
  <c r="V1267" i="1"/>
  <c r="AC1267" i="1" s="1"/>
  <c r="V1265" i="1"/>
  <c r="AC1265" i="1" s="1"/>
  <c r="V1264" i="1"/>
  <c r="AC1264" i="1" s="1"/>
  <c r="V1263" i="1"/>
  <c r="AC1263" i="1" s="1"/>
  <c r="V1262" i="1"/>
  <c r="AC1262" i="1" s="1"/>
  <c r="V1261" i="1"/>
  <c r="AC1261" i="1" s="1"/>
  <c r="V1259" i="1"/>
  <c r="AC1259" i="1" s="1"/>
  <c r="V1260" i="1"/>
  <c r="AC1260" i="1" s="1"/>
  <c r="V1258" i="1"/>
  <c r="AC1258" i="1" s="1"/>
  <c r="V1257" i="1"/>
  <c r="AC1257" i="1" s="1"/>
  <c r="V1256" i="1"/>
  <c r="AC1256" i="1" s="1"/>
  <c r="V3127" i="1"/>
  <c r="AC3127" i="1" s="1"/>
  <c r="V3128" i="1"/>
  <c r="AC3128" i="1" s="1"/>
  <c r="V3129" i="1"/>
  <c r="AC3129" i="1" s="1"/>
  <c r="V3133" i="1"/>
  <c r="AC3133" i="1" s="1"/>
  <c r="V3131" i="1"/>
  <c r="AC3131" i="1" s="1"/>
  <c r="V3134" i="1"/>
  <c r="AC3134" i="1" s="1"/>
  <c r="V3130" i="1"/>
  <c r="AC3130" i="1" s="1"/>
  <c r="V3132" i="1"/>
  <c r="AC3132" i="1" s="1"/>
  <c r="V3136" i="1"/>
  <c r="AC3136" i="1" s="1"/>
  <c r="V3135" i="1"/>
  <c r="AC3135" i="1" s="1"/>
  <c r="V3137" i="1"/>
  <c r="AC3137" i="1" s="1"/>
  <c r="V3138" i="1"/>
  <c r="AC3138" i="1" s="1"/>
  <c r="V3139" i="1"/>
  <c r="AC3139" i="1" s="1"/>
  <c r="V3140" i="1"/>
  <c r="AC3140" i="1" s="1"/>
  <c r="V3142" i="1"/>
  <c r="AC3142" i="1" s="1"/>
  <c r="V3141" i="1"/>
  <c r="AC3141" i="1" s="1"/>
  <c r="V3143" i="1"/>
  <c r="AC3143" i="1" s="1"/>
  <c r="V3144" i="1"/>
  <c r="AC3144" i="1" s="1"/>
  <c r="V3145" i="1"/>
  <c r="AC3145" i="1" s="1"/>
  <c r="V3146" i="1"/>
  <c r="AC3146" i="1" s="1"/>
  <c r="V3148" i="1"/>
  <c r="AC3148" i="1" s="1"/>
  <c r="V3147" i="1"/>
  <c r="AC3147" i="1" s="1"/>
  <c r="V3149" i="1"/>
  <c r="AC3149" i="1" s="1"/>
  <c r="V3151" i="1"/>
  <c r="AC3151" i="1" s="1"/>
  <c r="V3150" i="1"/>
  <c r="AC3150" i="1" s="1"/>
  <c r="V3152" i="1"/>
  <c r="AC3152" i="1" s="1"/>
  <c r="V3156" i="1"/>
  <c r="AC3156" i="1" s="1"/>
  <c r="V3153" i="1"/>
  <c r="AC3153" i="1" s="1"/>
  <c r="V3154" i="1"/>
  <c r="AC3154" i="1" s="1"/>
  <c r="V3155" i="1"/>
  <c r="AC3155" i="1" s="1"/>
  <c r="V3157" i="1"/>
  <c r="AC3157" i="1" s="1"/>
  <c r="V3159" i="1"/>
  <c r="AC3159" i="1" s="1"/>
  <c r="V3158" i="1"/>
  <c r="AC3158" i="1" s="1"/>
  <c r="V3166" i="1"/>
  <c r="AC3166" i="1" s="1"/>
  <c r="V3164" i="1"/>
  <c r="AC3164" i="1" s="1"/>
  <c r="V3165" i="1"/>
  <c r="AC3165" i="1" s="1"/>
  <c r="V3162" i="1"/>
  <c r="AC3162" i="1" s="1"/>
  <c r="V3168" i="1"/>
  <c r="AC3168" i="1" s="1"/>
  <c r="V3167" i="1"/>
  <c r="AC3167" i="1" s="1"/>
  <c r="V3163" i="1"/>
  <c r="AC3163" i="1" s="1"/>
  <c r="V3161" i="1"/>
  <c r="AC3161" i="1" s="1"/>
  <c r="V3169" i="1"/>
  <c r="AC3169" i="1" s="1"/>
  <c r="V3171" i="1"/>
  <c r="AC3171" i="1" s="1"/>
  <c r="V3173" i="1"/>
  <c r="AC3173" i="1" s="1"/>
  <c r="V3172" i="1"/>
  <c r="AC3172" i="1" s="1"/>
  <c r="V3174" i="1"/>
  <c r="AC3174" i="1" s="1"/>
  <c r="V3175" i="1"/>
  <c r="AC3175" i="1" s="1"/>
  <c r="V3176" i="1"/>
  <c r="AC3176" i="1" s="1"/>
  <c r="V3177" i="1"/>
  <c r="AC3177" i="1" s="1"/>
  <c r="V3180" i="1"/>
  <c r="AC3180" i="1" s="1"/>
  <c r="V3179" i="1"/>
  <c r="AC3179" i="1" s="1"/>
  <c r="V3178" i="1"/>
  <c r="AC3178" i="1" s="1"/>
  <c r="V3182" i="1"/>
  <c r="AC3182" i="1" s="1"/>
  <c r="V3183" i="1"/>
  <c r="AC3183" i="1" s="1"/>
  <c r="V3181" i="1"/>
  <c r="AC3181" i="1" s="1"/>
  <c r="V3185" i="1"/>
  <c r="AC3185" i="1" s="1"/>
  <c r="V3186" i="1"/>
  <c r="AC3186" i="1" s="1"/>
  <c r="V3187" i="1"/>
  <c r="AC3187" i="1" s="1"/>
  <c r="V3190" i="1"/>
  <c r="AC3190" i="1" s="1"/>
  <c r="V3189" i="1"/>
  <c r="AC3189" i="1" s="1"/>
  <c r="V3188" i="1"/>
  <c r="AC3188" i="1" s="1"/>
  <c r="V3193" i="1"/>
  <c r="AC3193" i="1" s="1"/>
  <c r="V3192" i="1"/>
  <c r="AC3192" i="1" s="1"/>
  <c r="V3191" i="1"/>
  <c r="AC3191" i="1" s="1"/>
  <c r="V3195" i="1"/>
  <c r="AC3195" i="1" s="1"/>
  <c r="V3194" i="1"/>
  <c r="AC3194" i="1" s="1"/>
  <c r="V3196" i="1"/>
  <c r="AC3196" i="1" s="1"/>
  <c r="V3197" i="1"/>
  <c r="AC3197" i="1" s="1"/>
  <c r="V3198" i="1"/>
  <c r="AC3198" i="1" s="1"/>
  <c r="V3199" i="1"/>
  <c r="AC3199" i="1" s="1"/>
  <c r="V3204" i="1"/>
  <c r="AC3204" i="1" s="1"/>
  <c r="V3203" i="1"/>
  <c r="AC3203" i="1" s="1"/>
  <c r="V3202" i="1"/>
  <c r="AC3202" i="1" s="1"/>
  <c r="V3201" i="1"/>
  <c r="AC3201" i="1" s="1"/>
  <c r="V3200" i="1"/>
  <c r="AC3200" i="1" s="1"/>
  <c r="V3205" i="1"/>
  <c r="AC3205" i="1" s="1"/>
  <c r="V3206" i="1"/>
  <c r="AC3206" i="1" s="1"/>
  <c r="V3207" i="1"/>
  <c r="AC3207" i="1" s="1"/>
  <c r="V3208" i="1"/>
  <c r="AC3208" i="1" s="1"/>
  <c r="V3210" i="1"/>
  <c r="AC3210" i="1" s="1"/>
  <c r="V3209" i="1"/>
  <c r="AC3209" i="1" s="1"/>
  <c r="V3212" i="1"/>
  <c r="AC3212" i="1" s="1"/>
  <c r="V3211" i="1"/>
  <c r="AC3211" i="1" s="1"/>
  <c r="V3214" i="1"/>
  <c r="AC3214" i="1" s="1"/>
  <c r="V3213" i="1"/>
  <c r="AC3213" i="1" s="1"/>
  <c r="V3215" i="1"/>
  <c r="AC3215" i="1" s="1"/>
  <c r="V3216" i="1"/>
  <c r="AC3216" i="1" s="1"/>
  <c r="V3218" i="1"/>
  <c r="AC3218" i="1" s="1"/>
  <c r="V3217" i="1"/>
  <c r="AC3217" i="1" s="1"/>
  <c r="V3221" i="1"/>
  <c r="AC3221" i="1" s="1"/>
  <c r="V3219" i="1"/>
  <c r="AC3219" i="1" s="1"/>
  <c r="V3225" i="1"/>
  <c r="AC3225" i="1" s="1"/>
  <c r="V3220" i="1"/>
  <c r="AC3220" i="1" s="1"/>
  <c r="V3223" i="1"/>
  <c r="AC3223" i="1" s="1"/>
  <c r="V3222" i="1"/>
  <c r="AC3222" i="1" s="1"/>
  <c r="V3224" i="1"/>
  <c r="AC3224" i="1" s="1"/>
  <c r="V3226" i="1"/>
  <c r="AC3226" i="1" s="1"/>
  <c r="V3227" i="1"/>
  <c r="AC3227" i="1" s="1"/>
  <c r="V3229" i="1"/>
  <c r="AC3229" i="1" s="1"/>
  <c r="V3228" i="1"/>
  <c r="AC3228" i="1" s="1"/>
  <c r="V3231" i="1"/>
  <c r="AC3231" i="1" s="1"/>
  <c r="V3233" i="1"/>
  <c r="AC3233" i="1" s="1"/>
  <c r="V3230" i="1"/>
  <c r="AC3230" i="1" s="1"/>
  <c r="V3232" i="1"/>
  <c r="AC3232" i="1" s="1"/>
  <c r="V3234" i="1"/>
  <c r="AC3234" i="1" s="1"/>
  <c r="V3236" i="1"/>
  <c r="AC3236" i="1" s="1"/>
  <c r="V3235" i="1"/>
  <c r="AC3235" i="1" s="1"/>
  <c r="V3238" i="1"/>
  <c r="AC3238" i="1" s="1"/>
  <c r="V3237" i="1"/>
  <c r="AC3237" i="1" s="1"/>
  <c r="V3239" i="1"/>
  <c r="AC3239" i="1" s="1"/>
  <c r="V3240" i="1"/>
  <c r="AC3240" i="1" s="1"/>
  <c r="V3241" i="1"/>
  <c r="AC3241" i="1" s="1"/>
  <c r="V3242" i="1"/>
  <c r="AC3242" i="1" s="1"/>
  <c r="V3244" i="1"/>
  <c r="AC3244" i="1" s="1"/>
  <c r="V3243" i="1"/>
  <c r="AC3243" i="1" s="1"/>
  <c r="V3245" i="1"/>
  <c r="AC3245" i="1" s="1"/>
  <c r="V3247" i="1"/>
  <c r="AC3247" i="1" s="1"/>
  <c r="V3246" i="1"/>
  <c r="AC3246" i="1" s="1"/>
  <c r="V3248" i="1"/>
  <c r="AC3248" i="1" s="1"/>
  <c r="V3251" i="1"/>
  <c r="AC3251" i="1" s="1"/>
  <c r="V3252" i="1"/>
  <c r="AC3252" i="1" s="1"/>
  <c r="V3250" i="1"/>
  <c r="AC3250" i="1" s="1"/>
  <c r="V3249" i="1"/>
  <c r="AC3249" i="1" s="1"/>
  <c r="V3253" i="1"/>
  <c r="AC3253" i="1" s="1"/>
  <c r="V3254" i="1"/>
  <c r="AC3254" i="1" s="1"/>
  <c r="V3255" i="1"/>
  <c r="AC3255" i="1" s="1"/>
  <c r="V3257" i="1"/>
  <c r="AC3257" i="1" s="1"/>
  <c r="V3256" i="1"/>
  <c r="AC3256" i="1" s="1"/>
  <c r="V3261" i="1"/>
  <c r="AC3261" i="1" s="1"/>
  <c r="V3260" i="1"/>
  <c r="AC3260" i="1" s="1"/>
  <c r="V3488" i="1"/>
  <c r="AC3488" i="1" s="1"/>
  <c r="V3259" i="1"/>
  <c r="AC3259" i="1" s="1"/>
  <c r="V3262" i="1"/>
  <c r="AC3262" i="1" s="1"/>
  <c r="V3264" i="1"/>
  <c r="AC3264" i="1" s="1"/>
  <c r="V3267" i="1"/>
  <c r="AC3267" i="1" s="1"/>
  <c r="V3268" i="1"/>
  <c r="AC3268" i="1" s="1"/>
  <c r="V3269" i="1"/>
  <c r="AC3269" i="1" s="1"/>
  <c r="V3270" i="1"/>
  <c r="AC3270" i="1" s="1"/>
  <c r="V3271" i="1"/>
  <c r="AC3271" i="1" s="1"/>
  <c r="V3274" i="1"/>
  <c r="AC3274" i="1" s="1"/>
  <c r="V3273" i="1"/>
  <c r="AC3273" i="1" s="1"/>
  <c r="V3275" i="1"/>
  <c r="AC3275" i="1" s="1"/>
  <c r="V3276" i="1"/>
  <c r="AC3276" i="1" s="1"/>
  <c r="V3277" i="1"/>
  <c r="AC3277" i="1" s="1"/>
  <c r="V3279" i="1"/>
  <c r="AC3279" i="1" s="1"/>
  <c r="V3280" i="1"/>
  <c r="AC3280" i="1" s="1"/>
  <c r="V3281" i="1"/>
  <c r="AC3281" i="1" s="1"/>
  <c r="V3284" i="1"/>
  <c r="AC3284" i="1" s="1"/>
  <c r="V3282" i="1"/>
  <c r="AC3282" i="1" s="1"/>
  <c r="V3283" i="1"/>
  <c r="AC3283" i="1" s="1"/>
  <c r="V3285" i="1"/>
  <c r="AC3285" i="1" s="1"/>
  <c r="V3287" i="1"/>
  <c r="AC3287" i="1" s="1"/>
  <c r="V3286" i="1"/>
  <c r="AC3286" i="1" s="1"/>
  <c r="V3288" i="1"/>
  <c r="AC3288" i="1" s="1"/>
  <c r="V3289" i="1"/>
  <c r="AC3289" i="1" s="1"/>
  <c r="V3290" i="1"/>
  <c r="AC3290" i="1" s="1"/>
  <c r="V3291" i="1"/>
  <c r="AC3291" i="1" s="1"/>
  <c r="V3292" i="1"/>
  <c r="AC3292" i="1" s="1"/>
  <c r="V3293" i="1"/>
  <c r="AC3293" i="1" s="1"/>
  <c r="V3295" i="1"/>
  <c r="AC3295" i="1" s="1"/>
  <c r="V3294" i="1"/>
  <c r="AC3294" i="1" s="1"/>
  <c r="V3296" i="1"/>
  <c r="AC3296" i="1" s="1"/>
  <c r="V3297" i="1"/>
  <c r="AC3297" i="1" s="1"/>
  <c r="V3298" i="1"/>
  <c r="AC3298" i="1" s="1"/>
  <c r="V3299" i="1"/>
  <c r="AC3299" i="1" s="1"/>
  <c r="V3300" i="1"/>
  <c r="AC3300" i="1" s="1"/>
  <c r="V3301" i="1"/>
  <c r="AC3301" i="1" s="1"/>
  <c r="V3302" i="1"/>
  <c r="AC3302" i="1" s="1"/>
  <c r="V3303" i="1"/>
  <c r="AC3303" i="1" s="1"/>
  <c r="V3304" i="1"/>
  <c r="AC3304" i="1" s="1"/>
  <c r="V3305" i="1"/>
  <c r="AC3305" i="1" s="1"/>
  <c r="V3306" i="1"/>
  <c r="AC3306" i="1" s="1"/>
  <c r="V3307" i="1"/>
  <c r="AC3307" i="1" s="1"/>
  <c r="V3308" i="1"/>
  <c r="AC3308" i="1" s="1"/>
  <c r="V3309" i="1"/>
  <c r="AC3309" i="1" s="1"/>
  <c r="V3310" i="1"/>
  <c r="AC3310" i="1" s="1"/>
  <c r="V3311" i="1"/>
  <c r="AC3311" i="1" s="1"/>
  <c r="V3313" i="1"/>
  <c r="AC3313" i="1" s="1"/>
  <c r="V3312" i="1"/>
  <c r="AC3312" i="1" s="1"/>
  <c r="V3314" i="1"/>
  <c r="AC3314" i="1" s="1"/>
  <c r="V3315" i="1"/>
  <c r="AC3315" i="1" s="1"/>
  <c r="V3317" i="1"/>
  <c r="AC3317" i="1" s="1"/>
  <c r="V3316" i="1"/>
  <c r="AC3316" i="1" s="1"/>
  <c r="V3318" i="1"/>
  <c r="AC3318" i="1" s="1"/>
  <c r="V3320" i="1"/>
  <c r="AC3320" i="1" s="1"/>
  <c r="V3321" i="1"/>
  <c r="AC3321" i="1" s="1"/>
  <c r="V3319" i="1"/>
  <c r="AC3319" i="1" s="1"/>
  <c r="V3322" i="1"/>
  <c r="AC3322" i="1" s="1"/>
  <c r="V3324" i="1"/>
  <c r="AC3324" i="1" s="1"/>
  <c r="V3323" i="1"/>
  <c r="AC3323" i="1" s="1"/>
  <c r="V3326" i="1"/>
  <c r="AC3326" i="1" s="1"/>
  <c r="V3325" i="1"/>
  <c r="AC3325" i="1" s="1"/>
  <c r="V3327" i="1"/>
  <c r="AC3327" i="1" s="1"/>
  <c r="V3329" i="1"/>
  <c r="AC3329" i="1" s="1"/>
  <c r="V3328" i="1"/>
  <c r="AC3328" i="1" s="1"/>
  <c r="V3330" i="1"/>
  <c r="AC3330" i="1" s="1"/>
  <c r="V3494" i="1"/>
  <c r="AC3494" i="1" s="1"/>
  <c r="V3331" i="1"/>
  <c r="AC3331" i="1" s="1"/>
  <c r="V3333" i="1"/>
  <c r="AC3333" i="1" s="1"/>
  <c r="V3334" i="1"/>
  <c r="AC3334" i="1" s="1"/>
  <c r="V3332" i="1"/>
  <c r="AC3332" i="1" s="1"/>
  <c r="V3336" i="1"/>
  <c r="AC3336" i="1" s="1"/>
  <c r="V3335" i="1"/>
  <c r="AC3335" i="1" s="1"/>
  <c r="V3339" i="1"/>
  <c r="AC3339" i="1" s="1"/>
  <c r="V3337" i="1"/>
  <c r="AC3337" i="1" s="1"/>
  <c r="V3338" i="1"/>
  <c r="AC3338" i="1" s="1"/>
  <c r="V3340" i="1"/>
  <c r="AC3340" i="1" s="1"/>
  <c r="V3342" i="1"/>
  <c r="AC3342" i="1" s="1"/>
  <c r="V3341" i="1"/>
  <c r="AC3341" i="1" s="1"/>
  <c r="V3343" i="1"/>
  <c r="AC3343" i="1" s="1"/>
  <c r="V3345" i="1"/>
  <c r="AC3345" i="1" s="1"/>
  <c r="V3344" i="1"/>
  <c r="AC3344" i="1" s="1"/>
  <c r="V3347" i="1"/>
  <c r="AC3347" i="1" s="1"/>
  <c r="V3346" i="1"/>
  <c r="AC3346" i="1" s="1"/>
  <c r="V3348" i="1"/>
  <c r="AC3348" i="1" s="1"/>
  <c r="V3349" i="1"/>
  <c r="AC3349" i="1" s="1"/>
  <c r="V3350" i="1"/>
  <c r="AC3350" i="1" s="1"/>
  <c r="V3351" i="1"/>
  <c r="AC3351" i="1" s="1"/>
  <c r="V3352" i="1"/>
  <c r="AC3352" i="1" s="1"/>
  <c r="V3354" i="1"/>
  <c r="AC3354" i="1" s="1"/>
  <c r="V3355" i="1"/>
  <c r="AC3355" i="1" s="1"/>
  <c r="V3358" i="1"/>
  <c r="AC3358" i="1" s="1"/>
  <c r="V3356" i="1"/>
  <c r="AC3356" i="1" s="1"/>
  <c r="V3357" i="1"/>
  <c r="AC3357" i="1" s="1"/>
  <c r="V3360" i="1"/>
  <c r="AC3360" i="1" s="1"/>
  <c r="V3359" i="1"/>
  <c r="AC3359" i="1" s="1"/>
  <c r="V3361" i="1"/>
  <c r="AC3361" i="1" s="1"/>
  <c r="V3362" i="1"/>
  <c r="AC3362" i="1" s="1"/>
  <c r="V3363" i="1"/>
  <c r="AC3363" i="1" s="1"/>
  <c r="V3365" i="1"/>
  <c r="AC3365" i="1" s="1"/>
  <c r="V3366" i="1"/>
  <c r="AC3366" i="1" s="1"/>
  <c r="V3367" i="1"/>
  <c r="AC3367" i="1" s="1"/>
  <c r="V3368" i="1"/>
  <c r="AC3368" i="1" s="1"/>
  <c r="V3369" i="1"/>
  <c r="AC3369" i="1" s="1"/>
  <c r="V3370" i="1"/>
  <c r="AC3370" i="1" s="1"/>
  <c r="V3371" i="1"/>
  <c r="AC3371" i="1" s="1"/>
  <c r="V3372" i="1"/>
  <c r="AC3372" i="1" s="1"/>
  <c r="V3373" i="1"/>
  <c r="AC3373" i="1" s="1"/>
  <c r="V3375" i="1"/>
  <c r="AC3375" i="1" s="1"/>
  <c r="V3374" i="1"/>
  <c r="AC3374" i="1" s="1"/>
  <c r="V3376" i="1"/>
  <c r="AC3376" i="1" s="1"/>
  <c r="V3377" i="1"/>
  <c r="AC3377" i="1" s="1"/>
  <c r="V3380" i="1"/>
  <c r="AC3380" i="1" s="1"/>
  <c r="V3379" i="1"/>
  <c r="AC3379" i="1" s="1"/>
  <c r="V3378" i="1"/>
  <c r="AC3378" i="1" s="1"/>
  <c r="V3507" i="1"/>
  <c r="AC3507" i="1" s="1"/>
  <c r="V3381" i="1"/>
  <c r="AC3381" i="1" s="1"/>
  <c r="V3382" i="1"/>
  <c r="AC3382" i="1" s="1"/>
  <c r="V3384" i="1"/>
  <c r="AC3384" i="1" s="1"/>
  <c r="V3386" i="1"/>
  <c r="AC3386" i="1" s="1"/>
  <c r="V3385" i="1"/>
  <c r="AC3385" i="1" s="1"/>
  <c r="V3387" i="1"/>
  <c r="AC3387" i="1" s="1"/>
  <c r="V3388" i="1"/>
  <c r="AC3388" i="1" s="1"/>
  <c r="V3389" i="1"/>
  <c r="AC3389" i="1" s="1"/>
  <c r="V3391" i="1"/>
  <c r="AC3391" i="1" s="1"/>
  <c r="V3390" i="1"/>
  <c r="AC3390" i="1" s="1"/>
  <c r="V3394" i="1"/>
  <c r="AC3394" i="1" s="1"/>
  <c r="V3396" i="1"/>
  <c r="AC3396" i="1" s="1"/>
  <c r="V3395" i="1"/>
  <c r="AC3395" i="1" s="1"/>
  <c r="V3398" i="1"/>
  <c r="AC3398" i="1" s="1"/>
  <c r="V3397" i="1"/>
  <c r="AC3397" i="1" s="1"/>
  <c r="V3400" i="1"/>
  <c r="AC3400" i="1" s="1"/>
  <c r="V3399" i="1"/>
  <c r="AC3399" i="1" s="1"/>
  <c r="V3401" i="1"/>
  <c r="AC3401" i="1" s="1"/>
  <c r="V3403" i="1"/>
  <c r="AC3403" i="1" s="1"/>
  <c r="V3402" i="1"/>
  <c r="AC3402" i="1" s="1"/>
  <c r="V3404" i="1"/>
  <c r="AC3404" i="1" s="1"/>
  <c r="V3406" i="1"/>
  <c r="AC3406" i="1" s="1"/>
  <c r="V3405" i="1"/>
  <c r="AC3405" i="1" s="1"/>
  <c r="V3408" i="1"/>
  <c r="AC3408" i="1" s="1"/>
  <c r="V3407" i="1"/>
  <c r="AC3407" i="1" s="1"/>
  <c r="V3409" i="1"/>
  <c r="AC3409" i="1" s="1"/>
  <c r="V3410" i="1"/>
  <c r="AC3410" i="1" s="1"/>
  <c r="V3411" i="1"/>
  <c r="AC3411" i="1" s="1"/>
  <c r="V3414" i="1"/>
  <c r="AC3414" i="1" s="1"/>
  <c r="V3413" i="1"/>
  <c r="AC3413" i="1" s="1"/>
  <c r="V3412" i="1"/>
  <c r="AC3412" i="1" s="1"/>
  <c r="V3421" i="1"/>
  <c r="AC3421" i="1" s="1"/>
  <c r="V3418" i="1"/>
  <c r="AC3418" i="1" s="1"/>
  <c r="V3419" i="1"/>
  <c r="AC3419" i="1" s="1"/>
  <c r="V3415" i="1"/>
  <c r="AC3415" i="1" s="1"/>
  <c r="V3420" i="1"/>
  <c r="AC3420" i="1" s="1"/>
  <c r="V3416" i="1"/>
  <c r="AC3416" i="1" s="1"/>
  <c r="V3417" i="1"/>
  <c r="AC3417" i="1" s="1"/>
  <c r="V3422" i="1"/>
  <c r="AC3422" i="1" s="1"/>
  <c r="V3423" i="1"/>
  <c r="AC3423" i="1" s="1"/>
  <c r="V3425" i="1"/>
  <c r="AC3425" i="1" s="1"/>
  <c r="V3424" i="1"/>
  <c r="AC3424" i="1" s="1"/>
  <c r="V3517" i="1"/>
  <c r="AC3517" i="1" s="1"/>
  <c r="V3426" i="1"/>
  <c r="AC3426" i="1" s="1"/>
  <c r="V3427" i="1"/>
  <c r="AC3427" i="1" s="1"/>
  <c r="V3428" i="1"/>
  <c r="AC3428" i="1" s="1"/>
  <c r="V3429" i="1"/>
  <c r="AC3429" i="1" s="1"/>
  <c r="V3432" i="1"/>
  <c r="AC3432" i="1" s="1"/>
  <c r="V3436" i="1"/>
  <c r="AC3436" i="1" s="1"/>
  <c r="V3437" i="1"/>
  <c r="AC3437" i="1" s="1"/>
  <c r="V3435" i="1"/>
  <c r="AC3435" i="1" s="1"/>
  <c r="V3430" i="1"/>
  <c r="AC3430" i="1" s="1"/>
  <c r="V3433" i="1"/>
  <c r="AC3433" i="1" s="1"/>
  <c r="V3431" i="1"/>
  <c r="AC3431" i="1" s="1"/>
  <c r="V3434" i="1"/>
  <c r="AC3434" i="1" s="1"/>
  <c r="V3438" i="1"/>
  <c r="AC3438" i="1" s="1"/>
  <c r="V3441" i="1"/>
  <c r="AC3441" i="1" s="1"/>
  <c r="V3439" i="1"/>
  <c r="AC3439" i="1" s="1"/>
  <c r="V3440" i="1"/>
  <c r="AC3440" i="1" s="1"/>
  <c r="V3442" i="1"/>
  <c r="AC3442" i="1" s="1"/>
  <c r="V3445" i="1"/>
  <c r="AC3445" i="1" s="1"/>
  <c r="V3443" i="1"/>
  <c r="AC3443" i="1" s="1"/>
  <c r="V3513" i="1"/>
  <c r="AC3513" i="1" s="1"/>
  <c r="V3444" i="1"/>
  <c r="AC3444" i="1" s="1"/>
  <c r="V3446" i="1"/>
  <c r="AC3446" i="1" s="1"/>
  <c r="V3447" i="1"/>
  <c r="AC3447" i="1" s="1"/>
  <c r="V3448" i="1"/>
  <c r="AC3448" i="1" s="1"/>
  <c r="V3450" i="1"/>
  <c r="AC3450" i="1" s="1"/>
  <c r="V3449" i="1"/>
  <c r="AC3449" i="1" s="1"/>
  <c r="V3453" i="1"/>
  <c r="AC3453" i="1" s="1"/>
  <c r="V3452" i="1"/>
  <c r="AC3452" i="1" s="1"/>
  <c r="V3451" i="1"/>
  <c r="AC3451" i="1" s="1"/>
  <c r="V3455" i="1"/>
  <c r="AC3455" i="1" s="1"/>
  <c r="V3457" i="1"/>
  <c r="AC3457" i="1" s="1"/>
  <c r="V3456" i="1"/>
  <c r="AC3456" i="1" s="1"/>
  <c r="V3458" i="1"/>
  <c r="AC3458" i="1" s="1"/>
  <c r="V3459" i="1"/>
  <c r="AC3459" i="1" s="1"/>
  <c r="V3460" i="1"/>
  <c r="AC3460" i="1" s="1"/>
  <c r="V3461" i="1"/>
  <c r="AC3461" i="1" s="1"/>
  <c r="V3463" i="1"/>
  <c r="AC3463" i="1" s="1"/>
  <c r="V3462" i="1"/>
  <c r="AC3462" i="1" s="1"/>
  <c r="V3464" i="1"/>
  <c r="AC3464" i="1" s="1"/>
  <c r="S3507" i="1"/>
  <c r="V3465" i="1"/>
  <c r="AC3465" i="1" s="1"/>
  <c r="V1253" i="1"/>
  <c r="AC1253" i="1" s="1"/>
  <c r="V1254" i="1"/>
  <c r="AC1254" i="1" s="1"/>
  <c r="V1252" i="1"/>
  <c r="AC1252" i="1" s="1"/>
  <c r="V1251" i="1"/>
  <c r="AC1251" i="1" s="1"/>
  <c r="V1250" i="1"/>
  <c r="AC1250" i="1" s="1"/>
  <c r="V1249" i="1"/>
  <c r="AC1249" i="1" s="1"/>
  <c r="V1247" i="1"/>
  <c r="AC1247" i="1" s="1"/>
  <c r="V1246" i="1"/>
  <c r="AC1246" i="1" s="1"/>
  <c r="V1244" i="1"/>
  <c r="AC1244" i="1" s="1"/>
  <c r="V1243" i="1"/>
  <c r="AC1243" i="1" s="1"/>
  <c r="V1242" i="1"/>
  <c r="AC1242" i="1" s="1"/>
  <c r="V1240" i="1"/>
  <c r="AC1240" i="1" s="1"/>
  <c r="V1241" i="1"/>
  <c r="AC1241" i="1" s="1"/>
  <c r="V1238" i="1"/>
  <c r="AC1238" i="1" s="1"/>
  <c r="V1237" i="1"/>
  <c r="AC1237" i="1" s="1"/>
  <c r="V1236" i="1"/>
  <c r="AC1236" i="1" s="1"/>
  <c r="V1235" i="1"/>
  <c r="AC1235" i="1" s="1"/>
  <c r="V1234" i="1"/>
  <c r="AC1234" i="1" s="1"/>
  <c r="V1232" i="1"/>
  <c r="AC1232" i="1" s="1"/>
  <c r="V1233" i="1"/>
  <c r="AC1233" i="1" s="1"/>
  <c r="V1231" i="1"/>
  <c r="AC1231" i="1" s="1"/>
  <c r="V1230" i="1"/>
  <c r="AC1230" i="1" s="1"/>
  <c r="V1228" i="1"/>
  <c r="AC1228" i="1" s="1"/>
  <c r="V1229" i="1"/>
  <c r="AC1229" i="1" s="1"/>
  <c r="V1227" i="1"/>
  <c r="AC1227" i="1" s="1"/>
  <c r="V1226" i="1"/>
  <c r="AC1226" i="1" s="1"/>
  <c r="V1225" i="1"/>
  <c r="AC1225" i="1" s="1"/>
  <c r="V1223" i="1"/>
  <c r="AC1223" i="1" s="1"/>
  <c r="V1224" i="1"/>
  <c r="AC1224" i="1" s="1"/>
  <c r="V1222" i="1"/>
  <c r="AC1222" i="1" s="1"/>
  <c r="V1221" i="1"/>
  <c r="AC1221" i="1" s="1"/>
  <c r="V1220" i="1"/>
  <c r="AC1220" i="1" s="1"/>
  <c r="V1218" i="1"/>
  <c r="AC1218" i="1" s="1"/>
  <c r="V1217" i="1"/>
  <c r="AC1217" i="1" s="1"/>
  <c r="V1214" i="1"/>
  <c r="AC1214" i="1" s="1"/>
  <c r="V1213" i="1"/>
  <c r="AC1213" i="1" s="1"/>
  <c r="V1212" i="1"/>
  <c r="AC1212" i="1" s="1"/>
  <c r="V1211" i="1"/>
  <c r="AC1211" i="1" s="1"/>
  <c r="V1210" i="1"/>
  <c r="AC1210" i="1" s="1"/>
  <c r="V1208" i="1"/>
  <c r="AC1208" i="1" s="1"/>
  <c r="V1206" i="1"/>
  <c r="AC1206" i="1" s="1"/>
  <c r="V1207" i="1"/>
  <c r="AC1207" i="1" s="1"/>
  <c r="V1203" i="1"/>
  <c r="AC1203" i="1" s="1"/>
  <c r="V1202" i="1"/>
  <c r="AC1202" i="1" s="1"/>
  <c r="V1201" i="1"/>
  <c r="AC1201" i="1" s="1"/>
  <c r="V1200" i="1"/>
  <c r="AC1200" i="1" s="1"/>
  <c r="V1198" i="1"/>
  <c r="AC1198" i="1" s="1"/>
  <c r="V1197" i="1"/>
  <c r="AC1197" i="1" s="1"/>
  <c r="V1193" i="1"/>
  <c r="AC1193" i="1" s="1"/>
  <c r="V1192" i="1"/>
  <c r="AC1192" i="1" s="1"/>
  <c r="V1191" i="1"/>
  <c r="AC1191" i="1" s="1"/>
  <c r="V1186" i="1"/>
  <c r="AC1186" i="1" s="1"/>
  <c r="V1188" i="1"/>
  <c r="AC1188" i="1" s="1"/>
  <c r="V1190" i="1"/>
  <c r="AC1190" i="1" s="1"/>
  <c r="V1185" i="1"/>
  <c r="AC1185" i="1" s="1"/>
  <c r="V1189" i="1"/>
  <c r="AC1189" i="1" s="1"/>
  <c r="V1187" i="1"/>
  <c r="AC1187" i="1" s="1"/>
  <c r="V1184" i="1"/>
  <c r="AC1184" i="1" s="1"/>
  <c r="V1183" i="1"/>
  <c r="AC1183" i="1" s="1"/>
  <c r="V1182" i="1"/>
  <c r="AC1182" i="1" s="1"/>
  <c r="V1181" i="1"/>
  <c r="AC1181" i="1" s="1"/>
  <c r="V1180" i="1"/>
  <c r="AC1180" i="1" s="1"/>
  <c r="V1179" i="1"/>
  <c r="AC1179" i="1" s="1"/>
  <c r="V1178" i="1"/>
  <c r="AC1178" i="1" s="1"/>
  <c r="V1177" i="1"/>
  <c r="AC1177" i="1" s="1"/>
  <c r="V1175" i="1"/>
  <c r="AC1175" i="1" s="1"/>
  <c r="V1173" i="1"/>
  <c r="AC1173" i="1" s="1"/>
  <c r="V1172" i="1"/>
  <c r="AC1172" i="1" s="1"/>
  <c r="V1171" i="1"/>
  <c r="AC1171" i="1" s="1"/>
  <c r="V1168" i="1"/>
  <c r="AC1168" i="1" s="1"/>
  <c r="V1169" i="1"/>
  <c r="AC1169" i="1" s="1"/>
  <c r="V1170" i="1"/>
  <c r="AC1170" i="1" s="1"/>
  <c r="V1167" i="1"/>
  <c r="AC1167" i="1" s="1"/>
  <c r="V1166" i="1"/>
  <c r="AC1166" i="1" s="1"/>
  <c r="V1165" i="1"/>
  <c r="AC1165" i="1" s="1"/>
  <c r="V1163" i="1"/>
  <c r="AC1163" i="1" s="1"/>
  <c r="V1162" i="1"/>
  <c r="AC1162" i="1" s="1"/>
  <c r="V1161" i="1"/>
  <c r="AC1161" i="1" s="1"/>
  <c r="V1160" i="1"/>
  <c r="AC1160" i="1" s="1"/>
  <c r="V1159" i="1"/>
  <c r="AC1159" i="1" s="1"/>
  <c r="V1158" i="1"/>
  <c r="AC1158" i="1" s="1"/>
  <c r="V1156" i="1"/>
  <c r="AC1156" i="1" s="1"/>
  <c r="V1155" i="1"/>
  <c r="AC1155" i="1" s="1"/>
  <c r="V1157" i="1"/>
  <c r="AC1157" i="1" s="1"/>
  <c r="V1153" i="1"/>
  <c r="AC1153" i="1" s="1"/>
  <c r="V1151" i="1"/>
  <c r="AC1151" i="1" s="1"/>
  <c r="V1148" i="1"/>
  <c r="AC1148" i="1" s="1"/>
  <c r="S508" i="1"/>
  <c r="V1150" i="1"/>
  <c r="AC1150" i="1" s="1"/>
  <c r="V1149" i="1"/>
  <c r="AC1149" i="1" s="1"/>
  <c r="V1147" i="1"/>
  <c r="AC1147" i="1" s="1"/>
  <c r="V1146" i="1"/>
  <c r="AC1146" i="1" s="1"/>
  <c r="V1145" i="1"/>
  <c r="AC1145" i="1" s="1"/>
  <c r="V1144" i="1"/>
  <c r="AC1144" i="1" s="1"/>
  <c r="V1140" i="1"/>
  <c r="AC1140" i="1" s="1"/>
  <c r="V1141" i="1"/>
  <c r="AC1141" i="1" s="1"/>
  <c r="V1139" i="1"/>
  <c r="AC1139" i="1" s="1"/>
  <c r="V1136" i="1"/>
  <c r="AC1136" i="1" s="1"/>
  <c r="V1137" i="1"/>
  <c r="AC1137" i="1" s="1"/>
  <c r="V1138" i="1"/>
  <c r="AC1138" i="1" s="1"/>
  <c r="V1135" i="1"/>
  <c r="AC1135" i="1" s="1"/>
  <c r="V1131" i="1"/>
  <c r="AC1131" i="1" s="1"/>
  <c r="V1133" i="1"/>
  <c r="AC1133" i="1" s="1"/>
  <c r="V1132" i="1"/>
  <c r="AC1132" i="1" s="1"/>
  <c r="V1130" i="1"/>
  <c r="AC1130" i="1" s="1"/>
  <c r="V1129" i="1"/>
  <c r="AC1129" i="1" s="1"/>
  <c r="V1126" i="1"/>
  <c r="AC1126" i="1" s="1"/>
  <c r="V1128" i="1"/>
  <c r="AC1128" i="1" s="1"/>
  <c r="V1125" i="1"/>
  <c r="AC1125" i="1" s="1"/>
  <c r="V1123" i="1"/>
  <c r="AC1123" i="1" s="1"/>
  <c r="V1121" i="1"/>
  <c r="AC1121" i="1" s="1"/>
  <c r="V1120" i="1"/>
  <c r="AC1120" i="1" s="1"/>
  <c r="V1118" i="1"/>
  <c r="AC1118" i="1" s="1"/>
  <c r="V1119" i="1"/>
  <c r="AC1119" i="1" s="1"/>
  <c r="V1115" i="1"/>
  <c r="AC1115" i="1" s="1"/>
  <c r="V1114" i="1"/>
  <c r="AC1114" i="1" s="1"/>
  <c r="V1117" i="1"/>
  <c r="AC1117" i="1" s="1"/>
  <c r="V1113" i="1"/>
  <c r="AC1113" i="1" s="1"/>
  <c r="V1110" i="1"/>
  <c r="AC1110" i="1" s="1"/>
  <c r="V1111" i="1"/>
  <c r="AC1111" i="1" s="1"/>
  <c r="V1107" i="1"/>
  <c r="AC1107" i="1" s="1"/>
  <c r="V1106" i="1"/>
  <c r="AC1106" i="1" s="1"/>
  <c r="V1072" i="1"/>
  <c r="AC1072" i="1" s="1"/>
  <c r="V1100" i="1"/>
  <c r="AC1100" i="1" s="1"/>
  <c r="V1101" i="1"/>
  <c r="AC1101" i="1" s="1"/>
  <c r="V1103" i="1"/>
  <c r="AC1103" i="1" s="1"/>
  <c r="V1102" i="1"/>
  <c r="AC1102" i="1" s="1"/>
  <c r="V1099" i="1"/>
  <c r="AC1099" i="1" s="1"/>
  <c r="V1098" i="1"/>
  <c r="AC1098" i="1" s="1"/>
  <c r="V1096" i="1"/>
  <c r="AC1096" i="1" s="1"/>
  <c r="V1095" i="1"/>
  <c r="AC1095" i="1" s="1"/>
  <c r="V1094" i="1"/>
  <c r="AC1094" i="1" s="1"/>
  <c r="V1093" i="1"/>
  <c r="AC1093" i="1" s="1"/>
  <c r="V1091" i="1"/>
  <c r="AC1091" i="1" s="1"/>
  <c r="V1092" i="1"/>
  <c r="AC1092" i="1" s="1"/>
  <c r="V1090" i="1"/>
  <c r="AC1090" i="1" s="1"/>
  <c r="V1089" i="1"/>
  <c r="AC1089" i="1" s="1"/>
  <c r="V1086" i="1"/>
  <c r="AC1086" i="1" s="1"/>
  <c r="V1087" i="1"/>
  <c r="AC1087" i="1" s="1"/>
  <c r="V1085" i="1"/>
  <c r="AC1085" i="1" s="1"/>
  <c r="V1084" i="1"/>
  <c r="AC1084" i="1" s="1"/>
  <c r="V1083" i="1"/>
  <c r="AC1083" i="1" s="1"/>
  <c r="V1082" i="1"/>
  <c r="AC1082" i="1" s="1"/>
  <c r="V1081" i="1"/>
  <c r="AC1081" i="1" s="1"/>
  <c r="V1080" i="1"/>
  <c r="AC1080" i="1" s="1"/>
  <c r="V1079" i="1"/>
  <c r="AC1079" i="1" s="1"/>
  <c r="V1078" i="1"/>
  <c r="AC1078" i="1" s="1"/>
  <c r="V1077" i="1"/>
  <c r="AC1077" i="1" s="1"/>
  <c r="V1076" i="1"/>
  <c r="AC1076" i="1" s="1"/>
  <c r="V1075" i="1"/>
  <c r="AC1075" i="1" s="1"/>
  <c r="V1074" i="1"/>
  <c r="AC1074" i="1" s="1"/>
  <c r="V1071" i="1"/>
  <c r="AC1071" i="1" s="1"/>
  <c r="V1070" i="1"/>
  <c r="AC1070" i="1" s="1"/>
  <c r="V1069" i="1"/>
  <c r="AC1069" i="1" s="1"/>
  <c r="V1068" i="1"/>
  <c r="AC1068" i="1" s="1"/>
  <c r="V1066" i="1"/>
  <c r="AC1066" i="1" s="1"/>
  <c r="V1067" i="1"/>
  <c r="AC1067" i="1" s="1"/>
  <c r="V1065" i="1"/>
  <c r="AC1065" i="1" s="1"/>
  <c r="V1064" i="1"/>
  <c r="AC1064" i="1" s="1"/>
  <c r="V1063" i="1"/>
  <c r="AC1063" i="1" s="1"/>
  <c r="V1058" i="1"/>
  <c r="AC1058" i="1" s="1"/>
  <c r="V1059" i="1"/>
  <c r="AC1059" i="1" s="1"/>
  <c r="V1057" i="1"/>
  <c r="AC1057" i="1" s="1"/>
  <c r="V1056" i="1"/>
  <c r="AC1056" i="1" s="1"/>
  <c r="V1055" i="1"/>
  <c r="AC1055" i="1" s="1"/>
  <c r="V1054" i="1"/>
  <c r="AC1054" i="1" s="1"/>
  <c r="V1053" i="1"/>
  <c r="AC1053" i="1" s="1"/>
  <c r="V1052" i="1"/>
  <c r="AC1052" i="1" s="1"/>
  <c r="V1050" i="1"/>
  <c r="AC1050" i="1" s="1"/>
  <c r="V1051" i="1"/>
  <c r="AC1051" i="1" s="1"/>
  <c r="V1049" i="1"/>
  <c r="AC1049" i="1" s="1"/>
  <c r="V1047" i="1"/>
  <c r="AC1047" i="1" s="1"/>
  <c r="V1046" i="1"/>
  <c r="AC1046" i="1" s="1"/>
  <c r="V1043" i="1"/>
  <c r="AC1043" i="1" s="1"/>
  <c r="V1044" i="1"/>
  <c r="AC1044" i="1" s="1"/>
  <c r="V1045" i="1"/>
  <c r="AC1045" i="1" s="1"/>
  <c r="V1042" i="1"/>
  <c r="AC1042" i="1" s="1"/>
  <c r="V1041" i="1"/>
  <c r="AC1041" i="1" s="1"/>
  <c r="V1040" i="1"/>
  <c r="AC1040" i="1" s="1"/>
  <c r="V1039" i="1"/>
  <c r="AC1039" i="1" s="1"/>
  <c r="V1038" i="1"/>
  <c r="AC1038" i="1" s="1"/>
  <c r="V1036" i="1"/>
  <c r="AC1036" i="1" s="1"/>
  <c r="V1034" i="1"/>
  <c r="AC1034" i="1" s="1"/>
  <c r="V1033" i="1"/>
  <c r="AC1033" i="1" s="1"/>
  <c r="V1035" i="1"/>
  <c r="AC1035" i="1" s="1"/>
  <c r="V1032" i="1"/>
  <c r="AC1032" i="1" s="1"/>
  <c r="V1030" i="1"/>
  <c r="AC1030" i="1" s="1"/>
  <c r="V1029" i="1"/>
  <c r="AC1029" i="1" s="1"/>
  <c r="V1026" i="1"/>
  <c r="AC1026" i="1" s="1"/>
  <c r="V1027" i="1"/>
  <c r="AC1027" i="1" s="1"/>
  <c r="V1028" i="1"/>
  <c r="AC1028" i="1" s="1"/>
  <c r="V1025" i="1"/>
  <c r="AC1025" i="1" s="1"/>
  <c r="V1022" i="1"/>
  <c r="AC1022" i="1" s="1"/>
  <c r="V1023" i="1"/>
  <c r="AC1023" i="1" s="1"/>
  <c r="V1024" i="1"/>
  <c r="AC1024" i="1" s="1"/>
  <c r="V1021" i="1"/>
  <c r="AC1021" i="1" s="1"/>
  <c r="V1019" i="1"/>
  <c r="AC1019" i="1" s="1"/>
  <c r="V1017" i="1"/>
  <c r="AC1017" i="1" s="1"/>
  <c r="V1018" i="1"/>
  <c r="AC1018" i="1" s="1"/>
  <c r="V1016" i="1"/>
  <c r="AC1016" i="1" s="1"/>
  <c r="V1011" i="1"/>
  <c r="AC1011" i="1" s="1"/>
  <c r="V1012" i="1"/>
  <c r="AC1012" i="1" s="1"/>
  <c r="V1015" i="1"/>
  <c r="AC1015" i="1" s="1"/>
  <c r="V1014" i="1"/>
  <c r="AC1014" i="1" s="1"/>
  <c r="V1013" i="1"/>
  <c r="AC1013" i="1" s="1"/>
  <c r="V1010" i="1"/>
  <c r="AC1010" i="1" s="1"/>
  <c r="V1007" i="1"/>
  <c r="AC1007" i="1" s="1"/>
  <c r="V872" i="1"/>
  <c r="AC872" i="1" s="1"/>
  <c r="V1008" i="1"/>
  <c r="AC1008" i="1" s="1"/>
  <c r="V1004" i="1"/>
  <c r="AC1004" i="1" s="1"/>
  <c r="V1003" i="1"/>
  <c r="AC1003" i="1" s="1"/>
  <c r="V1006" i="1"/>
  <c r="AC1006" i="1" s="1"/>
  <c r="V1005" i="1"/>
  <c r="AC1005" i="1" s="1"/>
  <c r="V1000" i="1"/>
  <c r="AC1000" i="1" s="1"/>
  <c r="V1001" i="1"/>
  <c r="AC1001" i="1" s="1"/>
  <c r="V999" i="1"/>
  <c r="AC999" i="1" s="1"/>
  <c r="V998" i="1"/>
  <c r="AC998" i="1" s="1"/>
  <c r="V997" i="1"/>
  <c r="AC997" i="1" s="1"/>
  <c r="V996" i="1"/>
  <c r="AC996" i="1" s="1"/>
  <c r="V994" i="1"/>
  <c r="AC994" i="1" s="1"/>
  <c r="V990" i="1"/>
  <c r="AC990" i="1" s="1"/>
  <c r="V992" i="1"/>
  <c r="AC992" i="1" s="1"/>
  <c r="V991" i="1"/>
  <c r="AC991" i="1" s="1"/>
  <c r="V993" i="1"/>
  <c r="AC993" i="1" s="1"/>
  <c r="V987" i="1"/>
  <c r="AC987" i="1" s="1"/>
  <c r="V988" i="1"/>
  <c r="AC988" i="1" s="1"/>
  <c r="V986" i="1"/>
  <c r="AC986" i="1" s="1"/>
  <c r="V985" i="1"/>
  <c r="AC985" i="1" s="1"/>
  <c r="V984" i="1"/>
  <c r="AC984" i="1" s="1"/>
  <c r="V982" i="1"/>
  <c r="AC982" i="1" s="1"/>
  <c r="V980" i="1"/>
  <c r="AC980" i="1" s="1"/>
  <c r="V981" i="1"/>
  <c r="AC981" i="1" s="1"/>
  <c r="V983" i="1"/>
  <c r="AC983" i="1" s="1"/>
  <c r="V1205" i="1"/>
  <c r="AC1205" i="1" s="1"/>
  <c r="V979" i="1"/>
  <c r="AC979" i="1" s="1"/>
  <c r="V978" i="1"/>
  <c r="AC978" i="1" s="1"/>
  <c r="V976" i="1"/>
  <c r="AC976" i="1" s="1"/>
  <c r="V975" i="1"/>
  <c r="AC975" i="1" s="1"/>
  <c r="V974" i="1"/>
  <c r="AC974" i="1" s="1"/>
  <c r="V973" i="1"/>
  <c r="AC973" i="1" s="1"/>
  <c r="V971" i="1"/>
  <c r="AC971" i="1" s="1"/>
  <c r="V970" i="1"/>
  <c r="AC970" i="1" s="1"/>
  <c r="V969" i="1"/>
  <c r="AC969" i="1" s="1"/>
  <c r="V968" i="1"/>
  <c r="AC968" i="1" s="1"/>
  <c r="V966" i="1"/>
  <c r="AC966" i="1" s="1"/>
  <c r="V967" i="1"/>
  <c r="AC967" i="1" s="1"/>
  <c r="V965" i="1"/>
  <c r="AC965" i="1" s="1"/>
  <c r="V963" i="1"/>
  <c r="AC963" i="1" s="1"/>
  <c r="V962" i="1"/>
  <c r="AC962" i="1" s="1"/>
  <c r="V960" i="1"/>
  <c r="AC960" i="1" s="1"/>
  <c r="V959" i="1"/>
  <c r="AC959" i="1" s="1"/>
  <c r="V957" i="1"/>
  <c r="AC957" i="1" s="1"/>
  <c r="V958" i="1"/>
  <c r="AC958" i="1" s="1"/>
  <c r="V956" i="1"/>
  <c r="AC956" i="1" s="1"/>
  <c r="V954" i="1"/>
  <c r="AC954" i="1" s="1"/>
  <c r="V953" i="1"/>
  <c r="AC953" i="1" s="1"/>
  <c r="V952" i="1"/>
  <c r="AC952" i="1" s="1"/>
  <c r="V951" i="1"/>
  <c r="AC951" i="1" s="1"/>
  <c r="V948" i="1"/>
  <c r="AC948" i="1" s="1"/>
  <c r="V949" i="1"/>
  <c r="AC949" i="1" s="1"/>
  <c r="V946" i="1"/>
  <c r="AC946" i="1" s="1"/>
  <c r="V945" i="1"/>
  <c r="AC945" i="1" s="1"/>
  <c r="V943" i="1"/>
  <c r="AC943" i="1" s="1"/>
  <c r="V941" i="1"/>
  <c r="AC941" i="1" s="1"/>
  <c r="V944" i="1"/>
  <c r="AC944" i="1" s="1"/>
  <c r="V942" i="1"/>
  <c r="AC942" i="1" s="1"/>
  <c r="V1199" i="1"/>
  <c r="AC1199" i="1" s="1"/>
  <c r="V940" i="1"/>
  <c r="AC940" i="1" s="1"/>
  <c r="V939" i="1"/>
  <c r="AC939" i="1" s="1"/>
  <c r="V938" i="1"/>
  <c r="AC938" i="1" s="1"/>
  <c r="V937" i="1"/>
  <c r="AC937" i="1" s="1"/>
  <c r="V1195" i="1"/>
  <c r="AC1195" i="1" s="1"/>
  <c r="V935" i="1"/>
  <c r="AC935" i="1" s="1"/>
  <c r="V936" i="1"/>
  <c r="AC936" i="1" s="1"/>
  <c r="V934" i="1"/>
  <c r="AC934" i="1" s="1"/>
  <c r="V933" i="1"/>
  <c r="AC933" i="1" s="1"/>
  <c r="V932" i="1"/>
  <c r="AC932" i="1" s="1"/>
  <c r="V930" i="1"/>
  <c r="AC930" i="1" s="1"/>
  <c r="V928" i="1"/>
  <c r="AC928" i="1" s="1"/>
  <c r="V927" i="1"/>
  <c r="AC927" i="1" s="1"/>
  <c r="V926" i="1"/>
  <c r="AC926" i="1" s="1"/>
  <c r="V931" i="1"/>
  <c r="AC931" i="1" s="1"/>
  <c r="V925" i="1"/>
  <c r="AC925" i="1" s="1"/>
  <c r="V922" i="1"/>
  <c r="AC922" i="1" s="1"/>
  <c r="V923" i="1"/>
  <c r="AC923" i="1" s="1"/>
  <c r="V919" i="1"/>
  <c r="AC919" i="1" s="1"/>
  <c r="V920" i="1"/>
  <c r="AC920" i="1" s="1"/>
  <c r="V918" i="1"/>
  <c r="AC918" i="1" s="1"/>
  <c r="V917" i="1"/>
  <c r="AC917" i="1" s="1"/>
  <c r="V916" i="1"/>
  <c r="AC916" i="1" s="1"/>
  <c r="V914" i="1"/>
  <c r="AC914" i="1" s="1"/>
  <c r="V915" i="1"/>
  <c r="AC915" i="1" s="1"/>
  <c r="V913" i="1"/>
  <c r="AC913" i="1" s="1"/>
  <c r="V912" i="1"/>
  <c r="AC912" i="1" s="1"/>
  <c r="V911" i="1"/>
  <c r="AC911" i="1" s="1"/>
  <c r="V907" i="1"/>
  <c r="AC907" i="1" s="1"/>
  <c r="V905" i="1"/>
  <c r="AC905" i="1" s="1"/>
  <c r="V904" i="1"/>
  <c r="AC904" i="1" s="1"/>
  <c r="V903" i="1"/>
  <c r="AC903" i="1" s="1"/>
  <c r="V902" i="1"/>
  <c r="AC902" i="1" s="1"/>
  <c r="V901" i="1"/>
  <c r="AC901" i="1" s="1"/>
  <c r="V900" i="1"/>
  <c r="AC900" i="1" s="1"/>
  <c r="V897" i="1"/>
  <c r="AC897" i="1" s="1"/>
  <c r="V896" i="1"/>
  <c r="AC896" i="1" s="1"/>
  <c r="V895" i="1"/>
  <c r="AC895" i="1" s="1"/>
  <c r="V893" i="1"/>
  <c r="AC893" i="1" s="1"/>
  <c r="V891" i="1"/>
  <c r="AC891" i="1" s="1"/>
  <c r="V890" i="1"/>
  <c r="AC890" i="1" s="1"/>
  <c r="V894" i="1"/>
  <c r="AC894" i="1" s="1"/>
  <c r="V892" i="1"/>
  <c r="AC892" i="1" s="1"/>
  <c r="V889" i="1"/>
  <c r="AC889" i="1" s="1"/>
  <c r="V1176" i="1"/>
  <c r="AC1176" i="1" s="1"/>
  <c r="V888" i="1"/>
  <c r="AC888" i="1" s="1"/>
  <c r="V884" i="1"/>
  <c r="AC884" i="1" s="1"/>
  <c r="V883" i="1"/>
  <c r="AC883" i="1" s="1"/>
  <c r="V3466" i="1"/>
  <c r="AC3466" i="1" s="1"/>
  <c r="V3467" i="1"/>
  <c r="AC3467" i="1" s="1"/>
  <c r="V3468" i="1"/>
  <c r="AC3468" i="1" s="1"/>
  <c r="V3470" i="1"/>
  <c r="AC3470" i="1" s="1"/>
  <c r="V3469" i="1"/>
  <c r="AC3469" i="1" s="1"/>
  <c r="V3471" i="1"/>
  <c r="AC3471" i="1" s="1"/>
  <c r="V3472" i="1"/>
  <c r="AC3472" i="1" s="1"/>
  <c r="V3473" i="1"/>
  <c r="AC3473" i="1" s="1"/>
  <c r="V3475" i="1"/>
  <c r="AC3475" i="1" s="1"/>
  <c r="V3474" i="1"/>
  <c r="AC3474" i="1" s="1"/>
  <c r="V3476" i="1"/>
  <c r="AC3476" i="1" s="1"/>
  <c r="V3478" i="1"/>
  <c r="AC3478" i="1" s="1"/>
  <c r="V3477" i="1"/>
  <c r="AC3477" i="1" s="1"/>
  <c r="V3479" i="1"/>
  <c r="AC3479" i="1" s="1"/>
  <c r="V3480" i="1"/>
  <c r="AC3480" i="1" s="1"/>
  <c r="V3481" i="1"/>
  <c r="AC3481" i="1" s="1"/>
  <c r="V3482" i="1"/>
  <c r="AC3482" i="1" s="1"/>
  <c r="V3483" i="1"/>
  <c r="AC3483" i="1" s="1"/>
  <c r="V3484" i="1"/>
  <c r="AC3484" i="1" s="1"/>
  <c r="V3485" i="1"/>
  <c r="AC3485" i="1" s="1"/>
  <c r="V3486" i="1"/>
  <c r="AC3486" i="1" s="1"/>
  <c r="V3487" i="1"/>
  <c r="AC3487" i="1" s="1"/>
  <c r="V3489" i="1"/>
  <c r="AC3489" i="1" s="1"/>
  <c r="V3490" i="1"/>
  <c r="AC3490" i="1" s="1"/>
  <c r="V3491" i="1"/>
  <c r="AC3491" i="1" s="1"/>
  <c r="V3492" i="1"/>
  <c r="AC3492" i="1" s="1"/>
  <c r="V3493" i="1"/>
  <c r="AC3493" i="1" s="1"/>
  <c r="V3495" i="1"/>
  <c r="AC3495" i="1" s="1"/>
  <c r="V3497" i="1"/>
  <c r="AC3497" i="1" s="1"/>
  <c r="V3496" i="1"/>
  <c r="AC3496" i="1" s="1"/>
  <c r="V3498" i="1"/>
  <c r="AC3498" i="1" s="1"/>
  <c r="V3499" i="1"/>
  <c r="AC3499" i="1" s="1"/>
  <c r="V3500" i="1"/>
  <c r="AC3500" i="1" s="1"/>
  <c r="V3501" i="1"/>
  <c r="AC3501" i="1" s="1"/>
  <c r="V3502" i="1"/>
  <c r="AC3502" i="1" s="1"/>
  <c r="V3503" i="1"/>
  <c r="AC3503" i="1" s="1"/>
  <c r="V3504" i="1"/>
  <c r="AC3504" i="1" s="1"/>
  <c r="V3505" i="1"/>
  <c r="AC3505" i="1" s="1"/>
  <c r="V3506" i="1"/>
  <c r="AC3506" i="1" s="1"/>
  <c r="V3508" i="1"/>
  <c r="AC3508" i="1" s="1"/>
  <c r="V3509" i="1"/>
  <c r="AC3509" i="1" s="1"/>
  <c r="V3510" i="1"/>
  <c r="AC3510" i="1" s="1"/>
  <c r="V3511" i="1"/>
  <c r="AC3511" i="1" s="1"/>
  <c r="V3512" i="1"/>
  <c r="AC3512" i="1" s="1"/>
  <c r="V3514" i="1"/>
  <c r="AC3514" i="1" s="1"/>
  <c r="V3515" i="1"/>
  <c r="AC3515" i="1" s="1"/>
  <c r="V3516" i="1"/>
  <c r="AC3516" i="1" s="1"/>
  <c r="V3519" i="1"/>
  <c r="AC3519" i="1" s="1"/>
  <c r="V3518" i="1"/>
  <c r="AC3518" i="1" s="1"/>
  <c r="V3522" i="1"/>
  <c r="AC3522" i="1" s="1"/>
  <c r="V3521" i="1"/>
  <c r="AC3521" i="1" s="1"/>
  <c r="V3520" i="1"/>
  <c r="AC3520" i="1" s="1"/>
  <c r="V3523" i="1"/>
  <c r="AC3523" i="1" s="1"/>
  <c r="V3524" i="1"/>
  <c r="AC3524" i="1" s="1"/>
  <c r="V3527" i="1"/>
  <c r="AC3527" i="1" s="1"/>
  <c r="V3526" i="1"/>
  <c r="AC3526" i="1" s="1"/>
  <c r="V3528" i="1"/>
  <c r="AC3528" i="1" s="1"/>
  <c r="V3532" i="1"/>
  <c r="AC3532" i="1" s="1"/>
  <c r="V3530" i="1"/>
  <c r="AC3530" i="1" s="1"/>
  <c r="V3531" i="1"/>
  <c r="AC3531" i="1" s="1"/>
  <c r="V3533" i="1"/>
  <c r="AC3533" i="1" s="1"/>
  <c r="V3534" i="1"/>
  <c r="AC3534" i="1" s="1"/>
  <c r="V3536" i="1"/>
  <c r="AC3536" i="1" s="1"/>
  <c r="V3535" i="1"/>
  <c r="AC3535" i="1" s="1"/>
  <c r="V3537" i="1"/>
  <c r="AC3537" i="1" s="1"/>
  <c r="V3539" i="1"/>
  <c r="AC3539" i="1" s="1"/>
  <c r="V3538" i="1"/>
  <c r="AC3538" i="1" s="1"/>
  <c r="V3540" i="1"/>
  <c r="AC3540" i="1" s="1"/>
  <c r="V3542" i="1"/>
  <c r="AC3542" i="1" s="1"/>
  <c r="V3541" i="1"/>
  <c r="AC3541" i="1" s="1"/>
  <c r="V3543" i="1"/>
  <c r="AC3543" i="1" s="1"/>
  <c r="V3545" i="1"/>
  <c r="AC3545" i="1" s="1"/>
  <c r="V3546" i="1"/>
  <c r="AC3546" i="1" s="1"/>
  <c r="V3548" i="1"/>
  <c r="AC3548" i="1" s="1"/>
  <c r="V3547" i="1"/>
  <c r="AC3547" i="1" s="1"/>
  <c r="V3551" i="1"/>
  <c r="AC3551" i="1" s="1"/>
  <c r="V3549" i="1"/>
  <c r="AC3549" i="1" s="1"/>
  <c r="V3550" i="1"/>
  <c r="AC3550" i="1" s="1"/>
  <c r="V3552" i="1"/>
  <c r="AC3552" i="1" s="1"/>
  <c r="V3556" i="1"/>
  <c r="AC3556" i="1" s="1"/>
  <c r="V3559" i="1"/>
  <c r="AC3559" i="1" s="1"/>
  <c r="V3554" i="1"/>
  <c r="AC3554" i="1" s="1"/>
  <c r="V3558" i="1"/>
  <c r="AC3558" i="1" s="1"/>
  <c r="V3553" i="1"/>
  <c r="AC3553" i="1" s="1"/>
  <c r="V3555" i="1"/>
  <c r="AC3555" i="1" s="1"/>
  <c r="V3557" i="1"/>
  <c r="AC3557" i="1" s="1"/>
  <c r="V3560" i="1"/>
  <c r="AC3560" i="1" s="1"/>
  <c r="V3561" i="1"/>
  <c r="AC3561" i="1" s="1"/>
  <c r="V3562" i="1"/>
  <c r="AC3562" i="1" s="1"/>
  <c r="V3564" i="1"/>
  <c r="AC3564" i="1" s="1"/>
  <c r="V3563" i="1"/>
  <c r="AC3563" i="1" s="1"/>
  <c r="V3565" i="1"/>
  <c r="AC3565" i="1" s="1"/>
  <c r="V3566" i="1"/>
  <c r="AC3566" i="1" s="1"/>
  <c r="V3569" i="1"/>
  <c r="AC3569" i="1" s="1"/>
  <c r="V3567" i="1"/>
  <c r="AC3567" i="1" s="1"/>
  <c r="V3568" i="1"/>
  <c r="AC3568" i="1" s="1"/>
  <c r="V3574" i="1"/>
  <c r="AC3574" i="1" s="1"/>
  <c r="V3573" i="1"/>
  <c r="AC3573" i="1" s="1"/>
  <c r="V3572" i="1"/>
  <c r="AC3572" i="1" s="1"/>
  <c r="V3571" i="1"/>
  <c r="AC3571" i="1" s="1"/>
  <c r="V3570" i="1"/>
  <c r="AC3570" i="1" s="1"/>
  <c r="V3577" i="1"/>
  <c r="AC3577" i="1" s="1"/>
  <c r="V3575" i="1"/>
  <c r="AC3575" i="1" s="1"/>
  <c r="V3576" i="1"/>
  <c r="AC3576" i="1" s="1"/>
  <c r="V3581" i="1"/>
  <c r="AC3581" i="1" s="1"/>
  <c r="V3580" i="1"/>
  <c r="AC3580" i="1" s="1"/>
  <c r="V3579" i="1"/>
  <c r="AC3579" i="1" s="1"/>
  <c r="V3578" i="1"/>
  <c r="AC3578" i="1" s="1"/>
  <c r="V3582" i="1"/>
  <c r="AC3582" i="1" s="1"/>
  <c r="V3583" i="1"/>
  <c r="AC3583" i="1" s="1"/>
  <c r="V3584" i="1"/>
  <c r="AC3584" i="1" s="1"/>
  <c r="V3585" i="1"/>
  <c r="AC3585" i="1" s="1"/>
  <c r="V3588" i="1"/>
  <c r="AC3588" i="1" s="1"/>
  <c r="V3587" i="1"/>
  <c r="AC3587" i="1" s="1"/>
  <c r="V3586" i="1"/>
  <c r="AC3586" i="1" s="1"/>
  <c r="V3591" i="1"/>
  <c r="AC3591" i="1" s="1"/>
  <c r="V3589" i="1"/>
  <c r="AC3589" i="1" s="1"/>
  <c r="V3590" i="1"/>
  <c r="AC3590" i="1" s="1"/>
  <c r="V3592" i="1"/>
  <c r="AC3592" i="1" s="1"/>
  <c r="V3593" i="1"/>
  <c r="AC3593" i="1" s="1"/>
  <c r="V3596" i="1"/>
  <c r="AC3596" i="1" s="1"/>
  <c r="V3594" i="1"/>
  <c r="AC3594" i="1" s="1"/>
  <c r="V3595" i="1"/>
  <c r="AC3595" i="1" s="1"/>
  <c r="V3598" i="1"/>
  <c r="AC3598" i="1" s="1"/>
  <c r="V3599" i="1"/>
  <c r="AC3599" i="1" s="1"/>
  <c r="V7162" i="1"/>
  <c r="AC7162" i="1" s="1"/>
  <c r="AB7162" i="1"/>
  <c r="V3016" i="1"/>
  <c r="AC3016" i="1" s="1"/>
  <c r="AB3016" i="1"/>
  <c r="V3278" i="1"/>
  <c r="AC3278" i="1" s="1"/>
  <c r="AB3278" i="1"/>
  <c r="V4465" i="1"/>
  <c r="AC4465" i="1" s="1"/>
  <c r="AB4465" i="1"/>
  <c r="V5207" i="1"/>
  <c r="AC5207" i="1" s="1"/>
  <c r="AB5207" i="1"/>
  <c r="V6036" i="1"/>
  <c r="AC6036" i="1" s="1"/>
  <c r="AB6036" i="1"/>
  <c r="V6410" i="1"/>
  <c r="AC6410" i="1" s="1"/>
  <c r="AB6410" i="1"/>
  <c r="V6681" i="1"/>
  <c r="AC6681" i="1" s="1"/>
  <c r="AB6681" i="1"/>
  <c r="V6930" i="1"/>
  <c r="AC6930" i="1" s="1"/>
  <c r="AB6930" i="1"/>
  <c r="V7165" i="1"/>
  <c r="AC7165" i="1" s="1"/>
  <c r="AB7165" i="1"/>
  <c r="V6957" i="1"/>
  <c r="AC6957" i="1" s="1"/>
  <c r="AB6957" i="1"/>
  <c r="V7123" i="1"/>
  <c r="AC7123" i="1" s="1"/>
  <c r="AB7123" i="1"/>
  <c r="V7436" i="1"/>
  <c r="AC7436" i="1" s="1"/>
  <c r="AB7436" i="1"/>
  <c r="V7440" i="1"/>
  <c r="AC7440" i="1" s="1"/>
  <c r="AB7440" i="1"/>
  <c r="V7546" i="1"/>
  <c r="AC7546" i="1" s="1"/>
  <c r="AB7546" i="1"/>
  <c r="V7702" i="1"/>
  <c r="AC7702" i="1" s="1"/>
  <c r="AB7702" i="1"/>
  <c r="V7909" i="1"/>
  <c r="AC7909" i="1" s="1"/>
  <c r="AB7909" i="1"/>
  <c r="V7944" i="1"/>
  <c r="AC7944" i="1" s="1"/>
  <c r="AB7944" i="1"/>
  <c r="V8417" i="1"/>
  <c r="AC8417" i="1" s="1"/>
  <c r="AB8417" i="1"/>
  <c r="V4442" i="1"/>
  <c r="AC4442" i="1" s="1"/>
  <c r="AB4442" i="1"/>
  <c r="V3600" i="1"/>
  <c r="AC3600" i="1" s="1"/>
  <c r="V10531" i="1"/>
  <c r="AC10531" i="1" s="1"/>
  <c r="AB10531" i="1"/>
  <c r="V3601" i="1"/>
  <c r="AC3601" i="1" s="1"/>
  <c r="V3602" i="1"/>
  <c r="AC3602" i="1" s="1"/>
  <c r="V3604" i="1"/>
  <c r="AC3604" i="1" s="1"/>
  <c r="V3603" i="1"/>
  <c r="AC3603" i="1" s="1"/>
  <c r="V3605" i="1"/>
  <c r="AC3605" i="1" s="1"/>
  <c r="V3606" i="1"/>
  <c r="AC3606" i="1" s="1"/>
  <c r="V3607" i="1"/>
  <c r="AC3607" i="1" s="1"/>
  <c r="V3608" i="1"/>
  <c r="AC3608" i="1" s="1"/>
  <c r="V3609" i="1"/>
  <c r="AC3609" i="1" s="1"/>
  <c r="V3610" i="1"/>
  <c r="AC3610" i="1" s="1"/>
  <c r="V3611" i="1"/>
  <c r="AC3611" i="1" s="1"/>
  <c r="V3612" i="1"/>
  <c r="AC3612" i="1" s="1"/>
  <c r="V3615" i="1"/>
  <c r="AC3615" i="1" s="1"/>
  <c r="V3617" i="1"/>
  <c r="AC3617" i="1" s="1"/>
  <c r="V3616" i="1"/>
  <c r="AC3616" i="1" s="1"/>
  <c r="V3619" i="1"/>
  <c r="AC3619" i="1" s="1"/>
  <c r="V3620" i="1"/>
  <c r="AC3620" i="1" s="1"/>
  <c r="V3622" i="1"/>
  <c r="AC3622" i="1" s="1"/>
  <c r="V3621" i="1"/>
  <c r="AC3621" i="1" s="1"/>
  <c r="V3623" i="1"/>
  <c r="AC3623" i="1" s="1"/>
  <c r="V3624" i="1"/>
  <c r="AC3624" i="1" s="1"/>
  <c r="V3625" i="1"/>
  <c r="AC3625" i="1" s="1"/>
  <c r="V3627" i="1"/>
  <c r="AC3627" i="1" s="1"/>
  <c r="V3626" i="1"/>
  <c r="AC3626" i="1" s="1"/>
  <c r="V3628" i="1"/>
  <c r="AC3628" i="1" s="1"/>
  <c r="V3629" i="1"/>
  <c r="AC3629" i="1" s="1"/>
  <c r="V3632" i="1"/>
  <c r="AC3632" i="1" s="1"/>
  <c r="V3631" i="1"/>
  <c r="AC3631" i="1" s="1"/>
  <c r="V3630" i="1"/>
  <c r="AC3630" i="1" s="1"/>
  <c r="V3633" i="1"/>
  <c r="AC3633" i="1" s="1"/>
  <c r="V3635" i="1"/>
  <c r="AC3635" i="1" s="1"/>
  <c r="V3634" i="1"/>
  <c r="AC3634" i="1" s="1"/>
  <c r="V3636" i="1"/>
  <c r="AC3636" i="1" s="1"/>
  <c r="V3637" i="1"/>
  <c r="AC3637" i="1" s="1"/>
  <c r="V3638" i="1"/>
  <c r="AC3638" i="1" s="1"/>
  <c r="V3641" i="1"/>
  <c r="AC3641" i="1" s="1"/>
  <c r="V3639" i="1"/>
  <c r="AC3639" i="1" s="1"/>
  <c r="V3640" i="1"/>
  <c r="AC3640" i="1" s="1"/>
  <c r="V3642" i="1"/>
  <c r="AC3642" i="1" s="1"/>
  <c r="V3644" i="1"/>
  <c r="AC3644" i="1" s="1"/>
  <c r="V3645" i="1"/>
  <c r="AC3645" i="1" s="1"/>
  <c r="V3643" i="1"/>
  <c r="AC3643" i="1" s="1"/>
  <c r="V3646" i="1"/>
  <c r="AC3646" i="1" s="1"/>
  <c r="V3648" i="1"/>
  <c r="AC3648" i="1" s="1"/>
  <c r="V3647" i="1"/>
  <c r="AC3647" i="1" s="1"/>
  <c r="V3649" i="1"/>
  <c r="AC3649" i="1" s="1"/>
  <c r="V3650" i="1"/>
  <c r="AC3650" i="1" s="1"/>
  <c r="V3652" i="1"/>
  <c r="AC3652" i="1" s="1"/>
  <c r="V3651" i="1"/>
  <c r="AC3651" i="1" s="1"/>
  <c r="V3653" i="1"/>
  <c r="AC3653" i="1" s="1"/>
  <c r="V3655" i="1"/>
  <c r="AC3655" i="1" s="1"/>
  <c r="V3656" i="1"/>
  <c r="AC3656" i="1" s="1"/>
  <c r="V3654" i="1"/>
  <c r="AC3654" i="1" s="1"/>
  <c r="V3657" i="1"/>
  <c r="AC3657" i="1" s="1"/>
  <c r="V3658" i="1"/>
  <c r="AC3658" i="1" s="1"/>
  <c r="V3659" i="1"/>
  <c r="AC3659" i="1" s="1"/>
  <c r="V3660" i="1"/>
  <c r="AC3660" i="1" s="1"/>
  <c r="V3661" i="1"/>
  <c r="AC3661" i="1" s="1"/>
  <c r="V3662" i="1"/>
  <c r="AC3662" i="1" s="1"/>
  <c r="V3665" i="1"/>
  <c r="AC3665" i="1" s="1"/>
  <c r="V3663" i="1"/>
  <c r="AC3663" i="1" s="1"/>
  <c r="V3664" i="1"/>
  <c r="AC3664" i="1" s="1"/>
  <c r="V3666" i="1"/>
  <c r="AC3666" i="1" s="1"/>
  <c r="V3667" i="1"/>
  <c r="AC3667" i="1" s="1"/>
  <c r="V3668" i="1"/>
  <c r="AC3668" i="1" s="1"/>
  <c r="V3669" i="1"/>
  <c r="AC3669" i="1" s="1"/>
  <c r="V3670" i="1"/>
  <c r="AC3670" i="1" s="1"/>
  <c r="V3672" i="1"/>
  <c r="AC3672" i="1" s="1"/>
  <c r="V3674" i="1"/>
  <c r="AC3674" i="1" s="1"/>
  <c r="V3676" i="1"/>
  <c r="AC3676" i="1" s="1"/>
  <c r="V3675" i="1"/>
  <c r="AC3675" i="1" s="1"/>
  <c r="V3677" i="1"/>
  <c r="AC3677" i="1" s="1"/>
  <c r="V3679" i="1"/>
  <c r="AC3679" i="1" s="1"/>
  <c r="V3678" i="1"/>
  <c r="AC3678" i="1" s="1"/>
  <c r="V3682" i="1"/>
  <c r="AC3682" i="1" s="1"/>
  <c r="V3680" i="1"/>
  <c r="AC3680" i="1" s="1"/>
  <c r="V3681" i="1"/>
  <c r="AC3681" i="1" s="1"/>
  <c r="V3683" i="1"/>
  <c r="AC3683" i="1" s="1"/>
  <c r="V3686" i="1"/>
  <c r="AC3686" i="1" s="1"/>
  <c r="V3685" i="1"/>
  <c r="AC3685" i="1" s="1"/>
  <c r="V3687" i="1"/>
  <c r="AC3687" i="1" s="1"/>
  <c r="V3689" i="1"/>
  <c r="AC3689" i="1" s="1"/>
  <c r="V3691" i="1"/>
  <c r="AC3691" i="1" s="1"/>
  <c r="V3688" i="1"/>
  <c r="AC3688" i="1" s="1"/>
  <c r="V3690" i="1"/>
  <c r="AC3690" i="1" s="1"/>
  <c r="V3692" i="1"/>
  <c r="AC3692" i="1" s="1"/>
  <c r="V3693" i="1"/>
  <c r="AC3693" i="1" s="1"/>
  <c r="V3695" i="1"/>
  <c r="AC3695" i="1" s="1"/>
  <c r="V3694" i="1"/>
  <c r="AC3694" i="1" s="1"/>
  <c r="V3697" i="1"/>
  <c r="AC3697" i="1" s="1"/>
  <c r="V3696" i="1"/>
  <c r="AC3696" i="1" s="1"/>
  <c r="V3698" i="1"/>
  <c r="AC3698" i="1" s="1"/>
  <c r="V3699" i="1"/>
  <c r="AC3699" i="1" s="1"/>
  <c r="V3701" i="1"/>
  <c r="AC3701" i="1" s="1"/>
  <c r="V3702" i="1"/>
  <c r="AC3702" i="1" s="1"/>
  <c r="V3703" i="1"/>
  <c r="AC3703" i="1" s="1"/>
  <c r="V3704" i="1"/>
  <c r="AC3704" i="1" s="1"/>
  <c r="V3705" i="1"/>
  <c r="AC3705" i="1" s="1"/>
  <c r="V3706" i="1"/>
  <c r="AC3706" i="1" s="1"/>
  <c r="V3707" i="1"/>
  <c r="AC3707" i="1" s="1"/>
  <c r="V3709" i="1"/>
  <c r="AC3709" i="1" s="1"/>
  <c r="V3710" i="1"/>
  <c r="AC3710" i="1" s="1"/>
  <c r="V3711" i="1"/>
  <c r="AC3711" i="1" s="1"/>
  <c r="V3712" i="1"/>
  <c r="AC3712" i="1" s="1"/>
  <c r="V3713" i="1"/>
  <c r="AC3713" i="1" s="1"/>
  <c r="V3716" i="1"/>
  <c r="AC3716" i="1" s="1"/>
  <c r="V3715" i="1"/>
  <c r="AC3715" i="1" s="1"/>
  <c r="V3714" i="1"/>
  <c r="AC3714" i="1" s="1"/>
  <c r="V3717" i="1"/>
  <c r="AC3717" i="1" s="1"/>
  <c r="V3718" i="1"/>
  <c r="AC3718" i="1" s="1"/>
  <c r="V3719" i="1"/>
  <c r="AC3719" i="1" s="1"/>
  <c r="V3720" i="1"/>
  <c r="AC3720" i="1" s="1"/>
  <c r="V3721" i="1"/>
  <c r="AC3721" i="1" s="1"/>
  <c r="V3722" i="1"/>
  <c r="AC3722" i="1" s="1"/>
  <c r="V3725" i="1"/>
  <c r="AC3725" i="1" s="1"/>
  <c r="V3723" i="1"/>
  <c r="AC3723" i="1" s="1"/>
  <c r="V3724" i="1"/>
  <c r="AC3724" i="1" s="1"/>
  <c r="V5044" i="1"/>
  <c r="AC5044" i="1" s="1"/>
  <c r="AB5044" i="1"/>
  <c r="V8751" i="1"/>
  <c r="AC8751" i="1" s="1"/>
  <c r="AB8751" i="1"/>
  <c r="V3393" i="1"/>
  <c r="AC3393" i="1" s="1"/>
  <c r="AB3393" i="1"/>
  <c r="V4672" i="1"/>
  <c r="AC4672" i="1" s="1"/>
  <c r="AB4672" i="1"/>
  <c r="V9723" i="1"/>
  <c r="AC9723" i="1" s="1"/>
  <c r="AB9723" i="1"/>
  <c r="V2323" i="1"/>
  <c r="AC2323" i="1" s="1"/>
  <c r="AB2323" i="1"/>
  <c r="V3727" i="1"/>
  <c r="AC3727" i="1" s="1"/>
  <c r="V3726" i="1"/>
  <c r="AC3726" i="1" s="1"/>
  <c r="V3728" i="1"/>
  <c r="AC3728" i="1" s="1"/>
  <c r="V3729" i="1"/>
  <c r="AC3729" i="1" s="1"/>
  <c r="V3730" i="1"/>
  <c r="AC3730" i="1" s="1"/>
  <c r="V3731" i="1"/>
  <c r="AC3731" i="1" s="1"/>
  <c r="V3732" i="1"/>
  <c r="AC3732" i="1" s="1"/>
  <c r="V3735" i="1"/>
  <c r="AC3735" i="1" s="1"/>
  <c r="V3734" i="1"/>
  <c r="AC3734" i="1" s="1"/>
  <c r="V3733" i="1"/>
  <c r="AC3733" i="1" s="1"/>
  <c r="V3736" i="1"/>
  <c r="AC3736" i="1" s="1"/>
  <c r="V3737" i="1"/>
  <c r="AC3737" i="1" s="1"/>
  <c r="V3739" i="1"/>
  <c r="AC3739" i="1" s="1"/>
  <c r="V3738" i="1"/>
  <c r="AC3738" i="1" s="1"/>
  <c r="V3740" i="1"/>
  <c r="AC3740" i="1" s="1"/>
  <c r="V3741" i="1"/>
  <c r="AC3741" i="1" s="1"/>
  <c r="V91" i="1"/>
  <c r="AC91" i="1" s="1"/>
  <c r="AB91" i="1"/>
  <c r="V7007" i="1"/>
  <c r="AC7007" i="1" s="1"/>
  <c r="AB7007" i="1"/>
  <c r="S3125" i="1"/>
  <c r="V3742" i="1"/>
  <c r="AC3742" i="1" s="1"/>
  <c r="V3744" i="1"/>
  <c r="AC3744" i="1" s="1"/>
  <c r="V3743" i="1"/>
  <c r="AC3743" i="1" s="1"/>
  <c r="V3745" i="1"/>
  <c r="AC3745" i="1" s="1"/>
  <c r="V3746" i="1"/>
  <c r="AC3746" i="1" s="1"/>
  <c r="V3747" i="1"/>
  <c r="AC3747" i="1" s="1"/>
  <c r="V3748" i="1"/>
  <c r="AC3748" i="1" s="1"/>
  <c r="V3749" i="1"/>
  <c r="AC3749" i="1" s="1"/>
  <c r="V3751" i="1"/>
  <c r="AC3751" i="1" s="1"/>
  <c r="V3750" i="1"/>
  <c r="AC3750" i="1" s="1"/>
  <c r="V3753" i="1"/>
  <c r="AC3753" i="1" s="1"/>
  <c r="V3752" i="1"/>
  <c r="AC3752" i="1" s="1"/>
  <c r="V3754" i="1"/>
  <c r="AC3754" i="1" s="1"/>
  <c r="V3756" i="1"/>
  <c r="AC3756" i="1" s="1"/>
  <c r="V3757" i="1"/>
  <c r="AC3757" i="1" s="1"/>
  <c r="V3758" i="1"/>
  <c r="AC3758" i="1" s="1"/>
  <c r="V3760" i="1"/>
  <c r="AC3760" i="1" s="1"/>
  <c r="V3759" i="1"/>
  <c r="AC3759" i="1" s="1"/>
  <c r="V3764" i="1"/>
  <c r="AC3764" i="1" s="1"/>
  <c r="V3763" i="1"/>
  <c r="AC3763" i="1" s="1"/>
  <c r="V3761" i="1"/>
  <c r="AC3761" i="1" s="1"/>
  <c r="V3762" i="1"/>
  <c r="AC3762" i="1" s="1"/>
  <c r="V3765" i="1"/>
  <c r="AC3765" i="1" s="1"/>
  <c r="V3767" i="1"/>
  <c r="AC3767" i="1" s="1"/>
  <c r="V3766" i="1"/>
  <c r="AC3766" i="1" s="1"/>
  <c r="V3768" i="1"/>
  <c r="AC3768" i="1" s="1"/>
  <c r="V3864" i="1"/>
  <c r="AC3864" i="1" s="1"/>
  <c r="V3769" i="1"/>
  <c r="AC3769" i="1" s="1"/>
  <c r="V3770" i="1"/>
  <c r="AC3770" i="1" s="1"/>
  <c r="V3771" i="1"/>
  <c r="AC3771" i="1" s="1"/>
  <c r="V3772" i="1"/>
  <c r="AC3772" i="1" s="1"/>
  <c r="V3773" i="1"/>
  <c r="AC3773" i="1" s="1"/>
  <c r="V3775" i="1"/>
  <c r="AC3775" i="1" s="1"/>
  <c r="V3776" i="1"/>
  <c r="AC3776" i="1" s="1"/>
  <c r="V3777" i="1"/>
  <c r="AC3777" i="1" s="1"/>
  <c r="V3774" i="1"/>
  <c r="AC3774" i="1" s="1"/>
  <c r="V3779" i="1"/>
  <c r="AC3779" i="1" s="1"/>
  <c r="V3778" i="1"/>
  <c r="AC3778" i="1" s="1"/>
  <c r="V3780" i="1"/>
  <c r="AC3780" i="1" s="1"/>
  <c r="V3781" i="1"/>
  <c r="AC3781" i="1" s="1"/>
  <c r="V3784" i="1"/>
  <c r="AC3784" i="1" s="1"/>
  <c r="V3783" i="1"/>
  <c r="AC3783" i="1" s="1"/>
  <c r="V3782" i="1"/>
  <c r="AC3782" i="1" s="1"/>
  <c r="V3785" i="1"/>
  <c r="AC3785" i="1" s="1"/>
  <c r="V3786" i="1"/>
  <c r="AC3786" i="1" s="1"/>
  <c r="V3787" i="1"/>
  <c r="AC3787" i="1" s="1"/>
  <c r="V3789" i="1"/>
  <c r="AC3789" i="1" s="1"/>
  <c r="V3788" i="1"/>
  <c r="AC3788" i="1" s="1"/>
  <c r="V3790" i="1"/>
  <c r="AC3790" i="1" s="1"/>
  <c r="V3791" i="1"/>
  <c r="AC3791" i="1" s="1"/>
  <c r="V3792" i="1"/>
  <c r="AC3792" i="1" s="1"/>
  <c r="V3793" i="1"/>
  <c r="AC3793" i="1" s="1"/>
  <c r="V3794" i="1"/>
  <c r="AC3794" i="1" s="1"/>
  <c r="V3795" i="1"/>
  <c r="AC3795" i="1" s="1"/>
  <c r="V3796" i="1"/>
  <c r="AC3796" i="1" s="1"/>
  <c r="V3798" i="1"/>
  <c r="AC3798" i="1" s="1"/>
  <c r="V3797" i="1"/>
  <c r="AC3797" i="1" s="1"/>
  <c r="V3799" i="1"/>
  <c r="AC3799" i="1" s="1"/>
  <c r="V3800" i="1"/>
  <c r="AC3800" i="1" s="1"/>
  <c r="V3801" i="1"/>
  <c r="AC3801" i="1" s="1"/>
  <c r="V3803" i="1"/>
  <c r="AC3803" i="1" s="1"/>
  <c r="V3804" i="1"/>
  <c r="AC3804" i="1" s="1"/>
  <c r="V3805" i="1"/>
  <c r="AC3805" i="1" s="1"/>
  <c r="V3806" i="1"/>
  <c r="AC3806" i="1" s="1"/>
  <c r="V3808" i="1"/>
  <c r="AC3808" i="1" s="1"/>
  <c r="V3809" i="1"/>
  <c r="AC3809" i="1" s="1"/>
  <c r="V3811" i="1"/>
  <c r="AC3811" i="1" s="1"/>
  <c r="V3810" i="1"/>
  <c r="AC3810" i="1" s="1"/>
  <c r="V3812" i="1"/>
  <c r="AC3812" i="1" s="1"/>
  <c r="V3815" i="1"/>
  <c r="AC3815" i="1" s="1"/>
  <c r="V3814" i="1"/>
  <c r="AC3814" i="1" s="1"/>
  <c r="V3816" i="1"/>
  <c r="AC3816" i="1" s="1"/>
  <c r="V3817" i="1"/>
  <c r="AC3817" i="1" s="1"/>
  <c r="V3818" i="1"/>
  <c r="AC3818" i="1" s="1"/>
  <c r="V3819" i="1"/>
  <c r="AC3819" i="1" s="1"/>
  <c r="V3821" i="1"/>
  <c r="AC3821" i="1" s="1"/>
  <c r="V3822" i="1"/>
  <c r="AC3822" i="1" s="1"/>
  <c r="V3823" i="1"/>
  <c r="AC3823" i="1" s="1"/>
  <c r="V3824" i="1"/>
  <c r="AC3824" i="1" s="1"/>
  <c r="V3825" i="1"/>
  <c r="AC3825" i="1" s="1"/>
  <c r="V3826" i="1"/>
  <c r="AC3826" i="1" s="1"/>
  <c r="V3827" i="1"/>
  <c r="AC3827" i="1" s="1"/>
  <c r="V3828" i="1"/>
  <c r="AC3828" i="1" s="1"/>
  <c r="V3829" i="1"/>
  <c r="AC3829" i="1" s="1"/>
  <c r="V3830" i="1"/>
  <c r="AC3830" i="1" s="1"/>
  <c r="V3831" i="1"/>
  <c r="AC3831" i="1" s="1"/>
  <c r="V3832" i="1"/>
  <c r="AC3832" i="1" s="1"/>
  <c r="V3833" i="1"/>
  <c r="AC3833" i="1" s="1"/>
  <c r="V3834" i="1"/>
  <c r="AC3834" i="1" s="1"/>
  <c r="V3835" i="1"/>
  <c r="AC3835" i="1" s="1"/>
  <c r="V3836" i="1"/>
  <c r="AC3836" i="1" s="1"/>
  <c r="V3837" i="1"/>
  <c r="AC3837" i="1" s="1"/>
  <c r="V3838" i="1"/>
  <c r="AC3838" i="1" s="1"/>
  <c r="V3839" i="1"/>
  <c r="AC3839" i="1" s="1"/>
  <c r="V3841" i="1"/>
  <c r="AC3841" i="1" s="1"/>
  <c r="V3843" i="1"/>
  <c r="AC3843" i="1" s="1"/>
  <c r="V3842" i="1"/>
  <c r="AC3842" i="1" s="1"/>
  <c r="V3844" i="1"/>
  <c r="AC3844" i="1" s="1"/>
  <c r="V3845" i="1"/>
  <c r="AC3845" i="1" s="1"/>
  <c r="V3846" i="1"/>
  <c r="AC3846" i="1" s="1"/>
  <c r="V3847" i="1"/>
  <c r="AC3847" i="1" s="1"/>
  <c r="V3848" i="1"/>
  <c r="AC3848" i="1" s="1"/>
  <c r="V3849" i="1"/>
  <c r="AC3849" i="1" s="1"/>
  <c r="V3850" i="1"/>
  <c r="AC3850" i="1" s="1"/>
  <c r="V3851" i="1"/>
  <c r="AC3851" i="1" s="1"/>
  <c r="V3852" i="1"/>
  <c r="AC3852" i="1" s="1"/>
  <c r="V3853" i="1"/>
  <c r="AC3853" i="1" s="1"/>
  <c r="V3854" i="1"/>
  <c r="AC3854" i="1" s="1"/>
  <c r="V3855" i="1"/>
  <c r="AC3855" i="1" s="1"/>
  <c r="V3856" i="1"/>
  <c r="AC3856" i="1" s="1"/>
  <c r="V3857" i="1"/>
  <c r="AC3857" i="1" s="1"/>
  <c r="V3858" i="1"/>
  <c r="AC3858" i="1" s="1"/>
  <c r="V3859" i="1"/>
  <c r="AC3859" i="1" s="1"/>
  <c r="V3860" i="1"/>
  <c r="AC3860" i="1" s="1"/>
  <c r="V3861" i="1"/>
  <c r="AC3861" i="1" s="1"/>
  <c r="V3862" i="1"/>
  <c r="AC3862" i="1" s="1"/>
  <c r="V3863" i="1"/>
  <c r="AC3863" i="1" s="1"/>
  <c r="V3865" i="1"/>
  <c r="AC3865" i="1" s="1"/>
  <c r="V3866" i="1"/>
  <c r="AC3866" i="1" s="1"/>
  <c r="V3867" i="1"/>
  <c r="AC3867" i="1" s="1"/>
  <c r="V3868" i="1"/>
  <c r="AC3868" i="1" s="1"/>
  <c r="V3869" i="1"/>
  <c r="AC3869" i="1" s="1"/>
  <c r="V3870" i="1"/>
  <c r="AC3870" i="1" s="1"/>
  <c r="V3871" i="1"/>
  <c r="AC3871" i="1" s="1"/>
  <c r="V3874" i="1"/>
  <c r="AC3874" i="1" s="1"/>
  <c r="V3872" i="1"/>
  <c r="AC3872" i="1" s="1"/>
  <c r="V3873" i="1"/>
  <c r="AC3873" i="1" s="1"/>
  <c r="V3875" i="1"/>
  <c r="AC3875" i="1" s="1"/>
  <c r="V3876" i="1"/>
  <c r="AC3876" i="1" s="1"/>
  <c r="V3877" i="1"/>
  <c r="AC3877" i="1" s="1"/>
  <c r="V3878" i="1"/>
  <c r="AC3878" i="1" s="1"/>
  <c r="V3880" i="1"/>
  <c r="AC3880" i="1" s="1"/>
  <c r="V3881" i="1"/>
  <c r="AC3881" i="1" s="1"/>
  <c r="V3882" i="1"/>
  <c r="AC3882" i="1" s="1"/>
  <c r="V3879" i="1"/>
  <c r="AC3879" i="1" s="1"/>
  <c r="V3883" i="1"/>
  <c r="AC3883" i="1" s="1"/>
  <c r="V3884" i="1"/>
  <c r="AC3884" i="1" s="1"/>
  <c r="V3885" i="1"/>
  <c r="AC3885" i="1" s="1"/>
  <c r="V3886" i="1"/>
  <c r="AC3886" i="1" s="1"/>
  <c r="V3888" i="1"/>
  <c r="AC3888" i="1" s="1"/>
  <c r="V3887" i="1"/>
  <c r="AC3887" i="1" s="1"/>
  <c r="V3889" i="1"/>
  <c r="AC3889" i="1" s="1"/>
  <c r="V3890" i="1"/>
  <c r="AC3890" i="1" s="1"/>
  <c r="V3891" i="1"/>
  <c r="AC3891" i="1" s="1"/>
  <c r="V3892" i="1"/>
  <c r="AC3892" i="1" s="1"/>
  <c r="V3893" i="1"/>
  <c r="AC3893" i="1" s="1"/>
  <c r="V3894" i="1"/>
  <c r="AC3894" i="1" s="1"/>
  <c r="V2485" i="1"/>
  <c r="AC2485" i="1" s="1"/>
  <c r="V3895" i="1"/>
  <c r="AC3895" i="1" s="1"/>
  <c r="V3896" i="1"/>
  <c r="AC3896" i="1" s="1"/>
  <c r="V3898" i="1"/>
  <c r="AC3898" i="1" s="1"/>
  <c r="V3897" i="1"/>
  <c r="AC3897" i="1" s="1"/>
  <c r="V3900" i="1"/>
  <c r="AC3900" i="1" s="1"/>
  <c r="V3899" i="1"/>
  <c r="AC3899" i="1" s="1"/>
  <c r="V3902" i="1"/>
  <c r="AC3902" i="1" s="1"/>
  <c r="V3901" i="1"/>
  <c r="AC3901" i="1" s="1"/>
  <c r="V3903" i="1"/>
  <c r="AC3903" i="1" s="1"/>
  <c r="V3905" i="1"/>
  <c r="AC3905" i="1" s="1"/>
  <c r="V3906" i="1"/>
  <c r="AC3906" i="1" s="1"/>
  <c r="V3907" i="1"/>
  <c r="AC3907" i="1" s="1"/>
  <c r="V3908" i="1"/>
  <c r="AC3908" i="1" s="1"/>
  <c r="V3909" i="1"/>
  <c r="AC3909" i="1" s="1"/>
  <c r="V3912" i="1"/>
  <c r="AC3912" i="1" s="1"/>
  <c r="V3911" i="1"/>
  <c r="AC3911" i="1" s="1"/>
  <c r="V3913" i="1"/>
  <c r="AC3913" i="1" s="1"/>
  <c r="V3918" i="1"/>
  <c r="AC3918" i="1" s="1"/>
  <c r="V3915" i="1"/>
  <c r="AC3915" i="1" s="1"/>
  <c r="V3914" i="1"/>
  <c r="AC3914" i="1" s="1"/>
  <c r="V3916" i="1"/>
  <c r="AC3916" i="1" s="1"/>
  <c r="V3917" i="1"/>
  <c r="AC3917" i="1" s="1"/>
  <c r="V3929" i="1"/>
  <c r="AC3929" i="1" s="1"/>
  <c r="V3930" i="1"/>
  <c r="AC3930" i="1" s="1"/>
  <c r="V3926" i="1"/>
  <c r="AC3926" i="1" s="1"/>
  <c r="V3927" i="1"/>
  <c r="AC3927" i="1" s="1"/>
  <c r="V3931" i="1"/>
  <c r="AC3931" i="1" s="1"/>
  <c r="V3928" i="1"/>
  <c r="AC3928" i="1" s="1"/>
  <c r="V3923" i="1"/>
  <c r="AC3923" i="1" s="1"/>
  <c r="V3919" i="1"/>
  <c r="AC3919" i="1" s="1"/>
  <c r="V3925" i="1"/>
  <c r="AC3925" i="1" s="1"/>
  <c r="V3921" i="1"/>
  <c r="AC3921" i="1" s="1"/>
  <c r="V3932" i="1"/>
  <c r="AC3932" i="1" s="1"/>
  <c r="V3920" i="1"/>
  <c r="AC3920" i="1" s="1"/>
  <c r="V3924" i="1"/>
  <c r="AC3924" i="1" s="1"/>
  <c r="V3922" i="1"/>
  <c r="AC3922" i="1" s="1"/>
  <c r="V3933" i="1"/>
  <c r="AC3933" i="1" s="1"/>
  <c r="V3934" i="1"/>
  <c r="AC3934" i="1" s="1"/>
  <c r="V3935" i="1"/>
  <c r="AC3935" i="1" s="1"/>
  <c r="V3936" i="1"/>
  <c r="AC3936" i="1" s="1"/>
  <c r="V3937" i="1"/>
  <c r="AC3937" i="1" s="1"/>
  <c r="V3938" i="1"/>
  <c r="AC3938" i="1" s="1"/>
  <c r="V3940" i="1"/>
  <c r="AC3940" i="1" s="1"/>
  <c r="V3939" i="1"/>
  <c r="AC3939" i="1" s="1"/>
  <c r="V3941" i="1"/>
  <c r="AC3941" i="1" s="1"/>
  <c r="V3942" i="1"/>
  <c r="AC3942" i="1" s="1"/>
  <c r="V3946" i="1"/>
  <c r="AC3946" i="1" s="1"/>
  <c r="V3944" i="1"/>
  <c r="AC3944" i="1" s="1"/>
  <c r="V3945" i="1"/>
  <c r="AC3945" i="1" s="1"/>
  <c r="V3943" i="1"/>
  <c r="AC3943" i="1" s="1"/>
  <c r="V3947" i="1"/>
  <c r="AC3947" i="1" s="1"/>
  <c r="V3949" i="1"/>
  <c r="AC3949" i="1" s="1"/>
  <c r="V3948" i="1"/>
  <c r="AC3948" i="1" s="1"/>
  <c r="V3950" i="1"/>
  <c r="AC3950" i="1" s="1"/>
  <c r="V3951" i="1"/>
  <c r="AC3951" i="1" s="1"/>
  <c r="V3952" i="1"/>
  <c r="AC3952" i="1" s="1"/>
  <c r="V3954" i="1"/>
  <c r="AC3954" i="1" s="1"/>
  <c r="V3953" i="1"/>
  <c r="AC3953" i="1" s="1"/>
  <c r="V3957" i="1"/>
  <c r="AC3957" i="1" s="1"/>
  <c r="V3958" i="1"/>
  <c r="AC3958" i="1" s="1"/>
  <c r="AB9430" i="1"/>
  <c r="AB9110" i="1"/>
  <c r="AB9056" i="1"/>
  <c r="AB8553" i="1"/>
  <c r="AB6633" i="1"/>
  <c r="AB8303" i="1"/>
  <c r="AB8851" i="1"/>
  <c r="AB9372" i="1"/>
  <c r="AB9321" i="1"/>
  <c r="AB8239" i="1"/>
  <c r="AB9716" i="1"/>
  <c r="V9716" i="1"/>
  <c r="AC9716" i="1" s="1"/>
  <c r="V8239" i="1"/>
  <c r="AC8239" i="1" s="1"/>
  <c r="V9321" i="1"/>
  <c r="AC9321" i="1" s="1"/>
  <c r="V9372" i="1"/>
  <c r="AC9372" i="1" s="1"/>
  <c r="V8851" i="1"/>
  <c r="AC8851" i="1" s="1"/>
  <c r="V8303" i="1"/>
  <c r="AC8303" i="1" s="1"/>
  <c r="V6633" i="1"/>
  <c r="AC6633" i="1" s="1"/>
  <c r="V8553" i="1"/>
  <c r="AC8553" i="1" s="1"/>
  <c r="V9056" i="1"/>
  <c r="AC9056" i="1" s="1"/>
  <c r="V9110" i="1"/>
  <c r="AC9110" i="1" s="1"/>
  <c r="V9430" i="1"/>
  <c r="AC9430" i="1" s="1"/>
  <c r="V3956" i="1"/>
  <c r="AC3956" i="1" s="1"/>
  <c r="V3959" i="1"/>
  <c r="AC3959" i="1" s="1"/>
  <c r="V3960" i="1"/>
  <c r="AC3960" i="1" s="1"/>
  <c r="V3962" i="1"/>
  <c r="AC3962" i="1" s="1"/>
  <c r="V3961" i="1"/>
  <c r="AC3961" i="1" s="1"/>
  <c r="V3963" i="1"/>
  <c r="AC3963" i="1" s="1"/>
  <c r="V3965" i="1"/>
  <c r="AC3965" i="1" s="1"/>
  <c r="V3964" i="1"/>
  <c r="AC3964" i="1" s="1"/>
  <c r="V3972" i="1"/>
  <c r="AC3972" i="1" s="1"/>
  <c r="V3966" i="1"/>
  <c r="AC3966" i="1" s="1"/>
  <c r="V3969" i="1"/>
  <c r="AC3969" i="1" s="1"/>
  <c r="V3968" i="1"/>
  <c r="AC3968" i="1" s="1"/>
  <c r="V3967" i="1"/>
  <c r="AC3967" i="1" s="1"/>
  <c r="V3970" i="1"/>
  <c r="AC3970" i="1" s="1"/>
  <c r="V3971" i="1"/>
  <c r="AC3971" i="1" s="1"/>
  <c r="V3973" i="1"/>
  <c r="AC3973" i="1" s="1"/>
  <c r="V3974" i="1"/>
  <c r="AC3974" i="1" s="1"/>
  <c r="V3975" i="1"/>
  <c r="AC3975" i="1" s="1"/>
  <c r="V3976" i="1"/>
  <c r="AC3976" i="1" s="1"/>
  <c r="V3978" i="1"/>
  <c r="AC3978" i="1" s="1"/>
  <c r="V3977" i="1"/>
  <c r="AC3977" i="1" s="1"/>
  <c r="V3981" i="1"/>
  <c r="AC3981" i="1" s="1"/>
  <c r="V3982" i="1"/>
  <c r="AC3982" i="1" s="1"/>
  <c r="V3983" i="1"/>
  <c r="AC3983" i="1" s="1"/>
  <c r="V3984" i="1"/>
  <c r="AC3984" i="1" s="1"/>
  <c r="V3987" i="1"/>
  <c r="AC3987" i="1" s="1"/>
  <c r="V3985" i="1"/>
  <c r="AC3985" i="1" s="1"/>
  <c r="V3986" i="1"/>
  <c r="AC3986" i="1" s="1"/>
  <c r="V3988" i="1"/>
  <c r="AC3988" i="1" s="1"/>
  <c r="V3991" i="1"/>
  <c r="AC3991" i="1" s="1"/>
  <c r="V3989" i="1"/>
  <c r="AC3989" i="1" s="1"/>
  <c r="V3990" i="1"/>
  <c r="AC3990" i="1" s="1"/>
  <c r="V3992" i="1"/>
  <c r="AC3992" i="1" s="1"/>
  <c r="V3994" i="1"/>
  <c r="AC3994" i="1" s="1"/>
  <c r="V3998" i="1"/>
  <c r="AC3998" i="1" s="1"/>
  <c r="V3993" i="1"/>
  <c r="AC3993" i="1" s="1"/>
  <c r="V3997" i="1"/>
  <c r="AC3997" i="1" s="1"/>
  <c r="V3996" i="1"/>
  <c r="AC3996" i="1" s="1"/>
  <c r="V3995" i="1"/>
  <c r="AC3995" i="1" s="1"/>
  <c r="V3999" i="1"/>
  <c r="AC3999" i="1" s="1"/>
  <c r="V4000" i="1"/>
  <c r="AC4000" i="1" s="1"/>
  <c r="V4001" i="1"/>
  <c r="AC4001" i="1" s="1"/>
  <c r="V4002" i="1"/>
  <c r="AC4002" i="1" s="1"/>
  <c r="V4003" i="1"/>
  <c r="AC4003" i="1" s="1"/>
  <c r="V4005" i="1"/>
  <c r="AC4005" i="1" s="1"/>
  <c r="V4004" i="1"/>
  <c r="AC4004" i="1" s="1"/>
  <c r="V4006" i="1"/>
  <c r="AC4006" i="1" s="1"/>
  <c r="V4008" i="1"/>
  <c r="AC4008" i="1" s="1"/>
  <c r="V4007" i="1"/>
  <c r="AC4007" i="1" s="1"/>
  <c r="V4009" i="1"/>
  <c r="AC4009" i="1" s="1"/>
  <c r="V4010" i="1"/>
  <c r="AC4010" i="1" s="1"/>
  <c r="V4011" i="1"/>
  <c r="AC4011" i="1" s="1"/>
  <c r="V4012" i="1"/>
  <c r="AC4012" i="1" s="1"/>
  <c r="V4013" i="1"/>
  <c r="AC4013" i="1" s="1"/>
  <c r="V4015" i="1"/>
  <c r="AC4015" i="1" s="1"/>
  <c r="V4014" i="1"/>
  <c r="AC4014" i="1" s="1"/>
  <c r="V4016" i="1"/>
  <c r="AC4016" i="1" s="1"/>
  <c r="V4017" i="1"/>
  <c r="AC4017" i="1" s="1"/>
  <c r="V4018" i="1"/>
  <c r="AC4018" i="1" s="1"/>
  <c r="V4019" i="1"/>
  <c r="AC4019" i="1" s="1"/>
  <c r="V4020" i="1"/>
  <c r="AC4020" i="1" s="1"/>
  <c r="V4021" i="1"/>
  <c r="AC4021" i="1" s="1"/>
  <c r="V4022" i="1"/>
  <c r="AC4022" i="1" s="1"/>
  <c r="V4023" i="1"/>
  <c r="AC4023" i="1" s="1"/>
  <c r="V4026" i="1"/>
  <c r="AC4026" i="1" s="1"/>
  <c r="V4025" i="1"/>
  <c r="AC4025" i="1" s="1"/>
  <c r="V4024" i="1"/>
  <c r="AC4024" i="1" s="1"/>
  <c r="V4027" i="1"/>
  <c r="AC4027" i="1" s="1"/>
  <c r="V4028" i="1"/>
  <c r="AC4028" i="1" s="1"/>
  <c r="V4029" i="1"/>
  <c r="AC4029" i="1" s="1"/>
  <c r="V4030" i="1"/>
  <c r="AC4030" i="1" s="1"/>
  <c r="V4031" i="1"/>
  <c r="AC4031" i="1" s="1"/>
  <c r="V4032" i="1"/>
  <c r="AC4032" i="1" s="1"/>
  <c r="V4033" i="1"/>
  <c r="AC4033" i="1" s="1"/>
  <c r="V4035" i="1"/>
  <c r="AC4035" i="1" s="1"/>
  <c r="V4034" i="1"/>
  <c r="AC4034" i="1" s="1"/>
  <c r="V4037" i="1"/>
  <c r="AC4037" i="1" s="1"/>
  <c r="V4036" i="1"/>
  <c r="AC4036" i="1" s="1"/>
  <c r="V4039" i="1"/>
  <c r="AC4039" i="1" s="1"/>
  <c r="V4038" i="1"/>
  <c r="AC4038" i="1" s="1"/>
  <c r="V4040" i="1"/>
  <c r="AC4040" i="1" s="1"/>
  <c r="V4041" i="1"/>
  <c r="AC4041" i="1" s="1"/>
  <c r="V4042" i="1"/>
  <c r="AC4042" i="1" s="1"/>
  <c r="V4043" i="1"/>
  <c r="AC4043" i="1" s="1"/>
  <c r="V4044" i="1"/>
  <c r="AC4044" i="1" s="1"/>
  <c r="V4045" i="1"/>
  <c r="AC4045" i="1" s="1"/>
  <c r="V4046" i="1"/>
  <c r="AC4046" i="1" s="1"/>
  <c r="V4048" i="1"/>
  <c r="AC4048" i="1" s="1"/>
  <c r="V4049" i="1"/>
  <c r="AC4049" i="1" s="1"/>
  <c r="V4050" i="1"/>
  <c r="AC4050" i="1" s="1"/>
  <c r="V4051" i="1"/>
  <c r="AC4051" i="1" s="1"/>
  <c r="V4052" i="1"/>
  <c r="AC4052" i="1" s="1"/>
  <c r="V4053" i="1"/>
  <c r="AC4053" i="1" s="1"/>
  <c r="V4055" i="1"/>
  <c r="AC4055" i="1" s="1"/>
  <c r="V4054" i="1"/>
  <c r="AC4054" i="1" s="1"/>
  <c r="V4056" i="1"/>
  <c r="AC4056" i="1" s="1"/>
  <c r="V4057" i="1"/>
  <c r="AC4057" i="1" s="1"/>
  <c r="V4059" i="1"/>
  <c r="AC4059" i="1" s="1"/>
  <c r="V4058" i="1"/>
  <c r="AC4058" i="1" s="1"/>
  <c r="V4060" i="1"/>
  <c r="AC4060" i="1" s="1"/>
  <c r="V4061" i="1"/>
  <c r="AC4061" i="1" s="1"/>
  <c r="V4063" i="1"/>
  <c r="AC4063" i="1" s="1"/>
  <c r="V4062" i="1"/>
  <c r="AC4062" i="1" s="1"/>
  <c r="V4064" i="1"/>
  <c r="AC4064" i="1" s="1"/>
  <c r="V4065" i="1"/>
  <c r="AC4065" i="1" s="1"/>
  <c r="V4066" i="1"/>
  <c r="AC4066" i="1" s="1"/>
  <c r="V4068" i="1"/>
  <c r="AC4068" i="1" s="1"/>
  <c r="V4069" i="1"/>
  <c r="AC4069" i="1" s="1"/>
  <c r="V4072" i="1"/>
  <c r="AC4072" i="1" s="1"/>
  <c r="V4070" i="1"/>
  <c r="AC4070" i="1" s="1"/>
  <c r="V4071" i="1"/>
  <c r="AC4071" i="1" s="1"/>
  <c r="V4073" i="1"/>
  <c r="AC4073" i="1" s="1"/>
  <c r="V4074" i="1"/>
  <c r="AC4074" i="1" s="1"/>
  <c r="V4076" i="1"/>
  <c r="AC4076" i="1" s="1"/>
  <c r="V4075" i="1"/>
  <c r="AC4075" i="1" s="1"/>
  <c r="V4077" i="1"/>
  <c r="AC4077" i="1" s="1"/>
  <c r="V4078" i="1"/>
  <c r="AC4078" i="1" s="1"/>
  <c r="V4079" i="1"/>
  <c r="AC4079" i="1" s="1"/>
  <c r="V4080" i="1"/>
  <c r="AC4080" i="1" s="1"/>
  <c r="V4081" i="1"/>
  <c r="AC4081" i="1" s="1"/>
  <c r="V4083" i="1"/>
  <c r="AC4083" i="1" s="1"/>
  <c r="V4084" i="1"/>
  <c r="AC4084" i="1" s="1"/>
  <c r="V4086" i="1"/>
  <c r="AC4086" i="1" s="1"/>
  <c r="V4085" i="1"/>
  <c r="AC4085" i="1" s="1"/>
  <c r="V4088" i="1"/>
  <c r="AC4088" i="1" s="1"/>
  <c r="V4087" i="1"/>
  <c r="AC4087" i="1" s="1"/>
  <c r="V4089" i="1"/>
  <c r="AC4089" i="1" s="1"/>
  <c r="V4091" i="1"/>
  <c r="AC4091" i="1" s="1"/>
  <c r="V4092" i="1"/>
  <c r="AC4092" i="1" s="1"/>
  <c r="V4093" i="1"/>
  <c r="AC4093" i="1" s="1"/>
  <c r="V4095" i="1"/>
  <c r="AC4095" i="1" s="1"/>
  <c r="V4094" i="1"/>
  <c r="AC4094" i="1" s="1"/>
  <c r="V4096" i="1"/>
  <c r="AC4096" i="1" s="1"/>
  <c r="V4097" i="1"/>
  <c r="AC4097" i="1" s="1"/>
  <c r="V4098" i="1"/>
  <c r="AC4098" i="1" s="1"/>
  <c r="V4100" i="1"/>
  <c r="AC4100" i="1" s="1"/>
  <c r="V4099" i="1"/>
  <c r="AC4099" i="1" s="1"/>
  <c r="V882" i="1"/>
  <c r="AC882" i="1" s="1"/>
  <c r="V880" i="1"/>
  <c r="AC880" i="1" s="1"/>
  <c r="V879" i="1"/>
  <c r="AC879" i="1" s="1"/>
  <c r="V878" i="1"/>
  <c r="AC878" i="1" s="1"/>
  <c r="V877" i="1"/>
  <c r="AC877" i="1" s="1"/>
  <c r="V876" i="1"/>
  <c r="AC876" i="1" s="1"/>
  <c r="V874" i="1"/>
  <c r="AC874" i="1" s="1"/>
  <c r="V875" i="1"/>
  <c r="AC875" i="1" s="1"/>
  <c r="V873" i="1"/>
  <c r="AC873" i="1" s="1"/>
  <c r="V870" i="1"/>
  <c r="AC870" i="1" s="1"/>
  <c r="V869" i="1"/>
  <c r="AC869" i="1" s="1"/>
  <c r="V868" i="1"/>
  <c r="AC868" i="1" s="1"/>
  <c r="V867" i="1"/>
  <c r="AC867" i="1" s="1"/>
  <c r="V866" i="1"/>
  <c r="AC866" i="1" s="1"/>
  <c r="V864" i="1"/>
  <c r="AC864" i="1" s="1"/>
  <c r="V865" i="1"/>
  <c r="AC865" i="1" s="1"/>
  <c r="V863" i="1"/>
  <c r="AC863" i="1" s="1"/>
  <c r="V862" i="1"/>
  <c r="AC862" i="1" s="1"/>
  <c r="V861" i="1"/>
  <c r="AC861" i="1" s="1"/>
  <c r="V860" i="1"/>
  <c r="AC860" i="1" s="1"/>
  <c r="V859" i="1"/>
  <c r="AC859" i="1" s="1"/>
  <c r="V858" i="1"/>
  <c r="AC858" i="1" s="1"/>
  <c r="V857" i="1"/>
  <c r="AC857" i="1" s="1"/>
  <c r="V853" i="1"/>
  <c r="AC853" i="1" s="1"/>
  <c r="V855" i="1"/>
  <c r="AC855" i="1" s="1"/>
  <c r="V851" i="1"/>
  <c r="AC851" i="1" s="1"/>
  <c r="V850" i="1"/>
  <c r="AC850" i="1" s="1"/>
  <c r="V849" i="1"/>
  <c r="AC849" i="1" s="1"/>
  <c r="V848" i="1"/>
  <c r="AC848" i="1" s="1"/>
  <c r="V846" i="1"/>
  <c r="AC846" i="1" s="1"/>
  <c r="V845" i="1"/>
  <c r="AC845" i="1" s="1"/>
  <c r="V842" i="1"/>
  <c r="AC842" i="1" s="1"/>
  <c r="V841" i="1"/>
  <c r="AC841" i="1" s="1"/>
  <c r="V840" i="1"/>
  <c r="AC840" i="1" s="1"/>
  <c r="V838" i="1"/>
  <c r="AC838" i="1" s="1"/>
  <c r="V837" i="1"/>
  <c r="AC837" i="1" s="1"/>
  <c r="V836" i="1"/>
  <c r="AC836" i="1" s="1"/>
  <c r="V835" i="1"/>
  <c r="AC835" i="1" s="1"/>
  <c r="V833" i="1"/>
  <c r="AC833" i="1" s="1"/>
  <c r="V832" i="1"/>
  <c r="AC832" i="1" s="1"/>
  <c r="V831" i="1"/>
  <c r="AC831" i="1" s="1"/>
  <c r="V830" i="1"/>
  <c r="AC830" i="1" s="1"/>
  <c r="V829" i="1"/>
  <c r="AC829" i="1" s="1"/>
  <c r="V828" i="1"/>
  <c r="AC828" i="1" s="1"/>
  <c r="V826" i="1"/>
  <c r="AC826" i="1" s="1"/>
  <c r="V825" i="1"/>
  <c r="AC825" i="1" s="1"/>
  <c r="V824" i="1"/>
  <c r="AC824" i="1" s="1"/>
  <c r="V822" i="1"/>
  <c r="AC822" i="1" s="1"/>
  <c r="V821" i="1"/>
  <c r="AC821" i="1" s="1"/>
  <c r="V820" i="1"/>
  <c r="AC820" i="1" s="1"/>
  <c r="V819" i="1"/>
  <c r="AC819" i="1" s="1"/>
  <c r="V881" i="1"/>
  <c r="AC881" i="1" s="1"/>
  <c r="V818" i="1"/>
  <c r="AC818" i="1" s="1"/>
  <c r="V817" i="1"/>
  <c r="AC817" i="1" s="1"/>
  <c r="V816" i="1"/>
  <c r="AC816" i="1" s="1"/>
  <c r="V814" i="1"/>
  <c r="AC814" i="1" s="1"/>
  <c r="V815" i="1"/>
  <c r="AC815" i="1" s="1"/>
  <c r="V813" i="1"/>
  <c r="AC813" i="1" s="1"/>
  <c r="V812" i="1"/>
  <c r="AC812" i="1" s="1"/>
  <c r="V810" i="1"/>
  <c r="AC810" i="1" s="1"/>
  <c r="V811" i="1"/>
  <c r="AC811" i="1" s="1"/>
  <c r="V809" i="1"/>
  <c r="AC809" i="1" s="1"/>
  <c r="V807" i="1"/>
  <c r="AC807" i="1" s="1"/>
  <c r="V803" i="1"/>
  <c r="AC803" i="1" s="1"/>
  <c r="V802" i="1"/>
  <c r="AC802" i="1" s="1"/>
  <c r="V801" i="1"/>
  <c r="AC801" i="1" s="1"/>
  <c r="V798" i="1"/>
  <c r="AC798" i="1" s="1"/>
  <c r="V797" i="1"/>
  <c r="AC797" i="1" s="1"/>
  <c r="V799" i="1"/>
  <c r="AC799" i="1" s="1"/>
  <c r="V796" i="1"/>
  <c r="AC796" i="1" s="1"/>
  <c r="V794" i="1"/>
  <c r="AC794" i="1" s="1"/>
  <c r="V793" i="1"/>
  <c r="AC793" i="1" s="1"/>
  <c r="V792" i="1"/>
  <c r="AC792" i="1" s="1"/>
  <c r="V790" i="1"/>
  <c r="AC790" i="1" s="1"/>
  <c r="V791" i="1"/>
  <c r="AC791" i="1" s="1"/>
  <c r="V789" i="1"/>
  <c r="AC789" i="1" s="1"/>
  <c r="V788" i="1"/>
  <c r="AC788" i="1" s="1"/>
  <c r="V786" i="1"/>
  <c r="AC786" i="1" s="1"/>
  <c r="V787" i="1"/>
  <c r="AC787" i="1" s="1"/>
  <c r="V785" i="1"/>
  <c r="AC785" i="1" s="1"/>
  <c r="V783" i="1"/>
  <c r="AC783" i="1" s="1"/>
  <c r="V781" i="1"/>
  <c r="AC781" i="1" s="1"/>
  <c r="V780" i="1"/>
  <c r="AC780" i="1" s="1"/>
  <c r="V776" i="1"/>
  <c r="AC776" i="1" s="1"/>
  <c r="V777" i="1"/>
  <c r="AC777" i="1" s="1"/>
  <c r="V775" i="1"/>
  <c r="AC775" i="1" s="1"/>
  <c r="V779" i="1"/>
  <c r="AC779" i="1" s="1"/>
  <c r="V774" i="1"/>
  <c r="AC774" i="1" s="1"/>
  <c r="V773" i="1"/>
  <c r="AC773" i="1" s="1"/>
  <c r="V772" i="1"/>
  <c r="AC772" i="1" s="1"/>
  <c r="V770" i="1"/>
  <c r="AC770" i="1" s="1"/>
  <c r="AB42" i="1"/>
  <c r="AB93" i="1"/>
  <c r="AB92" i="1"/>
  <c r="AB98" i="1"/>
  <c r="AB96" i="1"/>
  <c r="AB125" i="1"/>
  <c r="V2446" i="1"/>
  <c r="AC2446" i="1" s="1"/>
  <c r="AB2446" i="1"/>
  <c r="V105" i="1"/>
  <c r="AC105" i="1" s="1"/>
  <c r="AB105" i="1"/>
  <c r="Z750" i="1"/>
  <c r="AB750" i="1"/>
  <c r="V769" i="1"/>
  <c r="AC769" i="1" s="1"/>
  <c r="V768" i="1"/>
  <c r="AC768" i="1" s="1"/>
  <c r="V763" i="1"/>
  <c r="AC763" i="1" s="1"/>
  <c r="V764" i="1"/>
  <c r="AC764" i="1" s="1"/>
  <c r="V762" i="1"/>
  <c r="AC762" i="1" s="1"/>
  <c r="V766" i="1"/>
  <c r="AC766" i="1" s="1"/>
  <c r="V761" i="1"/>
  <c r="AC761" i="1" s="1"/>
  <c r="V759" i="1"/>
  <c r="AC759" i="1" s="1"/>
  <c r="V758" i="1"/>
  <c r="AC758" i="1" s="1"/>
  <c r="V757" i="1"/>
  <c r="AC757" i="1" s="1"/>
  <c r="V756" i="1"/>
  <c r="AC756" i="1" s="1"/>
  <c r="V751" i="1"/>
  <c r="AC751" i="1" s="1"/>
  <c r="V749" i="1"/>
  <c r="AC749" i="1" s="1"/>
  <c r="V747" i="1"/>
  <c r="AC747" i="1" s="1"/>
  <c r="V748" i="1"/>
  <c r="AC748" i="1" s="1"/>
  <c r="V745" i="1"/>
  <c r="AC745" i="1" s="1"/>
  <c r="V744" i="1"/>
  <c r="AC744" i="1" s="1"/>
  <c r="V741" i="1"/>
  <c r="AC741" i="1" s="1"/>
  <c r="V742" i="1"/>
  <c r="AC742" i="1" s="1"/>
  <c r="V740" i="1"/>
  <c r="AC740" i="1" s="1"/>
  <c r="V738" i="1"/>
  <c r="AC738" i="1" s="1"/>
  <c r="V737" i="1"/>
  <c r="AC737" i="1" s="1"/>
  <c r="V733" i="1"/>
  <c r="AC733" i="1" s="1"/>
  <c r="V734" i="1"/>
  <c r="AC734" i="1" s="1"/>
  <c r="AB9625" i="1"/>
  <c r="AB9184" i="1"/>
  <c r="AB6517" i="1"/>
  <c r="AB9086" i="1"/>
  <c r="AB9751" i="1"/>
  <c r="AB9355" i="1"/>
  <c r="AB6505" i="1"/>
  <c r="AB8016" i="1"/>
  <c r="V8016" i="1"/>
  <c r="AC8016" i="1" s="1"/>
  <c r="V6505" i="1"/>
  <c r="AC6505" i="1" s="1"/>
  <c r="V9355" i="1"/>
  <c r="AC9355" i="1" s="1"/>
  <c r="Z9751" i="1"/>
  <c r="V9751" i="1"/>
  <c r="AC9751" i="1" s="1"/>
  <c r="V9086" i="1"/>
  <c r="AC9086" i="1" s="1"/>
  <c r="V6517" i="1"/>
  <c r="AC6517" i="1" s="1"/>
  <c r="Z9184" i="1"/>
  <c r="V9184" i="1"/>
  <c r="AC9184" i="1" s="1"/>
  <c r="Z9625" i="1"/>
  <c r="V9625" i="1"/>
  <c r="AC9625" i="1" s="1"/>
  <c r="Z9123" i="1"/>
  <c r="V9123" i="1"/>
  <c r="AC9123" i="1" s="1"/>
  <c r="AB9123" i="1"/>
  <c r="Z9484" i="1"/>
  <c r="V9484" i="1"/>
  <c r="AC9484" i="1" s="1"/>
  <c r="AB9484" i="1"/>
  <c r="Z9607" i="1"/>
  <c r="V9607" i="1"/>
  <c r="AC9607" i="1" s="1"/>
  <c r="AB9607" i="1"/>
  <c r="V7540" i="1"/>
  <c r="AC7540" i="1" s="1"/>
  <c r="AB7540" i="1"/>
  <c r="V7503" i="1"/>
  <c r="AC7503" i="1" s="1"/>
  <c r="AB7503" i="1"/>
  <c r="V6664" i="1"/>
  <c r="AC6664" i="1" s="1"/>
  <c r="AB6664" i="1"/>
  <c r="V6702" i="1"/>
  <c r="AC6702" i="1" s="1"/>
  <c r="AB6702" i="1"/>
  <c r="V735" i="1"/>
  <c r="AC735" i="1" s="1"/>
  <c r="V736" i="1"/>
  <c r="AC736" i="1" s="1"/>
  <c r="V732" i="1"/>
  <c r="AC732" i="1" s="1"/>
  <c r="V729" i="1"/>
  <c r="AC729" i="1" s="1"/>
  <c r="V728" i="1"/>
  <c r="AC728" i="1" s="1"/>
  <c r="V727" i="1"/>
  <c r="AC727" i="1" s="1"/>
  <c r="V726" i="1"/>
  <c r="AC726" i="1" s="1"/>
  <c r="V725" i="1"/>
  <c r="AC725" i="1" s="1"/>
  <c r="V724" i="1"/>
  <c r="AC724" i="1" s="1"/>
  <c r="V723" i="1"/>
  <c r="AC723" i="1" s="1"/>
  <c r="V721" i="1"/>
  <c r="AC721" i="1" s="1"/>
  <c r="V722" i="1"/>
  <c r="AC722" i="1" s="1"/>
  <c r="V720" i="1"/>
  <c r="AC720" i="1" s="1"/>
  <c r="V718" i="1"/>
  <c r="AC718" i="1" s="1"/>
  <c r="V719" i="1"/>
  <c r="AC719" i="1" s="1"/>
  <c r="V717" i="1"/>
  <c r="AC717" i="1" s="1"/>
  <c r="V712" i="1"/>
  <c r="AC712" i="1" s="1"/>
  <c r="V714" i="1"/>
  <c r="AC714" i="1" s="1"/>
  <c r="V715" i="1"/>
  <c r="AC715" i="1" s="1"/>
  <c r="V711" i="1"/>
  <c r="AC711" i="1" s="1"/>
  <c r="V707" i="1"/>
  <c r="AC707" i="1" s="1"/>
  <c r="V706" i="1"/>
  <c r="AC706" i="1" s="1"/>
  <c r="V708" i="1"/>
  <c r="AC708" i="1" s="1"/>
  <c r="V704" i="1"/>
  <c r="AC704" i="1" s="1"/>
  <c r="V702" i="1"/>
  <c r="AC702" i="1" s="1"/>
  <c r="V703" i="1"/>
  <c r="AC703" i="1" s="1"/>
  <c r="V701" i="1"/>
  <c r="AC701" i="1" s="1"/>
  <c r="V700" i="1"/>
  <c r="AC700" i="1" s="1"/>
  <c r="V699" i="1"/>
  <c r="AC699" i="1" s="1"/>
  <c r="V697" i="1"/>
  <c r="AC697" i="1" s="1"/>
  <c r="V696" i="1"/>
  <c r="AC696" i="1" s="1"/>
  <c r="V695" i="1"/>
  <c r="AC695" i="1" s="1"/>
  <c r="V694" i="1"/>
  <c r="AC694" i="1" s="1"/>
  <c r="V693" i="1"/>
  <c r="AC693" i="1" s="1"/>
  <c r="V691" i="1"/>
  <c r="AC691" i="1" s="1"/>
  <c r="V689" i="1"/>
  <c r="AC689" i="1" s="1"/>
  <c r="V687" i="1"/>
  <c r="AC687" i="1" s="1"/>
  <c r="V686" i="1"/>
  <c r="AC686" i="1" s="1"/>
  <c r="V684" i="1"/>
  <c r="AC684" i="1" s="1"/>
  <c r="V685" i="1"/>
  <c r="AC685" i="1" s="1"/>
  <c r="V683" i="1"/>
  <c r="AC683" i="1" s="1"/>
  <c r="V682" i="1"/>
  <c r="AC682" i="1" s="1"/>
  <c r="V680" i="1"/>
  <c r="AC680" i="1" s="1"/>
  <c r="V681" i="1"/>
  <c r="AC681" i="1" s="1"/>
  <c r="V679" i="1"/>
  <c r="AC679" i="1" s="1"/>
  <c r="V854" i="1"/>
  <c r="AC854" i="1" s="1"/>
  <c r="V678" i="1"/>
  <c r="AC678" i="1" s="1"/>
  <c r="V674" i="1"/>
  <c r="AC674" i="1" s="1"/>
  <c r="V670" i="1"/>
  <c r="AC670" i="1" s="1"/>
  <c r="V672" i="1"/>
  <c r="AC672" i="1" s="1"/>
  <c r="V671" i="1"/>
  <c r="AC671" i="1" s="1"/>
  <c r="V669" i="1"/>
  <c r="AC669" i="1" s="1"/>
  <c r="V668" i="1"/>
  <c r="AC668" i="1" s="1"/>
  <c r="V664" i="1"/>
  <c r="AC664" i="1" s="1"/>
  <c r="V666" i="1"/>
  <c r="AC666" i="1" s="1"/>
  <c r="V665" i="1"/>
  <c r="AC665" i="1" s="1"/>
  <c r="V662" i="1"/>
  <c r="AC662" i="1" s="1"/>
  <c r="V661" i="1"/>
  <c r="AC661" i="1" s="1"/>
  <c r="V660" i="1"/>
  <c r="AC660" i="1" s="1"/>
  <c r="V659" i="1"/>
  <c r="AC659" i="1" s="1"/>
  <c r="V657" i="1"/>
  <c r="AC657" i="1" s="1"/>
  <c r="V658" i="1"/>
  <c r="AC658" i="1" s="1"/>
  <c r="V655" i="1"/>
  <c r="AC655" i="1" s="1"/>
  <c r="V650" i="1"/>
  <c r="AC650" i="1" s="1"/>
  <c r="V649" i="1"/>
  <c r="AC649" i="1" s="1"/>
  <c r="V651" i="1"/>
  <c r="AC651" i="1" s="1"/>
  <c r="V647" i="1"/>
  <c r="AC647" i="1" s="1"/>
  <c r="V648" i="1"/>
  <c r="AC648" i="1" s="1"/>
  <c r="V644" i="1"/>
  <c r="AC644" i="1" s="1"/>
  <c r="V645" i="1"/>
  <c r="AC645" i="1" s="1"/>
  <c r="V641" i="1"/>
  <c r="AC641" i="1" s="1"/>
  <c r="V642" i="1"/>
  <c r="AC642" i="1" s="1"/>
  <c r="V643" i="1"/>
  <c r="AC643" i="1" s="1"/>
  <c r="V640" i="1"/>
  <c r="AC640" i="1" s="1"/>
  <c r="V639" i="1"/>
  <c r="AC639" i="1" s="1"/>
  <c r="V637" i="1"/>
  <c r="AC637" i="1" s="1"/>
  <c r="V638" i="1"/>
  <c r="AC638" i="1" s="1"/>
  <c r="V633" i="1"/>
  <c r="AC633" i="1" s="1"/>
  <c r="V632" i="1"/>
  <c r="AC632" i="1" s="1"/>
  <c r="V634" i="1"/>
  <c r="AC634" i="1" s="1"/>
  <c r="V635" i="1"/>
  <c r="AC635" i="1" s="1"/>
  <c r="V631" i="1"/>
  <c r="AC631" i="1" s="1"/>
  <c r="V630" i="1"/>
  <c r="AC630" i="1" s="1"/>
  <c r="V628" i="1"/>
  <c r="AC628" i="1" s="1"/>
  <c r="V627" i="1"/>
  <c r="AC627" i="1" s="1"/>
  <c r="V624" i="1"/>
  <c r="AC624" i="1" s="1"/>
  <c r="V625" i="1"/>
  <c r="AC625" i="1" s="1"/>
  <c r="V623" i="1"/>
  <c r="AC623" i="1" s="1"/>
  <c r="V626" i="1"/>
  <c r="AC626" i="1" s="1"/>
  <c r="V621" i="1"/>
  <c r="AC621" i="1" s="1"/>
  <c r="V4101" i="1"/>
  <c r="AC4101" i="1" s="1"/>
  <c r="V4104" i="1"/>
  <c r="AC4104" i="1" s="1"/>
  <c r="V4103" i="1"/>
  <c r="AC4103" i="1" s="1"/>
  <c r="V4105" i="1"/>
  <c r="AC4105" i="1" s="1"/>
  <c r="V8686" i="1"/>
  <c r="AC8686" i="1" s="1"/>
  <c r="V4107" i="1"/>
  <c r="AC4107" i="1" s="1"/>
  <c r="V4108" i="1"/>
  <c r="AC4108" i="1" s="1"/>
  <c r="V4109" i="1"/>
  <c r="AC4109" i="1" s="1"/>
  <c r="V4110" i="1"/>
  <c r="AC4110" i="1" s="1"/>
  <c r="V4112" i="1"/>
  <c r="AC4112" i="1" s="1"/>
  <c r="V4114" i="1"/>
  <c r="AC4114" i="1" s="1"/>
  <c r="AB4799" i="1"/>
  <c r="AB5138" i="1"/>
  <c r="V4799" i="1"/>
  <c r="AC4799" i="1" s="1"/>
  <c r="V4115" i="1"/>
  <c r="AC4115" i="1" s="1"/>
  <c r="V4116" i="1"/>
  <c r="AC4116" i="1" s="1"/>
  <c r="V4117" i="1"/>
  <c r="AC4117" i="1" s="1"/>
  <c r="V4119" i="1"/>
  <c r="AC4119" i="1" s="1"/>
  <c r="V4118" i="1"/>
  <c r="AC4118" i="1" s="1"/>
  <c r="V4121" i="1"/>
  <c r="AC4121" i="1" s="1"/>
  <c r="V4120" i="1"/>
  <c r="AC4120" i="1" s="1"/>
  <c r="V4124" i="1"/>
  <c r="AC4124" i="1" s="1"/>
  <c r="V4123" i="1"/>
  <c r="AC4123" i="1" s="1"/>
  <c r="V4122" i="1"/>
  <c r="AC4122" i="1" s="1"/>
  <c r="V4125" i="1"/>
  <c r="AC4125" i="1" s="1"/>
  <c r="V4126" i="1"/>
  <c r="AC4126" i="1" s="1"/>
  <c r="V4128" i="1"/>
  <c r="AC4128" i="1" s="1"/>
  <c r="V4127" i="1"/>
  <c r="AC4127" i="1" s="1"/>
  <c r="V4129" i="1"/>
  <c r="AC4129" i="1" s="1"/>
  <c r="V4134" i="1"/>
  <c r="AC4134" i="1" s="1"/>
  <c r="V4133" i="1"/>
  <c r="AC4133" i="1" s="1"/>
  <c r="V4131" i="1"/>
  <c r="AC4131" i="1" s="1"/>
  <c r="V4130" i="1"/>
  <c r="AC4130" i="1" s="1"/>
  <c r="V4132" i="1"/>
  <c r="AC4132" i="1" s="1"/>
  <c r="V4135" i="1"/>
  <c r="AC4135" i="1" s="1"/>
  <c r="V4139" i="1"/>
  <c r="AC4139" i="1" s="1"/>
  <c r="V4138" i="1"/>
  <c r="AC4138" i="1" s="1"/>
  <c r="V4137" i="1"/>
  <c r="AC4137" i="1" s="1"/>
  <c r="V4136" i="1"/>
  <c r="AC4136" i="1" s="1"/>
  <c r="V4140" i="1"/>
  <c r="AC4140" i="1" s="1"/>
  <c r="V4142" i="1"/>
  <c r="AC4142" i="1" s="1"/>
  <c r="V4141" i="1"/>
  <c r="AC4141" i="1" s="1"/>
  <c r="V4143" i="1"/>
  <c r="AC4143" i="1" s="1"/>
  <c r="V4144" i="1"/>
  <c r="AC4144" i="1" s="1"/>
  <c r="V4145" i="1"/>
  <c r="AC4145" i="1" s="1"/>
  <c r="V4146" i="1"/>
  <c r="AC4146" i="1" s="1"/>
  <c r="V4148" i="1"/>
  <c r="AC4148" i="1" s="1"/>
  <c r="V4147" i="1"/>
  <c r="AC4147" i="1" s="1"/>
  <c r="V4154" i="1"/>
  <c r="AC4154" i="1" s="1"/>
  <c r="V4151" i="1"/>
  <c r="AC4151" i="1" s="1"/>
  <c r="V4152" i="1"/>
  <c r="AC4152" i="1" s="1"/>
  <c r="V4153" i="1"/>
  <c r="AC4153" i="1" s="1"/>
  <c r="V4150" i="1"/>
  <c r="AC4150" i="1" s="1"/>
  <c r="V4149" i="1"/>
  <c r="AC4149" i="1" s="1"/>
  <c r="V4156" i="1"/>
  <c r="AC4156" i="1" s="1"/>
  <c r="V4155" i="1"/>
  <c r="AC4155" i="1" s="1"/>
  <c r="V4157" i="1"/>
  <c r="AC4157" i="1" s="1"/>
  <c r="V4158" i="1"/>
  <c r="AC4158" i="1" s="1"/>
  <c r="V4165" i="1"/>
  <c r="AC4165" i="1" s="1"/>
  <c r="V4164" i="1"/>
  <c r="AC4164" i="1" s="1"/>
  <c r="V4161" i="1"/>
  <c r="AC4161" i="1" s="1"/>
  <c r="V4163" i="1"/>
  <c r="AC4163" i="1" s="1"/>
  <c r="V4159" i="1"/>
  <c r="AC4159" i="1" s="1"/>
  <c r="V4166" i="1"/>
  <c r="AC4166" i="1" s="1"/>
  <c r="V4160" i="1"/>
  <c r="AC4160" i="1" s="1"/>
  <c r="V4162" i="1"/>
  <c r="AC4162" i="1" s="1"/>
  <c r="V4171" i="1"/>
  <c r="AC4171" i="1" s="1"/>
  <c r="V4167" i="1"/>
  <c r="AC4167" i="1" s="1"/>
  <c r="V4170" i="1"/>
  <c r="AC4170" i="1" s="1"/>
  <c r="V4169" i="1"/>
  <c r="AC4169" i="1" s="1"/>
  <c r="V4168" i="1"/>
  <c r="AC4168" i="1" s="1"/>
  <c r="V4173" i="1"/>
  <c r="AC4173" i="1" s="1"/>
  <c r="V4174" i="1"/>
  <c r="AC4174" i="1" s="1"/>
  <c r="V4175" i="1"/>
  <c r="AC4175" i="1" s="1"/>
  <c r="V4176" i="1"/>
  <c r="AC4176" i="1" s="1"/>
  <c r="V4177" i="1"/>
  <c r="AC4177" i="1" s="1"/>
  <c r="V4179" i="1"/>
  <c r="AC4179" i="1" s="1"/>
  <c r="V4178" i="1"/>
  <c r="AC4178" i="1" s="1"/>
  <c r="V4181" i="1"/>
  <c r="AC4181" i="1" s="1"/>
  <c r="V4180" i="1"/>
  <c r="AC4180" i="1" s="1"/>
  <c r="V4182" i="1"/>
  <c r="AC4182" i="1" s="1"/>
  <c r="V4184" i="1"/>
  <c r="AC4184" i="1" s="1"/>
  <c r="V4183" i="1"/>
  <c r="AC4183" i="1" s="1"/>
  <c r="V4185" i="1"/>
  <c r="AC4185" i="1" s="1"/>
  <c r="V4186" i="1"/>
  <c r="AC4186" i="1" s="1"/>
  <c r="V4190" i="1"/>
  <c r="AC4190" i="1" s="1"/>
  <c r="V4188" i="1"/>
  <c r="AC4188" i="1" s="1"/>
  <c r="V4189" i="1"/>
  <c r="AC4189" i="1" s="1"/>
  <c r="V4191" i="1"/>
  <c r="AC4191" i="1" s="1"/>
  <c r="V4193" i="1"/>
  <c r="AC4193" i="1" s="1"/>
  <c r="V4194" i="1"/>
  <c r="AC4194" i="1" s="1"/>
  <c r="V4195" i="1"/>
  <c r="AC4195" i="1" s="1"/>
  <c r="V4196" i="1"/>
  <c r="AC4196" i="1" s="1"/>
  <c r="V4197" i="1"/>
  <c r="AC4197" i="1" s="1"/>
  <c r="V4198" i="1"/>
  <c r="AC4198" i="1" s="1"/>
  <c r="V4199" i="1"/>
  <c r="AC4199" i="1" s="1"/>
  <c r="V4200" i="1"/>
  <c r="AC4200" i="1" s="1"/>
  <c r="V4202" i="1"/>
  <c r="AC4202" i="1" s="1"/>
  <c r="V4201" i="1"/>
  <c r="AC4201" i="1" s="1"/>
  <c r="V4203" i="1"/>
  <c r="AC4203" i="1" s="1"/>
  <c r="V4204" i="1"/>
  <c r="AC4204" i="1" s="1"/>
  <c r="V4205" i="1"/>
  <c r="AC4205" i="1" s="1"/>
  <c r="V4206" i="1"/>
  <c r="AC4206" i="1" s="1"/>
  <c r="V4207" i="1"/>
  <c r="AC4207" i="1" s="1"/>
  <c r="V4209" i="1"/>
  <c r="AC4209" i="1" s="1"/>
  <c r="V4208" i="1"/>
  <c r="AC4208" i="1" s="1"/>
  <c r="V4211" i="1"/>
  <c r="AC4211" i="1" s="1"/>
  <c r="V4212" i="1"/>
  <c r="AC4212" i="1" s="1"/>
  <c r="V4210" i="1"/>
  <c r="AC4210" i="1" s="1"/>
  <c r="V4214" i="1"/>
  <c r="AC4214" i="1" s="1"/>
  <c r="V4215" i="1"/>
  <c r="AC4215" i="1" s="1"/>
  <c r="V4216" i="1"/>
  <c r="AC4216" i="1" s="1"/>
  <c r="V4217" i="1"/>
  <c r="AC4217" i="1" s="1"/>
  <c r="V4218" i="1"/>
  <c r="AC4218" i="1" s="1"/>
  <c r="V4219" i="1"/>
  <c r="AC4219" i="1" s="1"/>
  <c r="V4220" i="1"/>
  <c r="AC4220" i="1" s="1"/>
  <c r="V4221" i="1"/>
  <c r="AC4221" i="1" s="1"/>
  <c r="V4222" i="1"/>
  <c r="AC4222" i="1" s="1"/>
  <c r="V4223" i="1"/>
  <c r="AC4223" i="1" s="1"/>
  <c r="V4225" i="1"/>
  <c r="AC4225" i="1" s="1"/>
  <c r="V4224" i="1"/>
  <c r="AC4224" i="1" s="1"/>
  <c r="V4226" i="1"/>
  <c r="AC4226" i="1" s="1"/>
  <c r="V4227" i="1"/>
  <c r="AC4227" i="1" s="1"/>
  <c r="V4229" i="1"/>
  <c r="AC4229" i="1" s="1"/>
  <c r="V4228" i="1"/>
  <c r="AC4228" i="1" s="1"/>
  <c r="V4230" i="1"/>
  <c r="AC4230" i="1" s="1"/>
  <c r="V4231" i="1"/>
  <c r="AC4231" i="1" s="1"/>
  <c r="V4232" i="1"/>
  <c r="AC4232" i="1" s="1"/>
  <c r="V4233" i="1"/>
  <c r="AC4233" i="1" s="1"/>
  <c r="V4234" i="1"/>
  <c r="AC4234" i="1" s="1"/>
  <c r="V4235" i="1"/>
  <c r="AC4235" i="1" s="1"/>
  <c r="V4236" i="1"/>
  <c r="AC4236" i="1" s="1"/>
  <c r="V4239" i="1"/>
  <c r="AC4239" i="1" s="1"/>
  <c r="V4237" i="1"/>
  <c r="AC4237" i="1" s="1"/>
  <c r="V4238" i="1"/>
  <c r="AC4238" i="1" s="1"/>
  <c r="V4241" i="1"/>
  <c r="AC4241" i="1" s="1"/>
  <c r="V4242" i="1"/>
  <c r="AC4242" i="1" s="1"/>
  <c r="V4243" i="1"/>
  <c r="AC4243" i="1" s="1"/>
  <c r="V4244" i="1"/>
  <c r="AC4244" i="1" s="1"/>
  <c r="V4245" i="1"/>
  <c r="AC4245" i="1" s="1"/>
  <c r="V4247" i="1"/>
  <c r="AC4247" i="1" s="1"/>
  <c r="V4246" i="1"/>
  <c r="AC4246" i="1" s="1"/>
  <c r="V4248" i="1"/>
  <c r="AC4248" i="1" s="1"/>
  <c r="V4249" i="1"/>
  <c r="AC4249" i="1" s="1"/>
  <c r="V4250" i="1"/>
  <c r="AC4250" i="1" s="1"/>
  <c r="V4251" i="1"/>
  <c r="AC4251" i="1" s="1"/>
  <c r="V4252" i="1"/>
  <c r="AC4252" i="1" s="1"/>
  <c r="V4253" i="1"/>
  <c r="AC4253" i="1" s="1"/>
  <c r="V4254" i="1"/>
  <c r="AC4254" i="1" s="1"/>
  <c r="V4255" i="1"/>
  <c r="AC4255" i="1" s="1"/>
  <c r="V4256" i="1"/>
  <c r="AC4256" i="1" s="1"/>
  <c r="V4257" i="1"/>
  <c r="AC4257" i="1" s="1"/>
  <c r="V4258" i="1"/>
  <c r="AC4258" i="1" s="1"/>
  <c r="V4259" i="1"/>
  <c r="AC4259" i="1" s="1"/>
  <c r="V4260" i="1"/>
  <c r="AC4260" i="1" s="1"/>
  <c r="V4261" i="1"/>
  <c r="AC4261" i="1" s="1"/>
  <c r="V4262" i="1"/>
  <c r="AC4262" i="1" s="1"/>
  <c r="V4263" i="1"/>
  <c r="AC4263" i="1" s="1"/>
  <c r="V4264" i="1"/>
  <c r="AC4264" i="1" s="1"/>
  <c r="V4265" i="1"/>
  <c r="AC4265" i="1" s="1"/>
  <c r="V4266" i="1"/>
  <c r="AC4266" i="1" s="1"/>
  <c r="V4267" i="1"/>
  <c r="AC4267" i="1" s="1"/>
  <c r="V4268" i="1"/>
  <c r="AC4268" i="1" s="1"/>
  <c r="V4269" i="1"/>
  <c r="AC4269" i="1" s="1"/>
  <c r="V4270" i="1"/>
  <c r="AC4270" i="1" s="1"/>
  <c r="V4271" i="1"/>
  <c r="AC4271" i="1" s="1"/>
  <c r="V4272" i="1"/>
  <c r="AC4272" i="1" s="1"/>
  <c r="V4273" i="1"/>
  <c r="AC4273" i="1" s="1"/>
  <c r="V4274" i="1"/>
  <c r="AC4274" i="1" s="1"/>
  <c r="V4275" i="1"/>
  <c r="AC4275" i="1" s="1"/>
  <c r="V4276" i="1"/>
  <c r="AC4276" i="1" s="1"/>
  <c r="V4277" i="1"/>
  <c r="AC4277" i="1" s="1"/>
  <c r="V4278" i="1"/>
  <c r="AC4278" i="1" s="1"/>
  <c r="V4280" i="1"/>
  <c r="AC4280" i="1" s="1"/>
  <c r="V4279" i="1"/>
  <c r="AC4279" i="1" s="1"/>
  <c r="V4282" i="1"/>
  <c r="AC4282" i="1" s="1"/>
  <c r="V4281" i="1"/>
  <c r="AC4281" i="1" s="1"/>
  <c r="V4284" i="1"/>
  <c r="AC4284" i="1" s="1"/>
  <c r="V4285" i="1"/>
  <c r="AC4285" i="1" s="1"/>
  <c r="V4286" i="1"/>
  <c r="AC4286" i="1" s="1"/>
  <c r="V4287" i="1"/>
  <c r="AC4287" i="1" s="1"/>
  <c r="V4288" i="1"/>
  <c r="AC4288" i="1" s="1"/>
  <c r="V4289" i="1"/>
  <c r="AC4289" i="1" s="1"/>
  <c r="V4290" i="1"/>
  <c r="AC4290" i="1" s="1"/>
  <c r="V4292" i="1"/>
  <c r="AC4292" i="1" s="1"/>
  <c r="V4291" i="1"/>
  <c r="AC4291" i="1" s="1"/>
  <c r="V4293" i="1"/>
  <c r="AC4293" i="1" s="1"/>
  <c r="V4294" i="1"/>
  <c r="AC4294" i="1" s="1"/>
  <c r="V4297" i="1"/>
  <c r="AC4297" i="1" s="1"/>
  <c r="V4295" i="1"/>
  <c r="AC4295" i="1" s="1"/>
  <c r="V4298" i="1"/>
  <c r="AC4298" i="1" s="1"/>
  <c r="V4296" i="1"/>
  <c r="AC4296" i="1" s="1"/>
  <c r="V4299" i="1"/>
  <c r="AC4299" i="1" s="1"/>
  <c r="V4300" i="1"/>
  <c r="AC4300" i="1" s="1"/>
  <c r="V4301" i="1"/>
  <c r="AC4301" i="1" s="1"/>
  <c r="V4303" i="1"/>
  <c r="AC4303" i="1" s="1"/>
  <c r="V4302" i="1"/>
  <c r="AC4302" i="1" s="1"/>
  <c r="V4306" i="1"/>
  <c r="AC4306" i="1" s="1"/>
  <c r="V4308" i="1"/>
  <c r="AC4308" i="1" s="1"/>
  <c r="V4307" i="1"/>
  <c r="AC4307" i="1" s="1"/>
  <c r="V4309" i="1"/>
  <c r="AC4309" i="1" s="1"/>
  <c r="V4305" i="1"/>
  <c r="AC4305" i="1" s="1"/>
  <c r="V4304" i="1"/>
  <c r="AC4304" i="1" s="1"/>
  <c r="V4311" i="1"/>
  <c r="AC4311" i="1" s="1"/>
  <c r="V4313" i="1"/>
  <c r="AC4313" i="1" s="1"/>
  <c r="V4312" i="1"/>
  <c r="AC4312" i="1" s="1"/>
  <c r="V4314" i="1"/>
  <c r="AC4314" i="1" s="1"/>
  <c r="V4561" i="1"/>
  <c r="AC4561" i="1" s="1"/>
  <c r="V4315" i="1"/>
  <c r="AC4315" i="1" s="1"/>
  <c r="V4317" i="1"/>
  <c r="AC4317" i="1" s="1"/>
  <c r="V4316" i="1"/>
  <c r="AC4316" i="1" s="1"/>
  <c r="V4318" i="1"/>
  <c r="AC4318" i="1" s="1"/>
  <c r="V4320" i="1"/>
  <c r="AC4320" i="1" s="1"/>
  <c r="V4319" i="1"/>
  <c r="AC4319" i="1" s="1"/>
  <c r="V4321" i="1"/>
  <c r="AC4321" i="1" s="1"/>
  <c r="V4323" i="1"/>
  <c r="AC4323" i="1" s="1"/>
  <c r="V4325" i="1"/>
  <c r="AC4325" i="1" s="1"/>
  <c r="V4324" i="1"/>
  <c r="AC4324" i="1" s="1"/>
  <c r="V4322" i="1"/>
  <c r="AC4322" i="1" s="1"/>
  <c r="V4326" i="1"/>
  <c r="AC4326" i="1" s="1"/>
  <c r="V4328" i="1"/>
  <c r="AC4328" i="1" s="1"/>
  <c r="V4327" i="1"/>
  <c r="AC4327" i="1" s="1"/>
  <c r="V4330" i="1"/>
  <c r="AC4330" i="1" s="1"/>
  <c r="V4329" i="1"/>
  <c r="AC4329" i="1" s="1"/>
  <c r="V4564" i="1"/>
  <c r="AC4564" i="1" s="1"/>
  <c r="V4331" i="1"/>
  <c r="AC4331" i="1" s="1"/>
  <c r="V4332" i="1"/>
  <c r="AC4332" i="1" s="1"/>
  <c r="V4333" i="1"/>
  <c r="AC4333" i="1" s="1"/>
  <c r="V4335" i="1"/>
  <c r="AC4335" i="1" s="1"/>
  <c r="V4337" i="1"/>
  <c r="AC4337" i="1" s="1"/>
  <c r="V4336" i="1"/>
  <c r="AC4336" i="1" s="1"/>
  <c r="V4338" i="1"/>
  <c r="AC4338" i="1" s="1"/>
  <c r="V4339" i="1"/>
  <c r="AC4339" i="1" s="1"/>
  <c r="V4340" i="1"/>
  <c r="AC4340" i="1" s="1"/>
  <c r="V4341" i="1"/>
  <c r="AC4341" i="1" s="1"/>
  <c r="V4342" i="1"/>
  <c r="AC4342" i="1" s="1"/>
  <c r="V4343" i="1"/>
  <c r="AC4343" i="1" s="1"/>
  <c r="V4344" i="1"/>
  <c r="AC4344" i="1" s="1"/>
  <c r="AB5596" i="1"/>
  <c r="AB8322" i="1"/>
  <c r="AB9950" i="1"/>
  <c r="AB8426" i="1"/>
  <c r="AB9251" i="1"/>
  <c r="AB7587" i="1"/>
  <c r="AB8175" i="1"/>
  <c r="AB9213" i="1"/>
  <c r="AB7401" i="1"/>
  <c r="V5138" i="1"/>
  <c r="AC5138" i="1" s="1"/>
  <c r="Z7401" i="1"/>
  <c r="V7401" i="1"/>
  <c r="AC7401" i="1" s="1"/>
  <c r="V9213" i="1"/>
  <c r="AC9213" i="1" s="1"/>
  <c r="Z8175" i="1"/>
  <c r="V8175" i="1"/>
  <c r="AC8175" i="1" s="1"/>
  <c r="V7587" i="1"/>
  <c r="AC7587" i="1" s="1"/>
  <c r="Z9251" i="1"/>
  <c r="V9251" i="1"/>
  <c r="AC9251" i="1" s="1"/>
  <c r="Z8426" i="1"/>
  <c r="V8426" i="1"/>
  <c r="AC8426" i="1" s="1"/>
  <c r="V9950" i="1"/>
  <c r="AC9950" i="1" s="1"/>
  <c r="V8322" i="1"/>
  <c r="AC8322" i="1" s="1"/>
  <c r="V5596" i="1"/>
  <c r="AC5596" i="1" s="1"/>
  <c r="Z9672" i="1"/>
  <c r="V9672" i="1"/>
  <c r="AC9672" i="1" s="1"/>
  <c r="AB9672" i="1"/>
  <c r="AB9904" i="1"/>
  <c r="Z9904" i="1"/>
  <c r="V9904" i="1"/>
  <c r="AC9904" i="1" s="1"/>
  <c r="V9726" i="1"/>
  <c r="AC9726" i="1" s="1"/>
  <c r="AB9726" i="1"/>
  <c r="AB10580" i="1"/>
  <c r="AB8648" i="1"/>
  <c r="AB10278" i="1"/>
  <c r="AB5201" i="1"/>
  <c r="AB7135" i="1"/>
  <c r="AB7275" i="1"/>
  <c r="AB7589" i="1"/>
  <c r="AB7681" i="1"/>
  <c r="AB7211" i="1"/>
  <c r="AB7458" i="1"/>
  <c r="AB7180" i="1"/>
  <c r="Z7180" i="1"/>
  <c r="V7180" i="1"/>
  <c r="AC7180" i="1" s="1"/>
  <c r="Z7458" i="1"/>
  <c r="V7458" i="1"/>
  <c r="AC7458" i="1" s="1"/>
  <c r="Z7211" i="1"/>
  <c r="V7211" i="1"/>
  <c r="AC7211" i="1" s="1"/>
  <c r="Z7681" i="1"/>
  <c r="V7681" i="1"/>
  <c r="AC7681" i="1" s="1"/>
  <c r="V7589" i="1"/>
  <c r="AC7589" i="1" s="1"/>
  <c r="V7275" i="1"/>
  <c r="AC7275" i="1" s="1"/>
  <c r="Z7135" i="1"/>
  <c r="V7135" i="1"/>
  <c r="AC7135" i="1" s="1"/>
  <c r="Z5201" i="1"/>
  <c r="V5201" i="1"/>
  <c r="AC5201" i="1" s="1"/>
  <c r="V10278" i="1"/>
  <c r="AC10278" i="1" s="1"/>
  <c r="V8648" i="1"/>
  <c r="AC8648" i="1" s="1"/>
  <c r="Z10580" i="1"/>
  <c r="V10580" i="1"/>
  <c r="AC10580" i="1" s="1"/>
  <c r="Z9536" i="1"/>
  <c r="AB9536" i="1"/>
  <c r="Z9429" i="1"/>
  <c r="V9429" i="1"/>
  <c r="AC9429" i="1" s="1"/>
  <c r="AB9429" i="1"/>
  <c r="V9124" i="1"/>
  <c r="AC9124" i="1" s="1"/>
  <c r="AB9124" i="1"/>
  <c r="Z7525" i="1"/>
  <c r="V7525" i="1"/>
  <c r="AC7525" i="1" s="1"/>
  <c r="AB7525" i="1"/>
  <c r="Z10515" i="1"/>
  <c r="V10515" i="1"/>
  <c r="AC10515" i="1" s="1"/>
  <c r="AB10515" i="1"/>
  <c r="Z8160" i="1"/>
  <c r="V8160" i="1"/>
  <c r="AC8160" i="1" s="1"/>
  <c r="AB8160" i="1"/>
  <c r="V5732" i="1"/>
  <c r="AC5732" i="1" s="1"/>
  <c r="AB5732" i="1"/>
  <c r="V7691" i="1"/>
  <c r="AC7691" i="1" s="1"/>
  <c r="AB7691" i="1"/>
  <c r="AB8686" i="1"/>
  <c r="V8910" i="1"/>
  <c r="AC8910" i="1" s="1"/>
  <c r="AB8910" i="1"/>
  <c r="Z9515" i="1"/>
  <c r="V9515" i="1"/>
  <c r="AC9515" i="1" s="1"/>
  <c r="AB9515" i="1"/>
  <c r="V9758" i="1"/>
  <c r="AC9758" i="1" s="1"/>
  <c r="AB9758" i="1"/>
  <c r="AB10597" i="1"/>
  <c r="V9427" i="1"/>
  <c r="AC9427" i="1" s="1"/>
  <c r="AB9427" i="1"/>
  <c r="V9747" i="1"/>
  <c r="AC9747" i="1" s="1"/>
  <c r="AB9747" i="1"/>
  <c r="Z9980" i="1"/>
  <c r="V9980" i="1"/>
  <c r="AC9980" i="1" s="1"/>
  <c r="AB9980" i="1"/>
  <c r="Z10249" i="1"/>
  <c r="V10249" i="1"/>
  <c r="AC10249" i="1" s="1"/>
  <c r="AB10249" i="1"/>
  <c r="V10464" i="1"/>
  <c r="AC10464" i="1" s="1"/>
  <c r="AB10464" i="1"/>
  <c r="V10483" i="1"/>
  <c r="AC10483" i="1" s="1"/>
  <c r="AB10483" i="1"/>
  <c r="V10512" i="1"/>
  <c r="AC10512" i="1" s="1"/>
  <c r="AB10512" i="1"/>
  <c r="V10568" i="1"/>
  <c r="AC10568" i="1" s="1"/>
  <c r="AB10568" i="1"/>
  <c r="V10596" i="1"/>
  <c r="AC10596" i="1" s="1"/>
  <c r="AB10596" i="1"/>
  <c r="V4345" i="1"/>
  <c r="AC4345" i="1" s="1"/>
  <c r="V4346" i="1"/>
  <c r="AC4346" i="1" s="1"/>
  <c r="V4347" i="1"/>
  <c r="AC4347" i="1" s="1"/>
  <c r="V4348" i="1"/>
  <c r="AC4348" i="1" s="1"/>
  <c r="V4350" i="1"/>
  <c r="AC4350" i="1" s="1"/>
  <c r="V4351" i="1"/>
  <c r="AC4351" i="1" s="1"/>
  <c r="V4352" i="1"/>
  <c r="AC4352" i="1" s="1"/>
  <c r="V4353" i="1"/>
  <c r="AC4353" i="1" s="1"/>
  <c r="V4355" i="1"/>
  <c r="AC4355" i="1" s="1"/>
  <c r="V4357" i="1"/>
  <c r="AC4357" i="1" s="1"/>
  <c r="V4358" i="1"/>
  <c r="AC4358" i="1" s="1"/>
  <c r="V4361" i="1"/>
  <c r="AC4361" i="1" s="1"/>
  <c r="V4359" i="1"/>
  <c r="AC4359" i="1" s="1"/>
  <c r="V4354" i="1"/>
  <c r="AC4354" i="1" s="1"/>
  <c r="V27" i="1"/>
  <c r="AC27" i="1" s="1"/>
  <c r="V4356" i="1"/>
  <c r="AC4356" i="1" s="1"/>
  <c r="V4363" i="1"/>
  <c r="AC4363" i="1" s="1"/>
  <c r="V4364" i="1"/>
  <c r="AC4364" i="1" s="1"/>
  <c r="V4362" i="1"/>
  <c r="AC4362" i="1" s="1"/>
  <c r="V4365" i="1"/>
  <c r="AC4365" i="1" s="1"/>
  <c r="V4366" i="1"/>
  <c r="AC4366" i="1" s="1"/>
  <c r="V4367" i="1"/>
  <c r="AC4367" i="1" s="1"/>
  <c r="V4369" i="1"/>
  <c r="AC4369" i="1" s="1"/>
  <c r="V4368" i="1"/>
  <c r="AC4368" i="1" s="1"/>
  <c r="V4574" i="1"/>
  <c r="AC4574" i="1" s="1"/>
  <c r="V4372" i="1"/>
  <c r="AC4372" i="1" s="1"/>
  <c r="V4373" i="1"/>
  <c r="AC4373" i="1" s="1"/>
  <c r="V4371" i="1"/>
  <c r="AC4371" i="1" s="1"/>
  <c r="V4374" i="1"/>
  <c r="AC4374" i="1" s="1"/>
  <c r="V4375" i="1"/>
  <c r="AC4375" i="1" s="1"/>
  <c r="V4379" i="1"/>
  <c r="AC4379" i="1" s="1"/>
  <c r="V4376" i="1"/>
  <c r="AC4376" i="1" s="1"/>
  <c r="V4381" i="1"/>
  <c r="AC4381" i="1" s="1"/>
  <c r="V4377" i="1"/>
  <c r="AC4377" i="1" s="1"/>
  <c r="V4382" i="1"/>
  <c r="AC4382" i="1" s="1"/>
  <c r="V4378" i="1"/>
  <c r="AC4378" i="1" s="1"/>
  <c r="V4384" i="1"/>
  <c r="AC4384" i="1" s="1"/>
  <c r="V4385" i="1"/>
  <c r="AC4385" i="1" s="1"/>
  <c r="V4386" i="1"/>
  <c r="AC4386" i="1" s="1"/>
  <c r="V4387" i="1"/>
  <c r="AC4387" i="1" s="1"/>
  <c r="V4388" i="1"/>
  <c r="AC4388" i="1" s="1"/>
  <c r="V4389" i="1"/>
  <c r="AC4389" i="1" s="1"/>
  <c r="V4391" i="1"/>
  <c r="AC4391" i="1" s="1"/>
  <c r="V4390" i="1"/>
  <c r="AC4390" i="1" s="1"/>
  <c r="V4392" i="1"/>
  <c r="AC4392" i="1" s="1"/>
  <c r="V5585" i="1"/>
  <c r="AC5585" i="1" s="1"/>
  <c r="AB5585" i="1"/>
  <c r="V6329" i="1"/>
  <c r="AC6329" i="1" s="1"/>
  <c r="AB6329" i="1"/>
  <c r="V10564" i="1"/>
  <c r="AC10564" i="1" s="1"/>
  <c r="AB10564" i="1"/>
  <c r="V4393" i="1"/>
  <c r="AC4393" i="1" s="1"/>
  <c r="V4396" i="1"/>
  <c r="AC4396" i="1" s="1"/>
  <c r="V4395" i="1"/>
  <c r="AC4395" i="1" s="1"/>
  <c r="V4398" i="1"/>
  <c r="AC4398" i="1" s="1"/>
  <c r="V3160" i="1"/>
  <c r="AC3160" i="1" s="1"/>
  <c r="AB3160" i="1"/>
  <c r="V4394" i="1"/>
  <c r="AC4394" i="1" s="1"/>
  <c r="AB4394" i="1"/>
  <c r="V5735" i="1"/>
  <c r="AC5735" i="1" s="1"/>
  <c r="AB5735" i="1"/>
  <c r="V6187" i="1"/>
  <c r="AC6187" i="1" s="1"/>
  <c r="AB6187" i="1"/>
  <c r="V6891" i="1"/>
  <c r="AC6891" i="1" s="1"/>
  <c r="AB6891" i="1"/>
  <c r="V8004" i="1"/>
  <c r="AC8004" i="1" s="1"/>
  <c r="AB8004" i="1"/>
  <c r="V8138" i="1"/>
  <c r="AC8138" i="1" s="1"/>
  <c r="AB8138" i="1"/>
  <c r="V8367" i="1"/>
  <c r="AC8367" i="1" s="1"/>
  <c r="AB8367" i="1"/>
  <c r="V9418" i="1"/>
  <c r="AC9418" i="1" s="1"/>
  <c r="AB9418" i="1"/>
  <c r="V9729" i="1"/>
  <c r="AC9729" i="1" s="1"/>
  <c r="AB9729" i="1"/>
  <c r="V5190" i="1"/>
  <c r="AC5190" i="1" s="1"/>
  <c r="AB5190" i="1"/>
  <c r="V6035" i="1"/>
  <c r="AC6035" i="1" s="1"/>
  <c r="AB6035" i="1"/>
  <c r="V6040" i="1"/>
  <c r="AC6040" i="1" s="1"/>
  <c r="AB6040" i="1"/>
  <c r="V8289" i="1"/>
  <c r="AC8289" i="1" s="1"/>
  <c r="AB8289" i="1"/>
  <c r="V8789" i="1"/>
  <c r="AC8789" i="1" s="1"/>
  <c r="AB8789" i="1"/>
  <c r="V9005" i="1"/>
  <c r="AC9005" i="1" s="1"/>
  <c r="AB9005" i="1"/>
  <c r="V4397" i="1"/>
  <c r="AC4397" i="1" s="1"/>
  <c r="V4400" i="1"/>
  <c r="AC4400" i="1" s="1"/>
  <c r="V4399" i="1"/>
  <c r="AC4399" i="1" s="1"/>
  <c r="V4401" i="1"/>
  <c r="AC4401" i="1" s="1"/>
  <c r="V4403" i="1"/>
  <c r="AC4403" i="1" s="1"/>
  <c r="V4402" i="1"/>
  <c r="AC4402" i="1" s="1"/>
  <c r="V4405" i="1"/>
  <c r="AC4405" i="1" s="1"/>
  <c r="V4406" i="1"/>
  <c r="AC4406" i="1" s="1"/>
  <c r="V4408" i="1"/>
  <c r="AC4408" i="1" s="1"/>
  <c r="V4407" i="1"/>
  <c r="AC4407" i="1" s="1"/>
  <c r="V4409" i="1"/>
  <c r="AC4409" i="1" s="1"/>
  <c r="V4410" i="1"/>
  <c r="AC4410" i="1" s="1"/>
  <c r="V4411" i="1"/>
  <c r="AC4411" i="1" s="1"/>
  <c r="V4413" i="1"/>
  <c r="AC4413" i="1" s="1"/>
  <c r="V4412" i="1"/>
  <c r="AC4412" i="1" s="1"/>
  <c r="V4417" i="1"/>
  <c r="AC4417" i="1" s="1"/>
  <c r="V4414" i="1"/>
  <c r="AC4414" i="1" s="1"/>
  <c r="V4416" i="1"/>
  <c r="AC4416" i="1" s="1"/>
  <c r="V4415" i="1"/>
  <c r="AC4415" i="1" s="1"/>
  <c r="V4418" i="1"/>
  <c r="AC4418" i="1" s="1"/>
  <c r="V4421" i="1"/>
  <c r="AC4421" i="1" s="1"/>
  <c r="V4420" i="1"/>
  <c r="AC4420" i="1" s="1"/>
  <c r="V4419" i="1"/>
  <c r="AC4419" i="1" s="1"/>
  <c r="V4423" i="1"/>
  <c r="AC4423" i="1" s="1"/>
  <c r="V4422" i="1"/>
  <c r="AC4422" i="1" s="1"/>
  <c r="V4424" i="1"/>
  <c r="AC4424" i="1" s="1"/>
  <c r="V4425" i="1"/>
  <c r="AC4425" i="1" s="1"/>
  <c r="V4426" i="1"/>
  <c r="AC4426" i="1" s="1"/>
  <c r="V4427" i="1"/>
  <c r="AC4427" i="1" s="1"/>
  <c r="V4429" i="1"/>
  <c r="AC4429" i="1" s="1"/>
  <c r="V4428" i="1"/>
  <c r="AC4428" i="1" s="1"/>
  <c r="V4431" i="1"/>
  <c r="AC4431" i="1" s="1"/>
  <c r="V4432" i="1"/>
  <c r="AC4432" i="1" s="1"/>
  <c r="V4430" i="1"/>
  <c r="AC4430" i="1" s="1"/>
  <c r="V4433" i="1"/>
  <c r="AC4433" i="1" s="1"/>
  <c r="V4434" i="1"/>
  <c r="AC4434" i="1" s="1"/>
  <c r="V4435" i="1"/>
  <c r="AC4435" i="1" s="1"/>
  <c r="V4436" i="1"/>
  <c r="AC4436" i="1" s="1"/>
  <c r="V4437" i="1"/>
  <c r="AC4437" i="1" s="1"/>
  <c r="V4438" i="1"/>
  <c r="AC4438" i="1" s="1"/>
  <c r="V4439" i="1"/>
  <c r="AC4439" i="1" s="1"/>
  <c r="V4440" i="1"/>
  <c r="AC4440" i="1" s="1"/>
  <c r="V4441" i="1"/>
  <c r="AC4441" i="1" s="1"/>
  <c r="V4443" i="1"/>
  <c r="AC4443" i="1" s="1"/>
  <c r="V4446" i="1"/>
  <c r="AC4446" i="1" s="1"/>
  <c r="V4445" i="1"/>
  <c r="AC4445" i="1" s="1"/>
  <c r="V4444" i="1"/>
  <c r="AC4444" i="1" s="1"/>
  <c r="V4447" i="1"/>
  <c r="AC4447" i="1" s="1"/>
  <c r="V4448" i="1"/>
  <c r="AC4448" i="1" s="1"/>
  <c r="V4450" i="1"/>
  <c r="AC4450" i="1" s="1"/>
  <c r="V4449" i="1"/>
  <c r="AC4449" i="1" s="1"/>
  <c r="V4451" i="1"/>
  <c r="AC4451" i="1" s="1"/>
  <c r="V4452" i="1"/>
  <c r="AC4452" i="1" s="1"/>
  <c r="V4453" i="1"/>
  <c r="AC4453" i="1" s="1"/>
  <c r="V4454" i="1"/>
  <c r="AC4454" i="1" s="1"/>
  <c r="V4455" i="1"/>
  <c r="AC4455" i="1" s="1"/>
  <c r="V4456" i="1"/>
  <c r="AC4456" i="1" s="1"/>
  <c r="V4457" i="1"/>
  <c r="AC4457" i="1" s="1"/>
  <c r="V4458" i="1"/>
  <c r="AC4458" i="1" s="1"/>
  <c r="V4460" i="1"/>
  <c r="AC4460" i="1" s="1"/>
  <c r="V4459" i="1"/>
  <c r="AC4459" i="1" s="1"/>
  <c r="V4461" i="1"/>
  <c r="AC4461" i="1" s="1"/>
  <c r="V4462" i="1"/>
  <c r="AC4462" i="1" s="1"/>
  <c r="V7466" i="1"/>
  <c r="AC7466" i="1" s="1"/>
  <c r="AB7466" i="1"/>
  <c r="V4464" i="1"/>
  <c r="AC4464" i="1" s="1"/>
  <c r="V4466" i="1"/>
  <c r="AC4466" i="1" s="1"/>
  <c r="V4467" i="1"/>
  <c r="AC4467" i="1" s="1"/>
  <c r="V4468" i="1"/>
  <c r="AC4468" i="1" s="1"/>
  <c r="V4469" i="1"/>
  <c r="AC4469" i="1" s="1"/>
  <c r="V4470" i="1"/>
  <c r="AC4470" i="1" s="1"/>
  <c r="V4472" i="1"/>
  <c r="AC4472" i="1" s="1"/>
  <c r="V4477" i="1"/>
  <c r="AC4477" i="1" s="1"/>
  <c r="V4476" i="1"/>
  <c r="AC4476" i="1" s="1"/>
  <c r="V4475" i="1"/>
  <c r="AC4475" i="1" s="1"/>
  <c r="V4474" i="1"/>
  <c r="AC4474" i="1" s="1"/>
  <c r="V4487" i="1"/>
  <c r="AC4487" i="1" s="1"/>
  <c r="V4481" i="1"/>
  <c r="AC4481" i="1" s="1"/>
  <c r="V4484" i="1"/>
  <c r="AC4484" i="1" s="1"/>
  <c r="V4483" i="1"/>
  <c r="AC4483" i="1" s="1"/>
  <c r="V4482" i="1"/>
  <c r="AC4482" i="1" s="1"/>
  <c r="V4485" i="1"/>
  <c r="AC4485" i="1" s="1"/>
  <c r="V4486" i="1"/>
  <c r="AC4486" i="1" s="1"/>
  <c r="V4480" i="1"/>
  <c r="AC4480" i="1" s="1"/>
  <c r="V4488" i="1"/>
  <c r="AC4488" i="1" s="1"/>
  <c r="V4489" i="1"/>
  <c r="AC4489" i="1" s="1"/>
  <c r="V4490" i="1"/>
  <c r="AC4490" i="1" s="1"/>
  <c r="V4492" i="1"/>
  <c r="AC4492" i="1" s="1"/>
  <c r="V4491" i="1"/>
  <c r="AC4491" i="1" s="1"/>
  <c r="V4493" i="1"/>
  <c r="AC4493" i="1" s="1"/>
  <c r="V4498" i="1"/>
  <c r="AC4498" i="1" s="1"/>
  <c r="V4497" i="1"/>
  <c r="AC4497" i="1" s="1"/>
  <c r="V4499" i="1"/>
  <c r="AC4499" i="1" s="1"/>
  <c r="V4494" i="1"/>
  <c r="AC4494" i="1" s="1"/>
  <c r="V4495" i="1"/>
  <c r="AC4495" i="1" s="1"/>
  <c r="V4496" i="1"/>
  <c r="AC4496" i="1" s="1"/>
  <c r="V4501" i="1"/>
  <c r="AC4501" i="1" s="1"/>
  <c r="V4502" i="1"/>
  <c r="AC4502" i="1" s="1"/>
  <c r="V4503" i="1"/>
  <c r="AC4503" i="1" s="1"/>
  <c r="V4504" i="1"/>
  <c r="AC4504" i="1" s="1"/>
  <c r="V4507" i="1"/>
  <c r="AC4507" i="1" s="1"/>
  <c r="V4506" i="1"/>
  <c r="AC4506" i="1" s="1"/>
  <c r="V4505" i="1"/>
  <c r="AC4505" i="1" s="1"/>
  <c r="V4508" i="1"/>
  <c r="AC4508" i="1" s="1"/>
  <c r="V4510" i="1"/>
  <c r="AC4510" i="1" s="1"/>
  <c r="V4509" i="1"/>
  <c r="AC4509" i="1" s="1"/>
  <c r="V4511" i="1"/>
  <c r="AC4511" i="1" s="1"/>
  <c r="V4512" i="1"/>
  <c r="AC4512" i="1" s="1"/>
  <c r="V4513" i="1"/>
  <c r="AC4513" i="1" s="1"/>
  <c r="V4514" i="1"/>
  <c r="AC4514" i="1" s="1"/>
  <c r="V4515" i="1"/>
  <c r="AC4515" i="1" s="1"/>
  <c r="V4516" i="1"/>
  <c r="AC4516" i="1" s="1"/>
  <c r="V4517" i="1"/>
  <c r="AC4517" i="1" s="1"/>
  <c r="V4518" i="1"/>
  <c r="AC4518" i="1" s="1"/>
  <c r="V4519" i="1"/>
  <c r="AC4519" i="1" s="1"/>
  <c r="V4520" i="1"/>
  <c r="AC4520" i="1" s="1"/>
  <c r="V4522" i="1"/>
  <c r="AC4522" i="1" s="1"/>
  <c r="V4521" i="1"/>
  <c r="AC4521" i="1" s="1"/>
  <c r="V4524" i="1"/>
  <c r="AC4524" i="1" s="1"/>
  <c r="V4523" i="1"/>
  <c r="AC4523" i="1" s="1"/>
  <c r="V4525" i="1"/>
  <c r="AC4525" i="1" s="1"/>
  <c r="V4526" i="1"/>
  <c r="AC4526" i="1" s="1"/>
  <c r="V4528" i="1"/>
  <c r="AC4528" i="1" s="1"/>
  <c r="V4527" i="1"/>
  <c r="AC4527" i="1" s="1"/>
  <c r="V4529" i="1"/>
  <c r="AC4529" i="1" s="1"/>
  <c r="V4530" i="1"/>
  <c r="AC4530" i="1" s="1"/>
  <c r="V4532" i="1"/>
  <c r="AC4532" i="1" s="1"/>
  <c r="V4531" i="1"/>
  <c r="AC4531" i="1" s="1"/>
  <c r="V4533" i="1"/>
  <c r="AC4533" i="1" s="1"/>
  <c r="V4534" i="1"/>
  <c r="AC4534" i="1" s="1"/>
  <c r="V4535" i="1"/>
  <c r="AC4535" i="1" s="1"/>
  <c r="V4536" i="1"/>
  <c r="AC4536" i="1" s="1"/>
  <c r="V4537" i="1"/>
  <c r="AC4537" i="1" s="1"/>
  <c r="V4538" i="1"/>
  <c r="AC4538" i="1" s="1"/>
  <c r="V4542" i="1"/>
  <c r="AC4542" i="1" s="1"/>
  <c r="V4541" i="1"/>
  <c r="AC4541" i="1" s="1"/>
  <c r="V4540" i="1"/>
  <c r="AC4540" i="1" s="1"/>
  <c r="V4543" i="1"/>
  <c r="AC4543" i="1" s="1"/>
  <c r="V4544" i="1"/>
  <c r="AC4544" i="1" s="1"/>
  <c r="V4547" i="1"/>
  <c r="AC4547" i="1" s="1"/>
  <c r="V4550" i="1"/>
  <c r="AC4550" i="1" s="1"/>
  <c r="V4549" i="1"/>
  <c r="AC4549" i="1" s="1"/>
  <c r="V4552" i="1"/>
  <c r="AC4552" i="1" s="1"/>
  <c r="V4551" i="1"/>
  <c r="AC4551" i="1" s="1"/>
  <c r="V4553" i="1"/>
  <c r="AC4553" i="1" s="1"/>
  <c r="V4554" i="1"/>
  <c r="AC4554" i="1" s="1"/>
  <c r="V4555" i="1"/>
  <c r="AC4555" i="1" s="1"/>
  <c r="V4556" i="1"/>
  <c r="AC4556" i="1" s="1"/>
  <c r="V4557" i="1"/>
  <c r="AC4557" i="1" s="1"/>
  <c r="V4558" i="1"/>
  <c r="AC4558" i="1" s="1"/>
  <c r="V4559" i="1"/>
  <c r="AC4559" i="1" s="1"/>
  <c r="V4560" i="1"/>
  <c r="AC4560" i="1" s="1"/>
  <c r="V4562" i="1"/>
  <c r="AC4562" i="1" s="1"/>
  <c r="V4563" i="1"/>
  <c r="AC4563" i="1" s="1"/>
  <c r="V4565" i="1"/>
  <c r="AC4565" i="1" s="1"/>
  <c r="V4566" i="1"/>
  <c r="AC4566" i="1" s="1"/>
  <c r="V4567" i="1"/>
  <c r="AC4567" i="1" s="1"/>
  <c r="V4569" i="1"/>
  <c r="AC4569" i="1" s="1"/>
  <c r="V4568" i="1"/>
  <c r="AC4568" i="1" s="1"/>
  <c r="V4570" i="1"/>
  <c r="AC4570" i="1" s="1"/>
  <c r="V4571" i="1"/>
  <c r="AC4571" i="1" s="1"/>
  <c r="V4572" i="1"/>
  <c r="AC4572" i="1" s="1"/>
  <c r="V4573" i="1"/>
  <c r="AC4573" i="1" s="1"/>
  <c r="V4575" i="1"/>
  <c r="AC4575" i="1" s="1"/>
  <c r="V4576" i="1"/>
  <c r="AC4576" i="1" s="1"/>
  <c r="V4577" i="1"/>
  <c r="AC4577" i="1" s="1"/>
  <c r="V4578" i="1"/>
  <c r="AC4578" i="1" s="1"/>
  <c r="V4579" i="1"/>
  <c r="AC4579" i="1" s="1"/>
  <c r="V4580" i="1"/>
  <c r="AC4580" i="1" s="1"/>
  <c r="V4581" i="1"/>
  <c r="AC4581" i="1" s="1"/>
  <c r="V4582" i="1"/>
  <c r="AC4582" i="1" s="1"/>
  <c r="V4583" i="1"/>
  <c r="AC4583" i="1" s="1"/>
  <c r="V4584" i="1"/>
  <c r="AC4584" i="1" s="1"/>
  <c r="V4585" i="1"/>
  <c r="AC4585" i="1" s="1"/>
  <c r="V4586" i="1"/>
  <c r="AC4586" i="1" s="1"/>
  <c r="V4587" i="1"/>
  <c r="AC4587" i="1" s="1"/>
  <c r="V4588" i="1"/>
  <c r="AC4588" i="1" s="1"/>
  <c r="V4589" i="1"/>
  <c r="AC4589" i="1" s="1"/>
  <c r="V4590" i="1"/>
  <c r="AC4590" i="1" s="1"/>
  <c r="V4591" i="1"/>
  <c r="AC4591" i="1" s="1"/>
  <c r="V4592" i="1"/>
  <c r="AC4592" i="1" s="1"/>
  <c r="V4593" i="1"/>
  <c r="AC4593" i="1" s="1"/>
  <c r="V4594" i="1"/>
  <c r="AC4594" i="1" s="1"/>
  <c r="V4595" i="1"/>
  <c r="AC4595" i="1" s="1"/>
  <c r="V4596" i="1"/>
  <c r="AC4596" i="1" s="1"/>
  <c r="V4598" i="1"/>
  <c r="AC4598" i="1" s="1"/>
  <c r="V4597" i="1"/>
  <c r="AC4597" i="1" s="1"/>
  <c r="V4599" i="1"/>
  <c r="AC4599" i="1" s="1"/>
  <c r="V4600" i="1"/>
  <c r="AC4600" i="1" s="1"/>
  <c r="V4601" i="1"/>
  <c r="AC4601" i="1" s="1"/>
  <c r="V4602" i="1"/>
  <c r="AC4602" i="1" s="1"/>
  <c r="V4605" i="1"/>
  <c r="AC4605" i="1" s="1"/>
  <c r="V4604" i="1"/>
  <c r="AC4604" i="1" s="1"/>
  <c r="V4603" i="1"/>
  <c r="AC4603" i="1" s="1"/>
  <c r="V4606" i="1"/>
  <c r="AC4606" i="1" s="1"/>
  <c r="V4607" i="1"/>
  <c r="AC4607" i="1" s="1"/>
  <c r="V4609" i="1"/>
  <c r="AC4609" i="1" s="1"/>
  <c r="V4608" i="1"/>
  <c r="AC4608" i="1" s="1"/>
  <c r="V4610" i="1"/>
  <c r="AC4610" i="1" s="1"/>
  <c r="V4611" i="1"/>
  <c r="AC4611" i="1" s="1"/>
  <c r="V4612" i="1"/>
  <c r="AC4612" i="1" s="1"/>
  <c r="V4614" i="1"/>
  <c r="AC4614" i="1" s="1"/>
  <c r="V4613" i="1"/>
  <c r="AC4613" i="1" s="1"/>
  <c r="V4616" i="1"/>
  <c r="AC4616" i="1" s="1"/>
  <c r="V4617" i="1"/>
  <c r="AC4617" i="1" s="1"/>
  <c r="V4618" i="1"/>
  <c r="AC4618" i="1" s="1"/>
  <c r="V4619" i="1"/>
  <c r="AC4619" i="1" s="1"/>
  <c r="V4620" i="1"/>
  <c r="AC4620" i="1" s="1"/>
  <c r="V4621" i="1"/>
  <c r="AC4621" i="1" s="1"/>
  <c r="V4623" i="1"/>
  <c r="AC4623" i="1" s="1"/>
  <c r="V4624" i="1"/>
  <c r="AC4624" i="1" s="1"/>
  <c r="V4625" i="1"/>
  <c r="AC4625" i="1" s="1"/>
  <c r="V4626" i="1"/>
  <c r="AC4626" i="1" s="1"/>
  <c r="V4627" i="1"/>
  <c r="AC4627" i="1" s="1"/>
  <c r="V4628" i="1"/>
  <c r="AC4628" i="1" s="1"/>
  <c r="V4629" i="1"/>
  <c r="AC4629" i="1" s="1"/>
  <c r="V4630" i="1"/>
  <c r="AC4630" i="1" s="1"/>
  <c r="V4634" i="1"/>
  <c r="AC4634" i="1" s="1"/>
  <c r="V4632" i="1"/>
  <c r="AC4632" i="1" s="1"/>
  <c r="V4635" i="1"/>
  <c r="AC4635" i="1" s="1"/>
  <c r="V4636" i="1"/>
  <c r="AC4636" i="1" s="1"/>
  <c r="V4640" i="1"/>
  <c r="AC4640" i="1" s="1"/>
  <c r="V4638" i="1"/>
  <c r="AC4638" i="1" s="1"/>
  <c r="V4637" i="1"/>
  <c r="AC4637" i="1" s="1"/>
  <c r="V4641" i="1"/>
  <c r="AC4641" i="1" s="1"/>
  <c r="V4642" i="1"/>
  <c r="AC4642" i="1" s="1"/>
  <c r="V4644" i="1"/>
  <c r="AC4644" i="1" s="1"/>
  <c r="V4643" i="1"/>
  <c r="AC4643" i="1" s="1"/>
  <c r="V4645" i="1"/>
  <c r="AC4645" i="1" s="1"/>
  <c r="V4646" i="1"/>
  <c r="AC4646" i="1" s="1"/>
  <c r="V4647" i="1"/>
  <c r="AC4647" i="1" s="1"/>
  <c r="V4648" i="1"/>
  <c r="AC4648" i="1" s="1"/>
  <c r="V4655" i="1"/>
  <c r="AC4655" i="1" s="1"/>
  <c r="V4649" i="1"/>
  <c r="AC4649" i="1" s="1"/>
  <c r="V4651" i="1"/>
  <c r="AC4651" i="1" s="1"/>
  <c r="V4650" i="1"/>
  <c r="AC4650" i="1" s="1"/>
  <c r="V4654" i="1"/>
  <c r="AC4654" i="1" s="1"/>
  <c r="V4652" i="1"/>
  <c r="AC4652" i="1" s="1"/>
  <c r="V4653" i="1"/>
  <c r="AC4653" i="1" s="1"/>
  <c r="V4656" i="1"/>
  <c r="AC4656" i="1" s="1"/>
  <c r="V4657" i="1"/>
  <c r="AC4657" i="1" s="1"/>
  <c r="V4658" i="1"/>
  <c r="AC4658" i="1" s="1"/>
  <c r="V4659" i="1"/>
  <c r="AC4659" i="1" s="1"/>
  <c r="V4661" i="1"/>
  <c r="AC4661" i="1" s="1"/>
  <c r="V4660" i="1"/>
  <c r="AC4660" i="1" s="1"/>
  <c r="V4663" i="1"/>
  <c r="AC4663" i="1" s="1"/>
  <c r="V4667" i="1"/>
  <c r="AC4667" i="1" s="1"/>
  <c r="V4668" i="1"/>
  <c r="AC4668" i="1" s="1"/>
  <c r="V4666" i="1"/>
  <c r="AC4666" i="1" s="1"/>
  <c r="V4665" i="1"/>
  <c r="AC4665" i="1" s="1"/>
  <c r="V4669" i="1"/>
  <c r="AC4669" i="1" s="1"/>
  <c r="V4670" i="1"/>
  <c r="AC4670" i="1" s="1"/>
  <c r="V4674" i="1"/>
  <c r="AC4674" i="1" s="1"/>
  <c r="V4673" i="1"/>
  <c r="AC4673" i="1" s="1"/>
  <c r="V4675" i="1"/>
  <c r="AC4675" i="1" s="1"/>
  <c r="V4679" i="1"/>
  <c r="AC4679" i="1" s="1"/>
  <c r="V4677" i="1"/>
  <c r="AC4677" i="1" s="1"/>
  <c r="V4676" i="1"/>
  <c r="AC4676" i="1" s="1"/>
  <c r="V4680" i="1"/>
  <c r="AC4680" i="1" s="1"/>
  <c r="V4678" i="1"/>
  <c r="AC4678" i="1" s="1"/>
  <c r="V4681" i="1"/>
  <c r="AC4681" i="1" s="1"/>
  <c r="V4682" i="1"/>
  <c r="AC4682" i="1" s="1"/>
  <c r="V4686" i="1"/>
  <c r="AC4686" i="1" s="1"/>
  <c r="V4684" i="1"/>
  <c r="AC4684" i="1" s="1"/>
  <c r="V4687" i="1"/>
  <c r="AC4687" i="1" s="1"/>
  <c r="V4685" i="1"/>
  <c r="AC4685" i="1" s="1"/>
  <c r="V4683" i="1"/>
  <c r="AC4683" i="1" s="1"/>
  <c r="V4688" i="1"/>
  <c r="AC4688" i="1" s="1"/>
  <c r="V4689" i="1"/>
  <c r="AC4689" i="1" s="1"/>
  <c r="V4690" i="1"/>
  <c r="AC4690" i="1" s="1"/>
  <c r="V4691" i="1"/>
  <c r="AC4691" i="1" s="1"/>
  <c r="V4694" i="1"/>
  <c r="AC4694" i="1" s="1"/>
  <c r="V4693" i="1"/>
  <c r="AC4693" i="1" s="1"/>
  <c r="V4695" i="1"/>
  <c r="AC4695" i="1" s="1"/>
  <c r="V4697" i="1"/>
  <c r="AC4697" i="1" s="1"/>
  <c r="V4692" i="1"/>
  <c r="AC4692" i="1" s="1"/>
  <c r="V4698" i="1"/>
  <c r="AC4698" i="1" s="1"/>
  <c r="V4696" i="1"/>
  <c r="AC4696" i="1" s="1"/>
  <c r="V4700" i="1"/>
  <c r="AC4700" i="1" s="1"/>
  <c r="V4699" i="1"/>
  <c r="AC4699" i="1" s="1"/>
  <c r="V4702" i="1"/>
  <c r="AC4702" i="1" s="1"/>
  <c r="V4703" i="1"/>
  <c r="AC4703" i="1" s="1"/>
  <c r="V4701" i="1"/>
  <c r="AC4701" i="1" s="1"/>
  <c r="V4704" i="1"/>
  <c r="AC4704" i="1" s="1"/>
  <c r="V4705" i="1"/>
  <c r="AC4705" i="1" s="1"/>
  <c r="V4707" i="1"/>
  <c r="AC4707" i="1" s="1"/>
  <c r="V4706" i="1"/>
  <c r="AC4706" i="1" s="1"/>
  <c r="V4708" i="1"/>
  <c r="AC4708" i="1" s="1"/>
  <c r="V4710" i="1"/>
  <c r="AC4710" i="1" s="1"/>
  <c r="V4712" i="1"/>
  <c r="AC4712" i="1" s="1"/>
  <c r="V4713" i="1"/>
  <c r="AC4713" i="1" s="1"/>
  <c r="V4714" i="1"/>
  <c r="AC4714" i="1" s="1"/>
  <c r="V4715" i="1"/>
  <c r="AC4715" i="1" s="1"/>
  <c r="V4716" i="1"/>
  <c r="AC4716" i="1" s="1"/>
  <c r="V4717" i="1"/>
  <c r="AC4717" i="1" s="1"/>
  <c r="V4718" i="1"/>
  <c r="AC4718" i="1" s="1"/>
  <c r="V4721" i="1"/>
  <c r="AC4721" i="1" s="1"/>
  <c r="V4719" i="1"/>
  <c r="AC4719" i="1" s="1"/>
  <c r="V5077" i="1"/>
  <c r="AC5077" i="1" s="1"/>
  <c r="AB5077" i="1"/>
  <c r="V5778" i="1"/>
  <c r="AC5778" i="1" s="1"/>
  <c r="AB5778" i="1"/>
  <c r="V5626" i="1"/>
  <c r="AC5626" i="1" s="1"/>
  <c r="AB5626" i="1"/>
  <c r="V5927" i="1"/>
  <c r="AC5927" i="1" s="1"/>
  <c r="AB5927" i="1"/>
  <c r="V5625" i="1"/>
  <c r="AC5625" i="1" s="1"/>
  <c r="AB5625" i="1"/>
  <c r="V3708" i="1"/>
  <c r="AC3708" i="1" s="1"/>
  <c r="AB3708" i="1"/>
  <c r="V4722" i="1"/>
  <c r="AC4722" i="1" s="1"/>
  <c r="V4723" i="1"/>
  <c r="AC4723" i="1" s="1"/>
  <c r="V4727" i="1"/>
  <c r="AC4727" i="1" s="1"/>
  <c r="V4726" i="1"/>
  <c r="AC4726" i="1" s="1"/>
  <c r="V4725" i="1"/>
  <c r="AC4725" i="1" s="1"/>
  <c r="V4729" i="1"/>
  <c r="AC4729" i="1" s="1"/>
  <c r="V4731" i="1"/>
  <c r="AC4731" i="1" s="1"/>
  <c r="V4730" i="1"/>
  <c r="AC4730" i="1" s="1"/>
  <c r="V4732" i="1"/>
  <c r="AC4732" i="1" s="1"/>
  <c r="V4733" i="1"/>
  <c r="AC4733" i="1" s="1"/>
  <c r="V4734" i="1"/>
  <c r="AC4734" i="1" s="1"/>
  <c r="V4736" i="1"/>
  <c r="AC4736" i="1" s="1"/>
  <c r="V4735" i="1"/>
  <c r="AC4735" i="1" s="1"/>
  <c r="V4737" i="1"/>
  <c r="AC4737" i="1" s="1"/>
  <c r="V4741" i="1"/>
  <c r="AC4741" i="1" s="1"/>
  <c r="V4742" i="1"/>
  <c r="AC4742" i="1" s="1"/>
  <c r="V4744" i="1"/>
  <c r="AC4744" i="1" s="1"/>
  <c r="V4745" i="1"/>
  <c r="AC4745" i="1" s="1"/>
  <c r="V4746" i="1"/>
  <c r="AC4746" i="1" s="1"/>
  <c r="V4747" i="1"/>
  <c r="AC4747" i="1" s="1"/>
  <c r="V4748" i="1"/>
  <c r="AC4748" i="1" s="1"/>
  <c r="V4749" i="1"/>
  <c r="AC4749" i="1" s="1"/>
  <c r="V4750" i="1"/>
  <c r="AC4750" i="1" s="1"/>
  <c r="V4751" i="1"/>
  <c r="AC4751" i="1" s="1"/>
  <c r="V4752" i="1"/>
  <c r="AC4752" i="1" s="1"/>
  <c r="V4754" i="1"/>
  <c r="AC4754" i="1" s="1"/>
  <c r="V4755" i="1"/>
  <c r="AC4755" i="1" s="1"/>
  <c r="V4756" i="1"/>
  <c r="AC4756" i="1" s="1"/>
  <c r="V4758" i="1"/>
  <c r="AC4758" i="1" s="1"/>
  <c r="V4761" i="1"/>
  <c r="AC4761" i="1" s="1"/>
  <c r="V4762" i="1"/>
  <c r="AC4762" i="1" s="1"/>
  <c r="V4763" i="1"/>
  <c r="AC4763" i="1" s="1"/>
  <c r="V4765" i="1"/>
  <c r="AC4765" i="1" s="1"/>
  <c r="V4764" i="1"/>
  <c r="AC4764" i="1" s="1"/>
  <c r="V4768" i="1"/>
  <c r="AC4768" i="1" s="1"/>
  <c r="V4767" i="1"/>
  <c r="AC4767" i="1" s="1"/>
  <c r="V4769" i="1"/>
  <c r="AC4769" i="1" s="1"/>
  <c r="V4771" i="1"/>
  <c r="AC4771" i="1" s="1"/>
  <c r="V4772" i="1"/>
  <c r="AC4772" i="1" s="1"/>
  <c r="V4775" i="1"/>
  <c r="AC4775" i="1" s="1"/>
  <c r="V4774" i="1"/>
  <c r="AC4774" i="1" s="1"/>
  <c r="V4776" i="1"/>
  <c r="AC4776" i="1" s="1"/>
  <c r="V4773" i="1"/>
  <c r="AC4773" i="1" s="1"/>
  <c r="V4777" i="1"/>
  <c r="AC4777" i="1" s="1"/>
  <c r="V4780" i="1"/>
  <c r="AC4780" i="1" s="1"/>
  <c r="V4782" i="1"/>
  <c r="AC4782" i="1" s="1"/>
  <c r="V4783" i="1"/>
  <c r="AC4783" i="1" s="1"/>
  <c r="V2185" i="1"/>
  <c r="AC2185" i="1" s="1"/>
  <c r="AB2185" i="1"/>
  <c r="V2826" i="1"/>
  <c r="AC2826" i="1" s="1"/>
  <c r="AB2826" i="1"/>
  <c r="V8165" i="1"/>
  <c r="AC8165" i="1" s="1"/>
  <c r="AB8165" i="1"/>
  <c r="V4785" i="1"/>
  <c r="AC4785" i="1" s="1"/>
  <c r="V4786" i="1"/>
  <c r="AC4786" i="1" s="1"/>
  <c r="V4788" i="1"/>
  <c r="AC4788" i="1" s="1"/>
  <c r="V4787" i="1"/>
  <c r="AC4787" i="1" s="1"/>
  <c r="V4789" i="1"/>
  <c r="AC4789" i="1" s="1"/>
  <c r="V4790" i="1"/>
  <c r="AC4790" i="1" s="1"/>
  <c r="V4793" i="1"/>
  <c r="AC4793" i="1" s="1"/>
  <c r="V4792" i="1"/>
  <c r="AC4792" i="1" s="1"/>
  <c r="V4794" i="1"/>
  <c r="AC4794" i="1" s="1"/>
  <c r="V4796" i="1"/>
  <c r="AC4796" i="1" s="1"/>
  <c r="V4795" i="1"/>
  <c r="AC4795" i="1" s="1"/>
  <c r="V4797" i="1"/>
  <c r="AC4797" i="1" s="1"/>
  <c r="V4798" i="1"/>
  <c r="AC4798" i="1" s="1"/>
  <c r="V4800" i="1"/>
  <c r="AC4800" i="1" s="1"/>
  <c r="V4801" i="1"/>
  <c r="AC4801" i="1" s="1"/>
  <c r="V4802" i="1"/>
  <c r="AC4802" i="1" s="1"/>
  <c r="V4806" i="1"/>
  <c r="AC4806" i="1" s="1"/>
  <c r="V4805" i="1"/>
  <c r="AC4805" i="1" s="1"/>
  <c r="V4804" i="1"/>
  <c r="AC4804" i="1" s="1"/>
  <c r="V4803" i="1"/>
  <c r="AC4803" i="1" s="1"/>
  <c r="V4807" i="1"/>
  <c r="AC4807" i="1" s="1"/>
  <c r="V4808" i="1"/>
  <c r="AC4808" i="1" s="1"/>
  <c r="V782" i="1"/>
  <c r="AC782" i="1" s="1"/>
  <c r="AB782" i="1"/>
  <c r="V318" i="1"/>
  <c r="AC318" i="1" s="1"/>
  <c r="AB318" i="1"/>
  <c r="V805" i="1"/>
  <c r="AC805" i="1" s="1"/>
  <c r="AB805" i="1"/>
  <c r="V585" i="1"/>
  <c r="AC585" i="1" s="1"/>
  <c r="AB585" i="1"/>
  <c r="AB431" i="1"/>
  <c r="V431" i="1"/>
  <c r="AC431" i="1" s="1"/>
  <c r="V4810" i="1"/>
  <c r="AC4810" i="1" s="1"/>
  <c r="V4812" i="1"/>
  <c r="AC4812" i="1" s="1"/>
  <c r="V4811" i="1"/>
  <c r="AC4811" i="1" s="1"/>
  <c r="V4809" i="1"/>
  <c r="AC4809" i="1" s="1"/>
  <c r="V4813" i="1"/>
  <c r="AC4813" i="1" s="1"/>
  <c r="V4814" i="1"/>
  <c r="AC4814" i="1" s="1"/>
  <c r="V4815" i="1"/>
  <c r="AC4815" i="1" s="1"/>
  <c r="V4817" i="1"/>
  <c r="AC4817" i="1" s="1"/>
  <c r="V4818" i="1"/>
  <c r="AC4818" i="1" s="1"/>
  <c r="V4820" i="1"/>
  <c r="AC4820" i="1" s="1"/>
  <c r="V4821" i="1"/>
  <c r="AC4821" i="1" s="1"/>
  <c r="V4823" i="1"/>
  <c r="AC4823" i="1" s="1"/>
  <c r="V4822" i="1"/>
  <c r="AC4822" i="1" s="1"/>
  <c r="V4825" i="1"/>
  <c r="AC4825" i="1" s="1"/>
  <c r="V4824" i="1"/>
  <c r="AC4824" i="1" s="1"/>
  <c r="V4826" i="1"/>
  <c r="AC4826" i="1" s="1"/>
  <c r="V4828" i="1"/>
  <c r="AC4828" i="1" s="1"/>
  <c r="V4829" i="1"/>
  <c r="AC4829" i="1" s="1"/>
  <c r="V4830" i="1"/>
  <c r="AC4830" i="1" s="1"/>
  <c r="V4831" i="1"/>
  <c r="AC4831" i="1" s="1"/>
  <c r="V4832" i="1"/>
  <c r="AC4832" i="1" s="1"/>
  <c r="V4833" i="1"/>
  <c r="AC4833" i="1" s="1"/>
  <c r="V4834" i="1"/>
  <c r="AC4834" i="1" s="1"/>
  <c r="V4835" i="1"/>
  <c r="AC4835" i="1" s="1"/>
  <c r="V4836" i="1"/>
  <c r="AC4836" i="1" s="1"/>
  <c r="V4838" i="1"/>
  <c r="AC4838" i="1" s="1"/>
  <c r="V4837" i="1"/>
  <c r="AC4837" i="1" s="1"/>
  <c r="V4840" i="1"/>
  <c r="AC4840" i="1" s="1"/>
  <c r="V4841" i="1"/>
  <c r="AC4841" i="1" s="1"/>
  <c r="V4842" i="1"/>
  <c r="AC4842" i="1" s="1"/>
  <c r="V4843" i="1"/>
  <c r="AC4843" i="1" s="1"/>
  <c r="V4846" i="1"/>
  <c r="AC4846" i="1" s="1"/>
  <c r="V4844" i="1"/>
  <c r="AC4844" i="1" s="1"/>
  <c r="V4845" i="1"/>
  <c r="AC4845" i="1" s="1"/>
  <c r="V4850" i="1"/>
  <c r="AC4850" i="1" s="1"/>
  <c r="V4849" i="1"/>
  <c r="AC4849" i="1" s="1"/>
  <c r="V4847" i="1"/>
  <c r="AC4847" i="1" s="1"/>
  <c r="V4851" i="1"/>
  <c r="AC4851" i="1" s="1"/>
  <c r="V4848" i="1"/>
  <c r="AC4848" i="1" s="1"/>
  <c r="V4852" i="1"/>
  <c r="AC4852" i="1" s="1"/>
  <c r="V4853" i="1"/>
  <c r="AC4853" i="1" s="1"/>
  <c r="V4854" i="1"/>
  <c r="AC4854" i="1" s="1"/>
  <c r="V4857" i="1"/>
  <c r="AC4857" i="1" s="1"/>
  <c r="V4858" i="1"/>
  <c r="AC4858" i="1" s="1"/>
  <c r="V4859" i="1"/>
  <c r="AC4859" i="1" s="1"/>
  <c r="S1616" i="1"/>
  <c r="V4856" i="1"/>
  <c r="AC4856" i="1" s="1"/>
  <c r="V4861" i="1"/>
  <c r="AC4861" i="1" s="1"/>
  <c r="V4862" i="1"/>
  <c r="AC4862" i="1" s="1"/>
  <c r="V4863" i="1"/>
  <c r="AC4863" i="1" s="1"/>
  <c r="V4864" i="1"/>
  <c r="AC4864" i="1" s="1"/>
  <c r="V4865" i="1"/>
  <c r="AC4865" i="1" s="1"/>
  <c r="V4866" i="1"/>
  <c r="AC4866" i="1" s="1"/>
  <c r="V4868" i="1"/>
  <c r="AC4868" i="1" s="1"/>
  <c r="V4867" i="1"/>
  <c r="AC4867" i="1" s="1"/>
  <c r="V4871" i="1"/>
  <c r="AC4871" i="1" s="1"/>
  <c r="V4869" i="1"/>
  <c r="AC4869" i="1" s="1"/>
  <c r="V4870" i="1"/>
  <c r="AC4870" i="1" s="1"/>
  <c r="V4872" i="1"/>
  <c r="AC4872" i="1" s="1"/>
  <c r="V4874" i="1"/>
  <c r="AC4874" i="1" s="1"/>
  <c r="V4873" i="1"/>
  <c r="AC4873" i="1" s="1"/>
  <c r="V4875" i="1"/>
  <c r="AC4875" i="1" s="1"/>
  <c r="V4877" i="1"/>
  <c r="AC4877" i="1" s="1"/>
  <c r="V4876" i="1"/>
  <c r="AC4876" i="1" s="1"/>
  <c r="V4879" i="1"/>
  <c r="AC4879" i="1" s="1"/>
  <c r="V4878" i="1"/>
  <c r="AC4878" i="1" s="1"/>
  <c r="V4881" i="1"/>
  <c r="AC4881" i="1" s="1"/>
  <c r="V4880" i="1"/>
  <c r="AC4880" i="1" s="1"/>
  <c r="V4884" i="1"/>
  <c r="AC4884" i="1" s="1"/>
  <c r="V4883" i="1"/>
  <c r="AC4883" i="1" s="1"/>
  <c r="V4882" i="1"/>
  <c r="AC4882" i="1" s="1"/>
  <c r="V4886" i="1"/>
  <c r="AC4886" i="1" s="1"/>
  <c r="V4887" i="1"/>
  <c r="AC4887" i="1" s="1"/>
  <c r="V4885" i="1"/>
  <c r="AC4885" i="1" s="1"/>
  <c r="V4888" i="1"/>
  <c r="AC4888" i="1" s="1"/>
  <c r="V4891" i="1"/>
  <c r="AC4891" i="1" s="1"/>
  <c r="V4890" i="1"/>
  <c r="AC4890" i="1" s="1"/>
  <c r="V4889" i="1"/>
  <c r="AC4889" i="1" s="1"/>
  <c r="V4892" i="1"/>
  <c r="AC4892" i="1" s="1"/>
  <c r="V4894" i="1"/>
  <c r="AC4894" i="1" s="1"/>
  <c r="V4895" i="1"/>
  <c r="AC4895" i="1" s="1"/>
  <c r="V4897" i="1"/>
  <c r="AC4897" i="1" s="1"/>
  <c r="V4896" i="1"/>
  <c r="AC4896" i="1" s="1"/>
  <c r="V4902" i="1"/>
  <c r="AC4902" i="1" s="1"/>
  <c r="V4899" i="1"/>
  <c r="AC4899" i="1" s="1"/>
  <c r="V4901" i="1"/>
  <c r="AC4901" i="1" s="1"/>
  <c r="V4900" i="1"/>
  <c r="AC4900" i="1" s="1"/>
  <c r="V4903" i="1"/>
  <c r="AC4903" i="1" s="1"/>
  <c r="V4909" i="1"/>
  <c r="AC4909" i="1" s="1"/>
  <c r="V4910" i="1"/>
  <c r="AC4910" i="1" s="1"/>
  <c r="V4911" i="1"/>
  <c r="AC4911" i="1" s="1"/>
  <c r="V4913" i="1"/>
  <c r="AC4913" i="1" s="1"/>
  <c r="V4912" i="1"/>
  <c r="AC4912" i="1" s="1"/>
  <c r="V4914" i="1"/>
  <c r="AC4914" i="1" s="1"/>
  <c r="V4917" i="1"/>
  <c r="AC4917" i="1" s="1"/>
  <c r="V4916" i="1"/>
  <c r="AC4916" i="1" s="1"/>
  <c r="V4918" i="1"/>
  <c r="AC4918" i="1" s="1"/>
  <c r="V4919" i="1"/>
  <c r="AC4919" i="1" s="1"/>
  <c r="V4921" i="1"/>
  <c r="AC4921" i="1" s="1"/>
  <c r="V4923" i="1"/>
  <c r="AC4923" i="1" s="1"/>
  <c r="V4925" i="1"/>
  <c r="AC4925" i="1" s="1"/>
  <c r="V4926" i="1"/>
  <c r="AC4926" i="1" s="1"/>
  <c r="V4927" i="1"/>
  <c r="AC4927" i="1" s="1"/>
  <c r="V4928" i="1"/>
  <c r="AC4928" i="1" s="1"/>
  <c r="V4929" i="1"/>
  <c r="AC4929" i="1" s="1"/>
  <c r="V4930" i="1"/>
  <c r="AC4930" i="1" s="1"/>
  <c r="V4931" i="1"/>
  <c r="AC4931" i="1" s="1"/>
  <c r="V4932" i="1"/>
  <c r="AC4932" i="1" s="1"/>
  <c r="V4934" i="1"/>
  <c r="AC4934" i="1" s="1"/>
  <c r="V4935" i="1"/>
  <c r="AC4935" i="1" s="1"/>
  <c r="V4937" i="1"/>
  <c r="AC4937" i="1" s="1"/>
  <c r="V4938" i="1"/>
  <c r="AC4938" i="1" s="1"/>
  <c r="V4939" i="1"/>
  <c r="AC4939" i="1" s="1"/>
  <c r="V4940" i="1"/>
  <c r="AC4940" i="1" s="1"/>
  <c r="V4941" i="1"/>
  <c r="AC4941" i="1" s="1"/>
  <c r="V4942" i="1"/>
  <c r="AC4942" i="1" s="1"/>
  <c r="V4943" i="1"/>
  <c r="AC4943" i="1" s="1"/>
  <c r="V4944" i="1"/>
  <c r="AC4944" i="1" s="1"/>
  <c r="V4945" i="1"/>
  <c r="AC4945" i="1" s="1"/>
  <c r="V4947" i="1"/>
  <c r="AC4947" i="1" s="1"/>
  <c r="V4948" i="1"/>
  <c r="AC4948" i="1" s="1"/>
  <c r="V4952" i="1"/>
  <c r="AC4952" i="1" s="1"/>
  <c r="V4953" i="1"/>
  <c r="AC4953" i="1" s="1"/>
  <c r="V4954" i="1"/>
  <c r="AC4954" i="1" s="1"/>
  <c r="V4955" i="1"/>
  <c r="AC4955" i="1" s="1"/>
  <c r="V4956" i="1"/>
  <c r="AC4956" i="1" s="1"/>
  <c r="V4957" i="1"/>
  <c r="AC4957" i="1" s="1"/>
  <c r="V4958" i="1"/>
  <c r="AC4958" i="1" s="1"/>
  <c r="V4959" i="1"/>
  <c r="AC4959" i="1" s="1"/>
  <c r="V4961" i="1"/>
  <c r="AC4961" i="1" s="1"/>
  <c r="V4962" i="1"/>
  <c r="AC4962" i="1" s="1"/>
  <c r="V4963" i="1"/>
  <c r="AC4963" i="1" s="1"/>
  <c r="V4964" i="1"/>
  <c r="AC4964" i="1" s="1"/>
  <c r="V4965" i="1"/>
  <c r="AC4965" i="1" s="1"/>
  <c r="V4967" i="1"/>
  <c r="AC4967" i="1" s="1"/>
  <c r="V4968" i="1"/>
  <c r="AC4968" i="1" s="1"/>
  <c r="V4970" i="1"/>
  <c r="AC4970" i="1" s="1"/>
  <c r="V4969" i="1"/>
  <c r="AC4969" i="1" s="1"/>
  <c r="V4971" i="1"/>
  <c r="AC4971" i="1" s="1"/>
  <c r="V4972" i="1"/>
  <c r="AC4972" i="1" s="1"/>
  <c r="V4973" i="1"/>
  <c r="AC4973" i="1" s="1"/>
  <c r="V4974" i="1"/>
  <c r="AC4974" i="1" s="1"/>
  <c r="V4975" i="1"/>
  <c r="AC4975" i="1" s="1"/>
  <c r="V4976" i="1"/>
  <c r="AC4976" i="1" s="1"/>
  <c r="V4977" i="1"/>
  <c r="AC4977" i="1" s="1"/>
  <c r="V4978" i="1"/>
  <c r="AC4978" i="1" s="1"/>
  <c r="V4979" i="1"/>
  <c r="AC4979" i="1" s="1"/>
  <c r="V4980" i="1"/>
  <c r="AC4980" i="1" s="1"/>
  <c r="V4981" i="1"/>
  <c r="AC4981" i="1" s="1"/>
  <c r="V4982" i="1"/>
  <c r="AC4982" i="1" s="1"/>
  <c r="V4983" i="1"/>
  <c r="AC4983" i="1" s="1"/>
  <c r="V4985" i="1"/>
  <c r="AC4985" i="1" s="1"/>
  <c r="V4984" i="1"/>
  <c r="AC4984" i="1" s="1"/>
  <c r="V4986" i="1"/>
  <c r="AC4986" i="1" s="1"/>
  <c r="V4987" i="1"/>
  <c r="AC4987" i="1" s="1"/>
  <c r="V4988" i="1"/>
  <c r="AC4988" i="1" s="1"/>
  <c r="V4989" i="1"/>
  <c r="AC4989" i="1" s="1"/>
  <c r="V4990" i="1"/>
  <c r="AC4990" i="1" s="1"/>
  <c r="V4992" i="1"/>
  <c r="AC4992" i="1" s="1"/>
  <c r="V4991" i="1"/>
  <c r="AC4991" i="1" s="1"/>
  <c r="V4993" i="1"/>
  <c r="AC4993" i="1" s="1"/>
  <c r="V4994" i="1"/>
  <c r="AC4994" i="1" s="1"/>
  <c r="V4995" i="1"/>
  <c r="AC4995" i="1" s="1"/>
  <c r="V4996" i="1"/>
  <c r="AC4996" i="1" s="1"/>
  <c r="V4997" i="1"/>
  <c r="AC4997" i="1" s="1"/>
  <c r="V4998" i="1"/>
  <c r="AC4998" i="1" s="1"/>
  <c r="V4999" i="1"/>
  <c r="AC4999" i="1" s="1"/>
  <c r="V5000" i="1"/>
  <c r="AC5000" i="1" s="1"/>
  <c r="V5001" i="1"/>
  <c r="AC5001" i="1" s="1"/>
  <c r="V5002" i="1"/>
  <c r="AC5002" i="1" s="1"/>
  <c r="V5003" i="1"/>
  <c r="AC5003" i="1" s="1"/>
  <c r="V5005" i="1"/>
  <c r="AC5005" i="1" s="1"/>
  <c r="V5006" i="1"/>
  <c r="AC5006" i="1" s="1"/>
  <c r="V5007" i="1"/>
  <c r="AC5007" i="1" s="1"/>
  <c r="V5009" i="1"/>
  <c r="AC5009" i="1" s="1"/>
  <c r="V5008" i="1"/>
  <c r="AC5008" i="1" s="1"/>
  <c r="V5010" i="1"/>
  <c r="AC5010" i="1" s="1"/>
  <c r="V5011" i="1"/>
  <c r="AC5011" i="1" s="1"/>
  <c r="V5012" i="1"/>
  <c r="AC5012" i="1" s="1"/>
  <c r="V5013" i="1"/>
  <c r="AC5013" i="1" s="1"/>
  <c r="V5014" i="1"/>
  <c r="AC5014" i="1" s="1"/>
  <c r="V5015" i="1"/>
  <c r="AC5015" i="1" s="1"/>
  <c r="V5016" i="1"/>
  <c r="AC5016" i="1" s="1"/>
  <c r="V5017" i="1"/>
  <c r="AC5017" i="1" s="1"/>
  <c r="V5018" i="1"/>
  <c r="AC5018" i="1" s="1"/>
  <c r="V5019" i="1"/>
  <c r="AC5019" i="1" s="1"/>
  <c r="V5020" i="1"/>
  <c r="AC5020" i="1" s="1"/>
  <c r="V5021" i="1"/>
  <c r="AC5021" i="1" s="1"/>
  <c r="V5022" i="1"/>
  <c r="AC5022" i="1" s="1"/>
  <c r="V5023" i="1"/>
  <c r="AC5023" i="1" s="1"/>
  <c r="V5025" i="1"/>
  <c r="AC5025" i="1" s="1"/>
  <c r="V5026" i="1"/>
  <c r="AC5026" i="1" s="1"/>
  <c r="V5027" i="1"/>
  <c r="AC5027" i="1" s="1"/>
  <c r="V5028" i="1"/>
  <c r="AC5028" i="1" s="1"/>
  <c r="V5031" i="1"/>
  <c r="AC5031" i="1" s="1"/>
  <c r="V5032" i="1"/>
  <c r="AC5032" i="1" s="1"/>
  <c r="V5033" i="1"/>
  <c r="AC5033" i="1" s="1"/>
  <c r="V5034" i="1"/>
  <c r="AC5034" i="1" s="1"/>
  <c r="V5035" i="1"/>
  <c r="AC5035" i="1" s="1"/>
  <c r="V5036" i="1"/>
  <c r="AC5036" i="1" s="1"/>
  <c r="V5037" i="1"/>
  <c r="AC5037" i="1" s="1"/>
  <c r="V5039" i="1"/>
  <c r="AC5039" i="1" s="1"/>
  <c r="V5040" i="1"/>
  <c r="AC5040" i="1" s="1"/>
  <c r="V5041" i="1"/>
  <c r="AC5041" i="1" s="1"/>
  <c r="V5043" i="1"/>
  <c r="AC5043" i="1" s="1"/>
  <c r="V5042" i="1"/>
  <c r="AC5042" i="1" s="1"/>
  <c r="V5045" i="1"/>
  <c r="AC5045" i="1" s="1"/>
  <c r="V5046" i="1"/>
  <c r="AC5046" i="1" s="1"/>
  <c r="V5047" i="1"/>
  <c r="AC5047" i="1" s="1"/>
  <c r="V5048" i="1"/>
  <c r="AC5048" i="1" s="1"/>
  <c r="V5049" i="1"/>
  <c r="AC5049" i="1" s="1"/>
  <c r="V5053" i="1"/>
  <c r="AC5053" i="1" s="1"/>
  <c r="V5051" i="1"/>
  <c r="AC5051" i="1" s="1"/>
  <c r="V5052" i="1"/>
  <c r="AC5052" i="1" s="1"/>
  <c r="V5050" i="1"/>
  <c r="AC5050" i="1" s="1"/>
  <c r="V5055" i="1"/>
  <c r="AC5055" i="1" s="1"/>
  <c r="V5054" i="1"/>
  <c r="AC5054" i="1" s="1"/>
  <c r="V5056" i="1"/>
  <c r="AC5056" i="1" s="1"/>
  <c r="V5057" i="1"/>
  <c r="AC5057" i="1" s="1"/>
  <c r="V5058" i="1"/>
  <c r="AC5058" i="1" s="1"/>
  <c r="V5060" i="1"/>
  <c r="AC5060" i="1" s="1"/>
  <c r="V5061" i="1"/>
  <c r="AC5061" i="1" s="1"/>
  <c r="V5059" i="1"/>
  <c r="AC5059" i="1" s="1"/>
  <c r="V5063" i="1"/>
  <c r="AC5063" i="1" s="1"/>
  <c r="V5064" i="1"/>
  <c r="AC5064" i="1" s="1"/>
  <c r="V5062" i="1"/>
  <c r="AC5062" i="1" s="1"/>
  <c r="V5066" i="1"/>
  <c r="AC5066" i="1" s="1"/>
  <c r="V5065" i="1"/>
  <c r="AC5065" i="1" s="1"/>
  <c r="V5069" i="1"/>
  <c r="AC5069" i="1" s="1"/>
  <c r="V5068" i="1"/>
  <c r="AC5068" i="1" s="1"/>
  <c r="V5071" i="1"/>
  <c r="AC5071" i="1" s="1"/>
  <c r="V5070" i="1"/>
  <c r="AC5070" i="1" s="1"/>
  <c r="V5073" i="1"/>
  <c r="AC5073" i="1" s="1"/>
  <c r="V5074" i="1"/>
  <c r="AC5074" i="1" s="1"/>
  <c r="V5075" i="1"/>
  <c r="AC5075" i="1" s="1"/>
  <c r="V5076" i="1"/>
  <c r="AC5076" i="1" s="1"/>
  <c r="V5078" i="1"/>
  <c r="AC5078" i="1" s="1"/>
  <c r="V5080" i="1"/>
  <c r="AC5080" i="1" s="1"/>
  <c r="V5079" i="1"/>
  <c r="AC5079" i="1" s="1"/>
  <c r="V5081" i="1"/>
  <c r="AC5081" i="1" s="1"/>
  <c r="V5087" i="1"/>
  <c r="AC5087" i="1" s="1"/>
  <c r="V5084" i="1"/>
  <c r="AC5084" i="1" s="1"/>
  <c r="V5085" i="1"/>
  <c r="AC5085" i="1" s="1"/>
  <c r="V5086" i="1"/>
  <c r="AC5086" i="1" s="1"/>
  <c r="V5082" i="1"/>
  <c r="AC5082" i="1" s="1"/>
  <c r="V5088" i="1"/>
  <c r="AC5088" i="1" s="1"/>
  <c r="V5083" i="1"/>
  <c r="AC5083" i="1" s="1"/>
  <c r="V5089" i="1"/>
  <c r="AC5089" i="1" s="1"/>
  <c r="V5090" i="1"/>
  <c r="AC5090" i="1" s="1"/>
  <c r="V5091" i="1"/>
  <c r="AC5091" i="1" s="1"/>
  <c r="V5092" i="1"/>
  <c r="AC5092" i="1" s="1"/>
  <c r="V5095" i="1"/>
  <c r="AC5095" i="1" s="1"/>
  <c r="V5093" i="1"/>
  <c r="AC5093" i="1" s="1"/>
  <c r="V5094" i="1"/>
  <c r="AC5094" i="1" s="1"/>
  <c r="V5097" i="1"/>
  <c r="AC5097" i="1" s="1"/>
  <c r="V5096" i="1"/>
  <c r="AC5096" i="1" s="1"/>
  <c r="V5101" i="1"/>
  <c r="AC5101" i="1" s="1"/>
  <c r="V5100" i="1"/>
  <c r="AC5100" i="1" s="1"/>
  <c r="V5104" i="1"/>
  <c r="AC5104" i="1" s="1"/>
  <c r="V5099" i="1"/>
  <c r="AC5099" i="1" s="1"/>
  <c r="V5103" i="1"/>
  <c r="AC5103" i="1" s="1"/>
  <c r="V5098" i="1"/>
  <c r="AC5098" i="1" s="1"/>
  <c r="V5102" i="1"/>
  <c r="AC5102" i="1" s="1"/>
  <c r="V5105" i="1"/>
  <c r="AC5105" i="1" s="1"/>
  <c r="V5108" i="1"/>
  <c r="AC5108" i="1" s="1"/>
  <c r="V5107" i="1"/>
  <c r="AC5107" i="1" s="1"/>
  <c r="V5106" i="1"/>
  <c r="AC5106" i="1" s="1"/>
  <c r="V5109" i="1"/>
  <c r="AC5109" i="1" s="1"/>
  <c r="V5110" i="1"/>
  <c r="AC5110" i="1" s="1"/>
  <c r="V5111" i="1"/>
  <c r="AC5111" i="1" s="1"/>
  <c r="V5112" i="1"/>
  <c r="AC5112" i="1" s="1"/>
  <c r="V5113" i="1"/>
  <c r="AC5113" i="1" s="1"/>
  <c r="V5114" i="1"/>
  <c r="AC5114" i="1" s="1"/>
  <c r="V5116" i="1"/>
  <c r="AC5116" i="1" s="1"/>
  <c r="S181" i="1"/>
  <c r="V5115" i="1"/>
  <c r="AC5115" i="1" s="1"/>
  <c r="V5117" i="1"/>
  <c r="AC5117" i="1" s="1"/>
  <c r="V5118" i="1"/>
  <c r="AC5118" i="1" s="1"/>
  <c r="V5120" i="1"/>
  <c r="AC5120" i="1" s="1"/>
  <c r="V5119" i="1"/>
  <c r="AC5119" i="1" s="1"/>
  <c r="V5121" i="1"/>
  <c r="AC5121" i="1" s="1"/>
  <c r="V5122" i="1"/>
  <c r="AC5122" i="1" s="1"/>
  <c r="V5123" i="1"/>
  <c r="AC5123" i="1" s="1"/>
  <c r="V5125" i="1"/>
  <c r="AC5125" i="1" s="1"/>
  <c r="V5124" i="1"/>
  <c r="AC5124" i="1" s="1"/>
  <c r="V5129" i="1"/>
  <c r="AC5129" i="1" s="1"/>
  <c r="V5128" i="1"/>
  <c r="AC5128" i="1" s="1"/>
  <c r="V5127" i="1"/>
  <c r="AC5127" i="1" s="1"/>
  <c r="V5131" i="1"/>
  <c r="AC5131" i="1" s="1"/>
  <c r="V5126" i="1"/>
  <c r="AC5126" i="1" s="1"/>
  <c r="V5130" i="1"/>
  <c r="AC5130" i="1" s="1"/>
  <c r="V5133" i="1"/>
  <c r="AC5133" i="1" s="1"/>
  <c r="V5132" i="1"/>
  <c r="AC5132" i="1" s="1"/>
  <c r="V5134" i="1"/>
  <c r="AC5134" i="1" s="1"/>
  <c r="V5135" i="1"/>
  <c r="AC5135" i="1" s="1"/>
  <c r="V5136" i="1"/>
  <c r="AC5136" i="1" s="1"/>
  <c r="V5137" i="1"/>
  <c r="AC5137" i="1" s="1"/>
  <c r="V5139" i="1"/>
  <c r="AC5139" i="1" s="1"/>
  <c r="V5142" i="1"/>
  <c r="AC5142" i="1" s="1"/>
  <c r="V5140" i="1"/>
  <c r="AC5140" i="1" s="1"/>
  <c r="V5141" i="1"/>
  <c r="AC5141" i="1" s="1"/>
  <c r="V5143" i="1"/>
  <c r="AC5143" i="1" s="1"/>
  <c r="V5144" i="1"/>
  <c r="AC5144" i="1" s="1"/>
  <c r="V5145" i="1"/>
  <c r="AC5145" i="1" s="1"/>
  <c r="V5146" i="1"/>
  <c r="AC5146" i="1" s="1"/>
  <c r="V5147" i="1"/>
  <c r="AC5147" i="1" s="1"/>
  <c r="V5148" i="1"/>
  <c r="AC5148" i="1" s="1"/>
  <c r="V5152" i="1"/>
  <c r="AC5152" i="1" s="1"/>
  <c r="V5151" i="1"/>
  <c r="AC5151" i="1" s="1"/>
  <c r="V5150" i="1"/>
  <c r="AC5150" i="1" s="1"/>
  <c r="V5153" i="1"/>
  <c r="AC5153" i="1" s="1"/>
  <c r="V5155" i="1"/>
  <c r="AC5155" i="1" s="1"/>
  <c r="V5157" i="1"/>
  <c r="AC5157" i="1" s="1"/>
  <c r="V5156" i="1"/>
  <c r="AC5156" i="1" s="1"/>
  <c r="V5158" i="1"/>
  <c r="AC5158" i="1" s="1"/>
  <c r="V5159" i="1"/>
  <c r="AC5159" i="1" s="1"/>
  <c r="V5160" i="1"/>
  <c r="AC5160" i="1" s="1"/>
  <c r="V5161" i="1"/>
  <c r="AC5161" i="1" s="1"/>
  <c r="V5162" i="1"/>
  <c r="AC5162" i="1" s="1"/>
  <c r="V5163" i="1"/>
  <c r="AC5163" i="1" s="1"/>
  <c r="V5164" i="1"/>
  <c r="AC5164" i="1" s="1"/>
  <c r="V5165" i="1"/>
  <c r="AC5165" i="1" s="1"/>
  <c r="V5167" i="1"/>
  <c r="AC5167" i="1" s="1"/>
  <c r="V5168" i="1"/>
  <c r="AC5168" i="1" s="1"/>
  <c r="V5169" i="1"/>
  <c r="AC5169" i="1" s="1"/>
  <c r="V5170" i="1"/>
  <c r="AC5170" i="1" s="1"/>
  <c r="V5172" i="1"/>
  <c r="AC5172" i="1" s="1"/>
  <c r="V5171" i="1"/>
  <c r="AC5171" i="1" s="1"/>
  <c r="V5173" i="1"/>
  <c r="AC5173" i="1" s="1"/>
  <c r="V5174" i="1"/>
  <c r="AC5174" i="1" s="1"/>
  <c r="V5175" i="1"/>
  <c r="AC5175" i="1" s="1"/>
  <c r="V5176" i="1"/>
  <c r="AC5176" i="1" s="1"/>
  <c r="V5178" i="1"/>
  <c r="AC5178" i="1" s="1"/>
  <c r="V5179" i="1"/>
  <c r="AC5179" i="1" s="1"/>
  <c r="V5180" i="1"/>
  <c r="AC5180" i="1" s="1"/>
  <c r="V5182" i="1"/>
  <c r="AC5182" i="1" s="1"/>
  <c r="V5185" i="1"/>
  <c r="AC5185" i="1" s="1"/>
  <c r="V5184" i="1"/>
  <c r="AC5184" i="1" s="1"/>
  <c r="V5187" i="1"/>
  <c r="AC5187" i="1" s="1"/>
  <c r="V5186" i="1"/>
  <c r="AC5186" i="1" s="1"/>
  <c r="V5189" i="1"/>
  <c r="AC5189" i="1" s="1"/>
  <c r="V5195" i="1"/>
  <c r="AC5195" i="1" s="1"/>
  <c r="V5193" i="1"/>
  <c r="AC5193" i="1" s="1"/>
  <c r="V5194" i="1"/>
  <c r="AC5194" i="1" s="1"/>
  <c r="V5192" i="1"/>
  <c r="AC5192" i="1" s="1"/>
  <c r="V5191" i="1"/>
  <c r="AC5191" i="1" s="1"/>
  <c r="V5198" i="1"/>
  <c r="AC5198" i="1" s="1"/>
  <c r="V5196" i="1"/>
  <c r="AC5196" i="1" s="1"/>
  <c r="V5197" i="1"/>
  <c r="AC5197" i="1" s="1"/>
  <c r="V5200" i="1"/>
  <c r="AC5200" i="1" s="1"/>
  <c r="V5199" i="1"/>
  <c r="AC5199" i="1" s="1"/>
  <c r="V5202" i="1"/>
  <c r="AC5202" i="1" s="1"/>
  <c r="V5203" i="1"/>
  <c r="AC5203" i="1" s="1"/>
  <c r="V5204" i="1"/>
  <c r="AC5204" i="1" s="1"/>
  <c r="V5205" i="1"/>
  <c r="AC5205" i="1" s="1"/>
  <c r="V5208" i="1"/>
  <c r="AC5208" i="1" s="1"/>
  <c r="V5206" i="1"/>
  <c r="AC5206" i="1" s="1"/>
  <c r="V5209" i="1"/>
  <c r="AC5209" i="1" s="1"/>
  <c r="V5210" i="1"/>
  <c r="AC5210" i="1" s="1"/>
  <c r="V5211" i="1"/>
  <c r="AC5211" i="1" s="1"/>
  <c r="V5212" i="1"/>
  <c r="AC5212" i="1" s="1"/>
  <c r="V5213" i="1"/>
  <c r="AC5213" i="1" s="1"/>
  <c r="V5215" i="1"/>
  <c r="AC5215" i="1" s="1"/>
  <c r="V5218" i="1"/>
  <c r="AC5218" i="1" s="1"/>
  <c r="V5220" i="1"/>
  <c r="AC5220" i="1" s="1"/>
  <c r="V5217" i="1"/>
  <c r="AC5217" i="1" s="1"/>
  <c r="V5216" i="1"/>
  <c r="AC5216" i="1" s="1"/>
  <c r="V5219" i="1"/>
  <c r="AC5219" i="1" s="1"/>
  <c r="V5221" i="1"/>
  <c r="AC5221" i="1" s="1"/>
  <c r="V5223" i="1"/>
  <c r="AC5223" i="1" s="1"/>
  <c r="V5222" i="1"/>
  <c r="AC5222" i="1" s="1"/>
  <c r="V5224" i="1"/>
  <c r="AC5224" i="1" s="1"/>
  <c r="V5225" i="1"/>
  <c r="AC5225" i="1" s="1"/>
  <c r="V5226" i="1"/>
  <c r="AC5226" i="1" s="1"/>
  <c r="V5229" i="1"/>
  <c r="AC5229" i="1" s="1"/>
  <c r="V5228" i="1"/>
  <c r="AC5228" i="1" s="1"/>
  <c r="V5230" i="1"/>
  <c r="AC5230" i="1" s="1"/>
  <c r="V5231" i="1"/>
  <c r="AC5231" i="1" s="1"/>
  <c r="V5232" i="1"/>
  <c r="AC5232" i="1" s="1"/>
  <c r="V5233" i="1"/>
  <c r="AC5233" i="1" s="1"/>
  <c r="V5234" i="1"/>
  <c r="AC5234" i="1" s="1"/>
  <c r="V5235" i="1"/>
  <c r="AC5235" i="1" s="1"/>
  <c r="V5237" i="1"/>
  <c r="AC5237" i="1" s="1"/>
  <c r="V5238" i="1"/>
  <c r="AC5238" i="1" s="1"/>
  <c r="V5236" i="1"/>
  <c r="AC5236" i="1" s="1"/>
  <c r="V5239" i="1"/>
  <c r="AC5239" i="1" s="1"/>
  <c r="V5240" i="1"/>
  <c r="AC5240" i="1" s="1"/>
  <c r="V5241" i="1"/>
  <c r="AC5241" i="1" s="1"/>
  <c r="V5243" i="1"/>
  <c r="AC5243" i="1" s="1"/>
  <c r="V5244" i="1"/>
  <c r="AC5244" i="1" s="1"/>
  <c r="V5242" i="1"/>
  <c r="AC5242" i="1" s="1"/>
  <c r="V5245" i="1"/>
  <c r="AC5245" i="1" s="1"/>
  <c r="V5246" i="1"/>
  <c r="AC5246" i="1" s="1"/>
  <c r="V5247" i="1"/>
  <c r="AC5247" i="1" s="1"/>
  <c r="V5249" i="1"/>
  <c r="AC5249" i="1" s="1"/>
  <c r="V5248" i="1"/>
  <c r="AC5248" i="1" s="1"/>
  <c r="V5251" i="1"/>
  <c r="AC5251" i="1" s="1"/>
  <c r="V5250" i="1"/>
  <c r="AC5250" i="1" s="1"/>
  <c r="V5253" i="1"/>
  <c r="AC5253" i="1" s="1"/>
  <c r="V5252" i="1"/>
  <c r="AC5252" i="1" s="1"/>
  <c r="V5254" i="1"/>
  <c r="AC5254" i="1" s="1"/>
  <c r="V5255" i="1"/>
  <c r="AC5255" i="1" s="1"/>
  <c r="V5259" i="1"/>
  <c r="AC5259" i="1" s="1"/>
  <c r="V5257" i="1"/>
  <c r="AC5257" i="1" s="1"/>
  <c r="V5256" i="1"/>
  <c r="AC5256" i="1" s="1"/>
  <c r="V5258" i="1"/>
  <c r="AC5258" i="1" s="1"/>
  <c r="V5261" i="1"/>
  <c r="AC5261" i="1" s="1"/>
  <c r="V5260" i="1"/>
  <c r="AC5260" i="1" s="1"/>
  <c r="V5262" i="1"/>
  <c r="AC5262" i="1" s="1"/>
  <c r="V5263" i="1"/>
  <c r="AC5263" i="1" s="1"/>
  <c r="V5264" i="1"/>
  <c r="AC5264" i="1" s="1"/>
  <c r="V5266" i="1"/>
  <c r="AC5266" i="1" s="1"/>
  <c r="V5268" i="1"/>
  <c r="AC5268" i="1" s="1"/>
  <c r="V5271" i="1"/>
  <c r="AC5271" i="1" s="1"/>
  <c r="V5267" i="1"/>
  <c r="AC5267" i="1" s="1"/>
  <c r="V5270" i="1"/>
  <c r="AC5270" i="1" s="1"/>
  <c r="V5269" i="1"/>
  <c r="AC5269" i="1" s="1"/>
  <c r="V5273" i="1"/>
  <c r="AC5273" i="1" s="1"/>
  <c r="V5272" i="1"/>
  <c r="AC5272" i="1" s="1"/>
  <c r="V5274" i="1"/>
  <c r="AC5274" i="1" s="1"/>
  <c r="V5275" i="1"/>
  <c r="AC5275" i="1" s="1"/>
  <c r="V5280" i="1"/>
  <c r="AC5280" i="1" s="1"/>
  <c r="V5277" i="1"/>
  <c r="AC5277" i="1" s="1"/>
  <c r="V5278" i="1"/>
  <c r="AC5278" i="1" s="1"/>
  <c r="V5276" i="1"/>
  <c r="AC5276" i="1" s="1"/>
  <c r="V5279" i="1"/>
  <c r="AC5279" i="1" s="1"/>
  <c r="V5282" i="1"/>
  <c r="AC5282" i="1" s="1"/>
  <c r="V5284" i="1"/>
  <c r="AC5284" i="1" s="1"/>
  <c r="V5283" i="1"/>
  <c r="AC5283" i="1" s="1"/>
  <c r="V5286" i="1"/>
  <c r="AC5286" i="1" s="1"/>
  <c r="V5285" i="1"/>
  <c r="AC5285" i="1" s="1"/>
  <c r="V5287" i="1"/>
  <c r="AC5287" i="1" s="1"/>
  <c r="V5288" i="1"/>
  <c r="AC5288" i="1" s="1"/>
  <c r="V5289" i="1"/>
  <c r="AC5289" i="1" s="1"/>
  <c r="V5291" i="1"/>
  <c r="AC5291" i="1" s="1"/>
  <c r="V5292" i="1"/>
  <c r="AC5292" i="1" s="1"/>
  <c r="V5293" i="1"/>
  <c r="AC5293" i="1" s="1"/>
  <c r="V5290" i="1"/>
  <c r="AC5290" i="1" s="1"/>
  <c r="V5295" i="1"/>
  <c r="AC5295" i="1" s="1"/>
  <c r="V5294" i="1"/>
  <c r="AC5294" i="1" s="1"/>
  <c r="V5299" i="1"/>
  <c r="AC5299" i="1" s="1"/>
  <c r="V5300" i="1"/>
  <c r="AC5300" i="1" s="1"/>
  <c r="V5296" i="1"/>
  <c r="AC5296" i="1" s="1"/>
  <c r="V5297" i="1"/>
  <c r="AC5297" i="1" s="1"/>
  <c r="V5298" i="1"/>
  <c r="AC5298" i="1" s="1"/>
  <c r="V5301" i="1"/>
  <c r="AC5301" i="1" s="1"/>
  <c r="V5303" i="1"/>
  <c r="AC5303" i="1" s="1"/>
  <c r="V5306" i="1"/>
  <c r="AC5306" i="1" s="1"/>
  <c r="V5305" i="1"/>
  <c r="AC5305" i="1" s="1"/>
  <c r="V5302" i="1"/>
  <c r="AC5302" i="1" s="1"/>
  <c r="V5307" i="1"/>
  <c r="AC5307" i="1" s="1"/>
  <c r="V5308" i="1"/>
  <c r="AC5308" i="1" s="1"/>
  <c r="V5310" i="1"/>
  <c r="AC5310" i="1" s="1"/>
  <c r="V5309" i="1"/>
  <c r="AC5309" i="1" s="1"/>
  <c r="V5312" i="1"/>
  <c r="AC5312" i="1" s="1"/>
  <c r="V5311" i="1"/>
  <c r="AC5311" i="1" s="1"/>
  <c r="V5313" i="1"/>
  <c r="AC5313" i="1" s="1"/>
  <c r="V5315" i="1"/>
  <c r="AC5315" i="1" s="1"/>
  <c r="V5316" i="1"/>
  <c r="AC5316" i="1" s="1"/>
  <c r="V5319" i="1"/>
  <c r="AC5319" i="1" s="1"/>
  <c r="V5318" i="1"/>
  <c r="AC5318" i="1" s="1"/>
  <c r="V5314" i="1"/>
  <c r="AC5314" i="1" s="1"/>
  <c r="V5317" i="1"/>
  <c r="AC5317" i="1" s="1"/>
  <c r="V5320" i="1"/>
  <c r="AC5320" i="1" s="1"/>
  <c r="V5322" i="1"/>
  <c r="AC5322" i="1" s="1"/>
  <c r="V5321" i="1"/>
  <c r="AC5321" i="1" s="1"/>
  <c r="V5323" i="1"/>
  <c r="AC5323" i="1" s="1"/>
  <c r="V1332" i="1"/>
  <c r="AC1332" i="1" s="1"/>
  <c r="AB1332" i="1"/>
  <c r="V5325" i="1"/>
  <c r="AC5325" i="1" s="1"/>
  <c r="V5326" i="1"/>
  <c r="AC5326" i="1" s="1"/>
  <c r="V5330" i="1"/>
  <c r="AC5330" i="1" s="1"/>
  <c r="V5329" i="1"/>
  <c r="AC5329" i="1" s="1"/>
  <c r="V5327" i="1"/>
  <c r="AC5327" i="1" s="1"/>
  <c r="V5328" i="1"/>
  <c r="AC5328" i="1" s="1"/>
  <c r="V5331" i="1"/>
  <c r="AC5331" i="1" s="1"/>
  <c r="V5333" i="1"/>
  <c r="AC5333" i="1" s="1"/>
  <c r="V5334" i="1"/>
  <c r="AC5334" i="1" s="1"/>
  <c r="V5335" i="1"/>
  <c r="AC5335" i="1" s="1"/>
  <c r="V5336" i="1"/>
  <c r="AC5336" i="1" s="1"/>
  <c r="V5337" i="1"/>
  <c r="AC5337" i="1" s="1"/>
  <c r="V5338" i="1"/>
  <c r="AC5338" i="1" s="1"/>
  <c r="V5339" i="1"/>
  <c r="AC5339" i="1" s="1"/>
  <c r="V5340" i="1"/>
  <c r="AC5340" i="1" s="1"/>
  <c r="V5345" i="1"/>
  <c r="AC5345" i="1" s="1"/>
  <c r="V5346" i="1"/>
  <c r="AC5346" i="1" s="1"/>
  <c r="V5347" i="1"/>
  <c r="AC5347" i="1" s="1"/>
  <c r="V5348" i="1"/>
  <c r="AC5348" i="1" s="1"/>
  <c r="V5349" i="1"/>
  <c r="AC5349" i="1" s="1"/>
  <c r="V5350" i="1"/>
  <c r="AC5350" i="1" s="1"/>
  <c r="V5351" i="1"/>
  <c r="AC5351" i="1" s="1"/>
  <c r="V5352" i="1"/>
  <c r="AC5352" i="1" s="1"/>
  <c r="V5353" i="1"/>
  <c r="AC5353" i="1" s="1"/>
  <c r="V5354" i="1"/>
  <c r="AC5354" i="1" s="1"/>
  <c r="V5355" i="1"/>
  <c r="AC5355" i="1" s="1"/>
  <c r="V5356" i="1"/>
  <c r="AC5356" i="1" s="1"/>
  <c r="V5357" i="1"/>
  <c r="AC5357" i="1" s="1"/>
  <c r="V5358" i="1"/>
  <c r="AC5358" i="1" s="1"/>
  <c r="V5359" i="1"/>
  <c r="AC5359" i="1" s="1"/>
  <c r="V5361" i="1"/>
  <c r="AC5361" i="1" s="1"/>
  <c r="V5362" i="1"/>
  <c r="AC5362" i="1" s="1"/>
  <c r="V5364" i="1"/>
  <c r="AC5364" i="1" s="1"/>
  <c r="V5365" i="1"/>
  <c r="AC5365" i="1" s="1"/>
  <c r="V5366" i="1"/>
  <c r="AC5366" i="1" s="1"/>
  <c r="V5368" i="1"/>
  <c r="AC5368" i="1" s="1"/>
  <c r="V5367" i="1"/>
  <c r="AC5367" i="1" s="1"/>
  <c r="V5369" i="1"/>
  <c r="AC5369" i="1" s="1"/>
  <c r="V5370" i="1"/>
  <c r="AC5370" i="1" s="1"/>
  <c r="V5371" i="1"/>
  <c r="AC5371" i="1" s="1"/>
  <c r="V5372" i="1"/>
  <c r="AC5372" i="1" s="1"/>
  <c r="V5373" i="1"/>
  <c r="AC5373" i="1" s="1"/>
  <c r="V5374" i="1"/>
  <c r="AC5374" i="1" s="1"/>
  <c r="V5375" i="1"/>
  <c r="AC5375" i="1" s="1"/>
  <c r="V5376" i="1"/>
  <c r="AC5376" i="1" s="1"/>
  <c r="V5377" i="1"/>
  <c r="AC5377" i="1" s="1"/>
  <c r="V5378" i="1"/>
  <c r="AC5378" i="1" s="1"/>
  <c r="V5379" i="1"/>
  <c r="AC5379" i="1" s="1"/>
  <c r="V5380" i="1"/>
  <c r="AC5380" i="1" s="1"/>
  <c r="V5381" i="1"/>
  <c r="AC5381" i="1" s="1"/>
  <c r="V5382" i="1"/>
  <c r="AC5382" i="1" s="1"/>
  <c r="V5383" i="1"/>
  <c r="AC5383" i="1" s="1"/>
  <c r="V5384" i="1"/>
  <c r="AC5384" i="1" s="1"/>
  <c r="V5385" i="1"/>
  <c r="AC5385" i="1" s="1"/>
  <c r="V5386" i="1"/>
  <c r="AC5386" i="1" s="1"/>
  <c r="V5387" i="1"/>
  <c r="AC5387" i="1" s="1"/>
  <c r="V5388" i="1"/>
  <c r="AC5388" i="1" s="1"/>
  <c r="V5389" i="1"/>
  <c r="AC5389" i="1" s="1"/>
  <c r="V5390" i="1"/>
  <c r="AC5390" i="1" s="1"/>
  <c r="V5391" i="1"/>
  <c r="AC5391" i="1" s="1"/>
  <c r="V5392" i="1"/>
  <c r="AC5392" i="1" s="1"/>
  <c r="V5393" i="1"/>
  <c r="AC5393" i="1" s="1"/>
  <c r="V5394" i="1"/>
  <c r="AC5394" i="1" s="1"/>
  <c r="V5395" i="1"/>
  <c r="AC5395" i="1" s="1"/>
  <c r="V5396" i="1"/>
  <c r="AC5396" i="1" s="1"/>
  <c r="V5398" i="1"/>
  <c r="AC5398" i="1" s="1"/>
  <c r="V5397" i="1"/>
  <c r="AC5397" i="1" s="1"/>
  <c r="V5399" i="1"/>
  <c r="AC5399" i="1" s="1"/>
  <c r="V5400" i="1"/>
  <c r="AC5400" i="1" s="1"/>
  <c r="V5401" i="1"/>
  <c r="AC5401" i="1" s="1"/>
  <c r="V5405" i="1"/>
  <c r="AC5405" i="1" s="1"/>
  <c r="V5403" i="1"/>
  <c r="AC5403" i="1" s="1"/>
  <c r="V5404" i="1"/>
  <c r="AC5404" i="1" s="1"/>
  <c r="V5406" i="1"/>
  <c r="AC5406" i="1" s="1"/>
  <c r="V5407" i="1"/>
  <c r="AC5407" i="1" s="1"/>
  <c r="V5408" i="1"/>
  <c r="AC5408" i="1" s="1"/>
  <c r="V5409" i="1"/>
  <c r="AC5409" i="1" s="1"/>
  <c r="V5411" i="1"/>
  <c r="AC5411" i="1" s="1"/>
  <c r="V5412" i="1"/>
  <c r="AC5412" i="1" s="1"/>
  <c r="V5413" i="1"/>
  <c r="AC5413" i="1" s="1"/>
  <c r="V5415" i="1"/>
  <c r="AC5415" i="1" s="1"/>
  <c r="V5416" i="1"/>
  <c r="AC5416" i="1" s="1"/>
  <c r="V5417" i="1"/>
  <c r="AC5417" i="1" s="1"/>
  <c r="V5418" i="1"/>
  <c r="AC5418" i="1" s="1"/>
  <c r="V5420" i="1"/>
  <c r="AC5420" i="1" s="1"/>
  <c r="V5422" i="1"/>
  <c r="AC5422" i="1" s="1"/>
  <c r="V5421" i="1"/>
  <c r="AC5421" i="1" s="1"/>
  <c r="V5423" i="1"/>
  <c r="AC5423" i="1" s="1"/>
  <c r="V5425" i="1"/>
  <c r="AC5425" i="1" s="1"/>
  <c r="V5426" i="1"/>
  <c r="AC5426" i="1" s="1"/>
  <c r="V5434" i="1"/>
  <c r="AC5434" i="1" s="1"/>
  <c r="V5433" i="1"/>
  <c r="AC5433" i="1" s="1"/>
  <c r="V5427" i="1"/>
  <c r="AC5427" i="1" s="1"/>
  <c r="V5431" i="1"/>
  <c r="AC5431" i="1" s="1"/>
  <c r="V5432" i="1"/>
  <c r="AC5432" i="1" s="1"/>
  <c r="V5429" i="1"/>
  <c r="AC5429" i="1" s="1"/>
  <c r="V5430" i="1"/>
  <c r="AC5430" i="1" s="1"/>
  <c r="V5428" i="1"/>
  <c r="AC5428" i="1" s="1"/>
  <c r="V5436" i="1"/>
  <c r="AC5436" i="1" s="1"/>
  <c r="V5437" i="1"/>
  <c r="AC5437" i="1" s="1"/>
  <c r="V5438" i="1"/>
  <c r="AC5438" i="1" s="1"/>
  <c r="V5439" i="1"/>
  <c r="AC5439" i="1" s="1"/>
  <c r="V5440" i="1"/>
  <c r="AC5440" i="1" s="1"/>
  <c r="V5441" i="1"/>
  <c r="AC5441" i="1" s="1"/>
  <c r="V5443" i="1"/>
  <c r="AC5443" i="1" s="1"/>
  <c r="V5444" i="1"/>
  <c r="AC5444" i="1" s="1"/>
  <c r="V5442" i="1"/>
  <c r="AC5442" i="1" s="1"/>
  <c r="V5447" i="1"/>
  <c r="AC5447" i="1" s="1"/>
  <c r="V5445" i="1"/>
  <c r="AC5445" i="1" s="1"/>
  <c r="V5446" i="1"/>
  <c r="AC5446" i="1" s="1"/>
  <c r="V5448" i="1"/>
  <c r="AC5448" i="1" s="1"/>
  <c r="V5450" i="1"/>
  <c r="AC5450" i="1" s="1"/>
  <c r="V5449" i="1"/>
  <c r="AC5449" i="1" s="1"/>
  <c r="V5451" i="1"/>
  <c r="AC5451" i="1" s="1"/>
  <c r="V5452" i="1"/>
  <c r="AC5452" i="1" s="1"/>
  <c r="V5453" i="1"/>
  <c r="AC5453" i="1" s="1"/>
  <c r="V5454" i="1"/>
  <c r="AC5454" i="1" s="1"/>
  <c r="V5455" i="1"/>
  <c r="AC5455" i="1" s="1"/>
  <c r="V5456" i="1"/>
  <c r="AC5456" i="1" s="1"/>
  <c r="V5458" i="1"/>
  <c r="AC5458" i="1" s="1"/>
  <c r="V5457" i="1"/>
  <c r="AC5457" i="1" s="1"/>
  <c r="V5460" i="1"/>
  <c r="AC5460" i="1" s="1"/>
  <c r="V5459" i="1"/>
  <c r="AC5459" i="1" s="1"/>
  <c r="V5461" i="1"/>
  <c r="AC5461" i="1" s="1"/>
  <c r="V5463" i="1"/>
  <c r="AC5463" i="1" s="1"/>
  <c r="V5462" i="1"/>
  <c r="AC5462" i="1" s="1"/>
  <c r="V5464" i="1"/>
  <c r="AC5464" i="1" s="1"/>
  <c r="V5465" i="1"/>
  <c r="AC5465" i="1" s="1"/>
  <c r="V5470" i="1"/>
  <c r="AC5470" i="1" s="1"/>
  <c r="V5678" i="1"/>
  <c r="AC5678" i="1" s="1"/>
  <c r="V5468" i="1"/>
  <c r="AC5468" i="1" s="1"/>
  <c r="V5467" i="1"/>
  <c r="AC5467" i="1" s="1"/>
  <c r="V5469" i="1"/>
  <c r="AC5469" i="1" s="1"/>
  <c r="V5473" i="1"/>
  <c r="AC5473" i="1" s="1"/>
  <c r="V5475" i="1"/>
  <c r="AC5475" i="1" s="1"/>
  <c r="V5474" i="1"/>
  <c r="AC5474" i="1" s="1"/>
  <c r="V5477" i="1"/>
  <c r="AC5477" i="1" s="1"/>
  <c r="V5476" i="1"/>
  <c r="AC5476" i="1" s="1"/>
  <c r="V5478" i="1"/>
  <c r="AC5478" i="1" s="1"/>
  <c r="V5479" i="1"/>
  <c r="AC5479" i="1" s="1"/>
  <c r="V5481" i="1"/>
  <c r="AC5481" i="1" s="1"/>
  <c r="V5482" i="1"/>
  <c r="AC5482" i="1" s="1"/>
  <c r="V5480" i="1"/>
  <c r="AC5480" i="1" s="1"/>
  <c r="V5483" i="1"/>
  <c r="AC5483" i="1" s="1"/>
  <c r="V5485" i="1"/>
  <c r="AC5485" i="1" s="1"/>
  <c r="V5484" i="1"/>
  <c r="AC5484" i="1" s="1"/>
  <c r="V5487" i="1"/>
  <c r="AC5487" i="1" s="1"/>
  <c r="V5486" i="1"/>
  <c r="AC5486" i="1" s="1"/>
  <c r="V5488" i="1"/>
  <c r="AC5488" i="1" s="1"/>
  <c r="V5489" i="1"/>
  <c r="AC5489" i="1" s="1"/>
  <c r="V5492" i="1"/>
  <c r="AC5492" i="1" s="1"/>
  <c r="V5493" i="1"/>
  <c r="AC5493" i="1" s="1"/>
  <c r="V5494" i="1"/>
  <c r="AC5494" i="1" s="1"/>
  <c r="V5491" i="1"/>
  <c r="AC5491" i="1" s="1"/>
  <c r="V5495" i="1"/>
  <c r="AC5495" i="1" s="1"/>
  <c r="V5497" i="1"/>
  <c r="AC5497" i="1" s="1"/>
  <c r="V5496" i="1"/>
  <c r="AC5496" i="1" s="1"/>
  <c r="V5498" i="1"/>
  <c r="AC5498" i="1" s="1"/>
  <c r="V5499" i="1"/>
  <c r="AC5499" i="1" s="1"/>
  <c r="V5501" i="1"/>
  <c r="AC5501" i="1" s="1"/>
  <c r="V5502" i="1"/>
  <c r="AC5502" i="1" s="1"/>
  <c r="V5503" i="1"/>
  <c r="AC5503" i="1" s="1"/>
  <c r="V5508" i="1"/>
  <c r="AC5508" i="1" s="1"/>
  <c r="V5506" i="1"/>
  <c r="AC5506" i="1" s="1"/>
  <c r="V5505" i="1"/>
  <c r="AC5505" i="1" s="1"/>
  <c r="V5504" i="1"/>
  <c r="AC5504" i="1" s="1"/>
  <c r="V5500" i="1"/>
  <c r="AC5500" i="1" s="1"/>
  <c r="V5507" i="1"/>
  <c r="AC5507" i="1" s="1"/>
  <c r="V5511" i="1"/>
  <c r="AC5511" i="1" s="1"/>
  <c r="V5510" i="1"/>
  <c r="AC5510" i="1" s="1"/>
  <c r="V5509" i="1"/>
  <c r="AC5509" i="1" s="1"/>
  <c r="V5517" i="1"/>
  <c r="AC5517" i="1" s="1"/>
  <c r="V5513" i="1"/>
  <c r="AC5513" i="1" s="1"/>
  <c r="V5515" i="1"/>
  <c r="AC5515" i="1" s="1"/>
  <c r="V5516" i="1"/>
  <c r="AC5516" i="1" s="1"/>
  <c r="V5514" i="1"/>
  <c r="AC5514" i="1" s="1"/>
  <c r="V5518" i="1"/>
  <c r="AC5518" i="1" s="1"/>
  <c r="V5519" i="1"/>
  <c r="AC5519" i="1" s="1"/>
  <c r="V5520" i="1"/>
  <c r="AC5520" i="1" s="1"/>
  <c r="V5523" i="1"/>
  <c r="AC5523" i="1" s="1"/>
  <c r="V5522" i="1"/>
  <c r="AC5522" i="1" s="1"/>
  <c r="V5521" i="1"/>
  <c r="AC5521" i="1" s="1"/>
  <c r="V5524" i="1"/>
  <c r="AC5524" i="1" s="1"/>
  <c r="V5525" i="1"/>
  <c r="AC5525" i="1" s="1"/>
  <c r="V5526" i="1"/>
  <c r="AC5526" i="1" s="1"/>
  <c r="V5527" i="1"/>
  <c r="AC5527" i="1" s="1"/>
  <c r="V5528" i="1"/>
  <c r="AC5528" i="1" s="1"/>
  <c r="V5529" i="1"/>
  <c r="AC5529" i="1" s="1"/>
  <c r="V5530" i="1"/>
  <c r="AC5530" i="1" s="1"/>
  <c r="V5531" i="1"/>
  <c r="AC5531" i="1" s="1"/>
  <c r="V5532" i="1"/>
  <c r="AC5532" i="1" s="1"/>
  <c r="V5533" i="1"/>
  <c r="AC5533" i="1" s="1"/>
  <c r="V5536" i="1"/>
  <c r="AC5536" i="1" s="1"/>
  <c r="V5535" i="1"/>
  <c r="AC5535" i="1" s="1"/>
  <c r="V5537" i="1"/>
  <c r="AC5537" i="1" s="1"/>
  <c r="V5538" i="1"/>
  <c r="AC5538" i="1" s="1"/>
  <c r="V5539" i="1"/>
  <c r="AC5539" i="1" s="1"/>
  <c r="V5540" i="1"/>
  <c r="AC5540" i="1" s="1"/>
  <c r="V5541" i="1"/>
  <c r="AC5541" i="1" s="1"/>
  <c r="V5542" i="1"/>
  <c r="AC5542" i="1" s="1"/>
  <c r="V5543" i="1"/>
  <c r="AC5543" i="1" s="1"/>
  <c r="V5544" i="1"/>
  <c r="AC5544" i="1" s="1"/>
  <c r="V5545" i="1"/>
  <c r="AC5545" i="1" s="1"/>
  <c r="V5546" i="1"/>
  <c r="AC5546" i="1" s="1"/>
  <c r="V5548" i="1"/>
  <c r="AC5548" i="1" s="1"/>
  <c r="V5547" i="1"/>
  <c r="AC5547" i="1" s="1"/>
  <c r="V5549" i="1"/>
  <c r="AC5549" i="1" s="1"/>
  <c r="V5550" i="1"/>
  <c r="AC5550" i="1" s="1"/>
  <c r="V5552" i="1"/>
  <c r="AC5552" i="1" s="1"/>
  <c r="V5553" i="1"/>
  <c r="AC5553" i="1" s="1"/>
  <c r="V5555" i="1"/>
  <c r="AC5555" i="1" s="1"/>
  <c r="V5554" i="1"/>
  <c r="AC5554" i="1" s="1"/>
  <c r="V5556" i="1"/>
  <c r="AC5556" i="1" s="1"/>
  <c r="V5557" i="1"/>
  <c r="AC5557" i="1" s="1"/>
  <c r="V5558" i="1"/>
  <c r="AC5558" i="1" s="1"/>
  <c r="V5559" i="1"/>
  <c r="AC5559" i="1" s="1"/>
  <c r="V5560" i="1"/>
  <c r="AC5560" i="1" s="1"/>
  <c r="V5562" i="1"/>
  <c r="AC5562" i="1" s="1"/>
  <c r="V5561" i="1"/>
  <c r="AC5561" i="1" s="1"/>
  <c r="V5563" i="1"/>
  <c r="AC5563" i="1" s="1"/>
  <c r="V5564" i="1"/>
  <c r="AC5564" i="1" s="1"/>
  <c r="V5565" i="1"/>
  <c r="AC5565" i="1" s="1"/>
  <c r="V5566" i="1"/>
  <c r="AC5566" i="1" s="1"/>
  <c r="V5567" i="1"/>
  <c r="AC5567" i="1" s="1"/>
  <c r="V5568" i="1"/>
  <c r="AC5568" i="1" s="1"/>
  <c r="V5572" i="1"/>
  <c r="AC5572" i="1" s="1"/>
  <c r="V5573" i="1"/>
  <c r="AC5573" i="1" s="1"/>
  <c r="V5574" i="1"/>
  <c r="AC5574" i="1" s="1"/>
  <c r="V5571" i="1"/>
  <c r="AC5571" i="1" s="1"/>
  <c r="V5570" i="1"/>
  <c r="AC5570" i="1" s="1"/>
  <c r="V5575" i="1"/>
  <c r="AC5575" i="1" s="1"/>
  <c r="V5577" i="1"/>
  <c r="AC5577" i="1" s="1"/>
  <c r="V5576" i="1"/>
  <c r="AC5576" i="1" s="1"/>
  <c r="V5578" i="1"/>
  <c r="AC5578" i="1" s="1"/>
  <c r="V5580" i="1"/>
  <c r="AC5580" i="1" s="1"/>
  <c r="V5581" i="1"/>
  <c r="AC5581" i="1" s="1"/>
  <c r="V5582" i="1"/>
  <c r="AC5582" i="1" s="1"/>
  <c r="V5584" i="1"/>
  <c r="AC5584" i="1" s="1"/>
  <c r="V5583" i="1"/>
  <c r="AC5583" i="1" s="1"/>
  <c r="V5586" i="1"/>
  <c r="AC5586" i="1" s="1"/>
  <c r="V5587" i="1"/>
  <c r="AC5587" i="1" s="1"/>
  <c r="V5588" i="1"/>
  <c r="AC5588" i="1" s="1"/>
  <c r="V5590" i="1"/>
  <c r="AC5590" i="1" s="1"/>
  <c r="V5589" i="1"/>
  <c r="AC5589" i="1" s="1"/>
  <c r="V5592" i="1"/>
  <c r="AC5592" i="1" s="1"/>
  <c r="V5593" i="1"/>
  <c r="AC5593" i="1" s="1"/>
  <c r="V5594" i="1"/>
  <c r="AC5594" i="1" s="1"/>
  <c r="V5595" i="1"/>
  <c r="AC5595" i="1" s="1"/>
  <c r="V5597" i="1"/>
  <c r="AC5597" i="1" s="1"/>
  <c r="V5600" i="1"/>
  <c r="AC5600" i="1" s="1"/>
  <c r="V5598" i="1"/>
  <c r="AC5598" i="1" s="1"/>
  <c r="V5599" i="1"/>
  <c r="AC5599" i="1" s="1"/>
  <c r="V5601" i="1"/>
  <c r="AC5601" i="1" s="1"/>
  <c r="V5602" i="1"/>
  <c r="AC5602" i="1" s="1"/>
  <c r="V5603" i="1"/>
  <c r="AC5603" i="1" s="1"/>
  <c r="V5605" i="1"/>
  <c r="AC5605" i="1" s="1"/>
  <c r="V5604" i="1"/>
  <c r="AC5604" i="1" s="1"/>
  <c r="V5607" i="1"/>
  <c r="AC5607" i="1" s="1"/>
  <c r="V5608" i="1"/>
  <c r="AC5608" i="1" s="1"/>
  <c r="V5609" i="1"/>
  <c r="AC5609" i="1" s="1"/>
  <c r="V5610" i="1"/>
  <c r="AC5610" i="1" s="1"/>
  <c r="V5612" i="1"/>
  <c r="AC5612" i="1" s="1"/>
  <c r="V5611" i="1"/>
  <c r="AC5611" i="1" s="1"/>
  <c r="V5614" i="1"/>
  <c r="AC5614" i="1" s="1"/>
  <c r="V5613" i="1"/>
  <c r="AC5613" i="1" s="1"/>
  <c r="V5615" i="1"/>
  <c r="AC5615" i="1" s="1"/>
  <c r="V5617" i="1"/>
  <c r="AC5617" i="1" s="1"/>
  <c r="V5619" i="1"/>
  <c r="AC5619" i="1" s="1"/>
  <c r="V5618" i="1"/>
  <c r="AC5618" i="1" s="1"/>
  <c r="V5620" i="1"/>
  <c r="AC5620" i="1" s="1"/>
  <c r="V5621" i="1"/>
  <c r="AC5621" i="1" s="1"/>
  <c r="V5622" i="1"/>
  <c r="AC5622" i="1" s="1"/>
  <c r="V5624" i="1"/>
  <c r="AC5624" i="1" s="1"/>
  <c r="V176" i="1"/>
  <c r="AC176" i="1" s="1"/>
  <c r="AB176" i="1"/>
  <c r="V217" i="1"/>
  <c r="AC217" i="1" s="1"/>
  <c r="AB217" i="1"/>
  <c r="V219" i="1"/>
  <c r="AC219" i="1" s="1"/>
  <c r="AB219" i="1"/>
  <c r="AB8230" i="1"/>
  <c r="AB103" i="1"/>
  <c r="V8230" i="1"/>
  <c r="AC8230" i="1" s="1"/>
  <c r="Z10486" i="1"/>
  <c r="V10486" i="1"/>
  <c r="AC10486" i="1" s="1"/>
  <c r="AB10486" i="1"/>
  <c r="Z3910" i="1"/>
  <c r="V3910" i="1"/>
  <c r="AC3910" i="1" s="1"/>
  <c r="AB3910" i="1"/>
  <c r="Z9529" i="1"/>
  <c r="V9529" i="1"/>
  <c r="AC9529" i="1" s="1"/>
  <c r="AB9529" i="1"/>
  <c r="Z9523" i="1"/>
  <c r="V9523" i="1"/>
  <c r="AC9523" i="1" s="1"/>
  <c r="AB9523" i="1"/>
  <c r="AB244" i="1"/>
  <c r="V257" i="1"/>
  <c r="AC257" i="1" s="1"/>
  <c r="AB257" i="1"/>
  <c r="AB150" i="1"/>
  <c r="V1493" i="1"/>
  <c r="AC1493" i="1" s="1"/>
  <c r="AB1493" i="1"/>
  <c r="AB348" i="1"/>
  <c r="V168" i="1"/>
  <c r="AC168" i="1" s="1"/>
  <c r="AB168" i="1"/>
  <c r="AB41" i="1"/>
  <c r="AB250" i="1"/>
  <c r="V250" i="1"/>
  <c r="AC250" i="1" s="1"/>
  <c r="V730" i="1"/>
  <c r="AC730" i="1" s="1"/>
  <c r="AB730" i="1"/>
  <c r="AB52" i="1"/>
  <c r="AB547" i="1"/>
  <c r="V547" i="1"/>
  <c r="AC547" i="1" s="1"/>
  <c r="V2228" i="1"/>
  <c r="AC2228" i="1" s="1"/>
  <c r="AB2228" i="1"/>
  <c r="V270" i="1"/>
  <c r="AC270" i="1" s="1"/>
  <c r="AB270" i="1"/>
  <c r="V137" i="1"/>
  <c r="AC137" i="1" s="1"/>
  <c r="AB137" i="1"/>
  <c r="Z1143" i="1"/>
  <c r="V1143" i="1"/>
  <c r="AC1143" i="1" s="1"/>
  <c r="AB1143" i="1"/>
  <c r="V1142" i="1"/>
  <c r="AC1142" i="1" s="1"/>
  <c r="AB1142" i="1"/>
  <c r="AB235" i="1"/>
  <c r="AB95" i="1"/>
  <c r="S5975" i="1"/>
  <c r="V1623" i="1"/>
  <c r="AC1623" i="1" s="1"/>
  <c r="S1623" i="1"/>
  <c r="AB1623" i="1"/>
  <c r="V8334" i="1"/>
  <c r="AC8334" i="1" s="1"/>
  <c r="AB8334" i="1"/>
  <c r="V7967" i="1"/>
  <c r="AC7967" i="1" s="1"/>
  <c r="S183" i="1"/>
  <c r="V5623" i="1"/>
  <c r="AC5623" i="1" s="1"/>
  <c r="V5627" i="1"/>
  <c r="AC5627" i="1" s="1"/>
  <c r="V5628" i="1"/>
  <c r="AC5628" i="1" s="1"/>
  <c r="V5629" i="1"/>
  <c r="AC5629" i="1" s="1"/>
  <c r="V5630" i="1"/>
  <c r="AC5630" i="1" s="1"/>
  <c r="V5632" i="1"/>
  <c r="AC5632" i="1" s="1"/>
  <c r="V5631" i="1"/>
  <c r="AC5631" i="1" s="1"/>
  <c r="V5633" i="1"/>
  <c r="AC5633" i="1" s="1"/>
  <c r="V5635" i="1"/>
  <c r="AC5635" i="1" s="1"/>
  <c r="V5634" i="1"/>
  <c r="AC5634" i="1" s="1"/>
  <c r="V5636" i="1"/>
  <c r="AC5636" i="1" s="1"/>
  <c r="V5637" i="1"/>
  <c r="AC5637" i="1" s="1"/>
  <c r="V5639" i="1"/>
  <c r="AC5639" i="1" s="1"/>
  <c r="V5638" i="1"/>
  <c r="AC5638" i="1" s="1"/>
  <c r="V5640" i="1"/>
  <c r="AC5640" i="1" s="1"/>
  <c r="V5642" i="1"/>
  <c r="AC5642" i="1" s="1"/>
  <c r="V5645" i="1"/>
  <c r="AC5645" i="1" s="1"/>
  <c r="V5647" i="1"/>
  <c r="AC5647" i="1" s="1"/>
  <c r="V5648" i="1"/>
  <c r="AC5648" i="1" s="1"/>
  <c r="V5646" i="1"/>
  <c r="AC5646" i="1" s="1"/>
  <c r="V5649" i="1"/>
  <c r="AC5649" i="1" s="1"/>
  <c r="V5650" i="1"/>
  <c r="AC5650" i="1" s="1"/>
  <c r="V5651" i="1"/>
  <c r="AC5651" i="1" s="1"/>
  <c r="V5652" i="1"/>
  <c r="AC5652" i="1" s="1"/>
  <c r="V5653" i="1"/>
  <c r="AC5653" i="1" s="1"/>
  <c r="V5654" i="1"/>
  <c r="AC5654" i="1" s="1"/>
  <c r="V5655" i="1"/>
  <c r="AC5655" i="1" s="1"/>
  <c r="V5656" i="1"/>
  <c r="AC5656" i="1" s="1"/>
  <c r="V144" i="1"/>
  <c r="AC144" i="1" s="1"/>
  <c r="AB144" i="1"/>
  <c r="S1628" i="1"/>
  <c r="V5659" i="1"/>
  <c r="AC5659" i="1" s="1"/>
  <c r="V5662" i="1"/>
  <c r="AC5662" i="1" s="1"/>
  <c r="V5663" i="1"/>
  <c r="AC5663" i="1" s="1"/>
  <c r="V5664" i="1"/>
  <c r="AC5664" i="1" s="1"/>
  <c r="V5665" i="1"/>
  <c r="AC5665" i="1" s="1"/>
  <c r="V5666" i="1"/>
  <c r="AC5666" i="1" s="1"/>
  <c r="V5667" i="1"/>
  <c r="AC5667" i="1" s="1"/>
  <c r="V5668" i="1"/>
  <c r="AC5668" i="1" s="1"/>
  <c r="V5670" i="1"/>
  <c r="AC5670" i="1" s="1"/>
  <c r="V5669" i="1"/>
  <c r="AC5669" i="1" s="1"/>
  <c r="V5671" i="1"/>
  <c r="AC5671" i="1" s="1"/>
  <c r="V5672" i="1"/>
  <c r="AC5672" i="1" s="1"/>
  <c r="V5673" i="1"/>
  <c r="AC5673" i="1" s="1"/>
  <c r="V5674" i="1"/>
  <c r="AC5674" i="1" s="1"/>
  <c r="V5675" i="1"/>
  <c r="AC5675" i="1" s="1"/>
  <c r="V5676" i="1"/>
  <c r="AC5676" i="1" s="1"/>
  <c r="V5677" i="1"/>
  <c r="AC5677" i="1" s="1"/>
  <c r="V5679" i="1"/>
  <c r="AC5679" i="1" s="1"/>
  <c r="V5680" i="1"/>
  <c r="AC5680" i="1" s="1"/>
  <c r="V5682" i="1"/>
  <c r="AC5682" i="1" s="1"/>
  <c r="V5681" i="1"/>
  <c r="AC5681" i="1" s="1"/>
  <c r="V5683" i="1"/>
  <c r="AC5683" i="1" s="1"/>
  <c r="V5684" i="1"/>
  <c r="AC5684" i="1" s="1"/>
  <c r="V5685" i="1"/>
  <c r="AC5685" i="1" s="1"/>
  <c r="V5686" i="1"/>
  <c r="AC5686" i="1" s="1"/>
  <c r="V5687" i="1"/>
  <c r="AC5687" i="1" s="1"/>
  <c r="V5688" i="1"/>
  <c r="AC5688" i="1" s="1"/>
  <c r="V5689" i="1"/>
  <c r="AC5689" i="1" s="1"/>
  <c r="V5690" i="1"/>
  <c r="AC5690" i="1" s="1"/>
  <c r="V5691" i="1"/>
  <c r="AC5691" i="1" s="1"/>
  <c r="V5692" i="1"/>
  <c r="AC5692" i="1" s="1"/>
  <c r="V5693" i="1"/>
  <c r="AC5693" i="1" s="1"/>
  <c r="V5694" i="1"/>
  <c r="AC5694" i="1" s="1"/>
  <c r="V5695" i="1"/>
  <c r="AC5695" i="1" s="1"/>
  <c r="V5696" i="1"/>
  <c r="AC5696" i="1" s="1"/>
  <c r="V5698" i="1"/>
  <c r="AC5698" i="1" s="1"/>
  <c r="V5699" i="1"/>
  <c r="AC5699" i="1" s="1"/>
  <c r="V5700" i="1"/>
  <c r="AC5700" i="1" s="1"/>
  <c r="V5701" i="1"/>
  <c r="AC5701" i="1" s="1"/>
  <c r="V5702" i="1"/>
  <c r="AC5702" i="1" s="1"/>
  <c r="V5703" i="1"/>
  <c r="AC5703" i="1" s="1"/>
  <c r="V5704" i="1"/>
  <c r="AC5704" i="1" s="1"/>
  <c r="V5705" i="1"/>
  <c r="AC5705" i="1" s="1"/>
  <c r="V5707" i="1"/>
  <c r="AC5707" i="1" s="1"/>
  <c r="V5708" i="1"/>
  <c r="AC5708" i="1" s="1"/>
  <c r="V5709" i="1"/>
  <c r="AC5709" i="1" s="1"/>
  <c r="V5710" i="1"/>
  <c r="AC5710" i="1" s="1"/>
  <c r="V5711" i="1"/>
  <c r="AC5711" i="1" s="1"/>
  <c r="V5712" i="1"/>
  <c r="AC5712" i="1" s="1"/>
  <c r="V5713" i="1"/>
  <c r="AC5713" i="1" s="1"/>
  <c r="V5714" i="1"/>
  <c r="AC5714" i="1" s="1"/>
  <c r="V5715" i="1"/>
  <c r="AC5715" i="1" s="1"/>
  <c r="V5719" i="1"/>
  <c r="AC5719" i="1" s="1"/>
  <c r="V5718" i="1"/>
  <c r="AC5718" i="1" s="1"/>
  <c r="V5721" i="1"/>
  <c r="AC5721" i="1" s="1"/>
  <c r="V5720" i="1"/>
  <c r="AC5720" i="1" s="1"/>
  <c r="V5717" i="1"/>
  <c r="AC5717" i="1" s="1"/>
  <c r="V5716" i="1"/>
  <c r="AC5716" i="1" s="1"/>
  <c r="V5722" i="1"/>
  <c r="AC5722" i="1" s="1"/>
  <c r="V5723" i="1"/>
  <c r="AC5723" i="1" s="1"/>
  <c r="V5726" i="1"/>
  <c r="AC5726" i="1" s="1"/>
  <c r="V5725" i="1"/>
  <c r="AC5725" i="1" s="1"/>
  <c r="V5728" i="1"/>
  <c r="AC5728" i="1" s="1"/>
  <c r="V5727" i="1"/>
  <c r="AC5727" i="1" s="1"/>
  <c r="V5729" i="1"/>
  <c r="AC5729" i="1" s="1"/>
  <c r="V5733" i="1"/>
  <c r="AC5733" i="1" s="1"/>
  <c r="V5731" i="1"/>
  <c r="AC5731" i="1" s="1"/>
  <c r="V5730" i="1"/>
  <c r="AC5730" i="1" s="1"/>
  <c r="V5736" i="1"/>
  <c r="AC5736" i="1" s="1"/>
  <c r="V5734" i="1"/>
  <c r="AC5734" i="1" s="1"/>
  <c r="V5745" i="1"/>
  <c r="AC5745" i="1" s="1"/>
  <c r="V5741" i="1"/>
  <c r="AC5741" i="1" s="1"/>
  <c r="V5738" i="1"/>
  <c r="AC5738" i="1" s="1"/>
  <c r="V5743" i="1"/>
  <c r="AC5743" i="1" s="1"/>
  <c r="V5740" i="1"/>
  <c r="AC5740" i="1" s="1"/>
  <c r="V5739" i="1"/>
  <c r="AC5739" i="1" s="1"/>
  <c r="V5742" i="1"/>
  <c r="AC5742" i="1" s="1"/>
  <c r="V5737" i="1"/>
  <c r="AC5737" i="1" s="1"/>
  <c r="V5744" i="1"/>
  <c r="AC5744" i="1" s="1"/>
  <c r="V2203" i="1"/>
  <c r="AC2203" i="1" s="1"/>
  <c r="AB2203" i="1"/>
  <c r="AB234" i="1"/>
  <c r="V5903" i="1"/>
  <c r="AC5903" i="1" s="1"/>
  <c r="AB5903" i="1"/>
  <c r="V5419" i="1"/>
  <c r="AC5419" i="1" s="1"/>
  <c r="AB5419" i="1"/>
  <c r="AB97" i="1"/>
  <c r="V5746" i="1"/>
  <c r="AC5746" i="1" s="1"/>
  <c r="V5747" i="1"/>
  <c r="AC5747" i="1" s="1"/>
  <c r="V5748" i="1"/>
  <c r="AC5748" i="1" s="1"/>
  <c r="V5749" i="1"/>
  <c r="AC5749" i="1" s="1"/>
  <c r="V5750" i="1"/>
  <c r="AC5750" i="1" s="1"/>
  <c r="V5751" i="1"/>
  <c r="AC5751" i="1" s="1"/>
  <c r="V5752" i="1"/>
  <c r="AC5752" i="1" s="1"/>
  <c r="V5753" i="1"/>
  <c r="AC5753" i="1" s="1"/>
  <c r="V5754" i="1"/>
  <c r="AC5754" i="1" s="1"/>
  <c r="V5756" i="1"/>
  <c r="AC5756" i="1" s="1"/>
  <c r="V5755" i="1"/>
  <c r="AC5755" i="1" s="1"/>
  <c r="V5757" i="1"/>
  <c r="AC5757" i="1" s="1"/>
  <c r="V5765" i="1"/>
  <c r="AC5765" i="1" s="1"/>
  <c r="V5760" i="1"/>
  <c r="AC5760" i="1" s="1"/>
  <c r="V5763" i="1"/>
  <c r="AC5763" i="1" s="1"/>
  <c r="V5762" i="1"/>
  <c r="AC5762" i="1" s="1"/>
  <c r="V5761" i="1"/>
  <c r="AC5761" i="1" s="1"/>
  <c r="V5764" i="1"/>
  <c r="AC5764" i="1" s="1"/>
  <c r="V5759" i="1"/>
  <c r="AC5759" i="1" s="1"/>
  <c r="V5758" i="1"/>
  <c r="AC5758" i="1" s="1"/>
  <c r="V5766" i="1"/>
  <c r="AC5766" i="1" s="1"/>
  <c r="V5767" i="1"/>
  <c r="AC5767" i="1" s="1"/>
  <c r="V5768" i="1"/>
  <c r="AC5768" i="1" s="1"/>
  <c r="V5769" i="1"/>
  <c r="AC5769" i="1" s="1"/>
  <c r="V5770" i="1"/>
  <c r="AC5770" i="1" s="1"/>
  <c r="V5771" i="1"/>
  <c r="AC5771" i="1" s="1"/>
  <c r="V5975" i="1"/>
  <c r="AC5975" i="1" s="1"/>
  <c r="V5772" i="1"/>
  <c r="AC5772" i="1" s="1"/>
  <c r="V5779" i="1"/>
  <c r="AC5779" i="1" s="1"/>
  <c r="V5775" i="1"/>
  <c r="AC5775" i="1" s="1"/>
  <c r="V5773" i="1"/>
  <c r="AC5773" i="1" s="1"/>
  <c r="V5776" i="1"/>
  <c r="AC5776" i="1" s="1"/>
  <c r="V5774" i="1"/>
  <c r="AC5774" i="1" s="1"/>
  <c r="V5777" i="1"/>
  <c r="AC5777" i="1" s="1"/>
  <c r="V5780" i="1"/>
  <c r="AC5780" i="1" s="1"/>
  <c r="V5781" i="1"/>
  <c r="AC5781" i="1" s="1"/>
  <c r="V5783" i="1"/>
  <c r="AC5783" i="1" s="1"/>
  <c r="V5782" i="1"/>
  <c r="AC5782" i="1" s="1"/>
  <c r="V5786" i="1"/>
  <c r="AC5786" i="1" s="1"/>
  <c r="V5784" i="1"/>
  <c r="AC5784" i="1" s="1"/>
  <c r="V5787" i="1"/>
  <c r="AC5787" i="1" s="1"/>
  <c r="V5785" i="1"/>
  <c r="AC5785" i="1" s="1"/>
  <c r="V5789" i="1"/>
  <c r="AC5789" i="1" s="1"/>
  <c r="V5790" i="1"/>
  <c r="AC5790" i="1" s="1"/>
  <c r="V5792" i="1"/>
  <c r="AC5792" i="1" s="1"/>
  <c r="V5793" i="1"/>
  <c r="AC5793" i="1" s="1"/>
  <c r="V5791" i="1"/>
  <c r="AC5791" i="1" s="1"/>
  <c r="V5794" i="1"/>
  <c r="AC5794" i="1" s="1"/>
  <c r="V5803" i="1"/>
  <c r="AC5803" i="1" s="1"/>
  <c r="V5799" i="1"/>
  <c r="AC5799" i="1" s="1"/>
  <c r="V5801" i="1"/>
  <c r="AC5801" i="1" s="1"/>
  <c r="V5798" i="1"/>
  <c r="AC5798" i="1" s="1"/>
  <c r="V5796" i="1"/>
  <c r="AC5796" i="1" s="1"/>
  <c r="V5797" i="1"/>
  <c r="AC5797" i="1" s="1"/>
  <c r="V5800" i="1"/>
  <c r="AC5800" i="1" s="1"/>
  <c r="V5795" i="1"/>
  <c r="AC5795" i="1" s="1"/>
  <c r="V5804" i="1"/>
  <c r="AC5804" i="1" s="1"/>
  <c r="V5805" i="1"/>
  <c r="AC5805" i="1" s="1"/>
  <c r="V5807" i="1"/>
  <c r="AC5807" i="1" s="1"/>
  <c r="V5806" i="1"/>
  <c r="AC5806" i="1" s="1"/>
  <c r="V5808" i="1"/>
  <c r="AC5808" i="1" s="1"/>
  <c r="V5809" i="1"/>
  <c r="AC5809" i="1" s="1"/>
  <c r="V5810" i="1"/>
  <c r="AC5810" i="1" s="1"/>
  <c r="V5811" i="1"/>
  <c r="AC5811" i="1" s="1"/>
  <c r="V5812" i="1"/>
  <c r="AC5812" i="1" s="1"/>
  <c r="V5814" i="1"/>
  <c r="AC5814" i="1" s="1"/>
  <c r="V5813" i="1"/>
  <c r="AC5813" i="1" s="1"/>
  <c r="V5816" i="1"/>
  <c r="AC5816" i="1" s="1"/>
  <c r="V5817" i="1"/>
  <c r="AC5817" i="1" s="1"/>
  <c r="V5820" i="1"/>
  <c r="AC5820" i="1" s="1"/>
  <c r="V5815" i="1"/>
  <c r="AC5815" i="1" s="1"/>
  <c r="V5818" i="1"/>
  <c r="AC5818" i="1" s="1"/>
  <c r="V5819" i="1"/>
  <c r="AC5819" i="1" s="1"/>
  <c r="V5821" i="1"/>
  <c r="AC5821" i="1" s="1"/>
  <c r="V5824" i="1"/>
  <c r="AC5824" i="1" s="1"/>
  <c r="V5823" i="1"/>
  <c r="AC5823" i="1" s="1"/>
  <c r="V5822" i="1"/>
  <c r="AC5822" i="1" s="1"/>
  <c r="V5828" i="1"/>
  <c r="AC5828" i="1" s="1"/>
  <c r="V5827" i="1"/>
  <c r="AC5827" i="1" s="1"/>
  <c r="V5826" i="1"/>
  <c r="AC5826" i="1" s="1"/>
  <c r="V5825" i="1"/>
  <c r="AC5825" i="1" s="1"/>
  <c r="V5829" i="1"/>
  <c r="AC5829" i="1" s="1"/>
  <c r="V5832" i="1"/>
  <c r="AC5832" i="1" s="1"/>
  <c r="V5831" i="1"/>
  <c r="AC5831" i="1" s="1"/>
  <c r="V5833" i="1"/>
  <c r="AC5833" i="1" s="1"/>
  <c r="V5835" i="1"/>
  <c r="AC5835" i="1" s="1"/>
  <c r="V5834" i="1"/>
  <c r="AC5834" i="1" s="1"/>
  <c r="V5836" i="1"/>
  <c r="AC5836" i="1" s="1"/>
  <c r="V5837" i="1"/>
  <c r="AC5837" i="1" s="1"/>
  <c r="V5839" i="1"/>
  <c r="AC5839" i="1" s="1"/>
  <c r="V5840" i="1"/>
  <c r="AC5840" i="1" s="1"/>
  <c r="V5838" i="1"/>
  <c r="AC5838" i="1" s="1"/>
  <c r="V5842" i="1"/>
  <c r="AC5842" i="1" s="1"/>
  <c r="V5841" i="1"/>
  <c r="AC5841" i="1" s="1"/>
  <c r="V5843" i="1"/>
  <c r="AC5843" i="1" s="1"/>
  <c r="V5844" i="1"/>
  <c r="AC5844" i="1" s="1"/>
  <c r="V5845" i="1"/>
  <c r="AC5845" i="1" s="1"/>
  <c r="V5846" i="1"/>
  <c r="AC5846" i="1" s="1"/>
  <c r="V5847" i="1"/>
  <c r="AC5847" i="1" s="1"/>
  <c r="V5850" i="1"/>
  <c r="AC5850" i="1" s="1"/>
  <c r="V5848" i="1"/>
  <c r="AC5848" i="1" s="1"/>
  <c r="V5852" i="1"/>
  <c r="AC5852" i="1" s="1"/>
  <c r="V5851" i="1"/>
  <c r="AC5851" i="1" s="1"/>
  <c r="V5857" i="1"/>
  <c r="AC5857" i="1" s="1"/>
  <c r="V5853" i="1"/>
  <c r="AC5853" i="1" s="1"/>
  <c r="V5858" i="1"/>
  <c r="AC5858" i="1" s="1"/>
  <c r="V5856" i="1"/>
  <c r="AC5856" i="1" s="1"/>
  <c r="V5855" i="1"/>
  <c r="AC5855" i="1" s="1"/>
  <c r="V5854" i="1"/>
  <c r="AC5854" i="1" s="1"/>
  <c r="V5860" i="1"/>
  <c r="AC5860" i="1" s="1"/>
  <c r="V5861" i="1"/>
  <c r="AC5861" i="1" s="1"/>
  <c r="V5859" i="1"/>
  <c r="AC5859" i="1" s="1"/>
  <c r="V5862" i="1"/>
  <c r="AC5862" i="1" s="1"/>
  <c r="V5864" i="1"/>
  <c r="AC5864" i="1" s="1"/>
  <c r="V5863" i="1"/>
  <c r="AC5863" i="1" s="1"/>
  <c r="V5982" i="1"/>
  <c r="AC5982" i="1" s="1"/>
  <c r="V5866" i="1"/>
  <c r="AC5866" i="1" s="1"/>
  <c r="V5865" i="1"/>
  <c r="AC5865" i="1" s="1"/>
  <c r="V5867" i="1"/>
  <c r="AC5867" i="1" s="1"/>
  <c r="V5868" i="1"/>
  <c r="AC5868" i="1" s="1"/>
  <c r="V5869" i="1"/>
  <c r="AC5869" i="1" s="1"/>
  <c r="V5870" i="1"/>
  <c r="AC5870" i="1" s="1"/>
  <c r="V5871" i="1"/>
  <c r="AC5871" i="1" s="1"/>
  <c r="V5872" i="1"/>
  <c r="AC5872" i="1" s="1"/>
  <c r="V5873" i="1"/>
  <c r="AC5873" i="1" s="1"/>
  <c r="V5876" i="1"/>
  <c r="AC5876" i="1" s="1"/>
  <c r="V5874" i="1"/>
  <c r="AC5874" i="1" s="1"/>
  <c r="V5877" i="1"/>
  <c r="AC5877" i="1" s="1"/>
  <c r="V5875" i="1"/>
  <c r="AC5875" i="1" s="1"/>
  <c r="V5878" i="1"/>
  <c r="AC5878" i="1" s="1"/>
  <c r="V5880" i="1"/>
  <c r="AC5880" i="1" s="1"/>
  <c r="V5879" i="1"/>
  <c r="AC5879" i="1" s="1"/>
  <c r="V5881" i="1"/>
  <c r="AC5881" i="1" s="1"/>
  <c r="V5882" i="1"/>
  <c r="AC5882" i="1" s="1"/>
  <c r="V5883" i="1"/>
  <c r="AC5883" i="1" s="1"/>
  <c r="V5884" i="1"/>
  <c r="AC5884" i="1" s="1"/>
  <c r="V5885" i="1"/>
  <c r="AC5885" i="1" s="1"/>
  <c r="V5886" i="1"/>
  <c r="AC5886" i="1" s="1"/>
  <c r="V5887" i="1"/>
  <c r="AC5887" i="1" s="1"/>
  <c r="V5892" i="1"/>
  <c r="AC5892" i="1" s="1"/>
  <c r="V5890" i="1"/>
  <c r="AC5890" i="1" s="1"/>
  <c r="V5891" i="1"/>
  <c r="AC5891" i="1" s="1"/>
  <c r="V5893" i="1"/>
  <c r="AC5893" i="1" s="1"/>
  <c r="V5894" i="1"/>
  <c r="AC5894" i="1" s="1"/>
  <c r="V5896" i="1"/>
  <c r="AC5896" i="1" s="1"/>
  <c r="V5897" i="1"/>
  <c r="AC5897" i="1" s="1"/>
  <c r="V5898" i="1"/>
  <c r="AC5898" i="1" s="1"/>
  <c r="V5899" i="1"/>
  <c r="AC5899" i="1" s="1"/>
  <c r="V5901" i="1"/>
  <c r="AC5901" i="1" s="1"/>
  <c r="V5900" i="1"/>
  <c r="AC5900" i="1" s="1"/>
  <c r="V5902" i="1"/>
  <c r="AC5902" i="1" s="1"/>
  <c r="V5904" i="1"/>
  <c r="AC5904" i="1" s="1"/>
  <c r="V5905" i="1"/>
  <c r="AC5905" i="1" s="1"/>
  <c r="V5909" i="1"/>
  <c r="AC5909" i="1" s="1"/>
  <c r="V5910" i="1"/>
  <c r="AC5910" i="1" s="1"/>
  <c r="V5912" i="1"/>
  <c r="AC5912" i="1" s="1"/>
  <c r="V5907" i="1"/>
  <c r="AC5907" i="1" s="1"/>
  <c r="V5906" i="1"/>
  <c r="AC5906" i="1" s="1"/>
  <c r="V5911" i="1"/>
  <c r="AC5911" i="1" s="1"/>
  <c r="V5913" i="1"/>
  <c r="AC5913" i="1" s="1"/>
  <c r="V5908" i="1"/>
  <c r="AC5908" i="1" s="1"/>
  <c r="V5914" i="1"/>
  <c r="AC5914" i="1" s="1"/>
  <c r="V5915" i="1"/>
  <c r="AC5915" i="1" s="1"/>
  <c r="V5916" i="1"/>
  <c r="AC5916" i="1" s="1"/>
  <c r="V5917" i="1"/>
  <c r="AC5917" i="1" s="1"/>
  <c r="V5993" i="1"/>
  <c r="AC5993" i="1" s="1"/>
  <c r="V5920" i="1"/>
  <c r="AC5920" i="1" s="1"/>
  <c r="V5919" i="1"/>
  <c r="AC5919" i="1" s="1"/>
  <c r="V5921" i="1"/>
  <c r="AC5921" i="1" s="1"/>
  <c r="V5918" i="1"/>
  <c r="AC5918" i="1" s="1"/>
  <c r="V5922" i="1"/>
  <c r="AC5922" i="1" s="1"/>
  <c r="V5924" i="1"/>
  <c r="AC5924" i="1" s="1"/>
  <c r="V5923" i="1"/>
  <c r="AC5923" i="1" s="1"/>
  <c r="V5925" i="1"/>
  <c r="AC5925" i="1" s="1"/>
  <c r="V5926" i="1"/>
  <c r="AC5926" i="1" s="1"/>
  <c r="V5928" i="1"/>
  <c r="AC5928" i="1" s="1"/>
  <c r="V5930" i="1"/>
  <c r="AC5930" i="1" s="1"/>
  <c r="V5931" i="1"/>
  <c r="AC5931" i="1" s="1"/>
  <c r="V5932" i="1"/>
  <c r="AC5932" i="1" s="1"/>
  <c r="V5929" i="1"/>
  <c r="AC5929" i="1" s="1"/>
  <c r="V5934" i="1"/>
  <c r="AC5934" i="1" s="1"/>
  <c r="V5935" i="1"/>
  <c r="AC5935" i="1" s="1"/>
  <c r="V5937" i="1"/>
  <c r="AC5937" i="1" s="1"/>
  <c r="V5936" i="1"/>
  <c r="AC5936" i="1" s="1"/>
  <c r="V5939" i="1"/>
  <c r="AC5939" i="1" s="1"/>
  <c r="V5940" i="1"/>
  <c r="AC5940" i="1" s="1"/>
  <c r="V5941" i="1"/>
  <c r="AC5941" i="1" s="1"/>
  <c r="V5943" i="1"/>
  <c r="AC5943" i="1" s="1"/>
  <c r="V5944" i="1"/>
  <c r="AC5944" i="1" s="1"/>
  <c r="V5946" i="1"/>
  <c r="AC5946" i="1" s="1"/>
  <c r="V5945" i="1"/>
  <c r="AC5945" i="1" s="1"/>
  <c r="V5947" i="1"/>
  <c r="AC5947" i="1" s="1"/>
  <c r="V5948" i="1"/>
  <c r="AC5948" i="1" s="1"/>
  <c r="V5950" i="1"/>
  <c r="AC5950" i="1" s="1"/>
  <c r="V5951" i="1"/>
  <c r="AC5951" i="1" s="1"/>
  <c r="S1615" i="1"/>
  <c r="V3544" i="1"/>
  <c r="AC3544" i="1" s="1"/>
  <c r="AB3544" i="1"/>
  <c r="S1621" i="1"/>
  <c r="V151" i="1"/>
  <c r="AC151" i="1" s="1"/>
  <c r="AB151" i="1"/>
  <c r="V213" i="1"/>
  <c r="AC213" i="1" s="1"/>
  <c r="O213" i="1"/>
  <c r="AB213" i="1"/>
  <c r="V5324" i="1"/>
  <c r="AC5324" i="1" s="1"/>
  <c r="AB5324" i="1"/>
  <c r="Z5606" i="1"/>
  <c r="V5606" i="1"/>
  <c r="AC5606" i="1" s="1"/>
  <c r="AB5606" i="1"/>
  <c r="V4662" i="1"/>
  <c r="AC4662" i="1" s="1"/>
  <c r="AB4662" i="1"/>
  <c r="V7088" i="1"/>
  <c r="AC7088" i="1" s="1"/>
  <c r="AB7088" i="1"/>
  <c r="AB6846" i="1"/>
  <c r="AB7376" i="1"/>
  <c r="AB6818" i="1"/>
  <c r="AB7971" i="1"/>
  <c r="AB7404" i="1"/>
  <c r="V7404" i="1"/>
  <c r="AC7404" i="1" s="1"/>
  <c r="V7971" i="1"/>
  <c r="AC7971" i="1" s="1"/>
  <c r="V6818" i="1"/>
  <c r="AC6818" i="1" s="1"/>
  <c r="Z7376" i="1"/>
  <c r="V7376" i="1"/>
  <c r="AC7376" i="1" s="1"/>
  <c r="Z6846" i="1"/>
  <c r="V6846" i="1"/>
  <c r="AC6846" i="1" s="1"/>
  <c r="V7323" i="1"/>
  <c r="AC7323" i="1" s="1"/>
  <c r="AB7323" i="1"/>
  <c r="V5849" i="1"/>
  <c r="AC5849" i="1" s="1"/>
  <c r="AB5849" i="1"/>
  <c r="V6725" i="1"/>
  <c r="AC6725" i="1" s="1"/>
  <c r="AB6725" i="1"/>
  <c r="V7391" i="1"/>
  <c r="AC7391" i="1" s="1"/>
  <c r="AB7391" i="1"/>
  <c r="V6804" i="1"/>
  <c r="AC6804" i="1" s="1"/>
  <c r="AB6804" i="1"/>
  <c r="V6570" i="1"/>
  <c r="AC6570" i="1" s="1"/>
  <c r="AB6570" i="1"/>
  <c r="V7682" i="1"/>
  <c r="AC7682" i="1" s="1"/>
  <c r="AB7682" i="1"/>
  <c r="V6237" i="1"/>
  <c r="AC6237" i="1" s="1"/>
  <c r="AB6237" i="1"/>
  <c r="V7309" i="1"/>
  <c r="AC7309" i="1" s="1"/>
  <c r="AB7309" i="1"/>
  <c r="V5706" i="1"/>
  <c r="AC5706" i="1" s="1"/>
  <c r="AB5706" i="1"/>
  <c r="V7484" i="1"/>
  <c r="AC7484" i="1" s="1"/>
  <c r="AB7484" i="1"/>
  <c r="V5154" i="1"/>
  <c r="AC5154" i="1" s="1"/>
  <c r="AB5154" i="1"/>
  <c r="V6461" i="1"/>
  <c r="AC6461" i="1" s="1"/>
  <c r="AB6461" i="1"/>
  <c r="V6726" i="1"/>
  <c r="AC6726" i="1" s="1"/>
  <c r="AB6726" i="1"/>
  <c r="V7039" i="1"/>
  <c r="AC7039" i="1" s="1"/>
  <c r="AB7039" i="1"/>
  <c r="V6666" i="1"/>
  <c r="AC6666" i="1" s="1"/>
  <c r="AB6666" i="1"/>
  <c r="V6206" i="1"/>
  <c r="AC6206" i="1" s="1"/>
  <c r="AB6206" i="1"/>
  <c r="V6136" i="1"/>
  <c r="AC6136" i="1" s="1"/>
  <c r="AB6136" i="1"/>
  <c r="V5304" i="1"/>
  <c r="AC5304" i="1" s="1"/>
  <c r="AB5304" i="1"/>
  <c r="V7009" i="1"/>
  <c r="AC7009" i="1" s="1"/>
  <c r="AB7009" i="1"/>
  <c r="V7359" i="1"/>
  <c r="AC7359" i="1" s="1"/>
  <c r="AB7359" i="1"/>
  <c r="V6314" i="1"/>
  <c r="AC6314" i="1" s="1"/>
  <c r="AB6314" i="1"/>
  <c r="V6748" i="1"/>
  <c r="AC6748" i="1" s="1"/>
  <c r="AB6748" i="1"/>
  <c r="V6783" i="1"/>
  <c r="AC6783" i="1" s="1"/>
  <c r="AB6783" i="1"/>
  <c r="V6809" i="1"/>
  <c r="AC6809" i="1" s="1"/>
  <c r="AB6809" i="1"/>
  <c r="V7249" i="1"/>
  <c r="AC7249" i="1" s="1"/>
  <c r="AB7249" i="1"/>
  <c r="V7368" i="1"/>
  <c r="AC7368" i="1" s="1"/>
  <c r="AB7368" i="1"/>
  <c r="V6656" i="1"/>
  <c r="AC6656" i="1" s="1"/>
  <c r="AB6656" i="1"/>
  <c r="V5889" i="1"/>
  <c r="AC5889" i="1" s="1"/>
  <c r="AB5889" i="1"/>
  <c r="V7227" i="1"/>
  <c r="AC7227" i="1" s="1"/>
  <c r="AB7227" i="1"/>
  <c r="V6424" i="1"/>
  <c r="AC6424" i="1" s="1"/>
  <c r="AB6424" i="1"/>
  <c r="V7136" i="1"/>
  <c r="AC7136" i="1" s="1"/>
  <c r="AB7136" i="1"/>
  <c r="V9620" i="1"/>
  <c r="AC9620" i="1" s="1"/>
  <c r="AB9620" i="1"/>
  <c r="S486" i="1"/>
  <c r="V5949" i="1"/>
  <c r="AC5949" i="1" s="1"/>
  <c r="V5952" i="1"/>
  <c r="AC5952" i="1" s="1"/>
  <c r="V5953" i="1"/>
  <c r="AC5953" i="1" s="1"/>
  <c r="V5958" i="1"/>
  <c r="AC5958" i="1" s="1"/>
  <c r="V5959" i="1"/>
  <c r="AC5959" i="1" s="1"/>
  <c r="V5961" i="1"/>
  <c r="AC5961" i="1" s="1"/>
  <c r="V5960" i="1"/>
  <c r="AC5960" i="1" s="1"/>
  <c r="V5962" i="1"/>
  <c r="AC5962" i="1" s="1"/>
  <c r="V5963" i="1"/>
  <c r="AC5963" i="1" s="1"/>
  <c r="V5964" i="1"/>
  <c r="AC5964" i="1" s="1"/>
  <c r="V5965" i="1"/>
  <c r="AC5965" i="1" s="1"/>
  <c r="V5966" i="1"/>
  <c r="AC5966" i="1" s="1"/>
  <c r="V5967" i="1"/>
  <c r="AC5967" i="1" s="1"/>
  <c r="V5969" i="1"/>
  <c r="AC5969" i="1" s="1"/>
  <c r="V5968" i="1"/>
  <c r="AC5968" i="1" s="1"/>
  <c r="V5970" i="1"/>
  <c r="AC5970" i="1" s="1"/>
  <c r="V5971" i="1"/>
  <c r="AC5971" i="1" s="1"/>
  <c r="V5972" i="1"/>
  <c r="AC5972" i="1" s="1"/>
  <c r="V5973" i="1"/>
  <c r="AC5973" i="1" s="1"/>
  <c r="V5974" i="1"/>
  <c r="AC5974" i="1" s="1"/>
  <c r="V5976" i="1"/>
  <c r="AC5976" i="1" s="1"/>
  <c r="V5977" i="1"/>
  <c r="AC5977" i="1" s="1"/>
  <c r="V5978" i="1"/>
  <c r="AC5978" i="1" s="1"/>
  <c r="V5979" i="1"/>
  <c r="AC5979" i="1" s="1"/>
  <c r="V5980" i="1"/>
  <c r="AC5980" i="1" s="1"/>
  <c r="V5981" i="1"/>
  <c r="AC5981" i="1" s="1"/>
  <c r="V5983" i="1"/>
  <c r="AC5983" i="1" s="1"/>
  <c r="V5984" i="1"/>
  <c r="AC5984" i="1" s="1"/>
  <c r="V5985" i="1"/>
  <c r="AC5985" i="1" s="1"/>
  <c r="V5986" i="1"/>
  <c r="AC5986" i="1" s="1"/>
  <c r="V5987" i="1"/>
  <c r="AC5987" i="1" s="1"/>
  <c r="V5988" i="1"/>
  <c r="AC5988" i="1" s="1"/>
  <c r="V5989" i="1"/>
  <c r="AC5989" i="1" s="1"/>
  <c r="V5990" i="1"/>
  <c r="AC5990" i="1" s="1"/>
  <c r="V5991" i="1"/>
  <c r="AC5991" i="1" s="1"/>
  <c r="V5992" i="1"/>
  <c r="AC5992" i="1" s="1"/>
  <c r="V5994" i="1"/>
  <c r="AC5994" i="1" s="1"/>
  <c r="V5995" i="1"/>
  <c r="AC5995" i="1" s="1"/>
  <c r="V5996" i="1"/>
  <c r="AC5996" i="1" s="1"/>
  <c r="V5997" i="1"/>
  <c r="AC5997" i="1" s="1"/>
  <c r="V5998" i="1"/>
  <c r="AC5998" i="1" s="1"/>
  <c r="V5999" i="1"/>
  <c r="AC5999" i="1" s="1"/>
  <c r="V6000" i="1"/>
  <c r="AC6000" i="1" s="1"/>
  <c r="V6001" i="1"/>
  <c r="AC6001" i="1" s="1"/>
  <c r="V6002" i="1"/>
  <c r="AC6002" i="1" s="1"/>
  <c r="V6003" i="1"/>
  <c r="AC6003" i="1" s="1"/>
  <c r="V6004" i="1"/>
  <c r="AC6004" i="1" s="1"/>
  <c r="V6005" i="1"/>
  <c r="AC6005" i="1" s="1"/>
  <c r="V6006" i="1"/>
  <c r="AC6006" i="1" s="1"/>
  <c r="V6007" i="1"/>
  <c r="AC6007" i="1" s="1"/>
  <c r="V6008" i="1"/>
  <c r="AC6008" i="1" s="1"/>
  <c r="V6010" i="1"/>
  <c r="AC6010" i="1" s="1"/>
  <c r="V6009" i="1"/>
  <c r="AC6009" i="1" s="1"/>
  <c r="V6011" i="1"/>
  <c r="AC6011" i="1" s="1"/>
  <c r="V6012" i="1"/>
  <c r="AC6012" i="1" s="1"/>
  <c r="V6013" i="1"/>
  <c r="AC6013" i="1" s="1"/>
  <c r="V6014" i="1"/>
  <c r="AC6014" i="1" s="1"/>
  <c r="V6015" i="1"/>
  <c r="AC6015" i="1" s="1"/>
  <c r="V6017" i="1"/>
  <c r="AC6017" i="1" s="1"/>
  <c r="V6018" i="1"/>
  <c r="AC6018" i="1" s="1"/>
  <c r="V6019" i="1"/>
  <c r="AC6019" i="1" s="1"/>
  <c r="V6022" i="1"/>
  <c r="AC6022" i="1" s="1"/>
  <c r="V6020" i="1"/>
  <c r="AC6020" i="1" s="1"/>
  <c r="V6021" i="1"/>
  <c r="AC6021" i="1" s="1"/>
  <c r="V6023" i="1"/>
  <c r="AC6023" i="1" s="1"/>
  <c r="V6024" i="1"/>
  <c r="AC6024" i="1" s="1"/>
  <c r="V6025" i="1"/>
  <c r="AC6025" i="1" s="1"/>
  <c r="V6026" i="1"/>
  <c r="AC6026" i="1" s="1"/>
  <c r="V6027" i="1"/>
  <c r="AC6027" i="1" s="1"/>
  <c r="V6029" i="1"/>
  <c r="AC6029" i="1" s="1"/>
  <c r="V6030" i="1"/>
  <c r="AC6030" i="1" s="1"/>
  <c r="V6031" i="1"/>
  <c r="AC6031" i="1" s="1"/>
  <c r="V6039" i="1"/>
  <c r="AC6039" i="1" s="1"/>
  <c r="V6034" i="1"/>
  <c r="AC6034" i="1" s="1"/>
  <c r="V6033" i="1"/>
  <c r="AC6033" i="1" s="1"/>
  <c r="V6041" i="1"/>
  <c r="AC6041" i="1" s="1"/>
  <c r="V6037" i="1"/>
  <c r="AC6037" i="1" s="1"/>
  <c r="V6032" i="1"/>
  <c r="AC6032" i="1" s="1"/>
  <c r="V6044" i="1"/>
  <c r="AC6044" i="1" s="1"/>
  <c r="V6047" i="1"/>
  <c r="AC6047" i="1" s="1"/>
  <c r="V6045" i="1"/>
  <c r="AC6045" i="1" s="1"/>
  <c r="V6043" i="1"/>
  <c r="AC6043" i="1" s="1"/>
  <c r="V6048" i="1"/>
  <c r="AC6048" i="1" s="1"/>
  <c r="V6051" i="1"/>
  <c r="AC6051" i="1" s="1"/>
  <c r="V6049" i="1"/>
  <c r="AC6049" i="1" s="1"/>
  <c r="V6050" i="1"/>
  <c r="AC6050" i="1" s="1"/>
  <c r="V6052" i="1"/>
  <c r="AC6052" i="1" s="1"/>
  <c r="V6056" i="1"/>
  <c r="AC6056" i="1" s="1"/>
  <c r="V6057" i="1"/>
  <c r="AC6057" i="1" s="1"/>
  <c r="V6053" i="1"/>
  <c r="AC6053" i="1" s="1"/>
  <c r="V6055" i="1"/>
  <c r="AC6055" i="1" s="1"/>
  <c r="V6054" i="1"/>
  <c r="AC6054" i="1" s="1"/>
  <c r="V6269" i="1"/>
  <c r="AC6269" i="1" s="1"/>
  <c r="V6059" i="1"/>
  <c r="AC6059" i="1" s="1"/>
  <c r="V6060" i="1"/>
  <c r="AC6060" i="1" s="1"/>
  <c r="V6058" i="1"/>
  <c r="AC6058" i="1" s="1"/>
  <c r="V6062" i="1"/>
  <c r="AC6062" i="1" s="1"/>
  <c r="V6061" i="1"/>
  <c r="AC6061" i="1" s="1"/>
  <c r="V6067" i="1"/>
  <c r="AC6067" i="1" s="1"/>
  <c r="V6063" i="1"/>
  <c r="AC6063" i="1" s="1"/>
  <c r="V6068" i="1"/>
  <c r="AC6068" i="1" s="1"/>
  <c r="V6064" i="1"/>
  <c r="AC6064" i="1" s="1"/>
  <c r="V6065" i="1"/>
  <c r="AC6065" i="1" s="1"/>
  <c r="V6069" i="1"/>
  <c r="AC6069" i="1" s="1"/>
  <c r="V6066" i="1"/>
  <c r="AC6066" i="1" s="1"/>
  <c r="V6071" i="1"/>
  <c r="AC6071" i="1" s="1"/>
  <c r="V6072" i="1"/>
  <c r="AC6072" i="1" s="1"/>
  <c r="V6073" i="1"/>
  <c r="AC6073" i="1" s="1"/>
  <c r="V6075" i="1"/>
  <c r="AC6075" i="1" s="1"/>
  <c r="V6074" i="1"/>
  <c r="AC6074" i="1" s="1"/>
  <c r="V6078" i="1"/>
  <c r="AC6078" i="1" s="1"/>
  <c r="V6079" i="1"/>
  <c r="AC6079" i="1" s="1"/>
  <c r="V6085" i="1"/>
  <c r="AC6085" i="1" s="1"/>
  <c r="V6081" i="1"/>
  <c r="AC6081" i="1" s="1"/>
  <c r="V6082" i="1"/>
  <c r="AC6082" i="1" s="1"/>
  <c r="V6080" i="1"/>
  <c r="AC6080" i="1" s="1"/>
  <c r="V6084" i="1"/>
  <c r="AC6084" i="1" s="1"/>
  <c r="V6083" i="1"/>
  <c r="AC6083" i="1" s="1"/>
  <c r="V6086" i="1"/>
  <c r="AC6086" i="1" s="1"/>
  <c r="V6088" i="1"/>
  <c r="AC6088" i="1" s="1"/>
  <c r="V21" i="1"/>
  <c r="AC21" i="1" s="1"/>
  <c r="AB21" i="1"/>
  <c r="V470" i="1"/>
  <c r="AC470" i="1" s="1"/>
  <c r="AB470" i="1"/>
  <c r="V7174" i="1"/>
  <c r="AC7174" i="1" s="1"/>
  <c r="AB7174" i="1"/>
  <c r="V7637" i="1"/>
  <c r="AC7637" i="1" s="1"/>
  <c r="AB7637" i="1"/>
  <c r="V6521" i="1"/>
  <c r="AC6521" i="1" s="1"/>
  <c r="AB6521" i="1"/>
  <c r="Z8940" i="1"/>
  <c r="V8940" i="1"/>
  <c r="AC8940" i="1" s="1"/>
  <c r="AB8940" i="1"/>
  <c r="V8515" i="1"/>
  <c r="AC8515" i="1" s="1"/>
  <c r="AB8515" i="1"/>
  <c r="V7022" i="1"/>
  <c r="AC7022" i="1" s="1"/>
  <c r="AB7022" i="1"/>
  <c r="V7130" i="1"/>
  <c r="AC7130" i="1" s="1"/>
  <c r="AB7130" i="1"/>
  <c r="V6503" i="1"/>
  <c r="AC6503" i="1" s="1"/>
  <c r="AB6503" i="1"/>
  <c r="V6912" i="1"/>
  <c r="AC6912" i="1" s="1"/>
  <c r="AB6912" i="1"/>
  <c r="V6730" i="1"/>
  <c r="AC6730" i="1" s="1"/>
  <c r="AB6730" i="1"/>
  <c r="V6488" i="1"/>
  <c r="AC6488" i="1" s="1"/>
  <c r="AB6488" i="1"/>
  <c r="V7239" i="1"/>
  <c r="AC7239" i="1" s="1"/>
  <c r="AB7239" i="1"/>
  <c r="V7351" i="1"/>
  <c r="AC7351" i="1" s="1"/>
  <c r="AB7351" i="1"/>
  <c r="V7157" i="1"/>
  <c r="AC7157" i="1" s="1"/>
  <c r="AB7157" i="1"/>
  <c r="Z7395" i="1"/>
  <c r="V7395" i="1"/>
  <c r="AC7395" i="1" s="1"/>
  <c r="AB7395" i="1"/>
  <c r="V6870" i="1"/>
  <c r="AC6870" i="1" s="1"/>
  <c r="AB6870" i="1"/>
  <c r="V6770" i="1"/>
  <c r="AC6770" i="1" s="1"/>
  <c r="AB6770" i="1"/>
  <c r="S475" i="1"/>
  <c r="AB475" i="1"/>
  <c r="V6090" i="1"/>
  <c r="AC6090" i="1" s="1"/>
  <c r="V6089" i="1"/>
  <c r="AC6089" i="1" s="1"/>
  <c r="V6091" i="1"/>
  <c r="AC6091" i="1" s="1"/>
  <c r="V6092" i="1"/>
  <c r="AC6092" i="1" s="1"/>
  <c r="V6093" i="1"/>
  <c r="AC6093" i="1" s="1"/>
  <c r="V6094" i="1"/>
  <c r="AC6094" i="1" s="1"/>
  <c r="V6096" i="1"/>
  <c r="AC6096" i="1" s="1"/>
  <c r="V6095" i="1"/>
  <c r="AC6095" i="1" s="1"/>
  <c r="V6097" i="1"/>
  <c r="AC6097" i="1" s="1"/>
  <c r="V6098" i="1"/>
  <c r="AC6098" i="1" s="1"/>
  <c r="V6099" i="1"/>
  <c r="AC6099" i="1" s="1"/>
  <c r="V6102" i="1"/>
  <c r="AC6102" i="1" s="1"/>
  <c r="V6100" i="1"/>
  <c r="AC6100" i="1" s="1"/>
  <c r="V6103" i="1"/>
  <c r="AC6103" i="1" s="1"/>
  <c r="V6101" i="1"/>
  <c r="AC6101" i="1" s="1"/>
  <c r="V6104" i="1"/>
  <c r="AC6104" i="1" s="1"/>
  <c r="V6105" i="1"/>
  <c r="AC6105" i="1" s="1"/>
  <c r="V6109" i="1"/>
  <c r="AC6109" i="1" s="1"/>
  <c r="V6107" i="1"/>
  <c r="AC6107" i="1" s="1"/>
  <c r="V6108" i="1"/>
  <c r="AC6108" i="1" s="1"/>
  <c r="V6110" i="1"/>
  <c r="AC6110" i="1" s="1"/>
  <c r="V6111" i="1"/>
  <c r="AC6111" i="1" s="1"/>
  <c r="V6116" i="1"/>
  <c r="AC6116" i="1" s="1"/>
  <c r="V6112" i="1"/>
  <c r="AC6112" i="1" s="1"/>
  <c r="V6114" i="1"/>
  <c r="AC6114" i="1" s="1"/>
  <c r="V6115" i="1"/>
  <c r="AC6115" i="1" s="1"/>
  <c r="V6113" i="1"/>
  <c r="AC6113" i="1" s="1"/>
  <c r="V6117" i="1"/>
  <c r="AC6117" i="1" s="1"/>
  <c r="V6119" i="1"/>
  <c r="AC6119" i="1" s="1"/>
  <c r="V6118" i="1"/>
  <c r="AC6118" i="1" s="1"/>
  <c r="V6120" i="1"/>
  <c r="AC6120" i="1" s="1"/>
  <c r="V6121" i="1"/>
  <c r="AC6121" i="1" s="1"/>
  <c r="V6123" i="1"/>
  <c r="AC6123" i="1" s="1"/>
  <c r="V6124" i="1"/>
  <c r="AC6124" i="1" s="1"/>
  <c r="V6125" i="1"/>
  <c r="AC6125" i="1" s="1"/>
  <c r="V6126" i="1"/>
  <c r="AC6126" i="1" s="1"/>
  <c r="V6127" i="1"/>
  <c r="AC6127" i="1" s="1"/>
  <c r="V6128" i="1"/>
  <c r="AC6128" i="1" s="1"/>
  <c r="V6129" i="1"/>
  <c r="AC6129" i="1" s="1"/>
  <c r="V6130" i="1"/>
  <c r="AC6130" i="1" s="1"/>
  <c r="V6131" i="1"/>
  <c r="AC6131" i="1" s="1"/>
  <c r="V6132" i="1"/>
  <c r="AC6132" i="1" s="1"/>
  <c r="V6133" i="1"/>
  <c r="AC6133" i="1" s="1"/>
  <c r="V6134" i="1"/>
  <c r="AC6134" i="1" s="1"/>
  <c r="V6135" i="1"/>
  <c r="AC6135" i="1" s="1"/>
  <c r="V6137" i="1"/>
  <c r="AC6137" i="1" s="1"/>
  <c r="V6138" i="1"/>
  <c r="AC6138" i="1" s="1"/>
  <c r="V6140" i="1"/>
  <c r="AC6140" i="1" s="1"/>
  <c r="V6139" i="1"/>
  <c r="AC6139" i="1" s="1"/>
  <c r="V6142" i="1"/>
  <c r="AC6142" i="1" s="1"/>
  <c r="V6143" i="1"/>
  <c r="AC6143" i="1" s="1"/>
  <c r="V6144" i="1"/>
  <c r="AC6144" i="1" s="1"/>
  <c r="V6146" i="1"/>
  <c r="AC6146" i="1" s="1"/>
  <c r="V6145" i="1"/>
  <c r="AC6145" i="1" s="1"/>
  <c r="V6147" i="1"/>
  <c r="AC6147" i="1" s="1"/>
  <c r="V6148" i="1"/>
  <c r="AC6148" i="1" s="1"/>
  <c r="V6149" i="1"/>
  <c r="AC6149" i="1" s="1"/>
  <c r="V6150" i="1"/>
  <c r="AC6150" i="1" s="1"/>
  <c r="V6152" i="1"/>
  <c r="AC6152" i="1" s="1"/>
  <c r="V6151" i="1"/>
  <c r="AC6151" i="1" s="1"/>
  <c r="AB358" i="1"/>
  <c r="AB129" i="1"/>
  <c r="AB165" i="1"/>
  <c r="V387" i="1"/>
  <c r="AC387" i="1" s="1"/>
  <c r="AB387" i="1"/>
  <c r="V538" i="1"/>
  <c r="AC538" i="1" s="1"/>
  <c r="AB538" i="1"/>
  <c r="V616" i="1"/>
  <c r="AC616" i="1" s="1"/>
  <c r="AB616" i="1"/>
  <c r="S511" i="1"/>
  <c r="AB511" i="1"/>
  <c r="V6154" i="1"/>
  <c r="AC6154" i="1" s="1"/>
  <c r="V6153" i="1"/>
  <c r="AC6153" i="1" s="1"/>
  <c r="V6155" i="1"/>
  <c r="AC6155" i="1" s="1"/>
  <c r="V6156" i="1"/>
  <c r="AC6156" i="1" s="1"/>
  <c r="V6157" i="1"/>
  <c r="AC6157" i="1" s="1"/>
  <c r="V6158" i="1"/>
  <c r="AC6158" i="1" s="1"/>
  <c r="V6159" i="1"/>
  <c r="AC6159" i="1" s="1"/>
  <c r="V6160" i="1"/>
  <c r="AC6160" i="1" s="1"/>
  <c r="V6161" i="1"/>
  <c r="AC6161" i="1" s="1"/>
  <c r="V5188" i="1"/>
  <c r="AC5188" i="1" s="1"/>
  <c r="AB5188" i="1"/>
  <c r="V352" i="1"/>
  <c r="AC352" i="1" s="1"/>
  <c r="AB352" i="1"/>
  <c r="V6163" i="1"/>
  <c r="AC6163" i="1" s="1"/>
  <c r="V6162" i="1"/>
  <c r="AC6162" i="1" s="1"/>
  <c r="V6165" i="1"/>
  <c r="AC6165" i="1" s="1"/>
  <c r="V6166" i="1"/>
  <c r="AC6166" i="1" s="1"/>
  <c r="V6167" i="1"/>
  <c r="AC6167" i="1" s="1"/>
  <c r="V6169" i="1"/>
  <c r="AC6169" i="1" s="1"/>
  <c r="V6168" i="1"/>
  <c r="AC6168" i="1" s="1"/>
  <c r="V6171" i="1"/>
  <c r="AC6171" i="1" s="1"/>
  <c r="V6175" i="1"/>
  <c r="AC6175" i="1" s="1"/>
  <c r="V6172" i="1"/>
  <c r="AC6172" i="1" s="1"/>
  <c r="V6177" i="1"/>
  <c r="AC6177" i="1" s="1"/>
  <c r="V6173" i="1"/>
  <c r="AC6173" i="1" s="1"/>
  <c r="V6174" i="1"/>
  <c r="AC6174" i="1" s="1"/>
  <c r="V6176" i="1"/>
  <c r="AC6176" i="1" s="1"/>
  <c r="V6178" i="1"/>
  <c r="AC6178" i="1" s="1"/>
  <c r="V6179" i="1"/>
  <c r="AC6179" i="1" s="1"/>
  <c r="V6181" i="1"/>
  <c r="AC6181" i="1" s="1"/>
  <c r="V6182" i="1"/>
  <c r="AC6182" i="1" s="1"/>
  <c r="V6183" i="1"/>
  <c r="AC6183" i="1" s="1"/>
  <c r="V6185" i="1"/>
  <c r="AC6185" i="1" s="1"/>
  <c r="V6184" i="1"/>
  <c r="AC6184" i="1" s="1"/>
  <c r="V6186" i="1"/>
  <c r="AC6186" i="1" s="1"/>
  <c r="V6189" i="1"/>
  <c r="AC6189" i="1" s="1"/>
  <c r="V6188" i="1"/>
  <c r="AC6188" i="1" s="1"/>
  <c r="V6190" i="1"/>
  <c r="AC6190" i="1" s="1"/>
  <c r="V6193" i="1"/>
  <c r="AC6193" i="1" s="1"/>
  <c r="V6196" i="1"/>
  <c r="AC6196" i="1" s="1"/>
  <c r="V6197" i="1"/>
  <c r="AC6197" i="1" s="1"/>
  <c r="V6192" i="1"/>
  <c r="AC6192" i="1" s="1"/>
  <c r="V6191" i="1"/>
  <c r="AC6191" i="1" s="1"/>
  <c r="V6195" i="1"/>
  <c r="AC6195" i="1" s="1"/>
  <c r="V6194" i="1"/>
  <c r="AC6194" i="1" s="1"/>
  <c r="V6198" i="1"/>
  <c r="AC6198" i="1" s="1"/>
  <c r="V6201" i="1"/>
  <c r="AC6201" i="1" s="1"/>
  <c r="V6200" i="1"/>
  <c r="AC6200" i="1" s="1"/>
  <c r="V6199" i="1"/>
  <c r="AC6199" i="1" s="1"/>
  <c r="V6202" i="1"/>
  <c r="AC6202" i="1" s="1"/>
  <c r="V6204" i="1"/>
  <c r="AC6204" i="1" s="1"/>
  <c r="V6205" i="1"/>
  <c r="AC6205" i="1" s="1"/>
  <c r="V6207" i="1"/>
  <c r="AC6207" i="1" s="1"/>
  <c r="V6208" i="1"/>
  <c r="AC6208" i="1" s="1"/>
  <c r="V6209" i="1"/>
  <c r="AC6209" i="1" s="1"/>
  <c r="V6210" i="1"/>
  <c r="AC6210" i="1" s="1"/>
  <c r="V6211" i="1"/>
  <c r="AC6211" i="1" s="1"/>
  <c r="V6212" i="1"/>
  <c r="AC6212" i="1" s="1"/>
  <c r="V6213" i="1"/>
  <c r="AC6213" i="1" s="1"/>
  <c r="V6214" i="1"/>
  <c r="AC6214" i="1" s="1"/>
  <c r="V6216" i="1"/>
  <c r="AC6216" i="1" s="1"/>
  <c r="V6215" i="1"/>
  <c r="AC6215" i="1" s="1"/>
  <c r="V6218" i="1"/>
  <c r="AC6218" i="1" s="1"/>
  <c r="V6217" i="1"/>
  <c r="AC6217" i="1" s="1"/>
  <c r="V6219" i="1"/>
  <c r="AC6219" i="1" s="1"/>
  <c r="V6220" i="1"/>
  <c r="AC6220" i="1" s="1"/>
  <c r="V6224" i="1"/>
  <c r="AC6224" i="1" s="1"/>
  <c r="V6223" i="1"/>
  <c r="AC6223" i="1" s="1"/>
  <c r="V6222" i="1"/>
  <c r="AC6222" i="1" s="1"/>
  <c r="V6221" i="1"/>
  <c r="AC6221" i="1" s="1"/>
  <c r="V6225" i="1"/>
  <c r="AC6225" i="1" s="1"/>
  <c r="V6226" i="1"/>
  <c r="AC6226" i="1" s="1"/>
  <c r="V6228" i="1"/>
  <c r="AC6228" i="1" s="1"/>
  <c r="V6230" i="1"/>
  <c r="AC6230" i="1" s="1"/>
  <c r="V6229" i="1"/>
  <c r="AC6229" i="1" s="1"/>
  <c r="V6231" i="1"/>
  <c r="AC6231" i="1" s="1"/>
  <c r="V6232" i="1"/>
  <c r="AC6232" i="1" s="1"/>
  <c r="V6233" i="1"/>
  <c r="AC6233" i="1" s="1"/>
  <c r="V6236" i="1"/>
  <c r="AC6236" i="1" s="1"/>
  <c r="V6234" i="1"/>
  <c r="AC6234" i="1" s="1"/>
  <c r="V6235" i="1"/>
  <c r="AC6235" i="1" s="1"/>
  <c r="V6238" i="1"/>
  <c r="AC6238" i="1" s="1"/>
  <c r="V6239" i="1"/>
  <c r="AC6239" i="1" s="1"/>
  <c r="V6240" i="1"/>
  <c r="AC6240" i="1" s="1"/>
  <c r="V6241" i="1"/>
  <c r="AC6241" i="1" s="1"/>
  <c r="V6242" i="1"/>
  <c r="AC6242" i="1" s="1"/>
  <c r="V6243" i="1"/>
  <c r="AC6243" i="1" s="1"/>
  <c r="V6244" i="1"/>
  <c r="AC6244" i="1" s="1"/>
  <c r="V6246" i="1"/>
  <c r="AC6246" i="1" s="1"/>
  <c r="V6245" i="1"/>
  <c r="AC6245" i="1" s="1"/>
  <c r="V6248" i="1"/>
  <c r="AC6248" i="1" s="1"/>
  <c r="V6256" i="1"/>
  <c r="AC6256" i="1" s="1"/>
  <c r="V6258" i="1"/>
  <c r="AC6258" i="1" s="1"/>
  <c r="V6260" i="1"/>
  <c r="AC6260" i="1" s="1"/>
  <c r="V6257" i="1"/>
  <c r="AC6257" i="1" s="1"/>
  <c r="V6259" i="1"/>
  <c r="AC6259" i="1" s="1"/>
  <c r="V6262" i="1"/>
  <c r="AC6262" i="1" s="1"/>
  <c r="V6263" i="1"/>
  <c r="AC6263" i="1" s="1"/>
  <c r="V6261" i="1"/>
  <c r="AC6261" i="1" s="1"/>
  <c r="V6264" i="1"/>
  <c r="AC6264" i="1" s="1"/>
  <c r="V6266" i="1"/>
  <c r="AC6266" i="1" s="1"/>
  <c r="V6265" i="1"/>
  <c r="AC6265" i="1" s="1"/>
  <c r="V6267" i="1"/>
  <c r="AC6267" i="1" s="1"/>
  <c r="V6268" i="1"/>
  <c r="AC6268" i="1" s="1"/>
  <c r="V6270" i="1"/>
  <c r="AC6270" i="1" s="1"/>
  <c r="V6271" i="1"/>
  <c r="AC6271" i="1" s="1"/>
  <c r="V6272" i="1"/>
  <c r="AC6272" i="1" s="1"/>
  <c r="V6273" i="1"/>
  <c r="AC6273" i="1" s="1"/>
  <c r="V6274" i="1"/>
  <c r="AC6274" i="1" s="1"/>
  <c r="V6276" i="1"/>
  <c r="AC6276" i="1" s="1"/>
  <c r="V6275" i="1"/>
  <c r="AC6275" i="1" s="1"/>
  <c r="V6277" i="1"/>
  <c r="AC6277" i="1" s="1"/>
  <c r="V6278" i="1"/>
  <c r="AC6278" i="1" s="1"/>
  <c r="V6279" i="1"/>
  <c r="AC6279" i="1" s="1"/>
  <c r="V6280" i="1"/>
  <c r="AC6280" i="1" s="1"/>
  <c r="V6282" i="1"/>
  <c r="AC6282" i="1" s="1"/>
  <c r="V6281" i="1"/>
  <c r="AC6281" i="1" s="1"/>
  <c r="V6283" i="1"/>
  <c r="AC6283" i="1" s="1"/>
  <c r="V6284" i="1"/>
  <c r="AC6284" i="1" s="1"/>
  <c r="V6285" i="1"/>
  <c r="AC6285" i="1" s="1"/>
  <c r="V6286" i="1"/>
  <c r="AC6286" i="1" s="1"/>
  <c r="V6288" i="1"/>
  <c r="AC6288" i="1" s="1"/>
  <c r="V6287" i="1"/>
  <c r="AC6287" i="1" s="1"/>
  <c r="V6290" i="1"/>
  <c r="AC6290" i="1" s="1"/>
  <c r="V6289" i="1"/>
  <c r="AC6289" i="1" s="1"/>
  <c r="V6291" i="1"/>
  <c r="AC6291" i="1" s="1"/>
  <c r="V6292" i="1"/>
  <c r="AC6292" i="1" s="1"/>
  <c r="V6293" i="1"/>
  <c r="AC6293" i="1" s="1"/>
  <c r="V6295" i="1"/>
  <c r="AC6295" i="1" s="1"/>
  <c r="V6297" i="1"/>
  <c r="AC6297" i="1" s="1"/>
  <c r="V6296" i="1"/>
  <c r="AC6296" i="1" s="1"/>
  <c r="V6298" i="1"/>
  <c r="AC6298" i="1" s="1"/>
  <c r="V6299" i="1"/>
  <c r="AC6299" i="1" s="1"/>
  <c r="V6300" i="1"/>
  <c r="AC6300" i="1" s="1"/>
  <c r="V6301" i="1"/>
  <c r="AC6301" i="1" s="1"/>
  <c r="V6302" i="1"/>
  <c r="AC6302" i="1" s="1"/>
  <c r="V6303" i="1"/>
  <c r="AC6303" i="1" s="1"/>
  <c r="V6304" i="1"/>
  <c r="AC6304" i="1" s="1"/>
  <c r="V6310" i="1"/>
  <c r="AC6310" i="1" s="1"/>
  <c r="V6309" i="1"/>
  <c r="AC6309" i="1" s="1"/>
  <c r="V6306" i="1"/>
  <c r="AC6306" i="1" s="1"/>
  <c r="V6307" i="1"/>
  <c r="AC6307" i="1" s="1"/>
  <c r="V6305" i="1"/>
  <c r="AC6305" i="1" s="1"/>
  <c r="V6311" i="1"/>
  <c r="AC6311" i="1" s="1"/>
  <c r="V6312" i="1"/>
  <c r="AC6312" i="1" s="1"/>
  <c r="V6313" i="1"/>
  <c r="AC6313" i="1" s="1"/>
  <c r="V6315" i="1"/>
  <c r="AC6315" i="1" s="1"/>
  <c r="V6316" i="1"/>
  <c r="AC6316" i="1" s="1"/>
  <c r="V6328" i="1"/>
  <c r="AC6328" i="1" s="1"/>
  <c r="V6327" i="1"/>
  <c r="AC6327" i="1" s="1"/>
  <c r="V6320" i="1"/>
  <c r="AC6320" i="1" s="1"/>
  <c r="V6321" i="1"/>
  <c r="AC6321" i="1" s="1"/>
  <c r="V6324" i="1"/>
  <c r="AC6324" i="1" s="1"/>
  <c r="V6325" i="1"/>
  <c r="AC6325" i="1" s="1"/>
  <c r="V6323" i="1"/>
  <c r="AC6323" i="1" s="1"/>
  <c r="V6326" i="1"/>
  <c r="AC6326" i="1" s="1"/>
  <c r="V6317" i="1"/>
  <c r="AC6317" i="1" s="1"/>
  <c r="V6318" i="1"/>
  <c r="AC6318" i="1" s="1"/>
  <c r="V6322" i="1"/>
  <c r="AC6322" i="1" s="1"/>
  <c r="V6319" i="1"/>
  <c r="AC6319" i="1" s="1"/>
  <c r="V6330" i="1"/>
  <c r="AC6330" i="1" s="1"/>
  <c r="V6331" i="1"/>
  <c r="AC6331" i="1" s="1"/>
  <c r="V6332" i="1"/>
  <c r="AC6332" i="1" s="1"/>
  <c r="V6338" i="1"/>
  <c r="AC6338" i="1" s="1"/>
  <c r="V6337" i="1"/>
  <c r="AC6337" i="1" s="1"/>
  <c r="V6334" i="1"/>
  <c r="AC6334" i="1" s="1"/>
  <c r="V6335" i="1"/>
  <c r="AC6335" i="1" s="1"/>
  <c r="V6333" i="1"/>
  <c r="AC6333" i="1" s="1"/>
  <c r="S193" i="1"/>
  <c r="V6336" i="1"/>
  <c r="AC6336" i="1" s="1"/>
  <c r="V6339" i="1"/>
  <c r="AC6339" i="1" s="1"/>
  <c r="V6346" i="1"/>
  <c r="AC6346" i="1" s="1"/>
  <c r="V6342" i="1"/>
  <c r="AC6342" i="1" s="1"/>
  <c r="V6343" i="1"/>
  <c r="AC6343" i="1" s="1"/>
  <c r="V6341" i="1"/>
  <c r="AC6341" i="1" s="1"/>
  <c r="V6344" i="1"/>
  <c r="AC6344" i="1" s="1"/>
  <c r="V6345" i="1"/>
  <c r="AC6345" i="1" s="1"/>
  <c r="V6347" i="1"/>
  <c r="AC6347" i="1" s="1"/>
  <c r="V6348" i="1"/>
  <c r="AC6348" i="1" s="1"/>
  <c r="V6349" i="1"/>
  <c r="AC6349" i="1" s="1"/>
  <c r="V6350" i="1"/>
  <c r="AC6350" i="1" s="1"/>
  <c r="V6351" i="1"/>
  <c r="AC6351" i="1" s="1"/>
  <c r="V6352" i="1"/>
  <c r="AC6352" i="1" s="1"/>
  <c r="V6353" i="1"/>
  <c r="AC6353" i="1" s="1"/>
  <c r="V6354" i="1"/>
  <c r="AC6354" i="1" s="1"/>
  <c r="V6357" i="1"/>
  <c r="AC6357" i="1" s="1"/>
  <c r="V6355" i="1"/>
  <c r="AC6355" i="1" s="1"/>
  <c r="V6356" i="1"/>
  <c r="AC6356" i="1" s="1"/>
  <c r="V6358" i="1"/>
  <c r="AC6358" i="1" s="1"/>
  <c r="V6359" i="1"/>
  <c r="AC6359" i="1" s="1"/>
  <c r="V6360" i="1"/>
  <c r="AC6360" i="1" s="1"/>
  <c r="V6361" i="1"/>
  <c r="AC6361" i="1" s="1"/>
  <c r="V6362" i="1"/>
  <c r="AC6362" i="1" s="1"/>
  <c r="V6364" i="1"/>
  <c r="AC6364" i="1" s="1"/>
  <c r="V6363" i="1"/>
  <c r="AC6363" i="1" s="1"/>
  <c r="V6365" i="1"/>
  <c r="AC6365" i="1" s="1"/>
  <c r="V6367" i="1"/>
  <c r="AC6367" i="1" s="1"/>
  <c r="V6369" i="1"/>
  <c r="AC6369" i="1" s="1"/>
  <c r="V6370" i="1"/>
  <c r="AC6370" i="1" s="1"/>
  <c r="V6371" i="1"/>
  <c r="AC6371" i="1" s="1"/>
  <c r="V6373" i="1"/>
  <c r="AC6373" i="1" s="1"/>
  <c r="V6372" i="1"/>
  <c r="AC6372" i="1" s="1"/>
  <c r="V6376" i="1"/>
  <c r="AC6376" i="1" s="1"/>
  <c r="V6374" i="1"/>
  <c r="AC6374" i="1" s="1"/>
  <c r="V6377" i="1"/>
  <c r="AC6377" i="1" s="1"/>
  <c r="V6375" i="1"/>
  <c r="AC6375" i="1" s="1"/>
  <c r="V6378" i="1"/>
  <c r="AC6378" i="1" s="1"/>
  <c r="V6381" i="1"/>
  <c r="AC6381" i="1" s="1"/>
  <c r="V6383" i="1"/>
  <c r="AC6383" i="1" s="1"/>
  <c r="V6382" i="1"/>
  <c r="AC6382" i="1" s="1"/>
  <c r="V6384" i="1"/>
  <c r="AC6384" i="1" s="1"/>
  <c r="V6385" i="1"/>
  <c r="AC6385" i="1" s="1"/>
  <c r="V6386" i="1"/>
  <c r="AC6386" i="1" s="1"/>
  <c r="V6387" i="1"/>
  <c r="AC6387" i="1" s="1"/>
  <c r="V6388" i="1"/>
  <c r="AC6388" i="1" s="1"/>
  <c r="V6390" i="1"/>
  <c r="AC6390" i="1" s="1"/>
  <c r="V6391" i="1"/>
  <c r="AC6391" i="1" s="1"/>
  <c r="V6395" i="1"/>
  <c r="AC6395" i="1" s="1"/>
  <c r="V6394" i="1"/>
  <c r="AC6394" i="1" s="1"/>
  <c r="V6393" i="1"/>
  <c r="AC6393" i="1" s="1"/>
  <c r="V6392" i="1"/>
  <c r="AC6392" i="1" s="1"/>
  <c r="V6396" i="1"/>
  <c r="AC6396" i="1" s="1"/>
  <c r="V6397" i="1"/>
  <c r="AC6397" i="1" s="1"/>
  <c r="V6399" i="1"/>
  <c r="AC6399" i="1" s="1"/>
  <c r="V6873" i="1"/>
  <c r="AC6873" i="1" s="1"/>
  <c r="AB6873" i="1"/>
  <c r="V675" i="1"/>
  <c r="AC675" i="1" s="1"/>
  <c r="AB675" i="1"/>
  <c r="V6400" i="1"/>
  <c r="AC6400" i="1" s="1"/>
  <c r="V6403" i="1"/>
  <c r="AC6403" i="1" s="1"/>
  <c r="V6404" i="1"/>
  <c r="AC6404" i="1" s="1"/>
  <c r="V6405" i="1"/>
  <c r="AC6405" i="1" s="1"/>
  <c r="V6401" i="1"/>
  <c r="AC6401" i="1" s="1"/>
  <c r="V6402" i="1"/>
  <c r="AC6402" i="1" s="1"/>
  <c r="V6406" i="1"/>
  <c r="AC6406" i="1" s="1"/>
  <c r="V6407" i="1"/>
  <c r="AC6407" i="1" s="1"/>
  <c r="V6408" i="1"/>
  <c r="AC6408" i="1" s="1"/>
  <c r="V6411" i="1"/>
  <c r="AC6411" i="1" s="1"/>
  <c r="V6412" i="1"/>
  <c r="AC6412" i="1" s="1"/>
  <c r="V6416" i="1"/>
  <c r="AC6416" i="1" s="1"/>
  <c r="V6415" i="1"/>
  <c r="AC6415" i="1" s="1"/>
  <c r="V6414" i="1"/>
  <c r="AC6414" i="1" s="1"/>
  <c r="V6413" i="1"/>
  <c r="AC6413" i="1" s="1"/>
  <c r="V6419" i="1"/>
  <c r="AC6419" i="1" s="1"/>
  <c r="V6417" i="1"/>
  <c r="AC6417" i="1" s="1"/>
  <c r="V6418" i="1"/>
  <c r="AC6418" i="1" s="1"/>
  <c r="V6421" i="1"/>
  <c r="AC6421" i="1" s="1"/>
  <c r="V6422" i="1"/>
  <c r="AC6422" i="1" s="1"/>
  <c r="V6423" i="1"/>
  <c r="AC6423" i="1" s="1"/>
  <c r="V6425" i="1"/>
  <c r="AC6425" i="1" s="1"/>
  <c r="V6426" i="1"/>
  <c r="AC6426" i="1" s="1"/>
  <c r="V6429" i="1"/>
  <c r="AC6429" i="1" s="1"/>
  <c r="V6428" i="1"/>
  <c r="AC6428" i="1" s="1"/>
  <c r="V6430" i="1"/>
  <c r="AC6430" i="1" s="1"/>
  <c r="V6432" i="1"/>
  <c r="AC6432" i="1" s="1"/>
  <c r="V6431" i="1"/>
  <c r="AC6431" i="1" s="1"/>
  <c r="V6433" i="1"/>
  <c r="AC6433" i="1" s="1"/>
  <c r="V6434" i="1"/>
  <c r="AC6434" i="1" s="1"/>
  <c r="V6440" i="1"/>
  <c r="AC6440" i="1" s="1"/>
  <c r="V6438" i="1"/>
  <c r="AC6438" i="1" s="1"/>
  <c r="V6436" i="1"/>
  <c r="AC6436" i="1" s="1"/>
  <c r="V6437" i="1"/>
  <c r="AC6437" i="1" s="1"/>
  <c r="V6435" i="1"/>
  <c r="AC6435" i="1" s="1"/>
  <c r="V6439" i="1"/>
  <c r="AC6439" i="1" s="1"/>
  <c r="V6441" i="1"/>
  <c r="AC6441" i="1" s="1"/>
  <c r="V6442" i="1"/>
  <c r="AC6442" i="1" s="1"/>
  <c r="V6443" i="1"/>
  <c r="AC6443" i="1" s="1"/>
  <c r="V6444" i="1"/>
  <c r="AC6444" i="1" s="1"/>
  <c r="V6445" i="1"/>
  <c r="AC6445" i="1" s="1"/>
  <c r="V6447" i="1"/>
  <c r="AC6447" i="1" s="1"/>
  <c r="V6446" i="1"/>
  <c r="AC6446" i="1" s="1"/>
  <c r="V6450" i="1"/>
  <c r="AC6450" i="1" s="1"/>
  <c r="V6448" i="1"/>
  <c r="AC6448" i="1" s="1"/>
  <c r="V6449" i="1"/>
  <c r="AC6449" i="1" s="1"/>
  <c r="V6451" i="1"/>
  <c r="AC6451" i="1" s="1"/>
  <c r="V6453" i="1"/>
  <c r="AC6453" i="1" s="1"/>
  <c r="V6452" i="1"/>
  <c r="AC6452" i="1" s="1"/>
  <c r="V6454" i="1"/>
  <c r="AC6454" i="1" s="1"/>
  <c r="V6455" i="1"/>
  <c r="AC6455" i="1" s="1"/>
  <c r="V6457" i="1"/>
  <c r="AC6457" i="1" s="1"/>
  <c r="V6458" i="1"/>
  <c r="AC6458" i="1" s="1"/>
  <c r="V6459" i="1"/>
  <c r="AC6459" i="1" s="1"/>
  <c r="V6460" i="1"/>
  <c r="AC6460" i="1" s="1"/>
  <c r="V6463" i="1"/>
  <c r="AC6463" i="1" s="1"/>
  <c r="V6465" i="1"/>
  <c r="AC6465" i="1" s="1"/>
  <c r="V6466" i="1"/>
  <c r="AC6466" i="1" s="1"/>
  <c r="V6464" i="1"/>
  <c r="AC6464" i="1" s="1"/>
  <c r="V6467" i="1"/>
  <c r="AC6467" i="1" s="1"/>
  <c r="V6469" i="1"/>
  <c r="AC6469" i="1" s="1"/>
  <c r="V6474" i="1"/>
  <c r="AC6474" i="1" s="1"/>
  <c r="V6471" i="1"/>
  <c r="AC6471" i="1" s="1"/>
  <c r="V6472" i="1"/>
  <c r="AC6472" i="1" s="1"/>
  <c r="V6470" i="1"/>
  <c r="AC6470" i="1" s="1"/>
  <c r="V6475" i="1"/>
  <c r="AC6475" i="1" s="1"/>
  <c r="V6476" i="1"/>
  <c r="AC6476" i="1" s="1"/>
  <c r="V6477" i="1"/>
  <c r="AC6477" i="1" s="1"/>
  <c r="V6478" i="1"/>
  <c r="AC6478" i="1" s="1"/>
  <c r="V6480" i="1"/>
  <c r="AC6480" i="1" s="1"/>
  <c r="V6479" i="1"/>
  <c r="AC6479" i="1" s="1"/>
  <c r="V6481" i="1"/>
  <c r="AC6481" i="1" s="1"/>
  <c r="V6482" i="1"/>
  <c r="AC6482" i="1" s="1"/>
  <c r="V6483" i="1"/>
  <c r="AC6483" i="1" s="1"/>
  <c r="V6484" i="1"/>
  <c r="AC6484" i="1" s="1"/>
  <c r="V6485" i="1"/>
  <c r="AC6485" i="1" s="1"/>
  <c r="V6486" i="1"/>
  <c r="AC6486" i="1" s="1"/>
  <c r="V6487" i="1"/>
  <c r="AC6487" i="1" s="1"/>
  <c r="V6489" i="1"/>
  <c r="AC6489" i="1" s="1"/>
  <c r="V6490" i="1"/>
  <c r="AC6490" i="1" s="1"/>
  <c r="V6491" i="1"/>
  <c r="AC6491" i="1" s="1"/>
  <c r="V6492" i="1"/>
  <c r="AC6492" i="1" s="1"/>
  <c r="V6493" i="1"/>
  <c r="AC6493" i="1" s="1"/>
  <c r="V6494" i="1"/>
  <c r="AC6494" i="1" s="1"/>
  <c r="V6495" i="1"/>
  <c r="AC6495" i="1" s="1"/>
  <c r="V6496" i="1"/>
  <c r="AC6496" i="1" s="1"/>
  <c r="V6497" i="1"/>
  <c r="AC6497" i="1" s="1"/>
  <c r="V6499" i="1"/>
  <c r="AC6499" i="1" s="1"/>
  <c r="V6500" i="1"/>
  <c r="AC6500" i="1" s="1"/>
  <c r="V6501" i="1"/>
  <c r="AC6501" i="1" s="1"/>
  <c r="V6498" i="1"/>
  <c r="AC6498" i="1" s="1"/>
  <c r="V6502" i="1"/>
  <c r="AC6502" i="1" s="1"/>
  <c r="V6504" i="1"/>
  <c r="AC6504" i="1" s="1"/>
  <c r="V6506" i="1"/>
  <c r="AC6506" i="1" s="1"/>
  <c r="V6507" i="1"/>
  <c r="AC6507" i="1" s="1"/>
  <c r="V6508" i="1"/>
  <c r="AC6508" i="1" s="1"/>
  <c r="V6509" i="1"/>
  <c r="AC6509" i="1" s="1"/>
  <c r="V6510" i="1"/>
  <c r="AC6510" i="1" s="1"/>
  <c r="V6511" i="1"/>
  <c r="AC6511" i="1" s="1"/>
  <c r="V6514" i="1"/>
  <c r="AC6514" i="1" s="1"/>
  <c r="V6513" i="1"/>
  <c r="AC6513" i="1" s="1"/>
  <c r="V6512" i="1"/>
  <c r="AC6512" i="1" s="1"/>
  <c r="V6516" i="1"/>
  <c r="AC6516" i="1" s="1"/>
  <c r="V6515" i="1"/>
  <c r="AC6515" i="1" s="1"/>
  <c r="V6518" i="1"/>
  <c r="AC6518" i="1" s="1"/>
  <c r="V6519" i="1"/>
  <c r="AC6519" i="1" s="1"/>
  <c r="V6520" i="1"/>
  <c r="AC6520" i="1" s="1"/>
  <c r="V6522" i="1"/>
  <c r="AC6522" i="1" s="1"/>
  <c r="V6526" i="1"/>
  <c r="AC6526" i="1" s="1"/>
  <c r="V6525" i="1"/>
  <c r="AC6525" i="1" s="1"/>
  <c r="V6524" i="1"/>
  <c r="AC6524" i="1" s="1"/>
  <c r="V6523" i="1"/>
  <c r="AC6523" i="1" s="1"/>
  <c r="V6528" i="1"/>
  <c r="AC6528" i="1" s="1"/>
  <c r="V6527" i="1"/>
  <c r="AC6527" i="1" s="1"/>
  <c r="V6530" i="1"/>
  <c r="AC6530" i="1" s="1"/>
  <c r="V6529" i="1"/>
  <c r="AC6529" i="1" s="1"/>
  <c r="V6531" i="1"/>
  <c r="AC6531" i="1" s="1"/>
  <c r="V6532" i="1"/>
  <c r="AC6532" i="1" s="1"/>
  <c r="V6533" i="1"/>
  <c r="AC6533" i="1" s="1"/>
  <c r="V6534" i="1"/>
  <c r="AC6534" i="1" s="1"/>
  <c r="V6536" i="1"/>
  <c r="AC6536" i="1" s="1"/>
  <c r="V6535" i="1"/>
  <c r="AC6535" i="1" s="1"/>
  <c r="V6537" i="1"/>
  <c r="AC6537" i="1" s="1"/>
  <c r="V6538" i="1"/>
  <c r="AC6538" i="1" s="1"/>
  <c r="V6539" i="1"/>
  <c r="AC6539" i="1" s="1"/>
  <c r="V6541" i="1"/>
  <c r="AC6541" i="1" s="1"/>
  <c r="V6540" i="1"/>
  <c r="AC6540" i="1" s="1"/>
  <c r="V6542" i="1"/>
  <c r="AC6542" i="1" s="1"/>
  <c r="V6543" i="1"/>
  <c r="AC6543" i="1" s="1"/>
  <c r="V6544" i="1"/>
  <c r="AC6544" i="1" s="1"/>
  <c r="V6545" i="1"/>
  <c r="AC6545" i="1" s="1"/>
  <c r="V6547" i="1"/>
  <c r="AC6547" i="1" s="1"/>
  <c r="V6548" i="1"/>
  <c r="AC6548" i="1" s="1"/>
  <c r="V6549" i="1"/>
  <c r="AC6549" i="1" s="1"/>
  <c r="V6553" i="1"/>
  <c r="AC6553" i="1" s="1"/>
  <c r="V6550" i="1"/>
  <c r="AC6550" i="1" s="1"/>
  <c r="V6551" i="1"/>
  <c r="AC6551" i="1" s="1"/>
  <c r="V6554" i="1"/>
  <c r="AC6554" i="1" s="1"/>
  <c r="V6552" i="1"/>
  <c r="AC6552" i="1" s="1"/>
  <c r="V6555" i="1"/>
  <c r="AC6555" i="1" s="1"/>
  <c r="V6558" i="1"/>
  <c r="AC6558" i="1" s="1"/>
  <c r="V6557" i="1"/>
  <c r="AC6557" i="1" s="1"/>
  <c r="V6556" i="1"/>
  <c r="AC6556" i="1" s="1"/>
  <c r="V6559" i="1"/>
  <c r="AC6559" i="1" s="1"/>
  <c r="V6561" i="1"/>
  <c r="AC6561" i="1" s="1"/>
  <c r="V6562" i="1"/>
  <c r="AC6562" i="1" s="1"/>
  <c r="V6560" i="1"/>
  <c r="AC6560" i="1" s="1"/>
  <c r="V6563" i="1"/>
  <c r="AC6563" i="1" s="1"/>
  <c r="V6564" i="1"/>
  <c r="AC6564" i="1" s="1"/>
  <c r="V6565" i="1"/>
  <c r="AC6565" i="1" s="1"/>
  <c r="V6566" i="1"/>
  <c r="AC6566" i="1" s="1"/>
  <c r="V6567" i="1"/>
  <c r="AC6567" i="1" s="1"/>
  <c r="V6568" i="1"/>
  <c r="AC6568" i="1" s="1"/>
  <c r="V6569" i="1"/>
  <c r="AC6569" i="1" s="1"/>
  <c r="V6571" i="1"/>
  <c r="AC6571" i="1" s="1"/>
  <c r="V6573" i="1"/>
  <c r="AC6573" i="1" s="1"/>
  <c r="V6574" i="1"/>
  <c r="AC6574" i="1" s="1"/>
  <c r="V6575" i="1"/>
  <c r="AC6575" i="1" s="1"/>
  <c r="V6576" i="1"/>
  <c r="AC6576" i="1" s="1"/>
  <c r="V6579" i="1"/>
  <c r="AC6579" i="1" s="1"/>
  <c r="V6580" i="1"/>
  <c r="AC6580" i="1" s="1"/>
  <c r="V6578" i="1"/>
  <c r="AC6578" i="1" s="1"/>
  <c r="V6582" i="1"/>
  <c r="AC6582" i="1" s="1"/>
  <c r="V6583" i="1"/>
  <c r="AC6583" i="1" s="1"/>
  <c r="V6585" i="1"/>
  <c r="AC6585" i="1" s="1"/>
  <c r="V6584" i="1"/>
  <c r="AC6584" i="1" s="1"/>
  <c r="V6586" i="1"/>
  <c r="AC6586" i="1" s="1"/>
  <c r="V6587" i="1"/>
  <c r="AC6587" i="1" s="1"/>
  <c r="V6588" i="1"/>
  <c r="AC6588" i="1" s="1"/>
  <c r="V6589" i="1"/>
  <c r="AC6589" i="1" s="1"/>
  <c r="V6590" i="1"/>
  <c r="AC6590" i="1" s="1"/>
  <c r="V6591" i="1"/>
  <c r="AC6591" i="1" s="1"/>
  <c r="V6592" i="1"/>
  <c r="AC6592" i="1" s="1"/>
  <c r="V6593" i="1"/>
  <c r="AC6593" i="1" s="1"/>
  <c r="V6594" i="1"/>
  <c r="AC6594" i="1" s="1"/>
  <c r="V6595" i="1"/>
  <c r="AC6595" i="1" s="1"/>
  <c r="V6596" i="1"/>
  <c r="AC6596" i="1" s="1"/>
  <c r="V6597" i="1"/>
  <c r="AC6597" i="1" s="1"/>
  <c r="V6598" i="1"/>
  <c r="AC6598" i="1" s="1"/>
  <c r="V6599" i="1"/>
  <c r="AC6599" i="1" s="1"/>
  <c r="V6600" i="1"/>
  <c r="AC6600" i="1" s="1"/>
  <c r="V6601" i="1"/>
  <c r="AC6601" i="1" s="1"/>
  <c r="V6602" i="1"/>
  <c r="AC6602" i="1" s="1"/>
  <c r="V6604" i="1"/>
  <c r="AC6604" i="1" s="1"/>
  <c r="V6603" i="1"/>
  <c r="AC6603" i="1" s="1"/>
  <c r="V6605" i="1"/>
  <c r="AC6605" i="1" s="1"/>
  <c r="V6607" i="1"/>
  <c r="AC6607" i="1" s="1"/>
  <c r="V6606" i="1"/>
  <c r="AC6606" i="1" s="1"/>
  <c r="V6608" i="1"/>
  <c r="AC6608" i="1" s="1"/>
  <c r="V6610" i="1"/>
  <c r="AC6610" i="1" s="1"/>
  <c r="V6616" i="1"/>
  <c r="AC6616" i="1" s="1"/>
  <c r="V6611" i="1"/>
  <c r="AC6611" i="1" s="1"/>
  <c r="V6612" i="1"/>
  <c r="AC6612" i="1" s="1"/>
  <c r="V6614" i="1"/>
  <c r="AC6614" i="1" s="1"/>
  <c r="V6613" i="1"/>
  <c r="AC6613" i="1" s="1"/>
  <c r="V6615" i="1"/>
  <c r="AC6615" i="1" s="1"/>
  <c r="V6617" i="1"/>
  <c r="AC6617" i="1" s="1"/>
  <c r="V6618" i="1"/>
  <c r="AC6618" i="1" s="1"/>
  <c r="V6619" i="1"/>
  <c r="AC6619" i="1" s="1"/>
  <c r="V6622" i="1"/>
  <c r="AC6622" i="1" s="1"/>
  <c r="V6620" i="1"/>
  <c r="AC6620" i="1" s="1"/>
  <c r="V6621" i="1"/>
  <c r="AC6621" i="1" s="1"/>
  <c r="V6623" i="1"/>
  <c r="AC6623" i="1" s="1"/>
  <c r="V6624" i="1"/>
  <c r="AC6624" i="1" s="1"/>
  <c r="V6625" i="1"/>
  <c r="AC6625" i="1" s="1"/>
  <c r="V6626" i="1"/>
  <c r="AC6626" i="1" s="1"/>
  <c r="V6627" i="1"/>
  <c r="AC6627" i="1" s="1"/>
  <c r="V6628" i="1"/>
  <c r="AC6628" i="1" s="1"/>
  <c r="V6629" i="1"/>
  <c r="AC6629" i="1" s="1"/>
  <c r="V6630" i="1"/>
  <c r="AC6630" i="1" s="1"/>
  <c r="V6634" i="1"/>
  <c r="AC6634" i="1" s="1"/>
  <c r="V6632" i="1"/>
  <c r="AC6632" i="1" s="1"/>
  <c r="V6631" i="1"/>
  <c r="AC6631" i="1" s="1"/>
  <c r="V6637" i="1"/>
  <c r="AC6637" i="1" s="1"/>
  <c r="V6638" i="1"/>
  <c r="AC6638" i="1" s="1"/>
  <c r="V6642" i="1"/>
  <c r="AC6642" i="1" s="1"/>
  <c r="V6641" i="1"/>
  <c r="AC6641" i="1" s="1"/>
  <c r="V6640" i="1"/>
  <c r="AC6640" i="1" s="1"/>
  <c r="V6639" i="1"/>
  <c r="AC6639" i="1" s="1"/>
  <c r="V6635" i="1"/>
  <c r="AC6635" i="1" s="1"/>
  <c r="V6636" i="1"/>
  <c r="AC6636" i="1" s="1"/>
  <c r="V6643" i="1"/>
  <c r="AC6643" i="1" s="1"/>
  <c r="V6644" i="1"/>
  <c r="AC6644" i="1" s="1"/>
  <c r="V6645" i="1"/>
  <c r="AC6645" i="1" s="1"/>
  <c r="V6646" i="1"/>
  <c r="AC6646" i="1" s="1"/>
  <c r="V6648" i="1"/>
  <c r="AC6648" i="1" s="1"/>
  <c r="V6649" i="1"/>
  <c r="AC6649" i="1" s="1"/>
  <c r="V6647" i="1"/>
  <c r="AC6647" i="1" s="1"/>
  <c r="V6651" i="1"/>
  <c r="AC6651" i="1" s="1"/>
  <c r="V6650" i="1"/>
  <c r="AC6650" i="1" s="1"/>
  <c r="V6652" i="1"/>
  <c r="AC6652" i="1" s="1"/>
  <c r="V6653" i="1"/>
  <c r="AC6653" i="1" s="1"/>
  <c r="V6654" i="1"/>
  <c r="AC6654" i="1" s="1"/>
  <c r="V6657" i="1"/>
  <c r="AC6657" i="1" s="1"/>
  <c r="V6655" i="1"/>
  <c r="AC6655" i="1" s="1"/>
  <c r="V6658" i="1"/>
  <c r="AC6658" i="1" s="1"/>
  <c r="V6659" i="1"/>
  <c r="AC6659" i="1" s="1"/>
  <c r="V6660" i="1"/>
  <c r="AC6660" i="1" s="1"/>
  <c r="V6661" i="1"/>
  <c r="AC6661" i="1" s="1"/>
  <c r="V6663" i="1"/>
  <c r="AC6663" i="1" s="1"/>
  <c r="V6662" i="1"/>
  <c r="AC6662" i="1" s="1"/>
  <c r="V6665" i="1"/>
  <c r="AC6665" i="1" s="1"/>
  <c r="V6667" i="1"/>
  <c r="AC6667" i="1" s="1"/>
  <c r="V6669" i="1"/>
  <c r="AC6669" i="1" s="1"/>
  <c r="V6668" i="1"/>
  <c r="AC6668" i="1" s="1"/>
  <c r="V6671" i="1"/>
  <c r="AC6671" i="1" s="1"/>
  <c r="V6670" i="1"/>
  <c r="AC6670" i="1" s="1"/>
  <c r="V6672" i="1"/>
  <c r="AC6672" i="1" s="1"/>
  <c r="V6673" i="1"/>
  <c r="AC6673" i="1" s="1"/>
  <c r="V6674" i="1"/>
  <c r="AC6674" i="1" s="1"/>
  <c r="V6675" i="1"/>
  <c r="AC6675" i="1" s="1"/>
  <c r="V6676" i="1"/>
  <c r="AC6676" i="1" s="1"/>
  <c r="V6677" i="1"/>
  <c r="AC6677" i="1" s="1"/>
  <c r="V6678" i="1"/>
  <c r="AC6678" i="1" s="1"/>
  <c r="V6679" i="1"/>
  <c r="AC6679" i="1" s="1"/>
  <c r="V6680" i="1"/>
  <c r="AC6680" i="1" s="1"/>
  <c r="V6683" i="1"/>
  <c r="AC6683" i="1" s="1"/>
  <c r="V6682" i="1"/>
  <c r="AC6682" i="1" s="1"/>
  <c r="V6684" i="1"/>
  <c r="AC6684" i="1" s="1"/>
  <c r="V6685" i="1"/>
  <c r="AC6685" i="1" s="1"/>
  <c r="V6686" i="1"/>
  <c r="AC6686" i="1" s="1"/>
  <c r="V6687" i="1"/>
  <c r="AC6687" i="1" s="1"/>
  <c r="V6689" i="1"/>
  <c r="AC6689" i="1" s="1"/>
  <c r="V6688" i="1"/>
  <c r="AC6688" i="1" s="1"/>
  <c r="V6690" i="1"/>
  <c r="AC6690" i="1" s="1"/>
  <c r="V6699" i="1"/>
  <c r="AC6699" i="1" s="1"/>
  <c r="V6696" i="1"/>
  <c r="AC6696" i="1" s="1"/>
  <c r="V6700" i="1"/>
  <c r="AC6700" i="1" s="1"/>
  <c r="V6692" i="1"/>
  <c r="AC6692" i="1" s="1"/>
  <c r="V6695" i="1"/>
  <c r="AC6695" i="1" s="1"/>
  <c r="V6698" i="1"/>
  <c r="AC6698" i="1" s="1"/>
  <c r="V6697" i="1"/>
  <c r="AC6697" i="1" s="1"/>
  <c r="V6693" i="1"/>
  <c r="AC6693" i="1" s="1"/>
  <c r="V6694" i="1"/>
  <c r="AC6694" i="1" s="1"/>
  <c r="V6691" i="1"/>
  <c r="AC6691" i="1" s="1"/>
  <c r="V6701" i="1"/>
  <c r="AC6701" i="1" s="1"/>
  <c r="V6705" i="1"/>
  <c r="AC6705" i="1" s="1"/>
  <c r="V6703" i="1"/>
  <c r="AC6703" i="1" s="1"/>
  <c r="V6704" i="1"/>
  <c r="AC6704" i="1" s="1"/>
  <c r="V6708" i="1"/>
  <c r="AC6708" i="1" s="1"/>
  <c r="V6709" i="1"/>
  <c r="AC6709" i="1" s="1"/>
  <c r="V6707" i="1"/>
  <c r="AC6707" i="1" s="1"/>
  <c r="V6706" i="1"/>
  <c r="AC6706" i="1" s="1"/>
  <c r="V6712" i="1"/>
  <c r="AC6712" i="1" s="1"/>
  <c r="V6713" i="1"/>
  <c r="AC6713" i="1" s="1"/>
  <c r="V6715" i="1"/>
  <c r="AC6715" i="1" s="1"/>
  <c r="V6714" i="1"/>
  <c r="AC6714" i="1" s="1"/>
  <c r="V6718" i="1"/>
  <c r="AC6718" i="1" s="1"/>
  <c r="V6717" i="1"/>
  <c r="AC6717" i="1" s="1"/>
  <c r="V6716" i="1"/>
  <c r="AC6716" i="1" s="1"/>
  <c r="V6720" i="1"/>
  <c r="AC6720" i="1" s="1"/>
  <c r="V6721" i="1"/>
  <c r="AC6721" i="1" s="1"/>
  <c r="V6722" i="1"/>
  <c r="AC6722" i="1" s="1"/>
  <c r="V6723" i="1"/>
  <c r="AC6723" i="1" s="1"/>
  <c r="V6724" i="1"/>
  <c r="AC6724" i="1" s="1"/>
  <c r="V6727" i="1"/>
  <c r="AC6727" i="1" s="1"/>
  <c r="V6728" i="1"/>
  <c r="AC6728" i="1" s="1"/>
  <c r="V6729" i="1"/>
  <c r="AC6729" i="1" s="1"/>
  <c r="V6731" i="1"/>
  <c r="AC6731" i="1" s="1"/>
  <c r="V6732" i="1"/>
  <c r="AC6732" i="1" s="1"/>
  <c r="V6733" i="1"/>
  <c r="AC6733" i="1" s="1"/>
  <c r="V6735" i="1"/>
  <c r="AC6735" i="1" s="1"/>
  <c r="V6734" i="1"/>
  <c r="AC6734" i="1" s="1"/>
  <c r="V6736" i="1"/>
  <c r="AC6736" i="1" s="1"/>
  <c r="V6737" i="1"/>
  <c r="AC6737" i="1" s="1"/>
  <c r="V6739" i="1"/>
  <c r="AC6739" i="1" s="1"/>
  <c r="V6740" i="1"/>
  <c r="AC6740" i="1" s="1"/>
  <c r="V6742" i="1"/>
  <c r="AC6742" i="1" s="1"/>
  <c r="V6741" i="1"/>
  <c r="AC6741" i="1" s="1"/>
  <c r="V6743" i="1"/>
  <c r="AC6743" i="1" s="1"/>
  <c r="V6744" i="1"/>
  <c r="AC6744" i="1" s="1"/>
  <c r="V6746" i="1"/>
  <c r="AC6746" i="1" s="1"/>
  <c r="V6747" i="1"/>
  <c r="AC6747" i="1" s="1"/>
  <c r="V6749" i="1"/>
  <c r="AC6749" i="1" s="1"/>
  <c r="V6750" i="1"/>
  <c r="AC6750" i="1" s="1"/>
  <c r="V6752" i="1"/>
  <c r="AC6752" i="1" s="1"/>
  <c r="V6751" i="1"/>
  <c r="AC6751" i="1" s="1"/>
  <c r="V6753" i="1"/>
  <c r="AC6753" i="1" s="1"/>
  <c r="V6754" i="1"/>
  <c r="AC6754" i="1" s="1"/>
  <c r="V6755" i="1"/>
  <c r="AC6755" i="1" s="1"/>
  <c r="V6756" i="1"/>
  <c r="AC6756" i="1" s="1"/>
  <c r="V6758" i="1"/>
  <c r="AC6758" i="1" s="1"/>
  <c r="V6759" i="1"/>
  <c r="AC6759" i="1" s="1"/>
  <c r="V6757" i="1"/>
  <c r="AC6757" i="1" s="1"/>
  <c r="V6760" i="1"/>
  <c r="AC6760" i="1" s="1"/>
  <c r="V6761" i="1"/>
  <c r="AC6761" i="1" s="1"/>
  <c r="V6764" i="1"/>
  <c r="AC6764" i="1" s="1"/>
  <c r="V6763" i="1"/>
  <c r="AC6763" i="1" s="1"/>
  <c r="V6762" i="1"/>
  <c r="AC6762" i="1" s="1"/>
  <c r="V6766" i="1"/>
  <c r="AC6766" i="1" s="1"/>
  <c r="V6765" i="1"/>
  <c r="AC6765" i="1" s="1"/>
  <c r="V6767" i="1"/>
  <c r="AC6767" i="1" s="1"/>
  <c r="V6768" i="1"/>
  <c r="AC6768" i="1" s="1"/>
  <c r="V6769" i="1"/>
  <c r="AC6769" i="1" s="1"/>
  <c r="V6771" i="1"/>
  <c r="AC6771" i="1" s="1"/>
  <c r="V6773" i="1"/>
  <c r="AC6773" i="1" s="1"/>
  <c r="V6772" i="1"/>
  <c r="AC6772" i="1" s="1"/>
  <c r="V6774" i="1"/>
  <c r="AC6774" i="1" s="1"/>
  <c r="V6775" i="1"/>
  <c r="AC6775" i="1" s="1"/>
  <c r="V6776" i="1"/>
  <c r="AC6776" i="1" s="1"/>
  <c r="V6777" i="1"/>
  <c r="AC6777" i="1" s="1"/>
  <c r="V6780" i="1"/>
  <c r="AC6780" i="1" s="1"/>
  <c r="V6779" i="1"/>
  <c r="AC6779" i="1" s="1"/>
  <c r="V6778" i="1"/>
  <c r="AC6778" i="1" s="1"/>
  <c r="V6781" i="1"/>
  <c r="AC6781" i="1" s="1"/>
  <c r="V6785" i="1"/>
  <c r="AC6785" i="1" s="1"/>
  <c r="V6784" i="1"/>
  <c r="AC6784" i="1" s="1"/>
  <c r="V6786" i="1"/>
  <c r="AC6786" i="1" s="1"/>
  <c r="V6787" i="1"/>
  <c r="AC6787" i="1" s="1"/>
  <c r="V6788" i="1"/>
  <c r="AC6788" i="1" s="1"/>
  <c r="V6789" i="1"/>
  <c r="AC6789" i="1" s="1"/>
  <c r="V6791" i="1"/>
  <c r="AC6791" i="1" s="1"/>
  <c r="V6790" i="1"/>
  <c r="AC6790" i="1" s="1"/>
  <c r="V6792" i="1"/>
  <c r="AC6792" i="1" s="1"/>
  <c r="V6794" i="1"/>
  <c r="AC6794" i="1" s="1"/>
  <c r="V6795" i="1"/>
  <c r="AC6795" i="1" s="1"/>
  <c r="V5177" i="1"/>
  <c r="AC5177" i="1" s="1"/>
  <c r="AB5177" i="1"/>
  <c r="V5341" i="1"/>
  <c r="AC5341" i="1" s="1"/>
  <c r="AB5341" i="1"/>
  <c r="V4463" i="1"/>
  <c r="AC4463" i="1" s="1"/>
  <c r="AB4463" i="1"/>
  <c r="V4709" i="1"/>
  <c r="AC4709" i="1" s="1"/>
  <c r="AB4709" i="1"/>
  <c r="AB7535" i="1"/>
  <c r="V6796" i="1"/>
  <c r="AC6796" i="1" s="1"/>
  <c r="V6798" i="1"/>
  <c r="AC6798" i="1" s="1"/>
  <c r="V6797" i="1"/>
  <c r="AC6797" i="1" s="1"/>
  <c r="V6800" i="1"/>
  <c r="AC6800" i="1" s="1"/>
  <c r="V6799" i="1"/>
  <c r="AC6799" i="1" s="1"/>
  <c r="V6801" i="1"/>
  <c r="AC6801" i="1" s="1"/>
  <c r="V6802" i="1"/>
  <c r="AC6802" i="1" s="1"/>
  <c r="V6803" i="1"/>
  <c r="AC6803" i="1" s="1"/>
  <c r="V6805" i="1"/>
  <c r="AC6805" i="1" s="1"/>
  <c r="V6806" i="1"/>
  <c r="AC6806" i="1" s="1"/>
  <c r="V6808" i="1"/>
  <c r="AC6808" i="1" s="1"/>
  <c r="V6807" i="1"/>
  <c r="AC6807" i="1" s="1"/>
  <c r="V6812" i="1"/>
  <c r="AC6812" i="1" s="1"/>
  <c r="V6813" i="1"/>
  <c r="AC6813" i="1" s="1"/>
  <c r="V6814" i="1"/>
  <c r="AC6814" i="1" s="1"/>
  <c r="V6815" i="1"/>
  <c r="AC6815" i="1" s="1"/>
  <c r="V6816" i="1"/>
  <c r="AC6816" i="1" s="1"/>
  <c r="V6817" i="1"/>
  <c r="AC6817" i="1" s="1"/>
  <c r="V6819" i="1"/>
  <c r="AC6819" i="1" s="1"/>
  <c r="V6820" i="1"/>
  <c r="AC6820" i="1" s="1"/>
  <c r="V6822" i="1"/>
  <c r="AC6822" i="1" s="1"/>
  <c r="V6821" i="1"/>
  <c r="AC6821" i="1" s="1"/>
  <c r="V6823" i="1"/>
  <c r="AC6823" i="1" s="1"/>
  <c r="V6824" i="1"/>
  <c r="AC6824" i="1" s="1"/>
  <c r="V6825" i="1"/>
  <c r="AC6825" i="1" s="1"/>
  <c r="V6826" i="1"/>
  <c r="AC6826" i="1" s="1"/>
  <c r="V6829" i="1"/>
  <c r="AC6829" i="1" s="1"/>
  <c r="V6827" i="1"/>
  <c r="AC6827" i="1" s="1"/>
  <c r="V215" i="1"/>
  <c r="AC215" i="1" s="1"/>
  <c r="AB215" i="1"/>
  <c r="V1629" i="1"/>
  <c r="AC1629" i="1" s="1"/>
  <c r="S1629" i="1"/>
  <c r="AB1629" i="1"/>
  <c r="V6830" i="1"/>
  <c r="AC6830" i="1" s="1"/>
  <c r="V6831" i="1"/>
  <c r="AC6831" i="1" s="1"/>
  <c r="V6832" i="1"/>
  <c r="AC6832" i="1" s="1"/>
  <c r="V6833" i="1"/>
  <c r="AC6833" i="1" s="1"/>
  <c r="V6834" i="1"/>
  <c r="AC6834" i="1" s="1"/>
  <c r="V6835" i="1"/>
  <c r="AC6835" i="1" s="1"/>
  <c r="V6836" i="1"/>
  <c r="AC6836" i="1" s="1"/>
  <c r="V6837" i="1"/>
  <c r="AC6837" i="1" s="1"/>
  <c r="V6838" i="1"/>
  <c r="AC6838" i="1" s="1"/>
  <c r="V6839" i="1"/>
  <c r="AC6839" i="1" s="1"/>
  <c r="V6840" i="1"/>
  <c r="AC6840" i="1" s="1"/>
  <c r="V6841" i="1"/>
  <c r="AC6841" i="1" s="1"/>
  <c r="V6842" i="1"/>
  <c r="AC6842" i="1" s="1"/>
  <c r="V6843" i="1"/>
  <c r="AC6843" i="1" s="1"/>
  <c r="V6844" i="1"/>
  <c r="AC6844" i="1" s="1"/>
  <c r="V6845" i="1"/>
  <c r="AC6845" i="1" s="1"/>
  <c r="V6848" i="1"/>
  <c r="AC6848" i="1" s="1"/>
  <c r="V6849" i="1"/>
  <c r="AC6849" i="1" s="1"/>
  <c r="V6850" i="1"/>
  <c r="AC6850" i="1" s="1"/>
  <c r="V6852" i="1"/>
  <c r="AC6852" i="1" s="1"/>
  <c r="V6851" i="1"/>
  <c r="AC6851" i="1" s="1"/>
  <c r="V6308" i="1"/>
  <c r="AC6308" i="1" s="1"/>
  <c r="V6854" i="1"/>
  <c r="AC6854" i="1" s="1"/>
  <c r="V6853" i="1"/>
  <c r="AC6853" i="1" s="1"/>
  <c r="V6855" i="1"/>
  <c r="AC6855" i="1" s="1"/>
  <c r="V6857" i="1"/>
  <c r="AC6857" i="1" s="1"/>
  <c r="V6856" i="1"/>
  <c r="AC6856" i="1" s="1"/>
  <c r="V6858" i="1"/>
  <c r="AC6858" i="1" s="1"/>
  <c r="V6859" i="1"/>
  <c r="AC6859" i="1" s="1"/>
  <c r="V6861" i="1"/>
  <c r="AC6861" i="1" s="1"/>
  <c r="V6862" i="1"/>
  <c r="AC6862" i="1" s="1"/>
  <c r="V6863" i="1"/>
  <c r="AC6863" i="1" s="1"/>
  <c r="V6866" i="1"/>
  <c r="AC6866" i="1" s="1"/>
  <c r="V6864" i="1"/>
  <c r="AC6864" i="1" s="1"/>
  <c r="V6865" i="1"/>
  <c r="AC6865" i="1" s="1"/>
  <c r="V6868" i="1"/>
  <c r="AC6868" i="1" s="1"/>
  <c r="V6867" i="1"/>
  <c r="AC6867" i="1" s="1"/>
  <c r="V6869" i="1"/>
  <c r="AC6869" i="1" s="1"/>
  <c r="V6874" i="1"/>
  <c r="AC6874" i="1" s="1"/>
  <c r="V6876" i="1"/>
  <c r="AC6876" i="1" s="1"/>
  <c r="V6875" i="1"/>
  <c r="AC6875" i="1" s="1"/>
  <c r="V6880" i="1"/>
  <c r="AC6880" i="1" s="1"/>
  <c r="V6882" i="1"/>
  <c r="AC6882" i="1" s="1"/>
  <c r="V6881" i="1"/>
  <c r="AC6881" i="1" s="1"/>
  <c r="V6883" i="1"/>
  <c r="AC6883" i="1" s="1"/>
  <c r="V6878" i="1"/>
  <c r="AC6878" i="1" s="1"/>
  <c r="V6877" i="1"/>
  <c r="AC6877" i="1" s="1"/>
  <c r="V6879" i="1"/>
  <c r="AC6879" i="1" s="1"/>
  <c r="V6884" i="1"/>
  <c r="AC6884" i="1" s="1"/>
  <c r="V6887" i="1"/>
  <c r="AC6887" i="1" s="1"/>
  <c r="V6888" i="1"/>
  <c r="AC6888" i="1" s="1"/>
  <c r="V6886" i="1"/>
  <c r="AC6886" i="1" s="1"/>
  <c r="V6890" i="1"/>
  <c r="AC6890" i="1" s="1"/>
  <c r="V6889" i="1"/>
  <c r="AC6889" i="1" s="1"/>
  <c r="V6885" i="1"/>
  <c r="AC6885" i="1" s="1"/>
  <c r="V6893" i="1"/>
  <c r="AC6893" i="1" s="1"/>
  <c r="V6892" i="1"/>
  <c r="AC6892" i="1" s="1"/>
  <c r="V6894" i="1"/>
  <c r="AC6894" i="1" s="1"/>
  <c r="V6901" i="1"/>
  <c r="AC6901" i="1" s="1"/>
  <c r="V6900" i="1"/>
  <c r="AC6900" i="1" s="1"/>
  <c r="V6897" i="1"/>
  <c r="AC6897" i="1" s="1"/>
  <c r="V6902" i="1"/>
  <c r="AC6902" i="1" s="1"/>
  <c r="V6899" i="1"/>
  <c r="AC6899" i="1" s="1"/>
  <c r="V6896" i="1"/>
  <c r="AC6896" i="1" s="1"/>
  <c r="V6898" i="1"/>
  <c r="AC6898" i="1" s="1"/>
  <c r="V6907" i="1"/>
  <c r="AC6907" i="1" s="1"/>
  <c r="V6908" i="1"/>
  <c r="AC6908" i="1" s="1"/>
  <c r="V6910" i="1"/>
  <c r="AC6910" i="1" s="1"/>
  <c r="V6909" i="1"/>
  <c r="AC6909" i="1" s="1"/>
  <c r="V6911" i="1"/>
  <c r="AC6911" i="1" s="1"/>
  <c r="V6914" i="1"/>
  <c r="AC6914" i="1" s="1"/>
  <c r="V6913" i="1"/>
  <c r="AC6913" i="1" s="1"/>
  <c r="V6915" i="1"/>
  <c r="AC6915" i="1" s="1"/>
  <c r="V6918" i="1"/>
  <c r="AC6918" i="1" s="1"/>
  <c r="V6917" i="1"/>
  <c r="AC6917" i="1" s="1"/>
  <c r="V6916" i="1"/>
  <c r="AC6916" i="1" s="1"/>
  <c r="V6920" i="1"/>
  <c r="AC6920" i="1" s="1"/>
  <c r="V6922" i="1"/>
  <c r="AC6922" i="1" s="1"/>
  <c r="V6921" i="1"/>
  <c r="AC6921" i="1" s="1"/>
  <c r="V6923" i="1"/>
  <c r="AC6923" i="1" s="1"/>
  <c r="V6928" i="1"/>
  <c r="AC6928" i="1" s="1"/>
  <c r="V6926" i="1"/>
  <c r="AC6926" i="1" s="1"/>
  <c r="V6925" i="1"/>
  <c r="AC6925" i="1" s="1"/>
  <c r="V6929" i="1"/>
  <c r="AC6929" i="1" s="1"/>
  <c r="V6924" i="1"/>
  <c r="AC6924" i="1" s="1"/>
  <c r="V6927" i="1"/>
  <c r="AC6927" i="1" s="1"/>
  <c r="V6931" i="1"/>
  <c r="AC6931" i="1" s="1"/>
  <c r="V6932" i="1"/>
  <c r="AC6932" i="1" s="1"/>
  <c r="V6933" i="1"/>
  <c r="AC6933" i="1" s="1"/>
  <c r="V6939" i="1"/>
  <c r="AC6939" i="1" s="1"/>
  <c r="V6937" i="1"/>
  <c r="AC6937" i="1" s="1"/>
  <c r="V6935" i="1"/>
  <c r="AC6935" i="1" s="1"/>
  <c r="V6934" i="1"/>
  <c r="AC6934" i="1" s="1"/>
  <c r="V6938" i="1"/>
  <c r="AC6938" i="1" s="1"/>
  <c r="V6936" i="1"/>
  <c r="AC6936" i="1" s="1"/>
  <c r="V6940" i="1"/>
  <c r="AC6940" i="1" s="1"/>
  <c r="V6942" i="1"/>
  <c r="AC6942" i="1" s="1"/>
  <c r="V6941" i="1"/>
  <c r="AC6941" i="1" s="1"/>
  <c r="V6943" i="1"/>
  <c r="AC6943" i="1" s="1"/>
  <c r="V6944" i="1"/>
  <c r="AC6944" i="1" s="1"/>
  <c r="V6945" i="1"/>
  <c r="AC6945" i="1" s="1"/>
  <c r="V6946" i="1"/>
  <c r="AC6946" i="1" s="1"/>
  <c r="V6947" i="1"/>
  <c r="AC6947" i="1" s="1"/>
  <c r="V6949" i="1"/>
  <c r="AC6949" i="1" s="1"/>
  <c r="V6948" i="1"/>
  <c r="AC6948" i="1" s="1"/>
  <c r="V6952" i="1"/>
  <c r="AC6952" i="1" s="1"/>
  <c r="V6951" i="1"/>
  <c r="AC6951" i="1" s="1"/>
  <c r="V6954" i="1"/>
  <c r="AC6954" i="1" s="1"/>
  <c r="V6958" i="1"/>
  <c r="AC6958" i="1" s="1"/>
  <c r="V6953" i="1"/>
  <c r="AC6953" i="1" s="1"/>
  <c r="V6956" i="1"/>
  <c r="AC6956" i="1" s="1"/>
  <c r="V6955" i="1"/>
  <c r="AC6955" i="1" s="1"/>
  <c r="V6959" i="1"/>
  <c r="AC6959" i="1" s="1"/>
  <c r="V6960" i="1"/>
  <c r="AC6960" i="1" s="1"/>
  <c r="V6961" i="1"/>
  <c r="AC6961" i="1" s="1"/>
  <c r="V6963" i="1"/>
  <c r="AC6963" i="1" s="1"/>
  <c r="V6962" i="1"/>
  <c r="AC6962" i="1" s="1"/>
  <c r="V6964" i="1"/>
  <c r="AC6964" i="1" s="1"/>
  <c r="V6966" i="1"/>
  <c r="AC6966" i="1" s="1"/>
  <c r="V6967" i="1"/>
  <c r="AC6967" i="1" s="1"/>
  <c r="V6965" i="1"/>
  <c r="AC6965" i="1" s="1"/>
  <c r="V6970" i="1"/>
  <c r="AC6970" i="1" s="1"/>
  <c r="V6968" i="1"/>
  <c r="AC6968" i="1" s="1"/>
  <c r="V6969" i="1"/>
  <c r="AC6969" i="1" s="1"/>
  <c r="V6971" i="1"/>
  <c r="AC6971" i="1" s="1"/>
  <c r="V6972" i="1"/>
  <c r="AC6972" i="1" s="1"/>
  <c r="V6973" i="1"/>
  <c r="AC6973" i="1" s="1"/>
  <c r="V6975" i="1"/>
  <c r="AC6975" i="1" s="1"/>
  <c r="V6977" i="1"/>
  <c r="AC6977" i="1" s="1"/>
  <c r="V6978" i="1"/>
  <c r="AC6978" i="1" s="1"/>
  <c r="V6979" i="1"/>
  <c r="AC6979" i="1" s="1"/>
  <c r="V6980" i="1"/>
  <c r="AC6980" i="1" s="1"/>
  <c r="V6981" i="1"/>
  <c r="AC6981" i="1" s="1"/>
  <c r="V6982" i="1"/>
  <c r="AC6982" i="1" s="1"/>
  <c r="V6983" i="1"/>
  <c r="AC6983" i="1" s="1"/>
  <c r="V6984" i="1"/>
  <c r="AC6984" i="1" s="1"/>
  <c r="V6985" i="1"/>
  <c r="AC6985" i="1" s="1"/>
  <c r="V6987" i="1"/>
  <c r="AC6987" i="1" s="1"/>
  <c r="V6988" i="1"/>
  <c r="AC6988" i="1" s="1"/>
  <c r="V6989" i="1"/>
  <c r="AC6989" i="1" s="1"/>
  <c r="V6992" i="1"/>
  <c r="AC6992" i="1" s="1"/>
  <c r="V6991" i="1"/>
  <c r="AC6991" i="1" s="1"/>
  <c r="V6993" i="1"/>
  <c r="AC6993" i="1" s="1"/>
  <c r="V6994" i="1"/>
  <c r="AC6994" i="1" s="1"/>
  <c r="V6995" i="1"/>
  <c r="AC6995" i="1" s="1"/>
  <c r="V6996" i="1"/>
  <c r="AC6996" i="1" s="1"/>
  <c r="V6998" i="1"/>
  <c r="AC6998" i="1" s="1"/>
  <c r="V6999" i="1"/>
  <c r="AC6999" i="1" s="1"/>
  <c r="V7000" i="1"/>
  <c r="AC7000" i="1" s="1"/>
  <c r="V7003" i="1"/>
  <c r="AC7003" i="1" s="1"/>
  <c r="V7002" i="1"/>
  <c r="AC7002" i="1" s="1"/>
  <c r="V7001" i="1"/>
  <c r="AC7001" i="1" s="1"/>
  <c r="V7004" i="1"/>
  <c r="AC7004" i="1" s="1"/>
  <c r="V7005" i="1"/>
  <c r="AC7005" i="1" s="1"/>
  <c r="V7008" i="1"/>
  <c r="AC7008" i="1" s="1"/>
  <c r="V7006" i="1"/>
  <c r="AC7006" i="1" s="1"/>
  <c r="V7010" i="1"/>
  <c r="AC7010" i="1" s="1"/>
  <c r="V7011" i="1"/>
  <c r="AC7011" i="1" s="1"/>
  <c r="V7012" i="1"/>
  <c r="AC7012" i="1" s="1"/>
  <c r="V7013" i="1"/>
  <c r="AC7013" i="1" s="1"/>
  <c r="V7014" i="1"/>
  <c r="AC7014" i="1" s="1"/>
  <c r="V7015" i="1"/>
  <c r="AC7015" i="1" s="1"/>
  <c r="V7016" i="1"/>
  <c r="AC7016" i="1" s="1"/>
  <c r="V7017" i="1"/>
  <c r="AC7017" i="1" s="1"/>
  <c r="V7018" i="1"/>
  <c r="AC7018" i="1" s="1"/>
  <c r="V7019" i="1"/>
  <c r="AC7019" i="1" s="1"/>
  <c r="V7020" i="1"/>
  <c r="AC7020" i="1" s="1"/>
  <c r="V7021" i="1"/>
  <c r="AC7021" i="1" s="1"/>
  <c r="V7023" i="1"/>
  <c r="AC7023" i="1" s="1"/>
  <c r="V7025" i="1"/>
  <c r="AC7025" i="1" s="1"/>
  <c r="V7024" i="1"/>
  <c r="AC7024" i="1" s="1"/>
  <c r="V7026" i="1"/>
  <c r="AC7026" i="1" s="1"/>
  <c r="V7027" i="1"/>
  <c r="AC7027" i="1" s="1"/>
  <c r="V7029" i="1"/>
  <c r="AC7029" i="1" s="1"/>
  <c r="V7028" i="1"/>
  <c r="AC7028" i="1" s="1"/>
  <c r="V7031" i="1"/>
  <c r="AC7031" i="1" s="1"/>
  <c r="V7030" i="1"/>
  <c r="AC7030" i="1" s="1"/>
  <c r="V7032" i="1"/>
  <c r="AC7032" i="1" s="1"/>
  <c r="V7033" i="1"/>
  <c r="AC7033" i="1" s="1"/>
  <c r="V7034" i="1"/>
  <c r="AC7034" i="1" s="1"/>
  <c r="V7035" i="1"/>
  <c r="AC7035" i="1" s="1"/>
  <c r="V7036" i="1"/>
  <c r="AC7036" i="1" s="1"/>
  <c r="V7037" i="1"/>
  <c r="AC7037" i="1" s="1"/>
  <c r="V7041" i="1"/>
  <c r="AC7041" i="1" s="1"/>
  <c r="V7040" i="1"/>
  <c r="AC7040" i="1" s="1"/>
  <c r="V7044" i="1"/>
  <c r="AC7044" i="1" s="1"/>
  <c r="V7047" i="1"/>
  <c r="AC7047" i="1" s="1"/>
  <c r="V7046" i="1"/>
  <c r="AC7046" i="1" s="1"/>
  <c r="V7045" i="1"/>
  <c r="AC7045" i="1" s="1"/>
  <c r="V7048" i="1"/>
  <c r="AC7048" i="1" s="1"/>
  <c r="V7049" i="1"/>
  <c r="AC7049" i="1" s="1"/>
  <c r="V7052" i="1"/>
  <c r="AC7052" i="1" s="1"/>
  <c r="V7051" i="1"/>
  <c r="AC7051" i="1" s="1"/>
  <c r="V7053" i="1"/>
  <c r="AC7053" i="1" s="1"/>
  <c r="V7054" i="1"/>
  <c r="AC7054" i="1" s="1"/>
  <c r="V7055" i="1"/>
  <c r="AC7055" i="1" s="1"/>
  <c r="V7056" i="1"/>
  <c r="AC7056" i="1" s="1"/>
  <c r="V7058" i="1"/>
  <c r="AC7058" i="1" s="1"/>
  <c r="V7057" i="1"/>
  <c r="AC7057" i="1" s="1"/>
  <c r="V7059" i="1"/>
  <c r="AC7059" i="1" s="1"/>
  <c r="V7060" i="1"/>
  <c r="AC7060" i="1" s="1"/>
  <c r="V7061" i="1"/>
  <c r="AC7061" i="1" s="1"/>
  <c r="V7062" i="1"/>
  <c r="AC7062" i="1" s="1"/>
  <c r="V7063" i="1"/>
  <c r="AC7063" i="1" s="1"/>
  <c r="V7064" i="1"/>
  <c r="AC7064" i="1" s="1"/>
  <c r="V7065" i="1"/>
  <c r="AC7065" i="1" s="1"/>
  <c r="V7066" i="1"/>
  <c r="AC7066" i="1" s="1"/>
  <c r="V7067" i="1"/>
  <c r="AC7067" i="1" s="1"/>
  <c r="V7070" i="1"/>
  <c r="AC7070" i="1" s="1"/>
  <c r="V7069" i="1"/>
  <c r="AC7069" i="1" s="1"/>
  <c r="V7071" i="1"/>
  <c r="AC7071" i="1" s="1"/>
  <c r="V7072" i="1"/>
  <c r="AC7072" i="1" s="1"/>
  <c r="V7073" i="1"/>
  <c r="AC7073" i="1" s="1"/>
  <c r="V7074" i="1"/>
  <c r="AC7074" i="1" s="1"/>
  <c r="V7075" i="1"/>
  <c r="AC7075" i="1" s="1"/>
  <c r="V7076" i="1"/>
  <c r="AC7076" i="1" s="1"/>
  <c r="V7079" i="1"/>
  <c r="AC7079" i="1" s="1"/>
  <c r="V7078" i="1"/>
  <c r="AC7078" i="1" s="1"/>
  <c r="V7080" i="1"/>
  <c r="AC7080" i="1" s="1"/>
  <c r="V7081" i="1"/>
  <c r="AC7081" i="1" s="1"/>
  <c r="V7083" i="1"/>
  <c r="AC7083" i="1" s="1"/>
  <c r="V7084" i="1"/>
  <c r="AC7084" i="1" s="1"/>
  <c r="V7085" i="1"/>
  <c r="AC7085" i="1" s="1"/>
  <c r="V7086" i="1"/>
  <c r="AC7086" i="1" s="1"/>
  <c r="V7087" i="1"/>
  <c r="AC7087" i="1" s="1"/>
  <c r="S1245" i="1"/>
  <c r="V7090" i="1"/>
  <c r="AC7090" i="1" s="1"/>
  <c r="V7091" i="1"/>
  <c r="AC7091" i="1" s="1"/>
  <c r="V7093" i="1"/>
  <c r="AC7093" i="1" s="1"/>
  <c r="V7092" i="1"/>
  <c r="AC7092" i="1" s="1"/>
  <c r="V7094" i="1"/>
  <c r="AC7094" i="1" s="1"/>
  <c r="V7095" i="1"/>
  <c r="AC7095" i="1" s="1"/>
  <c r="V7096" i="1"/>
  <c r="AC7096" i="1" s="1"/>
  <c r="V7097" i="1"/>
  <c r="AC7097" i="1" s="1"/>
  <c r="V7098" i="1"/>
  <c r="AC7098" i="1" s="1"/>
  <c r="V7099" i="1"/>
  <c r="AC7099" i="1" s="1"/>
  <c r="V7100" i="1"/>
  <c r="AC7100" i="1" s="1"/>
  <c r="V7101" i="1"/>
  <c r="AC7101" i="1" s="1"/>
  <c r="V7102" i="1"/>
  <c r="AC7102" i="1" s="1"/>
  <c r="V7103" i="1"/>
  <c r="AC7103" i="1" s="1"/>
  <c r="V7104" i="1"/>
  <c r="AC7104" i="1" s="1"/>
  <c r="V7105" i="1"/>
  <c r="AC7105" i="1" s="1"/>
  <c r="V7106" i="1"/>
  <c r="AC7106" i="1" s="1"/>
  <c r="V7107" i="1"/>
  <c r="AC7107" i="1" s="1"/>
  <c r="V7108" i="1"/>
  <c r="AC7108" i="1" s="1"/>
  <c r="V7109" i="1"/>
  <c r="AC7109" i="1" s="1"/>
  <c r="V7110" i="1"/>
  <c r="AC7110" i="1" s="1"/>
  <c r="V7111" i="1"/>
  <c r="AC7111" i="1" s="1"/>
  <c r="V7112" i="1"/>
  <c r="AC7112" i="1" s="1"/>
  <c r="V7114" i="1"/>
  <c r="AC7114" i="1" s="1"/>
  <c r="V7116" i="1"/>
  <c r="AC7116" i="1" s="1"/>
  <c r="V7117" i="1"/>
  <c r="AC7117" i="1" s="1"/>
  <c r="V7118" i="1"/>
  <c r="AC7118" i="1" s="1"/>
  <c r="V6106" i="1"/>
  <c r="AC6106" i="1" s="1"/>
  <c r="AB6106" i="1"/>
  <c r="V6546" i="1"/>
  <c r="AC6546" i="1" s="1"/>
  <c r="AB6546" i="1"/>
  <c r="V6974" i="1"/>
  <c r="AC6974" i="1" s="1"/>
  <c r="AB6974" i="1"/>
  <c r="V7120" i="1"/>
  <c r="AC7120" i="1" s="1"/>
  <c r="AB7120" i="1"/>
  <c r="V7119" i="1"/>
  <c r="AC7119" i="1" s="1"/>
  <c r="V7121" i="1"/>
  <c r="AC7121" i="1" s="1"/>
  <c r="V7122" i="1"/>
  <c r="AC7122" i="1" s="1"/>
  <c r="V7124" i="1"/>
  <c r="AC7124" i="1" s="1"/>
  <c r="V7126" i="1"/>
  <c r="AC7126" i="1" s="1"/>
  <c r="V7125" i="1"/>
  <c r="AC7125" i="1" s="1"/>
  <c r="V7127" i="1"/>
  <c r="AC7127" i="1" s="1"/>
  <c r="V7128" i="1"/>
  <c r="AC7128" i="1" s="1"/>
  <c r="V7131" i="1"/>
  <c r="AC7131" i="1" s="1"/>
  <c r="V7132" i="1"/>
  <c r="AC7132" i="1" s="1"/>
  <c r="V7134" i="1"/>
  <c r="AC7134" i="1" s="1"/>
  <c r="V7133" i="1"/>
  <c r="AC7133" i="1" s="1"/>
  <c r="V7138" i="1"/>
  <c r="AC7138" i="1" s="1"/>
  <c r="V7140" i="1"/>
  <c r="AC7140" i="1" s="1"/>
  <c r="V7139" i="1"/>
  <c r="AC7139" i="1" s="1"/>
  <c r="V7142" i="1"/>
  <c r="AC7142" i="1" s="1"/>
  <c r="V7775" i="1"/>
  <c r="AC7775" i="1" s="1"/>
  <c r="AB7775" i="1"/>
  <c r="V7141" i="1"/>
  <c r="AC7141" i="1" s="1"/>
  <c r="V7144" i="1"/>
  <c r="AC7144" i="1" s="1"/>
  <c r="V7143" i="1"/>
  <c r="AC7143" i="1" s="1"/>
  <c r="V7145" i="1"/>
  <c r="AC7145" i="1" s="1"/>
  <c r="V7148" i="1"/>
  <c r="AC7148" i="1" s="1"/>
  <c r="V7147" i="1"/>
  <c r="AC7147" i="1" s="1"/>
  <c r="V7150" i="1"/>
  <c r="AC7150" i="1" s="1"/>
  <c r="V7149" i="1"/>
  <c r="AC7149" i="1" s="1"/>
  <c r="V7151" i="1"/>
  <c r="AC7151" i="1" s="1"/>
  <c r="V7153" i="1"/>
  <c r="AC7153" i="1" s="1"/>
  <c r="V7152" i="1"/>
  <c r="AC7152" i="1" s="1"/>
  <c r="V7154" i="1"/>
  <c r="AC7154" i="1" s="1"/>
  <c r="V7155" i="1"/>
  <c r="AC7155" i="1" s="1"/>
  <c r="V7156" i="1"/>
  <c r="AC7156" i="1" s="1"/>
  <c r="V7159" i="1"/>
  <c r="AC7159" i="1" s="1"/>
  <c r="V7158" i="1"/>
  <c r="AC7158" i="1" s="1"/>
  <c r="V7160" i="1"/>
  <c r="AC7160" i="1" s="1"/>
  <c r="V7161" i="1"/>
  <c r="AC7161" i="1" s="1"/>
  <c r="V7163" i="1"/>
  <c r="AC7163" i="1" s="1"/>
  <c r="V7164" i="1"/>
  <c r="AC7164" i="1" s="1"/>
  <c r="V7166" i="1"/>
  <c r="AC7166" i="1" s="1"/>
  <c r="V7168" i="1"/>
  <c r="AC7168" i="1" s="1"/>
  <c r="S1199" i="1"/>
  <c r="V7167" i="1"/>
  <c r="AC7167" i="1" s="1"/>
  <c r="V7170" i="1"/>
  <c r="AC7170" i="1" s="1"/>
  <c r="V7169" i="1"/>
  <c r="AC7169" i="1" s="1"/>
  <c r="V7171" i="1"/>
  <c r="AC7171" i="1" s="1"/>
  <c r="V7173" i="1"/>
  <c r="AC7173" i="1" s="1"/>
  <c r="V7176" i="1"/>
  <c r="AC7176" i="1" s="1"/>
  <c r="V7177" i="1"/>
  <c r="AC7177" i="1" s="1"/>
  <c r="V7175" i="1"/>
  <c r="AC7175" i="1" s="1"/>
  <c r="V7179" i="1"/>
  <c r="AC7179" i="1" s="1"/>
  <c r="V7181" i="1"/>
  <c r="AC7181" i="1" s="1"/>
  <c r="V7178" i="1"/>
  <c r="AC7178" i="1" s="1"/>
  <c r="V7182" i="1"/>
  <c r="AC7182" i="1" s="1"/>
  <c r="S472" i="1"/>
  <c r="Z25" i="1"/>
  <c r="V25" i="1"/>
  <c r="AC25" i="1" s="1"/>
  <c r="AB25" i="1"/>
  <c r="V183" i="1"/>
  <c r="AC183" i="1" s="1"/>
  <c r="AB183" i="1"/>
  <c r="V7183" i="1"/>
  <c r="AC7183" i="1" s="1"/>
  <c r="V7184" i="1"/>
  <c r="AC7184" i="1" s="1"/>
  <c r="V7185" i="1"/>
  <c r="AC7185" i="1" s="1"/>
  <c r="V7186" i="1"/>
  <c r="AC7186" i="1" s="1"/>
  <c r="V7187" i="1"/>
  <c r="AC7187" i="1" s="1"/>
  <c r="V7189" i="1"/>
  <c r="AC7189" i="1" s="1"/>
  <c r="V7191" i="1"/>
  <c r="AC7191" i="1" s="1"/>
  <c r="V7190" i="1"/>
  <c r="AC7190" i="1" s="1"/>
  <c r="V7188" i="1"/>
  <c r="AC7188" i="1" s="1"/>
  <c r="V7192" i="1"/>
  <c r="AC7192" i="1" s="1"/>
  <c r="V7193" i="1"/>
  <c r="AC7193" i="1" s="1"/>
  <c r="V7196" i="1"/>
  <c r="AC7196" i="1" s="1"/>
  <c r="V7194" i="1"/>
  <c r="AC7194" i="1" s="1"/>
  <c r="V7195" i="1"/>
  <c r="AC7195" i="1" s="1"/>
  <c r="V7197" i="1"/>
  <c r="AC7197" i="1" s="1"/>
  <c r="V7198" i="1"/>
  <c r="AC7198" i="1" s="1"/>
  <c r="V7199" i="1"/>
  <c r="AC7199" i="1" s="1"/>
  <c r="V7200" i="1"/>
  <c r="AC7200" i="1" s="1"/>
  <c r="V7201" i="1"/>
  <c r="AC7201" i="1" s="1"/>
  <c r="V7205" i="1"/>
  <c r="AC7205" i="1" s="1"/>
  <c r="V7203" i="1"/>
  <c r="AC7203" i="1" s="1"/>
  <c r="V7206" i="1"/>
  <c r="AC7206" i="1" s="1"/>
  <c r="V7204" i="1"/>
  <c r="AC7204" i="1" s="1"/>
  <c r="V7208" i="1"/>
  <c r="AC7208" i="1" s="1"/>
  <c r="V7207" i="1"/>
  <c r="AC7207" i="1" s="1"/>
  <c r="V7209" i="1"/>
  <c r="AC7209" i="1" s="1"/>
  <c r="V7210" i="1"/>
  <c r="AC7210" i="1" s="1"/>
  <c r="V7212" i="1"/>
  <c r="AC7212" i="1" s="1"/>
  <c r="V7214" i="1"/>
  <c r="AC7214" i="1" s="1"/>
  <c r="V7216" i="1"/>
  <c r="AC7216" i="1" s="1"/>
  <c r="V7215" i="1"/>
  <c r="AC7215" i="1" s="1"/>
  <c r="V7217" i="1"/>
  <c r="AC7217" i="1" s="1"/>
  <c r="V7218" i="1"/>
  <c r="AC7218" i="1" s="1"/>
  <c r="V7219" i="1"/>
  <c r="AC7219" i="1" s="1"/>
  <c r="V7220" i="1"/>
  <c r="AC7220" i="1" s="1"/>
  <c r="V7221" i="1"/>
  <c r="AC7221" i="1" s="1"/>
  <c r="V7222" i="1"/>
  <c r="AC7222" i="1" s="1"/>
  <c r="V7223" i="1"/>
  <c r="AC7223" i="1" s="1"/>
  <c r="V7224" i="1"/>
  <c r="AC7224" i="1" s="1"/>
  <c r="V7225" i="1"/>
  <c r="AC7225" i="1" s="1"/>
  <c r="V7226" i="1"/>
  <c r="AC7226" i="1" s="1"/>
  <c r="V7228" i="1"/>
  <c r="AC7228" i="1" s="1"/>
  <c r="V7229" i="1"/>
  <c r="AC7229" i="1" s="1"/>
  <c r="V7230" i="1"/>
  <c r="AC7230" i="1" s="1"/>
  <c r="V7232" i="1"/>
  <c r="AC7232" i="1" s="1"/>
  <c r="V7234" i="1"/>
  <c r="AC7234" i="1" s="1"/>
  <c r="V7233" i="1"/>
  <c r="AC7233" i="1" s="1"/>
  <c r="V7235" i="1"/>
  <c r="AC7235" i="1" s="1"/>
  <c r="V7236" i="1"/>
  <c r="AC7236" i="1" s="1"/>
  <c r="V7237" i="1"/>
  <c r="AC7237" i="1" s="1"/>
  <c r="V7238" i="1"/>
  <c r="AC7238" i="1" s="1"/>
  <c r="V7240" i="1"/>
  <c r="AC7240" i="1" s="1"/>
  <c r="V7244" i="1"/>
  <c r="AC7244" i="1" s="1"/>
  <c r="V7245" i="1"/>
  <c r="AC7245" i="1" s="1"/>
  <c r="V7246" i="1"/>
  <c r="AC7246" i="1" s="1"/>
  <c r="V7248" i="1"/>
  <c r="AC7248" i="1" s="1"/>
  <c r="V7247" i="1"/>
  <c r="AC7247" i="1" s="1"/>
  <c r="V7250" i="1"/>
  <c r="AC7250" i="1" s="1"/>
  <c r="V7251" i="1"/>
  <c r="AC7251" i="1" s="1"/>
  <c r="V7252" i="1"/>
  <c r="AC7252" i="1" s="1"/>
  <c r="V7253" i="1"/>
  <c r="AC7253" i="1" s="1"/>
  <c r="V7254" i="1"/>
  <c r="AC7254" i="1" s="1"/>
  <c r="V7255" i="1"/>
  <c r="AC7255" i="1" s="1"/>
  <c r="V7256" i="1"/>
  <c r="AC7256" i="1" s="1"/>
  <c r="V7257" i="1"/>
  <c r="AC7257" i="1" s="1"/>
  <c r="V7258" i="1"/>
  <c r="AC7258" i="1" s="1"/>
  <c r="V7259" i="1"/>
  <c r="AC7259" i="1" s="1"/>
  <c r="V7260" i="1"/>
  <c r="AC7260" i="1" s="1"/>
  <c r="V7261" i="1"/>
  <c r="AC7261" i="1" s="1"/>
  <c r="V7263" i="1"/>
  <c r="AC7263" i="1" s="1"/>
  <c r="V7262" i="1"/>
  <c r="AC7262" i="1" s="1"/>
  <c r="V7264" i="1"/>
  <c r="AC7264" i="1" s="1"/>
  <c r="V7267" i="1"/>
  <c r="AC7267" i="1" s="1"/>
  <c r="V7266" i="1"/>
  <c r="AC7266" i="1" s="1"/>
  <c r="V7265" i="1"/>
  <c r="AC7265" i="1" s="1"/>
  <c r="V7268" i="1"/>
  <c r="AC7268" i="1" s="1"/>
  <c r="V7269" i="1"/>
  <c r="AC7269" i="1" s="1"/>
  <c r="V7270" i="1"/>
  <c r="AC7270" i="1" s="1"/>
  <c r="V107" i="1"/>
  <c r="AC107" i="1" s="1"/>
  <c r="AB107" i="1"/>
  <c r="S179" i="1"/>
  <c r="V7272" i="1"/>
  <c r="AC7272" i="1" s="1"/>
  <c r="V7271" i="1"/>
  <c r="AC7271" i="1" s="1"/>
  <c r="V7273" i="1"/>
  <c r="AC7273" i="1" s="1"/>
  <c r="V7276" i="1"/>
  <c r="AC7276" i="1" s="1"/>
  <c r="V7277" i="1"/>
  <c r="AC7277" i="1" s="1"/>
  <c r="V7278" i="1"/>
  <c r="AC7278" i="1" s="1"/>
  <c r="V7281" i="1"/>
  <c r="AC7281" i="1" s="1"/>
  <c r="V7280" i="1"/>
  <c r="AC7280" i="1" s="1"/>
  <c r="V7282" i="1"/>
  <c r="AC7282" i="1" s="1"/>
  <c r="V7283" i="1"/>
  <c r="AC7283" i="1" s="1"/>
  <c r="V7284" i="1"/>
  <c r="AC7284" i="1" s="1"/>
  <c r="V7286" i="1"/>
  <c r="AC7286" i="1" s="1"/>
  <c r="V7285" i="1"/>
  <c r="AC7285" i="1" s="1"/>
  <c r="V7287" i="1"/>
  <c r="AC7287" i="1" s="1"/>
  <c r="V7289" i="1"/>
  <c r="AC7289" i="1" s="1"/>
  <c r="V7288" i="1"/>
  <c r="AC7288" i="1" s="1"/>
  <c r="V7290" i="1"/>
  <c r="AC7290" i="1" s="1"/>
  <c r="V7293" i="1"/>
  <c r="AC7293" i="1" s="1"/>
  <c r="V7292" i="1"/>
  <c r="AC7292" i="1" s="1"/>
  <c r="V7291" i="1"/>
  <c r="AC7291" i="1" s="1"/>
  <c r="V7294" i="1"/>
  <c r="AC7294" i="1" s="1"/>
  <c r="V7295" i="1"/>
  <c r="AC7295" i="1" s="1"/>
  <c r="V7296" i="1"/>
  <c r="AC7296" i="1" s="1"/>
  <c r="V7298" i="1"/>
  <c r="AC7298" i="1" s="1"/>
  <c r="V7297" i="1"/>
  <c r="AC7297" i="1" s="1"/>
  <c r="V7299" i="1"/>
  <c r="AC7299" i="1" s="1"/>
  <c r="V7300" i="1"/>
  <c r="AC7300" i="1" s="1"/>
  <c r="V7301" i="1"/>
  <c r="AC7301" i="1" s="1"/>
  <c r="V7302" i="1"/>
  <c r="AC7302" i="1" s="1"/>
  <c r="V7303" i="1"/>
  <c r="AC7303" i="1" s="1"/>
  <c r="V7304" i="1"/>
  <c r="AC7304" i="1" s="1"/>
  <c r="V7305" i="1"/>
  <c r="AC7305" i="1" s="1"/>
  <c r="V7306" i="1"/>
  <c r="AC7306" i="1" s="1"/>
  <c r="V7307" i="1"/>
  <c r="AC7307" i="1" s="1"/>
  <c r="V7308" i="1"/>
  <c r="AC7308" i="1" s="1"/>
  <c r="V7310" i="1"/>
  <c r="AC7310" i="1" s="1"/>
  <c r="V7311" i="1"/>
  <c r="AC7311" i="1" s="1"/>
  <c r="V7312" i="1"/>
  <c r="AC7312" i="1" s="1"/>
  <c r="V7313" i="1"/>
  <c r="AC7313" i="1" s="1"/>
  <c r="V7314" i="1"/>
  <c r="AC7314" i="1" s="1"/>
  <c r="V7315" i="1"/>
  <c r="AC7315" i="1" s="1"/>
  <c r="V7316" i="1"/>
  <c r="AC7316" i="1" s="1"/>
  <c r="V7318" i="1"/>
  <c r="AC7318" i="1" s="1"/>
  <c r="V7319" i="1"/>
  <c r="AC7319" i="1" s="1"/>
  <c r="V7322" i="1"/>
  <c r="AC7322" i="1" s="1"/>
  <c r="V7320" i="1"/>
  <c r="AC7320" i="1" s="1"/>
  <c r="V7321" i="1"/>
  <c r="AC7321" i="1" s="1"/>
  <c r="V7324" i="1"/>
  <c r="AC7324" i="1" s="1"/>
  <c r="V7325" i="1"/>
  <c r="AC7325" i="1" s="1"/>
  <c r="V7327" i="1"/>
  <c r="AC7327" i="1" s="1"/>
  <c r="V7326" i="1"/>
  <c r="AC7326" i="1" s="1"/>
  <c r="V7329" i="1"/>
  <c r="AC7329" i="1" s="1"/>
  <c r="V7330" i="1"/>
  <c r="AC7330" i="1" s="1"/>
  <c r="V7331" i="1"/>
  <c r="AC7331" i="1" s="1"/>
  <c r="V7328" i="1"/>
  <c r="AC7328" i="1" s="1"/>
  <c r="V7332" i="1"/>
  <c r="AC7332" i="1" s="1"/>
  <c r="V7334" i="1"/>
  <c r="AC7334" i="1" s="1"/>
  <c r="V7333" i="1"/>
  <c r="AC7333" i="1" s="1"/>
  <c r="V7335" i="1"/>
  <c r="AC7335" i="1" s="1"/>
  <c r="V7336" i="1"/>
  <c r="AC7336" i="1" s="1"/>
  <c r="V7337" i="1"/>
  <c r="AC7337" i="1" s="1"/>
  <c r="V7338" i="1"/>
  <c r="AC7338" i="1" s="1"/>
  <c r="V7339" i="1"/>
  <c r="AC7339" i="1" s="1"/>
  <c r="V7340" i="1"/>
  <c r="AC7340" i="1" s="1"/>
  <c r="V7341" i="1"/>
  <c r="AC7341" i="1" s="1"/>
  <c r="V7342" i="1"/>
  <c r="AC7342" i="1" s="1"/>
  <c r="V7343" i="1"/>
  <c r="AC7343" i="1" s="1"/>
  <c r="V7344" i="1"/>
  <c r="AC7344" i="1" s="1"/>
  <c r="V7345" i="1"/>
  <c r="AC7345" i="1" s="1"/>
  <c r="V7346" i="1"/>
  <c r="AC7346" i="1" s="1"/>
  <c r="V7347" i="1"/>
  <c r="AC7347" i="1" s="1"/>
  <c r="V7348" i="1"/>
  <c r="AC7348" i="1" s="1"/>
  <c r="V7349" i="1"/>
  <c r="AC7349" i="1" s="1"/>
  <c r="V7350" i="1"/>
  <c r="AC7350" i="1" s="1"/>
  <c r="V7352" i="1"/>
  <c r="AC7352" i="1" s="1"/>
  <c r="V7353" i="1"/>
  <c r="AC7353" i="1" s="1"/>
  <c r="V7354" i="1"/>
  <c r="AC7354" i="1" s="1"/>
  <c r="V7355" i="1"/>
  <c r="AC7355" i="1" s="1"/>
  <c r="V7357" i="1"/>
  <c r="AC7357" i="1" s="1"/>
  <c r="V7356" i="1"/>
  <c r="AC7356" i="1" s="1"/>
  <c r="V7358" i="1"/>
  <c r="AC7358" i="1" s="1"/>
  <c r="V7360" i="1"/>
  <c r="AC7360" i="1" s="1"/>
  <c r="V7361" i="1"/>
  <c r="AC7361" i="1" s="1"/>
  <c r="V7362" i="1"/>
  <c r="AC7362" i="1" s="1"/>
  <c r="V7364" i="1"/>
  <c r="AC7364" i="1" s="1"/>
  <c r="V7363" i="1"/>
  <c r="AC7363" i="1" s="1"/>
  <c r="V7365" i="1"/>
  <c r="AC7365" i="1" s="1"/>
  <c r="V7366" i="1"/>
  <c r="AC7366" i="1" s="1"/>
  <c r="V7367" i="1"/>
  <c r="AC7367" i="1" s="1"/>
  <c r="V7369" i="1"/>
  <c r="AC7369" i="1" s="1"/>
  <c r="V7370" i="1"/>
  <c r="AC7370" i="1" s="1"/>
  <c r="V7371" i="1"/>
  <c r="AC7371" i="1" s="1"/>
  <c r="V7372" i="1"/>
  <c r="AC7372" i="1" s="1"/>
  <c r="V7373" i="1"/>
  <c r="AC7373" i="1" s="1"/>
  <c r="V7375" i="1"/>
  <c r="AC7375" i="1" s="1"/>
  <c r="V7377" i="1"/>
  <c r="AC7377" i="1" s="1"/>
  <c r="V7379" i="1"/>
  <c r="AC7379" i="1" s="1"/>
  <c r="V7378" i="1"/>
  <c r="AC7378" i="1" s="1"/>
  <c r="V7380" i="1"/>
  <c r="AC7380" i="1" s="1"/>
  <c r="V7381" i="1"/>
  <c r="AC7381" i="1" s="1"/>
  <c r="V7385" i="1"/>
  <c r="AC7385" i="1" s="1"/>
  <c r="V7384" i="1"/>
  <c r="AC7384" i="1" s="1"/>
  <c r="V7386" i="1"/>
  <c r="AC7386" i="1" s="1"/>
  <c r="V7389" i="1"/>
  <c r="AC7389" i="1" s="1"/>
  <c r="V7388" i="1"/>
  <c r="AC7388" i="1" s="1"/>
  <c r="V7390" i="1"/>
  <c r="AC7390" i="1" s="1"/>
  <c r="V7394" i="1"/>
  <c r="AC7394" i="1" s="1"/>
  <c r="V7392" i="1"/>
  <c r="AC7392" i="1" s="1"/>
  <c r="V7393" i="1"/>
  <c r="AC7393" i="1" s="1"/>
  <c r="V7397" i="1"/>
  <c r="AC7397" i="1" s="1"/>
  <c r="V7396" i="1"/>
  <c r="AC7396" i="1" s="1"/>
  <c r="V7399" i="1"/>
  <c r="AC7399" i="1" s="1"/>
  <c r="V7400" i="1"/>
  <c r="AC7400" i="1" s="1"/>
  <c r="V7402" i="1"/>
  <c r="AC7402" i="1" s="1"/>
  <c r="V7403" i="1"/>
  <c r="AC7403" i="1" s="1"/>
  <c r="V7406" i="1"/>
  <c r="AC7406" i="1" s="1"/>
  <c r="V7405" i="1"/>
  <c r="AC7405" i="1" s="1"/>
  <c r="V7407" i="1"/>
  <c r="AC7407" i="1" s="1"/>
  <c r="V30" i="1"/>
  <c r="AC30" i="1" s="1"/>
  <c r="V7408" i="1"/>
  <c r="AC7408" i="1" s="1"/>
  <c r="V7409" i="1"/>
  <c r="AC7409" i="1" s="1"/>
  <c r="V7410" i="1"/>
  <c r="AC7410" i="1" s="1"/>
  <c r="V7411" i="1"/>
  <c r="AC7411" i="1" s="1"/>
  <c r="V7413" i="1"/>
  <c r="AC7413" i="1" s="1"/>
  <c r="V7412" i="1"/>
  <c r="AC7412" i="1" s="1"/>
  <c r="V7416" i="1"/>
  <c r="AC7416" i="1" s="1"/>
  <c r="V7414" i="1"/>
  <c r="AC7414" i="1" s="1"/>
  <c r="V7415" i="1"/>
  <c r="AC7415" i="1" s="1"/>
  <c r="V7418" i="1"/>
  <c r="AC7418" i="1" s="1"/>
  <c r="V7417" i="1"/>
  <c r="AC7417" i="1" s="1"/>
  <c r="V7419" i="1"/>
  <c r="AC7419" i="1" s="1"/>
  <c r="V7421" i="1"/>
  <c r="AC7421" i="1" s="1"/>
  <c r="V7424" i="1"/>
  <c r="AC7424" i="1" s="1"/>
  <c r="V7423" i="1"/>
  <c r="AC7423" i="1" s="1"/>
  <c r="V7422" i="1"/>
  <c r="AC7422" i="1" s="1"/>
  <c r="V7425" i="1"/>
  <c r="AC7425" i="1" s="1"/>
  <c r="V7426" i="1"/>
  <c r="AC7426" i="1" s="1"/>
  <c r="V7427" i="1"/>
  <c r="AC7427" i="1" s="1"/>
  <c r="V7428" i="1"/>
  <c r="AC7428" i="1" s="1"/>
  <c r="AB104" i="1"/>
  <c r="V7429" i="1"/>
  <c r="AC7429" i="1" s="1"/>
  <c r="V7430" i="1"/>
  <c r="AC7430" i="1" s="1"/>
  <c r="V7431" i="1"/>
  <c r="AC7431" i="1" s="1"/>
  <c r="V7433" i="1"/>
  <c r="AC7433" i="1" s="1"/>
  <c r="V7434" i="1"/>
  <c r="AC7434" i="1" s="1"/>
  <c r="V7438" i="1"/>
  <c r="AC7438" i="1" s="1"/>
  <c r="V7437" i="1"/>
  <c r="AC7437" i="1" s="1"/>
  <c r="V7439" i="1"/>
  <c r="AC7439" i="1" s="1"/>
  <c r="V7441" i="1"/>
  <c r="AC7441" i="1" s="1"/>
  <c r="V7442" i="1"/>
  <c r="AC7442" i="1" s="1"/>
  <c r="V7447" i="1"/>
  <c r="AC7447" i="1" s="1"/>
  <c r="V7448" i="1"/>
  <c r="AC7448" i="1" s="1"/>
  <c r="V7446" i="1"/>
  <c r="AC7446" i="1" s="1"/>
  <c r="V7451" i="1"/>
  <c r="AC7451" i="1" s="1"/>
  <c r="V7450" i="1"/>
  <c r="AC7450" i="1" s="1"/>
  <c r="V7453" i="1"/>
  <c r="AC7453" i="1" s="1"/>
  <c r="V7452" i="1"/>
  <c r="AC7452" i="1" s="1"/>
  <c r="V7455" i="1"/>
  <c r="AC7455" i="1" s="1"/>
  <c r="V7456" i="1"/>
  <c r="AC7456" i="1" s="1"/>
  <c r="V7457" i="1"/>
  <c r="AC7457" i="1" s="1"/>
  <c r="V7459" i="1"/>
  <c r="AC7459" i="1" s="1"/>
  <c r="V7460" i="1"/>
  <c r="AC7460" i="1" s="1"/>
  <c r="V7461" i="1"/>
  <c r="AC7461" i="1" s="1"/>
  <c r="V7462" i="1"/>
  <c r="AC7462" i="1" s="1"/>
  <c r="V7463" i="1"/>
  <c r="AC7463" i="1" s="1"/>
  <c r="V7464" i="1"/>
  <c r="AC7464" i="1" s="1"/>
  <c r="V7465" i="1"/>
  <c r="AC7465" i="1" s="1"/>
  <c r="V7467" i="1"/>
  <c r="AC7467" i="1" s="1"/>
  <c r="V7468" i="1"/>
  <c r="AC7468" i="1" s="1"/>
  <c r="V7469" i="1"/>
  <c r="AC7469" i="1" s="1"/>
  <c r="V7470" i="1"/>
  <c r="AC7470" i="1" s="1"/>
  <c r="V7471" i="1"/>
  <c r="AC7471" i="1" s="1"/>
  <c r="V7472" i="1"/>
  <c r="AC7472" i="1" s="1"/>
  <c r="V7473" i="1"/>
  <c r="AC7473" i="1" s="1"/>
  <c r="V7474" i="1"/>
  <c r="AC7474" i="1" s="1"/>
  <c r="V7475" i="1"/>
  <c r="AC7475" i="1" s="1"/>
  <c r="V7477" i="1"/>
  <c r="AC7477" i="1" s="1"/>
  <c r="V7478" i="1"/>
  <c r="AC7478" i="1" s="1"/>
  <c r="V7476" i="1"/>
  <c r="AC7476" i="1" s="1"/>
  <c r="V7479" i="1"/>
  <c r="AC7479" i="1" s="1"/>
  <c r="V7480" i="1"/>
  <c r="AC7480" i="1" s="1"/>
  <c r="V7481" i="1"/>
  <c r="AC7481" i="1" s="1"/>
  <c r="V7482" i="1"/>
  <c r="AC7482" i="1" s="1"/>
  <c r="V7483" i="1"/>
  <c r="AC7483" i="1" s="1"/>
  <c r="V7485" i="1"/>
  <c r="AC7485" i="1" s="1"/>
  <c r="V7487" i="1"/>
  <c r="AC7487" i="1" s="1"/>
  <c r="V7486" i="1"/>
  <c r="AC7486" i="1" s="1"/>
  <c r="V7488" i="1"/>
  <c r="AC7488" i="1" s="1"/>
  <c r="V7489" i="1"/>
  <c r="AC7489" i="1" s="1"/>
  <c r="V7490" i="1"/>
  <c r="AC7490" i="1" s="1"/>
  <c r="V7491" i="1"/>
  <c r="AC7491" i="1" s="1"/>
  <c r="V7494" i="1"/>
  <c r="AC7494" i="1" s="1"/>
  <c r="V7493" i="1"/>
  <c r="AC7493" i="1" s="1"/>
  <c r="V7492" i="1"/>
  <c r="AC7492" i="1" s="1"/>
  <c r="V7495" i="1"/>
  <c r="AC7495" i="1" s="1"/>
  <c r="V7496" i="1"/>
  <c r="AC7496" i="1" s="1"/>
  <c r="V7497" i="1"/>
  <c r="AC7497" i="1" s="1"/>
  <c r="V7499" i="1"/>
  <c r="AC7499" i="1" s="1"/>
  <c r="V7498" i="1"/>
  <c r="AC7498" i="1" s="1"/>
  <c r="V7500" i="1"/>
  <c r="AC7500" i="1" s="1"/>
  <c r="V7501" i="1"/>
  <c r="AC7501" i="1" s="1"/>
  <c r="V7502" i="1"/>
  <c r="AC7502" i="1" s="1"/>
  <c r="V7504" i="1"/>
  <c r="AC7504" i="1" s="1"/>
  <c r="V7506" i="1"/>
  <c r="AC7506" i="1" s="1"/>
  <c r="V7507" i="1"/>
  <c r="AC7507" i="1" s="1"/>
  <c r="V7508" i="1"/>
  <c r="AC7508" i="1" s="1"/>
  <c r="V7509" i="1"/>
  <c r="AC7509" i="1" s="1"/>
  <c r="V7510" i="1"/>
  <c r="AC7510" i="1" s="1"/>
  <c r="V7512" i="1"/>
  <c r="AC7512" i="1" s="1"/>
  <c r="V7514" i="1"/>
  <c r="AC7514" i="1" s="1"/>
  <c r="V7515" i="1"/>
  <c r="AC7515" i="1" s="1"/>
  <c r="V7513" i="1"/>
  <c r="AC7513" i="1" s="1"/>
  <c r="V7516" i="1"/>
  <c r="AC7516" i="1" s="1"/>
  <c r="V7517" i="1"/>
  <c r="AC7517" i="1" s="1"/>
  <c r="V7520" i="1"/>
  <c r="AC7520" i="1" s="1"/>
  <c r="V7519" i="1"/>
  <c r="AC7519" i="1" s="1"/>
  <c r="V7521" i="1"/>
  <c r="AC7521" i="1" s="1"/>
  <c r="V7518" i="1"/>
  <c r="AC7518" i="1" s="1"/>
  <c r="V7522" i="1"/>
  <c r="AC7522" i="1" s="1"/>
  <c r="V7524" i="1"/>
  <c r="AC7524" i="1" s="1"/>
  <c r="AB3980" i="1"/>
  <c r="AB3979" i="1"/>
  <c r="AB4370" i="1"/>
  <c r="AB4192" i="1"/>
  <c r="AB4380" i="1"/>
  <c r="AB4664" i="1"/>
  <c r="AB4067" i="1"/>
  <c r="AB7129" i="1"/>
  <c r="AB6810" i="1"/>
  <c r="V6810" i="1"/>
  <c r="AC6810" i="1" s="1"/>
  <c r="V7129" i="1"/>
  <c r="AC7129" i="1" s="1"/>
  <c r="V4067" i="1"/>
  <c r="AC4067" i="1" s="1"/>
  <c r="V4664" i="1"/>
  <c r="AC4664" i="1" s="1"/>
  <c r="V4380" i="1"/>
  <c r="AC4380" i="1" s="1"/>
  <c r="V4192" i="1"/>
  <c r="AC4192" i="1" s="1"/>
  <c r="V4370" i="1"/>
  <c r="AC4370" i="1" s="1"/>
  <c r="V3979" i="1"/>
  <c r="AC3979" i="1" s="1"/>
  <c r="V3980" i="1"/>
  <c r="AC3980" i="1" s="1"/>
  <c r="V4334" i="1"/>
  <c r="AC4334" i="1" s="1"/>
  <c r="AB4334" i="1"/>
  <c r="V7523" i="1"/>
  <c r="AC7523" i="1" s="1"/>
  <c r="V7526" i="1"/>
  <c r="AC7526" i="1" s="1"/>
  <c r="V7528" i="1"/>
  <c r="AC7528" i="1" s="1"/>
  <c r="V7529" i="1"/>
  <c r="AC7529" i="1" s="1"/>
  <c r="V7530" i="1"/>
  <c r="AC7530" i="1" s="1"/>
  <c r="V7531" i="1"/>
  <c r="AC7531" i="1" s="1"/>
  <c r="V7532" i="1"/>
  <c r="AC7532" i="1" s="1"/>
  <c r="V7534" i="1"/>
  <c r="AC7534" i="1" s="1"/>
  <c r="V622" i="1"/>
  <c r="AC622" i="1" s="1"/>
  <c r="V619" i="1"/>
  <c r="AC619" i="1" s="1"/>
  <c r="V620" i="1"/>
  <c r="AC620" i="1" s="1"/>
  <c r="V617" i="1"/>
  <c r="AC617" i="1" s="1"/>
  <c r="V839" i="1"/>
  <c r="AC839" i="1" s="1"/>
  <c r="V614" i="1"/>
  <c r="AC614" i="1" s="1"/>
  <c r="V615" i="1"/>
  <c r="AC615" i="1" s="1"/>
  <c r="V612" i="1"/>
  <c r="AC612" i="1" s="1"/>
  <c r="V607" i="1"/>
  <c r="AC607" i="1" s="1"/>
  <c r="V609" i="1"/>
  <c r="AC609" i="1" s="1"/>
  <c r="V608" i="1"/>
  <c r="AC608" i="1" s="1"/>
  <c r="V606" i="1"/>
  <c r="AC606" i="1" s="1"/>
  <c r="V605" i="1"/>
  <c r="AC605" i="1" s="1"/>
  <c r="V601" i="1"/>
  <c r="AC601" i="1" s="1"/>
  <c r="V603" i="1"/>
  <c r="AC603" i="1" s="1"/>
  <c r="V598" i="1"/>
  <c r="AC598" i="1" s="1"/>
  <c r="V600" i="1"/>
  <c r="AC600" i="1" s="1"/>
  <c r="V602" i="1"/>
  <c r="AC602" i="1" s="1"/>
  <c r="V597" i="1"/>
  <c r="AC597" i="1" s="1"/>
  <c r="V7533" i="1"/>
  <c r="AC7533" i="1" s="1"/>
  <c r="V7536" i="1"/>
  <c r="AC7536" i="1" s="1"/>
  <c r="V7538" i="1"/>
  <c r="AC7538" i="1" s="1"/>
  <c r="V7537" i="1"/>
  <c r="AC7537" i="1" s="1"/>
  <c r="V7539" i="1"/>
  <c r="AC7539" i="1" s="1"/>
  <c r="V7541" i="1"/>
  <c r="AC7541" i="1" s="1"/>
  <c r="V7543" i="1"/>
  <c r="AC7543" i="1" s="1"/>
  <c r="V7542" i="1"/>
  <c r="AC7542" i="1" s="1"/>
  <c r="V7544" i="1"/>
  <c r="AC7544" i="1" s="1"/>
  <c r="V7545" i="1"/>
  <c r="AC7545" i="1" s="1"/>
  <c r="V7547" i="1"/>
  <c r="AC7547" i="1" s="1"/>
  <c r="V7548" i="1"/>
  <c r="AC7548" i="1" s="1"/>
  <c r="V7549" i="1"/>
  <c r="AC7549" i="1" s="1"/>
  <c r="V7550" i="1"/>
  <c r="AC7550" i="1" s="1"/>
  <c r="V7551" i="1"/>
  <c r="AC7551" i="1" s="1"/>
  <c r="V7553" i="1"/>
  <c r="AC7553" i="1" s="1"/>
  <c r="V7552" i="1"/>
  <c r="AC7552" i="1" s="1"/>
  <c r="V7556" i="1"/>
  <c r="AC7556" i="1" s="1"/>
  <c r="V7555" i="1"/>
  <c r="AC7555" i="1" s="1"/>
  <c r="V7554" i="1"/>
  <c r="AC7554" i="1" s="1"/>
  <c r="V7558" i="1"/>
  <c r="AC7558" i="1" s="1"/>
  <c r="V7557" i="1"/>
  <c r="AC7557" i="1" s="1"/>
  <c r="V7559" i="1"/>
  <c r="AC7559" i="1" s="1"/>
  <c r="V7560" i="1"/>
  <c r="AC7560" i="1" s="1"/>
  <c r="V7562" i="1"/>
  <c r="AC7562" i="1" s="1"/>
  <c r="V7561" i="1"/>
  <c r="AC7561" i="1" s="1"/>
  <c r="V7564" i="1"/>
  <c r="AC7564" i="1" s="1"/>
  <c r="V7563" i="1"/>
  <c r="AC7563" i="1" s="1"/>
  <c r="V7565" i="1"/>
  <c r="AC7565" i="1" s="1"/>
  <c r="V7566" i="1"/>
  <c r="AC7566" i="1" s="1"/>
  <c r="V7567" i="1"/>
  <c r="AC7567" i="1" s="1"/>
  <c r="V7568" i="1"/>
  <c r="AC7568" i="1" s="1"/>
  <c r="V7570" i="1"/>
  <c r="AC7570" i="1" s="1"/>
  <c r="V7571" i="1"/>
  <c r="AC7571" i="1" s="1"/>
  <c r="V7569" i="1"/>
  <c r="AC7569" i="1" s="1"/>
  <c r="V7572" i="1"/>
  <c r="AC7572" i="1" s="1"/>
  <c r="V7574" i="1"/>
  <c r="AC7574" i="1" s="1"/>
  <c r="V7573" i="1"/>
  <c r="AC7573" i="1" s="1"/>
  <c r="V7575" i="1"/>
  <c r="AC7575" i="1" s="1"/>
  <c r="V7577" i="1"/>
  <c r="AC7577" i="1" s="1"/>
  <c r="V7576" i="1"/>
  <c r="AC7576" i="1" s="1"/>
  <c r="V7578" i="1"/>
  <c r="AC7578" i="1" s="1"/>
  <c r="V7580" i="1"/>
  <c r="AC7580" i="1" s="1"/>
  <c r="V7579" i="1"/>
  <c r="AC7579" i="1" s="1"/>
  <c r="V7582" i="1"/>
  <c r="AC7582" i="1" s="1"/>
  <c r="V7581" i="1"/>
  <c r="AC7581" i="1" s="1"/>
  <c r="V7583" i="1"/>
  <c r="AC7583" i="1" s="1"/>
  <c r="V7584" i="1"/>
  <c r="AC7584" i="1" s="1"/>
  <c r="V7585" i="1"/>
  <c r="AC7585" i="1" s="1"/>
  <c r="V7588" i="1"/>
  <c r="AC7588" i="1" s="1"/>
  <c r="V7590" i="1"/>
  <c r="AC7590" i="1" s="1"/>
  <c r="V330" i="1"/>
  <c r="AC330" i="1" s="1"/>
  <c r="AB330" i="1"/>
  <c r="V7586" i="1"/>
  <c r="AC7586" i="1" s="1"/>
  <c r="V7591" i="1"/>
  <c r="AC7591" i="1" s="1"/>
  <c r="V7592" i="1"/>
  <c r="AC7592" i="1" s="1"/>
  <c r="V7593" i="1"/>
  <c r="AC7593" i="1" s="1"/>
  <c r="V7594" i="1"/>
  <c r="AC7594" i="1" s="1"/>
  <c r="V7595" i="1"/>
  <c r="AC7595" i="1" s="1"/>
  <c r="V7596" i="1"/>
  <c r="AC7596" i="1" s="1"/>
  <c r="V7597" i="1"/>
  <c r="AC7597" i="1" s="1"/>
  <c r="V7598" i="1"/>
  <c r="AC7598" i="1" s="1"/>
  <c r="V7599" i="1"/>
  <c r="AC7599" i="1" s="1"/>
  <c r="V7600" i="1"/>
  <c r="AC7600" i="1" s="1"/>
  <c r="V7601" i="1"/>
  <c r="AC7601" i="1" s="1"/>
  <c r="V7602" i="1"/>
  <c r="AC7602" i="1" s="1"/>
  <c r="V7603" i="1"/>
  <c r="AC7603" i="1" s="1"/>
  <c r="V7604" i="1"/>
  <c r="AC7604" i="1" s="1"/>
  <c r="V7605" i="1"/>
  <c r="AC7605" i="1" s="1"/>
  <c r="V7606" i="1"/>
  <c r="AC7606" i="1" s="1"/>
  <c r="V7607" i="1"/>
  <c r="AC7607" i="1" s="1"/>
  <c r="V7608" i="1"/>
  <c r="AC7608" i="1" s="1"/>
  <c r="V7609" i="1"/>
  <c r="AC7609" i="1" s="1"/>
  <c r="V7613" i="1"/>
  <c r="AC7613" i="1" s="1"/>
  <c r="V7612" i="1"/>
  <c r="AC7612" i="1" s="1"/>
  <c r="V7610" i="1"/>
  <c r="AC7610" i="1" s="1"/>
  <c r="V7611" i="1"/>
  <c r="AC7611" i="1" s="1"/>
  <c r="V7615" i="1"/>
  <c r="AC7615" i="1" s="1"/>
  <c r="V7616" i="1"/>
  <c r="AC7616" i="1" s="1"/>
  <c r="V7614" i="1"/>
  <c r="AC7614" i="1" s="1"/>
  <c r="V7618" i="1"/>
  <c r="AC7618" i="1" s="1"/>
  <c r="V7617" i="1"/>
  <c r="AC7617" i="1" s="1"/>
  <c r="V7619" i="1"/>
  <c r="AC7619" i="1" s="1"/>
  <c r="V7621" i="1"/>
  <c r="AC7621" i="1" s="1"/>
  <c r="V7620" i="1"/>
  <c r="AC7620" i="1" s="1"/>
  <c r="V7622" i="1"/>
  <c r="AC7622" i="1" s="1"/>
  <c r="V7624" i="1"/>
  <c r="AC7624" i="1" s="1"/>
  <c r="V7625" i="1"/>
  <c r="AC7625" i="1" s="1"/>
  <c r="V7626" i="1"/>
  <c r="AC7626" i="1" s="1"/>
  <c r="V7627" i="1"/>
  <c r="AC7627" i="1" s="1"/>
  <c r="V7629" i="1"/>
  <c r="AC7629" i="1" s="1"/>
  <c r="V7628" i="1"/>
  <c r="AC7628" i="1" s="1"/>
  <c r="V7630" i="1"/>
  <c r="AC7630" i="1" s="1"/>
  <c r="V7631" i="1"/>
  <c r="AC7631" i="1" s="1"/>
  <c r="V7632" i="1"/>
  <c r="AC7632" i="1" s="1"/>
  <c r="V7633" i="1"/>
  <c r="AC7633" i="1" s="1"/>
  <c r="V7635" i="1"/>
  <c r="AC7635" i="1" s="1"/>
  <c r="V7634" i="1"/>
  <c r="AC7634" i="1" s="1"/>
  <c r="V7636" i="1"/>
  <c r="AC7636" i="1" s="1"/>
  <c r="V7638" i="1"/>
  <c r="AC7638" i="1" s="1"/>
  <c r="V7639" i="1"/>
  <c r="AC7639" i="1" s="1"/>
  <c r="V7640" i="1"/>
  <c r="AC7640" i="1" s="1"/>
  <c r="V7641" i="1"/>
  <c r="AC7641" i="1" s="1"/>
  <c r="V7642" i="1"/>
  <c r="AC7642" i="1" s="1"/>
  <c r="V7643" i="1"/>
  <c r="AC7643" i="1" s="1"/>
  <c r="V7644" i="1"/>
  <c r="AC7644" i="1" s="1"/>
  <c r="V7645" i="1"/>
  <c r="AC7645" i="1" s="1"/>
  <c r="V7646" i="1"/>
  <c r="AC7646" i="1" s="1"/>
  <c r="V7647" i="1"/>
  <c r="AC7647" i="1" s="1"/>
  <c r="V7648" i="1"/>
  <c r="AC7648" i="1" s="1"/>
  <c r="V7649" i="1"/>
  <c r="AC7649" i="1" s="1"/>
  <c r="V7650" i="1"/>
  <c r="AC7650" i="1" s="1"/>
  <c r="V7654" i="1"/>
  <c r="AC7654" i="1" s="1"/>
  <c r="V7653" i="1"/>
  <c r="AC7653" i="1" s="1"/>
  <c r="V7657" i="1"/>
  <c r="AC7657" i="1" s="1"/>
  <c r="V7656" i="1"/>
  <c r="AC7656" i="1" s="1"/>
  <c r="V7655" i="1"/>
  <c r="AC7655" i="1" s="1"/>
  <c r="V7659" i="1"/>
  <c r="AC7659" i="1" s="1"/>
  <c r="V7660" i="1"/>
  <c r="AC7660" i="1" s="1"/>
  <c r="V7662" i="1"/>
  <c r="AC7662" i="1" s="1"/>
  <c r="V7663" i="1"/>
  <c r="AC7663" i="1" s="1"/>
  <c r="V7661" i="1"/>
  <c r="AC7661" i="1" s="1"/>
  <c r="V7664" i="1"/>
  <c r="AC7664" i="1" s="1"/>
  <c r="V7665" i="1"/>
  <c r="AC7665" i="1" s="1"/>
  <c r="V7666" i="1"/>
  <c r="AC7666" i="1" s="1"/>
  <c r="V7668" i="1"/>
  <c r="AC7668" i="1" s="1"/>
  <c r="V7669" i="1"/>
  <c r="AC7669" i="1" s="1"/>
  <c r="V7671" i="1"/>
  <c r="AC7671" i="1" s="1"/>
  <c r="V7670" i="1"/>
  <c r="AC7670" i="1" s="1"/>
  <c r="V7674" i="1"/>
  <c r="AC7674" i="1" s="1"/>
  <c r="V7679" i="1"/>
  <c r="AC7679" i="1" s="1"/>
  <c r="V7677" i="1"/>
  <c r="AC7677" i="1" s="1"/>
  <c r="V7678" i="1"/>
  <c r="AC7678" i="1" s="1"/>
  <c r="V7680" i="1"/>
  <c r="AC7680" i="1" s="1"/>
  <c r="V7672" i="1"/>
  <c r="AC7672" i="1" s="1"/>
  <c r="V7675" i="1"/>
  <c r="AC7675" i="1" s="1"/>
  <c r="V7676" i="1"/>
  <c r="AC7676" i="1" s="1"/>
  <c r="V7683" i="1"/>
  <c r="AC7683" i="1" s="1"/>
  <c r="V7673" i="1"/>
  <c r="AC7673" i="1" s="1"/>
  <c r="V7684" i="1"/>
  <c r="AC7684" i="1" s="1"/>
  <c r="V7687" i="1"/>
  <c r="AC7687" i="1" s="1"/>
  <c r="V7686" i="1"/>
  <c r="AC7686" i="1" s="1"/>
  <c r="V7689" i="1"/>
  <c r="AC7689" i="1" s="1"/>
  <c r="V7688" i="1"/>
  <c r="AC7688" i="1" s="1"/>
  <c r="V7690" i="1"/>
  <c r="AC7690" i="1" s="1"/>
  <c r="V7692" i="1"/>
  <c r="AC7692" i="1" s="1"/>
  <c r="V7693" i="1"/>
  <c r="AC7693" i="1" s="1"/>
  <c r="V7694" i="1"/>
  <c r="AC7694" i="1" s="1"/>
  <c r="V7695" i="1"/>
  <c r="AC7695" i="1" s="1"/>
  <c r="V7696" i="1"/>
  <c r="AC7696" i="1" s="1"/>
  <c r="V7697" i="1"/>
  <c r="AC7697" i="1" s="1"/>
  <c r="V7698" i="1"/>
  <c r="AC7698" i="1" s="1"/>
  <c r="V7699" i="1"/>
  <c r="AC7699" i="1" s="1"/>
  <c r="V7700" i="1"/>
  <c r="AC7700" i="1" s="1"/>
  <c r="V7701" i="1"/>
  <c r="AC7701" i="1" s="1"/>
  <c r="V7704" i="1"/>
  <c r="AC7704" i="1" s="1"/>
  <c r="V7706" i="1"/>
  <c r="AC7706" i="1" s="1"/>
  <c r="V7707" i="1"/>
  <c r="AC7707" i="1" s="1"/>
  <c r="V7705" i="1"/>
  <c r="AC7705" i="1" s="1"/>
  <c r="V7708" i="1"/>
  <c r="AC7708" i="1" s="1"/>
  <c r="V7709" i="1"/>
  <c r="AC7709" i="1" s="1"/>
  <c r="V7710" i="1"/>
  <c r="AC7710" i="1" s="1"/>
  <c r="V7712" i="1"/>
  <c r="AC7712" i="1" s="1"/>
  <c r="V7713" i="1"/>
  <c r="AC7713" i="1" s="1"/>
  <c r="V7714" i="1"/>
  <c r="AC7714" i="1" s="1"/>
  <c r="V7715" i="1"/>
  <c r="AC7715" i="1" s="1"/>
  <c r="V7716" i="1"/>
  <c r="AC7716" i="1" s="1"/>
  <c r="V7717" i="1"/>
  <c r="AC7717" i="1" s="1"/>
  <c r="V7718" i="1"/>
  <c r="AC7718" i="1" s="1"/>
  <c r="V7719" i="1"/>
  <c r="AC7719" i="1" s="1"/>
  <c r="V7720" i="1"/>
  <c r="AC7720" i="1" s="1"/>
  <c r="V7722" i="1"/>
  <c r="AC7722" i="1" s="1"/>
  <c r="V7721" i="1"/>
  <c r="AC7721" i="1" s="1"/>
  <c r="V7723" i="1"/>
  <c r="AC7723" i="1" s="1"/>
  <c r="V7725" i="1"/>
  <c r="AC7725" i="1" s="1"/>
  <c r="V7724" i="1"/>
  <c r="AC7724" i="1" s="1"/>
  <c r="V7726" i="1"/>
  <c r="AC7726" i="1" s="1"/>
  <c r="V7727" i="1"/>
  <c r="AC7727" i="1" s="1"/>
  <c r="V7728" i="1"/>
  <c r="AC7728" i="1" s="1"/>
  <c r="V7729" i="1"/>
  <c r="AC7729" i="1" s="1"/>
  <c r="V7730" i="1"/>
  <c r="AC7730" i="1" s="1"/>
  <c r="V7731" i="1"/>
  <c r="AC7731" i="1" s="1"/>
  <c r="V7733" i="1"/>
  <c r="AC7733" i="1" s="1"/>
  <c r="V7734" i="1"/>
  <c r="AC7734" i="1" s="1"/>
  <c r="V7735" i="1"/>
  <c r="AC7735" i="1" s="1"/>
  <c r="V7737" i="1"/>
  <c r="AC7737" i="1" s="1"/>
  <c r="V7736" i="1"/>
  <c r="AC7736" i="1" s="1"/>
  <c r="V7738" i="1"/>
  <c r="AC7738" i="1" s="1"/>
  <c r="V7739" i="1"/>
  <c r="AC7739" i="1" s="1"/>
  <c r="V7740" i="1"/>
  <c r="AC7740" i="1" s="1"/>
  <c r="V7741" i="1"/>
  <c r="AC7741" i="1" s="1"/>
  <c r="V7742" i="1"/>
  <c r="AC7742" i="1" s="1"/>
  <c r="V7744" i="1"/>
  <c r="AC7744" i="1" s="1"/>
  <c r="V7745" i="1"/>
  <c r="AC7745" i="1" s="1"/>
  <c r="V7746" i="1"/>
  <c r="AC7746" i="1" s="1"/>
  <c r="V7747" i="1"/>
  <c r="AC7747" i="1" s="1"/>
  <c r="V7748" i="1"/>
  <c r="AC7748" i="1" s="1"/>
  <c r="V7750" i="1"/>
  <c r="AC7750" i="1" s="1"/>
  <c r="V7749" i="1"/>
  <c r="AC7749" i="1" s="1"/>
  <c r="V7751" i="1"/>
  <c r="AC7751" i="1" s="1"/>
  <c r="V7753" i="1"/>
  <c r="AC7753" i="1" s="1"/>
  <c r="V7752" i="1"/>
  <c r="AC7752" i="1" s="1"/>
  <c r="V7754" i="1"/>
  <c r="AC7754" i="1" s="1"/>
  <c r="V7756" i="1"/>
  <c r="AC7756" i="1" s="1"/>
  <c r="V7757" i="1"/>
  <c r="AC7757" i="1" s="1"/>
  <c r="V7758" i="1"/>
  <c r="AC7758" i="1" s="1"/>
  <c r="V7761" i="1"/>
  <c r="AC7761" i="1" s="1"/>
  <c r="V7760" i="1"/>
  <c r="AC7760" i="1" s="1"/>
  <c r="V7762" i="1"/>
  <c r="AC7762" i="1" s="1"/>
  <c r="V7763" i="1"/>
  <c r="AC7763" i="1" s="1"/>
  <c r="V7764" i="1"/>
  <c r="AC7764" i="1" s="1"/>
  <c r="V7766" i="1"/>
  <c r="AC7766" i="1" s="1"/>
  <c r="V7765" i="1"/>
  <c r="AC7765" i="1" s="1"/>
  <c r="V7767" i="1"/>
  <c r="AC7767" i="1" s="1"/>
  <c r="V7770" i="1"/>
  <c r="AC7770" i="1" s="1"/>
  <c r="V7768" i="1"/>
  <c r="AC7768" i="1" s="1"/>
  <c r="V7769" i="1"/>
  <c r="AC7769" i="1" s="1"/>
  <c r="V7771" i="1"/>
  <c r="AC7771" i="1" s="1"/>
  <c r="V7772" i="1"/>
  <c r="AC7772" i="1" s="1"/>
  <c r="V7773" i="1"/>
  <c r="AC7773" i="1" s="1"/>
  <c r="V7774" i="1"/>
  <c r="AC7774" i="1" s="1"/>
  <c r="V7777" i="1"/>
  <c r="AC7777" i="1" s="1"/>
  <c r="V7776" i="1"/>
  <c r="AC7776" i="1" s="1"/>
  <c r="V7778" i="1"/>
  <c r="AC7778" i="1" s="1"/>
  <c r="V7779" i="1"/>
  <c r="AC7779" i="1" s="1"/>
  <c r="V7780" i="1"/>
  <c r="AC7780" i="1" s="1"/>
  <c r="V7781" i="1"/>
  <c r="AC7781" i="1" s="1"/>
  <c r="V7782" i="1"/>
  <c r="AC7782" i="1" s="1"/>
  <c r="V7783" i="1"/>
  <c r="AC7783" i="1" s="1"/>
  <c r="V7787" i="1"/>
  <c r="AC7787" i="1" s="1"/>
  <c r="V7788" i="1"/>
  <c r="AC7788" i="1" s="1"/>
  <c r="V7785" i="1"/>
  <c r="AC7785" i="1" s="1"/>
  <c r="V7786" i="1"/>
  <c r="AC7786" i="1" s="1"/>
  <c r="V7790" i="1"/>
  <c r="AC7790" i="1" s="1"/>
  <c r="V7789" i="1"/>
  <c r="AC7789" i="1" s="1"/>
  <c r="V7791" i="1"/>
  <c r="AC7791" i="1" s="1"/>
  <c r="V7793" i="1"/>
  <c r="AC7793" i="1" s="1"/>
  <c r="V7794" i="1"/>
  <c r="AC7794" i="1" s="1"/>
  <c r="V7796" i="1"/>
  <c r="AC7796" i="1" s="1"/>
  <c r="V7798" i="1"/>
  <c r="AC7798" i="1" s="1"/>
  <c r="V7799" i="1"/>
  <c r="AC7799" i="1" s="1"/>
  <c r="V7800" i="1"/>
  <c r="AC7800" i="1" s="1"/>
  <c r="V7804" i="1"/>
  <c r="AC7804" i="1" s="1"/>
  <c r="V7802" i="1"/>
  <c r="AC7802" i="1" s="1"/>
  <c r="V7801" i="1"/>
  <c r="AC7801" i="1" s="1"/>
  <c r="V7803" i="1"/>
  <c r="AC7803" i="1" s="1"/>
  <c r="V7808" i="1"/>
  <c r="AC7808" i="1" s="1"/>
  <c r="V7805" i="1"/>
  <c r="AC7805" i="1" s="1"/>
  <c r="V7806" i="1"/>
  <c r="AC7806" i="1" s="1"/>
  <c r="V7809" i="1"/>
  <c r="AC7809" i="1" s="1"/>
  <c r="V7810" i="1"/>
  <c r="AC7810" i="1" s="1"/>
  <c r="V7811" i="1"/>
  <c r="AC7811" i="1" s="1"/>
  <c r="V7812" i="1"/>
  <c r="AC7812" i="1" s="1"/>
  <c r="V7813" i="1"/>
  <c r="AC7813" i="1" s="1"/>
  <c r="V7814" i="1"/>
  <c r="AC7814" i="1" s="1"/>
  <c r="V7815" i="1"/>
  <c r="AC7815" i="1" s="1"/>
  <c r="V7817" i="1"/>
  <c r="AC7817" i="1" s="1"/>
  <c r="V7816" i="1"/>
  <c r="AC7816" i="1" s="1"/>
  <c r="V7818" i="1"/>
  <c r="AC7818" i="1" s="1"/>
  <c r="V7819" i="1"/>
  <c r="AC7819" i="1" s="1"/>
  <c r="V7820" i="1"/>
  <c r="AC7820" i="1" s="1"/>
  <c r="V7822" i="1"/>
  <c r="AC7822" i="1" s="1"/>
  <c r="V7827" i="1"/>
  <c r="AC7827" i="1" s="1"/>
  <c r="V4839" i="1"/>
  <c r="AC4839" i="1" s="1"/>
  <c r="AB4839" i="1"/>
  <c r="V6046" i="1"/>
  <c r="AC6046" i="1" s="1"/>
  <c r="AB6046" i="1"/>
  <c r="V7077" i="1"/>
  <c r="AC7077" i="1" s="1"/>
  <c r="AB7077" i="1"/>
  <c r="V7825" i="1"/>
  <c r="AC7825" i="1" s="1"/>
  <c r="V7823" i="1"/>
  <c r="AC7823" i="1" s="1"/>
  <c r="V7826" i="1"/>
  <c r="AC7826" i="1" s="1"/>
  <c r="V7824" i="1"/>
  <c r="AC7824" i="1" s="1"/>
  <c r="V7821" i="1"/>
  <c r="AC7821" i="1" s="1"/>
  <c r="V7828" i="1"/>
  <c r="AC7828" i="1" s="1"/>
  <c r="V7829" i="1"/>
  <c r="AC7829" i="1" s="1"/>
  <c r="V7832" i="1"/>
  <c r="AC7832" i="1" s="1"/>
  <c r="V7833" i="1"/>
  <c r="AC7833" i="1" s="1"/>
  <c r="V7834" i="1"/>
  <c r="AC7834" i="1" s="1"/>
  <c r="AB8265" i="1"/>
  <c r="AB6609" i="1"/>
  <c r="V6609" i="1"/>
  <c r="AC6609" i="1" s="1"/>
  <c r="V8265" i="1"/>
  <c r="AC8265" i="1" s="1"/>
  <c r="V8712" i="1"/>
  <c r="AC8712" i="1" s="1"/>
  <c r="AB8712" i="1"/>
  <c r="V7836" i="1"/>
  <c r="AC7836" i="1" s="1"/>
  <c r="V7835" i="1"/>
  <c r="AC7835" i="1" s="1"/>
  <c r="V7837" i="1"/>
  <c r="AC7837" i="1" s="1"/>
  <c r="V7839" i="1"/>
  <c r="AC7839" i="1" s="1"/>
  <c r="V7838" i="1"/>
  <c r="AC7838" i="1" s="1"/>
  <c r="V7840" i="1"/>
  <c r="AC7840" i="1" s="1"/>
  <c r="V7841" i="1"/>
  <c r="AC7841" i="1" s="1"/>
  <c r="V7842" i="1"/>
  <c r="AC7842" i="1" s="1"/>
  <c r="V7843" i="1"/>
  <c r="AC7843" i="1" s="1"/>
  <c r="V7844" i="1"/>
  <c r="AC7844" i="1" s="1"/>
  <c r="V7845" i="1"/>
  <c r="AC7845" i="1" s="1"/>
  <c r="V7849" i="1"/>
  <c r="AC7849" i="1" s="1"/>
  <c r="V7846" i="1"/>
  <c r="AC7846" i="1" s="1"/>
  <c r="V7848" i="1"/>
  <c r="AC7848" i="1" s="1"/>
  <c r="V7850" i="1"/>
  <c r="AC7850" i="1" s="1"/>
  <c r="V7851" i="1"/>
  <c r="AC7851" i="1" s="1"/>
  <c r="V7854" i="1"/>
  <c r="AC7854" i="1" s="1"/>
  <c r="V7853" i="1"/>
  <c r="AC7853" i="1" s="1"/>
  <c r="V7855" i="1"/>
  <c r="AC7855" i="1" s="1"/>
  <c r="V7856" i="1"/>
  <c r="AC7856" i="1" s="1"/>
  <c r="AB5658" i="1"/>
  <c r="AB3671" i="1"/>
  <c r="V3671" i="1"/>
  <c r="AC3671" i="1" s="1"/>
  <c r="V5658" i="1"/>
  <c r="AC5658" i="1" s="1"/>
  <c r="V6389" i="1"/>
  <c r="AC6389" i="1" s="1"/>
  <c r="AB6389" i="1"/>
  <c r="V8432" i="1"/>
  <c r="AC8432" i="1" s="1"/>
  <c r="AB8432" i="1"/>
  <c r="V9578" i="1"/>
  <c r="AC9578" i="1" s="1"/>
  <c r="AB9578" i="1"/>
  <c r="Z10545" i="1"/>
  <c r="V10545" i="1"/>
  <c r="AC10545" i="1" s="1"/>
  <c r="AB10545" i="1"/>
  <c r="Z10605" i="1"/>
  <c r="V10605" i="1"/>
  <c r="AC10605" i="1" s="1"/>
  <c r="AB10605" i="1"/>
  <c r="AB10571" i="1"/>
  <c r="AB110" i="1"/>
  <c r="V2383" i="1"/>
  <c r="AC2383" i="1" s="1"/>
  <c r="AB2383" i="1"/>
  <c r="AB106" i="1"/>
  <c r="AB108" i="1"/>
  <c r="AB112" i="1"/>
  <c r="V7852" i="1"/>
  <c r="AC7852" i="1" s="1"/>
  <c r="V7857" i="1"/>
  <c r="AC7857" i="1" s="1"/>
  <c r="V7858" i="1"/>
  <c r="AC7858" i="1" s="1"/>
  <c r="V7859" i="1"/>
  <c r="AC7859" i="1" s="1"/>
  <c r="V7860" i="1"/>
  <c r="AC7860" i="1" s="1"/>
  <c r="V7861" i="1"/>
  <c r="AC7861" i="1" s="1"/>
  <c r="V7862" i="1"/>
  <c r="AC7862" i="1" s="1"/>
  <c r="V7863" i="1"/>
  <c r="AC7863" i="1" s="1"/>
  <c r="V7864" i="1"/>
  <c r="AC7864" i="1" s="1"/>
  <c r="V7865" i="1"/>
  <c r="AC7865" i="1" s="1"/>
  <c r="V7866" i="1"/>
  <c r="AC7866" i="1" s="1"/>
  <c r="V7869" i="1"/>
  <c r="AC7869" i="1" s="1"/>
  <c r="V7867" i="1"/>
  <c r="AC7867" i="1" s="1"/>
  <c r="V7868" i="1"/>
  <c r="AC7868" i="1" s="1"/>
  <c r="V7870" i="1"/>
  <c r="AC7870" i="1" s="1"/>
  <c r="V7873" i="1"/>
  <c r="AC7873" i="1" s="1"/>
  <c r="V7876" i="1"/>
  <c r="AC7876" i="1" s="1"/>
  <c r="V7875" i="1"/>
  <c r="AC7875" i="1" s="1"/>
  <c r="V7874" i="1"/>
  <c r="AC7874" i="1" s="1"/>
  <c r="V7877" i="1"/>
  <c r="AC7877" i="1" s="1"/>
  <c r="V7879" i="1"/>
  <c r="AC7879" i="1" s="1"/>
  <c r="V7880" i="1"/>
  <c r="AC7880" i="1" s="1"/>
  <c r="V7878" i="1"/>
  <c r="AC7878" i="1" s="1"/>
  <c r="V7881" i="1"/>
  <c r="AC7881" i="1" s="1"/>
  <c r="V7882" i="1"/>
  <c r="AC7882" i="1" s="1"/>
  <c r="V7883" i="1"/>
  <c r="AC7883" i="1" s="1"/>
  <c r="V7885" i="1"/>
  <c r="AC7885" i="1" s="1"/>
  <c r="V7887" i="1"/>
  <c r="AC7887" i="1" s="1"/>
  <c r="V7889" i="1"/>
  <c r="AC7889" i="1" s="1"/>
  <c r="V7888" i="1"/>
  <c r="AC7888" i="1" s="1"/>
  <c r="V7893" i="1"/>
  <c r="AC7893" i="1" s="1"/>
  <c r="V7892" i="1"/>
  <c r="AC7892" i="1" s="1"/>
  <c r="V7895" i="1"/>
  <c r="AC7895" i="1" s="1"/>
  <c r="V7894" i="1"/>
  <c r="AC7894" i="1" s="1"/>
  <c r="V7890" i="1"/>
  <c r="AC7890" i="1" s="1"/>
  <c r="V7891" i="1"/>
  <c r="AC7891" i="1" s="1"/>
  <c r="V7896" i="1"/>
  <c r="AC7896" i="1" s="1"/>
  <c r="V7897" i="1"/>
  <c r="AC7897" i="1" s="1"/>
  <c r="V7899" i="1"/>
  <c r="AC7899" i="1" s="1"/>
  <c r="V7898" i="1"/>
  <c r="AC7898" i="1" s="1"/>
  <c r="V7900" i="1"/>
  <c r="AC7900" i="1" s="1"/>
  <c r="V7901" i="1"/>
  <c r="AC7901" i="1" s="1"/>
  <c r="V7902" i="1"/>
  <c r="AC7902" i="1" s="1"/>
  <c r="V7903" i="1"/>
  <c r="AC7903" i="1" s="1"/>
  <c r="V7906" i="1"/>
  <c r="AC7906" i="1" s="1"/>
  <c r="V7907" i="1"/>
  <c r="AC7907" i="1" s="1"/>
  <c r="V7908" i="1"/>
  <c r="AC7908" i="1" s="1"/>
  <c r="V7911" i="1"/>
  <c r="AC7911" i="1" s="1"/>
  <c r="V7912" i="1"/>
  <c r="AC7912" i="1" s="1"/>
  <c r="V7913" i="1"/>
  <c r="AC7913" i="1" s="1"/>
  <c r="V7915" i="1"/>
  <c r="AC7915" i="1" s="1"/>
  <c r="V7914" i="1"/>
  <c r="AC7914" i="1" s="1"/>
  <c r="V7917" i="1"/>
  <c r="AC7917" i="1" s="1"/>
  <c r="V7916" i="1"/>
  <c r="AC7916" i="1" s="1"/>
  <c r="V7918" i="1"/>
  <c r="AC7918" i="1" s="1"/>
  <c r="V7920" i="1"/>
  <c r="AC7920" i="1" s="1"/>
  <c r="V7919" i="1"/>
  <c r="AC7919" i="1" s="1"/>
  <c r="V7926" i="1"/>
  <c r="AC7926" i="1" s="1"/>
  <c r="V7929" i="1"/>
  <c r="AC7929" i="1" s="1"/>
  <c r="V7922" i="1"/>
  <c r="AC7922" i="1" s="1"/>
  <c r="V7925" i="1"/>
  <c r="AC7925" i="1" s="1"/>
  <c r="V7923" i="1"/>
  <c r="AC7923" i="1" s="1"/>
  <c r="V7924" i="1"/>
  <c r="AC7924" i="1" s="1"/>
  <c r="V7921" i="1"/>
  <c r="AC7921" i="1" s="1"/>
  <c r="V7928" i="1"/>
  <c r="AC7928" i="1" s="1"/>
  <c r="S185" i="1"/>
  <c r="V7927" i="1"/>
  <c r="AC7927" i="1" s="1"/>
  <c r="V7931" i="1"/>
  <c r="AC7931" i="1" s="1"/>
  <c r="V7930" i="1"/>
  <c r="AC7930" i="1" s="1"/>
  <c r="V7932" i="1"/>
  <c r="AC7932" i="1" s="1"/>
  <c r="V7933" i="1"/>
  <c r="AC7933" i="1" s="1"/>
  <c r="V7934" i="1"/>
  <c r="AC7934" i="1" s="1"/>
  <c r="V7935" i="1"/>
  <c r="AC7935" i="1" s="1"/>
  <c r="V7939" i="1"/>
  <c r="AC7939" i="1" s="1"/>
  <c r="V7937" i="1"/>
  <c r="AC7937" i="1" s="1"/>
  <c r="V7938" i="1"/>
  <c r="AC7938" i="1" s="1"/>
  <c r="V7936" i="1"/>
  <c r="AC7936" i="1" s="1"/>
  <c r="V7940" i="1"/>
  <c r="AC7940" i="1" s="1"/>
  <c r="V7941" i="1"/>
  <c r="AC7941" i="1" s="1"/>
  <c r="V7943" i="1"/>
  <c r="AC7943" i="1" s="1"/>
  <c r="V7942" i="1"/>
  <c r="AC7942" i="1" s="1"/>
  <c r="V7945" i="1"/>
  <c r="AC7945" i="1" s="1"/>
  <c r="V7946" i="1"/>
  <c r="AC7946" i="1" s="1"/>
  <c r="V7947" i="1"/>
  <c r="AC7947" i="1" s="1"/>
  <c r="V7951" i="1"/>
  <c r="AC7951" i="1" s="1"/>
  <c r="V7952" i="1"/>
  <c r="AC7952" i="1" s="1"/>
  <c r="V7948" i="1"/>
  <c r="AC7948" i="1" s="1"/>
  <c r="V7949" i="1"/>
  <c r="AC7949" i="1" s="1"/>
  <c r="V7950" i="1"/>
  <c r="AC7950" i="1" s="1"/>
  <c r="V7953" i="1"/>
  <c r="AC7953" i="1" s="1"/>
  <c r="V7954" i="1"/>
  <c r="AC7954" i="1" s="1"/>
  <c r="V7957" i="1"/>
  <c r="AC7957" i="1" s="1"/>
  <c r="V7958" i="1"/>
  <c r="AC7958" i="1" s="1"/>
  <c r="V7959" i="1"/>
  <c r="AC7959" i="1" s="1"/>
  <c r="V7956" i="1"/>
  <c r="AC7956" i="1" s="1"/>
  <c r="V7955" i="1"/>
  <c r="AC7955" i="1" s="1"/>
  <c r="V7960" i="1"/>
  <c r="AC7960" i="1" s="1"/>
  <c r="V7961" i="1"/>
  <c r="AC7961" i="1" s="1"/>
  <c r="V7962" i="1"/>
  <c r="AC7962" i="1" s="1"/>
  <c r="V7963" i="1"/>
  <c r="AC7963" i="1" s="1"/>
  <c r="V7964" i="1"/>
  <c r="AC7964" i="1" s="1"/>
  <c r="V7965" i="1"/>
  <c r="AC7965" i="1" s="1"/>
  <c r="V7966" i="1"/>
  <c r="AC7966" i="1" s="1"/>
  <c r="V7970" i="1"/>
  <c r="AC7970" i="1" s="1"/>
  <c r="V7972" i="1"/>
  <c r="AC7972" i="1" s="1"/>
  <c r="V7968" i="1"/>
  <c r="AC7968" i="1" s="1"/>
  <c r="V7969" i="1"/>
  <c r="AC7969" i="1" s="1"/>
  <c r="V7973" i="1"/>
  <c r="AC7973" i="1" s="1"/>
  <c r="V7974" i="1"/>
  <c r="AC7974" i="1" s="1"/>
  <c r="V7978" i="1"/>
  <c r="AC7978" i="1" s="1"/>
  <c r="V7980" i="1"/>
  <c r="AC7980" i="1" s="1"/>
  <c r="V7979" i="1"/>
  <c r="AC7979" i="1" s="1"/>
  <c r="V7977" i="1"/>
  <c r="AC7977" i="1" s="1"/>
  <c r="V7975" i="1"/>
  <c r="AC7975" i="1" s="1"/>
  <c r="V7976" i="1"/>
  <c r="AC7976" i="1" s="1"/>
  <c r="V7983" i="1"/>
  <c r="AC7983" i="1" s="1"/>
  <c r="V7984" i="1"/>
  <c r="AC7984" i="1" s="1"/>
  <c r="V7985" i="1"/>
  <c r="AC7985" i="1" s="1"/>
  <c r="V7986" i="1"/>
  <c r="AC7986" i="1" s="1"/>
  <c r="V7987" i="1"/>
  <c r="AC7987" i="1" s="1"/>
  <c r="V7988" i="1"/>
  <c r="AC7988" i="1" s="1"/>
  <c r="V7990" i="1"/>
  <c r="AC7990" i="1" s="1"/>
  <c r="V7989" i="1"/>
  <c r="AC7989" i="1" s="1"/>
  <c r="V7991" i="1"/>
  <c r="AC7991" i="1" s="1"/>
  <c r="V7992" i="1"/>
  <c r="AC7992" i="1" s="1"/>
  <c r="V7993" i="1"/>
  <c r="AC7993" i="1" s="1"/>
  <c r="V7994" i="1"/>
  <c r="AC7994" i="1" s="1"/>
  <c r="V7997" i="1"/>
  <c r="AC7997" i="1" s="1"/>
  <c r="V7995" i="1"/>
  <c r="AC7995" i="1" s="1"/>
  <c r="V7996" i="1"/>
  <c r="AC7996" i="1" s="1"/>
  <c r="V8001" i="1"/>
  <c r="AC8001" i="1" s="1"/>
  <c r="V7999" i="1"/>
  <c r="AC7999" i="1" s="1"/>
  <c r="V8000" i="1"/>
  <c r="AC8000" i="1" s="1"/>
  <c r="V8003" i="1"/>
  <c r="AC8003" i="1" s="1"/>
  <c r="V8005" i="1"/>
  <c r="AC8005" i="1" s="1"/>
  <c r="V8007" i="1"/>
  <c r="AC8007" i="1" s="1"/>
  <c r="V8006" i="1"/>
  <c r="AC8006" i="1" s="1"/>
  <c r="V8008" i="1"/>
  <c r="AC8008" i="1" s="1"/>
  <c r="V8009" i="1"/>
  <c r="AC8009" i="1" s="1"/>
  <c r="V8010" i="1"/>
  <c r="AC8010" i="1" s="1"/>
  <c r="V8011" i="1"/>
  <c r="AC8011" i="1" s="1"/>
  <c r="V8013" i="1"/>
  <c r="AC8013" i="1" s="1"/>
  <c r="V8012" i="1"/>
  <c r="AC8012" i="1" s="1"/>
  <c r="V8015" i="1"/>
  <c r="AC8015" i="1" s="1"/>
  <c r="V8017" i="1"/>
  <c r="AC8017" i="1" s="1"/>
  <c r="V8018" i="1"/>
  <c r="AC8018" i="1" s="1"/>
  <c r="V8019" i="1"/>
  <c r="AC8019" i="1" s="1"/>
  <c r="V8020" i="1"/>
  <c r="AC8020" i="1" s="1"/>
  <c r="V8022" i="1"/>
  <c r="AC8022" i="1" s="1"/>
  <c r="V8021" i="1"/>
  <c r="AC8021" i="1" s="1"/>
  <c r="V8023" i="1"/>
  <c r="AC8023" i="1" s="1"/>
  <c r="V8024" i="1"/>
  <c r="AC8024" i="1" s="1"/>
  <c r="V8025" i="1"/>
  <c r="AC8025" i="1" s="1"/>
  <c r="V8027" i="1"/>
  <c r="AC8027" i="1" s="1"/>
  <c r="V8504" i="1"/>
  <c r="AC8504" i="1" s="1"/>
  <c r="AB8504" i="1"/>
  <c r="V8327" i="1"/>
  <c r="AC8327" i="1" s="1"/>
  <c r="AB8327" i="1"/>
  <c r="Z8218" i="1"/>
  <c r="V8218" i="1"/>
  <c r="AC8218" i="1" s="1"/>
  <c r="AB8218" i="1"/>
  <c r="V8834" i="1"/>
  <c r="AC8834" i="1" s="1"/>
  <c r="AB8834" i="1"/>
  <c r="V8026" i="1"/>
  <c r="AC8026" i="1" s="1"/>
  <c r="V8029" i="1"/>
  <c r="AC8029" i="1" s="1"/>
  <c r="V8028" i="1"/>
  <c r="AC8028" i="1" s="1"/>
  <c r="V8030" i="1"/>
  <c r="AC8030" i="1" s="1"/>
  <c r="V8033" i="1"/>
  <c r="AC8033" i="1" s="1"/>
  <c r="V8032" i="1"/>
  <c r="AC8032" i="1" s="1"/>
  <c r="V7795" i="1"/>
  <c r="AC7795" i="1" s="1"/>
  <c r="AB7795" i="1"/>
  <c r="V7847" i="1"/>
  <c r="AC7847" i="1" s="1"/>
  <c r="AB7847" i="1"/>
  <c r="V7797" i="1"/>
  <c r="AC7797" i="1" s="1"/>
  <c r="AB7797" i="1"/>
  <c r="V9095" i="1"/>
  <c r="AC9095" i="1" s="1"/>
  <c r="AB9095" i="1"/>
  <c r="V9520" i="1"/>
  <c r="AC9520" i="1" s="1"/>
  <c r="AB9520" i="1"/>
  <c r="Z9001" i="1"/>
  <c r="V9001" i="1"/>
  <c r="AC9001" i="1" s="1"/>
  <c r="AB9001" i="1"/>
  <c r="V8585" i="1"/>
  <c r="AC8585" i="1" s="1"/>
  <c r="AB8585" i="1"/>
  <c r="V8998" i="1"/>
  <c r="AC8998" i="1" s="1"/>
  <c r="AB8998" i="1"/>
  <c r="V9755" i="1"/>
  <c r="AC9755" i="1" s="1"/>
  <c r="AB9755" i="1"/>
  <c r="V9233" i="1"/>
  <c r="AC9233" i="1" s="1"/>
  <c r="AB9233" i="1"/>
  <c r="Z10160" i="1"/>
  <c r="V10160" i="1"/>
  <c r="AC10160" i="1" s="1"/>
  <c r="AB10160" i="1"/>
  <c r="V10439" i="1"/>
  <c r="AC10439" i="1" s="1"/>
  <c r="AB10439" i="1"/>
  <c r="V10454" i="1"/>
  <c r="AC10454" i="1" s="1"/>
  <c r="AB10454" i="1"/>
  <c r="V9949" i="1"/>
  <c r="AC9949" i="1" s="1"/>
  <c r="AB9949" i="1"/>
  <c r="V10491" i="1"/>
  <c r="AC10491" i="1" s="1"/>
  <c r="AB10491" i="1"/>
  <c r="V10270" i="1"/>
  <c r="AC10270" i="1" s="1"/>
  <c r="AB10270" i="1"/>
  <c r="V10459" i="1"/>
  <c r="AC10459" i="1" s="1"/>
  <c r="AB10459" i="1"/>
  <c r="AB10241" i="1"/>
  <c r="AB10517" i="1"/>
  <c r="AB10098" i="1"/>
  <c r="AB8848" i="1"/>
  <c r="AB10592" i="1"/>
  <c r="AB10593" i="1"/>
  <c r="AB10591" i="1"/>
  <c r="AB10513" i="1"/>
  <c r="AB10279" i="1"/>
  <c r="AB10258" i="1"/>
  <c r="V10258" i="1"/>
  <c r="AC10258" i="1" s="1"/>
  <c r="Z10279" i="1"/>
  <c r="V10279" i="1"/>
  <c r="AC10279" i="1" s="1"/>
  <c r="V10513" i="1"/>
  <c r="AC10513" i="1" s="1"/>
  <c r="Z10591" i="1"/>
  <c r="V10591" i="1"/>
  <c r="AC10591" i="1" s="1"/>
  <c r="V10593" i="1"/>
  <c r="AC10593" i="1" s="1"/>
  <c r="V10592" i="1"/>
  <c r="AC10592" i="1" s="1"/>
  <c r="V8848" i="1"/>
  <c r="AC8848" i="1" s="1"/>
  <c r="V10098" i="1"/>
  <c r="AC10098" i="1" s="1"/>
  <c r="V10517" i="1"/>
  <c r="AC10517" i="1" s="1"/>
  <c r="V10241" i="1"/>
  <c r="AC10241" i="1" s="1"/>
  <c r="V10146" i="1"/>
  <c r="AC10146" i="1" s="1"/>
  <c r="AB10146" i="1"/>
  <c r="V10393" i="1"/>
  <c r="AC10393" i="1" s="1"/>
  <c r="AB10393" i="1"/>
  <c r="V10547" i="1"/>
  <c r="AC10547" i="1" s="1"/>
  <c r="AB10547" i="1"/>
  <c r="V10554" i="1"/>
  <c r="AC10554" i="1" s="1"/>
  <c r="AB10554" i="1"/>
  <c r="V10524" i="1"/>
  <c r="AC10524" i="1" s="1"/>
  <c r="AB10524" i="1"/>
  <c r="V9833" i="1"/>
  <c r="AC9833" i="1" s="1"/>
  <c r="AB9833" i="1"/>
  <c r="V10256" i="1"/>
  <c r="AC10256" i="1" s="1"/>
  <c r="AB10256" i="1"/>
  <c r="V8031" i="1"/>
  <c r="AC8031" i="1" s="1"/>
  <c r="V8034" i="1"/>
  <c r="AC8034" i="1" s="1"/>
  <c r="V5332" i="1"/>
  <c r="AC5332" i="1" s="1"/>
  <c r="AB5332" i="1"/>
  <c r="V5641" i="1"/>
  <c r="AC5641" i="1" s="1"/>
  <c r="AB5641" i="1"/>
  <c r="V9122" i="1"/>
  <c r="AC9122" i="1" s="1"/>
  <c r="AB9122" i="1"/>
  <c r="V9892" i="1"/>
  <c r="AC9892" i="1" s="1"/>
  <c r="AB9892" i="1"/>
  <c r="V9313" i="1"/>
  <c r="AC9313" i="1" s="1"/>
  <c r="AB9313" i="1"/>
  <c r="V10037" i="1"/>
  <c r="AC10037" i="1" s="1"/>
  <c r="AB10037" i="1"/>
  <c r="V5942" i="1"/>
  <c r="AC5942" i="1" s="1"/>
  <c r="AB5942" i="1"/>
  <c r="V6473" i="1"/>
  <c r="AC6473" i="1" s="1"/>
  <c r="AB6473" i="1"/>
  <c r="V6811" i="1"/>
  <c r="AC6811" i="1" s="1"/>
  <c r="AB6811" i="1"/>
  <c r="V6976" i="1"/>
  <c r="AC6976" i="1" s="1"/>
  <c r="AB6976" i="1"/>
  <c r="V7243" i="1"/>
  <c r="AC7243" i="1" s="1"/>
  <c r="AB7243" i="1"/>
  <c r="V7807" i="1"/>
  <c r="AC7807" i="1" s="1"/>
  <c r="AB7807" i="1"/>
  <c r="V3265" i="1"/>
  <c r="AC3265" i="1" s="1"/>
  <c r="AB3265" i="1"/>
  <c r="V8036" i="1"/>
  <c r="AC8036" i="1" s="1"/>
  <c r="V8035" i="1"/>
  <c r="AC8035" i="1" s="1"/>
  <c r="V8038" i="1"/>
  <c r="AC8038" i="1" s="1"/>
  <c r="V8039" i="1"/>
  <c r="AC8039" i="1" s="1"/>
  <c r="V8041" i="1"/>
  <c r="AC8041" i="1" s="1"/>
  <c r="V8040" i="1"/>
  <c r="AC8040" i="1" s="1"/>
  <c r="V8042" i="1"/>
  <c r="AC8042" i="1" s="1"/>
  <c r="V8044" i="1"/>
  <c r="AC8044" i="1" s="1"/>
  <c r="Z113" i="1"/>
  <c r="AB113" i="1"/>
  <c r="V8046" i="1"/>
  <c r="AC8046" i="1" s="1"/>
  <c r="V8043" i="1"/>
  <c r="AC8043" i="1" s="1"/>
  <c r="V8045" i="1"/>
  <c r="AC8045" i="1" s="1"/>
  <c r="V8047" i="1"/>
  <c r="AC8047" i="1" s="1"/>
  <c r="V8048" i="1"/>
  <c r="AC8048" i="1" s="1"/>
  <c r="V8049" i="1"/>
  <c r="AC8049" i="1" s="1"/>
  <c r="V8051" i="1"/>
  <c r="AC8051" i="1" s="1"/>
  <c r="V8052" i="1"/>
  <c r="AC8052" i="1" s="1"/>
  <c r="V8053" i="1"/>
  <c r="AC8053" i="1" s="1"/>
  <c r="V8054" i="1"/>
  <c r="AC8054" i="1" s="1"/>
  <c r="V8055" i="1"/>
  <c r="AC8055" i="1" s="1"/>
  <c r="V8056" i="1"/>
  <c r="AC8056" i="1" s="1"/>
  <c r="V8057" i="1"/>
  <c r="AC8057" i="1" s="1"/>
  <c r="V8060" i="1"/>
  <c r="AC8060" i="1" s="1"/>
  <c r="V8061" i="1"/>
  <c r="AC8061" i="1" s="1"/>
  <c r="V8062" i="1"/>
  <c r="AC8062" i="1" s="1"/>
  <c r="V8063" i="1"/>
  <c r="AC8063" i="1" s="1"/>
  <c r="V8065" i="1"/>
  <c r="AC8065" i="1" s="1"/>
  <c r="Z4728" i="1"/>
  <c r="V4728" i="1"/>
  <c r="AC4728" i="1" s="1"/>
  <c r="AB4728" i="1"/>
  <c r="V10240" i="1"/>
  <c r="AC10240" i="1" s="1"/>
  <c r="AB10240" i="1"/>
  <c r="V8067" i="1"/>
  <c r="AC8067" i="1" s="1"/>
  <c r="V8066" i="1"/>
  <c r="AC8066" i="1" s="1"/>
  <c r="V8068" i="1"/>
  <c r="AC8068" i="1" s="1"/>
  <c r="V8069" i="1"/>
  <c r="AC8069" i="1" s="1"/>
  <c r="V8070" i="1"/>
  <c r="AC8070" i="1" s="1"/>
  <c r="V8071" i="1"/>
  <c r="AC8071" i="1" s="1"/>
  <c r="V8074" i="1"/>
  <c r="AC8074" i="1" s="1"/>
  <c r="V8072" i="1"/>
  <c r="AC8072" i="1" s="1"/>
  <c r="V8073" i="1"/>
  <c r="AC8073" i="1" s="1"/>
  <c r="V8075" i="1"/>
  <c r="AC8075" i="1" s="1"/>
  <c r="V8076" i="1"/>
  <c r="AC8076" i="1" s="1"/>
  <c r="V8077" i="1"/>
  <c r="AC8077" i="1" s="1"/>
  <c r="V8078" i="1"/>
  <c r="AC8078" i="1" s="1"/>
  <c r="V8080" i="1"/>
  <c r="AC8080" i="1" s="1"/>
  <c r="V8079" i="1"/>
  <c r="AC8079" i="1" s="1"/>
  <c r="V8081" i="1"/>
  <c r="AC8081" i="1" s="1"/>
  <c r="V8085" i="1"/>
  <c r="AC8085" i="1" s="1"/>
  <c r="V8084" i="1"/>
  <c r="AC8084" i="1" s="1"/>
  <c r="V8083" i="1"/>
  <c r="AC8083" i="1" s="1"/>
  <c r="V8082" i="1"/>
  <c r="AC8082" i="1" s="1"/>
  <c r="V8086" i="1"/>
  <c r="AC8086" i="1" s="1"/>
  <c r="V8087" i="1"/>
  <c r="AC8087" i="1" s="1"/>
  <c r="V8088" i="1"/>
  <c r="AC8088" i="1" s="1"/>
  <c r="V8092" i="1"/>
  <c r="AC8092" i="1" s="1"/>
  <c r="V8096" i="1"/>
  <c r="AC8096" i="1" s="1"/>
  <c r="V8097" i="1"/>
  <c r="AC8097" i="1" s="1"/>
  <c r="V8102" i="1"/>
  <c r="AC8102" i="1" s="1"/>
  <c r="V8100" i="1"/>
  <c r="AC8100" i="1" s="1"/>
  <c r="V8099" i="1"/>
  <c r="AC8099" i="1" s="1"/>
  <c r="V8094" i="1"/>
  <c r="AC8094" i="1" s="1"/>
  <c r="V8095" i="1"/>
  <c r="AC8095" i="1" s="1"/>
  <c r="V8093" i="1"/>
  <c r="AC8093" i="1" s="1"/>
  <c r="V8101" i="1"/>
  <c r="AC8101" i="1" s="1"/>
  <c r="AB2455" i="1"/>
  <c r="V9681" i="1"/>
  <c r="AC9681" i="1" s="1"/>
  <c r="AB9681" i="1"/>
  <c r="AB9455" i="1"/>
  <c r="AB9042" i="1"/>
  <c r="V9042" i="1"/>
  <c r="AC9042" i="1" s="1"/>
  <c r="V9455" i="1"/>
  <c r="AC9455" i="1" s="1"/>
  <c r="V8497" i="1"/>
  <c r="AC8497" i="1" s="1"/>
  <c r="AB8497" i="1"/>
  <c r="V8691" i="1"/>
  <c r="AC8691" i="1" s="1"/>
  <c r="AB8691" i="1"/>
  <c r="V8105" i="1"/>
  <c r="AC8105" i="1" s="1"/>
  <c r="V8106" i="1"/>
  <c r="AC8106" i="1" s="1"/>
  <c r="V8107" i="1"/>
  <c r="AC8107" i="1" s="1"/>
  <c r="V8108" i="1"/>
  <c r="AC8108" i="1" s="1"/>
  <c r="V8109" i="1"/>
  <c r="AC8109" i="1" s="1"/>
  <c r="V8110" i="1"/>
  <c r="AC8110" i="1" s="1"/>
  <c r="V8111" i="1"/>
  <c r="AC8111" i="1" s="1"/>
  <c r="V8112" i="1"/>
  <c r="AC8112" i="1" s="1"/>
  <c r="V8113" i="1"/>
  <c r="AC8113" i="1" s="1"/>
  <c r="V8114" i="1"/>
  <c r="AC8114" i="1" s="1"/>
  <c r="V8115" i="1"/>
  <c r="AC8115" i="1" s="1"/>
  <c r="V8116" i="1"/>
  <c r="AC8116" i="1" s="1"/>
  <c r="V8117" i="1"/>
  <c r="AC8117" i="1" s="1"/>
  <c r="V8118" i="1"/>
  <c r="AC8118" i="1" s="1"/>
  <c r="V8120" i="1"/>
  <c r="AC8120" i="1" s="1"/>
  <c r="V8119" i="1"/>
  <c r="AC8119" i="1" s="1"/>
  <c r="V8121" i="1"/>
  <c r="AC8121" i="1" s="1"/>
  <c r="V8122" i="1"/>
  <c r="AC8122" i="1" s="1"/>
  <c r="V8123" i="1"/>
  <c r="AC8123" i="1" s="1"/>
  <c r="V8125" i="1"/>
  <c r="AC8125" i="1" s="1"/>
  <c r="V8124" i="1"/>
  <c r="AC8124" i="1" s="1"/>
  <c r="V8126" i="1"/>
  <c r="AC8126" i="1" s="1"/>
  <c r="V8127" i="1"/>
  <c r="AC8127" i="1" s="1"/>
  <c r="V8130" i="1"/>
  <c r="AC8130" i="1" s="1"/>
  <c r="V8129" i="1"/>
  <c r="AC8129" i="1" s="1"/>
  <c r="V8128" i="1"/>
  <c r="AC8128" i="1" s="1"/>
  <c r="V8133" i="1"/>
  <c r="AC8133" i="1" s="1"/>
  <c r="V8131" i="1"/>
  <c r="AC8131" i="1" s="1"/>
  <c r="V8132" i="1"/>
  <c r="AC8132" i="1" s="1"/>
  <c r="V8134" i="1"/>
  <c r="AC8134" i="1" s="1"/>
  <c r="V8136" i="1"/>
  <c r="AC8136" i="1" s="1"/>
  <c r="V8137" i="1"/>
  <c r="AC8137" i="1" s="1"/>
  <c r="V8139" i="1"/>
  <c r="AC8139" i="1" s="1"/>
  <c r="V8140" i="1"/>
  <c r="AC8140" i="1" s="1"/>
  <c r="V8141" i="1"/>
  <c r="AC8141" i="1" s="1"/>
  <c r="V8143" i="1"/>
  <c r="AC8143" i="1" s="1"/>
  <c r="V8145" i="1"/>
  <c r="AC8145" i="1" s="1"/>
  <c r="V8149" i="1"/>
  <c r="AC8149" i="1" s="1"/>
  <c r="V8156" i="1"/>
  <c r="AC8156" i="1" s="1"/>
  <c r="V8155" i="1"/>
  <c r="AC8155" i="1" s="1"/>
  <c r="V8154" i="1"/>
  <c r="AC8154" i="1" s="1"/>
  <c r="V8161" i="1"/>
  <c r="AC8161" i="1" s="1"/>
  <c r="V8157" i="1"/>
  <c r="AC8157" i="1" s="1"/>
  <c r="V8153" i="1"/>
  <c r="AC8153" i="1" s="1"/>
  <c r="V8158" i="1"/>
  <c r="AC8158" i="1" s="1"/>
  <c r="V8159" i="1"/>
  <c r="AC8159" i="1" s="1"/>
  <c r="V8163" i="1"/>
  <c r="AC8163" i="1" s="1"/>
  <c r="V8162" i="1"/>
  <c r="AC8162" i="1" s="1"/>
  <c r="V8164" i="1"/>
  <c r="AC8164" i="1" s="1"/>
  <c r="V8166" i="1"/>
  <c r="AC8166" i="1" s="1"/>
  <c r="V8169" i="1"/>
  <c r="AC8169" i="1" s="1"/>
  <c r="V8168" i="1"/>
  <c r="AC8168" i="1" s="1"/>
  <c r="V8167" i="1"/>
  <c r="AC8167" i="1" s="1"/>
  <c r="V8170" i="1"/>
  <c r="AC8170" i="1" s="1"/>
  <c r="V8171" i="1"/>
  <c r="AC8171" i="1" s="1"/>
  <c r="V8172" i="1"/>
  <c r="AC8172" i="1" s="1"/>
  <c r="V8173" i="1"/>
  <c r="AC8173" i="1" s="1"/>
  <c r="V8174" i="1"/>
  <c r="AC8174" i="1" s="1"/>
  <c r="V8184" i="1"/>
  <c r="AC8184" i="1" s="1"/>
  <c r="V8181" i="1"/>
  <c r="AC8181" i="1" s="1"/>
  <c r="V8182" i="1"/>
  <c r="AC8182" i="1" s="1"/>
  <c r="V8176" i="1"/>
  <c r="AC8176" i="1" s="1"/>
  <c r="V8177" i="1"/>
  <c r="AC8177" i="1" s="1"/>
  <c r="V8179" i="1"/>
  <c r="AC8179" i="1" s="1"/>
  <c r="V8178" i="1"/>
  <c r="AC8178" i="1" s="1"/>
  <c r="V8183" i="1"/>
  <c r="AC8183" i="1" s="1"/>
  <c r="V8186" i="1"/>
  <c r="AC8186" i="1" s="1"/>
  <c r="V8187" i="1"/>
  <c r="AC8187" i="1" s="1"/>
  <c r="V8188" i="1"/>
  <c r="AC8188" i="1" s="1"/>
  <c r="V8189" i="1"/>
  <c r="AC8189" i="1" s="1"/>
  <c r="V8190" i="1"/>
  <c r="AC8190" i="1" s="1"/>
  <c r="V8191" i="1"/>
  <c r="AC8191" i="1" s="1"/>
  <c r="V8196" i="1"/>
  <c r="AC8196" i="1" s="1"/>
  <c r="V8195" i="1"/>
  <c r="AC8195" i="1" s="1"/>
  <c r="V8193" i="1"/>
  <c r="AC8193" i="1" s="1"/>
  <c r="V8192" i="1"/>
  <c r="AC8192" i="1" s="1"/>
  <c r="V8194" i="1"/>
  <c r="AC8194" i="1" s="1"/>
  <c r="V8197" i="1"/>
  <c r="AC8197" i="1" s="1"/>
  <c r="V8198" i="1"/>
  <c r="AC8198" i="1" s="1"/>
  <c r="V8200" i="1"/>
  <c r="AC8200" i="1" s="1"/>
  <c r="V8201" i="1"/>
  <c r="AC8201" i="1" s="1"/>
  <c r="V8203" i="1"/>
  <c r="AC8203" i="1" s="1"/>
  <c r="V8204" i="1"/>
  <c r="AC8204" i="1" s="1"/>
  <c r="V8206" i="1"/>
  <c r="AC8206" i="1" s="1"/>
  <c r="V8205" i="1"/>
  <c r="AC8205" i="1" s="1"/>
  <c r="V8207" i="1"/>
  <c r="AC8207" i="1" s="1"/>
  <c r="V8209" i="1"/>
  <c r="AC8209" i="1" s="1"/>
  <c r="V8208" i="1"/>
  <c r="AC8208" i="1" s="1"/>
  <c r="V8214" i="1"/>
  <c r="AC8214" i="1" s="1"/>
  <c r="V8213" i="1"/>
  <c r="AC8213" i="1" s="1"/>
  <c r="V8215" i="1"/>
  <c r="AC8215" i="1" s="1"/>
  <c r="V8212" i="1"/>
  <c r="AC8212" i="1" s="1"/>
  <c r="V8216" i="1"/>
  <c r="AC8216" i="1" s="1"/>
  <c r="V8219" i="1"/>
  <c r="AC8219" i="1" s="1"/>
  <c r="V8223" i="1"/>
  <c r="AC8223" i="1" s="1"/>
  <c r="V8225" i="1"/>
  <c r="AC8225" i="1" s="1"/>
  <c r="V8221" i="1"/>
  <c r="AC8221" i="1" s="1"/>
  <c r="V8224" i="1"/>
  <c r="AC8224" i="1" s="1"/>
  <c r="V8220" i="1"/>
  <c r="AC8220" i="1" s="1"/>
  <c r="V8222" i="1"/>
  <c r="AC8222" i="1" s="1"/>
  <c r="V8227" i="1"/>
  <c r="AC8227" i="1" s="1"/>
  <c r="V8226" i="1"/>
  <c r="AC8226" i="1" s="1"/>
  <c r="V8229" i="1"/>
  <c r="AC8229" i="1" s="1"/>
  <c r="V8228" i="1"/>
  <c r="AC8228" i="1" s="1"/>
  <c r="V8231" i="1"/>
  <c r="AC8231" i="1" s="1"/>
  <c r="V8232" i="1"/>
  <c r="AC8232" i="1" s="1"/>
  <c r="V8234" i="1"/>
  <c r="AC8234" i="1" s="1"/>
  <c r="V8235" i="1"/>
  <c r="AC8235" i="1" s="1"/>
  <c r="V8240" i="1"/>
  <c r="AC8240" i="1" s="1"/>
  <c r="V8236" i="1"/>
  <c r="AC8236" i="1" s="1"/>
  <c r="V8238" i="1"/>
  <c r="AC8238" i="1" s="1"/>
  <c r="V8241" i="1"/>
  <c r="AC8241" i="1" s="1"/>
  <c r="V8237" i="1"/>
  <c r="AC8237" i="1" s="1"/>
  <c r="V8242" i="1"/>
  <c r="AC8242" i="1" s="1"/>
  <c r="V8243" i="1"/>
  <c r="AC8243" i="1" s="1"/>
  <c r="V8244" i="1"/>
  <c r="AC8244" i="1" s="1"/>
  <c r="V8245" i="1"/>
  <c r="AC8245" i="1" s="1"/>
  <c r="V8248" i="1"/>
  <c r="AC8248" i="1" s="1"/>
  <c r="V8249" i="1"/>
  <c r="AC8249" i="1" s="1"/>
  <c r="V8250" i="1"/>
  <c r="AC8250" i="1" s="1"/>
  <c r="V8251" i="1"/>
  <c r="AC8251" i="1" s="1"/>
  <c r="V8252" i="1"/>
  <c r="AC8252" i="1" s="1"/>
  <c r="V8255" i="1"/>
  <c r="AC8255" i="1" s="1"/>
  <c r="V8253" i="1"/>
  <c r="AC8253" i="1" s="1"/>
  <c r="V8259" i="1"/>
  <c r="AC8259" i="1" s="1"/>
  <c r="V8257" i="1"/>
  <c r="AC8257" i="1" s="1"/>
  <c r="V8254" i="1"/>
  <c r="AC8254" i="1" s="1"/>
  <c r="V8258" i="1"/>
  <c r="AC8258" i="1" s="1"/>
  <c r="V8256" i="1"/>
  <c r="AC8256" i="1" s="1"/>
  <c r="V8262" i="1"/>
  <c r="AC8262" i="1" s="1"/>
  <c r="V8260" i="1"/>
  <c r="AC8260" i="1" s="1"/>
  <c r="V8261" i="1"/>
  <c r="AC8261" i="1" s="1"/>
  <c r="V8264" i="1"/>
  <c r="AC8264" i="1" s="1"/>
  <c r="V8266" i="1"/>
  <c r="AC8266" i="1" s="1"/>
  <c r="V8267" i="1"/>
  <c r="AC8267" i="1" s="1"/>
  <c r="V8270" i="1"/>
  <c r="AC8270" i="1" s="1"/>
  <c r="V8271" i="1"/>
  <c r="AC8271" i="1" s="1"/>
  <c r="V8279" i="1"/>
  <c r="AC8279" i="1" s="1"/>
  <c r="V8268" i="1"/>
  <c r="AC8268" i="1" s="1"/>
  <c r="V8269" i="1"/>
  <c r="AC8269" i="1" s="1"/>
  <c r="V8272" i="1"/>
  <c r="AC8272" i="1" s="1"/>
  <c r="V8273" i="1"/>
  <c r="AC8273" i="1" s="1"/>
  <c r="V8274" i="1"/>
  <c r="AC8274" i="1" s="1"/>
  <c r="V8275" i="1"/>
  <c r="AC8275" i="1" s="1"/>
  <c r="V8276" i="1"/>
  <c r="AC8276" i="1" s="1"/>
  <c r="V8278" i="1"/>
  <c r="AC8278" i="1" s="1"/>
  <c r="V8277" i="1"/>
  <c r="AC8277" i="1" s="1"/>
  <c r="V8281" i="1"/>
  <c r="AC8281" i="1" s="1"/>
  <c r="V8284" i="1"/>
  <c r="AC8284" i="1" s="1"/>
  <c r="V8283" i="1"/>
  <c r="AC8283" i="1" s="1"/>
  <c r="V8280" i="1"/>
  <c r="AC8280" i="1" s="1"/>
  <c r="V8282" i="1"/>
  <c r="AC8282" i="1" s="1"/>
  <c r="V8285" i="1"/>
  <c r="AC8285" i="1" s="1"/>
  <c r="V8286" i="1"/>
  <c r="AC8286" i="1" s="1"/>
  <c r="V8287" i="1"/>
  <c r="AC8287" i="1" s="1"/>
  <c r="V8288" i="1"/>
  <c r="AC8288" i="1" s="1"/>
  <c r="V8290" i="1"/>
  <c r="AC8290" i="1" s="1"/>
  <c r="V8291" i="1"/>
  <c r="AC8291" i="1" s="1"/>
  <c r="V8294" i="1"/>
  <c r="AC8294" i="1" s="1"/>
  <c r="V8295" i="1"/>
  <c r="AC8295" i="1" s="1"/>
  <c r="V8297" i="1"/>
  <c r="AC8297" i="1" s="1"/>
  <c r="V8296" i="1"/>
  <c r="AC8296" i="1" s="1"/>
  <c r="V8298" i="1"/>
  <c r="AC8298" i="1" s="1"/>
  <c r="V8299" i="1"/>
  <c r="AC8299" i="1" s="1"/>
  <c r="V8300" i="1"/>
  <c r="AC8300" i="1" s="1"/>
  <c r="V8301" i="1"/>
  <c r="AC8301" i="1" s="1"/>
  <c r="V8302" i="1"/>
  <c r="AC8302" i="1" s="1"/>
  <c r="V8305" i="1"/>
  <c r="AC8305" i="1" s="1"/>
  <c r="V8304" i="1"/>
  <c r="AC8304" i="1" s="1"/>
  <c r="V8306" i="1"/>
  <c r="AC8306" i="1" s="1"/>
  <c r="V8307" i="1"/>
  <c r="AC8307" i="1" s="1"/>
  <c r="V8309" i="1"/>
  <c r="AC8309" i="1" s="1"/>
  <c r="V8325" i="1"/>
  <c r="AC8325" i="1" s="1"/>
  <c r="V8318" i="1"/>
  <c r="AC8318" i="1" s="1"/>
  <c r="V8312" i="1"/>
  <c r="AC8312" i="1" s="1"/>
  <c r="V8315" i="1"/>
  <c r="AC8315" i="1" s="1"/>
  <c r="V8321" i="1"/>
  <c r="AC8321" i="1" s="1"/>
  <c r="V8313" i="1"/>
  <c r="AC8313" i="1" s="1"/>
  <c r="V8316" i="1"/>
  <c r="AC8316" i="1" s="1"/>
  <c r="V8320" i="1"/>
  <c r="AC8320" i="1" s="1"/>
  <c r="V8319" i="1"/>
  <c r="AC8319" i="1" s="1"/>
  <c r="V8323" i="1"/>
  <c r="AC8323" i="1" s="1"/>
  <c r="V8314" i="1"/>
  <c r="AC8314" i="1" s="1"/>
  <c r="V8328" i="1"/>
  <c r="AC8328" i="1" s="1"/>
  <c r="V8326" i="1"/>
  <c r="AC8326" i="1" s="1"/>
  <c r="V8324" i="1"/>
  <c r="AC8324" i="1" s="1"/>
  <c r="V8329" i="1"/>
  <c r="AC8329" i="1" s="1"/>
  <c r="V8330" i="1"/>
  <c r="AC8330" i="1" s="1"/>
  <c r="V8331" i="1"/>
  <c r="AC8331" i="1" s="1"/>
  <c r="V8332" i="1"/>
  <c r="AC8332" i="1" s="1"/>
  <c r="V8333" i="1"/>
  <c r="AC8333" i="1" s="1"/>
  <c r="V8335" i="1"/>
  <c r="AC8335" i="1" s="1"/>
  <c r="V8336" i="1"/>
  <c r="AC8336" i="1" s="1"/>
  <c r="V8337" i="1"/>
  <c r="AC8337" i="1" s="1"/>
  <c r="V8338" i="1"/>
  <c r="AC8338" i="1" s="1"/>
  <c r="V8339" i="1"/>
  <c r="AC8339" i="1" s="1"/>
  <c r="V8340" i="1"/>
  <c r="AC8340" i="1" s="1"/>
  <c r="V8341" i="1"/>
  <c r="AC8341" i="1" s="1"/>
  <c r="V8342" i="1"/>
  <c r="AC8342" i="1" s="1"/>
  <c r="V8343" i="1"/>
  <c r="AC8343" i="1" s="1"/>
  <c r="V8344" i="1"/>
  <c r="AC8344" i="1" s="1"/>
  <c r="V8345" i="1"/>
  <c r="AC8345" i="1" s="1"/>
  <c r="V8346" i="1"/>
  <c r="AC8346" i="1" s="1"/>
  <c r="V8348" i="1"/>
  <c r="AC8348" i="1" s="1"/>
  <c r="V8354" i="1"/>
  <c r="AC8354" i="1" s="1"/>
  <c r="V8353" i="1"/>
  <c r="AC8353" i="1" s="1"/>
  <c r="V8355" i="1"/>
  <c r="AC8355" i="1" s="1"/>
  <c r="V8352" i="1"/>
  <c r="AC8352" i="1" s="1"/>
  <c r="V8350" i="1"/>
  <c r="AC8350" i="1" s="1"/>
  <c r="V8349" i="1"/>
  <c r="AC8349" i="1" s="1"/>
  <c r="V8351" i="1"/>
  <c r="AC8351" i="1" s="1"/>
  <c r="V8356" i="1"/>
  <c r="AC8356" i="1" s="1"/>
  <c r="V8360" i="1"/>
  <c r="AC8360" i="1" s="1"/>
  <c r="V8358" i="1"/>
  <c r="AC8358" i="1" s="1"/>
  <c r="V8359" i="1"/>
  <c r="AC8359" i="1" s="1"/>
  <c r="V8362" i="1"/>
  <c r="AC8362" i="1" s="1"/>
  <c r="V8364" i="1"/>
  <c r="AC8364" i="1" s="1"/>
  <c r="V8363" i="1"/>
  <c r="AC8363" i="1" s="1"/>
  <c r="V8365" i="1"/>
  <c r="AC8365" i="1" s="1"/>
  <c r="V8368" i="1"/>
  <c r="AC8368" i="1" s="1"/>
  <c r="V8369" i="1"/>
  <c r="AC8369" i="1" s="1"/>
  <c r="V8370" i="1"/>
  <c r="AC8370" i="1" s="1"/>
  <c r="V8371" i="1"/>
  <c r="AC8371" i="1" s="1"/>
  <c r="V8372" i="1"/>
  <c r="AC8372" i="1" s="1"/>
  <c r="V8379" i="1"/>
  <c r="AC8379" i="1" s="1"/>
  <c r="V8382" i="1"/>
  <c r="AC8382" i="1" s="1"/>
  <c r="V8380" i="1"/>
  <c r="AC8380" i="1" s="1"/>
  <c r="V8375" i="1"/>
  <c r="AC8375" i="1" s="1"/>
  <c r="V8373" i="1"/>
  <c r="AC8373" i="1" s="1"/>
  <c r="V8383" i="1"/>
  <c r="AC8383" i="1" s="1"/>
  <c r="V8376" i="1"/>
  <c r="AC8376" i="1" s="1"/>
  <c r="V8377" i="1"/>
  <c r="AC8377" i="1" s="1"/>
  <c r="V8381" i="1"/>
  <c r="AC8381" i="1" s="1"/>
  <c r="V8384" i="1"/>
  <c r="AC8384" i="1" s="1"/>
  <c r="V8374" i="1"/>
  <c r="AC8374" i="1" s="1"/>
  <c r="V8378" i="1"/>
  <c r="AC8378" i="1" s="1"/>
  <c r="V8385" i="1"/>
  <c r="AC8385" i="1" s="1"/>
  <c r="V8386" i="1"/>
  <c r="AC8386" i="1" s="1"/>
  <c r="V8388" i="1"/>
  <c r="AC8388" i="1" s="1"/>
  <c r="V8392" i="1"/>
  <c r="AC8392" i="1" s="1"/>
  <c r="V8393" i="1"/>
  <c r="AC8393" i="1" s="1"/>
  <c r="V8394" i="1"/>
  <c r="AC8394" i="1" s="1"/>
  <c r="V8395" i="1"/>
  <c r="AC8395" i="1" s="1"/>
  <c r="V8396" i="1"/>
  <c r="AC8396" i="1" s="1"/>
  <c r="V8397" i="1"/>
  <c r="AC8397" i="1" s="1"/>
  <c r="V8398" i="1"/>
  <c r="AC8398" i="1" s="1"/>
  <c r="V8400" i="1"/>
  <c r="AC8400" i="1" s="1"/>
  <c r="V8399" i="1"/>
  <c r="AC8399" i="1" s="1"/>
  <c r="V8403" i="1"/>
  <c r="AC8403" i="1" s="1"/>
  <c r="V8401" i="1"/>
  <c r="AC8401" i="1" s="1"/>
  <c r="V8408" i="1"/>
  <c r="AC8408" i="1" s="1"/>
  <c r="V8413" i="1"/>
  <c r="AC8413" i="1" s="1"/>
  <c r="V8412" i="1"/>
  <c r="AC8412" i="1" s="1"/>
  <c r="V8409" i="1"/>
  <c r="AC8409" i="1" s="1"/>
  <c r="V8411" i="1"/>
  <c r="AC8411" i="1" s="1"/>
  <c r="V8410" i="1"/>
  <c r="AC8410" i="1" s="1"/>
  <c r="V8406" i="1"/>
  <c r="AC8406" i="1" s="1"/>
  <c r="V8407" i="1"/>
  <c r="AC8407" i="1" s="1"/>
  <c r="V8415" i="1"/>
  <c r="AC8415" i="1" s="1"/>
  <c r="V8416" i="1"/>
  <c r="AC8416" i="1" s="1"/>
  <c r="V8419" i="1"/>
  <c r="AC8419" i="1" s="1"/>
  <c r="V8421" i="1"/>
  <c r="AC8421" i="1" s="1"/>
  <c r="V8420" i="1"/>
  <c r="AC8420" i="1" s="1"/>
  <c r="V8418" i="1"/>
  <c r="AC8418" i="1" s="1"/>
  <c r="V8423" i="1"/>
  <c r="AC8423" i="1" s="1"/>
  <c r="V8425" i="1"/>
  <c r="AC8425" i="1" s="1"/>
  <c r="V8427" i="1"/>
  <c r="AC8427" i="1" s="1"/>
  <c r="V8428" i="1"/>
  <c r="AC8428" i="1" s="1"/>
  <c r="V8429" i="1"/>
  <c r="AC8429" i="1" s="1"/>
  <c r="V8430" i="1"/>
  <c r="AC8430" i="1" s="1"/>
  <c r="V8431" i="1"/>
  <c r="AC8431" i="1" s="1"/>
  <c r="V8433" i="1"/>
  <c r="AC8433" i="1" s="1"/>
  <c r="V8435" i="1"/>
  <c r="AC8435" i="1" s="1"/>
  <c r="V8437" i="1"/>
  <c r="AC8437" i="1" s="1"/>
  <c r="V8438" i="1"/>
  <c r="AC8438" i="1" s="1"/>
  <c r="V8439" i="1"/>
  <c r="AC8439" i="1" s="1"/>
  <c r="V8440" i="1"/>
  <c r="AC8440" i="1" s="1"/>
  <c r="V8446" i="1"/>
  <c r="AC8446" i="1" s="1"/>
  <c r="V8445" i="1"/>
  <c r="AC8445" i="1" s="1"/>
  <c r="V8447" i="1"/>
  <c r="AC8447" i="1" s="1"/>
  <c r="V8444" i="1"/>
  <c r="AC8444" i="1" s="1"/>
  <c r="V8443" i="1"/>
  <c r="AC8443" i="1" s="1"/>
  <c r="V8442" i="1"/>
  <c r="AC8442" i="1" s="1"/>
  <c r="V8449" i="1"/>
  <c r="AC8449" i="1" s="1"/>
  <c r="V8450" i="1"/>
  <c r="AC8450" i="1" s="1"/>
  <c r="V8448" i="1"/>
  <c r="AC8448" i="1" s="1"/>
  <c r="V8451" i="1"/>
  <c r="AC8451" i="1" s="1"/>
  <c r="V8453" i="1"/>
  <c r="AC8453" i="1" s="1"/>
  <c r="V8455" i="1"/>
  <c r="AC8455" i="1" s="1"/>
  <c r="V8457" i="1"/>
  <c r="AC8457" i="1" s="1"/>
  <c r="V8456" i="1"/>
  <c r="AC8456" i="1" s="1"/>
  <c r="V8454" i="1"/>
  <c r="AC8454" i="1" s="1"/>
  <c r="V8458" i="1"/>
  <c r="AC8458" i="1" s="1"/>
  <c r="V8459" i="1"/>
  <c r="AC8459" i="1" s="1"/>
  <c r="V8460" i="1"/>
  <c r="AC8460" i="1" s="1"/>
  <c r="V8462" i="1"/>
  <c r="AC8462" i="1" s="1"/>
  <c r="V8464" i="1"/>
  <c r="AC8464" i="1" s="1"/>
  <c r="V3684" i="1"/>
  <c r="AC3684" i="1" s="1"/>
  <c r="V8466" i="1"/>
  <c r="AC8466" i="1" s="1"/>
  <c r="V8468" i="1"/>
  <c r="AC8468" i="1" s="1"/>
  <c r="V8469" i="1"/>
  <c r="AC8469" i="1" s="1"/>
  <c r="V8467" i="1"/>
  <c r="AC8467" i="1" s="1"/>
  <c r="V8470" i="1"/>
  <c r="AC8470" i="1" s="1"/>
  <c r="V8471" i="1"/>
  <c r="AC8471" i="1" s="1"/>
  <c r="V8473" i="1"/>
  <c r="AC8473" i="1" s="1"/>
  <c r="V8475" i="1"/>
  <c r="AC8475" i="1" s="1"/>
  <c r="V8476" i="1"/>
  <c r="AC8476" i="1" s="1"/>
  <c r="V8477" i="1"/>
  <c r="AC8477" i="1" s="1"/>
  <c r="V8478" i="1"/>
  <c r="AC8478" i="1" s="1"/>
  <c r="V8479" i="1"/>
  <c r="AC8479" i="1" s="1"/>
  <c r="V8480" i="1"/>
  <c r="AC8480" i="1" s="1"/>
  <c r="V8481" i="1"/>
  <c r="AC8481" i="1" s="1"/>
  <c r="V8482" i="1"/>
  <c r="AC8482" i="1" s="1"/>
  <c r="V8483" i="1"/>
  <c r="AC8483" i="1" s="1"/>
  <c r="V8484" i="1"/>
  <c r="AC8484" i="1" s="1"/>
  <c r="V8485" i="1"/>
  <c r="AC8485" i="1" s="1"/>
  <c r="V8486" i="1"/>
  <c r="AC8486" i="1" s="1"/>
  <c r="V8487" i="1"/>
  <c r="AC8487" i="1" s="1"/>
  <c r="V8489" i="1"/>
  <c r="AC8489" i="1" s="1"/>
  <c r="V8490" i="1"/>
  <c r="AC8490" i="1" s="1"/>
  <c r="V8491" i="1"/>
  <c r="AC8491" i="1" s="1"/>
  <c r="V8488" i="1"/>
  <c r="AC8488" i="1" s="1"/>
  <c r="V8492" i="1"/>
  <c r="AC8492" i="1" s="1"/>
  <c r="V8493" i="1"/>
  <c r="AC8493" i="1" s="1"/>
  <c r="V8494" i="1"/>
  <c r="AC8494" i="1" s="1"/>
  <c r="V8495" i="1"/>
  <c r="AC8495" i="1" s="1"/>
  <c r="V8496" i="1"/>
  <c r="AC8496" i="1" s="1"/>
  <c r="V8498" i="1"/>
  <c r="AC8498" i="1" s="1"/>
  <c r="V8499" i="1"/>
  <c r="AC8499" i="1" s="1"/>
  <c r="V8502" i="1"/>
  <c r="AC8502" i="1" s="1"/>
  <c r="V8501" i="1"/>
  <c r="AC8501" i="1" s="1"/>
  <c r="V8500" i="1"/>
  <c r="AC8500" i="1" s="1"/>
  <c r="V8503" i="1"/>
  <c r="AC8503" i="1" s="1"/>
  <c r="V8505" i="1"/>
  <c r="AC8505" i="1" s="1"/>
  <c r="V8512" i="1"/>
  <c r="AC8512" i="1" s="1"/>
  <c r="V596" i="1"/>
  <c r="AC596" i="1" s="1"/>
  <c r="V593" i="1"/>
  <c r="AC593" i="1" s="1"/>
  <c r="V592" i="1"/>
  <c r="AC592" i="1" s="1"/>
  <c r="V591" i="1"/>
  <c r="AC591" i="1" s="1"/>
  <c r="V590" i="1"/>
  <c r="AC590" i="1" s="1"/>
  <c r="V586" i="1"/>
  <c r="AC586" i="1" s="1"/>
  <c r="V589" i="1"/>
  <c r="AC589" i="1" s="1"/>
  <c r="V587" i="1"/>
  <c r="AC587" i="1" s="1"/>
  <c r="V588" i="1"/>
  <c r="AC588" i="1" s="1"/>
  <c r="V583" i="1"/>
  <c r="AC583" i="1" s="1"/>
  <c r="V582" i="1"/>
  <c r="AC582" i="1" s="1"/>
  <c r="V584" i="1"/>
  <c r="AC584" i="1" s="1"/>
  <c r="V580" i="1"/>
  <c r="AC580" i="1" s="1"/>
  <c r="V581" i="1"/>
  <c r="AC581" i="1" s="1"/>
  <c r="V579" i="1"/>
  <c r="AC579" i="1" s="1"/>
  <c r="V578" i="1"/>
  <c r="AC578" i="1" s="1"/>
  <c r="V575" i="1"/>
  <c r="AC575" i="1" s="1"/>
  <c r="V572" i="1"/>
  <c r="AC572" i="1" s="1"/>
  <c r="V574" i="1"/>
  <c r="AC574" i="1" s="1"/>
  <c r="V573" i="1"/>
  <c r="AC573" i="1" s="1"/>
  <c r="V570" i="1"/>
  <c r="AC570" i="1" s="1"/>
  <c r="V569" i="1"/>
  <c r="AC569" i="1" s="1"/>
  <c r="V568" i="1"/>
  <c r="AC568" i="1" s="1"/>
  <c r="V566" i="1"/>
  <c r="AC566" i="1" s="1"/>
  <c r="V563" i="1"/>
  <c r="AC563" i="1" s="1"/>
  <c r="V8507" i="1"/>
  <c r="AC8507" i="1" s="1"/>
  <c r="V8509" i="1"/>
  <c r="AC8509" i="1" s="1"/>
  <c r="V8510" i="1"/>
  <c r="AC8510" i="1" s="1"/>
  <c r="V8517" i="1"/>
  <c r="AC8517" i="1" s="1"/>
  <c r="V8513" i="1"/>
  <c r="AC8513" i="1" s="1"/>
  <c r="V8506" i="1"/>
  <c r="AC8506" i="1" s="1"/>
  <c r="V8508" i="1"/>
  <c r="AC8508" i="1" s="1"/>
  <c r="V8518" i="1"/>
  <c r="AC8518" i="1" s="1"/>
  <c r="V8514" i="1"/>
  <c r="AC8514" i="1" s="1"/>
  <c r="V8511" i="1"/>
  <c r="AC8511" i="1" s="1"/>
  <c r="V8516" i="1"/>
  <c r="AC8516" i="1" s="1"/>
  <c r="V8522" i="1"/>
  <c r="AC8522" i="1" s="1"/>
  <c r="V8523" i="1"/>
  <c r="AC8523" i="1" s="1"/>
  <c r="V8524" i="1"/>
  <c r="AC8524" i="1" s="1"/>
  <c r="V8525" i="1"/>
  <c r="AC8525" i="1" s="1"/>
  <c r="V8526" i="1"/>
  <c r="AC8526" i="1" s="1"/>
  <c r="V8527" i="1"/>
  <c r="AC8527" i="1" s="1"/>
  <c r="V8528" i="1"/>
  <c r="AC8528" i="1" s="1"/>
  <c r="V8529" i="1"/>
  <c r="AC8529" i="1" s="1"/>
  <c r="V8531" i="1"/>
  <c r="AC8531" i="1" s="1"/>
  <c r="V8532" i="1"/>
  <c r="AC8532" i="1" s="1"/>
  <c r="V8534" i="1"/>
  <c r="AC8534" i="1" s="1"/>
  <c r="V8535" i="1"/>
  <c r="AC8535" i="1" s="1"/>
  <c r="V8536" i="1"/>
  <c r="AC8536" i="1" s="1"/>
  <c r="V8537" i="1"/>
  <c r="AC8537" i="1" s="1"/>
  <c r="V8538" i="1"/>
  <c r="AC8538" i="1" s="1"/>
  <c r="V8539" i="1"/>
  <c r="AC8539" i="1" s="1"/>
  <c r="V8874" i="1"/>
  <c r="AC8874" i="1" s="1"/>
  <c r="V8541" i="1"/>
  <c r="AC8541" i="1" s="1"/>
  <c r="V8540" i="1"/>
  <c r="AC8540" i="1" s="1"/>
  <c r="V8542" i="1"/>
  <c r="AC8542" i="1" s="1"/>
  <c r="V8544" i="1"/>
  <c r="AC8544" i="1" s="1"/>
  <c r="V8543" i="1"/>
  <c r="AC8543" i="1" s="1"/>
  <c r="V8547" i="1"/>
  <c r="AC8547" i="1" s="1"/>
  <c r="V8546" i="1"/>
  <c r="AC8546" i="1" s="1"/>
  <c r="V8548" i="1"/>
  <c r="AC8548" i="1" s="1"/>
  <c r="V8545" i="1"/>
  <c r="AC8545" i="1" s="1"/>
  <c r="V8550" i="1"/>
  <c r="AC8550" i="1" s="1"/>
  <c r="V8549" i="1"/>
  <c r="AC8549" i="1" s="1"/>
  <c r="V8551" i="1"/>
  <c r="AC8551" i="1" s="1"/>
  <c r="V8552" i="1"/>
  <c r="AC8552" i="1" s="1"/>
  <c r="V8557" i="1"/>
  <c r="AC8557" i="1" s="1"/>
  <c r="V8555" i="1"/>
  <c r="AC8555" i="1" s="1"/>
  <c r="V8554" i="1"/>
  <c r="AC8554" i="1" s="1"/>
  <c r="V8558" i="1"/>
  <c r="AC8558" i="1" s="1"/>
  <c r="V8556" i="1"/>
  <c r="AC8556" i="1" s="1"/>
  <c r="V8560" i="1"/>
  <c r="AC8560" i="1" s="1"/>
  <c r="V8559" i="1"/>
  <c r="AC8559" i="1" s="1"/>
  <c r="V8561" i="1"/>
  <c r="AC8561" i="1" s="1"/>
  <c r="V8562" i="1"/>
  <c r="AC8562" i="1" s="1"/>
  <c r="V8564" i="1"/>
  <c r="AC8564" i="1" s="1"/>
  <c r="V8566" i="1"/>
  <c r="AC8566" i="1" s="1"/>
  <c r="V8567" i="1"/>
  <c r="AC8567" i="1" s="1"/>
  <c r="V8569" i="1"/>
  <c r="AC8569" i="1" s="1"/>
  <c r="V8568" i="1"/>
  <c r="AC8568" i="1" s="1"/>
  <c r="V8570" i="1"/>
  <c r="AC8570" i="1" s="1"/>
  <c r="V8571" i="1"/>
  <c r="AC8571" i="1" s="1"/>
  <c r="V8573" i="1"/>
  <c r="AC8573" i="1" s="1"/>
  <c r="V8577" i="1"/>
  <c r="AC8577" i="1" s="1"/>
  <c r="V8576" i="1"/>
  <c r="AC8576" i="1" s="1"/>
  <c r="V8572" i="1"/>
  <c r="AC8572" i="1" s="1"/>
  <c r="V8574" i="1"/>
  <c r="AC8574" i="1" s="1"/>
  <c r="V8575" i="1"/>
  <c r="AC8575" i="1" s="1"/>
  <c r="V8582" i="1"/>
  <c r="AC8582" i="1" s="1"/>
  <c r="V8586" i="1"/>
  <c r="AC8586" i="1" s="1"/>
  <c r="V8583" i="1"/>
  <c r="AC8583" i="1" s="1"/>
  <c r="V8580" i="1"/>
  <c r="AC8580" i="1" s="1"/>
  <c r="V8587" i="1"/>
  <c r="AC8587" i="1" s="1"/>
  <c r="V8584" i="1"/>
  <c r="AC8584" i="1" s="1"/>
  <c r="V8579" i="1"/>
  <c r="AC8579" i="1" s="1"/>
  <c r="V8578" i="1"/>
  <c r="AC8578" i="1" s="1"/>
  <c r="V8581" i="1"/>
  <c r="AC8581" i="1" s="1"/>
  <c r="V8589" i="1"/>
  <c r="AC8589" i="1" s="1"/>
  <c r="V8590" i="1"/>
  <c r="AC8590" i="1" s="1"/>
  <c r="V8591" i="1"/>
  <c r="AC8591" i="1" s="1"/>
  <c r="V8592" i="1"/>
  <c r="AC8592" i="1" s="1"/>
  <c r="V8594" i="1"/>
  <c r="AC8594" i="1" s="1"/>
  <c r="V8593" i="1"/>
  <c r="AC8593" i="1" s="1"/>
  <c r="V8595" i="1"/>
  <c r="AC8595" i="1" s="1"/>
  <c r="V8596" i="1"/>
  <c r="AC8596" i="1" s="1"/>
  <c r="V8597" i="1"/>
  <c r="AC8597" i="1" s="1"/>
  <c r="V8599" i="1"/>
  <c r="AC8599" i="1" s="1"/>
  <c r="V8598" i="1"/>
  <c r="AC8598" i="1" s="1"/>
  <c r="V8602" i="1"/>
  <c r="AC8602" i="1" s="1"/>
  <c r="V8606" i="1"/>
  <c r="AC8606" i="1" s="1"/>
  <c r="V8604" i="1"/>
  <c r="AC8604" i="1" s="1"/>
  <c r="V8603" i="1"/>
  <c r="AC8603" i="1" s="1"/>
  <c r="V8605" i="1"/>
  <c r="AC8605" i="1" s="1"/>
  <c r="V8607" i="1"/>
  <c r="AC8607" i="1" s="1"/>
  <c r="V8609" i="1"/>
  <c r="AC8609" i="1" s="1"/>
  <c r="V8608" i="1"/>
  <c r="AC8608" i="1" s="1"/>
  <c r="V8610" i="1"/>
  <c r="AC8610" i="1" s="1"/>
  <c r="V8611" i="1"/>
  <c r="AC8611" i="1" s="1"/>
  <c r="V8613" i="1"/>
  <c r="AC8613" i="1" s="1"/>
  <c r="V8614" i="1"/>
  <c r="AC8614" i="1" s="1"/>
  <c r="V8615" i="1"/>
  <c r="AC8615" i="1" s="1"/>
  <c r="V8617" i="1"/>
  <c r="AC8617" i="1" s="1"/>
  <c r="V8618" i="1"/>
  <c r="AC8618" i="1" s="1"/>
  <c r="V8619" i="1"/>
  <c r="AC8619" i="1" s="1"/>
  <c r="V8621" i="1"/>
  <c r="AC8621" i="1" s="1"/>
  <c r="V8620" i="1"/>
  <c r="AC8620" i="1" s="1"/>
  <c r="V8622" i="1"/>
  <c r="AC8622" i="1" s="1"/>
  <c r="V8623" i="1"/>
  <c r="AC8623" i="1" s="1"/>
  <c r="V8624" i="1"/>
  <c r="AC8624" i="1" s="1"/>
  <c r="V8625" i="1"/>
  <c r="AC8625" i="1" s="1"/>
  <c r="V8626" i="1"/>
  <c r="AC8626" i="1" s="1"/>
  <c r="V8629" i="1"/>
  <c r="AC8629" i="1" s="1"/>
  <c r="V8627" i="1"/>
  <c r="AC8627" i="1" s="1"/>
  <c r="V8628" i="1"/>
  <c r="AC8628" i="1" s="1"/>
  <c r="V8630" i="1"/>
  <c r="AC8630" i="1" s="1"/>
  <c r="V8631" i="1"/>
  <c r="AC8631" i="1" s="1"/>
  <c r="V8632" i="1"/>
  <c r="AC8632" i="1" s="1"/>
  <c r="V8635" i="1"/>
  <c r="AC8635" i="1" s="1"/>
  <c r="V8634" i="1"/>
  <c r="AC8634" i="1" s="1"/>
  <c r="V8633" i="1"/>
  <c r="AC8633" i="1" s="1"/>
  <c r="V8636" i="1"/>
  <c r="AC8636" i="1" s="1"/>
  <c r="V8637" i="1"/>
  <c r="AC8637" i="1" s="1"/>
  <c r="V8638" i="1"/>
  <c r="AC8638" i="1" s="1"/>
  <c r="V8639" i="1"/>
  <c r="AC8639" i="1" s="1"/>
  <c r="V8640" i="1"/>
  <c r="AC8640" i="1" s="1"/>
  <c r="V8644" i="1"/>
  <c r="AC8644" i="1" s="1"/>
  <c r="V8642" i="1"/>
  <c r="AC8642" i="1" s="1"/>
  <c r="V8643" i="1"/>
  <c r="AC8643" i="1" s="1"/>
  <c r="V8641" i="1"/>
  <c r="AC8641" i="1" s="1"/>
  <c r="V8646" i="1"/>
  <c r="AC8646" i="1" s="1"/>
  <c r="V8647" i="1"/>
  <c r="AC8647" i="1" s="1"/>
  <c r="V8649" i="1"/>
  <c r="AC8649" i="1" s="1"/>
  <c r="V8775" i="1"/>
  <c r="AC8775" i="1" s="1"/>
  <c r="V8651" i="1"/>
  <c r="AC8651" i="1" s="1"/>
  <c r="V8652" i="1"/>
  <c r="AC8652" i="1" s="1"/>
  <c r="V8653" i="1"/>
  <c r="AC8653" i="1" s="1"/>
  <c r="V8654" i="1"/>
  <c r="AC8654" i="1" s="1"/>
  <c r="V8655" i="1"/>
  <c r="AC8655" i="1" s="1"/>
  <c r="V8656" i="1"/>
  <c r="AC8656" i="1" s="1"/>
  <c r="V8657" i="1"/>
  <c r="AC8657" i="1" s="1"/>
  <c r="V8658" i="1"/>
  <c r="AC8658" i="1" s="1"/>
  <c r="V8659" i="1"/>
  <c r="AC8659" i="1" s="1"/>
  <c r="V8660" i="1"/>
  <c r="AC8660" i="1" s="1"/>
  <c r="V8661" i="1"/>
  <c r="AC8661" i="1" s="1"/>
  <c r="V8662" i="1"/>
  <c r="AC8662" i="1" s="1"/>
  <c r="V8665" i="1"/>
  <c r="AC8665" i="1" s="1"/>
  <c r="V8664" i="1"/>
  <c r="AC8664" i="1" s="1"/>
  <c r="V8663" i="1"/>
  <c r="AC8663" i="1" s="1"/>
  <c r="V8667" i="1"/>
  <c r="AC8667" i="1" s="1"/>
  <c r="V8668" i="1"/>
  <c r="AC8668" i="1" s="1"/>
  <c r="V8670" i="1"/>
  <c r="AC8670" i="1" s="1"/>
  <c r="V8671" i="1"/>
  <c r="AC8671" i="1" s="1"/>
  <c r="V8672" i="1"/>
  <c r="AC8672" i="1" s="1"/>
  <c r="V8673" i="1"/>
  <c r="AC8673" i="1" s="1"/>
  <c r="V8674" i="1"/>
  <c r="AC8674" i="1" s="1"/>
  <c r="V8675" i="1"/>
  <c r="AC8675" i="1" s="1"/>
  <c r="V8677" i="1"/>
  <c r="AC8677" i="1" s="1"/>
  <c r="V8676" i="1"/>
  <c r="AC8676" i="1" s="1"/>
  <c r="V8678" i="1"/>
  <c r="AC8678" i="1" s="1"/>
  <c r="V8679" i="1"/>
  <c r="AC8679" i="1" s="1"/>
  <c r="V8681" i="1"/>
  <c r="AC8681" i="1" s="1"/>
  <c r="V9048" i="1"/>
  <c r="AC9048" i="1" s="1"/>
  <c r="V8682" i="1"/>
  <c r="AC8682" i="1" s="1"/>
  <c r="V8683" i="1"/>
  <c r="AC8683" i="1" s="1"/>
  <c r="V8684" i="1"/>
  <c r="AC8684" i="1" s="1"/>
  <c r="V8685" i="1"/>
  <c r="AC8685" i="1" s="1"/>
  <c r="V8687" i="1"/>
  <c r="AC8687" i="1" s="1"/>
  <c r="V8689" i="1"/>
  <c r="AC8689" i="1" s="1"/>
  <c r="V8688" i="1"/>
  <c r="AC8688" i="1" s="1"/>
  <c r="AB9722" i="1"/>
  <c r="V9722" i="1"/>
  <c r="AC9722" i="1" s="1"/>
  <c r="V10216" i="1"/>
  <c r="AC10216" i="1" s="1"/>
  <c r="AB10216" i="1"/>
  <c r="V8690" i="1"/>
  <c r="AC8690" i="1" s="1"/>
  <c r="V8692" i="1"/>
  <c r="AC8692" i="1" s="1"/>
  <c r="V8693" i="1"/>
  <c r="AC8693" i="1" s="1"/>
  <c r="V8694" i="1"/>
  <c r="AC8694" i="1" s="1"/>
  <c r="V8695" i="1"/>
  <c r="AC8695" i="1" s="1"/>
  <c r="V8696" i="1"/>
  <c r="AC8696" i="1" s="1"/>
  <c r="V8697" i="1"/>
  <c r="AC8697" i="1" s="1"/>
  <c r="V8708" i="1"/>
  <c r="AC8708" i="1" s="1"/>
  <c r="V8719" i="1"/>
  <c r="AC8719" i="1" s="1"/>
  <c r="V8698" i="1"/>
  <c r="AC8698" i="1" s="1"/>
  <c r="V8710" i="1"/>
  <c r="AC8710" i="1" s="1"/>
  <c r="V8714" i="1"/>
  <c r="AC8714" i="1" s="1"/>
  <c r="V8701" i="1"/>
  <c r="AC8701" i="1" s="1"/>
  <c r="V8711" i="1"/>
  <c r="AC8711" i="1" s="1"/>
  <c r="V8703" i="1"/>
  <c r="AC8703" i="1" s="1"/>
  <c r="V8709" i="1"/>
  <c r="AC8709" i="1" s="1"/>
  <c r="V8704" i="1"/>
  <c r="AC8704" i="1" s="1"/>
  <c r="V8713" i="1"/>
  <c r="AC8713" i="1" s="1"/>
  <c r="V8699" i="1"/>
  <c r="AC8699" i="1" s="1"/>
  <c r="V8707" i="1"/>
  <c r="AC8707" i="1" s="1"/>
  <c r="V8705" i="1"/>
  <c r="AC8705" i="1" s="1"/>
  <c r="V8706" i="1"/>
  <c r="AC8706" i="1" s="1"/>
  <c r="V8715" i="1"/>
  <c r="AC8715" i="1" s="1"/>
  <c r="V8700" i="1"/>
  <c r="AC8700" i="1" s="1"/>
  <c r="V8702" i="1"/>
  <c r="AC8702" i="1" s="1"/>
  <c r="V9006" i="1"/>
  <c r="AC9006" i="1" s="1"/>
  <c r="AB9006" i="1"/>
  <c r="V8724" i="1"/>
  <c r="AC8724" i="1" s="1"/>
  <c r="AB8724" i="1"/>
  <c r="V8900" i="1"/>
  <c r="AC8900" i="1" s="1"/>
  <c r="AB8900" i="1"/>
  <c r="Z9301" i="1"/>
  <c r="V9301" i="1"/>
  <c r="AC9301" i="1" s="1"/>
  <c r="AB9301" i="1"/>
  <c r="V8717" i="1"/>
  <c r="AC8717" i="1" s="1"/>
  <c r="V8728" i="1"/>
  <c r="AC8728" i="1" s="1"/>
  <c r="V8729" i="1"/>
  <c r="AC8729" i="1" s="1"/>
  <c r="V8730" i="1"/>
  <c r="AC8730" i="1" s="1"/>
  <c r="V8731" i="1"/>
  <c r="AC8731" i="1" s="1"/>
  <c r="V8732" i="1"/>
  <c r="AC8732" i="1" s="1"/>
  <c r="V8733" i="1"/>
  <c r="AC8733" i="1" s="1"/>
  <c r="V8734" i="1"/>
  <c r="AC8734" i="1" s="1"/>
  <c r="V8735" i="1"/>
  <c r="AC8735" i="1" s="1"/>
  <c r="V8736" i="1"/>
  <c r="AC8736" i="1" s="1"/>
  <c r="V8737" i="1"/>
  <c r="AC8737" i="1" s="1"/>
  <c r="V8738" i="1"/>
  <c r="AC8738" i="1" s="1"/>
  <c r="V8739" i="1"/>
  <c r="AC8739" i="1" s="1"/>
  <c r="V8740" i="1"/>
  <c r="AC8740" i="1" s="1"/>
  <c r="V8742" i="1"/>
  <c r="AC8742" i="1" s="1"/>
  <c r="V8741" i="1"/>
  <c r="AC8741" i="1" s="1"/>
  <c r="V8743" i="1"/>
  <c r="AC8743" i="1" s="1"/>
  <c r="V8744" i="1"/>
  <c r="AC8744" i="1" s="1"/>
  <c r="V8745" i="1"/>
  <c r="AC8745" i="1" s="1"/>
  <c r="V8754" i="1"/>
  <c r="AC8754" i="1" s="1"/>
  <c r="V8749" i="1"/>
  <c r="AC8749" i="1" s="1"/>
  <c r="V8748" i="1"/>
  <c r="AC8748" i="1" s="1"/>
  <c r="V8752" i="1"/>
  <c r="AC8752" i="1" s="1"/>
  <c r="V8747" i="1"/>
  <c r="AC8747" i="1" s="1"/>
  <c r="V8755" i="1"/>
  <c r="AC8755" i="1" s="1"/>
  <c r="V8753" i="1"/>
  <c r="AC8753" i="1" s="1"/>
  <c r="V8746" i="1"/>
  <c r="AC8746" i="1" s="1"/>
  <c r="V8756" i="1"/>
  <c r="AC8756" i="1" s="1"/>
  <c r="V8757" i="1"/>
  <c r="AC8757" i="1" s="1"/>
  <c r="V8760" i="1"/>
  <c r="AC8760" i="1" s="1"/>
  <c r="V8759" i="1"/>
  <c r="AC8759" i="1" s="1"/>
  <c r="V8758" i="1"/>
  <c r="AC8758" i="1" s="1"/>
  <c r="V8761" i="1"/>
  <c r="AC8761" i="1" s="1"/>
  <c r="V8762" i="1"/>
  <c r="AC8762" i="1" s="1"/>
  <c r="V8764" i="1"/>
  <c r="AC8764" i="1" s="1"/>
  <c r="V8763" i="1"/>
  <c r="AC8763" i="1" s="1"/>
  <c r="V8765" i="1"/>
  <c r="AC8765" i="1" s="1"/>
  <c r="V8769" i="1"/>
  <c r="AC8769" i="1" s="1"/>
  <c r="V8770" i="1"/>
  <c r="AC8770" i="1" s="1"/>
  <c r="V8771" i="1"/>
  <c r="AC8771" i="1" s="1"/>
  <c r="V8767" i="1"/>
  <c r="AC8767" i="1" s="1"/>
  <c r="V8768" i="1"/>
  <c r="AC8768" i="1" s="1"/>
  <c r="V8773" i="1"/>
  <c r="AC8773" i="1" s="1"/>
  <c r="V8772" i="1"/>
  <c r="AC8772" i="1" s="1"/>
  <c r="V8776" i="1"/>
  <c r="AC8776" i="1" s="1"/>
  <c r="V8777" i="1"/>
  <c r="AC8777" i="1" s="1"/>
  <c r="V8774" i="1"/>
  <c r="AC8774" i="1" s="1"/>
  <c r="V8779" i="1"/>
  <c r="AC8779" i="1" s="1"/>
  <c r="V8782" i="1"/>
  <c r="AC8782" i="1" s="1"/>
  <c r="V8781" i="1"/>
  <c r="AC8781" i="1" s="1"/>
  <c r="V8783" i="1"/>
  <c r="AC8783" i="1" s="1"/>
  <c r="V8785" i="1"/>
  <c r="AC8785" i="1" s="1"/>
  <c r="V8786" i="1"/>
  <c r="AC8786" i="1" s="1"/>
  <c r="V8787" i="1"/>
  <c r="AC8787" i="1" s="1"/>
  <c r="V8788" i="1"/>
  <c r="AC8788" i="1" s="1"/>
  <c r="V8790" i="1"/>
  <c r="AC8790" i="1" s="1"/>
  <c r="V8791" i="1"/>
  <c r="AC8791" i="1" s="1"/>
  <c r="V8799" i="1"/>
  <c r="AC8799" i="1" s="1"/>
  <c r="V8794" i="1"/>
  <c r="AC8794" i="1" s="1"/>
  <c r="V8792" i="1"/>
  <c r="AC8792" i="1" s="1"/>
  <c r="V8797" i="1"/>
  <c r="AC8797" i="1" s="1"/>
  <c r="V8796" i="1"/>
  <c r="AC8796" i="1" s="1"/>
  <c r="V8795" i="1"/>
  <c r="AC8795" i="1" s="1"/>
  <c r="V8798" i="1"/>
  <c r="AC8798" i="1" s="1"/>
  <c r="V8793" i="1"/>
  <c r="AC8793" i="1" s="1"/>
  <c r="V8800" i="1"/>
  <c r="AC8800" i="1" s="1"/>
  <c r="V8801" i="1"/>
  <c r="AC8801" i="1" s="1"/>
  <c r="V8802" i="1"/>
  <c r="AC8802" i="1" s="1"/>
  <c r="V8807" i="1"/>
  <c r="AC8807" i="1" s="1"/>
  <c r="V8806" i="1"/>
  <c r="AC8806" i="1" s="1"/>
  <c r="V8805" i="1"/>
  <c r="AC8805" i="1" s="1"/>
  <c r="V8804" i="1"/>
  <c r="AC8804" i="1" s="1"/>
  <c r="V8808" i="1"/>
  <c r="AC8808" i="1" s="1"/>
  <c r="V564" i="1"/>
  <c r="AC564" i="1" s="1"/>
  <c r="V559" i="1"/>
  <c r="AC559" i="1" s="1"/>
  <c r="V560" i="1"/>
  <c r="AC560" i="1" s="1"/>
  <c r="V558" i="1"/>
  <c r="AC558" i="1" s="1"/>
  <c r="V557" i="1"/>
  <c r="AC557" i="1" s="1"/>
  <c r="V554" i="1"/>
  <c r="AC554" i="1" s="1"/>
  <c r="V556" i="1"/>
  <c r="AC556" i="1" s="1"/>
  <c r="V553" i="1"/>
  <c r="AC553" i="1" s="1"/>
  <c r="V551" i="1"/>
  <c r="AC551" i="1" s="1"/>
  <c r="V546" i="1"/>
  <c r="AC546" i="1" s="1"/>
  <c r="V543" i="1"/>
  <c r="AC543" i="1" s="1"/>
  <c r="V544" i="1"/>
  <c r="AC544" i="1" s="1"/>
  <c r="V545" i="1"/>
  <c r="AC545" i="1" s="1"/>
  <c r="V541" i="1"/>
  <c r="AC541" i="1" s="1"/>
  <c r="V540" i="1"/>
  <c r="AC540" i="1" s="1"/>
  <c r="V539" i="1"/>
  <c r="AC539" i="1" s="1"/>
  <c r="V537" i="1"/>
  <c r="AC537" i="1" s="1"/>
  <c r="V532" i="1"/>
  <c r="AC532" i="1" s="1"/>
  <c r="V533" i="1"/>
  <c r="AC533" i="1" s="1"/>
  <c r="V534" i="1"/>
  <c r="AC534" i="1" s="1"/>
  <c r="V531" i="1"/>
  <c r="AC531" i="1" s="1"/>
  <c r="V528" i="1"/>
  <c r="AC528" i="1" s="1"/>
  <c r="V529" i="1"/>
  <c r="AC529" i="1" s="1"/>
  <c r="V8565" i="1"/>
  <c r="AC8565" i="1" s="1"/>
  <c r="V8809" i="1"/>
  <c r="AC8809" i="1" s="1"/>
  <c r="V8811" i="1"/>
  <c r="AC8811" i="1" s="1"/>
  <c r="V8812" i="1"/>
  <c r="AC8812" i="1" s="1"/>
  <c r="V8813" i="1"/>
  <c r="AC8813" i="1" s="1"/>
  <c r="V8814" i="1"/>
  <c r="AC8814" i="1" s="1"/>
  <c r="V8819" i="1"/>
  <c r="AC8819" i="1" s="1"/>
  <c r="V8820" i="1"/>
  <c r="AC8820" i="1" s="1"/>
  <c r="V8818" i="1"/>
  <c r="AC8818" i="1" s="1"/>
  <c r="V8817" i="1"/>
  <c r="AC8817" i="1" s="1"/>
  <c r="V8816" i="1"/>
  <c r="AC8816" i="1" s="1"/>
  <c r="V8821" i="1"/>
  <c r="AC8821" i="1" s="1"/>
  <c r="V8815" i="1"/>
  <c r="AC8815" i="1" s="1"/>
  <c r="V8823" i="1"/>
  <c r="AC8823" i="1" s="1"/>
  <c r="V8824" i="1"/>
  <c r="AC8824" i="1" s="1"/>
  <c r="V8825" i="1"/>
  <c r="AC8825" i="1" s="1"/>
  <c r="V8827" i="1"/>
  <c r="AC8827" i="1" s="1"/>
  <c r="V8829" i="1"/>
  <c r="AC8829" i="1" s="1"/>
  <c r="V8828" i="1"/>
  <c r="AC8828" i="1" s="1"/>
  <c r="V8826" i="1"/>
  <c r="AC8826" i="1" s="1"/>
  <c r="V8830" i="1"/>
  <c r="AC8830" i="1" s="1"/>
  <c r="V8831" i="1"/>
  <c r="AC8831" i="1" s="1"/>
  <c r="V8832" i="1"/>
  <c r="AC8832" i="1" s="1"/>
  <c r="V8833" i="1"/>
  <c r="AC8833" i="1" s="1"/>
  <c r="V8835" i="1"/>
  <c r="AC8835" i="1" s="1"/>
  <c r="V8837" i="1"/>
  <c r="AC8837" i="1" s="1"/>
  <c r="V8836" i="1"/>
  <c r="AC8836" i="1" s="1"/>
  <c r="V8840" i="1"/>
  <c r="AC8840" i="1" s="1"/>
  <c r="V8838" i="1"/>
  <c r="AC8838" i="1" s="1"/>
  <c r="V8839" i="1"/>
  <c r="AC8839" i="1" s="1"/>
  <c r="V8841" i="1"/>
  <c r="AC8841" i="1" s="1"/>
  <c r="V8849" i="1"/>
  <c r="AC8849" i="1" s="1"/>
  <c r="V8845" i="1"/>
  <c r="AC8845" i="1" s="1"/>
  <c r="V8843" i="1"/>
  <c r="AC8843" i="1" s="1"/>
  <c r="V8846" i="1"/>
  <c r="AC8846" i="1" s="1"/>
  <c r="V8844" i="1"/>
  <c r="AC8844" i="1" s="1"/>
  <c r="V8850" i="1"/>
  <c r="AC8850" i="1" s="1"/>
  <c r="V8847" i="1"/>
  <c r="AC8847" i="1" s="1"/>
  <c r="V8852" i="1"/>
  <c r="AC8852" i="1" s="1"/>
  <c r="V8853" i="1"/>
  <c r="AC8853" i="1" s="1"/>
  <c r="V8854" i="1"/>
  <c r="AC8854" i="1" s="1"/>
  <c r="V8855" i="1"/>
  <c r="AC8855" i="1" s="1"/>
  <c r="V8857" i="1"/>
  <c r="AC8857" i="1" s="1"/>
  <c r="V8858" i="1"/>
  <c r="AC8858" i="1" s="1"/>
  <c r="V8859" i="1"/>
  <c r="AC8859" i="1" s="1"/>
  <c r="V8860" i="1"/>
  <c r="AC8860" i="1" s="1"/>
  <c r="V8863" i="1"/>
  <c r="AC8863" i="1" s="1"/>
  <c r="V8864" i="1"/>
  <c r="AC8864" i="1" s="1"/>
  <c r="V8866" i="1"/>
  <c r="AC8866" i="1" s="1"/>
  <c r="V8865" i="1"/>
  <c r="AC8865" i="1" s="1"/>
  <c r="V8867" i="1"/>
  <c r="AC8867" i="1" s="1"/>
  <c r="V8869" i="1"/>
  <c r="AC8869" i="1" s="1"/>
  <c r="V8872" i="1"/>
  <c r="AC8872" i="1" s="1"/>
  <c r="V8870" i="1"/>
  <c r="AC8870" i="1" s="1"/>
  <c r="V8868" i="1"/>
  <c r="AC8868" i="1" s="1"/>
  <c r="V8871" i="1"/>
  <c r="AC8871" i="1" s="1"/>
  <c r="V8876" i="1"/>
  <c r="AC8876" i="1" s="1"/>
  <c r="V8877" i="1"/>
  <c r="AC8877" i="1" s="1"/>
  <c r="V8878" i="1"/>
  <c r="AC8878" i="1" s="1"/>
  <c r="V8879" i="1"/>
  <c r="AC8879" i="1" s="1"/>
  <c r="V8881" i="1"/>
  <c r="AC8881" i="1" s="1"/>
  <c r="V8880" i="1"/>
  <c r="AC8880" i="1" s="1"/>
  <c r="V8883" i="1"/>
  <c r="AC8883" i="1" s="1"/>
  <c r="V8882" i="1"/>
  <c r="AC8882" i="1" s="1"/>
  <c r="V8885" i="1"/>
  <c r="AC8885" i="1" s="1"/>
  <c r="V8886" i="1"/>
  <c r="AC8886" i="1" s="1"/>
  <c r="V8889" i="1"/>
  <c r="AC8889" i="1" s="1"/>
  <c r="V8890" i="1"/>
  <c r="AC8890" i="1" s="1"/>
  <c r="V8888" i="1"/>
  <c r="AC8888" i="1" s="1"/>
  <c r="V8887" i="1"/>
  <c r="AC8887" i="1" s="1"/>
  <c r="V8891" i="1"/>
  <c r="AC8891" i="1" s="1"/>
  <c r="V8892" i="1"/>
  <c r="AC8892" i="1" s="1"/>
  <c r="V8894" i="1"/>
  <c r="AC8894" i="1" s="1"/>
  <c r="V8893" i="1"/>
  <c r="AC8893" i="1" s="1"/>
  <c r="V8895" i="1"/>
  <c r="AC8895" i="1" s="1"/>
  <c r="V8896" i="1"/>
  <c r="AC8896" i="1" s="1"/>
  <c r="V8897" i="1"/>
  <c r="AC8897" i="1" s="1"/>
  <c r="V8898" i="1"/>
  <c r="AC8898" i="1" s="1"/>
  <c r="V8899" i="1"/>
  <c r="AC8899" i="1" s="1"/>
  <c r="V8901" i="1"/>
  <c r="AC8901" i="1" s="1"/>
  <c r="V8903" i="1"/>
  <c r="AC8903" i="1" s="1"/>
  <c r="V8904" i="1"/>
  <c r="AC8904" i="1" s="1"/>
  <c r="V8902" i="1"/>
  <c r="AC8902" i="1" s="1"/>
  <c r="V8907" i="1"/>
  <c r="AC8907" i="1" s="1"/>
  <c r="V8908" i="1"/>
  <c r="AC8908" i="1" s="1"/>
  <c r="V8909" i="1"/>
  <c r="AC8909" i="1" s="1"/>
  <c r="V536" i="1"/>
  <c r="AC536" i="1" s="1"/>
  <c r="AB536" i="1"/>
  <c r="V2062" i="1"/>
  <c r="AC2062" i="1" s="1"/>
  <c r="AB2062" i="1"/>
  <c r="V8911" i="1"/>
  <c r="AC8911" i="1" s="1"/>
  <c r="V8912" i="1"/>
  <c r="AC8912" i="1" s="1"/>
  <c r="V8750" i="1"/>
  <c r="AC8750" i="1" s="1"/>
  <c r="AB8750" i="1"/>
  <c r="AB1486" i="1"/>
  <c r="AB504" i="1"/>
  <c r="AB121" i="1"/>
  <c r="V8914" i="1"/>
  <c r="AC8914" i="1" s="1"/>
  <c r="V8913" i="1"/>
  <c r="AC8913" i="1" s="1"/>
  <c r="V8916" i="1"/>
  <c r="AC8916" i="1" s="1"/>
  <c r="V8915" i="1"/>
  <c r="AC8915" i="1" s="1"/>
  <c r="V8918" i="1"/>
  <c r="AC8918" i="1" s="1"/>
  <c r="V8919" i="1"/>
  <c r="AC8919" i="1" s="1"/>
  <c r="V8920" i="1"/>
  <c r="AC8920" i="1" s="1"/>
  <c r="V8921" i="1"/>
  <c r="AC8921" i="1" s="1"/>
  <c r="V8922" i="1"/>
  <c r="AC8922" i="1" s="1"/>
  <c r="V8923" i="1"/>
  <c r="AC8923" i="1" s="1"/>
  <c r="V8924" i="1"/>
  <c r="AC8924" i="1" s="1"/>
  <c r="V8925" i="1"/>
  <c r="AC8925" i="1" s="1"/>
  <c r="V8926" i="1"/>
  <c r="AC8926" i="1" s="1"/>
  <c r="V8927" i="1"/>
  <c r="AC8927" i="1" s="1"/>
  <c r="V8930" i="1"/>
  <c r="AC8930" i="1" s="1"/>
  <c r="V8928" i="1"/>
  <c r="AC8928" i="1" s="1"/>
  <c r="V8931" i="1"/>
  <c r="AC8931" i="1" s="1"/>
  <c r="V8929" i="1"/>
  <c r="AC8929" i="1" s="1"/>
  <c r="V8932" i="1"/>
  <c r="AC8932" i="1" s="1"/>
  <c r="V8934" i="1"/>
  <c r="AC8934" i="1" s="1"/>
  <c r="V8933" i="1"/>
  <c r="AC8933" i="1" s="1"/>
  <c r="V8935" i="1"/>
  <c r="AC8935" i="1" s="1"/>
  <c r="V8936" i="1"/>
  <c r="AC8936" i="1" s="1"/>
  <c r="V8937" i="1"/>
  <c r="AC8937" i="1" s="1"/>
  <c r="V8938" i="1"/>
  <c r="AC8938" i="1" s="1"/>
  <c r="V8939" i="1"/>
  <c r="AC8939" i="1" s="1"/>
  <c r="V8941" i="1"/>
  <c r="AC8941" i="1" s="1"/>
  <c r="V8946" i="1"/>
  <c r="AC8946" i="1" s="1"/>
  <c r="V8944" i="1"/>
  <c r="AC8944" i="1" s="1"/>
  <c r="V530" i="1"/>
  <c r="AC530" i="1" s="1"/>
  <c r="V522" i="1"/>
  <c r="AC522" i="1" s="1"/>
  <c r="V520" i="1"/>
  <c r="AC520" i="1" s="1"/>
  <c r="V519" i="1"/>
  <c r="AC519" i="1" s="1"/>
  <c r="V518" i="1"/>
  <c r="AC518" i="1" s="1"/>
  <c r="V517" i="1"/>
  <c r="AC517" i="1" s="1"/>
  <c r="V516" i="1"/>
  <c r="AC516" i="1" s="1"/>
  <c r="V515" i="1"/>
  <c r="AC515" i="1" s="1"/>
  <c r="V514" i="1"/>
  <c r="AC514" i="1" s="1"/>
  <c r="V513" i="1"/>
  <c r="AC513" i="1" s="1"/>
  <c r="V512" i="1"/>
  <c r="AC512" i="1" s="1"/>
  <c r="V510" i="1"/>
  <c r="AC510" i="1" s="1"/>
  <c r="V509" i="1"/>
  <c r="AC509" i="1" s="1"/>
  <c r="V507" i="1"/>
  <c r="AC507" i="1" s="1"/>
  <c r="V506" i="1"/>
  <c r="AC506" i="1" s="1"/>
  <c r="V503" i="1"/>
  <c r="AC503" i="1" s="1"/>
  <c r="V502" i="1"/>
  <c r="AC502" i="1" s="1"/>
  <c r="V501" i="1"/>
  <c r="AC501" i="1" s="1"/>
  <c r="V499" i="1"/>
  <c r="AC499" i="1" s="1"/>
  <c r="V498" i="1"/>
  <c r="AC498" i="1" s="1"/>
  <c r="V500" i="1"/>
  <c r="AC500" i="1" s="1"/>
  <c r="V497" i="1"/>
  <c r="AC497" i="1" s="1"/>
  <c r="V496" i="1"/>
  <c r="AC496" i="1" s="1"/>
  <c r="V494" i="1"/>
  <c r="AC494" i="1" s="1"/>
  <c r="V491" i="1"/>
  <c r="AC491" i="1" s="1"/>
  <c r="V488" i="1"/>
  <c r="AC488" i="1" s="1"/>
  <c r="V484" i="1"/>
  <c r="AC484" i="1" s="1"/>
  <c r="V483" i="1"/>
  <c r="AC483" i="1" s="1"/>
  <c r="V482" i="1"/>
  <c r="AC482" i="1" s="1"/>
  <c r="V481" i="1"/>
  <c r="AC481" i="1" s="1"/>
  <c r="V480" i="1"/>
  <c r="AC480" i="1" s="1"/>
  <c r="V479" i="1"/>
  <c r="AC479" i="1" s="1"/>
  <c r="V478" i="1"/>
  <c r="AC478" i="1" s="1"/>
  <c r="V477" i="1"/>
  <c r="AC477" i="1" s="1"/>
  <c r="V476" i="1"/>
  <c r="AC476" i="1" s="1"/>
  <c r="V474" i="1"/>
  <c r="AC474" i="1" s="1"/>
  <c r="V473" i="1"/>
  <c r="AC473" i="1" s="1"/>
  <c r="V469" i="1"/>
  <c r="AC469" i="1" s="1"/>
  <c r="V468" i="1"/>
  <c r="AC468" i="1" s="1"/>
  <c r="V467" i="1"/>
  <c r="AC467" i="1" s="1"/>
  <c r="V466" i="1"/>
  <c r="AC466" i="1" s="1"/>
  <c r="V465" i="1"/>
  <c r="AC465" i="1" s="1"/>
  <c r="V464" i="1"/>
  <c r="AC464" i="1" s="1"/>
  <c r="V463" i="1"/>
  <c r="AC463" i="1" s="1"/>
  <c r="V461" i="1"/>
  <c r="AC461" i="1" s="1"/>
  <c r="V460" i="1"/>
  <c r="AC460" i="1" s="1"/>
  <c r="V459" i="1"/>
  <c r="AC459" i="1" s="1"/>
  <c r="V458" i="1"/>
  <c r="AC458" i="1" s="1"/>
  <c r="V457" i="1"/>
  <c r="AC457" i="1" s="1"/>
  <c r="V454" i="1"/>
  <c r="AC454" i="1" s="1"/>
  <c r="V453" i="1"/>
  <c r="AC453" i="1" s="1"/>
  <c r="V451" i="1"/>
  <c r="AC451" i="1" s="1"/>
  <c r="V449" i="1"/>
  <c r="AC449" i="1" s="1"/>
  <c r="V447" i="1"/>
  <c r="AC447" i="1" s="1"/>
  <c r="V446" i="1"/>
  <c r="AC446" i="1" s="1"/>
  <c r="V444" i="1"/>
  <c r="AC444" i="1" s="1"/>
  <c r="V441" i="1"/>
  <c r="AC441" i="1" s="1"/>
  <c r="V442" i="1"/>
  <c r="AC442" i="1" s="1"/>
  <c r="V440" i="1"/>
  <c r="AC440" i="1" s="1"/>
  <c r="V8357" i="1"/>
  <c r="AC8357" i="1" s="1"/>
  <c r="AB8357" i="1"/>
  <c r="V439" i="1"/>
  <c r="AC439" i="1" s="1"/>
  <c r="V438" i="1"/>
  <c r="AC438" i="1" s="1"/>
  <c r="V437" i="1"/>
  <c r="AC437" i="1" s="1"/>
  <c r="V436" i="1"/>
  <c r="AC436" i="1" s="1"/>
  <c r="V434" i="1"/>
  <c r="AC434" i="1" s="1"/>
  <c r="V433" i="1"/>
  <c r="AC433" i="1" s="1"/>
  <c r="V429" i="1"/>
  <c r="AC429" i="1" s="1"/>
  <c r="V432" i="1"/>
  <c r="AC432" i="1" s="1"/>
  <c r="V430" i="1"/>
  <c r="AC430" i="1" s="1"/>
  <c r="V426" i="1"/>
  <c r="AC426" i="1" s="1"/>
  <c r="V428" i="1"/>
  <c r="AC428" i="1" s="1"/>
  <c r="V427" i="1"/>
  <c r="AC427" i="1" s="1"/>
  <c r="V425" i="1"/>
  <c r="AC425" i="1" s="1"/>
  <c r="V424" i="1"/>
  <c r="AC424" i="1" s="1"/>
  <c r="V420" i="1"/>
  <c r="AC420" i="1" s="1"/>
  <c r="V422" i="1"/>
  <c r="AC422" i="1" s="1"/>
  <c r="V418" i="1"/>
  <c r="AC418" i="1" s="1"/>
  <c r="V417" i="1"/>
  <c r="AC417" i="1" s="1"/>
  <c r="V416" i="1"/>
  <c r="AC416" i="1" s="1"/>
  <c r="V415" i="1"/>
  <c r="AC415" i="1" s="1"/>
  <c r="V414" i="1"/>
  <c r="AC414" i="1" s="1"/>
  <c r="V413" i="1"/>
  <c r="AC413" i="1" s="1"/>
  <c r="V410" i="1"/>
  <c r="AC410" i="1" s="1"/>
  <c r="V407" i="1"/>
  <c r="AC407" i="1" s="1"/>
  <c r="V406" i="1"/>
  <c r="AC406" i="1" s="1"/>
  <c r="V405" i="1"/>
  <c r="AC405" i="1" s="1"/>
  <c r="V404" i="1"/>
  <c r="AC404" i="1" s="1"/>
  <c r="V402" i="1"/>
  <c r="AC402" i="1" s="1"/>
  <c r="V401" i="1"/>
  <c r="AC401" i="1" s="1"/>
  <c r="V400" i="1"/>
  <c r="AC400" i="1" s="1"/>
  <c r="V399" i="1"/>
  <c r="AC399" i="1" s="1"/>
  <c r="V397" i="1"/>
  <c r="AC397" i="1" s="1"/>
  <c r="V398" i="1"/>
  <c r="AC398" i="1" s="1"/>
  <c r="V8942" i="1"/>
  <c r="AC8942" i="1" s="1"/>
  <c r="V8943" i="1"/>
  <c r="AC8943" i="1" s="1"/>
  <c r="V8947" i="1"/>
  <c r="AC8947" i="1" s="1"/>
  <c r="V8948" i="1"/>
  <c r="AC8948" i="1" s="1"/>
  <c r="V8949" i="1"/>
  <c r="AC8949" i="1" s="1"/>
  <c r="V8952" i="1"/>
  <c r="AC8952" i="1" s="1"/>
  <c r="V8951" i="1"/>
  <c r="AC8951" i="1" s="1"/>
  <c r="V8954" i="1"/>
  <c r="AC8954" i="1" s="1"/>
  <c r="V8953" i="1"/>
  <c r="AC8953" i="1" s="1"/>
  <c r="V8956" i="1"/>
  <c r="AC8956" i="1" s="1"/>
  <c r="V8955" i="1"/>
  <c r="AC8955" i="1" s="1"/>
  <c r="V8957" i="1"/>
  <c r="AC8957" i="1" s="1"/>
  <c r="V8958" i="1"/>
  <c r="AC8958" i="1" s="1"/>
  <c r="V8961" i="1"/>
  <c r="AC8961" i="1" s="1"/>
  <c r="V8959" i="1"/>
  <c r="AC8959" i="1" s="1"/>
  <c r="V8962" i="1"/>
  <c r="AC8962" i="1" s="1"/>
  <c r="V8960" i="1"/>
  <c r="AC8960" i="1" s="1"/>
  <c r="V8964" i="1"/>
  <c r="AC8964" i="1" s="1"/>
  <c r="V8965" i="1"/>
  <c r="AC8965" i="1" s="1"/>
  <c r="V8966" i="1"/>
  <c r="AC8966" i="1" s="1"/>
  <c r="V8967" i="1"/>
  <c r="AC8967" i="1" s="1"/>
  <c r="V8969" i="1"/>
  <c r="AC8969" i="1" s="1"/>
  <c r="V8968" i="1"/>
  <c r="AC8968" i="1" s="1"/>
  <c r="V8971" i="1"/>
  <c r="AC8971" i="1" s="1"/>
  <c r="V8970" i="1"/>
  <c r="AC8970" i="1" s="1"/>
  <c r="V8972" i="1"/>
  <c r="AC8972" i="1" s="1"/>
  <c r="V8974" i="1"/>
  <c r="AC8974" i="1" s="1"/>
  <c r="V8975" i="1"/>
  <c r="AC8975" i="1" s="1"/>
  <c r="V8977" i="1"/>
  <c r="AC8977" i="1" s="1"/>
  <c r="V9000" i="1"/>
  <c r="AC9000" i="1" s="1"/>
  <c r="V8979" i="1"/>
  <c r="AC8979" i="1" s="1"/>
  <c r="V8981" i="1"/>
  <c r="AC8981" i="1" s="1"/>
  <c r="V8987" i="1"/>
  <c r="AC8987" i="1" s="1"/>
  <c r="V8991" i="1"/>
  <c r="AC8991" i="1" s="1"/>
  <c r="V8995" i="1"/>
  <c r="AC8995" i="1" s="1"/>
  <c r="V8989" i="1"/>
  <c r="AC8989" i="1" s="1"/>
  <c r="V8986" i="1"/>
  <c r="AC8986" i="1" s="1"/>
  <c r="AB10233" i="1"/>
  <c r="AB8474" i="1"/>
  <c r="AB8996" i="1"/>
  <c r="AB8263" i="1"/>
  <c r="V8263" i="1"/>
  <c r="AC8263" i="1" s="1"/>
  <c r="V8996" i="1"/>
  <c r="AC8996" i="1" s="1"/>
  <c r="V8474" i="1"/>
  <c r="AC8474" i="1" s="1"/>
  <c r="V8978" i="1"/>
  <c r="AC8978" i="1" s="1"/>
  <c r="V9004" i="1"/>
  <c r="AC9004" i="1" s="1"/>
  <c r="V8993" i="1"/>
  <c r="AC8993" i="1" s="1"/>
  <c r="V8985" i="1"/>
  <c r="AC8985" i="1" s="1"/>
  <c r="V8990" i="1"/>
  <c r="AC8990" i="1" s="1"/>
  <c r="V9008" i="1"/>
  <c r="AC9008" i="1" s="1"/>
  <c r="V8982" i="1"/>
  <c r="AC8982" i="1" s="1"/>
  <c r="V8984" i="1"/>
  <c r="AC8984" i="1" s="1"/>
  <c r="V8976" i="1"/>
  <c r="AC8976" i="1" s="1"/>
  <c r="V8992" i="1"/>
  <c r="AC8992" i="1" s="1"/>
  <c r="V8980" i="1"/>
  <c r="AC8980" i="1" s="1"/>
  <c r="V8988" i="1"/>
  <c r="AC8988" i="1" s="1"/>
  <c r="V8999" i="1"/>
  <c r="AC8999" i="1" s="1"/>
  <c r="V8983" i="1"/>
  <c r="AC8983" i="1" s="1"/>
  <c r="V8994" i="1"/>
  <c r="AC8994" i="1" s="1"/>
  <c r="V9002" i="1"/>
  <c r="AC9002" i="1" s="1"/>
  <c r="V9016" i="1"/>
  <c r="AC9016" i="1" s="1"/>
  <c r="V9017" i="1"/>
  <c r="AC9017" i="1" s="1"/>
  <c r="V9018" i="1"/>
  <c r="AC9018" i="1" s="1"/>
  <c r="V9019" i="1"/>
  <c r="AC9019" i="1" s="1"/>
  <c r="V9020" i="1"/>
  <c r="AC9020" i="1" s="1"/>
  <c r="V9021" i="1"/>
  <c r="AC9021" i="1" s="1"/>
  <c r="V9022" i="1"/>
  <c r="AC9022" i="1" s="1"/>
  <c r="V9023" i="1"/>
  <c r="AC9023" i="1" s="1"/>
  <c r="V9024" i="1"/>
  <c r="AC9024" i="1" s="1"/>
  <c r="V9025" i="1"/>
  <c r="AC9025" i="1" s="1"/>
  <c r="V9026" i="1"/>
  <c r="AC9026" i="1" s="1"/>
  <c r="V9027" i="1"/>
  <c r="AC9027" i="1" s="1"/>
  <c r="V9028" i="1"/>
  <c r="AC9028" i="1" s="1"/>
  <c r="V9029" i="1"/>
  <c r="AC9029" i="1" s="1"/>
  <c r="V9030" i="1"/>
  <c r="AC9030" i="1" s="1"/>
  <c r="V9031" i="1"/>
  <c r="AC9031" i="1" s="1"/>
  <c r="V9035" i="1"/>
  <c r="AC9035" i="1" s="1"/>
  <c r="V9032" i="1"/>
  <c r="AC9032" i="1" s="1"/>
  <c r="V9033" i="1"/>
  <c r="AC9033" i="1" s="1"/>
  <c r="V9034" i="1"/>
  <c r="AC9034" i="1" s="1"/>
  <c r="V9036" i="1"/>
  <c r="AC9036" i="1" s="1"/>
  <c r="V9038" i="1"/>
  <c r="AC9038" i="1" s="1"/>
  <c r="V9040" i="1"/>
  <c r="AC9040" i="1" s="1"/>
  <c r="V9037" i="1"/>
  <c r="AC9037" i="1" s="1"/>
  <c r="V9039" i="1"/>
  <c r="AC9039" i="1" s="1"/>
  <c r="V9041" i="1"/>
  <c r="AC9041" i="1" s="1"/>
  <c r="V9044" i="1"/>
  <c r="AC9044" i="1" s="1"/>
  <c r="V9043" i="1"/>
  <c r="AC9043" i="1" s="1"/>
  <c r="V9046" i="1"/>
  <c r="AC9046" i="1" s="1"/>
  <c r="V9051" i="1"/>
  <c r="AC9051" i="1" s="1"/>
  <c r="V9050" i="1"/>
  <c r="AC9050" i="1" s="1"/>
  <c r="V9049" i="1"/>
  <c r="AC9049" i="1" s="1"/>
  <c r="V9052" i="1"/>
  <c r="AC9052" i="1" s="1"/>
  <c r="V9054" i="1"/>
  <c r="AC9054" i="1" s="1"/>
  <c r="V9055" i="1"/>
  <c r="AC9055" i="1" s="1"/>
  <c r="V9057" i="1"/>
  <c r="AC9057" i="1" s="1"/>
  <c r="V9058" i="1"/>
  <c r="AC9058" i="1" s="1"/>
  <c r="V9061" i="1"/>
  <c r="AC9061" i="1" s="1"/>
  <c r="V9062" i="1"/>
  <c r="AC9062" i="1" s="1"/>
  <c r="V9060" i="1"/>
  <c r="AC9060" i="1" s="1"/>
  <c r="V9059" i="1"/>
  <c r="AC9059" i="1" s="1"/>
  <c r="V9064" i="1"/>
  <c r="AC9064" i="1" s="1"/>
  <c r="V9063" i="1"/>
  <c r="AC9063" i="1" s="1"/>
  <c r="V9067" i="1"/>
  <c r="AC9067" i="1" s="1"/>
  <c r="V9065" i="1"/>
  <c r="AC9065" i="1" s="1"/>
  <c r="V9066" i="1"/>
  <c r="AC9066" i="1" s="1"/>
  <c r="V9069" i="1"/>
  <c r="AC9069" i="1" s="1"/>
  <c r="V9070" i="1"/>
  <c r="AC9070" i="1" s="1"/>
  <c r="V9071" i="1"/>
  <c r="AC9071" i="1" s="1"/>
  <c r="V9073" i="1"/>
  <c r="AC9073" i="1" s="1"/>
  <c r="V9072" i="1"/>
  <c r="AC9072" i="1" s="1"/>
  <c r="V9074" i="1"/>
  <c r="AC9074" i="1" s="1"/>
  <c r="V9075" i="1"/>
  <c r="AC9075" i="1" s="1"/>
  <c r="V9076" i="1"/>
  <c r="AC9076" i="1" s="1"/>
  <c r="V9077" i="1"/>
  <c r="AC9077" i="1" s="1"/>
  <c r="V9078" i="1"/>
  <c r="AC9078" i="1" s="1"/>
  <c r="V9079" i="1"/>
  <c r="AC9079" i="1" s="1"/>
  <c r="V9085" i="1"/>
  <c r="AC9085" i="1" s="1"/>
  <c r="V9080" i="1"/>
  <c r="AC9080" i="1" s="1"/>
  <c r="V9091" i="1"/>
  <c r="AC9091" i="1" s="1"/>
  <c r="V9083" i="1"/>
  <c r="AC9083" i="1" s="1"/>
  <c r="V9081" i="1"/>
  <c r="AC9081" i="1" s="1"/>
  <c r="V9087" i="1"/>
  <c r="AC9087" i="1" s="1"/>
  <c r="V9082" i="1"/>
  <c r="AC9082" i="1" s="1"/>
  <c r="V9090" i="1"/>
  <c r="AC9090" i="1" s="1"/>
  <c r="V9092" i="1"/>
  <c r="AC9092" i="1" s="1"/>
  <c r="V9088" i="1"/>
  <c r="AC9088" i="1" s="1"/>
  <c r="V9084" i="1"/>
  <c r="AC9084" i="1" s="1"/>
  <c r="V9089" i="1"/>
  <c r="AC9089" i="1" s="1"/>
  <c r="V9094" i="1"/>
  <c r="AC9094" i="1" s="1"/>
  <c r="V9096" i="1"/>
  <c r="AC9096" i="1" s="1"/>
  <c r="V9097" i="1"/>
  <c r="AC9097" i="1" s="1"/>
  <c r="V9102" i="1"/>
  <c r="AC9102" i="1" s="1"/>
  <c r="V9098" i="1"/>
  <c r="AC9098" i="1" s="1"/>
  <c r="V9100" i="1"/>
  <c r="AC9100" i="1" s="1"/>
  <c r="V9104" i="1"/>
  <c r="AC9104" i="1" s="1"/>
  <c r="V9101" i="1"/>
  <c r="AC9101" i="1" s="1"/>
  <c r="V9099" i="1"/>
  <c r="AC9099" i="1" s="1"/>
  <c r="V9103" i="1"/>
  <c r="AC9103" i="1" s="1"/>
  <c r="V9105" i="1"/>
  <c r="AC9105" i="1" s="1"/>
  <c r="V9106" i="1"/>
  <c r="AC9106" i="1" s="1"/>
  <c r="V9108" i="1"/>
  <c r="AC9108" i="1" s="1"/>
  <c r="V9107" i="1"/>
  <c r="AC9107" i="1" s="1"/>
  <c r="V9109" i="1"/>
  <c r="AC9109" i="1" s="1"/>
  <c r="V9111" i="1"/>
  <c r="AC9111" i="1" s="1"/>
  <c r="V9117" i="1"/>
  <c r="AC9117" i="1" s="1"/>
  <c r="V9113" i="1"/>
  <c r="AC9113" i="1" s="1"/>
  <c r="V9120" i="1"/>
  <c r="AC9120" i="1" s="1"/>
  <c r="V9118" i="1"/>
  <c r="AC9118" i="1" s="1"/>
  <c r="V9115" i="1"/>
  <c r="AC9115" i="1" s="1"/>
  <c r="V9112" i="1"/>
  <c r="AC9112" i="1" s="1"/>
  <c r="V9114" i="1"/>
  <c r="AC9114" i="1" s="1"/>
  <c r="V9121" i="1"/>
  <c r="AC9121" i="1" s="1"/>
  <c r="V9116" i="1"/>
  <c r="AC9116" i="1" s="1"/>
  <c r="V9119" i="1"/>
  <c r="AC9119" i="1" s="1"/>
  <c r="V9125" i="1"/>
  <c r="AC9125" i="1" s="1"/>
  <c r="V9127" i="1"/>
  <c r="AC9127" i="1" s="1"/>
  <c r="V9129" i="1"/>
  <c r="AC9129" i="1" s="1"/>
  <c r="V9128" i="1"/>
  <c r="AC9128" i="1" s="1"/>
  <c r="V9130" i="1"/>
  <c r="AC9130" i="1" s="1"/>
  <c r="V9131" i="1"/>
  <c r="AC9131" i="1" s="1"/>
  <c r="V9132" i="1"/>
  <c r="AC9132" i="1" s="1"/>
  <c r="V9133" i="1"/>
  <c r="AC9133" i="1" s="1"/>
  <c r="V9134" i="1"/>
  <c r="AC9134" i="1" s="1"/>
  <c r="V9135" i="1"/>
  <c r="AC9135" i="1" s="1"/>
  <c r="V9136" i="1"/>
  <c r="AC9136" i="1" s="1"/>
  <c r="V9140" i="1"/>
  <c r="AC9140" i="1" s="1"/>
  <c r="V9138" i="1"/>
  <c r="AC9138" i="1" s="1"/>
  <c r="V9139" i="1"/>
  <c r="AC9139" i="1" s="1"/>
  <c r="V9137" i="1"/>
  <c r="AC9137" i="1" s="1"/>
  <c r="V9141" i="1"/>
  <c r="AC9141" i="1" s="1"/>
  <c r="V9142" i="1"/>
  <c r="AC9142" i="1" s="1"/>
  <c r="V9143" i="1"/>
  <c r="AC9143" i="1" s="1"/>
  <c r="V9146" i="1"/>
  <c r="AC9146" i="1" s="1"/>
  <c r="V9145" i="1"/>
  <c r="AC9145" i="1" s="1"/>
  <c r="V9144" i="1"/>
  <c r="AC9144" i="1" s="1"/>
  <c r="V9147" i="1"/>
  <c r="AC9147" i="1" s="1"/>
  <c r="V9148" i="1"/>
  <c r="AC9148" i="1" s="1"/>
  <c r="V9149" i="1"/>
  <c r="AC9149" i="1" s="1"/>
  <c r="V9150" i="1"/>
  <c r="AC9150" i="1" s="1"/>
  <c r="V10233" i="1"/>
  <c r="AC10233" i="1" s="1"/>
  <c r="V9151" i="1"/>
  <c r="AC9151" i="1" s="1"/>
  <c r="V9154" i="1"/>
  <c r="AC9154" i="1" s="1"/>
  <c r="V9153" i="1"/>
  <c r="AC9153" i="1" s="1"/>
  <c r="V9155" i="1"/>
  <c r="AC9155" i="1" s="1"/>
  <c r="V9156" i="1"/>
  <c r="AC9156" i="1" s="1"/>
  <c r="V9157" i="1"/>
  <c r="AC9157" i="1" s="1"/>
  <c r="V9158" i="1"/>
  <c r="AC9158" i="1" s="1"/>
  <c r="V9159" i="1"/>
  <c r="AC9159" i="1" s="1"/>
  <c r="V9160" i="1"/>
  <c r="AC9160" i="1" s="1"/>
  <c r="V9161" i="1"/>
  <c r="AC9161" i="1" s="1"/>
  <c r="V9162" i="1"/>
  <c r="AC9162" i="1" s="1"/>
  <c r="V9163" i="1"/>
  <c r="AC9163" i="1" s="1"/>
  <c r="V9164" i="1"/>
  <c r="AC9164" i="1" s="1"/>
  <c r="V9165" i="1"/>
  <c r="AC9165" i="1" s="1"/>
  <c r="V9166" i="1"/>
  <c r="AC9166" i="1" s="1"/>
  <c r="V9167" i="1"/>
  <c r="AC9167" i="1" s="1"/>
  <c r="V9168" i="1"/>
  <c r="AC9168" i="1" s="1"/>
  <c r="V395" i="1"/>
  <c r="AC395" i="1" s="1"/>
  <c r="V393" i="1"/>
  <c r="AC393" i="1" s="1"/>
  <c r="V394" i="1"/>
  <c r="AC394" i="1" s="1"/>
  <c r="V391" i="1"/>
  <c r="AC391" i="1" s="1"/>
  <c r="V390" i="1"/>
  <c r="AC390" i="1" s="1"/>
  <c r="V389" i="1"/>
  <c r="AC389" i="1" s="1"/>
  <c r="V386" i="1"/>
  <c r="AC386" i="1" s="1"/>
  <c r="V384" i="1"/>
  <c r="AC384" i="1" s="1"/>
  <c r="V385" i="1"/>
  <c r="AC385" i="1" s="1"/>
  <c r="V383" i="1"/>
  <c r="AC383" i="1" s="1"/>
  <c r="V380" i="1"/>
  <c r="AC380" i="1" s="1"/>
  <c r="V378" i="1"/>
  <c r="AC378" i="1" s="1"/>
  <c r="V373" i="1"/>
  <c r="AC373" i="1" s="1"/>
  <c r="V372" i="1"/>
  <c r="AC372" i="1" s="1"/>
  <c r="V493" i="1"/>
  <c r="AC493" i="1" s="1"/>
  <c r="V370" i="1"/>
  <c r="AC370" i="1" s="1"/>
  <c r="V371" i="1"/>
  <c r="AC371" i="1" s="1"/>
  <c r="V368" i="1"/>
  <c r="AC368" i="1" s="1"/>
  <c r="V366" i="1"/>
  <c r="AC366" i="1" s="1"/>
  <c r="V362" i="1"/>
  <c r="AC362" i="1" s="1"/>
  <c r="V359" i="1"/>
  <c r="AC359" i="1" s="1"/>
  <c r="V357" i="1"/>
  <c r="AC357" i="1" s="1"/>
  <c r="V356" i="1"/>
  <c r="AC356" i="1" s="1"/>
  <c r="V353" i="1"/>
  <c r="AC353" i="1" s="1"/>
  <c r="V354" i="1"/>
  <c r="AC354" i="1" s="1"/>
  <c r="V351" i="1"/>
  <c r="AC351" i="1" s="1"/>
  <c r="V344" i="1"/>
  <c r="AC344" i="1" s="1"/>
  <c r="V345" i="1"/>
  <c r="AC345" i="1" s="1"/>
  <c r="V9169" i="1"/>
  <c r="AC9169" i="1" s="1"/>
  <c r="V9170" i="1"/>
  <c r="AC9170" i="1" s="1"/>
  <c r="V9171" i="1"/>
  <c r="AC9171" i="1" s="1"/>
  <c r="V9172" i="1"/>
  <c r="AC9172" i="1" s="1"/>
  <c r="V9173" i="1"/>
  <c r="AC9173" i="1" s="1"/>
  <c r="V9174" i="1"/>
  <c r="AC9174" i="1" s="1"/>
  <c r="V9176" i="1"/>
  <c r="AC9176" i="1" s="1"/>
  <c r="V9175" i="1"/>
  <c r="AC9175" i="1" s="1"/>
  <c r="V9177" i="1"/>
  <c r="AC9177" i="1" s="1"/>
  <c r="V9178" i="1"/>
  <c r="AC9178" i="1" s="1"/>
  <c r="V9179" i="1"/>
  <c r="AC9179" i="1" s="1"/>
  <c r="V9180" i="1"/>
  <c r="AC9180" i="1" s="1"/>
  <c r="V9182" i="1"/>
  <c r="AC9182" i="1" s="1"/>
  <c r="V9183" i="1"/>
  <c r="AC9183" i="1" s="1"/>
  <c r="V9181" i="1"/>
  <c r="AC9181" i="1" s="1"/>
  <c r="V9185" i="1"/>
  <c r="AC9185" i="1" s="1"/>
  <c r="V9186" i="1"/>
  <c r="AC9186" i="1" s="1"/>
  <c r="V9189" i="1"/>
  <c r="AC9189" i="1" s="1"/>
  <c r="V9188" i="1"/>
  <c r="AC9188" i="1" s="1"/>
  <c r="V9187" i="1"/>
  <c r="AC9187" i="1" s="1"/>
  <c r="V9192" i="1"/>
  <c r="AC9192" i="1" s="1"/>
  <c r="V9190" i="1"/>
  <c r="AC9190" i="1" s="1"/>
  <c r="V9191" i="1"/>
  <c r="AC9191" i="1" s="1"/>
  <c r="V9193" i="1"/>
  <c r="AC9193" i="1" s="1"/>
  <c r="V9194" i="1"/>
  <c r="AC9194" i="1" s="1"/>
  <c r="V9195" i="1"/>
  <c r="AC9195" i="1" s="1"/>
  <c r="V9197" i="1"/>
  <c r="AC9197" i="1" s="1"/>
  <c r="V9196" i="1"/>
  <c r="AC9196" i="1" s="1"/>
  <c r="V9201" i="1"/>
  <c r="AC9201" i="1" s="1"/>
  <c r="V9200" i="1"/>
  <c r="AC9200" i="1" s="1"/>
  <c r="V9199" i="1"/>
  <c r="AC9199" i="1" s="1"/>
  <c r="V9198" i="1"/>
  <c r="AC9198" i="1" s="1"/>
  <c r="V9202" i="1"/>
  <c r="AC9202" i="1" s="1"/>
  <c r="V9203" i="1"/>
  <c r="AC9203" i="1" s="1"/>
  <c r="V9205" i="1"/>
  <c r="AC9205" i="1" s="1"/>
  <c r="V9206" i="1"/>
  <c r="AC9206" i="1" s="1"/>
  <c r="V9207" i="1"/>
  <c r="AC9207" i="1" s="1"/>
  <c r="V9208" i="1"/>
  <c r="AC9208" i="1" s="1"/>
  <c r="V9209" i="1"/>
  <c r="AC9209" i="1" s="1"/>
  <c r="V9210" i="1"/>
  <c r="AC9210" i="1" s="1"/>
  <c r="V9211" i="1"/>
  <c r="AC9211" i="1" s="1"/>
  <c r="V9212" i="1"/>
  <c r="AC9212" i="1" s="1"/>
  <c r="V9214" i="1"/>
  <c r="AC9214" i="1" s="1"/>
  <c r="V9216" i="1"/>
  <c r="AC9216" i="1" s="1"/>
  <c r="V9215" i="1"/>
  <c r="AC9215" i="1" s="1"/>
  <c r="V9217" i="1"/>
  <c r="AC9217" i="1" s="1"/>
  <c r="V9219" i="1"/>
  <c r="AC9219" i="1" s="1"/>
  <c r="V9218" i="1"/>
  <c r="AC9218" i="1" s="1"/>
  <c r="V9220" i="1"/>
  <c r="AC9220" i="1" s="1"/>
  <c r="V9245" i="1"/>
  <c r="AC9245" i="1" s="1"/>
  <c r="V9229" i="1"/>
  <c r="AC9229" i="1" s="1"/>
  <c r="V9238" i="1"/>
  <c r="AC9238" i="1" s="1"/>
  <c r="V9232" i="1"/>
  <c r="AC9232" i="1" s="1"/>
  <c r="V9226" i="1"/>
  <c r="AC9226" i="1" s="1"/>
  <c r="V9244" i="1"/>
  <c r="AC9244" i="1" s="1"/>
  <c r="V9243" i="1"/>
  <c r="AC9243" i="1" s="1"/>
  <c r="V9247" i="1"/>
  <c r="AC9247" i="1" s="1"/>
  <c r="V9227" i="1"/>
  <c r="AC9227" i="1" s="1"/>
  <c r="V9257" i="1"/>
  <c r="AC9257" i="1" s="1"/>
  <c r="V9258" i="1"/>
  <c r="AC9258" i="1" s="1"/>
  <c r="V9225" i="1"/>
  <c r="AC9225" i="1" s="1"/>
  <c r="V9231" i="1"/>
  <c r="AC9231" i="1" s="1"/>
  <c r="V9237" i="1"/>
  <c r="AC9237" i="1" s="1"/>
  <c r="V9242" i="1"/>
  <c r="AC9242" i="1" s="1"/>
  <c r="V9246" i="1"/>
  <c r="AC9246" i="1" s="1"/>
  <c r="V9235" i="1"/>
  <c r="AC9235" i="1" s="1"/>
  <c r="V9241" i="1"/>
  <c r="AC9241" i="1" s="1"/>
  <c r="V9252" i="1"/>
  <c r="AC9252" i="1" s="1"/>
  <c r="V9236" i="1"/>
  <c r="AC9236" i="1" s="1"/>
  <c r="V9234" i="1"/>
  <c r="AC9234" i="1" s="1"/>
  <c r="V9248" i="1"/>
  <c r="AC9248" i="1" s="1"/>
  <c r="V9221" i="1"/>
  <c r="AC9221" i="1" s="1"/>
  <c r="V3802" i="1"/>
  <c r="AC3802" i="1" s="1"/>
  <c r="AB3802" i="1"/>
  <c r="Z4907" i="1"/>
  <c r="V4907" i="1"/>
  <c r="AC4907" i="1" s="1"/>
  <c r="AB4907" i="1"/>
  <c r="V5512" i="1"/>
  <c r="AC5512" i="1" s="1"/>
  <c r="AB5512" i="1"/>
  <c r="V7374" i="1"/>
  <c r="AC7374" i="1" s="1"/>
  <c r="AB7374" i="1"/>
  <c r="V4102" i="1"/>
  <c r="AC4102" i="1" s="1"/>
  <c r="AB4102" i="1"/>
  <c r="Z2947" i="1"/>
  <c r="V2947" i="1"/>
  <c r="AC2947" i="1" s="1"/>
  <c r="AB2947" i="1"/>
  <c r="V8293" i="1"/>
  <c r="AC8293" i="1" s="1"/>
  <c r="AB8293" i="1"/>
  <c r="V7241" i="1"/>
  <c r="AC7241" i="1" s="1"/>
  <c r="AB7241" i="1"/>
  <c r="V8233" i="1"/>
  <c r="AC8233" i="1" s="1"/>
  <c r="AB8233" i="1"/>
  <c r="V6997" i="1"/>
  <c r="AC6997" i="1" s="1"/>
  <c r="AB6997" i="1"/>
  <c r="V5551" i="1"/>
  <c r="AC5551" i="1" s="1"/>
  <c r="AB5551" i="1"/>
  <c r="V6227" i="1"/>
  <c r="AC6227" i="1" s="1"/>
  <c r="AB6227" i="1"/>
  <c r="V8090" i="1"/>
  <c r="AC8090" i="1" s="1"/>
  <c r="AB8090" i="1"/>
  <c r="V5954" i="1"/>
  <c r="AC5954" i="1" s="1"/>
  <c r="AB5954" i="1"/>
  <c r="V5956" i="1"/>
  <c r="AC5956" i="1" s="1"/>
  <c r="AB5956" i="1"/>
  <c r="V6087" i="1"/>
  <c r="AC6087" i="1" s="1"/>
  <c r="AB6087" i="1"/>
  <c r="V9228" i="1"/>
  <c r="AC9228" i="1" s="1"/>
  <c r="V9240" i="1"/>
  <c r="AC9240" i="1" s="1"/>
  <c r="V9222" i="1"/>
  <c r="AC9222" i="1" s="1"/>
  <c r="V9223" i="1"/>
  <c r="AC9223" i="1" s="1"/>
  <c r="V9239" i="1"/>
  <c r="AC9239" i="1" s="1"/>
  <c r="V9230" i="1"/>
  <c r="AC9230" i="1" s="1"/>
  <c r="V9224" i="1"/>
  <c r="AC9224" i="1" s="1"/>
  <c r="V9250" i="1"/>
  <c r="AC9250" i="1" s="1"/>
  <c r="V9249" i="1"/>
  <c r="AC9249" i="1" s="1"/>
  <c r="V9253" i="1"/>
  <c r="AC9253" i="1" s="1"/>
  <c r="V9256" i="1"/>
  <c r="AC9256" i="1" s="1"/>
  <c r="V9269" i="1"/>
  <c r="AC9269" i="1" s="1"/>
  <c r="V9270" i="1"/>
  <c r="AC9270" i="1" s="1"/>
  <c r="V9271" i="1"/>
  <c r="AC9271" i="1" s="1"/>
  <c r="V9272" i="1"/>
  <c r="AC9272" i="1" s="1"/>
  <c r="V9273" i="1"/>
  <c r="AC9273" i="1" s="1"/>
  <c r="V9274" i="1"/>
  <c r="AC9274" i="1" s="1"/>
  <c r="V698" i="1"/>
  <c r="AC698" i="1" s="1"/>
  <c r="AB698" i="1"/>
  <c r="V9275" i="1"/>
  <c r="AC9275" i="1" s="1"/>
  <c r="V9276" i="1"/>
  <c r="AC9276" i="1" s="1"/>
  <c r="V9277" i="1"/>
  <c r="AC9277" i="1" s="1"/>
  <c r="V9278" i="1"/>
  <c r="AC9278" i="1" s="1"/>
  <c r="V9279" i="1"/>
  <c r="AC9279" i="1" s="1"/>
  <c r="V9280" i="1"/>
  <c r="AC9280" i="1" s="1"/>
  <c r="V9281" i="1"/>
  <c r="AC9281" i="1" s="1"/>
  <c r="V9282" i="1"/>
  <c r="AC9282" i="1" s="1"/>
  <c r="V9283" i="1"/>
  <c r="AC9283" i="1" s="1"/>
  <c r="V9284" i="1"/>
  <c r="AC9284" i="1" s="1"/>
  <c r="V9285" i="1"/>
  <c r="AC9285" i="1" s="1"/>
  <c r="V9286" i="1"/>
  <c r="AC9286" i="1" s="1"/>
  <c r="V9287" i="1"/>
  <c r="AC9287" i="1" s="1"/>
  <c r="V9289" i="1"/>
  <c r="AC9289" i="1" s="1"/>
  <c r="V9288" i="1"/>
  <c r="AC9288" i="1" s="1"/>
  <c r="V9290" i="1"/>
  <c r="AC9290" i="1" s="1"/>
  <c r="V9292" i="1"/>
  <c r="AC9292" i="1" s="1"/>
  <c r="V9291" i="1"/>
  <c r="AC9291" i="1" s="1"/>
  <c r="V9294" i="1"/>
  <c r="AC9294" i="1" s="1"/>
  <c r="V9296" i="1"/>
  <c r="AC9296" i="1" s="1"/>
  <c r="V9297" i="1" a="1"/>
  <c r="V9297" i="1" s="1"/>
  <c r="AC9297" i="1" s="1"/>
  <c r="V9295" i="1"/>
  <c r="AC9295" i="1" s="1"/>
  <c r="V9299" i="1"/>
  <c r="AC9299" i="1" s="1"/>
  <c r="V9298" i="1"/>
  <c r="AC9298" i="1" s="1"/>
  <c r="V9300" i="1"/>
  <c r="AC9300" i="1" s="1"/>
  <c r="V9304" i="1"/>
  <c r="AC9304" i="1" s="1"/>
  <c r="V9302" i="1"/>
  <c r="AC9302" i="1" s="1"/>
  <c r="V9303" i="1"/>
  <c r="AC9303" i="1" s="1"/>
  <c r="V9306" i="1"/>
  <c r="AC9306" i="1" s="1"/>
  <c r="V9307" i="1"/>
  <c r="AC9307" i="1" s="1"/>
  <c r="V9311" i="1"/>
  <c r="AC9311" i="1" s="1"/>
  <c r="V9309" i="1"/>
  <c r="AC9309" i="1" s="1"/>
  <c r="V9310" i="1"/>
  <c r="AC9310" i="1" s="1"/>
  <c r="V9312" i="1"/>
  <c r="AC9312" i="1" s="1"/>
  <c r="V9315" i="1"/>
  <c r="AC9315" i="1" s="1"/>
  <c r="V9317" i="1"/>
  <c r="AC9317" i="1" s="1"/>
  <c r="V9316" i="1"/>
  <c r="AC9316" i="1" s="1"/>
  <c r="V9318" i="1"/>
  <c r="AC9318" i="1" s="1"/>
  <c r="V9320" i="1"/>
  <c r="AC9320" i="1" s="1"/>
  <c r="V9322" i="1"/>
  <c r="AC9322" i="1" s="1"/>
  <c r="V9323" i="1"/>
  <c r="AC9323" i="1" s="1"/>
  <c r="V9324" i="1"/>
  <c r="AC9324" i="1" s="1"/>
  <c r="V9325" i="1"/>
  <c r="AC9325" i="1" s="1"/>
  <c r="V9327" i="1"/>
  <c r="AC9327" i="1" s="1"/>
  <c r="V9328" i="1"/>
  <c r="AC9328" i="1" s="1"/>
  <c r="V9329" i="1"/>
  <c r="AC9329" i="1" s="1"/>
  <c r="V9332" i="1"/>
  <c r="AC9332" i="1" s="1"/>
  <c r="V9336" i="1"/>
  <c r="AC9336" i="1" s="1"/>
  <c r="V9335" i="1"/>
  <c r="AC9335" i="1" s="1"/>
  <c r="V9331" i="1"/>
  <c r="AC9331" i="1" s="1"/>
  <c r="V9334" i="1"/>
  <c r="AC9334" i="1" s="1"/>
  <c r="V9333" i="1"/>
  <c r="AC9333" i="1" s="1"/>
  <c r="V9330" i="1"/>
  <c r="AC9330" i="1" s="1"/>
  <c r="V9337" i="1"/>
  <c r="AC9337" i="1" s="1"/>
  <c r="V9340" i="1"/>
  <c r="AC9340" i="1" s="1"/>
  <c r="V9341" i="1"/>
  <c r="AC9341" i="1" s="1"/>
  <c r="V9342" i="1"/>
  <c r="AC9342" i="1" s="1"/>
  <c r="V9344" i="1"/>
  <c r="AC9344" i="1" s="1"/>
  <c r="V9345" i="1"/>
  <c r="AC9345" i="1" s="1"/>
  <c r="V9347" i="1"/>
  <c r="AC9347" i="1" s="1"/>
  <c r="V9346" i="1"/>
  <c r="AC9346" i="1" s="1"/>
  <c r="V9349" i="1"/>
  <c r="AC9349" i="1" s="1"/>
  <c r="V9348" i="1"/>
  <c r="AC9348" i="1" s="1"/>
  <c r="V9350" i="1"/>
  <c r="AC9350" i="1" s="1"/>
  <c r="V9352" i="1"/>
  <c r="AC9352" i="1" s="1"/>
  <c r="V9351" i="1"/>
  <c r="AC9351" i="1" s="1"/>
  <c r="V9353" i="1"/>
  <c r="AC9353" i="1" s="1"/>
  <c r="V9354" i="1"/>
  <c r="AC9354" i="1" s="1"/>
  <c r="V9356" i="1"/>
  <c r="AC9356" i="1" s="1"/>
  <c r="V9358" i="1"/>
  <c r="AC9358" i="1" s="1"/>
  <c r="V9360" i="1"/>
  <c r="AC9360" i="1" s="1"/>
  <c r="V9366" i="1"/>
  <c r="AC9366" i="1" s="1"/>
  <c r="V9363" i="1"/>
  <c r="AC9363" i="1" s="1"/>
  <c r="V9364" i="1"/>
  <c r="AC9364" i="1" s="1"/>
  <c r="V9361" i="1"/>
  <c r="AC9361" i="1" s="1"/>
  <c r="V9362" i="1"/>
  <c r="AC9362" i="1" s="1"/>
  <c r="V9365" i="1"/>
  <c r="AC9365" i="1" s="1"/>
  <c r="V9367" i="1"/>
  <c r="AC9367" i="1" s="1"/>
  <c r="V9368" i="1"/>
  <c r="AC9368" i="1" s="1"/>
  <c r="V9369" i="1"/>
  <c r="AC9369" i="1" s="1"/>
  <c r="V9370" i="1"/>
  <c r="AC9370" i="1" s="1"/>
  <c r="V9373" i="1"/>
  <c r="AC9373" i="1" s="1"/>
  <c r="V9375" i="1"/>
  <c r="AC9375" i="1" s="1"/>
  <c r="V9374" i="1"/>
  <c r="AC9374" i="1" s="1"/>
  <c r="V9376" i="1"/>
  <c r="AC9376" i="1" s="1"/>
  <c r="V9377" i="1"/>
  <c r="AC9377" i="1" s="1"/>
  <c r="V9379" i="1"/>
  <c r="AC9379" i="1" s="1"/>
  <c r="V9378" i="1"/>
  <c r="AC9378" i="1" s="1"/>
  <c r="V9381" i="1"/>
  <c r="AC9381" i="1" s="1"/>
  <c r="V9380" i="1"/>
  <c r="AC9380" i="1" s="1"/>
  <c r="V9383" i="1"/>
  <c r="AC9383" i="1" s="1"/>
  <c r="V9384" i="1"/>
  <c r="AC9384" i="1" s="1"/>
  <c r="V9386" i="1"/>
  <c r="AC9386" i="1" s="1"/>
  <c r="V9387" i="1"/>
  <c r="AC9387" i="1" s="1"/>
  <c r="V9385" i="1"/>
  <c r="AC9385" i="1" s="1"/>
  <c r="V9388" i="1"/>
  <c r="AC9388" i="1" s="1"/>
  <c r="V9389" i="1"/>
  <c r="AC9389" i="1" s="1"/>
  <c r="V9390" i="1"/>
  <c r="AC9390" i="1" s="1"/>
  <c r="V9391" i="1"/>
  <c r="AC9391" i="1" s="1"/>
  <c r="V9392" i="1"/>
  <c r="AC9392" i="1" s="1"/>
  <c r="V9393" i="1"/>
  <c r="AC9393" i="1" s="1"/>
  <c r="V9396" i="1"/>
  <c r="AC9396" i="1" s="1"/>
  <c r="V9395" i="1"/>
  <c r="AC9395" i="1" s="1"/>
  <c r="V9398" i="1"/>
  <c r="AC9398" i="1" s="1"/>
  <c r="V9397" i="1"/>
  <c r="AC9397" i="1" s="1"/>
  <c r="V9394" i="1"/>
  <c r="AC9394" i="1" s="1"/>
  <c r="V9399" i="1"/>
  <c r="AC9399" i="1" s="1"/>
  <c r="V9402" i="1"/>
  <c r="AC9402" i="1" s="1"/>
  <c r="V9400" i="1"/>
  <c r="AC9400" i="1" s="1"/>
  <c r="V9638" i="1"/>
  <c r="AC9638" i="1" s="1"/>
  <c r="AB9638" i="1"/>
  <c r="V9401" i="1"/>
  <c r="AC9401" i="1" s="1"/>
  <c r="V9403" i="1"/>
  <c r="AC9403" i="1" s="1"/>
  <c r="V9405" i="1"/>
  <c r="AC9405" i="1" s="1"/>
  <c r="V9407" i="1"/>
  <c r="AC9407" i="1" s="1"/>
  <c r="V9406" i="1"/>
  <c r="AC9406" i="1" s="1"/>
  <c r="V9409" i="1"/>
  <c r="AC9409" i="1" s="1"/>
  <c r="V9408" i="1"/>
  <c r="AC9408" i="1" s="1"/>
  <c r="V9410" i="1"/>
  <c r="AC9410" i="1" s="1"/>
  <c r="V9411" i="1"/>
  <c r="AC9411" i="1" s="1"/>
  <c r="V9419" i="1"/>
  <c r="AC9419" i="1" s="1"/>
  <c r="V9416" i="1"/>
  <c r="AC9416" i="1" s="1"/>
  <c r="V9417" i="1"/>
  <c r="AC9417" i="1" s="1"/>
  <c r="V9413" i="1"/>
  <c r="AC9413" i="1" s="1"/>
  <c r="V9414" i="1"/>
  <c r="AC9414" i="1" s="1"/>
  <c r="V9415" i="1"/>
  <c r="AC9415" i="1" s="1"/>
  <c r="V9412" i="1"/>
  <c r="AC9412" i="1" s="1"/>
  <c r="V9420" i="1"/>
  <c r="AC9420" i="1" s="1"/>
  <c r="V9428" i="1"/>
  <c r="AC9428" i="1" s="1"/>
  <c r="V9426" i="1"/>
  <c r="AC9426" i="1" s="1"/>
  <c r="V9423" i="1"/>
  <c r="AC9423" i="1" s="1"/>
  <c r="V9424" i="1"/>
  <c r="AC9424" i="1" s="1"/>
  <c r="V9422" i="1"/>
  <c r="AC9422" i="1" s="1"/>
  <c r="V9425" i="1"/>
  <c r="AC9425" i="1" s="1"/>
  <c r="V9421" i="1"/>
  <c r="AC9421" i="1" s="1"/>
  <c r="V9431" i="1"/>
  <c r="AC9431" i="1" s="1"/>
  <c r="V9432" i="1"/>
  <c r="AC9432" i="1" s="1"/>
  <c r="V9433" i="1"/>
  <c r="AC9433" i="1" s="1"/>
  <c r="V9434" i="1"/>
  <c r="AC9434" i="1" s="1"/>
  <c r="V9435" i="1"/>
  <c r="AC9435" i="1" s="1"/>
  <c r="V9436" i="1"/>
  <c r="AC9436" i="1" s="1"/>
  <c r="V9439" i="1"/>
  <c r="AC9439" i="1" s="1"/>
  <c r="V9440" i="1"/>
  <c r="AC9440" i="1" s="1"/>
  <c r="V9438" i="1"/>
  <c r="AC9438" i="1" s="1"/>
  <c r="V9437" i="1"/>
  <c r="AC9437" i="1" s="1"/>
  <c r="V9442" i="1"/>
  <c r="AC9442" i="1" s="1"/>
  <c r="V9443" i="1"/>
  <c r="AC9443" i="1" s="1"/>
  <c r="V9445" i="1"/>
  <c r="AC9445" i="1" s="1"/>
  <c r="V9444" i="1"/>
  <c r="AC9444" i="1" s="1"/>
  <c r="V9446" i="1"/>
  <c r="AC9446" i="1" s="1"/>
  <c r="V9447" i="1"/>
  <c r="AC9447" i="1" s="1"/>
  <c r="V9448" i="1"/>
  <c r="AC9448" i="1" s="1"/>
  <c r="V9450" i="1"/>
  <c r="AC9450" i="1" s="1"/>
  <c r="V9449" i="1"/>
  <c r="AC9449" i="1" s="1"/>
  <c r="V9454" i="1"/>
  <c r="AC9454" i="1" s="1"/>
  <c r="V9453" i="1"/>
  <c r="AC9453" i="1" s="1"/>
  <c r="V9451" i="1"/>
  <c r="AC9451" i="1" s="1"/>
  <c r="V9452" i="1"/>
  <c r="AC9452" i="1" s="1"/>
  <c r="V9458" i="1"/>
  <c r="AC9458" i="1" s="1"/>
  <c r="V9460" i="1"/>
  <c r="AC9460" i="1" s="1"/>
  <c r="V8725" i="1"/>
  <c r="AC8725" i="1" s="1"/>
  <c r="AB8725" i="1"/>
  <c r="V9457" i="1"/>
  <c r="AC9457" i="1" s="1"/>
  <c r="V9456" i="1"/>
  <c r="AC9456" i="1" s="1"/>
  <c r="V9459" i="1"/>
  <c r="AC9459" i="1" s="1"/>
  <c r="V9461" i="1"/>
  <c r="AC9461" i="1" s="1"/>
  <c r="V9463" i="1"/>
  <c r="AC9463" i="1" s="1"/>
  <c r="V9462" i="1"/>
  <c r="AC9462" i="1" s="1"/>
  <c r="V9464" i="1"/>
  <c r="AC9464" i="1" s="1"/>
  <c r="V9467" i="1"/>
  <c r="AC9467" i="1" s="1"/>
  <c r="V9466" i="1"/>
  <c r="AC9466" i="1" s="1"/>
  <c r="V9465" i="1"/>
  <c r="AC9465" i="1" s="1"/>
  <c r="V9468" i="1"/>
  <c r="AC9468" i="1" s="1"/>
  <c r="V9469" i="1"/>
  <c r="AC9469" i="1" s="1"/>
  <c r="V9470" i="1"/>
  <c r="AC9470" i="1" s="1"/>
  <c r="V9471" i="1"/>
  <c r="AC9471" i="1" s="1"/>
  <c r="V9522" i="1"/>
  <c r="AC9522" i="1" s="1"/>
  <c r="V9534" i="1"/>
  <c r="AC9534" i="1" s="1"/>
  <c r="V9497" i="1"/>
  <c r="AC9497" i="1" s="1"/>
  <c r="V9472" i="1"/>
  <c r="AC9472" i="1" s="1"/>
  <c r="V9503" i="1"/>
  <c r="AC9503" i="1" s="1"/>
  <c r="V9507" i="1"/>
  <c r="AC9507" i="1" s="1"/>
  <c r="V9498" i="1"/>
  <c r="AC9498" i="1" s="1"/>
  <c r="V9473" i="1"/>
  <c r="AC9473" i="1" s="1"/>
  <c r="V9526" i="1"/>
  <c r="AC9526" i="1" s="1"/>
  <c r="V9505" i="1"/>
  <c r="AC9505" i="1" s="1"/>
  <c r="V9488" i="1"/>
  <c r="AC9488" i="1" s="1"/>
  <c r="V9509" i="1"/>
  <c r="AC9509" i="1" s="1"/>
  <c r="V9482" i="1"/>
  <c r="AC9482" i="1" s="1"/>
  <c r="V9525" i="1"/>
  <c r="AC9525" i="1" s="1"/>
  <c r="V9530" i="1"/>
  <c r="AC9530" i="1" s="1"/>
  <c r="V9533" i="1"/>
  <c r="AC9533" i="1" s="1"/>
  <c r="V9531" i="1"/>
  <c r="AC9531" i="1" s="1"/>
  <c r="V9519" i="1"/>
  <c r="AC9519" i="1" s="1"/>
  <c r="V9495" i="1"/>
  <c r="AC9495" i="1" s="1"/>
  <c r="V9524" i="1"/>
  <c r="AC9524" i="1" s="1"/>
  <c r="V9528" i="1"/>
  <c r="AC9528" i="1" s="1"/>
  <c r="V9501" i="1"/>
  <c r="AC9501" i="1" s="1"/>
  <c r="V9494" i="1"/>
  <c r="AC9494" i="1" s="1"/>
  <c r="V9514" i="1"/>
  <c r="AC9514" i="1" s="1"/>
  <c r="V9506" i="1"/>
  <c r="AC9506" i="1" s="1"/>
  <c r="V9500" i="1"/>
  <c r="AC9500" i="1" s="1"/>
  <c r="V9485" i="1"/>
  <c r="AC9485" i="1" s="1"/>
  <c r="V9479" i="1"/>
  <c r="AC9479" i="1" s="1"/>
  <c r="V9475" i="1"/>
  <c r="AC9475" i="1" s="1"/>
  <c r="V9491" i="1"/>
  <c r="AC9491" i="1" s="1"/>
  <c r="V9483" i="1"/>
  <c r="AC9483" i="1" s="1"/>
  <c r="V9513" i="1"/>
  <c r="AC9513" i="1" s="1"/>
  <c r="V8720" i="1"/>
  <c r="AC8720" i="1" s="1"/>
  <c r="AB8720" i="1"/>
  <c r="V9477" i="1"/>
  <c r="AC9477" i="1" s="1"/>
  <c r="V9510" i="1"/>
  <c r="AC9510" i="1" s="1"/>
  <c r="V9558" i="1"/>
  <c r="AC9558" i="1" s="1"/>
  <c r="V9517" i="1"/>
  <c r="AC9517" i="1" s="1"/>
  <c r="V9511" i="1"/>
  <c r="AC9511" i="1" s="1"/>
  <c r="V9537" i="1"/>
  <c r="AC9537" i="1" s="1"/>
  <c r="V9486" i="1"/>
  <c r="AC9486" i="1" s="1"/>
  <c r="V9496" i="1"/>
  <c r="AC9496" i="1" s="1"/>
  <c r="V9492" i="1"/>
  <c r="AC9492" i="1" s="1"/>
  <c r="V9474" i="1"/>
  <c r="AC9474" i="1" s="1"/>
  <c r="V9527" i="1"/>
  <c r="AC9527" i="1" s="1"/>
  <c r="V9490" i="1"/>
  <c r="AC9490" i="1" s="1"/>
  <c r="V9489" i="1"/>
  <c r="AC9489" i="1" s="1"/>
  <c r="V9535" i="1"/>
  <c r="AC9535" i="1" s="1"/>
  <c r="V9487" i="1"/>
  <c r="AC9487" i="1" s="1"/>
  <c r="V9512" i="1"/>
  <c r="AC9512" i="1" s="1"/>
  <c r="V9493" i="1"/>
  <c r="AC9493" i="1" s="1"/>
  <c r="V9518" i="1"/>
  <c r="AC9518" i="1" s="1"/>
  <c r="V9504" i="1"/>
  <c r="AC9504" i="1" s="1"/>
  <c r="V9499" i="1"/>
  <c r="AC9499" i="1" s="1"/>
  <c r="V9502" i="1"/>
  <c r="AC9502" i="1" s="1"/>
  <c r="V9478" i="1"/>
  <c r="AC9478" i="1" s="1"/>
  <c r="V9508" i="1"/>
  <c r="AC9508" i="1" s="1"/>
  <c r="V9532" i="1"/>
  <c r="AC9532" i="1" s="1"/>
  <c r="V9476" i="1"/>
  <c r="AC9476" i="1" s="1"/>
  <c r="V9480" i="1"/>
  <c r="AC9480" i="1" s="1"/>
  <c r="V9481" i="1"/>
  <c r="AC9481" i="1" s="1"/>
  <c r="V5149" i="1"/>
  <c r="AC5149" i="1" s="1"/>
  <c r="AB5149" i="1"/>
  <c r="V5214" i="1"/>
  <c r="AC5214" i="1" s="1"/>
  <c r="AB5214" i="1"/>
  <c r="V6572" i="1"/>
  <c r="AC6572" i="1" s="1"/>
  <c r="AB6572" i="1"/>
  <c r="V9545" i="1"/>
  <c r="AC9545" i="1" s="1"/>
  <c r="V9546" i="1"/>
  <c r="AC9546" i="1" s="1"/>
  <c r="V9547" i="1"/>
  <c r="AC9547" i="1" s="1"/>
  <c r="V9548" i="1"/>
  <c r="AC9548" i="1" s="1"/>
  <c r="V9549" i="1"/>
  <c r="AC9549" i="1" s="1"/>
  <c r="V9550" i="1"/>
  <c r="AC9550" i="1" s="1"/>
  <c r="V9551" i="1"/>
  <c r="AC9551" i="1" s="1"/>
  <c r="V9552" i="1"/>
  <c r="AC9552" i="1" s="1"/>
  <c r="V9553" i="1"/>
  <c r="AC9553" i="1" s="1"/>
  <c r="V9554" i="1"/>
  <c r="AC9554" i="1" s="1"/>
  <c r="V9555" i="1"/>
  <c r="AC9555" i="1" s="1"/>
  <c r="V9556" i="1"/>
  <c r="AC9556" i="1" s="1"/>
  <c r="V9557" i="1"/>
  <c r="AC9557" i="1" s="1"/>
  <c r="V9559" i="1"/>
  <c r="AC9559" i="1" s="1"/>
  <c r="V9560" i="1"/>
  <c r="AC9560" i="1" s="1"/>
  <c r="V9561" i="1"/>
  <c r="AC9561" i="1" s="1"/>
  <c r="V9562" i="1"/>
  <c r="AC9562" i="1" s="1"/>
  <c r="V9563" i="1"/>
  <c r="AC9563" i="1" s="1"/>
  <c r="V9565" i="1"/>
  <c r="AC9565" i="1" s="1"/>
  <c r="V9566" i="1"/>
  <c r="AC9566" i="1" s="1"/>
  <c r="V9567" i="1"/>
  <c r="AC9567" i="1" s="1"/>
  <c r="V9568" i="1"/>
  <c r="AC9568" i="1" s="1"/>
  <c r="V9569" i="1"/>
  <c r="AC9569" i="1" s="1"/>
  <c r="V9571" i="1"/>
  <c r="AC9571" i="1" s="1"/>
  <c r="V9570" i="1"/>
  <c r="AC9570" i="1" s="1"/>
  <c r="V9572" i="1"/>
  <c r="AC9572" i="1" s="1"/>
  <c r="V9573" i="1"/>
  <c r="AC9573" i="1" s="1"/>
  <c r="V9575" i="1"/>
  <c r="AC9575" i="1" s="1"/>
  <c r="V9576" i="1"/>
  <c r="AC9576" i="1" s="1"/>
  <c r="V9574" i="1"/>
  <c r="AC9574" i="1" s="1"/>
  <c r="V9577" i="1"/>
  <c r="AC9577" i="1" s="1"/>
  <c r="V9579" i="1"/>
  <c r="AC9579" i="1" s="1"/>
  <c r="V9580" i="1"/>
  <c r="AC9580" i="1" s="1"/>
  <c r="V9583" i="1"/>
  <c r="AC9583" i="1" s="1"/>
  <c r="V9582" i="1"/>
  <c r="AC9582" i="1" s="1"/>
  <c r="V9584" i="1"/>
  <c r="AC9584" i="1" s="1"/>
  <c r="V9587" i="1"/>
  <c r="AC9587" i="1" s="1"/>
  <c r="V9590" i="1"/>
  <c r="AC9590" i="1" s="1"/>
  <c r="V9589" i="1"/>
  <c r="AC9589" i="1" s="1"/>
  <c r="V9586" i="1"/>
  <c r="AC9586" i="1" s="1"/>
  <c r="V9585" i="1"/>
  <c r="AC9585" i="1" s="1"/>
  <c r="V9588" i="1"/>
  <c r="AC9588" i="1" s="1"/>
  <c r="V9592" i="1"/>
  <c r="AC9592" i="1" s="1"/>
  <c r="V9594" i="1"/>
  <c r="AC9594" i="1" s="1"/>
  <c r="V9595" i="1"/>
  <c r="AC9595" i="1" s="1"/>
  <c r="V9593" i="1"/>
  <c r="AC9593" i="1" s="1"/>
  <c r="V9597" i="1"/>
  <c r="AC9597" i="1" s="1"/>
  <c r="V9598" i="1"/>
  <c r="AC9598" i="1" s="1"/>
  <c r="V9600" i="1"/>
  <c r="AC9600" i="1" s="1"/>
  <c r="V9599" i="1"/>
  <c r="AC9599" i="1" s="1"/>
  <c r="V9601" i="1"/>
  <c r="AC9601" i="1" s="1"/>
  <c r="V9602" i="1"/>
  <c r="AC9602" i="1" s="1"/>
  <c r="V9603" i="1"/>
  <c r="AC9603" i="1" s="1"/>
  <c r="V9605" i="1"/>
  <c r="AC9605" i="1" s="1"/>
  <c r="V9606" i="1"/>
  <c r="AC9606" i="1" s="1"/>
  <c r="V9612" i="1"/>
  <c r="AC9612" i="1" s="1"/>
  <c r="V9614" i="1"/>
  <c r="AC9614" i="1" s="1"/>
  <c r="V9610" i="1"/>
  <c r="AC9610" i="1" s="1"/>
  <c r="V9609" i="1"/>
  <c r="AC9609" i="1" s="1"/>
  <c r="V9608" i="1"/>
  <c r="AC9608" i="1" s="1"/>
  <c r="V9613" i="1"/>
  <c r="AC9613" i="1" s="1"/>
  <c r="V9611" i="1"/>
  <c r="AC9611" i="1" s="1"/>
  <c r="V9615" i="1"/>
  <c r="AC9615" i="1" s="1"/>
  <c r="V9616" i="1"/>
  <c r="AC9616" i="1" s="1"/>
  <c r="V9617" i="1"/>
  <c r="AC9617" i="1" s="1"/>
  <c r="V9618" i="1"/>
  <c r="AC9618" i="1" s="1"/>
  <c r="V9619" i="1"/>
  <c r="AC9619" i="1" s="1"/>
  <c r="V9622" i="1"/>
  <c r="AC9622" i="1" s="1"/>
  <c r="V9621" i="1"/>
  <c r="AC9621" i="1" s="1"/>
  <c r="V9624" i="1"/>
  <c r="AC9624" i="1" s="1"/>
  <c r="V9626" i="1"/>
  <c r="AC9626" i="1" s="1"/>
  <c r="V9623" i="1"/>
  <c r="AC9623" i="1" s="1"/>
  <c r="V9627" i="1"/>
  <c r="AC9627" i="1" s="1"/>
  <c r="V9634" i="1"/>
  <c r="AC9634" i="1" s="1"/>
  <c r="V9629" i="1"/>
  <c r="AC9629" i="1" s="1"/>
  <c r="V9630" i="1"/>
  <c r="AC9630" i="1" s="1"/>
  <c r="V9631" i="1"/>
  <c r="AC9631" i="1" s="1"/>
  <c r="V9633" i="1"/>
  <c r="AC9633" i="1" s="1"/>
  <c r="V9632" i="1"/>
  <c r="AC9632" i="1" s="1"/>
  <c r="V9635" i="1"/>
  <c r="AC9635" i="1" s="1"/>
  <c r="V9636" i="1"/>
  <c r="AC9636" i="1" s="1"/>
  <c r="V9637" i="1"/>
  <c r="AC9637" i="1" s="1"/>
  <c r="V9641" i="1"/>
  <c r="AC9641" i="1" s="1"/>
  <c r="V9640" i="1"/>
  <c r="AC9640" i="1" s="1"/>
  <c r="V9639" i="1"/>
  <c r="AC9639" i="1" s="1"/>
  <c r="V9642" i="1"/>
  <c r="AC9642" i="1" s="1"/>
  <c r="V9644" i="1"/>
  <c r="AC9644" i="1" s="1"/>
  <c r="V9645" i="1"/>
  <c r="AC9645" i="1" s="1"/>
  <c r="V9647" i="1"/>
  <c r="AC9647" i="1" s="1"/>
  <c r="V9649" i="1"/>
  <c r="AC9649" i="1" s="1"/>
  <c r="V9648" i="1"/>
  <c r="AC9648" i="1" s="1"/>
  <c r="V9650" i="1"/>
  <c r="AC9650" i="1" s="1"/>
  <c r="V9652" i="1"/>
  <c r="AC9652" i="1" s="1"/>
  <c r="V9651" i="1"/>
  <c r="AC9651" i="1" s="1"/>
  <c r="V9654" i="1"/>
  <c r="AC9654" i="1" s="1"/>
  <c r="V9653" i="1"/>
  <c r="AC9653" i="1" s="1"/>
  <c r="V9656" i="1"/>
  <c r="AC9656" i="1" s="1"/>
  <c r="V9655" i="1"/>
  <c r="AC9655" i="1" s="1"/>
  <c r="V9657" i="1"/>
  <c r="AC9657" i="1" s="1"/>
  <c r="V9658" i="1"/>
  <c r="AC9658" i="1" s="1"/>
  <c r="V9659" i="1"/>
  <c r="AC9659" i="1" s="1"/>
  <c r="V9660" i="1"/>
  <c r="AC9660" i="1" s="1"/>
  <c r="V9661" i="1"/>
  <c r="AC9661" i="1" s="1"/>
  <c r="V9662" i="1"/>
  <c r="AC9662" i="1" s="1"/>
  <c r="V9664" i="1"/>
  <c r="AC9664" i="1" s="1"/>
  <c r="V9665" i="1"/>
  <c r="AC9665" i="1" s="1"/>
  <c r="V9663" i="1"/>
  <c r="AC9663" i="1" s="1"/>
  <c r="V9666" i="1"/>
  <c r="AC9666" i="1" s="1"/>
  <c r="V9667" i="1"/>
  <c r="AC9667" i="1" s="1"/>
  <c r="V9668" i="1"/>
  <c r="AC9668" i="1" s="1"/>
  <c r="V9669" i="1"/>
  <c r="AC9669" i="1" s="1"/>
  <c r="V9671" i="1"/>
  <c r="AC9671" i="1" s="1"/>
  <c r="V9670" i="1"/>
  <c r="AC9670" i="1" s="1"/>
  <c r="V9673" i="1"/>
  <c r="AC9673" i="1" s="1"/>
  <c r="V9677" i="1"/>
  <c r="AC9677" i="1" s="1"/>
  <c r="V9674" i="1"/>
  <c r="AC9674" i="1" s="1"/>
  <c r="V9675" i="1"/>
  <c r="AC9675" i="1" s="1"/>
  <c r="V9676" i="1"/>
  <c r="AC9676" i="1" s="1"/>
  <c r="V9678" i="1"/>
  <c r="AC9678" i="1" s="1"/>
  <c r="V9680" i="1"/>
  <c r="AC9680" i="1" s="1"/>
  <c r="V9683" i="1"/>
  <c r="AC9683" i="1" s="1"/>
  <c r="V9679" i="1"/>
  <c r="AC9679" i="1" s="1"/>
  <c r="V9682" i="1"/>
  <c r="AC9682" i="1" s="1"/>
  <c r="V9686" i="1"/>
  <c r="AC9686" i="1" s="1"/>
  <c r="V9687" i="1"/>
  <c r="AC9687" i="1" s="1"/>
  <c r="V9692" i="1"/>
  <c r="AC9692" i="1" s="1"/>
  <c r="V9691" i="1"/>
  <c r="AC9691" i="1" s="1"/>
  <c r="V9689" i="1"/>
  <c r="AC9689" i="1" s="1"/>
  <c r="V9688" i="1"/>
  <c r="AC9688" i="1" s="1"/>
  <c r="V9690" i="1"/>
  <c r="AC9690" i="1" s="1"/>
  <c r="V9693" i="1"/>
  <c r="AC9693" i="1" s="1"/>
  <c r="V9694" i="1"/>
  <c r="AC9694" i="1" s="1"/>
  <c r="V9712" i="1"/>
  <c r="AC9712" i="1" s="1"/>
  <c r="V9728" i="1"/>
  <c r="AC9728" i="1" s="1"/>
  <c r="V9709" i="1"/>
  <c r="AC9709" i="1" s="1"/>
  <c r="V9730" i="1"/>
  <c r="AC9730" i="1" s="1"/>
  <c r="V9724" i="1"/>
  <c r="AC9724" i="1" s="1"/>
  <c r="V9721" i="1"/>
  <c r="AC9721" i="1" s="1"/>
  <c r="V9741" i="1"/>
  <c r="AC9741" i="1" s="1"/>
  <c r="V9731" i="1"/>
  <c r="AC9731" i="1" s="1"/>
  <c r="V9974" i="1"/>
  <c r="AC9974" i="1" s="1"/>
  <c r="AB9974" i="1"/>
  <c r="Z9516" i="1"/>
  <c r="V9516" i="1"/>
  <c r="AC9516" i="1" s="1"/>
  <c r="AB9516" i="1"/>
  <c r="Z9521" i="1"/>
  <c r="V9521" i="1"/>
  <c r="AC9521" i="1" s="1"/>
  <c r="AB9521" i="1"/>
  <c r="V343" i="1"/>
  <c r="AC343" i="1" s="1"/>
  <c r="V339" i="1"/>
  <c r="AC339" i="1" s="1"/>
  <c r="V487" i="1"/>
  <c r="AC487" i="1" s="1"/>
  <c r="V338" i="1"/>
  <c r="AC338" i="1" s="1"/>
  <c r="V486" i="1"/>
  <c r="AC486" i="1" s="1"/>
  <c r="V335" i="1"/>
  <c r="AC335" i="1" s="1"/>
  <c r="V334" i="1"/>
  <c r="AC334" i="1" s="1"/>
  <c r="V333" i="1"/>
  <c r="AC333" i="1" s="1"/>
  <c r="V332" i="1"/>
  <c r="AC332" i="1" s="1"/>
  <c r="V329" i="1"/>
  <c r="AC329" i="1" s="1"/>
  <c r="V328" i="1"/>
  <c r="AC328" i="1" s="1"/>
  <c r="V327" i="1"/>
  <c r="AC327" i="1" s="1"/>
  <c r="V325" i="1"/>
  <c r="AC325" i="1" s="1"/>
  <c r="V324" i="1"/>
  <c r="AC324" i="1" s="1"/>
  <c r="V316" i="1"/>
  <c r="AC316" i="1" s="1"/>
  <c r="V314" i="1"/>
  <c r="AC314" i="1" s="1"/>
  <c r="V311" i="1"/>
  <c r="AC311" i="1" s="1"/>
  <c r="V308" i="1"/>
  <c r="AC308" i="1" s="1"/>
  <c r="V306" i="1"/>
  <c r="AC306" i="1" s="1"/>
  <c r="V305" i="1"/>
  <c r="AC305" i="1" s="1"/>
  <c r="V304" i="1"/>
  <c r="AC304" i="1" s="1"/>
  <c r="V302" i="1"/>
  <c r="AC302" i="1" s="1"/>
  <c r="V300" i="1"/>
  <c r="AC300" i="1" s="1"/>
  <c r="V297" i="1"/>
  <c r="AC297" i="1" s="1"/>
  <c r="V298" i="1"/>
  <c r="AC298" i="1" s="1"/>
  <c r="V295" i="1"/>
  <c r="AC295" i="1" s="1"/>
  <c r="V296" i="1"/>
  <c r="AC296" i="1" s="1"/>
  <c r="V294" i="1"/>
  <c r="AC294" i="1" s="1"/>
  <c r="V293" i="1"/>
  <c r="AC293" i="1" s="1"/>
  <c r="V290" i="1"/>
  <c r="AC290" i="1" s="1"/>
  <c r="V289" i="1"/>
  <c r="AC289" i="1" s="1"/>
  <c r="V291" i="1"/>
  <c r="AC291" i="1" s="1"/>
  <c r="V288" i="1"/>
  <c r="AC288" i="1" s="1"/>
  <c r="V9738" i="1"/>
  <c r="AC9738" i="1" s="1"/>
  <c r="V9752" i="1"/>
  <c r="AC9752" i="1" s="1"/>
  <c r="V9706" i="1"/>
  <c r="AC9706" i="1" s="1"/>
  <c r="V9748" i="1"/>
  <c r="AC9748" i="1" s="1"/>
  <c r="V9717" i="1"/>
  <c r="AC9717" i="1" s="1"/>
  <c r="V9701" i="1"/>
  <c r="AC9701" i="1" s="1"/>
  <c r="V9699" i="1"/>
  <c r="AC9699" i="1" s="1"/>
  <c r="V9707" i="1"/>
  <c r="AC9707" i="1" s="1"/>
  <c r="V9745" i="1"/>
  <c r="AC9745" i="1" s="1"/>
  <c r="V9739" i="1"/>
  <c r="AC9739" i="1" s="1"/>
  <c r="V9750" i="1"/>
  <c r="AC9750" i="1" s="1"/>
  <c r="V9713" i="1"/>
  <c r="AC9713" i="1" s="1"/>
  <c r="V9756" i="1"/>
  <c r="AC9756" i="1" s="1"/>
  <c r="V9719" i="1"/>
  <c r="AC9719" i="1" s="1"/>
  <c r="V9735" i="1"/>
  <c r="AC9735" i="1" s="1"/>
  <c r="V9740" i="1"/>
  <c r="AC9740" i="1" s="1"/>
  <c r="V9710" i="1"/>
  <c r="AC9710" i="1" s="1"/>
  <c r="V9705" i="1"/>
  <c r="AC9705" i="1" s="1"/>
  <c r="V9702" i="1"/>
  <c r="AC9702" i="1" s="1"/>
  <c r="V9714" i="1"/>
  <c r="AC9714" i="1" s="1"/>
  <c r="V9725" i="1"/>
  <c r="AC9725" i="1" s="1"/>
  <c r="V9720" i="1"/>
  <c r="AC9720" i="1" s="1"/>
  <c r="V9746" i="1"/>
  <c r="AC9746" i="1" s="1"/>
  <c r="V9734" i="1"/>
  <c r="AC9734" i="1" s="1"/>
  <c r="V9700" i="1"/>
  <c r="AC9700" i="1" s="1"/>
  <c r="V9718" i="1"/>
  <c r="AC9718" i="1" s="1"/>
  <c r="V9708" i="1"/>
  <c r="AC9708" i="1" s="1"/>
  <c r="V9711" i="1"/>
  <c r="AC9711" i="1" s="1"/>
  <c r="V9696" i="1"/>
  <c r="AC9696" i="1" s="1"/>
  <c r="V9727" i="1"/>
  <c r="AC9727" i="1" s="1"/>
  <c r="V9743" i="1"/>
  <c r="AC9743" i="1" s="1"/>
  <c r="V9753" i="1"/>
  <c r="AC9753" i="1" s="1"/>
  <c r="V9715" i="1"/>
  <c r="AC9715" i="1" s="1"/>
  <c r="V9704" i="1"/>
  <c r="AC9704" i="1" s="1"/>
  <c r="V9733" i="1"/>
  <c r="AC9733" i="1" s="1"/>
  <c r="V9698" i="1"/>
  <c r="AC9698" i="1" s="1"/>
  <c r="V9737" i="1"/>
  <c r="AC9737" i="1" s="1"/>
  <c r="V9754" i="1"/>
  <c r="AC9754" i="1" s="1"/>
  <c r="V9759" i="1"/>
  <c r="AC9759" i="1" s="1"/>
  <c r="V9742" i="1"/>
  <c r="AC9742" i="1" s="1"/>
  <c r="V9744" i="1"/>
  <c r="AC9744" i="1" s="1"/>
  <c r="V9732" i="1"/>
  <c r="AC9732" i="1" s="1"/>
  <c r="V9736" i="1"/>
  <c r="AC9736" i="1" s="1"/>
  <c r="V9703" i="1"/>
  <c r="AC9703" i="1" s="1"/>
  <c r="V9794" i="1"/>
  <c r="AC9794" i="1" s="1"/>
  <c r="V9697" i="1"/>
  <c r="AC9697" i="1" s="1"/>
  <c r="AB111" i="1"/>
  <c r="AB4047" i="1"/>
  <c r="AB261" i="1"/>
  <c r="AB202" i="1"/>
  <c r="V202" i="1"/>
  <c r="AC202" i="1" s="1"/>
  <c r="V261" i="1"/>
  <c r="AC261" i="1" s="1"/>
  <c r="V4047" i="1"/>
  <c r="AC4047" i="1" s="1"/>
  <c r="V716" i="1"/>
  <c r="AC716" i="1" s="1"/>
  <c r="AB716" i="1"/>
  <c r="V9749" i="1"/>
  <c r="AC9749" i="1" s="1"/>
  <c r="V9773" i="1"/>
  <c r="AC9773" i="1" s="1"/>
  <c r="V9775" i="1"/>
  <c r="AC9775" i="1" s="1"/>
  <c r="V9774" i="1"/>
  <c r="AC9774" i="1" s="1"/>
  <c r="V9776" i="1"/>
  <c r="AC9776" i="1" s="1"/>
  <c r="V9777" i="1"/>
  <c r="AC9777" i="1" s="1"/>
  <c r="V9780" i="1"/>
  <c r="AC9780" i="1" s="1"/>
  <c r="V9778" i="1"/>
  <c r="AC9778" i="1" s="1"/>
  <c r="V9779" i="1"/>
  <c r="AC9779" i="1" s="1"/>
  <c r="V9781" i="1"/>
  <c r="AC9781" i="1" s="1"/>
  <c r="V9782" i="1"/>
  <c r="AC9782" i="1" s="1"/>
  <c r="V9784" i="1"/>
  <c r="AC9784" i="1" s="1"/>
  <c r="V9785" i="1"/>
  <c r="AC9785" i="1" s="1"/>
  <c r="V9783" i="1"/>
  <c r="AC9783" i="1" s="1"/>
  <c r="V9787" i="1"/>
  <c r="AC9787" i="1" s="1"/>
  <c r="V9786" i="1"/>
  <c r="AC9786" i="1" s="1"/>
  <c r="V9788" i="1"/>
  <c r="AC9788" i="1" s="1"/>
  <c r="V9789" i="1"/>
  <c r="AC9789" i="1" s="1"/>
  <c r="V9790" i="1"/>
  <c r="AC9790" i="1" s="1"/>
  <c r="V9791" i="1"/>
  <c r="AC9791" i="1" s="1"/>
  <c r="V9792" i="1"/>
  <c r="AC9792" i="1" s="1"/>
  <c r="V9795" i="1"/>
  <c r="AC9795" i="1" s="1"/>
  <c r="V9796" i="1"/>
  <c r="AC9796" i="1" s="1"/>
  <c r="V9793" i="1"/>
  <c r="AC9793" i="1" s="1"/>
  <c r="V9798" i="1"/>
  <c r="AC9798" i="1" s="1"/>
  <c r="V9799" i="1"/>
  <c r="AC9799" i="1" s="1"/>
  <c r="V9800" i="1"/>
  <c r="AC9800" i="1" s="1"/>
  <c r="V9801" i="1"/>
  <c r="AC9801" i="1" s="1"/>
  <c r="V9803" i="1"/>
  <c r="AC9803" i="1" s="1"/>
  <c r="V9802" i="1"/>
  <c r="AC9802" i="1" s="1"/>
  <c r="V9808" i="1"/>
  <c r="AC9808" i="1" s="1"/>
  <c r="V9809" i="1"/>
  <c r="AC9809" i="1" s="1"/>
  <c r="V9813" i="1"/>
  <c r="AC9813" i="1" s="1"/>
  <c r="V9810" i="1"/>
  <c r="AC9810" i="1" s="1"/>
  <c r="V9812" i="1"/>
  <c r="AC9812" i="1" s="1"/>
  <c r="V9811" i="1"/>
  <c r="AC9811" i="1" s="1"/>
  <c r="V9814" i="1"/>
  <c r="AC9814" i="1" s="1"/>
  <c r="V9815" i="1"/>
  <c r="AC9815" i="1" s="1"/>
  <c r="V9816" i="1"/>
  <c r="AC9816" i="1" s="1"/>
  <c r="V9817" i="1"/>
  <c r="AC9817" i="1" s="1"/>
  <c r="V9818" i="1"/>
  <c r="AC9818" i="1" s="1"/>
  <c r="V9819" i="1"/>
  <c r="AC9819" i="1" s="1"/>
  <c r="V9820" i="1"/>
  <c r="AC9820" i="1" s="1"/>
  <c r="V9823" i="1"/>
  <c r="AC9823" i="1" s="1"/>
  <c r="V9822" i="1"/>
  <c r="AC9822" i="1" s="1"/>
  <c r="V9821" i="1"/>
  <c r="AC9821" i="1" s="1"/>
  <c r="V9824" i="1"/>
  <c r="AC9824" i="1" s="1"/>
  <c r="V9825" i="1"/>
  <c r="AC9825" i="1" s="1"/>
  <c r="V9826" i="1"/>
  <c r="AC9826" i="1" s="1"/>
  <c r="V9827" i="1"/>
  <c r="AC9827" i="1" s="1"/>
  <c r="V9830" i="1"/>
  <c r="AC9830" i="1" s="1"/>
  <c r="V9828" i="1"/>
  <c r="AC9828" i="1" s="1"/>
  <c r="V9829" i="1"/>
  <c r="AC9829" i="1" s="1"/>
  <c r="V285" i="1"/>
  <c r="AC285" i="1" s="1"/>
  <c r="V282" i="1"/>
  <c r="AC282" i="1" s="1"/>
  <c r="V281" i="1"/>
  <c r="AC281" i="1" s="1"/>
  <c r="V279" i="1"/>
  <c r="AC279" i="1" s="1"/>
  <c r="V276" i="1"/>
  <c r="AC276" i="1" s="1"/>
  <c r="V277" i="1"/>
  <c r="AC277" i="1" s="1"/>
  <c r="V268" i="1"/>
  <c r="AC268" i="1" s="1"/>
  <c r="V266" i="1"/>
  <c r="AC266" i="1" s="1"/>
  <c r="V263" i="1"/>
  <c r="AC263" i="1" s="1"/>
  <c r="V264" i="1"/>
  <c r="AC264" i="1" s="1"/>
  <c r="V260" i="1"/>
  <c r="AC260" i="1" s="1"/>
  <c r="V256" i="1"/>
  <c r="AC256" i="1" s="1"/>
  <c r="V255" i="1"/>
  <c r="AC255" i="1" s="1"/>
  <c r="V254" i="1"/>
  <c r="AC254" i="1" s="1"/>
  <c r="V252" i="1"/>
  <c r="AC252" i="1" s="1"/>
  <c r="V9831" i="1"/>
  <c r="AC9831" i="1" s="1"/>
  <c r="V9832" i="1"/>
  <c r="AC9832" i="1" s="1"/>
  <c r="V9834" i="1"/>
  <c r="AC9834" i="1" s="1"/>
  <c r="V9835" i="1"/>
  <c r="AC9835" i="1" s="1"/>
  <c r="V9836" i="1"/>
  <c r="AC9836" i="1" s="1"/>
  <c r="V9837" i="1"/>
  <c r="AC9837" i="1" s="1"/>
  <c r="V9838" i="1"/>
  <c r="AC9838" i="1" s="1"/>
  <c r="V9842" i="1"/>
  <c r="AC9842" i="1" s="1"/>
  <c r="V9843" i="1"/>
  <c r="AC9843" i="1" s="1"/>
  <c r="V9839" i="1"/>
  <c r="AC9839" i="1" s="1"/>
  <c r="V9840" i="1"/>
  <c r="AC9840" i="1" s="1"/>
  <c r="V9846" i="1"/>
  <c r="AC9846" i="1" s="1"/>
  <c r="V9847" i="1"/>
  <c r="AC9847" i="1" s="1"/>
  <c r="V9848" i="1"/>
  <c r="AC9848" i="1" s="1"/>
  <c r="V9849" i="1"/>
  <c r="AC9849" i="1" s="1"/>
  <c r="V9850" i="1"/>
  <c r="AC9850" i="1" s="1"/>
  <c r="V9851" i="1"/>
  <c r="AC9851" i="1" s="1"/>
  <c r="V9852" i="1"/>
  <c r="AC9852" i="1" s="1"/>
  <c r="V9853" i="1"/>
  <c r="AC9853" i="1" s="1"/>
  <c r="V9854" i="1"/>
  <c r="AC9854" i="1" s="1"/>
  <c r="V9855" i="1"/>
  <c r="AC9855" i="1" s="1"/>
  <c r="V9856" i="1"/>
  <c r="AC9856" i="1" s="1"/>
  <c r="V9857" i="1"/>
  <c r="AC9857" i="1" s="1"/>
  <c r="V9858" i="1"/>
  <c r="AC9858" i="1" s="1"/>
  <c r="V9859" i="1"/>
  <c r="AC9859" i="1" s="1"/>
  <c r="V9860" i="1"/>
  <c r="AC9860" i="1" s="1"/>
  <c r="V9861" i="1"/>
  <c r="AC9861" i="1" s="1"/>
  <c r="V9863" i="1"/>
  <c r="AC9863" i="1" s="1"/>
  <c r="V9867" i="1"/>
  <c r="AC9867" i="1" s="1"/>
  <c r="V9865" i="1"/>
  <c r="AC9865" i="1" s="1"/>
  <c r="V9866" i="1"/>
  <c r="AC9866" i="1" s="1"/>
  <c r="V9862" i="1"/>
  <c r="AC9862" i="1" s="1"/>
  <c r="V9864" i="1"/>
  <c r="AC9864" i="1" s="1"/>
  <c r="V9868" i="1"/>
  <c r="AC9868" i="1" s="1"/>
  <c r="V9870" i="1"/>
  <c r="AC9870" i="1" s="1"/>
  <c r="V9869" i="1"/>
  <c r="AC9869" i="1" s="1"/>
  <c r="V9873" i="1"/>
  <c r="AC9873" i="1" s="1"/>
  <c r="V9874" i="1"/>
  <c r="AC9874" i="1" s="1"/>
  <c r="V9872" i="1"/>
  <c r="AC9872" i="1" s="1"/>
  <c r="V9871" i="1"/>
  <c r="AC9871" i="1" s="1"/>
  <c r="V9875" i="1"/>
  <c r="AC9875" i="1" s="1"/>
  <c r="V9877" i="1"/>
  <c r="AC9877" i="1" s="1"/>
  <c r="V9878" i="1"/>
  <c r="AC9878" i="1" s="1"/>
  <c r="V9879" i="1"/>
  <c r="AC9879" i="1" s="1"/>
  <c r="V9880" i="1"/>
  <c r="AC9880" i="1" s="1"/>
  <c r="V9881" i="1"/>
  <c r="AC9881" i="1" s="1"/>
  <c r="V9882" i="1"/>
  <c r="AC9882" i="1" s="1"/>
  <c r="V9884" i="1"/>
  <c r="AC9884" i="1" s="1"/>
  <c r="V9885" i="1"/>
  <c r="AC9885" i="1" s="1"/>
  <c r="V9886" i="1"/>
  <c r="AC9886" i="1" s="1"/>
  <c r="V9887" i="1"/>
  <c r="AC9887" i="1" s="1"/>
  <c r="V9888" i="1"/>
  <c r="AC9888" i="1" s="1"/>
  <c r="V9889" i="1"/>
  <c r="AC9889" i="1" s="1"/>
  <c r="V9890" i="1"/>
  <c r="AC9890" i="1" s="1"/>
  <c r="V9891" i="1"/>
  <c r="AC9891" i="1" s="1"/>
  <c r="V9894" i="1"/>
  <c r="AC9894" i="1" s="1"/>
  <c r="V9895" i="1"/>
  <c r="AC9895" i="1" s="1"/>
  <c r="V9896" i="1"/>
  <c r="AC9896" i="1" s="1"/>
  <c r="V9897" i="1"/>
  <c r="AC9897" i="1" s="1"/>
  <c r="V9898" i="1"/>
  <c r="AC9898" i="1" s="1"/>
  <c r="V9899" i="1"/>
  <c r="AC9899" i="1" s="1"/>
  <c r="V9900" i="1"/>
  <c r="AC9900" i="1" s="1"/>
  <c r="V9901" i="1"/>
  <c r="AC9901" i="1" s="1"/>
  <c r="V9903" i="1"/>
  <c r="AC9903" i="1" s="1"/>
  <c r="V9902" i="1"/>
  <c r="AC9902" i="1" s="1"/>
  <c r="V246" i="1"/>
  <c r="AC246" i="1" s="1"/>
  <c r="V242" i="1"/>
  <c r="AC242" i="1" s="1"/>
  <c r="V245" i="1"/>
  <c r="AC245" i="1" s="1"/>
  <c r="V243" i="1"/>
  <c r="AC243" i="1" s="1"/>
  <c r="V238" i="1"/>
  <c r="AC238" i="1" s="1"/>
  <c r="V239" i="1"/>
  <c r="AC239" i="1" s="1"/>
  <c r="V233" i="1"/>
  <c r="AC233" i="1" s="1"/>
  <c r="V232" i="1"/>
  <c r="AC232" i="1" s="1"/>
  <c r="V229" i="1"/>
  <c r="AC229" i="1" s="1"/>
  <c r="V230" i="1"/>
  <c r="AC230" i="1" s="1"/>
  <c r="V9905" i="1"/>
  <c r="AC9905" i="1" s="1"/>
  <c r="V9906" i="1"/>
  <c r="AC9906" i="1" s="1"/>
  <c r="V9908" i="1"/>
  <c r="AC9908" i="1" s="1"/>
  <c r="V9907" i="1"/>
  <c r="AC9907" i="1" s="1"/>
  <c r="V9909" i="1"/>
  <c r="AC9909" i="1" s="1"/>
  <c r="V9911" i="1"/>
  <c r="AC9911" i="1" s="1"/>
  <c r="V9910" i="1"/>
  <c r="AC9910" i="1" s="1"/>
  <c r="V9912" i="1"/>
  <c r="AC9912" i="1" s="1"/>
  <c r="V9914" i="1"/>
  <c r="AC9914" i="1" s="1"/>
  <c r="V9913" i="1"/>
  <c r="AC9913" i="1" s="1"/>
  <c r="V9915" i="1"/>
  <c r="AC9915" i="1" s="1"/>
  <c r="V9916" i="1"/>
  <c r="AC9916" i="1" s="1"/>
  <c r="V9917" i="1"/>
  <c r="AC9917" i="1" s="1"/>
  <c r="V9918" i="1"/>
  <c r="AC9918" i="1" s="1"/>
  <c r="V9971" i="1"/>
  <c r="AC9971" i="1" s="1"/>
  <c r="V9946" i="1"/>
  <c r="AC9946" i="1" s="1"/>
  <c r="V9921" i="1"/>
  <c r="AC9921" i="1" s="1"/>
  <c r="V9933" i="1"/>
  <c r="AC9933" i="1" s="1"/>
  <c r="V9967" i="1"/>
  <c r="AC9967" i="1" s="1"/>
  <c r="V9959" i="1"/>
  <c r="AC9959" i="1" s="1"/>
  <c r="V9941" i="1"/>
  <c r="AC9941" i="1" s="1"/>
  <c r="V9952" i="1"/>
  <c r="AC9952" i="1" s="1"/>
  <c r="V9973" i="1"/>
  <c r="AC9973" i="1" s="1"/>
  <c r="V9924" i="1"/>
  <c r="AC9924" i="1" s="1"/>
  <c r="V9951" i="1"/>
  <c r="AC9951" i="1" s="1"/>
  <c r="V9943" i="1"/>
  <c r="AC9943" i="1" s="1"/>
  <c r="V9976" i="1"/>
  <c r="AC9976" i="1" s="1"/>
  <c r="V9961" i="1"/>
  <c r="AC9961" i="1" s="1"/>
  <c r="V9937" i="1"/>
  <c r="AC9937" i="1" s="1"/>
  <c r="V9932" i="1"/>
  <c r="AC9932" i="1" s="1"/>
  <c r="V9923" i="1"/>
  <c r="AC9923" i="1" s="1"/>
  <c r="V9979" i="1"/>
  <c r="AC9979" i="1" s="1"/>
  <c r="V9954" i="1"/>
  <c r="AC9954" i="1" s="1"/>
  <c r="V9930" i="1"/>
  <c r="AC9930" i="1" s="1"/>
  <c r="V9927" i="1"/>
  <c r="AC9927" i="1" s="1"/>
  <c r="V9931" i="1"/>
  <c r="AC9931" i="1" s="1"/>
  <c r="V9947" i="1"/>
  <c r="AC9947" i="1" s="1"/>
  <c r="V9928" i="1"/>
  <c r="AC9928" i="1" s="1"/>
  <c r="V9938" i="1"/>
  <c r="AC9938" i="1" s="1"/>
  <c r="V9957" i="1"/>
  <c r="AC9957" i="1" s="1"/>
  <c r="V9964" i="1"/>
  <c r="AC9964" i="1" s="1"/>
  <c r="V9955" i="1"/>
  <c r="AC9955" i="1" s="1"/>
  <c r="V9936" i="1"/>
  <c r="AC9936" i="1" s="1"/>
  <c r="V9978" i="1"/>
  <c r="AC9978" i="1" s="1"/>
  <c r="V9948" i="1"/>
  <c r="AC9948" i="1" s="1"/>
  <c r="V9958" i="1"/>
  <c r="AC9958" i="1" s="1"/>
  <c r="V9945" i="1"/>
  <c r="AC9945" i="1" s="1"/>
  <c r="V9935" i="1"/>
  <c r="AC9935" i="1" s="1"/>
  <c r="V9922" i="1"/>
  <c r="AC9922" i="1" s="1"/>
  <c r="V9934" i="1"/>
  <c r="AC9934" i="1" s="1"/>
  <c r="V9966" i="1"/>
  <c r="AC9966" i="1" s="1"/>
  <c r="V9956" i="1"/>
  <c r="AC9956" i="1" s="1"/>
  <c r="V9970" i="1"/>
  <c r="AC9970" i="1" s="1"/>
  <c r="V9940" i="1"/>
  <c r="AC9940" i="1" s="1"/>
  <c r="V9960" i="1"/>
  <c r="AC9960" i="1" s="1"/>
  <c r="V9972" i="1"/>
  <c r="AC9972" i="1" s="1"/>
  <c r="V9962" i="1"/>
  <c r="AC9962" i="1" s="1"/>
  <c r="V9975" i="1"/>
  <c r="AC9975" i="1" s="1"/>
  <c r="V9925" i="1"/>
  <c r="AC9925" i="1" s="1"/>
  <c r="V9919" i="1"/>
  <c r="AC9919" i="1" s="1"/>
  <c r="V9926" i="1"/>
  <c r="AC9926" i="1" s="1"/>
  <c r="V9929" i="1"/>
  <c r="AC9929" i="1" s="1"/>
  <c r="V9968" i="1"/>
  <c r="AC9968" i="1" s="1"/>
  <c r="V9939" i="1"/>
  <c r="AC9939" i="1" s="1"/>
  <c r="V9953" i="1"/>
  <c r="AC9953" i="1" s="1"/>
  <c r="V9942" i="1"/>
  <c r="AC9942" i="1" s="1"/>
  <c r="V9963" i="1"/>
  <c r="AC9963" i="1" s="1"/>
  <c r="V9920" i="1"/>
  <c r="AC9920" i="1" s="1"/>
  <c r="V9944" i="1"/>
  <c r="AC9944" i="1" s="1"/>
  <c r="V9965" i="1"/>
  <c r="AC9965" i="1" s="1"/>
  <c r="V9969" i="1"/>
  <c r="AC9969" i="1" s="1"/>
  <c r="V226" i="1"/>
  <c r="AC226" i="1" s="1"/>
  <c r="V224" i="1"/>
  <c r="AC224" i="1" s="1"/>
  <c r="V223" i="1"/>
  <c r="AC223" i="1" s="1"/>
  <c r="V218" i="1"/>
  <c r="AC218" i="1" s="1"/>
  <c r="V214" i="1"/>
  <c r="AC214" i="1" s="1"/>
  <c r="V209" i="1"/>
  <c r="AC209" i="1" s="1"/>
  <c r="V9988" i="1"/>
  <c r="AC9988" i="1" s="1"/>
  <c r="V9989" i="1"/>
  <c r="AC9989" i="1" s="1"/>
  <c r="V9994" i="1"/>
  <c r="AC9994" i="1" s="1"/>
  <c r="V9991" i="1"/>
  <c r="AC9991" i="1" s="1"/>
  <c r="V9992" i="1"/>
  <c r="AC9992" i="1" s="1"/>
  <c r="V9990" i="1"/>
  <c r="AC9990" i="1" s="1"/>
  <c r="V9993" i="1"/>
  <c r="AC9993" i="1" s="1"/>
  <c r="V9995" i="1"/>
  <c r="AC9995" i="1" s="1"/>
  <c r="V9996" i="1"/>
  <c r="AC9996" i="1" s="1"/>
  <c r="V9997" i="1"/>
  <c r="AC9997" i="1" s="1"/>
  <c r="V9999" i="1"/>
  <c r="AC9999" i="1" s="1"/>
  <c r="V9998" i="1"/>
  <c r="AC9998" i="1" s="1"/>
  <c r="V10000" i="1"/>
  <c r="AC10000" i="1" s="1"/>
  <c r="V10001" i="1"/>
  <c r="AC10001" i="1" s="1"/>
  <c r="V10004" i="1"/>
  <c r="AC10004" i="1" s="1"/>
  <c r="V10003" i="1"/>
  <c r="AC10003" i="1" s="1"/>
  <c r="V10002" i="1"/>
  <c r="AC10002" i="1" s="1"/>
  <c r="V10005" i="1"/>
  <c r="AC10005" i="1" s="1"/>
  <c r="V10007" i="1"/>
  <c r="AC10007" i="1" s="1"/>
  <c r="V10006" i="1"/>
  <c r="AC10006" i="1" s="1"/>
  <c r="V10009" i="1"/>
  <c r="AC10009" i="1" s="1"/>
  <c r="V10008" i="1"/>
  <c r="AC10008" i="1" s="1"/>
  <c r="V10012" i="1"/>
  <c r="AC10012" i="1" s="1"/>
  <c r="V10010" i="1"/>
  <c r="AC10010" i="1" s="1"/>
  <c r="V10011" i="1"/>
  <c r="AC10011" i="1" s="1"/>
  <c r="V10013" i="1"/>
  <c r="AC10013" i="1" s="1"/>
  <c r="V10014" i="1"/>
  <c r="AC10014" i="1" s="1"/>
  <c r="V10017" i="1"/>
  <c r="AC10017" i="1" s="1"/>
  <c r="V10015" i="1"/>
  <c r="AC10015" i="1" s="1"/>
  <c r="V10016" i="1"/>
  <c r="AC10016" i="1" s="1"/>
  <c r="V10018" i="1"/>
  <c r="AC10018" i="1" s="1"/>
  <c r="V10021" i="1"/>
  <c r="AC10021" i="1" s="1"/>
  <c r="V10019" i="1"/>
  <c r="AC10019" i="1" s="1"/>
  <c r="V10020" i="1"/>
  <c r="AC10020" i="1" s="1"/>
  <c r="V10022" i="1"/>
  <c r="AC10022" i="1" s="1"/>
  <c r="V10024" i="1"/>
  <c r="AC10024" i="1" s="1"/>
  <c r="V10023" i="1"/>
  <c r="AC10023" i="1" s="1"/>
  <c r="V10025" i="1"/>
  <c r="AC10025" i="1" s="1"/>
  <c r="V10028" i="1"/>
  <c r="AC10028" i="1" s="1"/>
  <c r="V10032" i="1"/>
  <c r="AC10032" i="1" s="1"/>
  <c r="V10033" i="1"/>
  <c r="AC10033" i="1" s="1"/>
  <c r="V10034" i="1"/>
  <c r="AC10034" i="1" s="1"/>
  <c r="V10036" i="1"/>
  <c r="AC10036" i="1" s="1"/>
  <c r="V10038" i="1"/>
  <c r="AC10038" i="1" s="1"/>
  <c r="V10035" i="1"/>
  <c r="AC10035" i="1" s="1"/>
  <c r="V10040" i="1"/>
  <c r="AC10040" i="1" s="1"/>
  <c r="V10041" i="1"/>
  <c r="AC10041" i="1" s="1"/>
  <c r="V10042" i="1"/>
  <c r="AC10042" i="1" s="1"/>
  <c r="V10043" i="1"/>
  <c r="AC10043" i="1" s="1"/>
  <c r="V10044" i="1"/>
  <c r="AC10044" i="1" s="1"/>
  <c r="V10045" i="1"/>
  <c r="AC10045" i="1" s="1"/>
  <c r="V10047" i="1"/>
  <c r="AC10047" i="1" s="1"/>
  <c r="V10046" i="1"/>
  <c r="AC10046" i="1" s="1"/>
  <c r="V10048" i="1"/>
  <c r="AC10048" i="1" s="1"/>
  <c r="V10049" i="1"/>
  <c r="AC10049" i="1" s="1"/>
  <c r="V10050" i="1"/>
  <c r="AC10050" i="1" s="1"/>
  <c r="V10051" i="1"/>
  <c r="AC10051" i="1" s="1"/>
  <c r="V10052" i="1"/>
  <c r="AC10052" i="1" s="1"/>
  <c r="V10055" i="1"/>
  <c r="AC10055" i="1" s="1"/>
  <c r="V10053" i="1"/>
  <c r="AC10053" i="1" s="1"/>
  <c r="V10054" i="1"/>
  <c r="AC10054" i="1" s="1"/>
  <c r="V10056" i="1"/>
  <c r="AC10056" i="1" s="1"/>
  <c r="V10057" i="1"/>
  <c r="AC10057" i="1" s="1"/>
  <c r="V10058" i="1"/>
  <c r="AC10058" i="1" s="1"/>
  <c r="V10063" i="1"/>
  <c r="AC10063" i="1" s="1"/>
  <c r="V10062" i="1"/>
  <c r="AC10062" i="1" s="1"/>
  <c r="V10059" i="1"/>
  <c r="AC10059" i="1" s="1"/>
  <c r="V10060" i="1"/>
  <c r="AC10060" i="1" s="1"/>
  <c r="V10061" i="1"/>
  <c r="AC10061" i="1" s="1"/>
  <c r="V10064" i="1"/>
  <c r="AC10064" i="1" s="1"/>
  <c r="V10065" i="1"/>
  <c r="AC10065" i="1" s="1"/>
  <c r="V10066" i="1"/>
  <c r="AC10066" i="1" s="1"/>
  <c r="V10067" i="1"/>
  <c r="AC10067" i="1" s="1"/>
  <c r="V10068" i="1"/>
  <c r="AC10068" i="1" s="1"/>
  <c r="V10069" i="1"/>
  <c r="AC10069" i="1" s="1"/>
  <c r="V10070" i="1"/>
  <c r="AC10070" i="1" s="1"/>
  <c r="V10071" i="1"/>
  <c r="AC10071" i="1" s="1"/>
  <c r="V10072" i="1"/>
  <c r="AC10072" i="1" s="1"/>
  <c r="V10076" i="1"/>
  <c r="AC10076" i="1" s="1"/>
  <c r="V10073" i="1"/>
  <c r="AC10073" i="1" s="1"/>
  <c r="V10074" i="1"/>
  <c r="AC10074" i="1" s="1"/>
  <c r="V10075" i="1"/>
  <c r="AC10075" i="1" s="1"/>
  <c r="V10077" i="1"/>
  <c r="AC10077" i="1" s="1"/>
  <c r="V10078" i="1"/>
  <c r="AC10078" i="1" s="1"/>
  <c r="V10082" i="1"/>
  <c r="AC10082" i="1" s="1"/>
  <c r="V10080" i="1"/>
  <c r="AC10080" i="1" s="1"/>
  <c r="V10081" i="1"/>
  <c r="AC10081" i="1" s="1"/>
  <c r="V10079" i="1"/>
  <c r="AC10079" i="1" s="1"/>
  <c r="V10086" i="1"/>
  <c r="AC10086" i="1" s="1"/>
  <c r="V10085" i="1"/>
  <c r="AC10085" i="1" s="1"/>
  <c r="V10087" i="1"/>
  <c r="AC10087" i="1" s="1"/>
  <c r="V10088" i="1"/>
  <c r="AC10088" i="1" s="1"/>
  <c r="V10089" i="1"/>
  <c r="AC10089" i="1" s="1"/>
  <c r="V10090" i="1"/>
  <c r="AC10090" i="1" s="1"/>
  <c r="V10092" i="1"/>
  <c r="AC10092" i="1" s="1"/>
  <c r="V10091" i="1"/>
  <c r="AC10091" i="1" s="1"/>
  <c r="V10093" i="1"/>
  <c r="AC10093" i="1" s="1"/>
  <c r="V10097" i="1"/>
  <c r="AC10097" i="1" s="1"/>
  <c r="V10094" i="1"/>
  <c r="AC10094" i="1" s="1"/>
  <c r="V10096" i="1"/>
  <c r="AC10096" i="1" s="1"/>
  <c r="V10095" i="1"/>
  <c r="AC10095" i="1" s="1"/>
  <c r="V10099" i="1"/>
  <c r="AC10099" i="1" s="1"/>
  <c r="V10100" i="1"/>
  <c r="AC10100" i="1" s="1"/>
  <c r="V10101" i="1"/>
  <c r="AC10101" i="1" s="1"/>
  <c r="V10102" i="1"/>
  <c r="AC10102" i="1" s="1"/>
  <c r="V10103" i="1"/>
  <c r="AC10103" i="1" s="1"/>
  <c r="V10104" i="1"/>
  <c r="AC10104" i="1" s="1"/>
  <c r="V10107" i="1"/>
  <c r="AC10107" i="1" s="1"/>
  <c r="V10108" i="1"/>
  <c r="AC10108" i="1" s="1"/>
  <c r="V10109" i="1"/>
  <c r="AC10109" i="1" s="1"/>
  <c r="V10110" i="1"/>
  <c r="AC10110" i="1" s="1"/>
  <c r="V10111" i="1"/>
  <c r="AC10111" i="1" s="1"/>
  <c r="V10151" i="1"/>
  <c r="AC10151" i="1" s="1"/>
  <c r="V10158" i="1"/>
  <c r="AC10158" i="1" s="1"/>
  <c r="V10142" i="1"/>
  <c r="AC10142" i="1" s="1"/>
  <c r="V10129" i="1"/>
  <c r="AC10129" i="1" s="1"/>
  <c r="V10155" i="1"/>
  <c r="AC10155" i="1" s="1"/>
  <c r="V10131" i="1"/>
  <c r="AC10131" i="1" s="1"/>
  <c r="V10141" i="1"/>
  <c r="AC10141" i="1" s="1"/>
  <c r="V10114" i="1"/>
  <c r="AC10114" i="1" s="1"/>
  <c r="V10139" i="1"/>
  <c r="AC10139" i="1" s="1"/>
  <c r="V10127" i="1"/>
  <c r="AC10127" i="1" s="1"/>
  <c r="V10135" i="1"/>
  <c r="AC10135" i="1" s="1"/>
  <c r="V10115" i="1"/>
  <c r="AC10115" i="1" s="1"/>
  <c r="V10149" i="1"/>
  <c r="AC10149" i="1" s="1"/>
  <c r="V10122" i="1"/>
  <c r="AC10122" i="1" s="1"/>
  <c r="V10134" i="1"/>
  <c r="AC10134" i="1" s="1"/>
  <c r="V10120" i="1"/>
  <c r="AC10120" i="1" s="1"/>
  <c r="V10164" i="1"/>
  <c r="AC10164" i="1" s="1"/>
  <c r="V10166" i="1"/>
  <c r="AC10166" i="1" s="1"/>
  <c r="V10119" i="1"/>
  <c r="AC10119" i="1" s="1"/>
  <c r="V10147" i="1"/>
  <c r="AC10147" i="1" s="1"/>
  <c r="V10132" i="1"/>
  <c r="AC10132" i="1" s="1"/>
  <c r="V10138" i="1"/>
  <c r="AC10138" i="1" s="1"/>
  <c r="V10128" i="1"/>
  <c r="AC10128" i="1" s="1"/>
  <c r="V10163" i="1"/>
  <c r="AC10163" i="1" s="1"/>
  <c r="V10159" i="1"/>
  <c r="AC10159" i="1" s="1"/>
  <c r="V10162" i="1"/>
  <c r="AC10162" i="1" s="1"/>
  <c r="V10130" i="1"/>
  <c r="AC10130" i="1" s="1"/>
  <c r="V10145" i="1"/>
  <c r="AC10145" i="1" s="1"/>
  <c r="V10113" i="1"/>
  <c r="AC10113" i="1" s="1"/>
  <c r="V10157" i="1"/>
  <c r="AC10157" i="1" s="1"/>
  <c r="V10136" i="1"/>
  <c r="AC10136" i="1" s="1"/>
  <c r="V10116" i="1"/>
  <c r="AC10116" i="1" s="1"/>
  <c r="V10140" i="1"/>
  <c r="AC10140" i="1" s="1"/>
  <c r="V10150" i="1"/>
  <c r="AC10150" i="1" s="1"/>
  <c r="V10153" i="1"/>
  <c r="AC10153" i="1" s="1"/>
  <c r="V10121" i="1"/>
  <c r="AC10121" i="1" s="1"/>
  <c r="V10126" i="1"/>
  <c r="AC10126" i="1" s="1"/>
  <c r="V10118" i="1"/>
  <c r="AC10118" i="1" s="1"/>
  <c r="V10124" i="1"/>
  <c r="AC10124" i="1" s="1"/>
  <c r="V10123" i="1"/>
  <c r="AC10123" i="1" s="1"/>
  <c r="V10161" i="1"/>
  <c r="AC10161" i="1" s="1"/>
  <c r="V10137" i="1"/>
  <c r="AC10137" i="1" s="1"/>
  <c r="V10143" i="1"/>
  <c r="AC10143" i="1" s="1"/>
  <c r="V10133" i="1"/>
  <c r="AC10133" i="1" s="1"/>
  <c r="V10125" i="1"/>
  <c r="AC10125" i="1" s="1"/>
  <c r="V10154" i="1"/>
  <c r="AC10154" i="1" s="1"/>
  <c r="V10156" i="1"/>
  <c r="AC10156" i="1" s="1"/>
  <c r="V10117" i="1"/>
  <c r="AC10117" i="1" s="1"/>
  <c r="V10165" i="1"/>
  <c r="AC10165" i="1" s="1"/>
  <c r="V10148" i="1"/>
  <c r="AC10148" i="1" s="1"/>
  <c r="V10144" i="1"/>
  <c r="AC10144" i="1" s="1"/>
  <c r="V10112" i="1"/>
  <c r="AC10112" i="1" s="1"/>
  <c r="V10152" i="1"/>
  <c r="AC10152" i="1" s="1"/>
  <c r="V10174" i="1"/>
  <c r="AC10174" i="1" s="1"/>
  <c r="V10173" i="1"/>
  <c r="AC10173" i="1" s="1"/>
  <c r="V10172" i="1"/>
  <c r="AC10172" i="1" s="1"/>
  <c r="V10175" i="1"/>
  <c r="AC10175" i="1" s="1"/>
  <c r="V10176" i="1"/>
  <c r="AC10176" i="1" s="1"/>
  <c r="V10178" i="1"/>
  <c r="AC10178" i="1" s="1"/>
  <c r="V10177" i="1"/>
  <c r="AC10177" i="1" s="1"/>
  <c r="V10179" i="1"/>
  <c r="AC10179" i="1" s="1"/>
  <c r="V10181" i="1"/>
  <c r="AC10181" i="1" s="1"/>
  <c r="V10180" i="1"/>
  <c r="AC10180" i="1" s="1"/>
  <c r="V10182" i="1"/>
  <c r="AC10182" i="1" s="1"/>
  <c r="V10184" i="1"/>
  <c r="AC10184" i="1" s="1"/>
  <c r="V10183" i="1"/>
  <c r="AC10183" i="1" s="1"/>
  <c r="V10186" i="1"/>
  <c r="AC10186" i="1" s="1"/>
  <c r="V10185" i="1"/>
  <c r="AC10185" i="1" s="1"/>
  <c r="V10187" i="1"/>
  <c r="AC10187" i="1" s="1"/>
  <c r="V10188" i="1"/>
  <c r="AC10188" i="1" s="1"/>
  <c r="V10189" i="1"/>
  <c r="AC10189" i="1" s="1"/>
  <c r="V10190" i="1"/>
  <c r="AC10190" i="1" s="1"/>
  <c r="V10192" i="1"/>
  <c r="AC10192" i="1" s="1"/>
  <c r="V10191" i="1"/>
  <c r="AC10191" i="1" s="1"/>
  <c r="V10193" i="1"/>
  <c r="AC10193" i="1" s="1"/>
  <c r="V10194" i="1"/>
  <c r="AC10194" i="1" s="1"/>
  <c r="V10196" i="1"/>
  <c r="AC10196" i="1" s="1"/>
  <c r="V10195" i="1"/>
  <c r="AC10195" i="1" s="1"/>
  <c r="V10197" i="1"/>
  <c r="AC10197" i="1" s="1"/>
  <c r="V10198" i="1"/>
  <c r="AC10198" i="1" s="1"/>
  <c r="V10199" i="1"/>
  <c r="AC10199" i="1" s="1"/>
  <c r="V10202" i="1"/>
  <c r="AC10202" i="1" s="1"/>
  <c r="V10203" i="1"/>
  <c r="AC10203" i="1" s="1"/>
  <c r="V10200" i="1"/>
  <c r="AC10200" i="1" s="1"/>
  <c r="V10201" i="1"/>
  <c r="AC10201" i="1" s="1"/>
  <c r="V10206" i="1"/>
  <c r="AC10206" i="1" s="1"/>
  <c r="V10210" i="1"/>
  <c r="AC10210" i="1" s="1"/>
  <c r="V10211" i="1"/>
  <c r="AC10211" i="1" s="1"/>
  <c r="V10209" i="1"/>
  <c r="AC10209" i="1" s="1"/>
  <c r="V10207" i="1"/>
  <c r="AC10207" i="1" s="1"/>
  <c r="V10208" i="1"/>
  <c r="AC10208" i="1" s="1"/>
  <c r="V10214" i="1"/>
  <c r="AC10214" i="1" s="1"/>
  <c r="V10217" i="1"/>
  <c r="AC10217" i="1" s="1"/>
  <c r="V10215" i="1"/>
  <c r="AC10215" i="1" s="1"/>
  <c r="V10219" i="1"/>
  <c r="AC10219" i="1" s="1"/>
  <c r="V10221" i="1"/>
  <c r="AC10221" i="1" s="1"/>
  <c r="V10220" i="1"/>
  <c r="AC10220" i="1" s="1"/>
  <c r="V10224" i="1"/>
  <c r="AC10224" i="1" s="1"/>
  <c r="V10223" i="1"/>
  <c r="AC10223" i="1" s="1"/>
  <c r="V10225" i="1"/>
  <c r="AC10225" i="1" s="1"/>
  <c r="V10227" i="1"/>
  <c r="AC10227" i="1" s="1"/>
  <c r="V10229" i="1"/>
  <c r="AC10229" i="1" s="1"/>
  <c r="V10228" i="1"/>
  <c r="AC10228" i="1" s="1"/>
  <c r="V10226" i="1"/>
  <c r="AC10226" i="1" s="1"/>
  <c r="V10230" i="1"/>
  <c r="AC10230" i="1" s="1"/>
  <c r="V10231" i="1"/>
  <c r="AC10231" i="1" s="1"/>
  <c r="V10232" i="1"/>
  <c r="AC10232" i="1" s="1"/>
  <c r="V10234" i="1"/>
  <c r="AC10234" i="1" s="1"/>
  <c r="V10236" i="1"/>
  <c r="AC10236" i="1" s="1"/>
  <c r="V10235" i="1"/>
  <c r="AC10235" i="1" s="1"/>
  <c r="V10237" i="1"/>
  <c r="AC10237" i="1" s="1"/>
  <c r="V10238" i="1"/>
  <c r="AC10238" i="1" s="1"/>
  <c r="V10239" i="1"/>
  <c r="AC10239" i="1" s="1"/>
  <c r="V10242" i="1"/>
  <c r="AC10242" i="1" s="1"/>
  <c r="V10243" i="1"/>
  <c r="AC10243" i="1" s="1"/>
  <c r="V10246" i="1"/>
  <c r="AC10246" i="1" s="1"/>
  <c r="V10245" i="1"/>
  <c r="AC10245" i="1" s="1"/>
  <c r="V10248" i="1"/>
  <c r="AC10248" i="1" s="1"/>
  <c r="V10244" i="1"/>
  <c r="AC10244" i="1" s="1"/>
  <c r="V10252" i="1"/>
  <c r="AC10252" i="1" s="1"/>
  <c r="V10251" i="1"/>
  <c r="AC10251" i="1" s="1"/>
  <c r="V10254" i="1"/>
  <c r="AC10254" i="1" s="1"/>
  <c r="V10255" i="1"/>
  <c r="AC10255" i="1" s="1"/>
  <c r="V10259" i="1"/>
  <c r="AC10259" i="1" s="1"/>
  <c r="V10257" i="1"/>
  <c r="AC10257" i="1" s="1"/>
  <c r="V10260" i="1"/>
  <c r="AC10260" i="1" s="1"/>
  <c r="V10262" i="1"/>
  <c r="AC10262" i="1" s="1"/>
  <c r="V10286" i="1"/>
  <c r="AC10286" i="1" s="1"/>
  <c r="V10281" i="1"/>
  <c r="AC10281" i="1" s="1"/>
  <c r="V10284" i="1"/>
  <c r="AC10284" i="1" s="1"/>
  <c r="V10285" i="1"/>
  <c r="AC10285" i="1" s="1"/>
  <c r="V10275" i="1"/>
  <c r="AC10275" i="1" s="1"/>
  <c r="V10287" i="1"/>
  <c r="AC10287" i="1" s="1"/>
  <c r="V10288" i="1"/>
  <c r="AC10288" i="1" s="1"/>
  <c r="V10274" i="1"/>
  <c r="AC10274" i="1" s="1"/>
  <c r="V10273" i="1"/>
  <c r="AC10273" i="1" s="1"/>
  <c r="V10282" i="1"/>
  <c r="AC10282" i="1" s="1"/>
  <c r="V10269" i="1"/>
  <c r="AC10269" i="1" s="1"/>
  <c r="V10272" i="1"/>
  <c r="AC10272" i="1" s="1"/>
  <c r="V10277" i="1"/>
  <c r="AC10277" i="1" s="1"/>
  <c r="V10265" i="1"/>
  <c r="AC10265" i="1" s="1"/>
  <c r="V10289" i="1"/>
  <c r="AC10289" i="1" s="1"/>
  <c r="V10264" i="1"/>
  <c r="AC10264" i="1" s="1"/>
  <c r="V10276" i="1"/>
  <c r="AC10276" i="1" s="1"/>
  <c r="V10271" i="1"/>
  <c r="AC10271" i="1" s="1"/>
  <c r="V10267" i="1"/>
  <c r="AC10267" i="1" s="1"/>
  <c r="V10280" i="1"/>
  <c r="AC10280" i="1" s="1"/>
  <c r="V10266" i="1"/>
  <c r="AC10266" i="1" s="1"/>
  <c r="V10268" i="1"/>
  <c r="AC10268" i="1" s="1"/>
  <c r="V10263" i="1"/>
  <c r="AC10263" i="1" s="1"/>
  <c r="V10283" i="1"/>
  <c r="AC10283" i="1" s="1"/>
  <c r="V10297" i="1"/>
  <c r="AC10297" i="1" s="1"/>
  <c r="V10299" i="1"/>
  <c r="AC10299" i="1" s="1"/>
  <c r="V10298" i="1"/>
  <c r="AC10298" i="1" s="1"/>
  <c r="V10300" i="1"/>
  <c r="AC10300" i="1" s="1"/>
  <c r="V10301" i="1"/>
  <c r="AC10301" i="1" s="1"/>
  <c r="V10302" i="1"/>
  <c r="AC10302" i="1" s="1"/>
  <c r="V10303" i="1"/>
  <c r="AC10303" i="1" s="1"/>
  <c r="V10304" i="1"/>
  <c r="AC10304" i="1" s="1"/>
  <c r="V10305" i="1"/>
  <c r="AC10305" i="1" s="1"/>
  <c r="V10306" i="1"/>
  <c r="AC10306" i="1" s="1"/>
  <c r="V10307" i="1"/>
  <c r="AC10307" i="1" s="1"/>
  <c r="V10308" i="1"/>
  <c r="AC10308" i="1" s="1"/>
  <c r="V10309" i="1"/>
  <c r="AC10309" i="1" s="1"/>
  <c r="V10310" i="1"/>
  <c r="AC10310" i="1" s="1"/>
  <c r="V10312" i="1"/>
  <c r="AC10312" i="1" s="1"/>
  <c r="V10313" i="1"/>
  <c r="AC10313" i="1" s="1"/>
  <c r="V10316" i="1"/>
  <c r="AC10316" i="1" s="1"/>
  <c r="V10315" i="1"/>
  <c r="AC10315" i="1" s="1"/>
  <c r="V10314" i="1"/>
  <c r="AC10314" i="1" s="1"/>
  <c r="V10318" i="1"/>
  <c r="AC10318" i="1" s="1"/>
  <c r="V10319" i="1"/>
  <c r="AC10319" i="1" s="1"/>
  <c r="V10322" i="1"/>
  <c r="AC10322" i="1" s="1"/>
  <c r="V10321" i="1"/>
  <c r="AC10321" i="1" s="1"/>
  <c r="V10320" i="1"/>
  <c r="AC10320" i="1" s="1"/>
  <c r="V10323" i="1"/>
  <c r="AC10323" i="1" s="1"/>
  <c r="V10325" i="1"/>
  <c r="AC10325" i="1" s="1"/>
  <c r="V10327" i="1"/>
  <c r="AC10327" i="1" s="1"/>
  <c r="V10324" i="1"/>
  <c r="AC10324" i="1" s="1"/>
  <c r="V10328" i="1"/>
  <c r="AC10328" i="1" s="1"/>
  <c r="V10326" i="1"/>
  <c r="AC10326" i="1" s="1"/>
  <c r="V10329" i="1"/>
  <c r="AC10329" i="1" s="1"/>
  <c r="V10330" i="1"/>
  <c r="AC10330" i="1" s="1"/>
  <c r="V10331" i="1"/>
  <c r="AC10331" i="1" s="1"/>
  <c r="V10332" i="1"/>
  <c r="AC10332" i="1" s="1"/>
  <c r="V10333" i="1"/>
  <c r="AC10333" i="1" s="1"/>
  <c r="V10334" i="1"/>
  <c r="AC10334" i="1" s="1"/>
  <c r="V10335" i="1"/>
  <c r="AC10335" i="1" s="1"/>
  <c r="V10336" i="1"/>
  <c r="AC10336" i="1" s="1"/>
  <c r="V10337" i="1"/>
  <c r="AC10337" i="1" s="1"/>
  <c r="V10338" i="1"/>
  <c r="AC10338" i="1" s="1"/>
  <c r="V10339" i="1"/>
  <c r="AC10339" i="1" s="1"/>
  <c r="V10340" i="1"/>
  <c r="AC10340" i="1" s="1"/>
  <c r="V10341" i="1"/>
  <c r="AC10341" i="1" s="1"/>
  <c r="V10342" i="1"/>
  <c r="AC10342" i="1" s="1"/>
  <c r="V10343" i="1"/>
  <c r="AC10343" i="1" s="1"/>
  <c r="V10344" i="1"/>
  <c r="AC10344" i="1" s="1"/>
  <c r="V10345" i="1"/>
  <c r="AC10345" i="1" s="1"/>
  <c r="V10346" i="1"/>
  <c r="AC10346" i="1" s="1"/>
  <c r="V10347" i="1"/>
  <c r="AC10347" i="1" s="1"/>
  <c r="V10373" i="1"/>
  <c r="AC10373" i="1" s="1"/>
  <c r="V10369" i="1"/>
  <c r="AC10369" i="1" s="1"/>
  <c r="V10356" i="1"/>
  <c r="AC10356" i="1" s="1"/>
  <c r="V10361" i="1"/>
  <c r="AC10361" i="1" s="1"/>
  <c r="V10370" i="1"/>
  <c r="AC10370" i="1" s="1"/>
  <c r="V10366" i="1"/>
  <c r="AC10366" i="1" s="1"/>
  <c r="V10375" i="1"/>
  <c r="AC10375" i="1" s="1"/>
  <c r="V10376" i="1"/>
  <c r="AC10376" i="1" s="1"/>
  <c r="V10374" i="1"/>
  <c r="AC10374" i="1" s="1"/>
  <c r="V10358" i="1"/>
  <c r="AC10358" i="1" s="1"/>
  <c r="V10359" i="1"/>
  <c r="AC10359" i="1" s="1"/>
  <c r="V10351" i="1"/>
  <c r="AC10351" i="1" s="1"/>
  <c r="V10362" i="1"/>
  <c r="AC10362" i="1" s="1"/>
  <c r="V10380" i="1"/>
  <c r="AC10380" i="1" s="1"/>
  <c r="V10355" i="1"/>
  <c r="AC10355" i="1" s="1"/>
  <c r="V10349" i="1"/>
  <c r="AC10349" i="1" s="1"/>
  <c r="V10348" i="1"/>
  <c r="AC10348" i="1" s="1"/>
  <c r="V10371" i="1"/>
  <c r="AC10371" i="1" s="1"/>
  <c r="V10350" i="1"/>
  <c r="AC10350" i="1" s="1"/>
  <c r="V10363" i="1"/>
  <c r="AC10363" i="1" s="1"/>
  <c r="V10354" i="1"/>
  <c r="AC10354" i="1" s="1"/>
  <c r="V10360" i="1"/>
  <c r="AC10360" i="1" s="1"/>
  <c r="V10372" i="1"/>
  <c r="AC10372" i="1" s="1"/>
  <c r="V10352" i="1"/>
  <c r="AC10352" i="1" s="1"/>
  <c r="V10365" i="1"/>
  <c r="AC10365" i="1" s="1"/>
  <c r="V10353" i="1"/>
  <c r="AC10353" i="1" s="1"/>
  <c r="V10364" i="1"/>
  <c r="AC10364" i="1" s="1"/>
  <c r="V206" i="1"/>
  <c r="AC206" i="1" s="1"/>
  <c r="V196" i="1"/>
  <c r="AC196" i="1" s="1"/>
  <c r="V194" i="1"/>
  <c r="AC194" i="1" s="1"/>
  <c r="V191" i="1"/>
  <c r="AC191" i="1" s="1"/>
  <c r="V190" i="1"/>
  <c r="AC190" i="1" s="1"/>
  <c r="V192" i="1"/>
  <c r="AC192" i="1" s="1"/>
  <c r="V189" i="1"/>
  <c r="AC189" i="1" s="1"/>
  <c r="V187" i="1"/>
  <c r="AC187" i="1" s="1"/>
  <c r="V186" i="1"/>
  <c r="AC186" i="1" s="1"/>
  <c r="V184" i="1"/>
  <c r="AC184" i="1" s="1"/>
  <c r="V508" i="1"/>
  <c r="AC508" i="1" s="1"/>
  <c r="V166" i="1"/>
  <c r="AC166" i="1" s="1"/>
  <c r="V164" i="1"/>
  <c r="AC164" i="1" s="1"/>
  <c r="V197" i="1"/>
  <c r="AC197" i="1" s="1"/>
  <c r="V160" i="1"/>
  <c r="AC160" i="1" s="1"/>
  <c r="V161" i="1"/>
  <c r="AC161" i="1" s="1"/>
  <c r="V158" i="1"/>
  <c r="AC158" i="1" s="1"/>
  <c r="V149" i="1"/>
  <c r="AC149" i="1" s="1"/>
  <c r="V146" i="1"/>
  <c r="AC146" i="1" s="1"/>
  <c r="V145" i="1"/>
  <c r="AC145" i="1" s="1"/>
  <c r="V143" i="1"/>
  <c r="AC143" i="1" s="1"/>
  <c r="V142" i="1"/>
  <c r="AC142" i="1" s="1"/>
  <c r="V138" i="1"/>
  <c r="AC138" i="1" s="1"/>
  <c r="V136" i="1"/>
  <c r="AC136" i="1" s="1"/>
  <c r="V132" i="1"/>
  <c r="AC132" i="1" s="1"/>
  <c r="V133" i="1"/>
  <c r="AC133" i="1" s="1"/>
  <c r="V131" i="1"/>
  <c r="AC131" i="1" s="1"/>
  <c r="V130" i="1"/>
  <c r="AC130" i="1" s="1"/>
  <c r="V128" i="1"/>
  <c r="AC128" i="1" s="1"/>
  <c r="V127" i="1"/>
  <c r="AC127" i="1" s="1"/>
  <c r="V120" i="1"/>
  <c r="AC120" i="1" s="1"/>
  <c r="V119" i="1"/>
  <c r="AC119" i="1" s="1"/>
  <c r="V118" i="1"/>
  <c r="AC118" i="1" s="1"/>
  <c r="V10385" i="1"/>
  <c r="AC10385" i="1" s="1"/>
  <c r="V10386" i="1"/>
  <c r="AC10386" i="1" s="1"/>
  <c r="V10387" i="1"/>
  <c r="AC10387" i="1" s="1"/>
  <c r="V10388" i="1"/>
  <c r="AC10388" i="1" s="1"/>
  <c r="V10389" i="1"/>
  <c r="AC10389" i="1" s="1"/>
  <c r="V10390" i="1"/>
  <c r="AC10390" i="1" s="1"/>
  <c r="V10391" i="1"/>
  <c r="AC10391" i="1" s="1"/>
  <c r="V10392" i="1"/>
  <c r="AC10392" i="1" s="1"/>
  <c r="V10395" i="1"/>
  <c r="AC10395" i="1" s="1"/>
  <c r="V10396" i="1"/>
  <c r="AC10396" i="1" s="1"/>
  <c r="V10399" i="1"/>
  <c r="AC10399" i="1" s="1"/>
  <c r="V10398" i="1"/>
  <c r="AC10398" i="1" s="1"/>
  <c r="V10397" i="1"/>
  <c r="AC10397" i="1" s="1"/>
  <c r="V10400" i="1"/>
  <c r="AC10400" i="1" s="1"/>
  <c r="V10401" i="1"/>
  <c r="AC10401" i="1" s="1"/>
  <c r="V10403" i="1"/>
  <c r="AC10403" i="1" s="1"/>
  <c r="V10405" i="1"/>
  <c r="AC10405" i="1" s="1"/>
  <c r="V10406" i="1"/>
  <c r="AC10406" i="1" s="1"/>
  <c r="V10407" i="1"/>
  <c r="AC10407" i="1" s="1"/>
  <c r="V10408" i="1"/>
  <c r="AC10408" i="1" s="1"/>
  <c r="V10409" i="1"/>
  <c r="AC10409" i="1" s="1"/>
  <c r="V10410" i="1"/>
  <c r="AC10410" i="1" s="1"/>
  <c r="V10411" i="1"/>
  <c r="AC10411" i="1" s="1"/>
  <c r="V10412" i="1"/>
  <c r="AC10412" i="1" s="1"/>
  <c r="V10413" i="1"/>
  <c r="AC10413" i="1" s="1"/>
  <c r="V10414" i="1"/>
  <c r="AC10414" i="1" s="1"/>
  <c r="V10417" i="1"/>
  <c r="AC10417" i="1" s="1"/>
  <c r="V10418" i="1"/>
  <c r="AC10418" i="1" s="1"/>
  <c r="V10422" i="1"/>
  <c r="AC10422" i="1" s="1"/>
  <c r="V10421" i="1"/>
  <c r="AC10421" i="1" s="1"/>
  <c r="V10419" i="1"/>
  <c r="AC10419" i="1" s="1"/>
  <c r="V10420" i="1"/>
  <c r="AC10420" i="1" s="1"/>
  <c r="V10424" i="1"/>
  <c r="AC10424" i="1" s="1"/>
  <c r="V10425" i="1"/>
  <c r="AC10425" i="1" s="1"/>
  <c r="V10426" i="1"/>
  <c r="AC10426" i="1" s="1"/>
  <c r="V10428" i="1"/>
  <c r="AC10428" i="1" s="1"/>
  <c r="V10427" i="1"/>
  <c r="AC10427" i="1" s="1"/>
  <c r="V10429" i="1"/>
  <c r="AC10429" i="1" s="1"/>
  <c r="V10430" i="1"/>
  <c r="AC10430" i="1" s="1"/>
  <c r="V10431" i="1"/>
  <c r="AC10431" i="1" s="1"/>
  <c r="V10432" i="1"/>
  <c r="AC10432" i="1" s="1"/>
  <c r="V10434" i="1"/>
  <c r="AC10434" i="1" s="1"/>
  <c r="V10433" i="1"/>
  <c r="AC10433" i="1" s="1"/>
  <c r="V10435" i="1"/>
  <c r="AC10435" i="1" s="1"/>
  <c r="V10436" i="1"/>
  <c r="AC10436" i="1" s="1"/>
  <c r="V10437" i="1"/>
  <c r="AC10437" i="1" s="1"/>
  <c r="V10440" i="1"/>
  <c r="AC10440" i="1" s="1"/>
  <c r="V10441" i="1"/>
  <c r="AC10441" i="1" s="1"/>
  <c r="V10443" i="1"/>
  <c r="AC10443" i="1" s="1"/>
  <c r="V10445" i="1"/>
  <c r="AC10445" i="1" s="1"/>
  <c r="V10457" i="1"/>
  <c r="AC10457" i="1" s="1"/>
  <c r="V10466" i="1"/>
  <c r="AC10466" i="1" s="1"/>
  <c r="V10462" i="1"/>
  <c r="AC10462" i="1" s="1"/>
  <c r="V10458" i="1"/>
  <c r="AC10458" i="1" s="1"/>
  <c r="V10452" i="1"/>
  <c r="AC10452" i="1" s="1"/>
  <c r="V10460" i="1"/>
  <c r="AC10460" i="1" s="1"/>
  <c r="V10467" i="1"/>
  <c r="AC10467" i="1" s="1"/>
  <c r="V10447" i="1"/>
  <c r="AC10447" i="1" s="1"/>
  <c r="V10465" i="1"/>
  <c r="AC10465" i="1" s="1"/>
  <c r="V10450" i="1"/>
  <c r="AC10450" i="1" s="1"/>
  <c r="V10446" i="1"/>
  <c r="AC10446" i="1" s="1"/>
  <c r="V10448" i="1"/>
  <c r="AC10448" i="1" s="1"/>
  <c r="V10455" i="1"/>
  <c r="AC10455" i="1" s="1"/>
  <c r="V10468" i="1"/>
  <c r="AC10468" i="1" s="1"/>
  <c r="V10469" i="1"/>
  <c r="AC10469" i="1" s="1"/>
  <c r="V10453" i="1"/>
  <c r="AC10453" i="1" s="1"/>
  <c r="V10463" i="1"/>
  <c r="AC10463" i="1" s="1"/>
  <c r="V10456" i="1"/>
  <c r="AC10456" i="1" s="1"/>
  <c r="V10449" i="1"/>
  <c r="AC10449" i="1" s="1"/>
  <c r="V10451" i="1"/>
  <c r="AC10451" i="1" s="1"/>
  <c r="V10471" i="1"/>
  <c r="AC10471" i="1" s="1"/>
  <c r="V10472" i="1"/>
  <c r="AC10472" i="1" s="1"/>
  <c r="V10473" i="1"/>
  <c r="AC10473" i="1" s="1"/>
  <c r="V10474" i="1"/>
  <c r="AC10474" i="1" s="1"/>
  <c r="V10475" i="1"/>
  <c r="AC10475" i="1" s="1"/>
  <c r="V10476" i="1"/>
  <c r="AC10476" i="1" s="1"/>
  <c r="V10477" i="1"/>
  <c r="AC10477" i="1" s="1"/>
  <c r="V10478" i="1"/>
  <c r="AC10478" i="1" s="1"/>
  <c r="V10479" i="1"/>
  <c r="AC10479" i="1" s="1"/>
  <c r="V10480" i="1"/>
  <c r="AC10480" i="1" s="1"/>
  <c r="V10482" i="1"/>
  <c r="AC10482" i="1" s="1"/>
  <c r="V10484" i="1"/>
  <c r="AC10484" i="1" s="1"/>
  <c r="V10485" i="1"/>
  <c r="AC10485" i="1" s="1"/>
  <c r="V10487" i="1"/>
  <c r="AC10487" i="1" s="1"/>
  <c r="V10490" i="1"/>
  <c r="AC10490" i="1" s="1"/>
  <c r="V10489" i="1"/>
  <c r="AC10489" i="1" s="1"/>
  <c r="V10488" i="1"/>
  <c r="AC10488" i="1" s="1"/>
  <c r="V10492" i="1"/>
  <c r="AC10492" i="1" s="1"/>
  <c r="V10495" i="1"/>
  <c r="AC10495" i="1" s="1"/>
  <c r="V10498" i="1"/>
  <c r="AC10498" i="1" s="1"/>
  <c r="V10499" i="1"/>
  <c r="AC10499" i="1" s="1"/>
  <c r="V10506" i="1"/>
  <c r="AC10506" i="1" s="1"/>
  <c r="V10507" i="1"/>
  <c r="AC10507" i="1" s="1"/>
  <c r="V10511" i="1"/>
  <c r="AC10511" i="1" s="1"/>
  <c r="V10501" i="1"/>
  <c r="AC10501" i="1" s="1"/>
  <c r="V10500" i="1"/>
  <c r="AC10500" i="1" s="1"/>
  <c r="V10508" i="1"/>
  <c r="AC10508" i="1" s="1"/>
  <c r="V10503" i="1"/>
  <c r="AC10503" i="1" s="1"/>
  <c r="V10510" i="1"/>
  <c r="AC10510" i="1" s="1"/>
  <c r="V116" i="1"/>
  <c r="AC116" i="1" s="1"/>
  <c r="V29" i="1"/>
  <c r="AC29" i="1" s="1"/>
  <c r="V28" i="1"/>
  <c r="AC28" i="1" s="1"/>
  <c r="V18" i="1"/>
  <c r="AC18" i="1" s="1"/>
  <c r="V26" i="1"/>
  <c r="AC26" i="1" s="1"/>
  <c r="V24" i="1"/>
  <c r="AC24" i="1" s="1"/>
  <c r="V23" i="1"/>
  <c r="AC23" i="1" s="1"/>
  <c r="V22" i="1"/>
  <c r="AC22" i="1" s="1"/>
  <c r="V182" i="1"/>
  <c r="AC182" i="1" s="1"/>
  <c r="V181" i="1"/>
  <c r="AC181" i="1" s="1"/>
  <c r="V180" i="1"/>
  <c r="AC180" i="1" s="1"/>
  <c r="V19" i="1"/>
  <c r="AC19" i="1" s="1"/>
  <c r="V17" i="1"/>
  <c r="AC17" i="1" s="1"/>
  <c r="V16" i="1"/>
  <c r="AC16" i="1" s="1"/>
  <c r="V15" i="1"/>
  <c r="AC15" i="1" s="1"/>
  <c r="V3125" i="1"/>
  <c r="AC3125" i="1" s="1"/>
  <c r="V10514" i="1"/>
  <c r="AC10514" i="1" s="1"/>
  <c r="V10505" i="1"/>
  <c r="AC10505" i="1" s="1"/>
  <c r="V10509" i="1"/>
  <c r="AC10509" i="1" s="1"/>
  <c r="V10504" i="1"/>
  <c r="AC10504" i="1" s="1"/>
  <c r="V10518" i="1"/>
  <c r="AC10518" i="1" s="1"/>
  <c r="V10519" i="1"/>
  <c r="AC10519" i="1" s="1"/>
  <c r="V10521" i="1"/>
  <c r="AC10521" i="1" s="1"/>
  <c r="V10520" i="1"/>
  <c r="AC10520" i="1" s="1"/>
  <c r="V10522" i="1"/>
  <c r="AC10522" i="1" s="1"/>
  <c r="V10523" i="1"/>
  <c r="AC10523" i="1" s="1"/>
  <c r="V10525" i="1"/>
  <c r="AC10525" i="1" s="1"/>
  <c r="V10527" i="1"/>
  <c r="AC10527" i="1" s="1"/>
  <c r="V10528" i="1"/>
  <c r="AC10528" i="1" s="1"/>
  <c r="V10530" i="1"/>
  <c r="AC10530" i="1" s="1"/>
  <c r="V10532" i="1"/>
  <c r="AC10532" i="1" s="1"/>
  <c r="V10533" i="1"/>
  <c r="AC10533" i="1" s="1"/>
  <c r="V10535" i="1"/>
  <c r="AC10535" i="1" s="1"/>
  <c r="V10546" i="1"/>
  <c r="AC10546" i="1" s="1"/>
  <c r="V10548" i="1"/>
  <c r="AC10548" i="1" s="1"/>
  <c r="V10542" i="1"/>
  <c r="AC10542" i="1" s="1"/>
  <c r="V10539" i="1"/>
  <c r="AC10539" i="1" s="1"/>
  <c r="V10536" i="1"/>
  <c r="AC10536" i="1" s="1"/>
  <c r="V10537" i="1"/>
  <c r="AC10537" i="1" s="1"/>
  <c r="V10562" i="1"/>
  <c r="AC10562" i="1" s="1"/>
  <c r="V10543" i="1"/>
  <c r="AC10543" i="1" s="1"/>
  <c r="V10550" i="1"/>
  <c r="AC10550" i="1" s="1"/>
  <c r="V10549" i="1"/>
  <c r="AC10549" i="1" s="1"/>
  <c r="V10551" i="1"/>
  <c r="AC10551" i="1" s="1"/>
  <c r="V10553" i="1"/>
  <c r="AC10553" i="1" s="1"/>
  <c r="V10552" i="1"/>
  <c r="AC10552" i="1" s="1"/>
  <c r="V10555" i="1"/>
  <c r="AC10555" i="1" s="1"/>
  <c r="V10557" i="1"/>
  <c r="AC10557" i="1" s="1"/>
  <c r="V10558" i="1"/>
  <c r="AC10558" i="1" s="1"/>
  <c r="V10559" i="1"/>
  <c r="AC10559" i="1" s="1"/>
  <c r="V10560" i="1"/>
  <c r="AC10560" i="1" s="1"/>
  <c r="V10561" i="1"/>
  <c r="AC10561" i="1" s="1"/>
  <c r="V10566" i="1"/>
  <c r="AC10566" i="1" s="1"/>
  <c r="V10563" i="1"/>
  <c r="AC10563" i="1" s="1"/>
  <c r="V10567" i="1"/>
  <c r="AC10567" i="1" s="1"/>
  <c r="V10565" i="1"/>
  <c r="AC10565" i="1" s="1"/>
  <c r="V10570" i="1"/>
  <c r="AC10570" i="1" s="1"/>
  <c r="V10572" i="1"/>
  <c r="AC10572" i="1" s="1"/>
  <c r="V10573" i="1"/>
  <c r="AC10573" i="1" s="1"/>
  <c r="V10578" i="1"/>
  <c r="AC10578" i="1" s="1"/>
  <c r="V10575" i="1"/>
  <c r="AC10575" i="1" s="1"/>
  <c r="V10577" i="1"/>
  <c r="AC10577" i="1" s="1"/>
  <c r="V10579" i="1"/>
  <c r="AC10579" i="1" s="1"/>
  <c r="V10576" i="1"/>
  <c r="AC10576" i="1" s="1"/>
  <c r="V10581" i="1"/>
  <c r="AC10581" i="1" s="1"/>
  <c r="V10574" i="1"/>
  <c r="AC10574" i="1" s="1"/>
  <c r="V10584" i="1"/>
  <c r="AC10584" i="1" s="1"/>
  <c r="V10585" i="1"/>
  <c r="AC10585" i="1" s="1"/>
  <c r="V10586" i="1"/>
  <c r="AC10586" i="1" s="1"/>
  <c r="V10587" i="1"/>
  <c r="AC10587" i="1" s="1"/>
  <c r="V10588" i="1"/>
  <c r="AC10588" i="1" s="1"/>
  <c r="V10594" i="1"/>
  <c r="AC10594" i="1" s="1"/>
  <c r="V10595" i="1"/>
  <c r="AC10595" i="1" s="1"/>
  <c r="V10590" i="1"/>
  <c r="AC10590" i="1" s="1"/>
  <c r="V10598" i="1"/>
  <c r="AC10598" i="1" s="1"/>
  <c r="V10601" i="1"/>
  <c r="AC10601" i="1" s="1"/>
  <c r="V10600" i="1"/>
  <c r="AC10600" i="1" s="1"/>
  <c r="V10599" i="1"/>
  <c r="AC10599" i="1" s="1"/>
  <c r="V10602" i="1"/>
  <c r="AC10602" i="1" s="1"/>
  <c r="V10604" i="1"/>
  <c r="AC10604" i="1" s="1"/>
  <c r="V10603" i="1"/>
  <c r="AC10603" i="1" s="1"/>
  <c r="V10606" i="1"/>
  <c r="AC10606" i="1" s="1"/>
  <c r="V10607" i="1"/>
  <c r="AC10607" i="1" s="1"/>
  <c r="V10608" i="1"/>
  <c r="AC10608" i="1" s="1"/>
  <c r="V5030" i="1"/>
  <c r="AC5030" i="1" s="1"/>
  <c r="V14" i="1"/>
  <c r="AC14" i="1" s="1"/>
  <c r="V13" i="1"/>
  <c r="AC13" i="1" s="1"/>
  <c r="V12" i="1"/>
  <c r="AC12" i="1" s="1"/>
  <c r="V11" i="1"/>
  <c r="AC11" i="1" s="1"/>
  <c r="V10" i="1"/>
  <c r="AC10" i="1" s="1"/>
  <c r="V9" i="1"/>
  <c r="AC9" i="1" s="1"/>
  <c r="V5697" i="1"/>
  <c r="AC5697" i="1" s="1"/>
  <c r="V3807" i="1"/>
  <c r="AC3807" i="1" s="1"/>
  <c r="V462" i="1"/>
  <c r="AC462" i="1" s="1"/>
  <c r="V193" i="1"/>
  <c r="AC193" i="1" s="1"/>
  <c r="V188" i="1"/>
  <c r="AC188" i="1" s="1"/>
  <c r="V185" i="1"/>
  <c r="AC185" i="1" s="1"/>
  <c r="AB5030" i="1"/>
  <c r="Z4713" i="1"/>
  <c r="Z2349" i="1"/>
  <c r="AB6691" i="1"/>
  <c r="AB7317" i="1"/>
  <c r="AB7328" i="1"/>
  <c r="AB6608" i="1"/>
  <c r="AB10340" i="1"/>
  <c r="AB10406" i="1"/>
  <c r="AB9913" i="1"/>
  <c r="AB9831" i="1"/>
  <c r="AB5545" i="1"/>
  <c r="AB7526" i="1"/>
  <c r="AB3557" i="1"/>
  <c r="AB5102" i="1"/>
  <c r="AB2603" i="1"/>
  <c r="AB4314" i="1"/>
  <c r="AB5744" i="1"/>
  <c r="AB2140" i="1"/>
  <c r="AB1144" i="1"/>
  <c r="AB819" i="1"/>
  <c r="Z1704" i="1"/>
  <c r="AB1704" i="1"/>
  <c r="AB8575" i="1"/>
  <c r="AB9256" i="1"/>
  <c r="AB8292" i="1"/>
  <c r="AB8452" i="1"/>
  <c r="AB8430" i="1"/>
  <c r="AB8341" i="1"/>
  <c r="AB8203" i="1"/>
  <c r="AB8117" i="1"/>
  <c r="AB10504" i="1"/>
  <c r="AB9876" i="1"/>
  <c r="AB8891" i="1"/>
  <c r="AB9404" i="1"/>
  <c r="Z8117" i="1"/>
  <c r="Z8203" i="1"/>
  <c r="Z8341" i="1"/>
  <c r="AB10066" i="1"/>
  <c r="AB9611" i="1"/>
  <c r="AB5122" i="1"/>
  <c r="Z9611" i="1"/>
  <c r="AB8871" i="1"/>
  <c r="AB8438" i="1"/>
  <c r="Z2086" i="1"/>
  <c r="Z1019" i="1"/>
  <c r="Z889" i="1"/>
  <c r="Z785" i="1"/>
  <c r="Z429" i="1"/>
  <c r="AB5644" i="1"/>
  <c r="AB5406" i="1"/>
  <c r="AB5409" i="1"/>
  <c r="AB6762" i="1"/>
  <c r="AB6682" i="1"/>
  <c r="AB6627" i="1"/>
  <c r="AB6302" i="1"/>
  <c r="AB6624" i="1"/>
  <c r="AB6578" i="1"/>
  <c r="AB7141" i="1"/>
  <c r="AB7400" i="1"/>
  <c r="AB7705" i="1"/>
  <c r="AB4080" i="1"/>
  <c r="AB1167" i="1"/>
  <c r="S1248" i="1"/>
  <c r="AB306" i="1"/>
  <c r="AB116" i="1"/>
  <c r="AB4356" i="1"/>
  <c r="Z116" i="1"/>
  <c r="AB118" i="1"/>
  <c r="AB179" i="1"/>
  <c r="S847" i="1"/>
  <c r="AB854" i="1"/>
  <c r="AB1531" i="1"/>
  <c r="AB976" i="1"/>
  <c r="AB6149" i="1"/>
  <c r="AB9165" i="1"/>
  <c r="AB9258" i="1"/>
  <c r="AB8680" i="1"/>
  <c r="AB8765" i="1"/>
  <c r="AB8938" i="1"/>
  <c r="AB9801" i="1"/>
  <c r="AB10023" i="1"/>
  <c r="AB10237" i="1"/>
  <c r="AB10400" i="1"/>
  <c r="AB10107" i="1"/>
  <c r="AB8755" i="1"/>
  <c r="AB9717" i="1"/>
  <c r="AB7613" i="1"/>
  <c r="AB435" i="1"/>
  <c r="AB1108" i="1"/>
  <c r="AB1037" i="1"/>
  <c r="AB2364" i="1"/>
  <c r="AB1907" i="1"/>
  <c r="AB1905" i="1"/>
  <c r="AB119" i="1"/>
  <c r="AB2767" i="1"/>
  <c r="Z2832" i="1"/>
  <c r="AB2832" i="1"/>
  <c r="AB723" i="1"/>
  <c r="AB525" i="1"/>
  <c r="AB5219" i="1"/>
  <c r="AB2098" i="1"/>
  <c r="AB1853" i="1"/>
  <c r="AB1910" i="1"/>
  <c r="AB1379" i="1"/>
  <c r="AB1468" i="1"/>
  <c r="AB745" i="1"/>
  <c r="AB746" i="1"/>
  <c r="AB2259" i="1"/>
  <c r="AB1392" i="1"/>
  <c r="AB1304" i="1"/>
  <c r="AB1961" i="1"/>
  <c r="AB755" i="1"/>
  <c r="AB571" i="1"/>
  <c r="AB2976" i="1"/>
  <c r="AB2101" i="1"/>
  <c r="Z2101" i="1"/>
  <c r="Z745" i="1"/>
  <c r="Z1468" i="1"/>
  <c r="Z5219" i="1"/>
  <c r="AB490" i="1"/>
  <c r="AB8884" i="1"/>
  <c r="AB31" i="1"/>
  <c r="AB1080" i="1"/>
  <c r="AB1169" i="1"/>
  <c r="AB1906" i="1"/>
  <c r="AB1204" i="1"/>
  <c r="AB1832" i="1"/>
  <c r="AB1283" i="1"/>
  <c r="AB1109" i="1"/>
  <c r="AB1562" i="1"/>
  <c r="AB2265" i="1"/>
  <c r="AB2351" i="1"/>
  <c r="AB2665" i="1"/>
  <c r="AB2131" i="1"/>
  <c r="AB942" i="1"/>
  <c r="AB667" i="1"/>
  <c r="AB2771" i="1"/>
  <c r="AB1762" i="1"/>
  <c r="AB1290" i="1"/>
  <c r="AB2686" i="1"/>
  <c r="AB606" i="1"/>
  <c r="AB3525" i="1"/>
  <c r="AB1501" i="1"/>
  <c r="AB1567" i="1"/>
  <c r="AB1940" i="1"/>
  <c r="AB1561" i="1"/>
  <c r="AB1606" i="1"/>
  <c r="AB1839" i="1"/>
  <c r="AB1097" i="1"/>
  <c r="AB1345" i="1"/>
  <c r="AB1255" i="1"/>
  <c r="AB1403" i="1"/>
  <c r="AB2921" i="1"/>
  <c r="AB4186" i="1"/>
  <c r="AB1739" i="1"/>
  <c r="AB1854" i="1"/>
  <c r="AB2897" i="1"/>
  <c r="AB1075" i="1"/>
  <c r="AB2757" i="1"/>
  <c r="AB4348" i="1"/>
  <c r="Z2897" i="1"/>
  <c r="Z1739" i="1"/>
  <c r="Z2921" i="1"/>
  <c r="Z1403" i="1"/>
  <c r="Z1561" i="1"/>
  <c r="Z1501" i="1"/>
  <c r="Z3525" i="1"/>
  <c r="Z2686" i="1"/>
  <c r="Z1283" i="1"/>
  <c r="Z1080" i="1"/>
  <c r="AB847" i="1"/>
  <c r="AB731" i="1"/>
  <c r="AB2638" i="1"/>
  <c r="AB1105" i="1"/>
  <c r="AB931" i="1"/>
  <c r="Z2084" i="1"/>
  <c r="AB2084" i="1"/>
  <c r="AB1053" i="1"/>
  <c r="AB1073" i="1"/>
  <c r="AB1725" i="1"/>
  <c r="AB1498" i="1"/>
  <c r="AB1691" i="1"/>
  <c r="AB123" i="1"/>
  <c r="AB795" i="1"/>
  <c r="AB2503" i="1"/>
  <c r="AB989" i="1"/>
  <c r="AB1270" i="1"/>
  <c r="AB629" i="1"/>
  <c r="AB1376" i="1"/>
  <c r="AB897" i="1"/>
  <c r="Z2304" i="1"/>
  <c r="AB2304" i="1"/>
  <c r="AB1773" i="1"/>
  <c r="AB1535" i="1"/>
  <c r="AB1020" i="1"/>
  <c r="AB371" i="1"/>
  <c r="AB445" i="1"/>
  <c r="AB808" i="1"/>
  <c r="AB408" i="1"/>
  <c r="Z423" i="1"/>
  <c r="AB423" i="1"/>
  <c r="AB1313" i="1"/>
  <c r="AB618" i="1"/>
  <c r="AB2341" i="1"/>
  <c r="AB2227" i="1"/>
  <c r="AB2102" i="1"/>
  <c r="AB2629" i="1"/>
  <c r="AB2292" i="1"/>
  <c r="AB2501" i="1"/>
  <c r="AB3315" i="1"/>
  <c r="Z2341" i="1"/>
  <c r="AB2781" i="1"/>
  <c r="AB5161" i="1"/>
  <c r="AB1952" i="1"/>
  <c r="AB2564" i="1"/>
  <c r="AB3421" i="1"/>
  <c r="AB621" i="1"/>
  <c r="AB389" i="1"/>
  <c r="AB304" i="1"/>
  <c r="AB790" i="1"/>
  <c r="AB376" i="1"/>
  <c r="AB1292" i="1"/>
  <c r="AB2736" i="1"/>
  <c r="AB809" i="1"/>
  <c r="AB2186" i="1"/>
  <c r="AB2798" i="1"/>
  <c r="AB10070" i="1"/>
  <c r="AB10058" i="1"/>
  <c r="AB10271" i="1"/>
  <c r="AB10196" i="1"/>
  <c r="AB8757" i="1"/>
  <c r="AB10203" i="1"/>
  <c r="AB10100" i="1"/>
  <c r="AB10067" i="1"/>
  <c r="AB8317" i="1"/>
  <c r="AB5203" i="1"/>
  <c r="AB9678" i="1"/>
  <c r="AB9896" i="1"/>
  <c r="AB8756" i="1"/>
  <c r="AB10410" i="1"/>
  <c r="AB3079" i="1"/>
  <c r="AB10418" i="1"/>
  <c r="AB10429" i="1"/>
  <c r="AB9318" i="1"/>
  <c r="AB7897" i="1"/>
  <c r="AB10238" i="1"/>
  <c r="AB9595" i="1"/>
  <c r="AB10409" i="1"/>
  <c r="AB9616" i="1"/>
  <c r="AB8099" i="1"/>
  <c r="AB7737" i="1"/>
  <c r="AB7625" i="1"/>
  <c r="AB9743" i="1"/>
  <c r="AB9906" i="1"/>
  <c r="AB441" i="1"/>
  <c r="S2430" i="1"/>
  <c r="AB34" i="1"/>
  <c r="AB398" i="1"/>
  <c r="AB36" i="1"/>
  <c r="AB33" i="1"/>
  <c r="AB57" i="1"/>
  <c r="AB254" i="1"/>
  <c r="AB133" i="1"/>
  <c r="AB35" i="1"/>
  <c r="AB120" i="1"/>
  <c r="AB351" i="1"/>
  <c r="AB69" i="1"/>
  <c r="AB43" i="1"/>
  <c r="AB1025" i="1"/>
  <c r="AB45" i="1"/>
  <c r="AB211" i="1"/>
  <c r="AB678" i="1"/>
  <c r="AB814" i="1"/>
  <c r="S2016" i="1"/>
  <c r="AB5628" i="1"/>
  <c r="AB7933" i="1"/>
  <c r="AB7622" i="1"/>
  <c r="AB5584" i="1"/>
  <c r="AB7236" i="1"/>
  <c r="AB7011" i="1"/>
  <c r="AB1706" i="1"/>
  <c r="AB4903" i="1"/>
  <c r="AB7313" i="1"/>
  <c r="AB5439" i="1"/>
  <c r="AB10376" i="1"/>
  <c r="AB10211" i="1"/>
  <c r="AB10246" i="1"/>
  <c r="AB10316" i="1"/>
  <c r="AB10164" i="1"/>
  <c r="AB10315" i="1"/>
  <c r="AB10374" i="1"/>
  <c r="AB10375" i="1"/>
  <c r="AB3751" i="1"/>
  <c r="AB10366" i="1"/>
  <c r="AB6348" i="1"/>
  <c r="S190" i="1"/>
  <c r="AB10268" i="1"/>
  <c r="AB9471" i="1"/>
  <c r="AB8988" i="1"/>
  <c r="AB8302" i="1"/>
  <c r="AB5112" i="1"/>
  <c r="Z5112" i="1"/>
  <c r="AB10194" i="1"/>
  <c r="AB10570" i="1"/>
  <c r="AB10420" i="1"/>
  <c r="AB8999" i="1"/>
  <c r="AB10453" i="1"/>
  <c r="AB3955" i="1"/>
  <c r="AB10069" i="1"/>
  <c r="AB10588" i="1"/>
  <c r="AB10578" i="1"/>
  <c r="AB10587" i="1"/>
  <c r="AB10560" i="1"/>
  <c r="AB10405" i="1"/>
  <c r="AB9248" i="1"/>
  <c r="AB8297" i="1"/>
  <c r="AB6812" i="1"/>
  <c r="AB10509" i="1"/>
  <c r="AB10463" i="1"/>
  <c r="AB10567" i="1"/>
  <c r="AB10575" i="1"/>
  <c r="AB10510" i="1"/>
  <c r="AB10543" i="1"/>
  <c r="AB7889" i="1"/>
  <c r="AB7330" i="1"/>
  <c r="AB7367" i="1"/>
  <c r="AB7106" i="1"/>
  <c r="AB6829" i="1"/>
  <c r="AB10283" i="1"/>
  <c r="AB10525" i="1"/>
  <c r="AB8310" i="1"/>
  <c r="AB10276" i="1"/>
  <c r="AB10161" i="1"/>
  <c r="AB9715" i="1"/>
  <c r="AB10462" i="1"/>
  <c r="AB10457" i="1"/>
  <c r="AB10466" i="1"/>
  <c r="AB10052" i="1"/>
  <c r="AB10482" i="1"/>
  <c r="AB10377" i="1"/>
  <c r="Z10161" i="1"/>
  <c r="Z10560" i="1"/>
  <c r="Z10587" i="1"/>
  <c r="Z10588" i="1"/>
  <c r="AB10576" i="1"/>
  <c r="AB8723" i="1"/>
  <c r="AB9053" i="1"/>
  <c r="AB9293" i="1"/>
  <c r="AB9200" i="1"/>
  <c r="AB8671" i="1"/>
  <c r="AB8807" i="1"/>
  <c r="AB8803" i="1"/>
  <c r="AB8963" i="1"/>
  <c r="AB8519" i="1"/>
  <c r="AB8722" i="1"/>
  <c r="AB9007" i="1"/>
  <c r="AB8711" i="1"/>
  <c r="AB9202" i="1"/>
  <c r="AB10330" i="1"/>
  <c r="AB3981" i="1"/>
  <c r="AB4772" i="1"/>
  <c r="AB8643" i="1"/>
  <c r="AB8635" i="1"/>
  <c r="AB9040" i="1"/>
  <c r="AB8300" i="1"/>
  <c r="AB8486" i="1"/>
  <c r="AB5814" i="1"/>
  <c r="AB8611" i="1"/>
  <c r="AB180" i="1"/>
  <c r="AB6117" i="1"/>
  <c r="AB6132" i="1"/>
  <c r="AB8714" i="1"/>
  <c r="AB8446" i="1"/>
  <c r="AB8235" i="1"/>
  <c r="AB8136" i="1"/>
  <c r="AB10601" i="1"/>
  <c r="AB8799" i="1"/>
  <c r="AB8576" i="1"/>
  <c r="AB8992" i="1"/>
  <c r="AB8475" i="1"/>
  <c r="AB9506" i="1"/>
  <c r="AB8801" i="1"/>
  <c r="AB10579" i="1"/>
  <c r="AB10599" i="1"/>
  <c r="AB10600" i="1"/>
  <c r="Z10603" i="1"/>
  <c r="AB10603" i="1"/>
  <c r="AB10602" i="1"/>
  <c r="Z10604" i="1"/>
  <c r="AB10604" i="1"/>
  <c r="AB10595" i="1"/>
  <c r="AB10609" i="1"/>
  <c r="AB3454" i="1"/>
  <c r="S10013" i="1"/>
  <c r="S2028" i="1"/>
  <c r="S519" i="1"/>
  <c r="S10297" i="1"/>
  <c r="S1644" i="1"/>
  <c r="AB1505" i="1"/>
  <c r="AB893" i="1"/>
  <c r="AB1565" i="1"/>
  <c r="AB198" i="1"/>
  <c r="AB421" i="1"/>
  <c r="Z699" i="1"/>
  <c r="AB699" i="1"/>
  <c r="AB915" i="1"/>
  <c r="Z3053" i="1"/>
  <c r="AB3053" i="1"/>
  <c r="AB2137" i="1"/>
  <c r="AB2929" i="1"/>
  <c r="AB2920" i="1"/>
  <c r="AB5026" i="1"/>
  <c r="AB8661" i="1"/>
  <c r="AB4780" i="1"/>
  <c r="AB4752" i="1"/>
  <c r="AB4807" i="1"/>
  <c r="AB4801" i="1"/>
  <c r="AB3755" i="1"/>
  <c r="AB4681" i="1"/>
  <c r="Z4801" i="1"/>
  <c r="Z3303" i="1"/>
  <c r="AB3303" i="1"/>
  <c r="Z3891" i="1"/>
  <c r="AB3891" i="1"/>
  <c r="Z4451" i="1"/>
  <c r="AB4451" i="1"/>
  <c r="Z4470" i="1"/>
  <c r="AB4470" i="1"/>
  <c r="AB3573" i="1"/>
  <c r="AB2772" i="1"/>
  <c r="AB335" i="1"/>
  <c r="AB9744" i="1"/>
  <c r="AB9170" i="1"/>
  <c r="AB6662" i="1"/>
  <c r="AB6176" i="1"/>
  <c r="AB10326" i="1"/>
  <c r="AB10219" i="1"/>
  <c r="AB9970" i="1"/>
  <c r="AB9517" i="1"/>
  <c r="AB5250" i="1"/>
  <c r="AB2611" i="1"/>
  <c r="Z9517" i="1"/>
  <c r="Z6662" i="1"/>
  <c r="Z9170" i="1"/>
  <c r="Z9744" i="1"/>
  <c r="AB8995" i="1"/>
  <c r="Z10332" i="1"/>
  <c r="AB10332" i="1"/>
  <c r="AB7581" i="1"/>
  <c r="Z10363" i="1"/>
  <c r="AB10363" i="1"/>
  <c r="Z10229" i="1"/>
  <c r="AB10229" i="1"/>
  <c r="Z10532" i="1"/>
  <c r="AB10532" i="1"/>
  <c r="AB3541" i="1"/>
  <c r="Z3542" i="1"/>
  <c r="AB3542" i="1"/>
  <c r="AB2840" i="1"/>
  <c r="AB3519" i="1"/>
  <c r="Z3026" i="1"/>
  <c r="AB3026" i="1"/>
  <c r="AB3527" i="1"/>
  <c r="Z4431" i="1"/>
  <c r="AB4431" i="1"/>
  <c r="Z3074" i="1"/>
  <c r="AB3074" i="1"/>
  <c r="AB132" i="1"/>
  <c r="AB2565" i="1"/>
  <c r="AB2055" i="1"/>
  <c r="AB1666" i="1"/>
  <c r="Z1260" i="1"/>
  <c r="AB1260" i="1"/>
  <c r="AB1529" i="1"/>
  <c r="AB2670" i="1"/>
  <c r="AB292" i="1"/>
  <c r="AB2104" i="1"/>
  <c r="AB128" i="1"/>
  <c r="AB127" i="1"/>
  <c r="AB182" i="1"/>
  <c r="AB1248" i="1"/>
  <c r="S191" i="1"/>
  <c r="AB191" i="1"/>
  <c r="AB131" i="1"/>
  <c r="AB142" i="1"/>
  <c r="AB313" i="1"/>
  <c r="AB392" i="1"/>
  <c r="AB524" i="1"/>
  <c r="AB1740" i="1"/>
  <c r="Z1947" i="1"/>
  <c r="AB1947" i="1"/>
  <c r="AB397" i="1"/>
  <c r="AB532" i="1"/>
  <c r="AB247" i="1"/>
  <c r="S192" i="1"/>
  <c r="AB192" i="1"/>
  <c r="AB2481" i="1"/>
  <c r="AB136" i="1"/>
  <c r="S3122" i="1"/>
  <c r="S2033" i="1"/>
  <c r="AB402" i="1"/>
  <c r="Z999" i="1"/>
  <c r="AB999" i="1"/>
  <c r="AB2334" i="1"/>
  <c r="AB8324" i="1"/>
  <c r="AB7769" i="1"/>
  <c r="AB7801" i="1"/>
  <c r="AB7835" i="1"/>
  <c r="AB7888" i="1"/>
  <c r="AB7949" i="1"/>
  <c r="AB7993" i="1"/>
  <c r="AB8028" i="1"/>
  <c r="AB8056" i="1"/>
  <c r="AB4699" i="1"/>
  <c r="AB2940" i="1"/>
  <c r="AB190" i="1"/>
  <c r="S184" i="1"/>
  <c r="AB184" i="1"/>
  <c r="Z204" i="1"/>
  <c r="AB204" i="1"/>
  <c r="AB8920" i="1"/>
  <c r="AB8970" i="1"/>
  <c r="AB8531" i="1"/>
  <c r="AB8272" i="1"/>
  <c r="AB9088" i="1"/>
  <c r="AB9066" i="1"/>
  <c r="AB4841" i="1"/>
  <c r="AB138" i="1"/>
  <c r="AB598" i="1"/>
  <c r="AB281" i="1"/>
  <c r="AB2218" i="1"/>
  <c r="AB243" i="1"/>
  <c r="AB628" i="1"/>
  <c r="AB589" i="1"/>
  <c r="AB249" i="1"/>
  <c r="AB4450" i="1"/>
  <c r="AB4835" i="1"/>
  <c r="AB3964" i="1"/>
  <c r="AB1991" i="1"/>
  <c r="AB534" i="1"/>
  <c r="AB909" i="1"/>
  <c r="AB199" i="1"/>
  <c r="AB3615" i="1"/>
  <c r="Z6733" i="1"/>
  <c r="AB6733" i="1"/>
  <c r="AB2009" i="1"/>
  <c r="AB223" i="1"/>
  <c r="S6597" i="1"/>
  <c r="S476" i="1"/>
  <c r="AB185" i="1"/>
  <c r="AB2624" i="1"/>
  <c r="AB186" i="1"/>
  <c r="S466" i="1"/>
  <c r="AB466" i="1"/>
  <c r="AB149" i="1"/>
  <c r="S457" i="1"/>
  <c r="AB457" i="1"/>
  <c r="S187" i="1"/>
  <c r="AB5031" i="1"/>
  <c r="AB4397" i="1"/>
  <c r="AB661" i="1"/>
  <c r="AB399" i="1"/>
  <c r="AB380" i="1"/>
  <c r="AB238" i="1"/>
  <c r="AB568" i="1"/>
  <c r="AB541" i="1"/>
  <c r="S463" i="1"/>
  <c r="AB143" i="1"/>
  <c r="S1640" i="1"/>
  <c r="S1224" i="1"/>
  <c r="S1230" i="1"/>
  <c r="AB187" i="1"/>
  <c r="AB637" i="1"/>
  <c r="S821" i="1"/>
  <c r="AB821" i="1"/>
  <c r="S484" i="1"/>
  <c r="S4942" i="1"/>
  <c r="AB10359" i="1"/>
  <c r="S454" i="1"/>
  <c r="AB9834" i="1"/>
  <c r="AB10468" i="1"/>
  <c r="AB10361" i="1"/>
  <c r="AB7479" i="1"/>
  <c r="AB454" i="1"/>
  <c r="S517" i="1"/>
  <c r="AB7627" i="1"/>
  <c r="AB9857" i="1"/>
  <c r="AB145" i="1"/>
  <c r="AB651" i="1"/>
  <c r="AB146" i="1"/>
  <c r="S460" i="1"/>
  <c r="AB6469" i="1"/>
  <c r="AB588" i="1"/>
  <c r="AB533" i="1"/>
  <c r="AB188" i="1"/>
  <c r="AB1009" i="1"/>
  <c r="AB1090" i="1"/>
  <c r="AB2175" i="1"/>
  <c r="Z902" i="1"/>
  <c r="AB902" i="1"/>
  <c r="Z1096" i="1"/>
  <c r="AB1096" i="1"/>
  <c r="AB576" i="1"/>
  <c r="AB218" i="1"/>
  <c r="Z545" i="1"/>
  <c r="AB545" i="1"/>
  <c r="AB460" i="1"/>
  <c r="AB1136" i="1"/>
  <c r="S194" i="1"/>
  <c r="AB194" i="1"/>
  <c r="S461" i="1"/>
  <c r="S196" i="1"/>
  <c r="AB196" i="1"/>
  <c r="AB2231" i="1"/>
  <c r="AB8286" i="1"/>
  <c r="AB8889" i="1"/>
  <c r="AB9524" i="1"/>
  <c r="AB10275" i="1"/>
  <c r="AB10452" i="1"/>
  <c r="AB7757" i="1"/>
  <c r="AB2016" i="1"/>
  <c r="AB189" i="1"/>
  <c r="AB294" i="1"/>
  <c r="S501" i="1"/>
  <c r="AB501" i="1"/>
  <c r="S2029" i="1"/>
  <c r="AB312" i="1"/>
  <c r="AB268" i="1"/>
  <c r="S1611" i="1"/>
  <c r="AB8870" i="1"/>
  <c r="S459" i="1"/>
  <c r="AB10360" i="1"/>
  <c r="AB10162" i="1"/>
  <c r="AB9725" i="1"/>
  <c r="AB9948" i="1"/>
  <c r="AB9125" i="1"/>
  <c r="AB10555" i="1"/>
  <c r="AB8276" i="1"/>
  <c r="Z10360" i="1"/>
  <c r="AB10505" i="1"/>
  <c r="AB10594" i="1"/>
  <c r="AB971" i="1"/>
  <c r="AB262" i="1"/>
  <c r="AB354" i="1"/>
  <c r="Z283" i="1"/>
  <c r="AB283" i="1"/>
  <c r="AB2100" i="1"/>
  <c r="AB5477" i="1"/>
  <c r="AB10437" i="1"/>
  <c r="AB10563" i="1"/>
  <c r="AB10559" i="1"/>
  <c r="AB10528" i="1"/>
  <c r="AB10414" i="1"/>
  <c r="AB10234" i="1"/>
  <c r="AB8371" i="1"/>
  <c r="AB8676" i="1"/>
  <c r="AB9358" i="1"/>
  <c r="AB1284" i="1"/>
  <c r="Z10563" i="1"/>
  <c r="Z10437" i="1"/>
  <c r="AB10585" i="1"/>
  <c r="AB10557" i="1"/>
  <c r="AB10577" i="1"/>
  <c r="AB7764" i="1"/>
  <c r="AB4409" i="1"/>
  <c r="AB4655" i="1"/>
  <c r="AB5187" i="1"/>
  <c r="AB5860" i="1"/>
  <c r="AB6338" i="1"/>
  <c r="AB6758" i="1"/>
  <c r="AB7142" i="1"/>
  <c r="AB6857" i="1"/>
  <c r="AB641" i="1"/>
  <c r="AB1036" i="1"/>
  <c r="AB891" i="1"/>
  <c r="AB329" i="1"/>
  <c r="AB916" i="1"/>
  <c r="AB153" i="1"/>
  <c r="AB154" i="1"/>
  <c r="AB155" i="1"/>
  <c r="S516" i="1"/>
  <c r="AB516" i="1"/>
  <c r="AB4629" i="1"/>
  <c r="Z4308" i="1"/>
  <c r="AB4308" i="1"/>
  <c r="AB10407" i="1"/>
  <c r="AB6630" i="1"/>
  <c r="AB8195" i="1"/>
  <c r="AB4121" i="1"/>
  <c r="AB2435" i="1"/>
  <c r="S1653" i="1"/>
  <c r="AB209" i="1"/>
  <c r="AB644" i="1"/>
  <c r="AB1667" i="1"/>
  <c r="AB375" i="1"/>
  <c r="AB711" i="1"/>
  <c r="AB2224" i="1"/>
  <c r="AB2107" i="1"/>
  <c r="AB434" i="1"/>
  <c r="AB288" i="1"/>
  <c r="AB1043" i="1"/>
  <c r="AB2764" i="1"/>
  <c r="AB3574" i="1"/>
  <c r="AB1023" i="1"/>
  <c r="AB736" i="1"/>
  <c r="AB6658" i="1"/>
  <c r="AB5523" i="1"/>
  <c r="AB8961" i="1"/>
  <c r="AB4707" i="1"/>
  <c r="AB7833" i="1"/>
  <c r="AB6993" i="1"/>
  <c r="AB6914" i="1"/>
  <c r="Z9686" i="1"/>
  <c r="AB9686" i="1"/>
  <c r="AB9580" i="1"/>
  <c r="Z10254" i="1"/>
  <c r="AB10254" i="1"/>
  <c r="AB386" i="1"/>
  <c r="AB161" i="1"/>
  <c r="Z2786" i="1"/>
  <c r="AB2786" i="1"/>
  <c r="AB689" i="1"/>
  <c r="AB1800" i="1"/>
  <c r="AB6555" i="1"/>
  <c r="AB6969" i="1"/>
  <c r="AB8100" i="1"/>
  <c r="AB8172" i="1"/>
  <c r="AB230" i="1"/>
  <c r="AB883" i="1"/>
  <c r="AB276" i="1"/>
  <c r="AB3450" i="1"/>
  <c r="AB2619" i="1"/>
  <c r="AB732" i="1"/>
  <c r="AB160" i="1"/>
  <c r="AB787" i="1"/>
  <c r="AB6683" i="1"/>
  <c r="S851" i="1"/>
  <c r="AB2713" i="1"/>
  <c r="AB519" i="1"/>
  <c r="AB273" i="1"/>
  <c r="AB197" i="1"/>
  <c r="AB446" i="1"/>
  <c r="AB493" i="1"/>
  <c r="AB432" i="1"/>
  <c r="AB364" i="1"/>
  <c r="AB672" i="1"/>
  <c r="AB418" i="1"/>
  <c r="AB8863" i="1"/>
  <c r="AB8688" i="1"/>
  <c r="AB9062" i="1"/>
  <c r="AB9469" i="1"/>
  <c r="S2386" i="1"/>
  <c r="AB2551" i="1"/>
  <c r="AB166" i="1"/>
  <c r="AB1579" i="1"/>
  <c r="AB314" i="1"/>
  <c r="AB2637" i="1"/>
  <c r="AB733" i="1"/>
  <c r="AB2149" i="1"/>
  <c r="AB2509" i="1"/>
  <c r="S2432" i="1"/>
  <c r="AB4942" i="1"/>
  <c r="AB2092" i="1"/>
  <c r="S1657" i="1"/>
  <c r="AB193" i="1"/>
  <c r="AB181" i="1"/>
  <c r="S2387" i="1"/>
  <c r="AB5226" i="1"/>
  <c r="AB5420" i="1"/>
  <c r="AB5209" i="1"/>
  <c r="AB5271" i="1"/>
  <c r="AB5743" i="1"/>
  <c r="AB5488" i="1"/>
  <c r="AB5148" i="1"/>
  <c r="AB5073" i="1"/>
  <c r="AB5719" i="1"/>
  <c r="AB5066" i="1"/>
  <c r="AB5311" i="1"/>
  <c r="AB6474" i="1"/>
  <c r="AB6297" i="1"/>
  <c r="AB5562" i="1"/>
  <c r="AB4831" i="1"/>
  <c r="Z6177" i="1"/>
  <c r="AB6177" i="1"/>
  <c r="AB6120" i="1"/>
  <c r="AB4858" i="1"/>
  <c r="AB6238" i="1"/>
  <c r="AB6640" i="1"/>
  <c r="AB5244" i="1"/>
  <c r="AB5711" i="1"/>
  <c r="AB6361" i="1"/>
  <c r="AB9745" i="1"/>
  <c r="AB9757" i="1"/>
  <c r="AB5886" i="1"/>
  <c r="AB5880" i="1"/>
  <c r="AB3560" i="1"/>
  <c r="AB4802" i="1"/>
  <c r="AB6619" i="1"/>
  <c r="AB5756" i="1"/>
  <c r="AB6085" i="1"/>
  <c r="AB4729" i="1"/>
  <c r="AB5635" i="1"/>
  <c r="S453" i="1"/>
  <c r="AB8642" i="1"/>
  <c r="AB8583" i="1"/>
  <c r="AB8198" i="1"/>
  <c r="AB7364" i="1"/>
  <c r="AB8932" i="1"/>
  <c r="AB9257" i="1"/>
  <c r="AB8425" i="1"/>
  <c r="AB8298" i="1"/>
  <c r="AB8979" i="1"/>
  <c r="AB10514" i="1"/>
  <c r="AB8029" i="1"/>
  <c r="AB8547" i="1"/>
  <c r="AB7419" i="1"/>
  <c r="AB7164" i="1"/>
  <c r="AB7031" i="1"/>
  <c r="AB6659" i="1"/>
  <c r="AB8865" i="1"/>
  <c r="AB8805" i="1"/>
  <c r="AB9537" i="1"/>
  <c r="AB9532" i="1"/>
  <c r="AB9063" i="1"/>
  <c r="AB7882" i="1"/>
  <c r="AB8383" i="1"/>
  <c r="AB8901" i="1"/>
  <c r="AB357" i="1"/>
  <c r="S485" i="1"/>
  <c r="S834" i="1"/>
  <c r="S477" i="1"/>
  <c r="AB3015" i="1"/>
  <c r="AB783" i="1"/>
  <c r="AB1150" i="1"/>
  <c r="AB3457" i="1"/>
  <c r="AB3091" i="1"/>
  <c r="AB4302" i="1"/>
  <c r="AB3397" i="1"/>
  <c r="AB2044" i="1"/>
  <c r="AB6052" i="1"/>
  <c r="AB6545" i="1"/>
  <c r="AB7315" i="1"/>
  <c r="AB7324" i="1"/>
  <c r="AB7377" i="1"/>
  <c r="AB7766" i="1"/>
  <c r="AB7880" i="1"/>
  <c r="AB7992" i="1"/>
  <c r="AB8081" i="1"/>
  <c r="AB8415" i="1"/>
  <c r="AB8972" i="1"/>
  <c r="AB9177" i="1"/>
  <c r="AB9303" i="1"/>
  <c r="AB9535" i="1"/>
  <c r="AB9609" i="1"/>
  <c r="AB9623" i="1"/>
  <c r="AB9914" i="1"/>
  <c r="AB9952" i="1"/>
  <c r="AB9962" i="1"/>
  <c r="AB10063" i="1"/>
  <c r="AB39" i="1"/>
  <c r="Z9867" i="1"/>
  <c r="AB9867" i="1"/>
  <c r="AB9881" i="1"/>
  <c r="AB10047" i="1"/>
  <c r="AB9734" i="1"/>
  <c r="Z9683" i="1"/>
  <c r="AB9683" i="1"/>
  <c r="AB4834" i="1"/>
  <c r="AB2780" i="1"/>
  <c r="AB5081" i="1"/>
  <c r="AB6014" i="1"/>
  <c r="Z4897" i="1"/>
  <c r="AB4897" i="1"/>
  <c r="AB5836" i="1"/>
  <c r="AB4751" i="1"/>
  <c r="AB4318" i="1"/>
  <c r="AB4488" i="1"/>
  <c r="AB5559" i="1"/>
  <c r="AB5202" i="1"/>
  <c r="AB5793" i="1"/>
  <c r="AB5322" i="1"/>
  <c r="AB5714" i="1"/>
  <c r="AB5238" i="1"/>
  <c r="AB7329" i="1"/>
  <c r="AB6992" i="1"/>
  <c r="AB5648" i="1"/>
  <c r="AB5646" i="1"/>
  <c r="AB6048" i="1"/>
  <c r="AB6444" i="1"/>
  <c r="AB7616" i="1"/>
  <c r="AB5647" i="1"/>
  <c r="AB5497" i="1"/>
  <c r="AB6802" i="1"/>
  <c r="AB7254" i="1"/>
  <c r="AB7232" i="1"/>
  <c r="AB6796" i="1"/>
  <c r="AB6984" i="1"/>
  <c r="AB6496" i="1"/>
  <c r="AB8024" i="1"/>
  <c r="AB7931" i="1"/>
  <c r="AB8127" i="1"/>
  <c r="AB8215" i="1"/>
  <c r="AB8214" i="1"/>
  <c r="AB7352" i="1"/>
  <c r="AB4644" i="1"/>
  <c r="AB10046" i="1"/>
  <c r="AB9195" i="1"/>
  <c r="AB9442" i="1"/>
  <c r="AB9596" i="1"/>
  <c r="AB9835" i="1"/>
  <c r="S469" i="1"/>
  <c r="S838" i="1"/>
  <c r="AB428" i="1"/>
  <c r="AB635" i="1"/>
  <c r="AB359" i="1"/>
  <c r="AB1070" i="1"/>
  <c r="S867" i="1"/>
  <c r="AB9756" i="1"/>
  <c r="AB10166" i="1"/>
  <c r="S2019" i="1"/>
  <c r="S5688" i="1"/>
  <c r="AB6883" i="1"/>
  <c r="AB517" i="1"/>
  <c r="AB686" i="1"/>
  <c r="AB556" i="1"/>
  <c r="AB264" i="1"/>
  <c r="AB374" i="1"/>
  <c r="AB669" i="1"/>
  <c r="AB4134" i="1"/>
  <c r="AB4163" i="1"/>
  <c r="AB1923" i="1"/>
  <c r="Z2043" i="1"/>
  <c r="AB2043" i="1"/>
  <c r="AB7657" i="1"/>
  <c r="AB469" i="1"/>
  <c r="AB485" i="1"/>
  <c r="AB834" i="1"/>
  <c r="AB838" i="1"/>
  <c r="AB867" i="1"/>
  <c r="Z8811" i="1"/>
  <c r="Z9128" i="1"/>
  <c r="Z9131" i="1"/>
  <c r="Z9230" i="1"/>
  <c r="Z9327" i="1"/>
  <c r="Z9393" i="1"/>
  <c r="Z10573" i="1"/>
  <c r="AB10110" i="1"/>
  <c r="AB3932" i="1"/>
  <c r="AB2932" i="1"/>
  <c r="AB224" i="1"/>
  <c r="AB4715" i="1"/>
  <c r="AB5337" i="1"/>
  <c r="AB6017" i="1"/>
  <c r="AB6221" i="1"/>
  <c r="AB6617" i="1"/>
  <c r="AB6907" i="1"/>
  <c r="AB7181" i="1"/>
  <c r="AB1521" i="1"/>
  <c r="Z255" i="1"/>
  <c r="Z216" i="1"/>
  <c r="AB3192" i="1"/>
  <c r="AB1011" i="1"/>
  <c r="AB1265" i="1"/>
  <c r="AB4051" i="1"/>
  <c r="AB2671" i="1"/>
  <c r="AB3572" i="1"/>
  <c r="AB2725" i="1"/>
  <c r="AB3135" i="1"/>
  <c r="AB2622" i="1"/>
  <c r="AB4073" i="1"/>
  <c r="AB2861" i="1"/>
  <c r="AB2487" i="1"/>
  <c r="AB7415" i="1"/>
  <c r="AB7271" i="1"/>
  <c r="AB7665" i="1"/>
  <c r="AB1415" i="1"/>
  <c r="AB3012" i="1"/>
  <c r="AB427" i="1"/>
  <c r="AB200" i="1"/>
  <c r="AB7990" i="1"/>
  <c r="AB7305" i="1"/>
  <c r="AB2249" i="1"/>
  <c r="AB440" i="1"/>
  <c r="AB6915" i="1"/>
  <c r="AB851" i="1"/>
  <c r="AB1657" i="1"/>
  <c r="AB487" i="1"/>
  <c r="AB477" i="1"/>
  <c r="Z321" i="1"/>
  <c r="AB321" i="1"/>
  <c r="AB368" i="1"/>
  <c r="AB472" i="1"/>
  <c r="S3100" i="1"/>
  <c r="AB214" i="1"/>
  <c r="AB1297" i="1"/>
  <c r="Z1434" i="1"/>
  <c r="AB1434" i="1"/>
  <c r="Z900" i="1"/>
  <c r="AB900" i="1"/>
  <c r="AB715" i="1"/>
  <c r="AB943" i="1"/>
  <c r="AB1997" i="1"/>
  <c r="AB659" i="1"/>
  <c r="AB639" i="1"/>
  <c r="AB2870" i="1"/>
  <c r="AB38" i="1"/>
  <c r="AB634" i="1"/>
  <c r="S451" i="1"/>
  <c r="AB1514" i="1"/>
  <c r="S458" i="1"/>
  <c r="AB1935" i="1"/>
  <c r="AB884" i="1"/>
  <c r="AB451" i="1"/>
  <c r="AB2389" i="1"/>
  <c r="AB453" i="1"/>
  <c r="AB216" i="1"/>
  <c r="AB481" i="1"/>
  <c r="AB339" i="1"/>
  <c r="AB429" i="1"/>
  <c r="AB425" i="1"/>
  <c r="AB206" i="1"/>
  <c r="AB207" i="1"/>
  <c r="AB1550" i="1"/>
  <c r="AB444" i="1"/>
  <c r="AB707" i="1"/>
  <c r="S467" i="1"/>
  <c r="AB245" i="1"/>
  <c r="AB912" i="1"/>
  <c r="AB658" i="1"/>
  <c r="AB706" i="1"/>
  <c r="AB401" i="1"/>
  <c r="AB400" i="1"/>
  <c r="AB3233" i="1"/>
  <c r="AB1175" i="1"/>
  <c r="AB226" i="1"/>
  <c r="AB246" i="1"/>
  <c r="S464" i="1"/>
  <c r="AB3763" i="1"/>
  <c r="AB458" i="1"/>
  <c r="S848" i="1"/>
  <c r="AB459" i="1"/>
  <c r="AB5555" i="1"/>
  <c r="AB232" i="1"/>
  <c r="AB240" i="1"/>
  <c r="AB372" i="1"/>
  <c r="AB438" i="1"/>
  <c r="AB417" i="1"/>
  <c r="AB316" i="1"/>
  <c r="AB300" i="1"/>
  <c r="S1218" i="1"/>
  <c r="AB8427" i="1"/>
  <c r="AB7804" i="1"/>
  <c r="AB6155" i="1"/>
  <c r="Z7524" i="1"/>
  <c r="AB7524" i="1"/>
  <c r="AB8045" i="1"/>
  <c r="Z8258" i="1"/>
  <c r="AB8258" i="1"/>
  <c r="AB5708" i="1"/>
  <c r="AB6502" i="1"/>
  <c r="Z8325" i="1"/>
  <c r="AB8325" i="1"/>
  <c r="Z8551" i="1"/>
  <c r="AB8551" i="1"/>
  <c r="AB7498" i="1"/>
  <c r="Z6669" i="1"/>
  <c r="AB6669" i="1"/>
  <c r="Z3027" i="1"/>
  <c r="AB3027" i="1"/>
  <c r="AB5720" i="1"/>
  <c r="AB6927" i="1"/>
  <c r="Z7437" i="1"/>
  <c r="AB7437" i="1"/>
  <c r="AB8372" i="1"/>
  <c r="AB447" i="1"/>
  <c r="AB437" i="1"/>
  <c r="AB436" i="1"/>
  <c r="AB725" i="1"/>
  <c r="AB229" i="1"/>
  <c r="AB7013" i="1"/>
  <c r="AB7650" i="1"/>
  <c r="AB9323" i="1"/>
  <c r="AB6041" i="1"/>
  <c r="AB5731" i="1"/>
  <c r="AB6030" i="1"/>
  <c r="AB8368" i="1"/>
  <c r="AB8571" i="1"/>
  <c r="AB461" i="1"/>
  <c r="AB462" i="1"/>
  <c r="AB426" i="1"/>
  <c r="AB391" i="1"/>
  <c r="AB3543" i="1"/>
  <c r="AB2864" i="1"/>
  <c r="AB2135" i="1"/>
  <c r="AB3219" i="1"/>
  <c r="AB2516" i="1"/>
  <c r="AB1755" i="1"/>
  <c r="Z539" i="1"/>
  <c r="AB539" i="1"/>
  <c r="Z553" i="1"/>
  <c r="AB553" i="1"/>
  <c r="AB1102" i="1"/>
  <c r="AB7590" i="1"/>
  <c r="AB6083" i="1"/>
  <c r="S4569" i="1"/>
  <c r="AB233" i="1"/>
  <c r="AB8219" i="1"/>
  <c r="AB4569" i="1"/>
  <c r="AB7626" i="1"/>
  <c r="Z8321" i="1"/>
  <c r="AB8321" i="1"/>
  <c r="AB10542" i="1"/>
  <c r="AB1333" i="1"/>
  <c r="AB1326" i="1"/>
  <c r="AB8225" i="1"/>
  <c r="AB818" i="1"/>
  <c r="AB44" i="1"/>
  <c r="AB984" i="1"/>
  <c r="AB542" i="1"/>
  <c r="AB607" i="1"/>
  <c r="AB2173" i="1"/>
  <c r="AB540" i="1"/>
  <c r="S4601" i="1"/>
  <c r="S465" i="1"/>
  <c r="AB464" i="1"/>
  <c r="AB22" i="1"/>
  <c r="AB7991" i="1"/>
  <c r="AB463" i="1"/>
  <c r="S474" i="1"/>
  <c r="AB7462" i="1"/>
  <c r="AB239" i="1"/>
  <c r="AB1669" i="1"/>
  <c r="Z7293" i="1"/>
  <c r="Z6901" i="1"/>
  <c r="Z7495" i="1"/>
  <c r="Z8382" i="1"/>
  <c r="AB242" i="1"/>
  <c r="AB655" i="1"/>
  <c r="AB6882" i="1"/>
  <c r="AB7026" i="1"/>
  <c r="AB6405" i="1"/>
  <c r="AB7293" i="1"/>
  <c r="AB6901" i="1"/>
  <c r="AB7495" i="1"/>
  <c r="AB8044" i="1"/>
  <c r="AB8382" i="1"/>
  <c r="AB613" i="1"/>
  <c r="S468" i="1"/>
  <c r="AB467" i="1"/>
  <c r="AB2376" i="1"/>
  <c r="AB2493" i="1"/>
  <c r="AB1758" i="1"/>
  <c r="AB962" i="1"/>
  <c r="AB2002" i="1"/>
  <c r="AB5101" i="1"/>
  <c r="S1652" i="1"/>
  <c r="AB465" i="1"/>
  <c r="AB1716" i="1"/>
  <c r="AB252" i="1"/>
  <c r="S1610" i="1"/>
  <c r="AB6194" i="1" l="1"/>
  <c r="AB6529" i="1"/>
  <c r="AB6031" i="1"/>
  <c r="AB5904" i="1"/>
  <c r="AB5805" i="1"/>
  <c r="AB3420" i="1"/>
  <c r="AB4872" i="1"/>
  <c r="AB338" i="1"/>
  <c r="AB405" i="1"/>
  <c r="AB1128" i="1"/>
  <c r="AB537" i="1"/>
  <c r="AB551" i="1"/>
  <c r="AB255" i="1"/>
  <c r="AB848" i="1"/>
  <c r="AB8359" i="1"/>
  <c r="AB969" i="1"/>
  <c r="S841" i="1"/>
  <c r="S500" i="1"/>
  <c r="AB5204" i="1"/>
  <c r="AB8022" i="1"/>
  <c r="AB7708" i="1"/>
  <c r="AB1004" i="1"/>
  <c r="AB3978" i="1"/>
  <c r="Z286" i="1"/>
  <c r="S482" i="1"/>
  <c r="AB256" i="1"/>
  <c r="AB2683" i="1"/>
  <c r="AB741" i="1"/>
  <c r="AB3637" i="1"/>
  <c r="AB1452" i="1"/>
  <c r="AB7073" i="1"/>
  <c r="S505" i="1"/>
  <c r="S6595" i="1"/>
  <c r="AB7" i="1"/>
  <c r="AB10508" i="1"/>
  <c r="AB8311" i="1"/>
  <c r="AB9468" i="1"/>
  <c r="AB8454" i="1"/>
  <c r="AB10215" i="1"/>
  <c r="AB9511" i="1"/>
  <c r="AB9968" i="1"/>
  <c r="AB10204" i="1"/>
  <c r="AB9255" i="1"/>
  <c r="AB9955" i="1"/>
  <c r="AB9497" i="1"/>
  <c r="AB9503" i="1"/>
  <c r="AB9730" i="1"/>
  <c r="AB9728" i="1"/>
  <c r="AB9967" i="1"/>
  <c r="AB9741" i="1"/>
  <c r="AB9232" i="1"/>
  <c r="AB9140" i="1"/>
  <c r="AB9674" i="1"/>
  <c r="AB9976" i="1"/>
  <c r="AB9482" i="1"/>
  <c r="AB9237" i="1"/>
  <c r="Z9728" i="1"/>
  <c r="AB8697" i="1"/>
  <c r="AB9229" i="1"/>
  <c r="AB9921" i="1"/>
  <c r="AB8975" i="1"/>
  <c r="AB5103" i="1"/>
  <c r="AB7349" i="1"/>
  <c r="AB1083" i="1"/>
  <c r="AB584" i="1"/>
  <c r="AB1034" i="1"/>
  <c r="AB560" i="1"/>
  <c r="AB2142" i="1"/>
  <c r="AB1707" i="1"/>
  <c r="AB910" i="1"/>
  <c r="AB1414" i="1"/>
  <c r="AB1889" i="1"/>
  <c r="AB3197" i="1"/>
  <c r="S864" i="1"/>
  <c r="AB260" i="1"/>
  <c r="AB1970" i="1"/>
  <c r="AB687" i="1"/>
  <c r="AB640" i="1"/>
  <c r="AB2460" i="1"/>
  <c r="AB5804" i="1"/>
  <c r="AB638" i="1"/>
  <c r="AB671" i="1"/>
  <c r="AB681" i="1"/>
  <c r="AB660" i="1"/>
  <c r="AB263" i="1"/>
  <c r="AB266" i="1"/>
  <c r="S488" i="1"/>
  <c r="S479" i="1"/>
  <c r="AB2581" i="1"/>
  <c r="AB975" i="1"/>
  <c r="AB1147" i="1"/>
  <c r="AB286" i="1"/>
  <c r="AB581" i="1"/>
  <c r="AB284" i="1"/>
  <c r="AB488" i="1"/>
  <c r="S2399" i="1"/>
  <c r="AB1061" i="1"/>
  <c r="AB1953" i="1"/>
  <c r="AB164" i="1"/>
  <c r="AB2366" i="1"/>
  <c r="AB1330" i="1"/>
  <c r="AB794" i="1"/>
  <c r="AB6468" i="1"/>
  <c r="AB6255" i="1"/>
  <c r="AB1868" i="1"/>
  <c r="AB2031" i="1"/>
  <c r="AB2187" i="1"/>
  <c r="AB6922" i="1"/>
  <c r="AB3730" i="1"/>
  <c r="AB2936" i="1"/>
  <c r="AB3746" i="1"/>
  <c r="AB3339" i="1"/>
  <c r="AB473" i="1"/>
  <c r="AB483" i="1"/>
  <c r="AB8344" i="1"/>
  <c r="S840" i="1"/>
  <c r="AB2239" i="1"/>
  <c r="AB439" i="1"/>
  <c r="AB383" i="1"/>
  <c r="AB968" i="1"/>
  <c r="AB468" i="1"/>
  <c r="AB5850" i="1"/>
  <c r="AB546" i="1"/>
  <c r="AB2353" i="1"/>
  <c r="AB291" i="1"/>
  <c r="AB3965" i="1"/>
  <c r="AB688" i="1"/>
  <c r="AB4022" i="1"/>
  <c r="AB1098" i="1"/>
  <c r="AB980" i="1"/>
  <c r="AB6518" i="1"/>
  <c r="AB8470" i="1"/>
  <c r="AB7321" i="1"/>
  <c r="AB10455" i="1"/>
  <c r="AB10137" i="1"/>
  <c r="AB2302" i="1"/>
  <c r="AB1074" i="1"/>
  <c r="AB2593" i="1"/>
  <c r="AB5407" i="1"/>
  <c r="AB9590" i="1"/>
  <c r="AB3078" i="1"/>
  <c r="AB3937" i="1"/>
  <c r="AB2842" i="1"/>
  <c r="AB1592" i="1"/>
  <c r="AB4429" i="1"/>
  <c r="AB5106" i="1"/>
  <c r="Z4042" i="1"/>
  <c r="AB3722" i="1"/>
  <c r="AB2807" i="1"/>
  <c r="AB3264" i="1"/>
  <c r="AB9961" i="1"/>
  <c r="AB4042" i="1"/>
  <c r="AB3426" i="1"/>
  <c r="AB3248" i="1"/>
  <c r="AB3517" i="1"/>
  <c r="AB1964" i="1"/>
  <c r="Z3354" i="1"/>
  <c r="AB51" i="1"/>
  <c r="AB1026" i="1"/>
  <c r="AB2174" i="1"/>
  <c r="AB1815" i="1"/>
  <c r="AB1269" i="1"/>
  <c r="AB7052" i="1"/>
  <c r="AB1049" i="1"/>
  <c r="AB3711" i="1"/>
  <c r="AB3354" i="1"/>
  <c r="AB5179" i="1"/>
  <c r="AB3274" i="1"/>
  <c r="AB6742" i="1"/>
  <c r="AB3284" i="1"/>
  <c r="AB5092" i="1"/>
  <c r="AB2714" i="1"/>
  <c r="AB1296" i="1"/>
  <c r="AB3591" i="1"/>
  <c r="AB9244" i="1"/>
  <c r="AB1117" i="1"/>
  <c r="AB6973" i="1"/>
  <c r="AB7375" i="1"/>
  <c r="AB319" i="1"/>
  <c r="AB2261" i="1"/>
  <c r="AB1454" i="1"/>
  <c r="AB2276" i="1"/>
  <c r="AB2197" i="1"/>
  <c r="S3098" i="1"/>
  <c r="S7102" i="1"/>
  <c r="AB3400" i="1"/>
  <c r="S494" i="1"/>
  <c r="S1660" i="1"/>
  <c r="AB1116" i="1"/>
  <c r="AB494" i="1"/>
  <c r="Z404" i="1"/>
  <c r="AB404" i="1"/>
  <c r="S480" i="1"/>
  <c r="AB479" i="1"/>
  <c r="AB2402" i="1"/>
  <c r="AB2136" i="1"/>
  <c r="AB954" i="1"/>
  <c r="AB1095" i="1"/>
  <c r="AB767" i="1"/>
  <c r="AB1909" i="1"/>
  <c r="AB739" i="1"/>
  <c r="AB340" i="1"/>
  <c r="AB1914" i="1"/>
  <c r="AB1886" i="1"/>
  <c r="AB3098" i="1"/>
  <c r="AB840" i="1"/>
  <c r="AB1148" i="1"/>
  <c r="AB6378" i="1"/>
  <c r="AB6672" i="1"/>
  <c r="AB8053" i="1"/>
  <c r="S853" i="1"/>
  <c r="AB289" i="1"/>
  <c r="S509" i="1"/>
  <c r="AB509" i="1"/>
  <c r="S1643" i="1"/>
  <c r="AB2217" i="1"/>
  <c r="AB1433" i="1"/>
  <c r="AB1969" i="1"/>
  <c r="AB279" i="1"/>
  <c r="AB4433" i="1"/>
  <c r="AB3970" i="1"/>
  <c r="AB2332" i="1"/>
  <c r="AB285" i="1"/>
  <c r="AB297" i="1"/>
  <c r="AB1166" i="1"/>
  <c r="AB747" i="1"/>
  <c r="Z1485" i="1"/>
  <c r="Z1309" i="1"/>
  <c r="AB8243" i="1"/>
  <c r="AB8036" i="1"/>
  <c r="AB8008" i="1"/>
  <c r="AB4515" i="1"/>
  <c r="AB282" i="1"/>
  <c r="Z8008" i="1"/>
  <c r="AB8632" i="1"/>
  <c r="AB1135" i="1"/>
  <c r="AB987" i="1"/>
  <c r="AB978" i="1"/>
  <c r="AB385" i="1"/>
  <c r="AB940" i="1"/>
  <c r="AB1497" i="1"/>
  <c r="AB603" i="1"/>
  <c r="AB5464" i="1"/>
  <c r="AB1390" i="1"/>
  <c r="AB1925" i="1"/>
  <c r="AB2543" i="1"/>
  <c r="AB3694" i="1"/>
  <c r="AB3363" i="1"/>
  <c r="AB4059" i="1"/>
  <c r="AB1972" i="1"/>
  <c r="AB2844" i="1"/>
  <c r="AB7303" i="1"/>
  <c r="Z299" i="1"/>
  <c r="AB8721" i="1"/>
  <c r="AB8092" i="1"/>
  <c r="AB9060" i="1"/>
  <c r="AB9039" i="1"/>
  <c r="AB9143" i="1"/>
  <c r="AB9173" i="1"/>
  <c r="AB9528" i="1"/>
  <c r="AB9000" i="1"/>
  <c r="AB8942" i="1"/>
  <c r="S7600" i="1"/>
  <c r="AB474" i="1"/>
  <c r="AB5957" i="1"/>
  <c r="AB9526" i="1"/>
  <c r="AB10287" i="1"/>
  <c r="AB7300" i="1"/>
  <c r="AB5645" i="1"/>
  <c r="AB305" i="1"/>
  <c r="AB476" i="1"/>
  <c r="AB2076" i="1"/>
  <c r="AB290" i="1"/>
  <c r="S515" i="1"/>
  <c r="AB3779" i="1"/>
  <c r="AB4301" i="1"/>
  <c r="AB4364" i="1"/>
  <c r="AB4430" i="1"/>
  <c r="AB4466" i="1"/>
  <c r="AB7214" i="1"/>
  <c r="AB2082" i="1"/>
  <c r="AB407" i="1"/>
  <c r="AB1546" i="1"/>
  <c r="AB4601" i="1"/>
  <c r="AB4522" i="1"/>
  <c r="AB8771" i="1"/>
  <c r="AB7582" i="1"/>
  <c r="AB7636" i="1"/>
  <c r="Z293" i="1"/>
  <c r="AB293" i="1"/>
  <c r="S478" i="1"/>
  <c r="AB5310" i="1"/>
  <c r="AB3933" i="1"/>
  <c r="AB4279" i="1"/>
  <c r="AB5042" i="1"/>
  <c r="AB2006" i="1"/>
  <c r="AB4833" i="1"/>
  <c r="AB6622" i="1"/>
  <c r="AB7221" i="1"/>
  <c r="AB7388" i="1"/>
  <c r="AB7722" i="1"/>
  <c r="AB7783" i="1"/>
  <c r="AB1547" i="1"/>
  <c r="AB1913" i="1"/>
  <c r="AB2350" i="1"/>
  <c r="AB2569" i="1"/>
  <c r="AB2903" i="1"/>
  <c r="AB4284" i="1"/>
  <c r="AB6119" i="1"/>
  <c r="AB6437" i="1"/>
  <c r="AB6495" i="1"/>
  <c r="AB6499" i="1"/>
  <c r="AB6323" i="1"/>
  <c r="AB7291" i="1"/>
  <c r="AB8974" i="1"/>
  <c r="AB9104" i="1"/>
  <c r="AB10552" i="1"/>
  <c r="AB295" i="1"/>
  <c r="AB298" i="1"/>
  <c r="AB296" i="1"/>
  <c r="S2431" i="1"/>
  <c r="AB299" i="1"/>
  <c r="AB2277" i="1"/>
  <c r="AB4023" i="1"/>
  <c r="AB10260" i="1"/>
  <c r="AB9573" i="1"/>
  <c r="AB9350" i="1"/>
  <c r="AB8610" i="1"/>
  <c r="AB7930" i="1"/>
  <c r="AB7611" i="1"/>
  <c r="AB7586" i="1"/>
  <c r="AB6827" i="1"/>
  <c r="AB7852" i="1"/>
  <c r="AB5049" i="1"/>
  <c r="Z5852" i="1"/>
  <c r="AB9829" i="1"/>
  <c r="AB8516" i="1"/>
  <c r="AB8595" i="1"/>
  <c r="AB6462" i="1"/>
  <c r="AB6301" i="1"/>
  <c r="AB5852" i="1"/>
  <c r="AB497" i="1"/>
  <c r="AB393" i="1"/>
  <c r="S7097" i="1"/>
  <c r="AB9306" i="1"/>
  <c r="AB8655" i="1"/>
  <c r="AB8589" i="1"/>
  <c r="AB8582" i="1"/>
  <c r="AB8492" i="1"/>
  <c r="AB8490" i="1"/>
  <c r="AB7915" i="1"/>
  <c r="AB8464" i="1"/>
  <c r="AB7588" i="1"/>
  <c r="Z7588" i="1"/>
  <c r="Z8464" i="1"/>
  <c r="Z8490" i="1"/>
  <c r="Z8589" i="1"/>
  <c r="AB8849" i="1"/>
  <c r="AB9008" i="1"/>
  <c r="Z8542" i="1"/>
  <c r="Z8787" i="1"/>
  <c r="AB7060" i="1"/>
  <c r="AB8542" i="1"/>
  <c r="AB8787" i="1"/>
  <c r="AB3266" i="1"/>
  <c r="AB3244" i="1"/>
  <c r="AB2275" i="1"/>
  <c r="AB8398" i="1"/>
  <c r="Z9367" i="1"/>
  <c r="AB7745" i="1"/>
  <c r="AB8956" i="1"/>
  <c r="AB6247" i="1"/>
  <c r="AB8520" i="1"/>
  <c r="AB9319" i="1"/>
  <c r="AB8069" i="1"/>
  <c r="AB7939" i="1"/>
  <c r="AB9367" i="1"/>
  <c r="AB302" i="1"/>
  <c r="AB6759" i="1"/>
  <c r="AB1552" i="1"/>
  <c r="AB742" i="1"/>
  <c r="AB9724" i="1"/>
  <c r="Z9724" i="1"/>
  <c r="AB6641" i="1"/>
  <c r="AB8538" i="1"/>
  <c r="AB7771" i="1"/>
  <c r="AB8201" i="1"/>
  <c r="AB6391" i="1"/>
  <c r="AB1878" i="1"/>
  <c r="AB1114" i="1"/>
  <c r="AB7903" i="1"/>
  <c r="AB7036" i="1"/>
  <c r="AB6649" i="1"/>
  <c r="AB6446" i="1"/>
  <c r="AB6648" i="1"/>
  <c r="AB6562" i="1"/>
  <c r="AB853" i="1"/>
  <c r="AB600" i="1"/>
  <c r="AB738" i="1"/>
  <c r="AB761" i="1"/>
  <c r="AB682" i="1"/>
  <c r="AB10308" i="1"/>
  <c r="AB2198" i="1"/>
  <c r="AB939" i="1"/>
  <c r="AB657" i="1"/>
  <c r="AB717" i="1"/>
  <c r="AB890" i="1"/>
  <c r="S2755" i="1"/>
  <c r="AB2454" i="1"/>
  <c r="AB1816" i="1"/>
  <c r="AB1465" i="1"/>
  <c r="AB530" i="1"/>
  <c r="AB612" i="1"/>
  <c r="AB1058" i="1"/>
  <c r="Z662" i="1"/>
  <c r="AB662" i="1"/>
  <c r="Z714" i="1"/>
  <c r="AB714" i="1"/>
  <c r="AB480" i="1"/>
  <c r="AB327" i="1"/>
  <c r="AB1780" i="1"/>
  <c r="S3097" i="1"/>
  <c r="AB482" i="1"/>
  <c r="AB311" i="1"/>
  <c r="AB583" i="1"/>
  <c r="S499" i="1"/>
  <c r="AB5757" i="1"/>
  <c r="AB4859" i="1"/>
  <c r="AB8184" i="1"/>
  <c r="S3506" i="1"/>
  <c r="O3506" i="1"/>
  <c r="AB2860" i="1"/>
  <c r="Z3199" i="1"/>
  <c r="AB3199" i="1"/>
  <c r="AB328" i="1"/>
  <c r="AB7932" i="1"/>
  <c r="AB1745" i="1"/>
  <c r="AB1843" i="1"/>
  <c r="AB1570" i="1"/>
  <c r="AB2070" i="1"/>
  <c r="AB956" i="1"/>
  <c r="AB1295" i="1"/>
  <c r="AB406" i="1"/>
  <c r="AB324" i="1"/>
  <c r="AB3260" i="1"/>
  <c r="AB1171" i="1"/>
  <c r="AB1734" i="1"/>
  <c r="AB914" i="1"/>
  <c r="AB413" i="1"/>
  <c r="AB1294" i="1"/>
  <c r="S829" i="1"/>
  <c r="AB829" i="1"/>
  <c r="S4955" i="1"/>
  <c r="AB668" i="1"/>
  <c r="S502" i="1"/>
  <c r="S3124" i="1"/>
  <c r="AB6654" i="1"/>
  <c r="AB5610" i="1"/>
  <c r="AB6679" i="1"/>
  <c r="AB325" i="1"/>
  <c r="W4622" i="1"/>
  <c r="W4538" i="1"/>
  <c r="W4738" i="1"/>
  <c r="AB727" i="1"/>
  <c r="AB666" i="1"/>
  <c r="AB631" i="1"/>
  <c r="AB780" i="1"/>
  <c r="AB2621" i="1"/>
  <c r="AB899" i="1"/>
  <c r="AB3241" i="1"/>
  <c r="AB2145" i="1"/>
  <c r="AB2423" i="1"/>
  <c r="AB1473" i="1"/>
  <c r="AB1818" i="1"/>
  <c r="AB1558" i="1"/>
  <c r="AB3308" i="1"/>
  <c r="AB1063" i="1"/>
  <c r="AB1280" i="1"/>
  <c r="AB1173" i="1"/>
  <c r="AB645" i="1"/>
  <c r="Z899" i="1"/>
  <c r="AB484" i="1"/>
  <c r="AB7529" i="1"/>
  <c r="AB9505" i="1"/>
  <c r="AB8644" i="1"/>
  <c r="AB9759" i="1"/>
  <c r="AB6605" i="1"/>
  <c r="AB7615" i="1"/>
  <c r="AB7867" i="1"/>
  <c r="Z8471" i="1"/>
  <c r="AB8471" i="1"/>
  <c r="AB7087" i="1"/>
  <c r="AB2123" i="1"/>
  <c r="AB2953" i="1"/>
  <c r="AB523" i="1"/>
  <c r="AB1703" i="1"/>
  <c r="AB1720" i="1"/>
  <c r="AB379" i="1"/>
  <c r="AB626" i="1"/>
  <c r="AB442" i="1"/>
  <c r="AB486" i="1"/>
  <c r="AB9087" i="1"/>
  <c r="AB927" i="1"/>
  <c r="AB1104" i="1"/>
  <c r="O927" i="1"/>
  <c r="S3473" i="1"/>
  <c r="S491" i="1"/>
  <c r="AB2620" i="1"/>
  <c r="AB2468" i="1"/>
  <c r="AB1978" i="1"/>
  <c r="AB2143" i="1"/>
  <c r="AB333" i="1"/>
  <c r="AB332" i="1"/>
  <c r="AB334" i="1"/>
  <c r="S5383" i="1"/>
  <c r="AB3580" i="1"/>
  <c r="AB1668" i="1"/>
  <c r="AB1778" i="1"/>
  <c r="AB2333" i="1"/>
  <c r="AB548" i="1"/>
  <c r="AB1449" i="1"/>
  <c r="AB1670" i="1"/>
  <c r="AB1431" i="1"/>
  <c r="AB934" i="1"/>
  <c r="S2021" i="1"/>
  <c r="AB763" i="1"/>
  <c r="AB772" i="1"/>
  <c r="AB2331" i="1"/>
  <c r="S4930" i="1"/>
  <c r="S1216" i="1"/>
  <c r="AB419" i="1"/>
  <c r="AB491" i="1"/>
  <c r="AB5069" i="1"/>
  <c r="AB622" i="1"/>
  <c r="AB1581" i="1"/>
  <c r="AB904" i="1"/>
  <c r="AB949" i="1"/>
  <c r="AB1010" i="1"/>
  <c r="S3495" i="1"/>
  <c r="AB10193" i="1"/>
  <c r="AB345" i="1"/>
  <c r="Z384" i="1"/>
  <c r="AB384" i="1"/>
  <c r="S2388" i="1"/>
  <c r="AB6061" i="1"/>
  <c r="AB6188" i="1"/>
  <c r="AB10323" i="1"/>
  <c r="AB4521" i="1"/>
  <c r="AB5327" i="1"/>
  <c r="AB7055" i="1"/>
  <c r="AB6576" i="1"/>
  <c r="AB7166" i="1"/>
  <c r="AB5158" i="1"/>
  <c r="AB8804" i="1"/>
  <c r="AB8591" i="1"/>
  <c r="AB9447" i="1"/>
  <c r="AB8806" i="1"/>
  <c r="AB708" i="1"/>
  <c r="Z6869" i="1"/>
  <c r="AB6869" i="1"/>
  <c r="AB5482" i="1"/>
  <c r="AB6674" i="1"/>
  <c r="AB6933" i="1"/>
  <c r="AB6408" i="1"/>
  <c r="Z377" i="1"/>
  <c r="AB377" i="1"/>
  <c r="Z522" i="1"/>
  <c r="AB522" i="1"/>
  <c r="AB520" i="1"/>
  <c r="AB653" i="1"/>
  <c r="AB6144" i="1"/>
  <c r="Z8102" i="1"/>
  <c r="AB8102" i="1"/>
  <c r="AB6292" i="1"/>
  <c r="AB6190" i="1"/>
  <c r="AB6203" i="1"/>
  <c r="AB7572" i="1"/>
  <c r="AB7362" i="1"/>
  <c r="AB1825" i="1"/>
  <c r="AB1413" i="1"/>
  <c r="AB1753" i="1"/>
  <c r="AB1507" i="1"/>
  <c r="AB1101" i="1"/>
  <c r="AB911" i="1"/>
  <c r="AB757" i="1"/>
  <c r="AB449" i="1"/>
  <c r="AB2141" i="1"/>
  <c r="AB10399" i="1"/>
  <c r="AB343" i="1"/>
  <c r="AB344" i="1"/>
  <c r="AB1005" i="1"/>
  <c r="Z9853" i="1"/>
  <c r="Z7758" i="1"/>
  <c r="Z8318" i="1"/>
  <c r="Z9241" i="1"/>
  <c r="Z7854" i="1"/>
  <c r="AB6345" i="1"/>
  <c r="AB9853" i="1"/>
  <c r="AB9812" i="1"/>
  <c r="AB7758" i="1"/>
  <c r="AB9753" i="1"/>
  <c r="AB5135" i="1"/>
  <c r="AB7063" i="1"/>
  <c r="AB7272" i="1"/>
  <c r="AB4461" i="1"/>
  <c r="AB4878" i="1"/>
  <c r="AB5479" i="1"/>
  <c r="AB5742" i="1"/>
  <c r="AB6022" i="1"/>
  <c r="AB6050" i="1"/>
  <c r="AB6337" i="1"/>
  <c r="AB6377" i="1"/>
  <c r="AB6909" i="1"/>
  <c r="AB7219" i="1"/>
  <c r="AB7433" i="1"/>
  <c r="AB7470" i="1"/>
  <c r="AB7508" i="1"/>
  <c r="AB7543" i="1"/>
  <c r="AB7577" i="1"/>
  <c r="AB7624" i="1"/>
  <c r="AB7697" i="1"/>
  <c r="AB8318" i="1"/>
  <c r="AB9241" i="1"/>
  <c r="AB9425" i="1"/>
  <c r="AB7854" i="1"/>
  <c r="AB6944" i="1"/>
  <c r="AB5542" i="1"/>
  <c r="AB1984" i="1"/>
  <c r="AB5465" i="1"/>
  <c r="AB5755" i="1"/>
  <c r="AB5498" i="1"/>
  <c r="AB5328" i="1"/>
  <c r="AB5125" i="1"/>
  <c r="AB5554" i="1"/>
  <c r="S3882" i="1"/>
  <c r="S3886" i="1"/>
  <c r="S5365" i="1"/>
  <c r="S2742" i="1"/>
  <c r="AB1960" i="1"/>
  <c r="AB1268" i="1"/>
  <c r="AB623" i="1"/>
  <c r="AB1195" i="1"/>
  <c r="AB625" i="1"/>
  <c r="AB1042" i="1"/>
  <c r="AB508" i="1"/>
  <c r="S1183" i="1"/>
  <c r="AB3202" i="1"/>
  <c r="AB3589" i="1"/>
  <c r="AB3441" i="1"/>
  <c r="AB4744" i="1"/>
  <c r="AB4812" i="1"/>
  <c r="AB4853" i="1"/>
  <c r="AB5232" i="1"/>
  <c r="AB5476" i="1"/>
  <c r="AB5536" i="1"/>
  <c r="AB5592" i="1"/>
  <c r="AB5707" i="1"/>
  <c r="AB5764" i="1"/>
  <c r="AB6183" i="1"/>
  <c r="AB6894" i="1"/>
  <c r="AB7355" i="1"/>
  <c r="AB7390" i="1"/>
  <c r="AB7448" i="1"/>
  <c r="AB7735" i="1"/>
  <c r="AB7941" i="1"/>
  <c r="AB7977" i="1"/>
  <c r="AB8133" i="1"/>
  <c r="AB8350" i="1"/>
  <c r="AB8535" i="1"/>
  <c r="AB8664" i="1"/>
  <c r="AB8753" i="1"/>
  <c r="AB8781" i="1"/>
  <c r="AB9050" i="1"/>
  <c r="AB9071" i="1"/>
  <c r="AB9096" i="1"/>
  <c r="AB9174" i="1"/>
  <c r="AB9341" i="1"/>
  <c r="AB9342" i="1"/>
  <c r="AB9518" i="1"/>
  <c r="AB9877" i="1"/>
  <c r="AB10248" i="1"/>
  <c r="AB10252" i="1"/>
  <c r="AB10255" i="1"/>
  <c r="AB10396" i="1"/>
  <c r="AB1065" i="1"/>
  <c r="S507" i="1"/>
  <c r="AB10282" i="1"/>
  <c r="AB10145" i="1"/>
  <c r="AB9889" i="1"/>
  <c r="AB10245" i="1"/>
  <c r="AB10034" i="1"/>
  <c r="AB9569" i="1"/>
  <c r="AB9107" i="1"/>
  <c r="AB9664" i="1"/>
  <c r="AB9561" i="1"/>
  <c r="AB6734" i="1"/>
  <c r="AB6786" i="1"/>
  <c r="AB9905" i="1"/>
  <c r="AB4712" i="1"/>
  <c r="AB9612" i="1"/>
  <c r="AB9196" i="1"/>
  <c r="AB9898" i="1"/>
  <c r="AB6313" i="1"/>
  <c r="AB7768" i="1"/>
  <c r="AB6766" i="1"/>
  <c r="AB2370" i="1"/>
  <c r="AB5587" i="1"/>
  <c r="AB8667" i="1"/>
  <c r="AB9583" i="1"/>
  <c r="AB7899" i="1"/>
  <c r="AB10210" i="1"/>
  <c r="AB10337" i="1"/>
  <c r="AB10092" i="1"/>
  <c r="AB8181" i="1"/>
  <c r="AB10395" i="1"/>
  <c r="AB7694" i="1"/>
  <c r="AB10049" i="1"/>
  <c r="AB8832" i="1"/>
  <c r="AB5621" i="1"/>
  <c r="AB9900" i="1"/>
  <c r="AB10086" i="1"/>
  <c r="AB5087" i="1"/>
  <c r="AB2548" i="1"/>
  <c r="AB3051" i="1"/>
  <c r="AB2577" i="1"/>
  <c r="AB2167" i="1"/>
  <c r="AB8548" i="1"/>
  <c r="AB8539" i="1"/>
  <c r="AB8869" i="1"/>
  <c r="AB5137" i="1"/>
  <c r="AB5117" i="1"/>
  <c r="AB5176" i="1"/>
  <c r="AB3429" i="1"/>
  <c r="AB9180" i="1"/>
  <c r="AB362" i="1"/>
  <c r="AB2470" i="1"/>
  <c r="AB7834" i="1"/>
  <c r="Z5875" i="1"/>
  <c r="AB5875" i="1"/>
  <c r="Z8245" i="1"/>
  <c r="AB8245" i="1"/>
  <c r="AB8088" i="1"/>
  <c r="AB7576" i="1"/>
  <c r="AB7812" i="1"/>
  <c r="AB8421" i="1"/>
  <c r="AB10341" i="1"/>
  <c r="AB9070" i="1"/>
  <c r="AB9108" i="1"/>
  <c r="AB8038" i="1"/>
  <c r="AB9461" i="1"/>
  <c r="AB9827" i="1"/>
  <c r="AB8393" i="1"/>
  <c r="AB8005" i="1"/>
  <c r="AB7946" i="1"/>
  <c r="AB7736" i="1"/>
  <c r="Z10561" i="1"/>
  <c r="Z10584" i="1"/>
  <c r="AB10561" i="1"/>
  <c r="AB10573" i="1"/>
  <c r="AB10584" i="1"/>
  <c r="AB353" i="1"/>
  <c r="AB8943" i="1"/>
  <c r="AB8266" i="1"/>
  <c r="AB8473" i="1"/>
  <c r="AB7379" i="1"/>
  <c r="AB8652" i="1"/>
  <c r="AB4763" i="1"/>
  <c r="AB8187" i="1"/>
  <c r="AB8260" i="1"/>
  <c r="AB7680" i="1"/>
  <c r="Z8560" i="1"/>
  <c r="Z8449" i="1"/>
  <c r="Z8313" i="1"/>
  <c r="Z378" i="1"/>
  <c r="Z366" i="1"/>
  <c r="Z356" i="1"/>
  <c r="AB356" i="1"/>
  <c r="S512" i="1"/>
  <c r="AB2544" i="1"/>
  <c r="AB1100" i="1"/>
  <c r="AB2103" i="1"/>
  <c r="Z4454" i="1"/>
  <c r="Z3675" i="1"/>
  <c r="AB4454" i="1"/>
  <c r="AB3675" i="1"/>
  <c r="Z4325" i="1"/>
  <c r="AB4325" i="1"/>
  <c r="AB5426" i="1"/>
  <c r="AB416" i="1"/>
  <c r="S510" i="1"/>
  <c r="AB24" i="1"/>
  <c r="AB1298" i="1"/>
  <c r="AB557" i="1"/>
  <c r="AB775" i="1"/>
  <c r="AB366" i="1"/>
  <c r="AB1076" i="1"/>
  <c r="Z394" i="1"/>
  <c r="AB394" i="1"/>
  <c r="AB6133" i="1"/>
  <c r="AB2363" i="1"/>
  <c r="AB370" i="1"/>
  <c r="AB1962" i="1"/>
  <c r="AB554" i="1"/>
  <c r="AB7168" i="1"/>
  <c r="AB7520" i="1"/>
  <c r="AB2088" i="1"/>
  <c r="AB4015" i="1"/>
  <c r="Z9971" i="1"/>
  <c r="AB6370" i="1"/>
  <c r="AB9971" i="1"/>
  <c r="AB5215" i="1"/>
  <c r="AB8624" i="1"/>
  <c r="AB9041" i="1"/>
  <c r="AB5557" i="1"/>
  <c r="S503" i="1"/>
  <c r="AB903" i="1"/>
  <c r="AB947" i="1"/>
  <c r="AB841" i="1"/>
  <c r="AB605" i="1"/>
  <c r="AB378" i="1"/>
  <c r="AB590" i="1"/>
  <c r="AB6309" i="1"/>
  <c r="AB1862" i="1"/>
  <c r="AB2072" i="1"/>
  <c r="Z579" i="1"/>
  <c r="AB579" i="1"/>
  <c r="AB415" i="1"/>
  <c r="AB697" i="1"/>
  <c r="AB1406" i="1"/>
  <c r="AB1119" i="1"/>
  <c r="AB1391" i="1"/>
  <c r="AB5329" i="1"/>
  <c r="AB8622" i="1"/>
  <c r="AB3600" i="1"/>
  <c r="AB7808" i="1"/>
  <c r="AB7985" i="1"/>
  <c r="AB8277" i="1"/>
  <c r="AB8637" i="1"/>
  <c r="AB8907" i="1"/>
  <c r="AB9156" i="1"/>
  <c r="AB9304" i="1"/>
  <c r="AB9387" i="1"/>
  <c r="Z9825" i="1"/>
  <c r="AB9825" i="1"/>
  <c r="Z8381" i="1"/>
  <c r="AB8381" i="1"/>
  <c r="AB8068" i="1"/>
  <c r="AB7881" i="1"/>
  <c r="AB7311" i="1"/>
  <c r="AB4406" i="1"/>
  <c r="AB6006" i="1"/>
  <c r="AB6304" i="1"/>
  <c r="AB670" i="1"/>
  <c r="AB6569" i="1"/>
  <c r="AB8062" i="1"/>
  <c r="AB6103" i="1"/>
  <c r="AB6501" i="1"/>
  <c r="AB1790" i="1"/>
  <c r="AB923" i="1"/>
  <c r="AB895" i="1"/>
  <c r="AB496" i="1"/>
  <c r="S3501" i="1"/>
  <c r="AB7964" i="1"/>
  <c r="AB8267" i="1"/>
  <c r="Z6311" i="1"/>
  <c r="AB6311" i="1"/>
  <c r="AB9659" i="1"/>
  <c r="AB4402" i="1"/>
  <c r="Z6727" i="1"/>
  <c r="Z7233" i="1"/>
  <c r="Z7662" i="1"/>
  <c r="AB6616" i="1"/>
  <c r="AB6727" i="1"/>
  <c r="AB7233" i="1"/>
  <c r="AB7662" i="1"/>
  <c r="AB7471" i="1"/>
  <c r="AB6859" i="1"/>
  <c r="AB7325" i="1"/>
  <c r="AB7207" i="1"/>
  <c r="AB6463" i="1"/>
  <c r="AB6047" i="1"/>
  <c r="AB6675" i="1"/>
  <c r="AB4416" i="1"/>
  <c r="AB5037" i="1"/>
  <c r="AB4713" i="1"/>
  <c r="AB5064" i="1"/>
  <c r="AB8916" i="1"/>
  <c r="AB5632" i="1"/>
  <c r="AB9349" i="1"/>
  <c r="AB6526" i="1"/>
  <c r="AB2212" i="1"/>
  <c r="AB774" i="1"/>
  <c r="AB1450" i="1"/>
  <c r="AB1021" i="1"/>
  <c r="Z4632" i="1"/>
  <c r="Z5832" i="1"/>
  <c r="AB4823" i="1"/>
  <c r="AB6466" i="1"/>
  <c r="AB5887" i="1"/>
  <c r="AB5866" i="1"/>
  <c r="AB6060" i="1"/>
  <c r="AB5828" i="1"/>
  <c r="AB4142" i="1"/>
  <c r="AB6109" i="1"/>
  <c r="AB4825" i="1"/>
  <c r="AB4499" i="1"/>
  <c r="AB6201" i="1"/>
  <c r="AB4632" i="1"/>
  <c r="AB6509" i="1"/>
  <c r="AB6618" i="1"/>
  <c r="AB7126" i="1"/>
  <c r="AB7029" i="1"/>
  <c r="AB7230" i="1"/>
  <c r="AB5832" i="1"/>
  <c r="AB5639" i="1"/>
  <c r="AB5803" i="1"/>
  <c r="AB6460" i="1"/>
  <c r="AB4706" i="1"/>
  <c r="AB4843" i="1"/>
  <c r="AB4826" i="1"/>
  <c r="AB5909" i="1"/>
  <c r="AB3735" i="1"/>
  <c r="AB6098" i="1"/>
  <c r="AB3077" i="1"/>
  <c r="AB6539" i="1"/>
  <c r="AB6382" i="1"/>
  <c r="AB5415" i="1"/>
  <c r="AB5864" i="1"/>
  <c r="AB5499" i="1"/>
  <c r="Z4826" i="1"/>
  <c r="Z9522" i="1"/>
  <c r="AB9522" i="1"/>
  <c r="AB6116" i="1"/>
  <c r="AB390" i="1"/>
  <c r="AB3076" i="1"/>
  <c r="S506" i="1"/>
  <c r="AB10065" i="1"/>
  <c r="AB9854" i="1"/>
  <c r="AB9393" i="1"/>
  <c r="S869" i="1"/>
  <c r="AB2825" i="1"/>
  <c r="AB3156" i="1"/>
  <c r="AB3551" i="1"/>
  <c r="AB3918" i="1"/>
  <c r="AB4415" i="1"/>
  <c r="AB4737" i="1"/>
  <c r="AB3371" i="1"/>
  <c r="AB2644" i="1"/>
  <c r="AB2785" i="1"/>
  <c r="AB3653" i="1"/>
  <c r="AB18" i="1"/>
  <c r="AB498" i="1"/>
  <c r="AB505" i="1"/>
  <c r="AB500" i="1"/>
  <c r="AB6947" i="1"/>
  <c r="AB7049" i="1"/>
  <c r="AB7200" i="1"/>
  <c r="AB6310" i="1"/>
  <c r="AB6918" i="1"/>
  <c r="AB7394" i="1"/>
  <c r="AB5787" i="1"/>
  <c r="AB6307" i="1"/>
  <c r="AB6879" i="1"/>
  <c r="AB7403" i="1"/>
  <c r="AB7148" i="1"/>
  <c r="AB1258" i="1"/>
  <c r="AB3994" i="1"/>
  <c r="AB3771" i="1"/>
  <c r="AB3590" i="1"/>
  <c r="AB4296" i="1"/>
  <c r="AB4650" i="1"/>
  <c r="AB2365" i="1"/>
  <c r="Z694" i="1"/>
  <c r="AB694" i="1"/>
  <c r="AB395" i="1"/>
  <c r="S3818" i="1"/>
  <c r="AB8262" i="1"/>
  <c r="AB2574" i="1"/>
  <c r="AB503" i="1"/>
  <c r="AB869" i="1"/>
  <c r="AB5892" i="1"/>
  <c r="AB5952" i="1"/>
  <c r="AB8590" i="1"/>
  <c r="AB8060" i="1"/>
  <c r="AB7519" i="1"/>
  <c r="AB7580" i="1"/>
  <c r="AB9588" i="1"/>
  <c r="AB6752" i="1"/>
  <c r="AB4006" i="1"/>
  <c r="AB3044" i="1"/>
  <c r="AB3777" i="1"/>
  <c r="AB4307" i="1"/>
  <c r="AB5195" i="1"/>
  <c r="AB6193" i="1"/>
  <c r="AB6328" i="1"/>
  <c r="AB6718" i="1"/>
  <c r="AB6910" i="1"/>
  <c r="AB7080" i="1"/>
  <c r="AB430" i="1"/>
  <c r="AB3376" i="1"/>
  <c r="AB2733" i="1"/>
  <c r="AB2546" i="1"/>
  <c r="AB2490" i="1"/>
  <c r="AB769" i="1"/>
  <c r="AB502" i="1"/>
  <c r="AB32" i="1"/>
  <c r="AB3240" i="1"/>
  <c r="AB1528" i="1"/>
  <c r="AB946" i="1"/>
  <c r="AB2286" i="1"/>
  <c r="AB1966" i="1"/>
  <c r="AB2267" i="1"/>
  <c r="AB803" i="1"/>
  <c r="AB1064" i="1"/>
  <c r="AB995" i="1"/>
  <c r="S4581" i="1"/>
  <c r="AB5448" i="1"/>
  <c r="AB608" i="1"/>
  <c r="AB5090" i="1"/>
  <c r="AB2594" i="1"/>
  <c r="Z2724" i="1"/>
  <c r="AB2724" i="1"/>
  <c r="AB2935" i="1"/>
  <c r="AB2456" i="1"/>
  <c r="Z4389" i="1"/>
  <c r="Z4363" i="1"/>
  <c r="AB2769" i="1"/>
  <c r="AB2799" i="1"/>
  <c r="AB2042" i="1"/>
  <c r="AB2324" i="1"/>
  <c r="AB4403" i="1"/>
  <c r="AB4389" i="1"/>
  <c r="AB4363" i="1"/>
  <c r="AB3789" i="1"/>
  <c r="AB515" i="1"/>
  <c r="S3834" i="1"/>
  <c r="AB3633" i="1"/>
  <c r="S513" i="1"/>
  <c r="AB816" i="1"/>
  <c r="AB3440" i="1"/>
  <c r="AB3888" i="1"/>
  <c r="AB8684" i="1"/>
  <c r="AB1817" i="1"/>
  <c r="AB2409" i="1"/>
  <c r="AB1840" i="1"/>
  <c r="AB3216" i="1"/>
  <c r="AB4229" i="1"/>
  <c r="AB4581" i="1"/>
  <c r="S3839" i="1"/>
  <c r="AB2542" i="1"/>
  <c r="Z802" i="1"/>
  <c r="AB1068" i="1"/>
  <c r="AB2993" i="1"/>
  <c r="AB1216" i="1"/>
  <c r="AB569" i="1"/>
  <c r="AB802" i="1"/>
  <c r="AB941" i="1"/>
  <c r="AB722" i="1"/>
  <c r="AB627" i="1"/>
  <c r="S4976" i="1"/>
  <c r="S514" i="1"/>
  <c r="AB2930" i="1"/>
  <c r="AB6344" i="1"/>
  <c r="AB7820" i="1"/>
  <c r="AB8173" i="1"/>
  <c r="AB8630" i="1"/>
  <c r="AB2484" i="1"/>
  <c r="AB2633" i="1"/>
  <c r="AB1448" i="1"/>
  <c r="AB1678" i="1"/>
  <c r="AB158" i="1"/>
  <c r="AB94" i="1"/>
  <c r="AB1489" i="1"/>
  <c r="AB1028" i="1"/>
  <c r="AB410" i="1"/>
  <c r="AB506" i="1"/>
  <c r="AB507" i="1"/>
  <c r="AB1361" i="1"/>
  <c r="AB1071" i="1"/>
  <c r="AB820" i="1"/>
  <c r="AB1896" i="1"/>
  <c r="AB1402" i="1"/>
  <c r="AB7840" i="1"/>
  <c r="AB5923" i="1"/>
  <c r="AB510" i="1"/>
  <c r="AB4896" i="1"/>
  <c r="AB4887" i="1"/>
  <c r="AB5160" i="1"/>
  <c r="AB5055" i="1"/>
  <c r="AB5198" i="1"/>
  <c r="AB5178" i="1"/>
  <c r="AB5261" i="1"/>
  <c r="AB6158" i="1"/>
  <c r="AB4800" i="1"/>
  <c r="AB4842" i="1"/>
  <c r="AB5481" i="1"/>
  <c r="AB4777" i="1"/>
  <c r="AB5460" i="1"/>
  <c r="AB5495" i="1"/>
  <c r="AB2649" i="1"/>
  <c r="AB414" i="1"/>
  <c r="AB764" i="1"/>
  <c r="AB1022" i="1"/>
  <c r="AB4762" i="1"/>
  <c r="AB5210" i="1"/>
  <c r="AB2356" i="1"/>
  <c r="AB3168" i="1"/>
  <c r="AB2521" i="1"/>
  <c r="AB3167" i="1"/>
  <c r="AB4399" i="1"/>
  <c r="AB4108" i="1"/>
  <c r="AB4682" i="1"/>
  <c r="AB4317" i="1"/>
  <c r="AB3359" i="1"/>
  <c r="AB3793" i="1"/>
  <c r="AB3458" i="1"/>
  <c r="AB3434" i="1"/>
  <c r="AB5229" i="1"/>
  <c r="AB5172" i="1"/>
  <c r="AB4874" i="1"/>
  <c r="AB5046" i="1"/>
  <c r="AB5249" i="1"/>
  <c r="AB4786" i="1"/>
  <c r="AB4976" i="1"/>
  <c r="AB5262" i="1"/>
  <c r="AB4792" i="1"/>
  <c r="AB9655" i="1"/>
  <c r="Z5262" i="1"/>
  <c r="Z5046" i="1"/>
  <c r="Z3252" i="1"/>
  <c r="Z3251" i="1"/>
  <c r="AB3561" i="1"/>
  <c r="AB3506" i="1"/>
  <c r="AB2640" i="1"/>
  <c r="AB2545" i="1"/>
  <c r="AB2215" i="1"/>
  <c r="AB2431" i="1"/>
  <c r="AB2755" i="1"/>
  <c r="AB3273" i="1"/>
  <c r="AB2663" i="1"/>
  <c r="AB3252" i="1"/>
  <c r="AB2233" i="1"/>
  <c r="AB3889" i="1"/>
  <c r="AB2950" i="1"/>
  <c r="AB3351" i="1"/>
  <c r="AB3736" i="1"/>
  <c r="AB3990" i="1"/>
  <c r="AB3251" i="1"/>
  <c r="AB2685" i="1"/>
  <c r="AB4484" i="1"/>
  <c r="AB3318" i="1"/>
  <c r="AB2894" i="1"/>
  <c r="AB3518" i="1"/>
  <c r="AB3100" i="1"/>
  <c r="AB3288" i="1"/>
  <c r="AB2642" i="1"/>
  <c r="AB2078" i="1"/>
  <c r="AB2472" i="1"/>
  <c r="AB3545" i="1"/>
  <c r="AB3737" i="1"/>
  <c r="AB3765" i="1"/>
  <c r="AB2893" i="1"/>
  <c r="AB2005" i="1"/>
  <c r="AB3019" i="1"/>
  <c r="AB4311" i="1"/>
  <c r="AB8657" i="1"/>
  <c r="AB9951" i="1"/>
  <c r="AB9650" i="1"/>
  <c r="AB512" i="1"/>
  <c r="AB825" i="1"/>
  <c r="S825" i="1"/>
  <c r="AB4300" i="1"/>
  <c r="AB5770" i="1"/>
  <c r="AB4817" i="1"/>
  <c r="AB3449" i="1"/>
  <c r="AB2033" i="1"/>
  <c r="AB3390" i="1"/>
  <c r="Z6181" i="1"/>
  <c r="Z6602" i="1"/>
  <c r="Z8043" i="1"/>
  <c r="Z8164" i="1"/>
  <c r="AB5164" i="1"/>
  <c r="AB5293" i="1"/>
  <c r="AB6095" i="1"/>
  <c r="AB5730" i="1"/>
  <c r="AB6181" i="1"/>
  <c r="AB6602" i="1"/>
  <c r="AB6677" i="1"/>
  <c r="AB8043" i="1"/>
  <c r="AB8164" i="1"/>
  <c r="AB5638" i="1"/>
  <c r="AB5843" i="1"/>
  <c r="AB5935" i="1"/>
  <c r="AB513" i="1"/>
  <c r="AB3930" i="1"/>
  <c r="AB4635" i="1"/>
  <c r="AB3643" i="1"/>
  <c r="AB422" i="1"/>
  <c r="Z420" i="1"/>
  <c r="AB420" i="1"/>
  <c r="AB3319" i="1"/>
  <c r="AB1481" i="1"/>
  <c r="AB424" i="1"/>
  <c r="S518" i="1"/>
  <c r="AB6874" i="1"/>
  <c r="AB7733" i="1"/>
  <c r="AB994" i="1"/>
  <c r="AB7507" i="1"/>
  <c r="AB5266" i="1"/>
  <c r="AB23" i="1"/>
  <c r="Z648" i="1"/>
  <c r="AB2030" i="1"/>
  <c r="AB6824" i="1"/>
  <c r="AB6961" i="1"/>
  <c r="AB7020" i="1"/>
  <c r="AB7070" i="1"/>
  <c r="AB2457" i="1"/>
  <c r="AB5063" i="1"/>
  <c r="AB5255" i="1"/>
  <c r="AB4775" i="1"/>
  <c r="AB5449" i="1"/>
  <c r="AB6442" i="1"/>
  <c r="AB6157" i="1"/>
  <c r="AB7151" i="1"/>
  <c r="AB6709" i="1"/>
  <c r="AB7008" i="1"/>
  <c r="AB7267" i="1"/>
  <c r="AB7360" i="1"/>
  <c r="AB7501" i="1"/>
  <c r="AB8191" i="1"/>
  <c r="AB514" i="1"/>
  <c r="S850" i="1"/>
  <c r="AB2150" i="1"/>
  <c r="AB1596" i="1"/>
  <c r="AB6069" i="1"/>
  <c r="AB7140" i="1"/>
  <c r="AB433" i="1"/>
  <c r="AB7114" i="1"/>
  <c r="AB3247" i="1"/>
  <c r="AB3532" i="1"/>
  <c r="AB5405" i="1"/>
  <c r="AB4447" i="1"/>
  <c r="AB5538" i="1"/>
  <c r="AB9128" i="1"/>
  <c r="AB1014" i="1"/>
  <c r="AB766" i="1"/>
  <c r="AB983" i="1"/>
  <c r="AB665" i="1"/>
  <c r="AB905" i="1"/>
  <c r="AB748" i="1"/>
  <c r="AB781" i="1"/>
  <c r="AB888" i="1"/>
  <c r="AB3988" i="1"/>
  <c r="AB3534" i="1"/>
  <c r="AB3010" i="1"/>
  <c r="AB3310" i="1"/>
  <c r="AB3430" i="1"/>
  <c r="AB4125" i="1"/>
  <c r="AB7408" i="1"/>
  <c r="AB518" i="1"/>
  <c r="AB6039" i="1"/>
  <c r="AB6634" i="1"/>
  <c r="AB4487" i="1"/>
  <c r="AB2591" i="1"/>
  <c r="AB2115" i="1"/>
  <c r="AB4165" i="1"/>
  <c r="AB2653" i="1"/>
  <c r="Z8284" i="1"/>
  <c r="AB5313" i="1"/>
  <c r="AB7116" i="1"/>
  <c r="AB7350" i="1"/>
  <c r="AB3998" i="1"/>
  <c r="AB6288" i="1"/>
  <c r="AB7825" i="1"/>
  <c r="AB8284" i="1"/>
  <c r="AB7402" i="1"/>
  <c r="AB6970" i="1"/>
  <c r="AB7003" i="1"/>
  <c r="AB7704" i="1"/>
  <c r="AB7222" i="1"/>
  <c r="AB7358" i="1"/>
  <c r="S8338" i="1"/>
  <c r="AB6381" i="1"/>
  <c r="AB8183" i="1"/>
  <c r="AB6540" i="1"/>
  <c r="AB8983" i="1"/>
  <c r="AB643" i="1"/>
  <c r="AB574" i="1"/>
  <c r="AB1029" i="1"/>
  <c r="AB559" i="1"/>
  <c r="AB2066" i="1"/>
  <c r="AB1170" i="1"/>
  <c r="AB4618" i="1"/>
  <c r="AB6037" i="1"/>
  <c r="AB8744" i="1"/>
  <c r="AB2181" i="1"/>
  <c r="AB4765" i="1"/>
  <c r="AB5573" i="1"/>
  <c r="AB5842" i="1"/>
  <c r="AB6494" i="1"/>
  <c r="AB5608" i="1"/>
  <c r="AB6724" i="1"/>
  <c r="AB7298" i="1"/>
  <c r="AB7818" i="1"/>
  <c r="AB8259" i="1"/>
  <c r="AB8046" i="1"/>
  <c r="S849" i="1"/>
  <c r="AB6800" i="1"/>
  <c r="AB7943" i="1"/>
  <c r="S846" i="1"/>
  <c r="AB4796" i="1"/>
  <c r="AB7439" i="1"/>
  <c r="S1663" i="1"/>
  <c r="Z5928" i="1"/>
  <c r="Z8584" i="1"/>
  <c r="Z7025" i="1"/>
  <c r="AB6198" i="1"/>
  <c r="AB6511" i="1"/>
  <c r="AB5928" i="1"/>
  <c r="AB7707" i="1"/>
  <c r="AB7803" i="1"/>
  <c r="AB8584" i="1"/>
  <c r="AB7475" i="1"/>
  <c r="AB7531" i="1"/>
  <c r="AB7791" i="1"/>
  <c r="AB7750" i="1"/>
  <c r="AB7879" i="1"/>
  <c r="AB5505" i="1"/>
  <c r="AB6937" i="1"/>
  <c r="AB4619" i="1"/>
  <c r="AB7763" i="1"/>
  <c r="AB7647" i="1"/>
  <c r="AB7025" i="1"/>
  <c r="AB7970" i="1"/>
  <c r="AB6996" i="1"/>
  <c r="S2037" i="1"/>
  <c r="AB2060" i="1"/>
  <c r="AB1367" i="1"/>
  <c r="AB2144" i="1"/>
  <c r="AB2189" i="1"/>
  <c r="AB587" i="1"/>
  <c r="AB6161" i="1"/>
  <c r="AB6604" i="1"/>
  <c r="AB7717" i="1"/>
  <c r="AB7875" i="1"/>
  <c r="AB7876" i="1"/>
  <c r="AB7965" i="1"/>
  <c r="AB6104" i="1"/>
  <c r="AB1656" i="1"/>
  <c r="AB9649" i="1"/>
  <c r="AB9869" i="1"/>
  <c r="AB10097" i="1"/>
  <c r="AB892" i="1"/>
  <c r="AB528" i="1"/>
  <c r="Z1421" i="1"/>
  <c r="AB1421" i="1"/>
  <c r="AB1410" i="1"/>
  <c r="AB856" i="1"/>
  <c r="AB1079" i="1"/>
  <c r="AB788" i="1"/>
  <c r="AB770" i="1"/>
  <c r="AB3427" i="1"/>
  <c r="AB4869" i="1"/>
  <c r="AB5877" i="1"/>
  <c r="AB5326" i="1"/>
  <c r="AB10365" i="1"/>
  <c r="AB10378" i="1"/>
  <c r="AB9501" i="1"/>
  <c r="AB10151" i="1"/>
  <c r="AB8569" i="1"/>
  <c r="AB8754" i="1"/>
  <c r="AB8946" i="1"/>
  <c r="AB8879" i="1"/>
  <c r="AB8813" i="1"/>
  <c r="AB9210" i="1"/>
  <c r="AB9161" i="1"/>
  <c r="AB9076" i="1"/>
  <c r="AB8477" i="1"/>
  <c r="AB8669" i="1"/>
  <c r="AB8533" i="1"/>
  <c r="AB9390" i="1"/>
  <c r="AB9168" i="1"/>
  <c r="AB7175" i="1"/>
  <c r="AB9344" i="1"/>
  <c r="AB9192" i="1"/>
  <c r="Z8748" i="1"/>
  <c r="AB8431" i="1"/>
  <c r="AB8748" i="1"/>
  <c r="AB7549" i="1"/>
  <c r="AB7487" i="1"/>
  <c r="AB10136" i="1"/>
  <c r="AB624" i="1"/>
  <c r="Z529" i="1"/>
  <c r="AB529" i="1"/>
  <c r="AB7284" i="1"/>
  <c r="AB2623" i="1"/>
  <c r="AB1103" i="1"/>
  <c r="AB7044" i="1"/>
  <c r="S833" i="1"/>
  <c r="AB4519" i="1"/>
  <c r="AB2176" i="1"/>
  <c r="AB4543" i="1"/>
  <c r="AB7290" i="1"/>
  <c r="AB4864" i="1"/>
  <c r="AB7190" i="1"/>
  <c r="AB6319" i="1"/>
  <c r="S832" i="1"/>
  <c r="AB9563" i="1"/>
  <c r="AB4537" i="1"/>
  <c r="AB4734" i="1"/>
  <c r="AB5810" i="1"/>
  <c r="AB6189" i="1"/>
  <c r="AB6565" i="1"/>
  <c r="AB6983" i="1"/>
  <c r="AB5899" i="1"/>
  <c r="AB6371" i="1"/>
  <c r="AB6761" i="1"/>
  <c r="AB5180" i="1"/>
  <c r="AB5846" i="1"/>
  <c r="AB7235" i="1"/>
  <c r="AB6145" i="1"/>
  <c r="AB8204" i="1"/>
  <c r="AB7229" i="1"/>
  <c r="AB3911" i="1"/>
  <c r="Z5890" i="1"/>
  <c r="Z6178" i="1"/>
  <c r="Z5040" i="1"/>
  <c r="Z4733" i="1"/>
  <c r="Z4099" i="1"/>
  <c r="AB5890" i="1"/>
  <c r="AB6178" i="1"/>
  <c r="AB5040" i="1"/>
  <c r="AB4733" i="1"/>
  <c r="AB4099" i="1"/>
  <c r="Z531" i="1"/>
  <c r="AB531" i="1"/>
  <c r="AB1389" i="1" l="1"/>
  <c r="AB1461" i="1"/>
  <c r="S824" i="1"/>
  <c r="AB846" i="1"/>
  <c r="AB998" i="1"/>
  <c r="AB894" i="1"/>
  <c r="AB2074" i="1"/>
  <c r="AB1994" i="1"/>
  <c r="AB1160" i="1"/>
  <c r="Z8566" i="1"/>
  <c r="AB8566" i="1"/>
  <c r="S2429" i="1"/>
  <c r="AB6339" i="1"/>
  <c r="AB10345" i="1"/>
  <c r="AB6854" i="1"/>
  <c r="AB8342" i="1"/>
  <c r="AB1759" i="1"/>
  <c r="S822" i="1"/>
  <c r="AB2023" i="1"/>
  <c r="AB1663" i="1"/>
  <c r="AB650" i="1"/>
  <c r="AB2535" i="1"/>
  <c r="AB8894" i="1"/>
  <c r="AB9597" i="1"/>
  <c r="AB592" i="1"/>
  <c r="S826" i="1"/>
  <c r="AB3972" i="1"/>
  <c r="AB4669" i="1"/>
  <c r="AB4665" i="1"/>
  <c r="AB5450" i="1"/>
  <c r="AB6320" i="1"/>
  <c r="AB6626" i="1"/>
  <c r="AB6813" i="1"/>
  <c r="AB7133" i="1"/>
  <c r="AB7297" i="1"/>
  <c r="AB7693" i="1"/>
  <c r="AB4742" i="1"/>
  <c r="AB3145" i="1"/>
  <c r="AB582" i="1"/>
  <c r="AB1045" i="1"/>
  <c r="AB609" i="1"/>
  <c r="AB832" i="1"/>
  <c r="AB1115" i="1"/>
  <c r="AB597" i="1"/>
  <c r="AB594" i="1"/>
  <c r="AB822" i="1"/>
  <c r="Z8440" i="1"/>
  <c r="AB8440" i="1"/>
  <c r="AB4285" i="1"/>
  <c r="AB824" i="1"/>
  <c r="S828" i="1"/>
  <c r="AB1416" i="1"/>
  <c r="AB1950" i="1"/>
  <c r="AB573" i="1"/>
  <c r="AB1742" i="1"/>
  <c r="S830" i="1"/>
  <c r="S1641" i="1"/>
  <c r="AB1641" i="1"/>
  <c r="AB881" i="1"/>
  <c r="AB922" i="1"/>
  <c r="AB1091" i="1"/>
  <c r="AB676" i="1"/>
  <c r="AB544" i="1"/>
  <c r="AB543" i="1"/>
  <c r="AB1334" i="1"/>
  <c r="AB647" i="1"/>
  <c r="AB817" i="1"/>
  <c r="AB826" i="1"/>
  <c r="S3117" i="1"/>
  <c r="AB596" i="1"/>
  <c r="AB813" i="1"/>
  <c r="AB700" i="1"/>
  <c r="AB1110" i="1"/>
  <c r="AB664" i="1"/>
  <c r="AB617" i="1"/>
  <c r="AB938" i="1"/>
  <c r="AB130" i="1"/>
  <c r="AB2194" i="1"/>
  <c r="AB1329" i="1"/>
  <c r="AB712" i="1"/>
  <c r="AB1471" i="1"/>
  <c r="AB1527" i="1"/>
  <c r="AB1054" i="1"/>
  <c r="AB735" i="1"/>
  <c r="AB561" i="1"/>
  <c r="AB988" i="1"/>
  <c r="AB630" i="1"/>
  <c r="AB771" i="1"/>
  <c r="AB1763" i="1"/>
  <c r="AB1757" i="1"/>
  <c r="AB1331" i="1"/>
  <c r="AB1301" i="1"/>
  <c r="AB2147" i="1"/>
  <c r="AB5257" i="1"/>
  <c r="AB4444" i="1"/>
  <c r="AB5383" i="1"/>
  <c r="S7099" i="1"/>
  <c r="AB552" i="1"/>
  <c r="AB833" i="1"/>
  <c r="AB619" i="1"/>
  <c r="AB828" i="1"/>
  <c r="AB839" i="1"/>
  <c r="AB3261" i="1"/>
  <c r="S855" i="1"/>
  <c r="AB855" i="1"/>
  <c r="AB5104" i="1"/>
  <c r="S7342" i="1"/>
  <c r="AB3999" i="1"/>
  <c r="AB6220" i="1"/>
  <c r="AB7631" i="1"/>
  <c r="AB7016" i="1"/>
  <c r="AB6419" i="1"/>
  <c r="AB3618" i="1"/>
  <c r="AB5733" i="1"/>
  <c r="AB7264" i="1"/>
  <c r="AB7800" i="1"/>
  <c r="AB5723" i="1"/>
  <c r="AB5043" i="1"/>
  <c r="AB7542" i="1"/>
  <c r="AB3224" i="1"/>
  <c r="AB602" i="1"/>
  <c r="S845" i="1"/>
  <c r="AB1664" i="1"/>
  <c r="AB558" i="1"/>
  <c r="AB2385" i="1"/>
  <c r="W2385" i="1"/>
  <c r="W1664" i="1"/>
  <c r="AB1609" i="1"/>
  <c r="AB2661" i="1"/>
  <c r="AB740" i="1"/>
  <c r="AB4342" i="1"/>
  <c r="AB5086" i="1"/>
  <c r="AB5876" i="1"/>
  <c r="AB6493" i="1"/>
  <c r="AB2152" i="1"/>
  <c r="S7603" i="1"/>
  <c r="AB3957" i="1"/>
  <c r="AB564" i="1"/>
  <c r="AB563" i="1"/>
  <c r="AB990" i="1"/>
  <c r="AB685" i="1"/>
  <c r="AB591" i="1"/>
  <c r="AB614" i="1"/>
  <c r="S831" i="1"/>
  <c r="AB831" i="1"/>
  <c r="AB2440" i="1"/>
  <c r="S842" i="1"/>
  <c r="AB830" i="1"/>
  <c r="S835" i="1"/>
  <c r="S1193" i="1"/>
  <c r="S1178" i="1"/>
  <c r="S2408" i="1"/>
  <c r="S877" i="1"/>
  <c r="S868" i="1"/>
  <c r="AB4678" i="1"/>
  <c r="AB4081" i="1"/>
  <c r="AB4492" i="1"/>
  <c r="AB4411" i="1"/>
  <c r="AB2737" i="1"/>
  <c r="Z7481" i="1"/>
  <c r="AB7481" i="1"/>
  <c r="AB1309" i="1"/>
  <c r="AB566" i="1"/>
  <c r="AB7877" i="1"/>
  <c r="AB593" i="1"/>
  <c r="AB9004" i="1"/>
  <c r="AB8101" i="1"/>
  <c r="AB8326" i="1"/>
  <c r="AB8572" i="1"/>
  <c r="AB8868" i="1"/>
  <c r="AB758" i="1"/>
  <c r="AB46" i="1"/>
  <c r="AB1085" i="1"/>
  <c r="AB979" i="1"/>
  <c r="AB907" i="1"/>
  <c r="AB1897" i="1"/>
  <c r="AB726" i="1"/>
  <c r="AB963" i="1"/>
  <c r="AB924" i="1"/>
  <c r="S837" i="1"/>
  <c r="AB1032" i="1"/>
  <c r="AB1310" i="1"/>
  <c r="AB572" i="1"/>
  <c r="AB570" i="1"/>
  <c r="AB2451" i="1"/>
  <c r="AB1462" i="1"/>
  <c r="AB1259" i="1"/>
  <c r="AB785" i="1"/>
  <c r="AB1488" i="1"/>
  <c r="AB849" i="1"/>
  <c r="AB677" i="1"/>
  <c r="AB1339" i="1"/>
  <c r="AB2804" i="1"/>
  <c r="AB2730" i="1"/>
  <c r="AB1400" i="1"/>
  <c r="AB835" i="1"/>
  <c r="Z615" i="1"/>
  <c r="AB615" i="1"/>
  <c r="Z636" i="1"/>
  <c r="AB636" i="1"/>
  <c r="S3083" i="1"/>
  <c r="AB578" i="1"/>
  <c r="AB575" i="1"/>
  <c r="AB845" i="1"/>
  <c r="AB580" i="1"/>
  <c r="AB744" i="1"/>
  <c r="S836" i="1"/>
  <c r="AB6327" i="1"/>
  <c r="AB5526" i="1"/>
  <c r="AB842" i="1"/>
  <c r="AB586" i="1"/>
  <c r="AB1979" i="1"/>
  <c r="AB5851" i="1"/>
  <c r="AB719" i="1"/>
  <c r="Z1274" i="1"/>
  <c r="Z1350" i="1"/>
  <c r="Z1478" i="1"/>
  <c r="AB1274" i="1"/>
  <c r="AB1350" i="1"/>
  <c r="AB1478" i="1"/>
  <c r="AB478" i="1"/>
  <c r="AB499" i="1"/>
  <c r="AB5041" i="1"/>
  <c r="S3467" i="1"/>
  <c r="AB9846" i="1"/>
  <c r="AB10033" i="1"/>
  <c r="AB7486" i="1"/>
  <c r="AB7710" i="1"/>
  <c r="AB1836" i="1"/>
  <c r="AB620" i="1"/>
  <c r="AB7456" i="1"/>
  <c r="AB4174" i="1"/>
  <c r="AB7555" i="1"/>
  <c r="AB7716" i="1"/>
  <c r="AB4119" i="1"/>
  <c r="AB5615" i="1"/>
  <c r="AB4701" i="1"/>
  <c r="AB8385" i="1"/>
  <c r="AB836" i="1"/>
  <c r="AB601" i="1"/>
  <c r="AB2841" i="1"/>
  <c r="AB1046" i="1"/>
  <c r="AB1132" i="1"/>
  <c r="S2760" i="1"/>
  <c r="AB648" i="1"/>
  <c r="AB632" i="1"/>
  <c r="AB633" i="1"/>
  <c r="AB674" i="1"/>
  <c r="AB649" i="1"/>
  <c r="S870" i="1"/>
  <c r="AB642" i="1"/>
  <c r="AB2159" i="1"/>
  <c r="AB2161" i="1"/>
  <c r="AB2510" i="1"/>
  <c r="AB5837" i="1"/>
  <c r="S5696" i="1"/>
  <c r="AB2742" i="1"/>
  <c r="AB9176" i="1"/>
  <c r="AB7958" i="1"/>
  <c r="AB7770" i="1"/>
  <c r="AB3768" i="1"/>
  <c r="AB6056" i="1"/>
  <c r="AB6438" i="1"/>
  <c r="S3481" i="1"/>
  <c r="AB1199" i="1"/>
  <c r="AB921" i="1"/>
  <c r="AB784" i="1"/>
  <c r="AB8356" i="1"/>
  <c r="AB7848" i="1"/>
  <c r="AB6062" i="1"/>
  <c r="AB2154" i="1"/>
  <c r="AB1176" i="1"/>
  <c r="AB1205" i="1"/>
  <c r="AB1072" i="1"/>
  <c r="AB1628" i="1"/>
  <c r="AB1217" i="1"/>
  <c r="AB1363" i="1"/>
  <c r="AB850" i="1"/>
  <c r="AB1001" i="1"/>
  <c r="AB997" i="1"/>
  <c r="AB1610" i="1"/>
  <c r="AB277" i="1"/>
  <c r="AB1320" i="1"/>
  <c r="AB1616" i="1"/>
  <c r="AB1084" i="1"/>
  <c r="AB1209" i="1"/>
  <c r="AB812" i="1"/>
  <c r="AB1358" i="1"/>
  <c r="AB1360" i="1"/>
  <c r="AB929" i="1"/>
  <c r="AB1245" i="1"/>
  <c r="AB1621" i="1"/>
  <c r="AB1615" i="1"/>
  <c r="AB1308" i="1"/>
  <c r="AB1215" i="1"/>
  <c r="AB2195" i="1"/>
  <c r="AB810" i="1"/>
  <c r="AB789" i="1"/>
  <c r="AB791" i="1"/>
  <c r="AB2961" i="1"/>
  <c r="AB6481" i="1"/>
  <c r="AB8001" i="1"/>
  <c r="AB7564" i="1"/>
  <c r="AB2696" i="1"/>
  <c r="AB8392" i="1"/>
  <c r="AB9969" i="1"/>
  <c r="AB9129" i="1"/>
  <c r="AB8665" i="1"/>
  <c r="AB10144" i="1"/>
  <c r="AB10208" i="1"/>
  <c r="AB9058" i="1"/>
  <c r="AB1016" i="1"/>
  <c r="AB6137" i="1"/>
  <c r="AB5577" i="1"/>
  <c r="AB2948" i="1"/>
  <c r="AB680" i="1"/>
  <c r="AB6111" i="1"/>
  <c r="AB9581" i="1"/>
  <c r="AB7431" i="1"/>
  <c r="AB8285" i="1"/>
  <c r="AB759" i="1"/>
  <c r="Z684" i="1"/>
  <c r="AB683" i="1"/>
  <c r="AB684" i="1"/>
  <c r="Z4745" i="1"/>
  <c r="AB4745" i="1"/>
  <c r="AB692" i="1"/>
  <c r="AB679" i="1"/>
  <c r="AB857" i="1"/>
  <c r="AB691" i="1"/>
  <c r="AB1194" i="1"/>
  <c r="AB801" i="1"/>
  <c r="AB1741" i="1"/>
  <c r="AB7072" i="1"/>
  <c r="AB8244" i="1"/>
  <c r="S2753" i="1"/>
  <c r="AB6280" i="1"/>
  <c r="S6280" i="1"/>
  <c r="AB693" i="1"/>
  <c r="S5961" i="1"/>
  <c r="AB704" i="1"/>
  <c r="AB1983" i="1"/>
  <c r="AB2311" i="1"/>
  <c r="AB6357" i="1"/>
  <c r="AB695" i="1"/>
  <c r="S2425" i="1"/>
  <c r="S5364" i="1"/>
  <c r="AB7568" i="1"/>
  <c r="AB10025" i="1"/>
  <c r="AB9936" i="1"/>
  <c r="AB8783" i="1"/>
  <c r="AB8085" i="1"/>
  <c r="AB696" i="1"/>
  <c r="AB5264" i="1"/>
  <c r="AB1024" i="1"/>
  <c r="AB8811" i="1"/>
  <c r="AB9111" i="1"/>
  <c r="AB6607" i="1"/>
  <c r="AB8401" i="1"/>
  <c r="AB2296" i="1"/>
  <c r="AB3205" i="1"/>
  <c r="AB2310" i="1"/>
  <c r="AB4749" i="1"/>
  <c r="AB4688" i="1"/>
  <c r="AB6197" i="1"/>
  <c r="AB5907" i="1"/>
  <c r="AB6138" i="1"/>
  <c r="AB5767" i="1"/>
  <c r="AB858" i="1"/>
  <c r="S3877" i="1"/>
  <c r="AB933" i="1"/>
  <c r="Z749" i="1"/>
  <c r="AB932" i="1"/>
  <c r="AB701" i="1"/>
  <c r="AB930" i="1"/>
  <c r="AB2165" i="1"/>
  <c r="AB2607" i="1"/>
  <c r="AB1776" i="1"/>
  <c r="AB4381" i="1"/>
  <c r="AB2806" i="1"/>
  <c r="AB2139" i="1"/>
  <c r="AB1582" i="1"/>
  <c r="AB1782" i="1"/>
  <c r="AB2775" i="1"/>
  <c r="AB3034" i="1"/>
  <c r="AB3923" i="1"/>
  <c r="AB5834" i="1"/>
  <c r="AB1888" i="1"/>
  <c r="AB3463" i="1"/>
  <c r="AB3747" i="1"/>
  <c r="AB4443" i="1"/>
  <c r="AB4436" i="1"/>
  <c r="AB3424" i="1"/>
  <c r="AB2973" i="1"/>
  <c r="AB2608" i="1"/>
  <c r="AB2041" i="1"/>
  <c r="AB8" i="1"/>
  <c r="AB3097" i="1"/>
  <c r="AB3473" i="1"/>
  <c r="AB3501" i="1"/>
  <c r="AB3818" i="1"/>
  <c r="AB3834" i="1"/>
  <c r="AB3839" i="1"/>
  <c r="AB3718" i="1"/>
  <c r="AB3562" i="1"/>
  <c r="AB3040" i="1"/>
  <c r="AB3756" i="1"/>
  <c r="AB2692" i="1"/>
  <c r="AB3912" i="1"/>
  <c r="AB3697" i="1"/>
  <c r="AB2305" i="1"/>
  <c r="AB2595" i="1"/>
  <c r="AB3005" i="1"/>
  <c r="AB2346" i="1"/>
  <c r="AB4107" i="1"/>
  <c r="AB2863" i="1"/>
  <c r="AB5745" i="1"/>
  <c r="AB4393" i="1"/>
  <c r="AB5218" i="1"/>
  <c r="AB5776" i="1"/>
  <c r="AB6026" i="1"/>
  <c r="AB4536" i="1"/>
  <c r="AB3634" i="1"/>
  <c r="AB4685" i="1"/>
  <c r="AB3201" i="1"/>
  <c r="AB4524" i="1"/>
  <c r="AB5170" i="1"/>
  <c r="AB5269" i="1"/>
  <c r="AB3298" i="1"/>
  <c r="AB3997" i="1"/>
  <c r="AB3641" i="1"/>
  <c r="AB4148" i="1"/>
  <c r="AB5283" i="1"/>
  <c r="AB3571" i="1"/>
  <c r="AB3456" i="1"/>
  <c r="AB3307" i="1"/>
  <c r="AB4620" i="1"/>
  <c r="AB5529" i="1"/>
  <c r="AB4025" i="1"/>
  <c r="AB5403" i="1"/>
  <c r="AB5330" i="1"/>
  <c r="AB5107" i="1"/>
  <c r="AB703" i="1"/>
  <c r="AB702" i="1"/>
  <c r="S6274" i="1"/>
  <c r="AB1475" i="1"/>
  <c r="AB720" i="1"/>
  <c r="S1655" i="1"/>
  <c r="AB1548" i="1"/>
  <c r="Z2210" i="1"/>
  <c r="AB2210" i="1"/>
  <c r="AB2922" i="1"/>
  <c r="AB1484" i="1"/>
  <c r="AB811" i="1"/>
  <c r="AB4480" i="1"/>
  <c r="AB870" i="1"/>
  <c r="AB6558" i="1"/>
  <c r="AB6801" i="1"/>
  <c r="S860" i="1"/>
  <c r="AB860" i="1"/>
  <c r="AB859" i="1"/>
  <c r="AB718" i="1"/>
  <c r="AB762" i="1"/>
  <c r="AB862" i="1"/>
  <c r="S866" i="1"/>
  <c r="AB721" i="1"/>
  <c r="AB957" i="1"/>
  <c r="AB1039" i="1"/>
  <c r="AB966" i="1"/>
  <c r="AB815" i="1"/>
  <c r="AB889" i="1"/>
  <c r="AB724" i="1"/>
  <c r="AB728" i="1"/>
  <c r="AB729" i="1"/>
  <c r="AB961" i="1"/>
  <c r="AB734" i="1"/>
  <c r="AB777" i="1"/>
  <c r="AB737" i="1"/>
  <c r="S863" i="1"/>
  <c r="AB9" i="1"/>
  <c r="Z7086" i="1"/>
  <c r="AB7086" i="1"/>
  <c r="AB6315" i="1"/>
  <c r="AB6003" i="1"/>
  <c r="AB7842" i="1"/>
  <c r="AB3588" i="1"/>
  <c r="AB749" i="1"/>
  <c r="S865" i="1"/>
  <c r="AB1701" i="1"/>
  <c r="AB2086" i="1"/>
  <c r="AB1159" i="1"/>
  <c r="Z756" i="1"/>
  <c r="AB756" i="1"/>
  <c r="AB2282" i="1"/>
  <c r="AB1508" i="1"/>
  <c r="AB751" i="1"/>
  <c r="AB864" i="1"/>
  <c r="AB865" i="1"/>
  <c r="AB4388" i="1"/>
  <c r="AB3412" i="1"/>
  <c r="AB1959" i="1"/>
  <c r="AB3944" i="1"/>
  <c r="AB3291" i="1"/>
  <c r="AB1968" i="1"/>
  <c r="AB3388" i="1"/>
  <c r="S876" i="1"/>
  <c r="AB868" i="1"/>
  <c r="AB3305" i="1"/>
  <c r="Z1156" i="1"/>
  <c r="AB1156" i="1"/>
  <c r="AB7523" i="1"/>
  <c r="AB8179" i="1"/>
  <c r="AB2981" i="1"/>
  <c r="AB3008" i="1"/>
  <c r="AB1134" i="1"/>
  <c r="AB5583" i="1"/>
  <c r="AB8694" i="1"/>
  <c r="AB7648" i="1"/>
  <c r="AB7378" i="1"/>
  <c r="AB7196" i="1"/>
  <c r="AB6134" i="1"/>
  <c r="AB5829" i="1"/>
  <c r="AB3447" i="1"/>
  <c r="AB5263" i="1"/>
  <c r="AB5212" i="1"/>
  <c r="AB3267" i="1"/>
  <c r="AB4732" i="1"/>
  <c r="AB4527" i="1"/>
  <c r="Z3966" i="1"/>
  <c r="AB3966" i="1"/>
  <c r="AB2918" i="1"/>
  <c r="AB3342" i="1"/>
  <c r="AB3045" i="1"/>
  <c r="AB1139" i="1"/>
  <c r="S7096" i="1"/>
  <c r="AB4333" i="1"/>
  <c r="AB5797" i="1"/>
  <c r="AB2329" i="1"/>
  <c r="AB3929" i="1"/>
  <c r="AB4161" i="1"/>
  <c r="AB1000" i="1"/>
  <c r="AB2245" i="1"/>
  <c r="AB4155" i="1"/>
  <c r="AB768" i="1"/>
  <c r="AB1926" i="1"/>
  <c r="AB2112" i="1"/>
  <c r="AB4164" i="1"/>
  <c r="AB1163" i="1"/>
  <c r="AB6497" i="1"/>
  <c r="AB5594" i="1"/>
  <c r="AB7161" i="1"/>
  <c r="AB5275" i="1"/>
  <c r="AB4147" i="1"/>
  <c r="S873" i="1"/>
  <c r="Z786" i="1"/>
  <c r="AB7635" i="1"/>
  <c r="AB8532" i="1"/>
  <c r="AB9453" i="1"/>
  <c r="AB9043" i="1"/>
  <c r="AB2420" i="1"/>
  <c r="Z1089" i="1"/>
  <c r="AB3438" i="1"/>
  <c r="AB4723" i="1"/>
  <c r="AB1099" i="1"/>
  <c r="AB1089" i="1"/>
  <c r="AB778" i="1"/>
  <c r="AB2900" i="1"/>
  <c r="N985" i="69"/>
  <c r="N980" i="69"/>
  <c r="N968" i="69"/>
  <c r="N876" i="69"/>
  <c r="N875" i="69"/>
  <c r="N873" i="69"/>
  <c r="N871" i="69"/>
  <c r="N868" i="69"/>
  <c r="N866" i="69"/>
  <c r="N864" i="69"/>
  <c r="N863" i="69"/>
  <c r="N862" i="69"/>
  <c r="N861" i="69"/>
  <c r="N860" i="69"/>
  <c r="N859" i="69"/>
  <c r="N858" i="69"/>
  <c r="N857" i="69"/>
  <c r="N856" i="69"/>
  <c r="N855" i="69"/>
  <c r="N853" i="69"/>
  <c r="N851" i="69"/>
  <c r="N850" i="69"/>
  <c r="N847" i="69"/>
  <c r="N846" i="69"/>
  <c r="N844" i="69"/>
  <c r="N843" i="69"/>
  <c r="N841" i="69"/>
  <c r="N839" i="69"/>
  <c r="N838" i="69"/>
  <c r="N837" i="69"/>
  <c r="N836" i="69"/>
  <c r="N832" i="69"/>
  <c r="N831" i="69"/>
  <c r="N830" i="69"/>
  <c r="N829" i="69"/>
  <c r="N828" i="69"/>
  <c r="N827" i="69"/>
  <c r="N826" i="69"/>
  <c r="N825" i="69"/>
  <c r="N824" i="69"/>
  <c r="N823" i="69"/>
  <c r="N822" i="69"/>
  <c r="N821" i="69"/>
  <c r="N820" i="69"/>
  <c r="N819" i="69"/>
  <c r="N817" i="69"/>
  <c r="N814" i="69"/>
  <c r="N812" i="69"/>
  <c r="N809" i="69"/>
  <c r="N808" i="69"/>
  <c r="N807" i="69"/>
  <c r="N804" i="69"/>
  <c r="N803" i="69"/>
  <c r="N801" i="69"/>
  <c r="N800" i="69"/>
  <c r="N799" i="69"/>
  <c r="N798" i="69"/>
  <c r="N797" i="69"/>
  <c r="N795" i="69"/>
  <c r="N794" i="69"/>
  <c r="N793" i="69"/>
  <c r="N792" i="69"/>
  <c r="N791" i="69"/>
  <c r="N790" i="69"/>
  <c r="N789" i="69"/>
  <c r="N787" i="69"/>
  <c r="N786" i="69"/>
  <c r="N785" i="69"/>
  <c r="N784" i="69"/>
  <c r="N783" i="69"/>
  <c r="N782" i="69"/>
  <c r="N781" i="69"/>
  <c r="N780" i="69"/>
  <c r="N779" i="69"/>
  <c r="N778" i="69"/>
  <c r="N777" i="69"/>
  <c r="N776" i="69"/>
  <c r="N775" i="69"/>
  <c r="N774" i="69"/>
  <c r="N772" i="69"/>
  <c r="N771" i="69"/>
  <c r="N770" i="69"/>
  <c r="N769" i="69"/>
  <c r="N768" i="69"/>
  <c r="N767" i="69"/>
  <c r="N766" i="69"/>
  <c r="N765" i="69"/>
  <c r="N764" i="69"/>
  <c r="N763" i="69"/>
  <c r="N762" i="69"/>
  <c r="N761" i="69"/>
  <c r="N760" i="69"/>
  <c r="N759" i="69"/>
  <c r="N758" i="69"/>
  <c r="N757" i="69"/>
  <c r="N756" i="69"/>
  <c r="N755" i="69"/>
  <c r="N754" i="69"/>
  <c r="N752" i="69"/>
  <c r="N751" i="69"/>
  <c r="N747" i="69"/>
  <c r="N746" i="69"/>
  <c r="N745" i="69"/>
  <c r="N744" i="69"/>
  <c r="N743" i="69"/>
  <c r="N742" i="69"/>
  <c r="N741" i="69"/>
  <c r="N739" i="69"/>
  <c r="N738" i="69"/>
  <c r="N737" i="69"/>
  <c r="N736" i="69"/>
  <c r="N735" i="69"/>
  <c r="N734" i="69"/>
  <c r="N733" i="69"/>
  <c r="N732" i="69"/>
  <c r="N731" i="69"/>
  <c r="N730" i="69"/>
  <c r="N729" i="69"/>
  <c r="N728" i="69"/>
  <c r="N727" i="69"/>
  <c r="N726" i="69"/>
  <c r="N725" i="69"/>
  <c r="N724" i="69"/>
  <c r="N722" i="69"/>
  <c r="N721" i="69"/>
  <c r="N720" i="69"/>
  <c r="N719" i="69"/>
  <c r="N718" i="69"/>
  <c r="N717" i="69"/>
  <c r="N716" i="69"/>
  <c r="N715" i="69"/>
  <c r="N714" i="69"/>
  <c r="N712" i="69"/>
  <c r="N711" i="69"/>
  <c r="N710" i="69"/>
  <c r="N709" i="69"/>
  <c r="N708" i="69"/>
  <c r="N705" i="69"/>
  <c r="N704" i="69"/>
  <c r="N703" i="69"/>
  <c r="N701" i="69"/>
  <c r="N700" i="69"/>
  <c r="N698" i="69"/>
  <c r="N697" i="69"/>
  <c r="N695" i="69"/>
  <c r="N694" i="69"/>
  <c r="N689" i="69"/>
  <c r="N685" i="69"/>
  <c r="N683" i="69"/>
  <c r="N682" i="69"/>
  <c r="N681" i="69"/>
  <c r="N679" i="69"/>
  <c r="N678" i="69"/>
  <c r="N676" i="69"/>
  <c r="N675" i="69"/>
  <c r="N672" i="69"/>
  <c r="N669" i="69"/>
  <c r="N668" i="69"/>
  <c r="N667" i="69"/>
  <c r="N666" i="69"/>
  <c r="N663" i="69"/>
  <c r="N660" i="69"/>
  <c r="N650" i="69"/>
  <c r="N649" i="69"/>
  <c r="N648" i="69"/>
  <c r="N647" i="69"/>
  <c r="N645" i="69"/>
  <c r="N644" i="69"/>
  <c r="N643" i="69"/>
  <c r="N642" i="69"/>
  <c r="N641" i="69"/>
  <c r="N640" i="69"/>
  <c r="N638" i="69"/>
  <c r="N636" i="69"/>
  <c r="N635" i="69"/>
  <c r="N633" i="69"/>
  <c r="N630" i="69"/>
  <c r="N627" i="69"/>
  <c r="N620" i="69"/>
  <c r="N617" i="69"/>
  <c r="N616" i="69"/>
  <c r="N614" i="69"/>
  <c r="N613" i="69"/>
  <c r="N610" i="69"/>
  <c r="N608" i="69"/>
  <c r="N607" i="69"/>
  <c r="N605" i="69"/>
  <c r="N604" i="69"/>
  <c r="N602" i="69"/>
  <c r="N601" i="69"/>
  <c r="N599" i="69"/>
  <c r="N592" i="69"/>
  <c r="N591" i="69"/>
  <c r="N590" i="69"/>
  <c r="N588" i="69"/>
  <c r="N585" i="69"/>
  <c r="N584" i="69"/>
  <c r="N579" i="69"/>
  <c r="N578" i="69"/>
  <c r="N563" i="69"/>
  <c r="N556" i="69"/>
  <c r="N548" i="69"/>
  <c r="N547" i="69"/>
  <c r="N545" i="69"/>
  <c r="N543" i="69"/>
  <c r="N539" i="69"/>
  <c r="N538" i="69"/>
  <c r="N537" i="69"/>
  <c r="N535" i="69"/>
  <c r="N533" i="69"/>
  <c r="N532" i="69"/>
  <c r="N531" i="69"/>
  <c r="N529" i="69"/>
  <c r="N528" i="69"/>
  <c r="N526" i="69"/>
  <c r="N525" i="69"/>
  <c r="N524" i="69"/>
  <c r="N523" i="69"/>
  <c r="N516" i="69"/>
  <c r="N514" i="69"/>
  <c r="N510" i="69"/>
  <c r="N509" i="69"/>
  <c r="N507" i="69"/>
  <c r="N503" i="69"/>
  <c r="N501" i="69"/>
  <c r="N498" i="69"/>
  <c r="N497" i="69"/>
  <c r="N496" i="69"/>
  <c r="N495" i="69"/>
  <c r="N494" i="69"/>
  <c r="N487" i="69"/>
  <c r="N484" i="69"/>
  <c r="N478" i="69"/>
  <c r="N475" i="69"/>
  <c r="N447" i="69"/>
  <c r="N364" i="69"/>
  <c r="N139" i="69"/>
  <c r="AB2268" i="1"/>
  <c r="AB2445" i="1"/>
  <c r="AB1271" i="1"/>
  <c r="AB1989" i="1"/>
  <c r="AB2668" i="1"/>
  <c r="AB1316" i="1"/>
  <c r="AB1272" i="1"/>
  <c r="AB1040" i="1"/>
  <c r="AB952" i="1"/>
  <c r="AB1107" i="1"/>
  <c r="AB1161" i="1"/>
  <c r="AB1067" i="1"/>
  <c r="AB1027" i="1"/>
  <c r="AB1158" i="1"/>
  <c r="AB773" i="1"/>
  <c r="AB1017" i="1"/>
  <c r="AB1210" i="1"/>
  <c r="S1210" i="1"/>
  <c r="AB2977" i="1"/>
  <c r="AB4153" i="1"/>
  <c r="AB4052" i="1"/>
  <c r="AB8120" i="1"/>
  <c r="Z1041" i="1"/>
  <c r="AB1041" i="1"/>
  <c r="S878" i="1"/>
  <c r="AB4769" i="1"/>
  <c r="AB4434" i="1"/>
  <c r="AB2789" i="1"/>
  <c r="AB7228" i="1"/>
  <c r="AB8007" i="1"/>
  <c r="AB2938" i="1"/>
  <c r="AB5095" i="1"/>
  <c r="AB4137" i="1"/>
  <c r="AB4103" i="1"/>
  <c r="AB3612" i="1"/>
  <c r="AB3897" i="1"/>
  <c r="AB2518" i="1"/>
  <c r="AB2241" i="1"/>
  <c r="AB8460" i="1"/>
  <c r="AB8773" i="1"/>
  <c r="AB8587" i="1"/>
  <c r="AB1756" i="1"/>
  <c r="AB776" i="1"/>
  <c r="AB779" i="1"/>
  <c r="AB2489" i="1"/>
  <c r="AB1121" i="1"/>
  <c r="AB2018" i="1"/>
  <c r="S1648" i="1"/>
  <c r="AB6195" i="1"/>
  <c r="AB7499" i="1"/>
  <c r="AB977" i="1"/>
  <c r="AB1264" i="1"/>
  <c r="AB1289" i="1"/>
  <c r="AB2045" i="1"/>
  <c r="AB3054" i="1"/>
  <c r="AB1569" i="1"/>
  <c r="AB786" i="1"/>
  <c r="AB3225" i="1"/>
  <c r="AB3346" i="1"/>
  <c r="S3510" i="1"/>
  <c r="AB8503" i="1"/>
  <c r="AB8886" i="1"/>
  <c r="AB7558" i="1"/>
  <c r="AB4426" i="1"/>
  <c r="AB6065" i="1"/>
  <c r="AB5525" i="1"/>
  <c r="S2410" i="1"/>
  <c r="AB1149" i="1"/>
  <c r="AB1971" i="1"/>
  <c r="AB2328" i="1"/>
  <c r="AB793" i="1"/>
  <c r="AB798" i="1"/>
  <c r="AB2274" i="1"/>
  <c r="AB792" i="1"/>
  <c r="AB2114" i="1"/>
  <c r="AB1677" i="1"/>
  <c r="AB981" i="1"/>
  <c r="AB1006" i="1"/>
  <c r="AB967" i="1"/>
  <c r="AB1081" i="1"/>
  <c r="AB1035" i="1"/>
  <c r="AB1796" i="1"/>
  <c r="AB5196" i="1"/>
  <c r="AB5818" i="1"/>
  <c r="AB6163" i="1"/>
  <c r="AB796" i="1"/>
  <c r="AB797" i="1"/>
  <c r="AB1554" i="1"/>
  <c r="AB861" i="1"/>
  <c r="S3103" i="1"/>
  <c r="AB1129" i="1"/>
  <c r="AB1458" i="1"/>
  <c r="AB1285" i="1"/>
  <c r="AB913" i="1"/>
  <c r="AB873" i="1"/>
  <c r="AB992" i="1"/>
  <c r="S2400" i="1"/>
  <c r="AB1092" i="1"/>
  <c r="AB2099" i="1"/>
  <c r="AB807" i="1"/>
  <c r="S3824" i="1"/>
  <c r="AB1318" i="1"/>
  <c r="AB2941" i="1"/>
  <c r="AB1875" i="1"/>
  <c r="AB2094" i="1"/>
  <c r="AB874" i="1"/>
  <c r="AB1317" i="1"/>
  <c r="AB1383" i="1"/>
  <c r="AB875" i="1"/>
  <c r="AB3357" i="1"/>
  <c r="AB5496" i="1"/>
  <c r="AB3335" i="1"/>
  <c r="AB3137" i="1"/>
  <c r="AB2202" i="1"/>
  <c r="AB1951" i="1"/>
  <c r="AB1472" i="1"/>
  <c r="AB1648" i="1"/>
  <c r="AB2410" i="1"/>
  <c r="AB3103" i="1"/>
  <c r="AB3824" i="1"/>
  <c r="S1618" i="1"/>
  <c r="AB2884" i="1"/>
  <c r="AB1342" i="1"/>
  <c r="AB2676" i="1"/>
  <c r="AB3623" i="1"/>
  <c r="AB6884" i="1"/>
  <c r="AB1337" i="1"/>
  <c r="AB876" i="1"/>
  <c r="AB1372" i="1"/>
  <c r="AB986" i="1"/>
  <c r="AB877" i="1"/>
  <c r="S879" i="1"/>
  <c r="Z7504" i="1"/>
  <c r="AB1077" i="1"/>
  <c r="AB7504" i="1"/>
  <c r="AB2925" i="1"/>
  <c r="S2403" i="1"/>
  <c r="AB2684" i="1" l="1"/>
  <c r="AB1327" i="1"/>
  <c r="AB2609" i="1"/>
  <c r="S880" i="1" l="1"/>
  <c r="Z6477" i="1"/>
  <c r="AB6477" i="1"/>
  <c r="AB8010" i="1"/>
  <c r="AB7318" i="1"/>
  <c r="AB6404" i="1"/>
  <c r="AB6881" i="1"/>
  <c r="AB7154" i="1"/>
  <c r="AB7079" i="1"/>
  <c r="AB6400" i="1"/>
  <c r="AB7855" i="1"/>
  <c r="AB7244" i="1"/>
  <c r="AB7265" i="1"/>
  <c r="AB6700" i="1"/>
  <c r="AB6156" i="1"/>
  <c r="AB6490" i="1"/>
  <c r="AB6735" i="1"/>
  <c r="AB6985" i="1"/>
  <c r="AB1183" i="1"/>
  <c r="AB373" i="1"/>
  <c r="AB878" i="1"/>
  <c r="AB6765" i="1"/>
  <c r="AB7258" i="1"/>
  <c r="AB6086" i="1"/>
  <c r="AB6575" i="1"/>
  <c r="AB7078" i="1"/>
  <c r="AB6226" i="1"/>
  <c r="AB5894" i="1"/>
  <c r="AB6383" i="1"/>
  <c r="AB7566" i="1"/>
  <c r="AB866" i="1"/>
  <c r="AB863" i="1"/>
  <c r="AB6551" i="1"/>
  <c r="AB7442" i="1"/>
  <c r="AB7675" i="1"/>
  <c r="AB7012" i="1"/>
  <c r="Z1880" i="1"/>
  <c r="AB1880" i="1"/>
  <c r="AB4083" i="1"/>
  <c r="AB3961" i="1"/>
  <c r="AB2180" i="1"/>
  <c r="AB1838" i="1"/>
  <c r="AB1351" i="1"/>
  <c r="AB2885" i="1"/>
  <c r="Z9673" i="1"/>
  <c r="Z9973" i="1"/>
  <c r="Z10022" i="1"/>
  <c r="Z10221" i="1"/>
  <c r="Z10281" i="1"/>
  <c r="Z10467" i="1"/>
  <c r="AB5575" i="1"/>
  <c r="AB2288" i="1"/>
  <c r="AB4323" i="1"/>
  <c r="Z8689" i="1"/>
  <c r="Z8841" i="1"/>
  <c r="AB8459" i="1"/>
  <c r="AB9300" i="1"/>
  <c r="AB10139" i="1"/>
  <c r="AB9291" i="1"/>
  <c r="AB6500" i="1"/>
  <c r="AB7331" i="1"/>
  <c r="AB8689" i="1"/>
  <c r="AB8640" i="1"/>
  <c r="AB8319" i="1"/>
  <c r="AB6434" i="1"/>
  <c r="AB6211" i="1"/>
  <c r="AB8841" i="1"/>
  <c r="AB8847" i="1"/>
  <c r="AB8815" i="1"/>
  <c r="AB6426" i="1"/>
  <c r="AB10516" i="1"/>
  <c r="AB6504" i="1"/>
  <c r="AB8413" i="1"/>
  <c r="AB7780" i="1"/>
  <c r="AB8677" i="1"/>
  <c r="AB10289" i="1"/>
  <c r="Z9221" i="1"/>
  <c r="AB9221" i="1"/>
  <c r="AB6554" i="1"/>
  <c r="AB8614" i="1"/>
  <c r="AB8690" i="1"/>
  <c r="AB9954" i="1"/>
  <c r="AB8586" i="1"/>
  <c r="AB10167" i="1"/>
  <c r="AB10274" i="1"/>
  <c r="AB8989" i="1"/>
  <c r="AB9440" i="1"/>
  <c r="AB9067" i="1"/>
  <c r="AB7453" i="1"/>
  <c r="AB1106" i="1"/>
  <c r="AB1847" i="1"/>
  <c r="AB10306" i="1"/>
  <c r="Z8518" i="1"/>
  <c r="Z8234" i="1"/>
  <c r="Z7740" i="1"/>
  <c r="Z7182" i="1"/>
  <c r="AB9746" i="1"/>
  <c r="AB1094" i="1"/>
  <c r="AB9947" i="1"/>
  <c r="AB9934" i="1"/>
  <c r="AB10273" i="1"/>
  <c r="AB5416" i="1"/>
  <c r="AB9230" i="1"/>
  <c r="AB9487" i="1"/>
  <c r="AB4160" i="1"/>
  <c r="AB5222" i="1"/>
  <c r="AB8006" i="1"/>
  <c r="AB5223" i="1"/>
  <c r="AB7846" i="1"/>
  <c r="AB8145" i="1"/>
  <c r="Z1833" i="1"/>
  <c r="AB4659" i="1"/>
  <c r="AB882" i="1"/>
  <c r="S1192" i="1"/>
  <c r="AB880" i="1" l="1"/>
  <c r="AB1179" i="1"/>
  <c r="AB1208" i="1" l="1"/>
  <c r="S1208" i="1"/>
  <c r="AB1364" i="1" l="1"/>
  <c r="S3089" i="1" l="1"/>
  <c r="AB1277" i="1" l="1"/>
  <c r="AB2408" i="1" l="1"/>
  <c r="AB879" i="1" l="1"/>
  <c r="AB1300" i="1"/>
  <c r="AB1385" i="1"/>
  <c r="AB1398" i="1"/>
  <c r="AB1463" i="1"/>
  <c r="AB1474" i="1"/>
  <c r="AB799" i="1"/>
  <c r="AB1015" i="1"/>
  <c r="AB1387" i="1"/>
  <c r="AB1805" i="1"/>
  <c r="AB2343" i="1"/>
  <c r="AB2729" i="1"/>
  <c r="AB308" i="1"/>
  <c r="AB982" i="1"/>
  <c r="AB1019" i="1"/>
  <c r="AB1503" i="1"/>
  <c r="AB1178" i="1"/>
  <c r="S2025" i="1" l="1"/>
  <c r="S2013" i="1" l="1"/>
  <c r="S1185" i="1" l="1"/>
  <c r="S1200" i="1" l="1"/>
  <c r="AB1315" i="1"/>
  <c r="S1180" i="1" l="1"/>
  <c r="AB7567" i="1" l="1"/>
  <c r="AB2338" i="1" l="1"/>
  <c r="AB2618" i="1" l="1"/>
  <c r="S1227" i="1" l="1"/>
  <c r="AB2207" i="1" l="1"/>
  <c r="S1241" i="1"/>
  <c r="S1225" i="1" l="1"/>
  <c r="AB1266" i="1" l="1"/>
  <c r="AB1181" i="1" l="1"/>
  <c r="AB1189" i="1"/>
  <c r="AB10" i="1"/>
  <c r="S11" i="1"/>
  <c r="Z11" i="1"/>
  <c r="AB11" i="1"/>
  <c r="AB1225" i="1"/>
  <c r="AB12" i="1"/>
  <c r="AB2391" i="1"/>
  <c r="AB2400" i="1"/>
  <c r="AB2429" i="1"/>
  <c r="AB2753" i="1"/>
  <c r="AB15" i="1"/>
  <c r="AB17" i="1"/>
  <c r="AB3877" i="1"/>
  <c r="AB4215" i="1"/>
  <c r="AB49" i="1"/>
  <c r="AB37" i="1"/>
  <c r="AB40" i="1"/>
  <c r="AB67" i="1"/>
  <c r="AB837" i="1"/>
  <c r="AB896" i="1"/>
  <c r="AB901" i="1"/>
  <c r="AB1180" i="1"/>
  <c r="AB917" i="1"/>
  <c r="AB1185" i="1"/>
  <c r="AB918" i="1"/>
  <c r="AB919" i="1"/>
  <c r="AB1192" i="1"/>
  <c r="AB920" i="1"/>
  <c r="AB925" i="1"/>
  <c r="AB926" i="1"/>
  <c r="AB928" i="1"/>
  <c r="AB936" i="1"/>
  <c r="AB935" i="1"/>
  <c r="AB937" i="1"/>
  <c r="AB944" i="1"/>
  <c r="AB945" i="1"/>
  <c r="AB948" i="1"/>
  <c r="AB951" i="1"/>
  <c r="Z953" i="1"/>
  <c r="AB953" i="1"/>
  <c r="AB958" i="1"/>
  <c r="AB1200" i="1"/>
  <c r="AB1201" i="1"/>
  <c r="AB959" i="1"/>
  <c r="AB960" i="1"/>
  <c r="AB965" i="1"/>
  <c r="AB970" i="1"/>
  <c r="AB973" i="1"/>
  <c r="AB974" i="1"/>
  <c r="AB985" i="1"/>
  <c r="AB1207" i="1"/>
  <c r="O993" i="1"/>
  <c r="AB993" i="1"/>
  <c r="AB996" i="1"/>
  <c r="AB1003" i="1"/>
  <c r="AB1008" i="1"/>
  <c r="AB872" i="1"/>
  <c r="AB1007" i="1"/>
  <c r="AB1013" i="1"/>
  <c r="AB1012" i="1"/>
  <c r="AB1018" i="1"/>
  <c r="AB1030" i="1"/>
  <c r="AB1033" i="1"/>
  <c r="AB1038" i="1"/>
  <c r="AB1044" i="1"/>
  <c r="AB1047" i="1"/>
  <c r="AB1048" i="1"/>
  <c r="AB1051" i="1"/>
  <c r="AB1050" i="1"/>
  <c r="AB1052" i="1"/>
  <c r="AB1218" i="1"/>
  <c r="AB1055" i="1"/>
  <c r="AB1056" i="1"/>
  <c r="AB1057" i="1"/>
  <c r="AB1059" i="1"/>
  <c r="AB1066" i="1"/>
  <c r="AB1069" i="1"/>
  <c r="AB1078" i="1"/>
  <c r="AB1082" i="1"/>
  <c r="AB1086" i="1"/>
  <c r="AB1087" i="1"/>
  <c r="AB1093" i="1"/>
  <c r="AB1227" i="1"/>
  <c r="AB1111" i="1"/>
  <c r="AB1113" i="1"/>
  <c r="AB1241" i="1"/>
  <c r="AB1118" i="1"/>
  <c r="AB1120" i="1"/>
  <c r="AB1123" i="1"/>
  <c r="AB1122" i="1"/>
  <c r="AB1124" i="1"/>
  <c r="Z1125" i="1"/>
  <c r="AB1125" i="1"/>
  <c r="AB1126" i="1"/>
  <c r="AB1130" i="1"/>
  <c r="AB1133" i="1"/>
  <c r="AB1131" i="1"/>
  <c r="AB1138" i="1"/>
  <c r="AB1137" i="1"/>
  <c r="AB1140" i="1"/>
  <c r="AB1141" i="1"/>
  <c r="AB1250" i="1"/>
  <c r="AB1145" i="1"/>
  <c r="AB1146" i="1"/>
  <c r="Z1151" i="1"/>
  <c r="AB1151" i="1"/>
  <c r="AB1153" i="1"/>
  <c r="AB1154" i="1"/>
  <c r="AB1155" i="1"/>
  <c r="AB1157" i="1"/>
  <c r="AB1162" i="1"/>
  <c r="AB1165" i="1"/>
  <c r="AB1168" i="1"/>
  <c r="AB1172" i="1"/>
  <c r="S1177" i="1"/>
  <c r="AB1177" i="1"/>
  <c r="S1182" i="1"/>
  <c r="AB1182" i="1"/>
  <c r="AB1184" i="1"/>
  <c r="AB1188" i="1"/>
  <c r="AB1186" i="1"/>
  <c r="AB1190" i="1"/>
  <c r="AB1187" i="1"/>
  <c r="S1191" i="1"/>
  <c r="AB1191" i="1"/>
  <c r="AB1193" i="1"/>
  <c r="S1197" i="1"/>
  <c r="AB1197" i="1"/>
  <c r="S1198" i="1"/>
  <c r="AB1198" i="1"/>
  <c r="S1202" i="1"/>
  <c r="AB1202" i="1"/>
  <c r="S1203" i="1"/>
  <c r="AB1203" i="1"/>
  <c r="AB1206" i="1"/>
  <c r="S1211" i="1"/>
  <c r="AB1211" i="1"/>
  <c r="AB1212" i="1"/>
  <c r="AB1214" i="1"/>
  <c r="AB1213" i="1"/>
  <c r="S1219" i="1"/>
  <c r="AB1219" i="1"/>
  <c r="S1220" i="1"/>
  <c r="AB1220" i="1"/>
  <c r="S1221" i="1"/>
  <c r="AB1221" i="1"/>
  <c r="S1222" i="1"/>
  <c r="AB1222" i="1"/>
  <c r="S1223" i="1"/>
  <c r="AB1223" i="1"/>
  <c r="AB1224" i="1"/>
  <c r="AB1226" i="1"/>
  <c r="AB1228" i="1"/>
  <c r="AB1229" i="1"/>
  <c r="AB1231" i="1"/>
  <c r="AB1230" i="1"/>
  <c r="S1233" i="1"/>
  <c r="AB1233" i="1"/>
  <c r="AB1232" i="1"/>
  <c r="S1234" i="1"/>
  <c r="AB1234" i="1"/>
  <c r="S1235" i="1"/>
  <c r="AB1235" i="1"/>
  <c r="S1237" i="1"/>
  <c r="AB1237" i="1"/>
  <c r="S1236" i="1"/>
  <c r="AB1236" i="1"/>
  <c r="S1238" i="1"/>
  <c r="AB1238" i="1"/>
  <c r="S1239" i="1"/>
  <c r="AB1239" i="1"/>
  <c r="S1240" i="1"/>
  <c r="AB1240" i="1"/>
  <c r="S1242" i="1"/>
  <c r="AB1242" i="1"/>
  <c r="AB1243" i="1"/>
  <c r="AB1244" i="1"/>
  <c r="S1246" i="1"/>
  <c r="AB1246" i="1"/>
  <c r="S1247" i="1"/>
  <c r="AB1247" i="1"/>
  <c r="AB1249" i="1"/>
  <c r="AB1251" i="1"/>
  <c r="S1252" i="1"/>
  <c r="AB1252" i="1"/>
  <c r="S1254" i="1"/>
  <c r="AB1254" i="1"/>
  <c r="S1253" i="1"/>
  <c r="AB1253" i="1"/>
  <c r="AB1256" i="1"/>
  <c r="AB1257" i="1"/>
  <c r="AB1261" i="1"/>
  <c r="AB1262" i="1"/>
  <c r="AB1611" i="1"/>
  <c r="AB1263" i="1"/>
  <c r="AB1267" i="1"/>
  <c r="AB1273" i="1"/>
  <c r="AB1275" i="1"/>
  <c r="AB1278" i="1"/>
  <c r="AB1279" i="1"/>
  <c r="AB1282" i="1"/>
  <c r="AB1286" i="1"/>
  <c r="AB1287" i="1"/>
  <c r="AB1291" i="1"/>
  <c r="AB1293" i="1"/>
  <c r="AB1299" i="1"/>
  <c r="AB1302" i="1"/>
  <c r="Z1303" i="1"/>
  <c r="AB1303" i="1"/>
  <c r="AB1618" i="1"/>
  <c r="AB1305" i="1"/>
  <c r="AB1306" i="1"/>
  <c r="AB1307" i="1"/>
  <c r="AB1311" i="1"/>
  <c r="AB1314" i="1"/>
  <c r="AB1312" i="1"/>
  <c r="AB1319" i="1"/>
  <c r="AB1321" i="1"/>
  <c r="AB1322" i="1"/>
  <c r="AB1323" i="1"/>
  <c r="AB1325" i="1"/>
  <c r="AB1324" i="1"/>
  <c r="AB1328" i="1"/>
  <c r="AB1335" i="1"/>
  <c r="AB1338" i="1"/>
  <c r="AB1336" i="1"/>
  <c r="AB1341" i="1"/>
  <c r="AB1340" i="1"/>
  <c r="AB1343" i="1"/>
  <c r="Z1344" i="1"/>
  <c r="AB1344" i="1"/>
  <c r="AB1346" i="1"/>
  <c r="AB1348" i="1"/>
  <c r="AB1347" i="1"/>
  <c r="AB1349" i="1"/>
  <c r="AB1352" i="1"/>
  <c r="AB1353" i="1"/>
  <c r="AB1354" i="1"/>
  <c r="AB1356" i="1"/>
  <c r="AB1355" i="1"/>
  <c r="AB1357" i="1"/>
  <c r="AB1359" i="1"/>
  <c r="AB1362" i="1"/>
  <c r="AB1366" i="1"/>
  <c r="AB1368" i="1"/>
  <c r="AB1369" i="1"/>
  <c r="AB1636" i="1"/>
  <c r="AB1370" i="1"/>
  <c r="AB1371" i="1"/>
  <c r="AB1373" i="1"/>
  <c r="AB1374" i="1"/>
  <c r="AB1375" i="1"/>
  <c r="AB1377" i="1"/>
  <c r="AB1378" i="1"/>
  <c r="AB1380" i="1"/>
  <c r="AB1381" i="1"/>
  <c r="AB1382" i="1"/>
  <c r="AB1384" i="1"/>
  <c r="AB1386" i="1"/>
  <c r="Z1388" i="1"/>
  <c r="AB1388" i="1"/>
  <c r="AB1393" i="1"/>
  <c r="AB1394" i="1"/>
  <c r="AB1395" i="1"/>
  <c r="AB1396" i="1"/>
  <c r="AB1397" i="1"/>
  <c r="Z1399" i="1"/>
  <c r="AB1399" i="1"/>
  <c r="AB1401" i="1"/>
  <c r="AB1404" i="1"/>
  <c r="AB1405" i="1"/>
  <c r="AB1407" i="1"/>
  <c r="AB1408" i="1"/>
  <c r="AB1409" i="1"/>
  <c r="AB1643" i="1"/>
  <c r="AB1411" i="1"/>
  <c r="AB1644" i="1"/>
  <c r="AB1412" i="1"/>
  <c r="AB1417" i="1"/>
  <c r="AB1418" i="1"/>
  <c r="AB1419" i="1"/>
  <c r="AB1422" i="1"/>
  <c r="AB1420" i="1"/>
  <c r="AB1423" i="1"/>
  <c r="AB1424" i="1"/>
  <c r="AB1427" i="1"/>
  <c r="AB1426" i="1"/>
  <c r="AB1428" i="1"/>
  <c r="AB1429" i="1"/>
  <c r="AB1432" i="1"/>
  <c r="AB1435" i="1"/>
  <c r="AB1436" i="1"/>
  <c r="AB1437" i="1"/>
  <c r="AB1438" i="1"/>
  <c r="O1441" i="1"/>
  <c r="AB1441" i="1"/>
  <c r="AB1440" i="1"/>
  <c r="AB1442" i="1"/>
  <c r="AB1443" i="1"/>
  <c r="AB1444" i="1"/>
  <c r="AB1445" i="1"/>
  <c r="AB1446" i="1"/>
  <c r="AB1447" i="1"/>
  <c r="O1451" i="1"/>
  <c r="AB1451" i="1"/>
  <c r="AB1453" i="1"/>
  <c r="AB1455" i="1"/>
  <c r="AB1459" i="1"/>
  <c r="AB1456" i="1"/>
  <c r="AB1457" i="1"/>
  <c r="AB1460" i="1"/>
  <c r="AB1464" i="1"/>
  <c r="AB1651" i="1"/>
  <c r="AB1466" i="1"/>
  <c r="AB1470" i="1"/>
  <c r="AB1652" i="1"/>
  <c r="AB1469" i="1"/>
  <c r="AB1467" i="1"/>
  <c r="AB1479" i="1"/>
  <c r="AB1476" i="1"/>
  <c r="AB1477" i="1"/>
  <c r="AB1482" i="1"/>
  <c r="AB1480" i="1"/>
  <c r="AB1483" i="1"/>
  <c r="AB1485" i="1"/>
  <c r="AB1487" i="1"/>
  <c r="AB1490" i="1"/>
  <c r="AB1492" i="1"/>
  <c r="AB1491" i="1"/>
  <c r="AB1494" i="1"/>
  <c r="AB1495" i="1"/>
  <c r="AB1496" i="1"/>
  <c r="AB1499" i="1"/>
  <c r="AB1500" i="1"/>
  <c r="AB1655" i="1"/>
  <c r="AB1502" i="1"/>
  <c r="AB1504" i="1"/>
  <c r="AB1506" i="1"/>
  <c r="AB1509" i="1"/>
  <c r="AB1510" i="1"/>
  <c r="AB1511" i="1"/>
  <c r="AB1512" i="1"/>
  <c r="AB1513" i="1"/>
  <c r="AB1515" i="1"/>
  <c r="AB1516" i="1"/>
  <c r="AB1517" i="1"/>
  <c r="AB1519" i="1"/>
  <c r="AB1518" i="1"/>
  <c r="AB1520" i="1"/>
  <c r="AB1523" i="1"/>
  <c r="AB1526" i="1"/>
  <c r="AB1530" i="1"/>
  <c r="AB1532" i="1"/>
  <c r="Z1534" i="1"/>
  <c r="AB1534" i="1"/>
  <c r="AB1533" i="1"/>
  <c r="AB1536" i="1"/>
  <c r="AB1537" i="1"/>
  <c r="AB1540" i="1"/>
  <c r="AB1542" i="1"/>
  <c r="AB1538" i="1"/>
  <c r="Z1539" i="1"/>
  <c r="AB1539" i="1"/>
  <c r="AB1544" i="1"/>
  <c r="AB1543" i="1"/>
  <c r="AB1541" i="1"/>
  <c r="AB1551" i="1"/>
  <c r="AB1660" i="1"/>
  <c r="AB1553" i="1"/>
  <c r="AB1555" i="1"/>
  <c r="AB1556" i="1"/>
  <c r="AB1557" i="1"/>
  <c r="AB1559" i="1"/>
  <c r="AB1560" i="1"/>
  <c r="AB1563" i="1"/>
  <c r="AB1566" i="1"/>
  <c r="AB1661" i="1"/>
  <c r="AB1568" i="1"/>
  <c r="AB1573" i="1"/>
  <c r="AB1571" i="1"/>
  <c r="AB1572" i="1"/>
  <c r="AB1574" i="1"/>
  <c r="AB1577" i="1"/>
  <c r="AB1578" i="1"/>
  <c r="AB1576" i="1"/>
  <c r="AB1580" i="1"/>
  <c r="AB1583" i="1"/>
  <c r="AB1584" i="1"/>
  <c r="AB1585" i="1"/>
  <c r="AB1586" i="1"/>
  <c r="AB1587" i="1"/>
  <c r="AB1588" i="1"/>
  <c r="AB1589" i="1"/>
  <c r="AB1590" i="1"/>
  <c r="AB1591" i="1"/>
  <c r="AB1593" i="1"/>
  <c r="AB1594" i="1"/>
  <c r="AB1595" i="1"/>
  <c r="AB1598" i="1"/>
  <c r="AB1599" i="1"/>
  <c r="AB1600" i="1"/>
  <c r="AB1602" i="1"/>
  <c r="AB1604" i="1"/>
  <c r="AB1603" i="1"/>
  <c r="AB1605" i="1"/>
  <c r="AB1607" i="1"/>
  <c r="AB1608" i="1"/>
  <c r="S1612" i="1"/>
  <c r="AB1612" i="1"/>
  <c r="S1613" i="1"/>
  <c r="AB1613" i="1"/>
  <c r="S1614" i="1"/>
  <c r="AB1614" i="1"/>
  <c r="S1617" i="1"/>
  <c r="AB1617" i="1"/>
  <c r="AB1619" i="1"/>
  <c r="S1620" i="1"/>
  <c r="AB1620" i="1"/>
  <c r="AB1622" i="1"/>
  <c r="AB1624" i="1"/>
  <c r="S1630" i="1"/>
  <c r="AB1630" i="1"/>
  <c r="S1626" i="1"/>
  <c r="AB1626" i="1"/>
  <c r="AB1627" i="1"/>
  <c r="AB1633" i="1"/>
  <c r="S1634" i="1"/>
  <c r="AB1634" i="1"/>
  <c r="AB1635" i="1"/>
  <c r="AB1638" i="1"/>
  <c r="S1637" i="1"/>
  <c r="AB1637" i="1"/>
  <c r="S1639" i="1"/>
  <c r="AB1639" i="1"/>
  <c r="AB1640" i="1"/>
  <c r="S1642" i="1"/>
  <c r="AB1642" i="1"/>
  <c r="S1646" i="1"/>
  <c r="AB1646" i="1"/>
  <c r="S1645" i="1"/>
  <c r="AB1645" i="1"/>
  <c r="AB1647" i="1"/>
  <c r="AB1649" i="1"/>
  <c r="S1650" i="1"/>
  <c r="AB1650" i="1"/>
  <c r="S1654" i="1"/>
  <c r="AB1654" i="1"/>
  <c r="AB1658" i="1"/>
  <c r="S1659" i="1"/>
  <c r="AB1659" i="1"/>
  <c r="AB1662" i="1"/>
  <c r="AB1665" i="1"/>
  <c r="AB2012" i="1"/>
  <c r="AB1671" i="1"/>
  <c r="AB1673" i="1"/>
  <c r="AB1672" i="1"/>
  <c r="AB1674" i="1"/>
  <c r="AB1675" i="1"/>
  <c r="AB1676" i="1"/>
  <c r="AB1681" i="1"/>
  <c r="AB1679" i="1"/>
  <c r="AB1682" i="1"/>
  <c r="AB1680" i="1"/>
  <c r="AB1683" i="1"/>
  <c r="AB1685" i="1"/>
  <c r="AB1686" i="1"/>
  <c r="AB1687" i="1"/>
  <c r="AB1688" i="1"/>
  <c r="AB1689" i="1"/>
  <c r="AB1690" i="1"/>
  <c r="AB1693" i="1"/>
  <c r="AB1694" i="1"/>
  <c r="AB1695" i="1"/>
  <c r="AB1696" i="1"/>
  <c r="AB1697" i="1"/>
  <c r="AB1698" i="1"/>
  <c r="AB2013" i="1"/>
  <c r="AB1700" i="1"/>
  <c r="AB1702" i="1"/>
  <c r="AB1705" i="1"/>
  <c r="AB1709" i="1"/>
  <c r="AB1708" i="1"/>
  <c r="AB1710" i="1"/>
  <c r="AB1711" i="1"/>
  <c r="AB1712" i="1"/>
  <c r="AB1714" i="1"/>
  <c r="AB1719" i="1"/>
  <c r="AB1715" i="1"/>
  <c r="AB1718" i="1"/>
  <c r="AB1717" i="1"/>
  <c r="AB1721" i="1"/>
  <c r="AB1722" i="1"/>
  <c r="AB1723" i="1"/>
  <c r="AB1724" i="1"/>
  <c r="AB1726" i="1"/>
  <c r="AB1727" i="1"/>
  <c r="AB1728" i="1"/>
  <c r="AB1729" i="1"/>
  <c r="AB1730" i="1"/>
  <c r="AB1731" i="1"/>
  <c r="AB1733" i="1"/>
  <c r="AB1732" i="1"/>
  <c r="AB1735" i="1"/>
  <c r="AB1736" i="1"/>
  <c r="AB1738" i="1"/>
  <c r="AB1737" i="1"/>
  <c r="AB1743" i="1"/>
  <c r="AB1744" i="1"/>
  <c r="AB1746" i="1"/>
  <c r="AB1748" i="1"/>
  <c r="AB1747" i="1"/>
  <c r="AB1749" i="1"/>
  <c r="AB1750" i="1"/>
  <c r="AB1751" i="1"/>
  <c r="AB1752" i="1"/>
  <c r="AB1754" i="1"/>
  <c r="AB2019" i="1"/>
  <c r="AB1760" i="1"/>
  <c r="AB1761" i="1"/>
  <c r="AB1764" i="1"/>
  <c r="AB1766" i="1"/>
  <c r="AB1765" i="1"/>
  <c r="AB2020" i="1"/>
  <c r="AB1768" i="1"/>
  <c r="AB1767" i="1"/>
  <c r="AB1769" i="1"/>
  <c r="AB1771" i="1"/>
  <c r="AB1770" i="1"/>
  <c r="AB1772" i="1"/>
  <c r="AB1775" i="1"/>
  <c r="AB1777" i="1"/>
  <c r="AB1774" i="1"/>
  <c r="AB2021" i="1"/>
  <c r="AB1779" i="1"/>
  <c r="AB1781" i="1"/>
  <c r="AB1783" i="1"/>
  <c r="AB1784" i="1"/>
  <c r="AB1786" i="1"/>
  <c r="AB1785" i="1"/>
  <c r="AB1787" i="1"/>
  <c r="AB1789" i="1"/>
  <c r="AB1791" i="1"/>
  <c r="AB1792" i="1"/>
  <c r="AB1793" i="1"/>
  <c r="AB1795" i="1"/>
  <c r="AB1794" i="1"/>
  <c r="AB1797" i="1"/>
  <c r="AB1798" i="1"/>
  <c r="AB1799" i="1"/>
  <c r="AB1801" i="1"/>
  <c r="AB1802" i="1"/>
  <c r="AB1803" i="1"/>
  <c r="AB1804" i="1"/>
  <c r="AB1806" i="1"/>
  <c r="AB1807" i="1"/>
  <c r="AB1808" i="1"/>
  <c r="AB1809" i="1"/>
  <c r="AB1810" i="1"/>
  <c r="AB1811" i="1"/>
  <c r="AB1812" i="1"/>
  <c r="AB1813" i="1"/>
  <c r="AB1814" i="1"/>
  <c r="AB1819" i="1"/>
  <c r="AB1820" i="1"/>
  <c r="AB1821" i="1"/>
  <c r="AB1822" i="1"/>
  <c r="AB1823" i="1"/>
  <c r="AB1826" i="1"/>
  <c r="AB1824" i="1"/>
  <c r="AB1827" i="1"/>
  <c r="AB1831" i="1"/>
  <c r="AB1828" i="1"/>
  <c r="AB1829" i="1"/>
  <c r="AB1830" i="1"/>
  <c r="AB1833" i="1"/>
  <c r="AB1835" i="1"/>
  <c r="AB2025" i="1"/>
  <c r="AB1837" i="1"/>
  <c r="AB1842" i="1"/>
  <c r="AB1841" i="1"/>
  <c r="AB1846" i="1"/>
  <c r="AB1844" i="1"/>
  <c r="AB1845" i="1"/>
  <c r="AB1848" i="1"/>
  <c r="AB1850" i="1"/>
  <c r="AB1849" i="1"/>
  <c r="AB1851" i="1"/>
  <c r="AB1852" i="1"/>
  <c r="AB1856" i="1"/>
  <c r="AB1855" i="1"/>
  <c r="AB1857" i="1"/>
  <c r="AB1858" i="1"/>
  <c r="AB2028" i="1"/>
  <c r="AB1859" i="1"/>
  <c r="AB1860" i="1"/>
  <c r="AB1861" i="1"/>
  <c r="AB1863" i="1"/>
  <c r="AB1866" i="1"/>
  <c r="AB1864" i="1"/>
  <c r="AB1865" i="1"/>
  <c r="AB1867" i="1"/>
  <c r="AB1869" i="1"/>
  <c r="AB1870" i="1"/>
  <c r="AB1871" i="1"/>
  <c r="AB1873" i="1"/>
  <c r="AB1872" i="1"/>
  <c r="AB1874" i="1"/>
  <c r="AB1876" i="1"/>
  <c r="AB1877" i="1"/>
  <c r="AB1879" i="1"/>
  <c r="AB1881" i="1"/>
  <c r="AB1883" i="1"/>
  <c r="AB1882" i="1"/>
  <c r="AB1884" i="1"/>
  <c r="AB1885" i="1"/>
  <c r="AB1887" i="1"/>
  <c r="AB1890" i="1"/>
  <c r="AB1891" i="1"/>
  <c r="AB1892" i="1"/>
  <c r="AB2029" i="1"/>
  <c r="AB1893" i="1"/>
  <c r="AB1894" i="1"/>
  <c r="AB1895" i="1"/>
  <c r="AB1898" i="1"/>
  <c r="AB1900" i="1"/>
  <c r="AB1901" i="1"/>
  <c r="AB1904" i="1"/>
  <c r="AB1903" i="1"/>
  <c r="AB1902" i="1"/>
  <c r="AB1908" i="1"/>
  <c r="AB1911" i="1"/>
  <c r="AB1912" i="1"/>
  <c r="AB1915" i="1"/>
  <c r="AB1916" i="1"/>
  <c r="AB1918" i="1"/>
  <c r="AB1917" i="1"/>
  <c r="AB2032" i="1"/>
  <c r="AB1919" i="1"/>
  <c r="AB1920" i="1"/>
  <c r="AB1921" i="1"/>
  <c r="AB1922" i="1"/>
  <c r="AB1924" i="1"/>
  <c r="AB1927" i="1"/>
  <c r="AB1928" i="1"/>
  <c r="Z1929" i="1"/>
  <c r="AB1929" i="1"/>
  <c r="AB1930" i="1"/>
  <c r="AB1931" i="1"/>
  <c r="AB1934" i="1"/>
  <c r="AB1932" i="1"/>
  <c r="AB1933" i="1"/>
  <c r="AB2035" i="1"/>
  <c r="AB1936" i="1"/>
  <c r="AB1937" i="1"/>
  <c r="AB1939" i="1"/>
  <c r="AB1942" i="1"/>
  <c r="AB1944" i="1"/>
  <c r="AB1943" i="1"/>
  <c r="AB1945" i="1"/>
  <c r="AB1946" i="1"/>
  <c r="AB1948" i="1"/>
  <c r="AB1949" i="1"/>
  <c r="AB2037" i="1"/>
  <c r="AB1955" i="1"/>
  <c r="AB1957" i="1"/>
  <c r="AB1956" i="1"/>
  <c r="AB1958" i="1"/>
  <c r="AB1963" i="1"/>
  <c r="AB1965" i="1"/>
  <c r="AB1967" i="1"/>
  <c r="AB1976" i="1"/>
  <c r="AB1973" i="1"/>
  <c r="AB1977" i="1"/>
  <c r="AB1975" i="1"/>
  <c r="AB1974" i="1"/>
  <c r="AB1980" i="1"/>
  <c r="AB1982" i="1"/>
  <c r="AB1981" i="1"/>
  <c r="AB1986" i="1"/>
  <c r="AB1987" i="1"/>
  <c r="AB1988" i="1"/>
  <c r="AB1990" i="1"/>
  <c r="AB1992" i="1"/>
  <c r="AB1993" i="1"/>
  <c r="AB1995" i="1"/>
  <c r="AB1996" i="1"/>
  <c r="AB6" i="1"/>
  <c r="AB1998" i="1"/>
  <c r="AB2000" i="1"/>
  <c r="AB1999" i="1"/>
  <c r="AB2001" i="1"/>
  <c r="AB2003" i="1"/>
  <c r="AB2004" i="1"/>
  <c r="AB2007" i="1"/>
  <c r="AB2008" i="1"/>
  <c r="AB2010" i="1"/>
  <c r="AB2011" i="1"/>
  <c r="AB2014" i="1"/>
  <c r="AB2015" i="1"/>
  <c r="S2017" i="1"/>
  <c r="AB2017" i="1"/>
  <c r="AB2022" i="1"/>
  <c r="AB2024" i="1"/>
  <c r="AB2026" i="1"/>
  <c r="AB2027" i="1"/>
  <c r="AB2034" i="1"/>
  <c r="AB2036" i="1"/>
  <c r="AB2038" i="1"/>
  <c r="AB2039" i="1"/>
  <c r="AB2040" i="1"/>
  <c r="AB2386" i="1"/>
  <c r="AB2387" i="1"/>
  <c r="AB2046" i="1"/>
  <c r="AB2047" i="1"/>
  <c r="AB2048" i="1"/>
  <c r="AB2049" i="1"/>
  <c r="AB2051" i="1"/>
  <c r="AB2050" i="1"/>
  <c r="AB2052" i="1"/>
  <c r="AB2053" i="1"/>
  <c r="AB2054" i="1"/>
  <c r="AB2056" i="1"/>
  <c r="AB2057" i="1"/>
  <c r="AB2388" i="1"/>
  <c r="AB2058" i="1"/>
  <c r="AB2059" i="1"/>
  <c r="Z2061" i="1"/>
  <c r="AB2061" i="1"/>
  <c r="AB2063" i="1"/>
  <c r="AB2064" i="1"/>
  <c r="AB2065" i="1"/>
  <c r="AB2067" i="1"/>
  <c r="AB2068" i="1"/>
  <c r="AB2069" i="1"/>
  <c r="AB2071" i="1"/>
  <c r="AB2073" i="1"/>
  <c r="AB2075" i="1"/>
  <c r="AB2077" i="1"/>
  <c r="AB2080" i="1"/>
  <c r="AB2083" i="1"/>
  <c r="AB2085" i="1"/>
  <c r="AB2081" i="1"/>
  <c r="AB2087" i="1"/>
  <c r="AB2090" i="1"/>
  <c r="AB2093" i="1"/>
  <c r="AB2091" i="1"/>
  <c r="AB2089" i="1"/>
  <c r="AB2095" i="1"/>
  <c r="AB2096" i="1"/>
  <c r="AB2097" i="1"/>
  <c r="AB2105" i="1"/>
  <c r="AB2106" i="1"/>
  <c r="AB2108" i="1"/>
  <c r="Z2109" i="1"/>
  <c r="AB2109" i="1"/>
  <c r="AB2110" i="1"/>
  <c r="AB2111" i="1"/>
  <c r="AB2113" i="1"/>
  <c r="AB2116" i="1"/>
  <c r="AB2117" i="1"/>
  <c r="AB2118" i="1"/>
  <c r="AB2119" i="1"/>
  <c r="AB2120" i="1"/>
  <c r="Z2122" i="1"/>
  <c r="AB2122" i="1"/>
  <c r="AB2121" i="1"/>
  <c r="AB2124" i="1"/>
  <c r="AB2125" i="1"/>
  <c r="AB2126" i="1"/>
  <c r="AB2128" i="1"/>
  <c r="AB2127" i="1"/>
  <c r="AB2399" i="1"/>
  <c r="AB2129" i="1"/>
  <c r="AB2130" i="1"/>
  <c r="AB2133" i="1"/>
  <c r="AB2134" i="1"/>
  <c r="AB2138" i="1"/>
  <c r="AB2148" i="1"/>
  <c r="AB2146" i="1"/>
  <c r="AB2151" i="1"/>
  <c r="AB2153" i="1"/>
  <c r="AB2155" i="1"/>
  <c r="AB2156" i="1"/>
  <c r="AB2157" i="1"/>
  <c r="AB2158" i="1"/>
  <c r="AB2160" i="1"/>
  <c r="AB2401" i="1"/>
  <c r="AB2162" i="1"/>
  <c r="AB2164" i="1"/>
  <c r="AB2163" i="1"/>
  <c r="AB2166" i="1"/>
  <c r="AB2168" i="1"/>
  <c r="AB2169" i="1"/>
  <c r="AB2170" i="1"/>
  <c r="AB2403" i="1"/>
  <c r="AB2171" i="1"/>
  <c r="AB2172" i="1"/>
  <c r="AB2177" i="1"/>
  <c r="AB2178" i="1"/>
  <c r="AB2179" i="1"/>
  <c r="AB2183" i="1"/>
  <c r="AB2182" i="1"/>
  <c r="AB2184" i="1"/>
  <c r="AB2188" i="1"/>
  <c r="AB2190" i="1"/>
  <c r="AB2191" i="1"/>
  <c r="AB2193" i="1"/>
  <c r="AB2192" i="1"/>
  <c r="AB26" i="1"/>
  <c r="AB2196" i="1"/>
  <c r="AB2200" i="1"/>
  <c r="AB2201" i="1"/>
  <c r="AB2204" i="1"/>
  <c r="AB2205" i="1"/>
  <c r="AB2206" i="1"/>
  <c r="AB2208" i="1"/>
  <c r="AB2209" i="1"/>
  <c r="AB2211" i="1"/>
  <c r="AB2213" i="1"/>
  <c r="AB2214" i="1"/>
  <c r="AB2216" i="1"/>
  <c r="AB2219" i="1"/>
  <c r="AB2220" i="1"/>
  <c r="AB2221" i="1"/>
  <c r="AB2223" i="1"/>
  <c r="AB2222" i="1"/>
  <c r="AB2225" i="1"/>
  <c r="AB2226" i="1"/>
  <c r="AB2229" i="1"/>
  <c r="AB2230" i="1"/>
  <c r="AB2234" i="1"/>
  <c r="AB2236" i="1"/>
  <c r="AB2237" i="1"/>
  <c r="AB2238" i="1"/>
  <c r="AB2240" i="1"/>
  <c r="AB2243" i="1"/>
  <c r="AB2244" i="1"/>
  <c r="AB2246" i="1"/>
  <c r="AB2247" i="1"/>
  <c r="AB2248" i="1"/>
  <c r="AB2250" i="1"/>
  <c r="AB2251" i="1"/>
  <c r="AB2252" i="1"/>
  <c r="AB2253" i="1"/>
  <c r="AB2254" i="1"/>
  <c r="AB2255" i="1"/>
  <c r="AB2257" i="1"/>
  <c r="AB2256" i="1"/>
  <c r="AB2258" i="1"/>
  <c r="AB2260" i="1"/>
  <c r="AB2262" i="1"/>
  <c r="AB2264" i="1"/>
  <c r="AB2266" i="1"/>
  <c r="AB2269" i="1"/>
  <c r="AB2270" i="1"/>
  <c r="AB2272" i="1"/>
  <c r="AB2273" i="1"/>
  <c r="AB2278" i="1"/>
  <c r="AB2279" i="1"/>
  <c r="AB2280" i="1"/>
  <c r="AB2281" i="1"/>
  <c r="AB2284" i="1"/>
  <c r="AB2283" i="1"/>
  <c r="AB2287" i="1"/>
  <c r="AB2289" i="1"/>
  <c r="AB2290" i="1"/>
  <c r="AB2291" i="1"/>
  <c r="AB2293" i="1"/>
  <c r="AB2295" i="1"/>
  <c r="AB2294" i="1"/>
  <c r="AB2297" i="1"/>
  <c r="AB2298" i="1"/>
  <c r="AB2299" i="1"/>
  <c r="AB2301" i="1"/>
  <c r="AB2300" i="1"/>
  <c r="AB2303" i="1"/>
  <c r="AB2306" i="1"/>
  <c r="AB2307" i="1"/>
  <c r="AB2308" i="1"/>
  <c r="AB2419" i="1"/>
  <c r="AB2309" i="1"/>
  <c r="AB2312" i="1"/>
  <c r="AB2313" i="1"/>
  <c r="AB2314" i="1"/>
  <c r="AB2315" i="1"/>
  <c r="AB2316" i="1"/>
  <c r="AB2317" i="1"/>
  <c r="AB2318" i="1"/>
  <c r="AB2319" i="1"/>
  <c r="AB2321" i="1"/>
  <c r="AB2320" i="1"/>
  <c r="AB2322" i="1"/>
  <c r="AB2421" i="1"/>
  <c r="AB2325" i="1"/>
  <c r="AB2327" i="1"/>
  <c r="AB2326" i="1"/>
  <c r="AB2330" i="1"/>
  <c r="AB2335" i="1"/>
  <c r="Z2336" i="1"/>
  <c r="AB2336" i="1"/>
  <c r="AB2337" i="1"/>
  <c r="AB2425" i="1"/>
  <c r="AB2340" i="1"/>
  <c r="AB2339" i="1"/>
  <c r="AB2342" i="1"/>
  <c r="AB2427" i="1"/>
  <c r="AB2428" i="1"/>
  <c r="AB2345" i="1"/>
  <c r="AB2348" i="1"/>
  <c r="AB2347" i="1"/>
  <c r="AB2430" i="1"/>
  <c r="AB2349" i="1"/>
  <c r="AB2352" i="1"/>
  <c r="AB2354" i="1"/>
  <c r="AB2355" i="1"/>
  <c r="AB2358" i="1"/>
  <c r="AB2360" i="1"/>
  <c r="AB2359" i="1"/>
  <c r="AB2361" i="1"/>
  <c r="AB2362" i="1"/>
  <c r="AB2367" i="1"/>
  <c r="AB2368" i="1"/>
  <c r="AB2369" i="1"/>
  <c r="AB2432" i="1"/>
  <c r="AB2371" i="1"/>
  <c r="AB2372" i="1"/>
  <c r="AB2374" i="1"/>
  <c r="AB2373" i="1"/>
  <c r="AB2375" i="1"/>
  <c r="AB2377" i="1"/>
  <c r="AB2378" i="1"/>
  <c r="AB2379" i="1"/>
  <c r="AB2380" i="1"/>
  <c r="AB2381" i="1"/>
  <c r="AB2382" i="1"/>
  <c r="AB2384" i="1"/>
  <c r="AB2390" i="1"/>
  <c r="S2392" i="1"/>
  <c r="AB2392" i="1"/>
  <c r="S2394" i="1"/>
  <c r="AB2394" i="1"/>
  <c r="AB2393" i="1"/>
  <c r="AB2395" i="1"/>
  <c r="AB2396" i="1"/>
  <c r="S2397" i="1"/>
  <c r="AB2397" i="1"/>
  <c r="AB2398" i="1"/>
  <c r="AB2404" i="1"/>
  <c r="AB2405" i="1"/>
  <c r="AB2406" i="1"/>
  <c r="AB2407" i="1"/>
  <c r="AB2411" i="1"/>
  <c r="S2412" i="1"/>
  <c r="AB2412" i="1"/>
  <c r="S2413" i="1"/>
  <c r="AB2413" i="1"/>
  <c r="AB2414" i="1"/>
  <c r="AB2415" i="1"/>
  <c r="S2417" i="1"/>
  <c r="AB2417" i="1"/>
  <c r="AB2416" i="1"/>
  <c r="S2418" i="1"/>
  <c r="AB2418" i="1"/>
  <c r="S2422" i="1"/>
  <c r="AB2422" i="1"/>
  <c r="AB2424" i="1"/>
  <c r="AB2426" i="1"/>
  <c r="S2433" i="1"/>
  <c r="AB2433" i="1"/>
  <c r="AB2434" i="1"/>
  <c r="AB2437" i="1"/>
  <c r="AB2438" i="1"/>
  <c r="AB2439" i="1"/>
  <c r="AB2441" i="1"/>
  <c r="AB2444" i="1"/>
  <c r="AB2442" i="1"/>
  <c r="AB2443" i="1"/>
  <c r="AB2447" i="1"/>
  <c r="AB2448" i="1"/>
  <c r="AB2449" i="1"/>
  <c r="AB2450" i="1"/>
  <c r="AB2738" i="1"/>
  <c r="AB2452" i="1"/>
  <c r="AB2458" i="1"/>
  <c r="AB2459" i="1"/>
  <c r="AB2462" i="1"/>
  <c r="AB2461" i="1"/>
  <c r="AB2463" i="1"/>
  <c r="AB2464" i="1"/>
  <c r="AB1653" i="1"/>
  <c r="AB2465" i="1"/>
  <c r="AB2466" i="1"/>
  <c r="AB2467" i="1"/>
  <c r="AB2469" i="1"/>
  <c r="AB2471" i="1"/>
  <c r="AB2473" i="1"/>
  <c r="AB2474" i="1"/>
  <c r="AB2475" i="1"/>
  <c r="AB2476" i="1"/>
  <c r="AB2479" i="1"/>
  <c r="AB2480" i="1"/>
  <c r="AB2477" i="1"/>
  <c r="AB2478" i="1"/>
  <c r="AB2483" i="1"/>
  <c r="AB2482" i="1"/>
  <c r="AB2486" i="1"/>
  <c r="AB2488" i="1"/>
  <c r="AB2492" i="1"/>
  <c r="AB2491" i="1"/>
  <c r="AB2496" i="1"/>
  <c r="AB2499" i="1"/>
  <c r="AB2498" i="1"/>
  <c r="AB2497" i="1"/>
  <c r="AB2500" i="1"/>
  <c r="AB2502" i="1"/>
  <c r="AB2504" i="1"/>
  <c r="AB2505" i="1"/>
  <c r="AB2506" i="1"/>
  <c r="AB2507" i="1"/>
  <c r="AB2508" i="1"/>
  <c r="AB2511" i="1"/>
  <c r="AB2512" i="1"/>
  <c r="AB2513" i="1"/>
  <c r="AB2515" i="1"/>
  <c r="AB2514" i="1"/>
  <c r="AB2519" i="1"/>
  <c r="AB2517" i="1"/>
  <c r="AB2520" i="1"/>
  <c r="AB2522" i="1"/>
  <c r="AB2524" i="1"/>
  <c r="AB2523" i="1"/>
  <c r="AB2525" i="1"/>
  <c r="Z2527" i="1"/>
  <c r="AB2527" i="1"/>
  <c r="AB2526" i="1"/>
  <c r="AB2529" i="1"/>
  <c r="AB2530" i="1"/>
  <c r="AB2531" i="1"/>
  <c r="AB2533" i="1"/>
  <c r="AB2532" i="1"/>
  <c r="AB2534" i="1"/>
  <c r="AB2536" i="1"/>
  <c r="AB2537" i="1"/>
  <c r="AB2539" i="1"/>
  <c r="AB2538" i="1"/>
  <c r="AB2540" i="1"/>
  <c r="AB2541" i="1"/>
  <c r="AB2547" i="1"/>
  <c r="AB2550" i="1"/>
  <c r="AB2552" i="1"/>
  <c r="AB2553" i="1"/>
  <c r="AB2549" i="1"/>
  <c r="AB2554" i="1"/>
  <c r="AB2555" i="1"/>
  <c r="AB2556" i="1"/>
  <c r="AB2557" i="1"/>
  <c r="AB2558" i="1"/>
  <c r="AB2559" i="1"/>
  <c r="AB2560" i="1"/>
  <c r="AB2561" i="1"/>
  <c r="AB2563" i="1"/>
  <c r="AB2562" i="1"/>
  <c r="AB2566" i="1"/>
  <c r="AB2567" i="1"/>
  <c r="AB2570" i="1"/>
  <c r="AB2571" i="1"/>
  <c r="AB2572" i="1"/>
  <c r="AB2573" i="1"/>
  <c r="AB2575" i="1"/>
  <c r="AB2576" i="1"/>
  <c r="AB2578" i="1"/>
  <c r="AB2579" i="1"/>
  <c r="AB2580" i="1"/>
  <c r="AB2582" i="1"/>
  <c r="AB2583" i="1"/>
  <c r="AB2584" i="1"/>
  <c r="AB2585" i="1"/>
  <c r="AB2586" i="1"/>
  <c r="AB2587" i="1"/>
  <c r="AB2588" i="1"/>
  <c r="AB2590" i="1"/>
  <c r="AB2589" i="1"/>
  <c r="AB2592" i="1"/>
  <c r="AB2601" i="1"/>
  <c r="AB2596" i="1"/>
  <c r="AB2600" i="1"/>
  <c r="AB2599" i="1"/>
  <c r="AB2598" i="1"/>
  <c r="AB2597" i="1"/>
  <c r="AB2602" i="1"/>
  <c r="AB2604" i="1"/>
  <c r="AB2605" i="1"/>
  <c r="AB2606" i="1"/>
  <c r="AB2610" i="1"/>
  <c r="AB2612" i="1"/>
  <c r="AB2613" i="1"/>
  <c r="AB2614" i="1"/>
  <c r="AB2616" i="1"/>
  <c r="AB2617" i="1"/>
  <c r="AB2626" i="1"/>
  <c r="AB2627" i="1"/>
  <c r="AB2628" i="1"/>
  <c r="AB2631" i="1"/>
  <c r="AB2630" i="1"/>
  <c r="AB2632" i="1"/>
  <c r="AB2634" i="1"/>
  <c r="AB2635" i="1"/>
  <c r="AB2636" i="1"/>
  <c r="AB2639" i="1"/>
  <c r="AB2643" i="1"/>
  <c r="AB2645" i="1"/>
  <c r="AB2647" i="1"/>
  <c r="AB2646" i="1"/>
  <c r="AB2648" i="1"/>
  <c r="AB2652" i="1"/>
  <c r="AB2651" i="1"/>
  <c r="AB2654" i="1"/>
  <c r="AB2656" i="1"/>
  <c r="AB2655" i="1"/>
  <c r="AB2657" i="1"/>
  <c r="AB2658" i="1"/>
  <c r="AB2660" i="1"/>
  <c r="AB2659" i="1"/>
  <c r="AB2662" i="1"/>
  <c r="AB2664" i="1"/>
  <c r="AB2666" i="1"/>
  <c r="AB2667" i="1"/>
  <c r="AB2669" i="1"/>
  <c r="AB2672" i="1"/>
  <c r="AB2673" i="1"/>
  <c r="AB2674" i="1"/>
  <c r="AB2675" i="1"/>
  <c r="AB2677" i="1"/>
  <c r="AB2678" i="1"/>
  <c r="AB2680" i="1"/>
  <c r="AB2681" i="1"/>
  <c r="AB2682" i="1"/>
  <c r="AB2679" i="1"/>
  <c r="AB2687" i="1"/>
  <c r="AB2688" i="1"/>
  <c r="AB2689" i="1"/>
  <c r="AB2690" i="1"/>
  <c r="AB2691" i="1"/>
  <c r="AB2693" i="1"/>
  <c r="AB2694" i="1"/>
  <c r="AB2695" i="1"/>
  <c r="AB2697" i="1"/>
  <c r="AB2699" i="1"/>
  <c r="AB2698" i="1"/>
  <c r="AB2700" i="1"/>
  <c r="AB2701" i="1"/>
  <c r="AB2702" i="1"/>
  <c r="AB2703" i="1"/>
  <c r="AB2704" i="1"/>
  <c r="AB2705" i="1"/>
  <c r="AB2706" i="1"/>
  <c r="AB13" i="1"/>
  <c r="AB2707" i="1"/>
  <c r="AB2708" i="1"/>
  <c r="AB2710" i="1"/>
  <c r="AB2709" i="1"/>
  <c r="AB2760" i="1"/>
  <c r="AB2711" i="1"/>
  <c r="AB2712" i="1"/>
  <c r="AB2715" i="1"/>
  <c r="AB2716" i="1"/>
  <c r="AB2717" i="1"/>
  <c r="AB2718" i="1"/>
  <c r="AB2719" i="1"/>
  <c r="AB2720" i="1"/>
  <c r="AB2721" i="1"/>
  <c r="AB2722" i="1"/>
  <c r="AB2723" i="1"/>
  <c r="AB2728" i="1"/>
  <c r="AB2727" i="1"/>
  <c r="AB2731" i="1"/>
  <c r="AB2732" i="1"/>
  <c r="AB2734" i="1"/>
  <c r="AB2735" i="1"/>
  <c r="AB2739" i="1"/>
  <c r="AB2740" i="1"/>
  <c r="AB2741" i="1"/>
  <c r="AB2743" i="1"/>
  <c r="AB2744" i="1"/>
  <c r="AB2745" i="1"/>
  <c r="S2746" i="1"/>
  <c r="AB2746" i="1"/>
  <c r="AB2747" i="1"/>
  <c r="AB2748" i="1"/>
  <c r="AB2749" i="1"/>
  <c r="AB2750" i="1"/>
  <c r="S2751" i="1"/>
  <c r="AB2751" i="1"/>
  <c r="AB2752" i="1"/>
  <c r="AB2754" i="1"/>
  <c r="AB2756" i="1"/>
  <c r="AB2759" i="1"/>
  <c r="AB2758" i="1"/>
  <c r="AB2762" i="1"/>
  <c r="AB2761" i="1"/>
  <c r="S2763" i="1"/>
  <c r="AB2763" i="1"/>
  <c r="AB2765" i="1"/>
  <c r="AB2766" i="1"/>
  <c r="AB2768" i="1"/>
  <c r="AB2770" i="1"/>
  <c r="AB2773" i="1"/>
  <c r="AB2774" i="1"/>
  <c r="AB3083" i="1"/>
  <c r="AB2776" i="1"/>
  <c r="AB2777" i="1"/>
  <c r="AB2778" i="1"/>
  <c r="AB14" i="1"/>
  <c r="AB2779" i="1"/>
  <c r="AB2783" i="1"/>
  <c r="AB2784" i="1"/>
  <c r="AB2787" i="1"/>
  <c r="AB2790" i="1"/>
  <c r="AB2791" i="1"/>
  <c r="AB2792" i="1"/>
  <c r="AB2793" i="1"/>
  <c r="AB2795" i="1"/>
  <c r="AB2796" i="1"/>
  <c r="AB2797" i="1"/>
  <c r="AB2800" i="1"/>
  <c r="AB2801" i="1"/>
  <c r="AB2802" i="1"/>
  <c r="AB2805" i="1"/>
  <c r="AB2803" i="1"/>
  <c r="AB2808" i="1"/>
  <c r="AB2809" i="1"/>
  <c r="AB2810" i="1"/>
  <c r="AB2811" i="1"/>
  <c r="AB2812" i="1"/>
  <c r="AB2813" i="1"/>
  <c r="AB2814" i="1"/>
  <c r="AB2815" i="1"/>
  <c r="AB3089" i="1"/>
  <c r="AB2817" i="1"/>
  <c r="AB2818" i="1"/>
  <c r="AB2820" i="1"/>
  <c r="AB2819" i="1"/>
  <c r="AB2822" i="1"/>
  <c r="AB2821" i="1"/>
  <c r="AB2823" i="1"/>
  <c r="AB2824" i="1"/>
  <c r="AB2827" i="1"/>
  <c r="AB2829" i="1"/>
  <c r="AB2828" i="1"/>
  <c r="AB2830" i="1"/>
  <c r="AB2831" i="1"/>
  <c r="AB2834" i="1"/>
  <c r="AB2833" i="1"/>
  <c r="AB2835" i="1"/>
  <c r="AB2838" i="1"/>
  <c r="AB2836" i="1"/>
  <c r="AB2837" i="1"/>
  <c r="AB2839" i="1"/>
  <c r="AB2845" i="1"/>
  <c r="AB2843" i="1"/>
  <c r="AB2846" i="1"/>
  <c r="AB2848" i="1"/>
  <c r="AB2847" i="1"/>
  <c r="AB2850" i="1"/>
  <c r="AB2851" i="1"/>
  <c r="AB2853" i="1"/>
  <c r="AB2852" i="1"/>
  <c r="AB2854" i="1"/>
  <c r="AB2855" i="1"/>
  <c r="AB2856" i="1"/>
  <c r="AB2857" i="1"/>
  <c r="AB2858" i="1"/>
  <c r="AB2859" i="1"/>
  <c r="AB2862" i="1"/>
  <c r="AB2865" i="1"/>
  <c r="AB2866" i="1"/>
  <c r="AB2867" i="1"/>
  <c r="AB2868" i="1"/>
  <c r="AB2869" i="1"/>
  <c r="AB2871" i="1"/>
  <c r="AB2872" i="1"/>
  <c r="AB2873" i="1"/>
  <c r="AB2874" i="1"/>
  <c r="AB2875" i="1"/>
  <c r="AB2876" i="1"/>
  <c r="AB2877" i="1"/>
  <c r="AB2879" i="1"/>
  <c r="AB2878" i="1"/>
  <c r="AB2880" i="1"/>
  <c r="AB2881" i="1"/>
  <c r="AB2882" i="1"/>
  <c r="AB2883" i="1"/>
  <c r="AB2886" i="1"/>
  <c r="AB2887" i="1"/>
  <c r="AB2888" i="1"/>
  <c r="AB2891" i="1"/>
  <c r="AB2890" i="1"/>
  <c r="AB2889" i="1"/>
  <c r="AB2892" i="1"/>
  <c r="AB2895" i="1"/>
  <c r="AB3096" i="1"/>
  <c r="AB2896" i="1"/>
  <c r="AB2898" i="1"/>
  <c r="AB2899" i="1"/>
  <c r="AB2901" i="1"/>
  <c r="AB2902" i="1"/>
  <c r="AB2904" i="1"/>
  <c r="AB2906" i="1"/>
  <c r="AB2907" i="1"/>
  <c r="AB2905" i="1"/>
  <c r="AB2910" i="1"/>
  <c r="AB2911" i="1"/>
  <c r="AB2913" i="1"/>
  <c r="AB2912" i="1"/>
  <c r="AB2914" i="1"/>
  <c r="AB2915" i="1"/>
  <c r="AB2917" i="1"/>
  <c r="AB2923" i="1"/>
  <c r="AB2924" i="1"/>
  <c r="AB2926" i="1"/>
  <c r="AB2927" i="1"/>
  <c r="AB2928" i="1"/>
  <c r="AB3101" i="1"/>
  <c r="AB2931" i="1"/>
  <c r="AB2933" i="1"/>
  <c r="AB2934" i="1"/>
  <c r="AB2937" i="1"/>
  <c r="AB2939" i="1"/>
  <c r="AB2942" i="1"/>
  <c r="AB2944" i="1"/>
  <c r="AB2943" i="1"/>
  <c r="AB2945" i="1"/>
  <c r="AB2946" i="1"/>
  <c r="AB2949" i="1"/>
  <c r="AB2951" i="1"/>
  <c r="AB2952" i="1"/>
  <c r="AB2954" i="1"/>
  <c r="AB3105" i="1"/>
  <c r="AB2955" i="1"/>
  <c r="AB2956" i="1"/>
  <c r="AB2957" i="1"/>
  <c r="AB2959" i="1"/>
  <c r="AB2958" i="1"/>
  <c r="AB2960" i="1"/>
  <c r="AB2962" i="1"/>
  <c r="AB2963" i="1"/>
  <c r="AB2965" i="1"/>
  <c r="AB2964" i="1"/>
  <c r="AB2966" i="1"/>
  <c r="AB2967" i="1"/>
  <c r="AB2968" i="1"/>
  <c r="AB2969" i="1"/>
  <c r="AB2970" i="1"/>
  <c r="AB2971" i="1"/>
  <c r="AB2972" i="1"/>
  <c r="AB2974" i="1"/>
  <c r="AB2975" i="1"/>
  <c r="AB2978" i="1"/>
  <c r="AB2979" i="1"/>
  <c r="AB2980" i="1"/>
  <c r="AB2983" i="1"/>
  <c r="AB2982" i="1"/>
  <c r="AB2984" i="1"/>
  <c r="AB2985" i="1"/>
  <c r="AB2986" i="1"/>
  <c r="AB2987" i="1"/>
  <c r="AB2988" i="1"/>
  <c r="AB2989" i="1"/>
  <c r="AB2990" i="1"/>
  <c r="AB2991" i="1"/>
  <c r="AB2992" i="1"/>
  <c r="AB2995" i="1"/>
  <c r="AB2994" i="1"/>
  <c r="AB2996" i="1"/>
  <c r="AB2997" i="1"/>
  <c r="AB2998" i="1"/>
  <c r="AB2999" i="1"/>
  <c r="AB3001" i="1"/>
  <c r="AB3000" i="1"/>
  <c r="AB3004" i="1"/>
  <c r="AB3002" i="1"/>
  <c r="AB3003" i="1"/>
  <c r="AB3006" i="1"/>
  <c r="AB3007" i="1"/>
  <c r="AB3009" i="1"/>
  <c r="AB3011" i="1"/>
  <c r="AB3013" i="1"/>
  <c r="AB3014" i="1"/>
  <c r="AB3017" i="1"/>
  <c r="AB3018" i="1"/>
  <c r="AB3020" i="1"/>
  <c r="AB3117" i="1"/>
  <c r="AB3022" i="1"/>
  <c r="AB3021" i="1"/>
  <c r="AB3023" i="1"/>
  <c r="AB3024" i="1"/>
  <c r="AB3025" i="1"/>
  <c r="AB3028" i="1"/>
  <c r="AB3030" i="1"/>
  <c r="AB3029" i="1"/>
  <c r="AB3031" i="1"/>
  <c r="AB3032" i="1"/>
  <c r="AB3033" i="1"/>
  <c r="AB3119" i="1"/>
  <c r="AB3035" i="1"/>
  <c r="AB3036" i="1"/>
  <c r="AB3037" i="1"/>
  <c r="AB3038" i="1"/>
  <c r="AB3039" i="1"/>
  <c r="AB3041" i="1"/>
  <c r="AB3042" i="1"/>
  <c r="AB3043" i="1"/>
  <c r="AB3046" i="1"/>
  <c r="AB3047" i="1"/>
  <c r="AB3048" i="1"/>
  <c r="AB3049" i="1"/>
  <c r="AB3050" i="1"/>
  <c r="AB3052" i="1"/>
  <c r="AB3056" i="1"/>
  <c r="AB3055" i="1"/>
  <c r="AB3058" i="1"/>
  <c r="AB3060" i="1"/>
  <c r="AB3061" i="1"/>
  <c r="AB3122" i="1"/>
  <c r="AB3062" i="1"/>
  <c r="AB3063" i="1"/>
  <c r="AB3064" i="1"/>
  <c r="AB3065" i="1"/>
  <c r="AB3066" i="1"/>
  <c r="AB3067" i="1"/>
  <c r="AB3068" i="1"/>
  <c r="AB3124" i="1"/>
  <c r="AB3069" i="1"/>
  <c r="AB3070" i="1"/>
  <c r="AB3071" i="1"/>
  <c r="AB3125" i="1"/>
  <c r="AB3072" i="1"/>
  <c r="AB3073" i="1"/>
  <c r="AB3075" i="1"/>
  <c r="AB3080" i="1"/>
  <c r="Z3081" i="1"/>
  <c r="AB3081" i="1"/>
  <c r="AB3082" i="1"/>
  <c r="S3084" i="1"/>
  <c r="AB3084" i="1"/>
  <c r="AB3085" i="1"/>
  <c r="S3087" i="1"/>
  <c r="AB3087" i="1"/>
  <c r="AB3086" i="1"/>
  <c r="S3088" i="1"/>
  <c r="AB3088" i="1"/>
  <c r="AB3090" i="1"/>
  <c r="AB3092" i="1"/>
  <c r="S3093" i="1"/>
  <c r="AB3093" i="1"/>
  <c r="AB3094" i="1"/>
  <c r="AB3095" i="1"/>
  <c r="AB3099" i="1"/>
  <c r="AB3102" i="1"/>
  <c r="S3104" i="1"/>
  <c r="AB3104" i="1"/>
  <c r="AB3106" i="1"/>
  <c r="AB3107" i="1"/>
  <c r="AB3108" i="1"/>
  <c r="S3109" i="1"/>
  <c r="T3109" i="1"/>
  <c r="AC3109" i="1" s="1"/>
  <c r="AB3109" i="1"/>
  <c r="AB3110" i="1"/>
  <c r="AB3111" i="1"/>
  <c r="AB3112" i="1"/>
  <c r="AB3113" i="1"/>
  <c r="AB3114" i="1"/>
  <c r="AB3115" i="1"/>
  <c r="AB3116" i="1"/>
  <c r="AB3118" i="1"/>
  <c r="AB3120" i="1"/>
  <c r="AB3121" i="1"/>
  <c r="AB3123" i="1"/>
  <c r="AB3126" i="1"/>
  <c r="AB3127" i="1"/>
  <c r="AB3128" i="1"/>
  <c r="AB3129" i="1"/>
  <c r="AB3467" i="1"/>
  <c r="AB3130" i="1"/>
  <c r="AB3132" i="1"/>
  <c r="AB3131" i="1"/>
  <c r="AB3133" i="1"/>
  <c r="AB3134" i="1"/>
  <c r="AB3136" i="1"/>
  <c r="AB3138" i="1"/>
  <c r="AB3139" i="1"/>
  <c r="AB3140" i="1"/>
  <c r="AB3141" i="1"/>
  <c r="AB3142" i="1"/>
  <c r="AB3143" i="1"/>
  <c r="AB3144" i="1"/>
  <c r="AB3146" i="1"/>
  <c r="AB3147" i="1"/>
  <c r="AB3148" i="1"/>
  <c r="AB3149" i="1"/>
  <c r="AB3150" i="1"/>
  <c r="AB3151" i="1"/>
  <c r="AB3152" i="1"/>
  <c r="AB3153" i="1"/>
  <c r="AB3154" i="1"/>
  <c r="AB3155" i="1"/>
  <c r="AB3157" i="1"/>
  <c r="AB3158" i="1"/>
  <c r="AB3159" i="1"/>
  <c r="AB3161" i="1"/>
  <c r="AB3163" i="1"/>
  <c r="AB3164" i="1"/>
  <c r="AB3165" i="1"/>
  <c r="AB3162" i="1"/>
  <c r="AB3166" i="1"/>
  <c r="AB3169" i="1"/>
  <c r="AB3170" i="1"/>
  <c r="AB3171" i="1"/>
  <c r="AB3173" i="1"/>
  <c r="AB3172" i="1"/>
  <c r="AB3174" i="1"/>
  <c r="AB3175" i="1"/>
  <c r="AB3176" i="1"/>
  <c r="AB3177" i="1"/>
  <c r="AB3178" i="1"/>
  <c r="AB3179" i="1"/>
  <c r="AB3181" i="1"/>
  <c r="AB3183" i="1"/>
  <c r="AB3180" i="1"/>
  <c r="AB3182" i="1"/>
  <c r="AB3186" i="1"/>
  <c r="AB3185" i="1"/>
  <c r="AB3187" i="1"/>
  <c r="AB3188" i="1"/>
  <c r="AB3190" i="1"/>
  <c r="AB3189" i="1"/>
  <c r="AB3191" i="1"/>
  <c r="AB3193" i="1"/>
  <c r="AB3194" i="1"/>
  <c r="AB3195" i="1"/>
  <c r="AB3196" i="1"/>
  <c r="AB3198" i="1"/>
  <c r="AB3200" i="1"/>
  <c r="AB3204" i="1"/>
  <c r="AB3203" i="1"/>
  <c r="AB3206" i="1"/>
  <c r="AB3481" i="1"/>
  <c r="AB3207" i="1"/>
  <c r="AB3208" i="1"/>
  <c r="AB3209" i="1"/>
  <c r="AB3210" i="1"/>
  <c r="AB3212" i="1"/>
  <c r="AB3211" i="1"/>
  <c r="AB3213" i="1"/>
  <c r="AB3214" i="1"/>
  <c r="AB3215" i="1"/>
  <c r="AB3217" i="1"/>
  <c r="AB3218" i="1"/>
  <c r="AB3221" i="1"/>
  <c r="AB3222" i="1"/>
  <c r="AB3223" i="1"/>
  <c r="AB3220" i="1"/>
  <c r="AB3226" i="1"/>
  <c r="AB3227" i="1"/>
  <c r="AB3228" i="1"/>
  <c r="AB3229" i="1"/>
  <c r="AB3230" i="1"/>
  <c r="AB3231" i="1"/>
  <c r="AB3232" i="1"/>
  <c r="AB3234" i="1"/>
  <c r="AB3235" i="1"/>
  <c r="AB3236" i="1"/>
  <c r="AB3238" i="1"/>
  <c r="AB3237" i="1"/>
  <c r="AB3239" i="1"/>
  <c r="AB3485" i="1"/>
  <c r="AB3242" i="1"/>
  <c r="AB3245" i="1"/>
  <c r="AB3243" i="1"/>
  <c r="AB3246" i="1"/>
  <c r="AB3249" i="1"/>
  <c r="AB3250" i="1"/>
  <c r="AB3253" i="1"/>
  <c r="AB3254" i="1"/>
  <c r="AB3255" i="1"/>
  <c r="AB3257" i="1"/>
  <c r="AB3256" i="1"/>
  <c r="AB3258" i="1"/>
  <c r="AB3488" i="1"/>
  <c r="AB3259" i="1"/>
  <c r="AB3262" i="1"/>
  <c r="AB3268" i="1"/>
  <c r="AB3269" i="1"/>
  <c r="AB3270" i="1"/>
  <c r="AB3271" i="1"/>
  <c r="AB3275" i="1"/>
  <c r="AB3276" i="1"/>
  <c r="AB3277" i="1"/>
  <c r="AB3279" i="1"/>
  <c r="AB3280" i="1"/>
  <c r="AB3281" i="1"/>
  <c r="AB3282" i="1"/>
  <c r="AB3283" i="1"/>
  <c r="AB3285" i="1"/>
  <c r="AB3286" i="1"/>
  <c r="AB3287" i="1"/>
  <c r="AB3289" i="1"/>
  <c r="AB3290" i="1"/>
  <c r="AB3292" i="1"/>
  <c r="AB3293" i="1"/>
  <c r="AB3294" i="1"/>
  <c r="AB3295" i="1"/>
  <c r="AB3296" i="1"/>
  <c r="AB3299" i="1"/>
  <c r="AB3300" i="1"/>
  <c r="Z3297" i="1"/>
  <c r="AB3297" i="1"/>
  <c r="AB3301" i="1"/>
  <c r="AB3302" i="1"/>
  <c r="AB3304" i="1"/>
  <c r="AB3306" i="1"/>
  <c r="AB3309" i="1"/>
  <c r="AB3311" i="1"/>
  <c r="AB3312" i="1"/>
  <c r="AB3313" i="1"/>
  <c r="AB3314" i="1"/>
  <c r="AB3316" i="1"/>
  <c r="AB3317" i="1"/>
  <c r="AB3321" i="1"/>
  <c r="AB3320" i="1"/>
  <c r="AB3322" i="1"/>
  <c r="AB3323" i="1"/>
  <c r="AB3324" i="1"/>
  <c r="AB3325" i="1"/>
  <c r="AB3327" i="1"/>
  <c r="AB3326" i="1"/>
  <c r="AB3329" i="1"/>
  <c r="AB3328" i="1"/>
  <c r="AB3330" i="1"/>
  <c r="AB3494" i="1"/>
  <c r="AB3495" i="1"/>
  <c r="AB3331" i="1"/>
  <c r="AB3333" i="1"/>
  <c r="AB3334" i="1"/>
  <c r="AB3332" i="1"/>
  <c r="AB3336" i="1"/>
  <c r="AB3337" i="1"/>
  <c r="AB3338" i="1"/>
  <c r="AB3340" i="1"/>
  <c r="AB3341" i="1"/>
  <c r="AB3343" i="1"/>
  <c r="AB3059" i="1"/>
  <c r="AB3344" i="1"/>
  <c r="AB3345" i="1"/>
  <c r="AB3347" i="1"/>
  <c r="AB3348" i="1"/>
  <c r="AB3349" i="1"/>
  <c r="AB3350" i="1"/>
  <c r="AB3352" i="1"/>
  <c r="AB3355" i="1"/>
  <c r="AB3356" i="1"/>
  <c r="AB3358" i="1"/>
  <c r="AB3360" i="1"/>
  <c r="AB3361" i="1"/>
  <c r="AB3362" i="1"/>
  <c r="AB3365" i="1"/>
  <c r="AB3367" i="1"/>
  <c r="AB3366" i="1"/>
  <c r="AB3368" i="1"/>
  <c r="AB3369" i="1"/>
  <c r="AB3370" i="1"/>
  <c r="AB3372" i="1"/>
  <c r="AB3373" i="1"/>
  <c r="AB3374" i="1"/>
  <c r="AB3375" i="1"/>
  <c r="AB3377" i="1"/>
  <c r="AB3378" i="1"/>
  <c r="AB3380" i="1"/>
  <c r="AB3379" i="1"/>
  <c r="AB3507" i="1"/>
  <c r="AB3381" i="1"/>
  <c r="AB3382" i="1"/>
  <c r="AB3383" i="1"/>
  <c r="AB3384" i="1"/>
  <c r="AB16" i="1"/>
  <c r="AB3385" i="1"/>
  <c r="AB3386" i="1"/>
  <c r="AB3387" i="1"/>
  <c r="AB3389" i="1"/>
  <c r="AB3391" i="1"/>
  <c r="AB3395" i="1"/>
  <c r="AB3394" i="1"/>
  <c r="AB3396" i="1"/>
  <c r="AB3398" i="1"/>
  <c r="AB3399" i="1"/>
  <c r="AB3401" i="1"/>
  <c r="AB3403" i="1"/>
  <c r="AB3402" i="1"/>
  <c r="AB3404" i="1"/>
  <c r="AB3405" i="1"/>
  <c r="AB3406" i="1"/>
  <c r="AB3407" i="1"/>
  <c r="AB3408" i="1"/>
  <c r="AB3409" i="1"/>
  <c r="AB3410" i="1"/>
  <c r="AB3411" i="1"/>
  <c r="AB3413" i="1"/>
  <c r="AB3414" i="1"/>
  <c r="AB3510" i="1"/>
  <c r="AB3418" i="1"/>
  <c r="AB3417" i="1"/>
  <c r="AB3415" i="1"/>
  <c r="AB3416" i="1"/>
  <c r="AB3419" i="1"/>
  <c r="AB3422" i="1"/>
  <c r="AB3423" i="1"/>
  <c r="AB3425" i="1"/>
  <c r="AB3428" i="1"/>
  <c r="AB3432" i="1"/>
  <c r="AB3433" i="1"/>
  <c r="AB3431" i="1"/>
  <c r="AB3435" i="1"/>
  <c r="AB3437" i="1"/>
  <c r="AB3436" i="1"/>
  <c r="AB3439" i="1"/>
  <c r="AB3443" i="1"/>
  <c r="AB3442" i="1"/>
  <c r="AB3444" i="1"/>
  <c r="AB3445" i="1"/>
  <c r="AB3513" i="1"/>
  <c r="AB3446" i="1"/>
  <c r="AB3448" i="1"/>
  <c r="AB3452" i="1"/>
  <c r="AB3451" i="1"/>
  <c r="AB3453" i="1"/>
  <c r="AB3455" i="1"/>
  <c r="AB3459" i="1"/>
  <c r="AB3460" i="1"/>
  <c r="AB3461" i="1"/>
  <c r="AB3462" i="1"/>
  <c r="AB3464" i="1"/>
  <c r="AB3465" i="1"/>
  <c r="AB3466" i="1"/>
  <c r="AB3468" i="1"/>
  <c r="AB3469" i="1"/>
  <c r="AB3470" i="1"/>
  <c r="AB3471" i="1"/>
  <c r="AB3472" i="1"/>
  <c r="AB3474" i="1"/>
  <c r="AB3475" i="1"/>
  <c r="AB3476" i="1"/>
  <c r="S3477" i="1"/>
  <c r="AB3477" i="1"/>
  <c r="S3478" i="1"/>
  <c r="AB3478" i="1"/>
  <c r="AB3479" i="1"/>
  <c r="AB3480" i="1"/>
  <c r="AB3482" i="1"/>
  <c r="AB3483" i="1"/>
  <c r="AB3484" i="1"/>
  <c r="AB3486" i="1"/>
  <c r="AB3487" i="1"/>
  <c r="AB3489" i="1"/>
  <c r="AB3490" i="1"/>
  <c r="AB3491" i="1"/>
  <c r="AB3492" i="1"/>
  <c r="AB3493" i="1"/>
  <c r="AB3497" i="1"/>
  <c r="AB3496" i="1"/>
  <c r="AB3498" i="1"/>
  <c r="AB3499" i="1"/>
  <c r="AB3500" i="1"/>
  <c r="AB3502" i="1"/>
  <c r="AB3503" i="1"/>
  <c r="AB3504" i="1"/>
  <c r="AB3505" i="1"/>
  <c r="AB3508" i="1"/>
  <c r="AB3509" i="1"/>
  <c r="AB3511" i="1"/>
  <c r="AB3512" i="1"/>
  <c r="AB3514" i="1"/>
  <c r="AB3515" i="1"/>
  <c r="AB3516" i="1"/>
  <c r="AB3521" i="1"/>
  <c r="AB3520" i="1"/>
  <c r="AB3522" i="1"/>
  <c r="AB3523" i="1"/>
  <c r="AB3524" i="1"/>
  <c r="AB3526" i="1"/>
  <c r="AB3528" i="1"/>
  <c r="AB3529" i="1"/>
  <c r="AB3531" i="1"/>
  <c r="AB3530" i="1"/>
  <c r="AB3533" i="1"/>
  <c r="AB3535" i="1"/>
  <c r="AB3536" i="1"/>
  <c r="AB3537" i="1"/>
  <c r="AB3538" i="1"/>
  <c r="AB3539" i="1"/>
  <c r="AB3540" i="1"/>
  <c r="AB3807" i="1"/>
  <c r="AB3546" i="1"/>
  <c r="AB3547" i="1"/>
  <c r="AB3548" i="1"/>
  <c r="AB3549" i="1"/>
  <c r="AB3550" i="1"/>
  <c r="O3552" i="1"/>
  <c r="AB3552" i="1"/>
  <c r="AB3554" i="1"/>
  <c r="AB3553" i="1"/>
  <c r="AB3559" i="1"/>
  <c r="AB3555" i="1"/>
  <c r="AB3556" i="1"/>
  <c r="AB3558" i="1"/>
  <c r="AB3563" i="1"/>
  <c r="AB3564" i="1"/>
  <c r="AB3565" i="1"/>
  <c r="AB3568" i="1"/>
  <c r="AB3567" i="1"/>
  <c r="AB3566" i="1"/>
  <c r="AB3569" i="1"/>
  <c r="AB3570" i="1"/>
  <c r="AB3577" i="1"/>
  <c r="AB3575" i="1"/>
  <c r="AB3576" i="1"/>
  <c r="AB3581" i="1"/>
  <c r="AB3579" i="1"/>
  <c r="AB3578" i="1"/>
  <c r="AB3582" i="1"/>
  <c r="AB3583" i="1"/>
  <c r="AB3584" i="1"/>
  <c r="AB3585" i="1"/>
  <c r="AB3587" i="1"/>
  <c r="AB3586" i="1"/>
  <c r="AB3592" i="1"/>
  <c r="AB3593" i="1"/>
  <c r="AB3594" i="1"/>
  <c r="AB3597" i="1"/>
  <c r="AB3596" i="1"/>
  <c r="AB3595" i="1"/>
  <c r="AB3598" i="1"/>
  <c r="AB3599" i="1"/>
  <c r="AB3601" i="1"/>
  <c r="AB3602" i="1"/>
  <c r="AB3603" i="1"/>
  <c r="AB3605" i="1"/>
  <c r="AB3604" i="1"/>
  <c r="AB3606" i="1"/>
  <c r="AB3607" i="1"/>
  <c r="AB3608" i="1"/>
  <c r="AB3609" i="1"/>
  <c r="AB3610" i="1"/>
  <c r="AB3611" i="1"/>
  <c r="AB3614" i="1"/>
  <c r="AB3619" i="1"/>
  <c r="AB3616" i="1"/>
  <c r="AB3617" i="1"/>
  <c r="AB3620" i="1"/>
  <c r="AB3621" i="1"/>
  <c r="AB3622" i="1"/>
  <c r="AB3624" i="1"/>
  <c r="AB3625" i="1"/>
  <c r="AB3626" i="1"/>
  <c r="AB3627" i="1"/>
  <c r="AB3628" i="1"/>
  <c r="AB3629" i="1"/>
  <c r="AB3631" i="1"/>
  <c r="AB3630" i="1"/>
  <c r="AB3632" i="1"/>
  <c r="AB3635" i="1"/>
  <c r="AB3636" i="1"/>
  <c r="AB3638" i="1"/>
  <c r="AB3639" i="1"/>
  <c r="AB3640" i="1"/>
  <c r="AB3642" i="1"/>
  <c r="AB3644" i="1"/>
  <c r="AB3645" i="1"/>
  <c r="AB3646" i="1"/>
  <c r="AB3647" i="1"/>
  <c r="AB3648" i="1"/>
  <c r="AB3649" i="1"/>
  <c r="AB3650" i="1"/>
  <c r="AB3652" i="1"/>
  <c r="AB3651" i="1"/>
  <c r="AB3654" i="1"/>
  <c r="AB3655" i="1"/>
  <c r="AB3656" i="1"/>
  <c r="AB3657" i="1"/>
  <c r="AB3659" i="1"/>
  <c r="AB3658" i="1"/>
  <c r="AB3660" i="1"/>
  <c r="AB3661" i="1"/>
  <c r="AB3662" i="1"/>
  <c r="AB3663" i="1"/>
  <c r="AB3664" i="1"/>
  <c r="AB3665" i="1"/>
  <c r="AB3666" i="1"/>
  <c r="AB3667" i="1"/>
  <c r="AB3668" i="1"/>
  <c r="AB3669" i="1"/>
  <c r="AB3670" i="1"/>
  <c r="AB3672" i="1"/>
  <c r="AB3673" i="1"/>
  <c r="AB3674" i="1"/>
  <c r="AB3677" i="1"/>
  <c r="AB3676" i="1"/>
  <c r="AB3678" i="1"/>
  <c r="AB3679" i="1"/>
  <c r="AB3680" i="1"/>
  <c r="AB3681" i="1"/>
  <c r="AB3682" i="1"/>
  <c r="AB3683" i="1"/>
  <c r="AB3685" i="1"/>
  <c r="AB3686" i="1"/>
  <c r="AB3687" i="1"/>
  <c r="AB3688" i="1"/>
  <c r="AB3690" i="1"/>
  <c r="AB3691" i="1"/>
  <c r="AB3689" i="1"/>
  <c r="AB3692" i="1"/>
  <c r="AB3693" i="1"/>
  <c r="AB3695" i="1"/>
  <c r="AB3696" i="1"/>
  <c r="AB3698" i="1"/>
  <c r="AB3699" i="1"/>
  <c r="AB3701" i="1"/>
  <c r="AB3702" i="1"/>
  <c r="AB3703" i="1"/>
  <c r="AB3704" i="1"/>
  <c r="AB3705" i="1"/>
  <c r="AB3706" i="1"/>
  <c r="AB3707" i="1"/>
  <c r="AB3710" i="1"/>
  <c r="AB3709" i="1"/>
  <c r="AB3712" i="1"/>
  <c r="AB3713" i="1"/>
  <c r="AB3714" i="1"/>
  <c r="AB3715" i="1"/>
  <c r="AB3716" i="1"/>
  <c r="AB3717" i="1"/>
  <c r="AB3719" i="1"/>
  <c r="AB3720" i="1"/>
  <c r="AB3721" i="1"/>
  <c r="AB3723" i="1"/>
  <c r="AB3724" i="1"/>
  <c r="AB3725" i="1"/>
  <c r="AB3727" i="1"/>
  <c r="AB3726" i="1"/>
  <c r="AB3728" i="1"/>
  <c r="AB3729" i="1"/>
  <c r="AB3731" i="1"/>
  <c r="AB3732" i="1"/>
  <c r="AB3734" i="1"/>
  <c r="AB3733" i="1"/>
  <c r="AB3738" i="1"/>
  <c r="AB3739" i="1"/>
  <c r="AB3740" i="1"/>
  <c r="AB3741" i="1"/>
  <c r="AB3742" i="1"/>
  <c r="AB3743" i="1"/>
  <c r="AB3744" i="1"/>
  <c r="AB3745" i="1"/>
  <c r="AB3748" i="1"/>
  <c r="AB3749" i="1"/>
  <c r="AB3750" i="1"/>
  <c r="AB3752" i="1"/>
  <c r="AB3753" i="1"/>
  <c r="AB3754" i="1"/>
  <c r="AB3757" i="1"/>
  <c r="AB3758" i="1"/>
  <c r="AB3759" i="1"/>
  <c r="AB3760" i="1"/>
  <c r="AB3761" i="1"/>
  <c r="AB3762" i="1"/>
  <c r="AB3764" i="1"/>
  <c r="AB3767" i="1"/>
  <c r="AB3766" i="1"/>
  <c r="AB3864" i="1"/>
  <c r="AB3770" i="1"/>
  <c r="AB3769" i="1"/>
  <c r="AB3772" i="1"/>
  <c r="AB3773" i="1"/>
  <c r="AB3775" i="1"/>
  <c r="AB3774" i="1"/>
  <c r="AB3776" i="1"/>
  <c r="AB3778" i="1"/>
  <c r="AB3780" i="1"/>
  <c r="AB3781" i="1"/>
  <c r="AB3782" i="1"/>
  <c r="AB3784" i="1"/>
  <c r="AB3783" i="1"/>
  <c r="AB3785" i="1"/>
  <c r="AB3787" i="1"/>
  <c r="AB3786" i="1"/>
  <c r="AB3882" i="1"/>
  <c r="AB3788" i="1"/>
  <c r="AB3790" i="1"/>
  <c r="AB3791" i="1"/>
  <c r="AB3792" i="1"/>
  <c r="O3794" i="1"/>
  <c r="AB3794" i="1"/>
  <c r="AB3795" i="1"/>
  <c r="AB3796" i="1"/>
  <c r="AB3797" i="1"/>
  <c r="AB3798" i="1"/>
  <c r="AB3799" i="1"/>
  <c r="AB3886" i="1"/>
  <c r="AB3801" i="1"/>
  <c r="AB3803" i="1"/>
  <c r="AB3804" i="1"/>
  <c r="AB3805" i="1"/>
  <c r="AB3806" i="1"/>
  <c r="AB3808" i="1"/>
  <c r="AB3809" i="1"/>
  <c r="AB3811" i="1"/>
  <c r="AB3812" i="1"/>
  <c r="AB3810" i="1"/>
  <c r="AB3813" i="1"/>
  <c r="AB3815" i="1"/>
  <c r="AB3814" i="1"/>
  <c r="AB3816" i="1"/>
  <c r="AB3817" i="1"/>
  <c r="AB3819" i="1"/>
  <c r="AB3820" i="1"/>
  <c r="AB3821" i="1"/>
  <c r="AB3822" i="1"/>
  <c r="AB3823" i="1"/>
  <c r="AB3825" i="1"/>
  <c r="AB3826" i="1"/>
  <c r="AB3827" i="1"/>
  <c r="AB3828" i="1"/>
  <c r="AB3829" i="1"/>
  <c r="AB3830" i="1"/>
  <c r="AB3831" i="1"/>
  <c r="AB3832" i="1"/>
  <c r="AB3833" i="1"/>
  <c r="AB3835" i="1"/>
  <c r="AB3836" i="1"/>
  <c r="AB3837" i="1"/>
  <c r="AB3838" i="1"/>
  <c r="AB3840" i="1"/>
  <c r="AB3841" i="1"/>
  <c r="AB3843" i="1"/>
  <c r="AB3842" i="1"/>
  <c r="AB3844" i="1"/>
  <c r="AB3846" i="1"/>
  <c r="AB3845" i="1"/>
  <c r="AB3847" i="1"/>
  <c r="AB3849" i="1"/>
  <c r="AB3848" i="1"/>
  <c r="AB3850" i="1"/>
  <c r="AB3851" i="1"/>
  <c r="AB3852" i="1"/>
  <c r="AB3853" i="1"/>
  <c r="AB3854" i="1"/>
  <c r="AB3855" i="1"/>
  <c r="AB3856" i="1"/>
  <c r="AB3857" i="1"/>
  <c r="AB3858" i="1"/>
  <c r="AB3860" i="1"/>
  <c r="AB3859" i="1"/>
  <c r="AB3861" i="1"/>
  <c r="AB3862" i="1"/>
  <c r="AB3863" i="1"/>
  <c r="AB3865" i="1"/>
  <c r="AB3866" i="1"/>
  <c r="AB3867" i="1"/>
  <c r="AB3868" i="1"/>
  <c r="AB3869" i="1"/>
  <c r="AB3870" i="1"/>
  <c r="AB3871" i="1"/>
  <c r="AB3874" i="1"/>
  <c r="AB3873" i="1"/>
  <c r="AB3872" i="1"/>
  <c r="AB3875" i="1"/>
  <c r="AB3876" i="1"/>
  <c r="AB3878" i="1"/>
  <c r="AB3879" i="1"/>
  <c r="AB3880" i="1"/>
  <c r="AB3881" i="1"/>
  <c r="AB3883" i="1"/>
  <c r="AB3884" i="1"/>
  <c r="AB3885" i="1"/>
  <c r="AB3887" i="1"/>
  <c r="AB3890" i="1"/>
  <c r="AB3892" i="1"/>
  <c r="AB3893" i="1"/>
  <c r="AB3894" i="1"/>
  <c r="AB3896" i="1"/>
  <c r="AB3895" i="1"/>
  <c r="AB2485" i="1"/>
  <c r="AB3898" i="1"/>
  <c r="AB3899" i="1"/>
  <c r="AB3900" i="1"/>
  <c r="AB3901" i="1"/>
  <c r="AB3902" i="1"/>
  <c r="AB3903" i="1"/>
  <c r="AB3905" i="1"/>
  <c r="AB3906" i="1"/>
  <c r="AB3907" i="1"/>
  <c r="AB3908" i="1"/>
  <c r="AB3909" i="1"/>
  <c r="AB3913" i="1"/>
  <c r="AB3916" i="1"/>
  <c r="AB3915" i="1"/>
  <c r="AB3917" i="1"/>
  <c r="AB3914" i="1"/>
  <c r="AB3919" i="1"/>
  <c r="AB3922" i="1"/>
  <c r="AB3925" i="1"/>
  <c r="AB3921" i="1"/>
  <c r="AB3924" i="1"/>
  <c r="AB3927" i="1"/>
  <c r="AB3931" i="1"/>
  <c r="AB3926" i="1"/>
  <c r="AB3928" i="1"/>
  <c r="AB3934" i="1"/>
  <c r="AB3936" i="1"/>
  <c r="AB3935" i="1"/>
  <c r="AB3938" i="1"/>
  <c r="AB3939" i="1"/>
  <c r="AB3940" i="1"/>
  <c r="AB3941" i="1"/>
  <c r="AB3942" i="1"/>
  <c r="AB3943" i="1"/>
  <c r="AB3945" i="1"/>
  <c r="AB3946" i="1"/>
  <c r="AB3947" i="1"/>
  <c r="AB3949" i="1"/>
  <c r="AB3948" i="1"/>
  <c r="AB3950" i="1"/>
  <c r="AB3951" i="1"/>
  <c r="AB3953" i="1"/>
  <c r="AB3952" i="1"/>
  <c r="AB3954" i="1"/>
  <c r="AB3956" i="1"/>
  <c r="AB3958" i="1"/>
  <c r="AB3959" i="1"/>
  <c r="AB3960" i="1"/>
  <c r="AB3962" i="1"/>
  <c r="AB3963" i="1"/>
  <c r="AB3971" i="1"/>
  <c r="AB3969" i="1"/>
  <c r="AB3967" i="1"/>
  <c r="AB3968" i="1"/>
  <c r="AB3973" i="1"/>
  <c r="AB3974" i="1"/>
  <c r="AB3976" i="1"/>
  <c r="AB3975" i="1"/>
  <c r="AB3977" i="1"/>
  <c r="AB3982" i="1"/>
  <c r="AB3983" i="1"/>
  <c r="AB3984" i="1"/>
  <c r="AB3986" i="1"/>
  <c r="AB3985" i="1"/>
  <c r="AB3987" i="1"/>
  <c r="AB3991" i="1"/>
  <c r="AB3989" i="1"/>
  <c r="AB3992" i="1"/>
  <c r="AB3993" i="1"/>
  <c r="AB3995" i="1"/>
  <c r="AB3996" i="1"/>
  <c r="AB4000" i="1"/>
  <c r="AB4001" i="1"/>
  <c r="AB4002" i="1"/>
  <c r="AB4003" i="1"/>
  <c r="AB4005" i="1"/>
  <c r="AB4004" i="1"/>
  <c r="AB4007" i="1"/>
  <c r="AB3920" i="1"/>
  <c r="AB4008" i="1"/>
  <c r="AB4009" i="1"/>
  <c r="AB4010" i="1"/>
  <c r="AB4011" i="1"/>
  <c r="AB4012" i="1"/>
  <c r="AB4013" i="1"/>
  <c r="AB4014" i="1"/>
  <c r="AB4016" i="1"/>
  <c r="AB4017" i="1"/>
  <c r="AB4018" i="1"/>
  <c r="AB4021" i="1"/>
  <c r="AB4019" i="1"/>
  <c r="AB4020" i="1"/>
  <c r="AB4024" i="1"/>
  <c r="AB4026" i="1"/>
  <c r="AB4027" i="1"/>
  <c r="AB4028" i="1"/>
  <c r="AB4029" i="1"/>
  <c r="AB4030" i="1"/>
  <c r="AB4031" i="1"/>
  <c r="AB4032" i="1"/>
  <c r="AB4033" i="1"/>
  <c r="AB4034" i="1"/>
  <c r="AB4035" i="1"/>
  <c r="AB4036" i="1"/>
  <c r="AB4037" i="1"/>
  <c r="AB4040" i="1"/>
  <c r="AB4038" i="1"/>
  <c r="AB4039" i="1"/>
  <c r="AB4041" i="1"/>
  <c r="AB4043" i="1"/>
  <c r="AB4044" i="1"/>
  <c r="AB4045" i="1"/>
  <c r="AB4046" i="1"/>
  <c r="AB4048" i="1"/>
  <c r="AB4049" i="1"/>
  <c r="AB4050" i="1"/>
  <c r="AB4053" i="1"/>
  <c r="AB4055" i="1"/>
  <c r="AB4054" i="1"/>
  <c r="AB4056" i="1"/>
  <c r="AB4057" i="1"/>
  <c r="AB4058" i="1"/>
  <c r="AB3800" i="1"/>
  <c r="AB4060" i="1"/>
  <c r="AB4061" i="1"/>
  <c r="AB4062" i="1"/>
  <c r="AB4063" i="1"/>
  <c r="AB4064" i="1"/>
  <c r="AB4065" i="1"/>
  <c r="AB4066" i="1"/>
  <c r="AB4068" i="1"/>
  <c r="AB4069" i="1"/>
  <c r="AB4070" i="1"/>
  <c r="AB4071" i="1"/>
  <c r="AB4072" i="1"/>
  <c r="AB4074" i="1"/>
  <c r="AB4075" i="1"/>
  <c r="AB4077" i="1"/>
  <c r="AB4076" i="1"/>
  <c r="AB4078" i="1"/>
  <c r="AB4079" i="1"/>
  <c r="AB4084" i="1"/>
  <c r="AB4085" i="1"/>
  <c r="AB4086" i="1"/>
  <c r="AB4088" i="1"/>
  <c r="AB4087" i="1"/>
  <c r="AB4089" i="1"/>
  <c r="AB4091" i="1"/>
  <c r="AB4092" i="1"/>
  <c r="AB4093" i="1"/>
  <c r="AB4094" i="1"/>
  <c r="AB4095" i="1"/>
  <c r="AB4096" i="1"/>
  <c r="AB4097" i="1"/>
  <c r="AB4098" i="1"/>
  <c r="AB4100" i="1"/>
  <c r="AB4101" i="1"/>
  <c r="AB4104" i="1"/>
  <c r="AB4105" i="1"/>
  <c r="W4106" i="1"/>
  <c r="AB4106" i="1"/>
  <c r="AB4109" i="1"/>
  <c r="AB4110" i="1"/>
  <c r="AB4113" i="1"/>
  <c r="AB4112" i="1"/>
  <c r="AB4114" i="1"/>
  <c r="AB4115" i="1"/>
  <c r="AB4116" i="1"/>
  <c r="AB4117" i="1"/>
  <c r="AB4118" i="1"/>
  <c r="AB4120" i="1"/>
  <c r="AB4123" i="1"/>
  <c r="O4124" i="1"/>
  <c r="AB4124" i="1"/>
  <c r="AB4122" i="1"/>
  <c r="AB4126" i="1"/>
  <c r="AB4127" i="1"/>
  <c r="AB4128" i="1"/>
  <c r="AB4129" i="1"/>
  <c r="AB4130" i="1"/>
  <c r="AB4131" i="1"/>
  <c r="AB4132" i="1"/>
  <c r="AB4133" i="1"/>
  <c r="AB4135" i="1"/>
  <c r="AB4136" i="1"/>
  <c r="AB4140" i="1"/>
  <c r="AB4138" i="1"/>
  <c r="AB4139" i="1"/>
  <c r="AB4141" i="1"/>
  <c r="AB4143" i="1"/>
  <c r="AB4144" i="1"/>
  <c r="AB4145" i="1"/>
  <c r="AB4146" i="1"/>
  <c r="AB4150" i="1"/>
  <c r="AB4149" i="1"/>
  <c r="AB4151" i="1"/>
  <c r="AB4152" i="1"/>
  <c r="AB4154" i="1"/>
  <c r="AB4156" i="1"/>
  <c r="AB4157" i="1"/>
  <c r="AB4158" i="1"/>
  <c r="AB4162" i="1"/>
  <c r="AB4159" i="1"/>
  <c r="AB4166" i="1"/>
  <c r="AB4167" i="1"/>
  <c r="AB4168" i="1"/>
  <c r="AB4169" i="1"/>
  <c r="AB4170" i="1"/>
  <c r="AB4171" i="1"/>
  <c r="AB4173" i="1"/>
  <c r="AB4175" i="1"/>
  <c r="AB4176" i="1"/>
  <c r="AB4177" i="1"/>
  <c r="AB4178" i="1"/>
  <c r="AB4179" i="1"/>
  <c r="AB4181" i="1"/>
  <c r="AB4180" i="1"/>
  <c r="AB4182" i="1"/>
  <c r="AB4183" i="1"/>
  <c r="AB4184" i="1"/>
  <c r="AB4185" i="1"/>
  <c r="AB4187" i="1"/>
  <c r="AB4191" i="1"/>
  <c r="AB4190" i="1"/>
  <c r="AB4189" i="1"/>
  <c r="AB4188" i="1"/>
  <c r="AB4193" i="1"/>
  <c r="AB4194" i="1"/>
  <c r="AB4195" i="1"/>
  <c r="AB4196" i="1"/>
  <c r="AB4197" i="1"/>
  <c r="AB4198" i="1"/>
  <c r="AB4199" i="1"/>
  <c r="AB4200" i="1"/>
  <c r="AB4201" i="1"/>
  <c r="AB4202" i="1"/>
  <c r="AB4203" i="1"/>
  <c r="AB4204" i="1"/>
  <c r="AB4205" i="1"/>
  <c r="AB4206" i="1"/>
  <c r="AB4207" i="1"/>
  <c r="AB4208" i="1"/>
  <c r="AB4209" i="1"/>
  <c r="AB4212" i="1"/>
  <c r="AB4210" i="1"/>
  <c r="AB4211" i="1"/>
  <c r="AB4213" i="1"/>
  <c r="AB4214" i="1"/>
  <c r="AB4216" i="1"/>
  <c r="AB4217" i="1"/>
  <c r="AB4218" i="1"/>
  <c r="AB4219" i="1"/>
  <c r="AB4220" i="1"/>
  <c r="AB4221" i="1"/>
  <c r="AB4222" i="1"/>
  <c r="AB4223" i="1"/>
  <c r="AB4225" i="1"/>
  <c r="AB4224" i="1"/>
  <c r="AB4226" i="1"/>
  <c r="AB4227" i="1"/>
  <c r="AB4228" i="1"/>
  <c r="AB4230" i="1"/>
  <c r="AB4231" i="1"/>
  <c r="AB4232" i="1"/>
  <c r="AB4233" i="1"/>
  <c r="AB4234" i="1"/>
  <c r="AB4235" i="1"/>
  <c r="AB4236" i="1"/>
  <c r="AB4237" i="1"/>
  <c r="AB4238" i="1"/>
  <c r="AB4239" i="1"/>
  <c r="AB4240" i="1"/>
  <c r="AB4241" i="1"/>
  <c r="AB4242" i="1"/>
  <c r="AB4243" i="1"/>
  <c r="AB4244" i="1"/>
  <c r="AB4245" i="1"/>
  <c r="AB4247" i="1"/>
  <c r="AB4246" i="1"/>
  <c r="AB4248" i="1"/>
  <c r="AB4249" i="1"/>
  <c r="AB4250" i="1"/>
  <c r="AB4251" i="1"/>
  <c r="AB4252" i="1"/>
  <c r="AB4253" i="1"/>
  <c r="AB4254" i="1"/>
  <c r="AB4255" i="1"/>
  <c r="AB4256" i="1"/>
  <c r="AB4257" i="1"/>
  <c r="AB4258" i="1"/>
  <c r="AB4259" i="1"/>
  <c r="AB4260" i="1"/>
  <c r="AB4261" i="1"/>
  <c r="AB4262" i="1"/>
  <c r="AB4263" i="1"/>
  <c r="AB4264" i="1"/>
  <c r="AB4266" i="1"/>
  <c r="AB4265" i="1"/>
  <c r="AB4267" i="1"/>
  <c r="AB4268" i="1"/>
  <c r="AB4269" i="1"/>
  <c r="AB4270" i="1"/>
  <c r="AB4271" i="1"/>
  <c r="AB4273" i="1"/>
  <c r="AB4272" i="1"/>
  <c r="AB4274" i="1"/>
  <c r="AB4275" i="1"/>
  <c r="AB4276" i="1"/>
  <c r="AB4277" i="1"/>
  <c r="AB4278" i="1"/>
  <c r="AB4280" i="1"/>
  <c r="AB4281" i="1"/>
  <c r="AB4282" i="1"/>
  <c r="AB4283" i="1"/>
  <c r="AB4286" i="1"/>
  <c r="AB4287" i="1"/>
  <c r="AB4288" i="1"/>
  <c r="AB4290" i="1"/>
  <c r="AB4289" i="1"/>
  <c r="AB4292" i="1"/>
  <c r="AB4291" i="1"/>
  <c r="AB4293" i="1"/>
  <c r="AB4294" i="1"/>
  <c r="AB4295" i="1"/>
  <c r="AB4298" i="1"/>
  <c r="AB4297" i="1"/>
  <c r="AB4299" i="1"/>
  <c r="AB4303" i="1"/>
  <c r="AB4305" i="1"/>
  <c r="AB4304" i="1"/>
  <c r="AB4306" i="1"/>
  <c r="AB4309" i="1"/>
  <c r="AB4313" i="1"/>
  <c r="AB4312" i="1"/>
  <c r="AB4561" i="1"/>
  <c r="AB4316" i="1"/>
  <c r="AB4315" i="1"/>
  <c r="AB4319" i="1"/>
  <c r="AB4320" i="1"/>
  <c r="AB4321" i="1"/>
  <c r="AB4322" i="1"/>
  <c r="AB4324" i="1"/>
  <c r="AB4326" i="1"/>
  <c r="AB4327" i="1"/>
  <c r="AB4328" i="1"/>
  <c r="AB4330" i="1"/>
  <c r="AB4329" i="1"/>
  <c r="AB4331" i="1"/>
  <c r="AB4564" i="1"/>
  <c r="AB4332" i="1"/>
  <c r="AB4335" i="1"/>
  <c r="AB4336" i="1"/>
  <c r="AB4337" i="1"/>
  <c r="AB4338" i="1"/>
  <c r="AB4339" i="1"/>
  <c r="AB4340" i="1"/>
  <c r="AB4341" i="1"/>
  <c r="AB4343" i="1"/>
  <c r="AB4344" i="1"/>
  <c r="AB4345" i="1"/>
  <c r="AB4346" i="1"/>
  <c r="AB4347" i="1"/>
  <c r="AB4350" i="1"/>
  <c r="AB4351" i="1"/>
  <c r="AB4352" i="1"/>
  <c r="AB4353" i="1"/>
  <c r="AB27" i="1"/>
  <c r="AB4355" i="1"/>
  <c r="AB4357" i="1"/>
  <c r="AB4354" i="1"/>
  <c r="AB4358" i="1"/>
  <c r="AB4359" i="1"/>
  <c r="AB4361" i="1"/>
  <c r="AB4362" i="1"/>
  <c r="AB4365" i="1"/>
  <c r="AB4367" i="1"/>
  <c r="AB4366" i="1"/>
  <c r="AB4574" i="1"/>
  <c r="AB4372" i="1"/>
  <c r="AB4373" i="1"/>
  <c r="AB4371" i="1"/>
  <c r="AB4368" i="1"/>
  <c r="AB4369" i="1"/>
  <c r="AB4374" i="1"/>
  <c r="AB4375" i="1"/>
  <c r="AB4377" i="1"/>
  <c r="AB4376" i="1"/>
  <c r="AB4382" i="1"/>
  <c r="AB4378" i="1"/>
  <c r="AB4379" i="1"/>
  <c r="AB4383" i="1"/>
  <c r="AB4384" i="1"/>
  <c r="AB4385" i="1"/>
  <c r="AB4386" i="1"/>
  <c r="AB4387" i="1"/>
  <c r="AB4575" i="1"/>
  <c r="AB4390" i="1"/>
  <c r="AB4391" i="1"/>
  <c r="AB4392" i="1"/>
  <c r="AB4395" i="1"/>
  <c r="AB4396" i="1"/>
  <c r="AB4398" i="1"/>
  <c r="AB4400" i="1"/>
  <c r="AB4401" i="1"/>
  <c r="AB4405" i="1"/>
  <c r="AB4407" i="1"/>
  <c r="AB4408" i="1"/>
  <c r="AB4410" i="1"/>
  <c r="AB4412" i="1"/>
  <c r="AB4413" i="1"/>
  <c r="AB4414" i="1"/>
  <c r="AB4417" i="1"/>
  <c r="AB4418" i="1"/>
  <c r="AB4419" i="1"/>
  <c r="AB4420" i="1"/>
  <c r="AB4421" i="1"/>
  <c r="AB4422" i="1"/>
  <c r="AB4423" i="1"/>
  <c r="AB4424" i="1"/>
  <c r="AB4425" i="1"/>
  <c r="AB4427" i="1"/>
  <c r="AB4428" i="1"/>
  <c r="AB4432" i="1"/>
  <c r="AB4435" i="1"/>
  <c r="AB4437" i="1"/>
  <c r="AB4438" i="1"/>
  <c r="AB4439" i="1"/>
  <c r="AB4440" i="1"/>
  <c r="AB4441" i="1"/>
  <c r="AB4445" i="1"/>
  <c r="AB4446" i="1"/>
  <c r="AB4449" i="1"/>
  <c r="AB4448" i="1"/>
  <c r="AB4452" i="1"/>
  <c r="AB4453" i="1"/>
  <c r="AB4455" i="1"/>
  <c r="AB4457" i="1"/>
  <c r="AB4456" i="1"/>
  <c r="AB4460" i="1"/>
  <c r="AB4458" i="1"/>
  <c r="AB4459" i="1"/>
  <c r="AB4462" i="1"/>
  <c r="AB4464" i="1"/>
  <c r="AB4467" i="1"/>
  <c r="AB4468" i="1"/>
  <c r="AB4469" i="1"/>
  <c r="AB4472" i="1"/>
  <c r="AB4474" i="1"/>
  <c r="AB4475" i="1"/>
  <c r="AB4477" i="1"/>
  <c r="AB4476" i="1"/>
  <c r="AB4481" i="1"/>
  <c r="AB4483" i="1"/>
  <c r="AB4482" i="1"/>
  <c r="AB4486" i="1"/>
  <c r="AB4485" i="1"/>
  <c r="AB4489" i="1"/>
  <c r="AB4490" i="1"/>
  <c r="AB4491" i="1"/>
  <c r="AB4493" i="1"/>
  <c r="AB4494" i="1"/>
  <c r="AB4497" i="1"/>
  <c r="AB4496" i="1"/>
  <c r="AB4495" i="1"/>
  <c r="AB4498" i="1"/>
  <c r="AB4500" i="1"/>
  <c r="AB4502" i="1"/>
  <c r="AB4503" i="1"/>
  <c r="AB4501" i="1"/>
  <c r="AB4504" i="1"/>
  <c r="AB4506" i="1"/>
  <c r="AB4505" i="1"/>
  <c r="AB4507" i="1"/>
  <c r="AB4508" i="1"/>
  <c r="AB4509" i="1"/>
  <c r="AB4510" i="1"/>
  <c r="AB4511" i="1"/>
  <c r="AB4513" i="1"/>
  <c r="AB4512" i="1"/>
  <c r="AB4514" i="1"/>
  <c r="AB4517" i="1"/>
  <c r="AB4516" i="1"/>
  <c r="AB4518" i="1"/>
  <c r="AB4520" i="1"/>
  <c r="AB4523" i="1"/>
  <c r="AB4525" i="1"/>
  <c r="AB4526" i="1"/>
  <c r="AB4528" i="1"/>
  <c r="AB4529" i="1"/>
  <c r="AB4530" i="1"/>
  <c r="AB4531" i="1"/>
  <c r="AB4532" i="1"/>
  <c r="AB4533" i="1"/>
  <c r="AB4534" i="1"/>
  <c r="AB4535" i="1"/>
  <c r="AB4538" i="1"/>
  <c r="AB4540" i="1"/>
  <c r="AB4541" i="1"/>
  <c r="AB4542" i="1"/>
  <c r="AB4544" i="1"/>
  <c r="AB4545" i="1"/>
  <c r="AB4546" i="1"/>
  <c r="AB4547" i="1"/>
  <c r="AB4548" i="1"/>
  <c r="S4550" i="1"/>
  <c r="AB4550" i="1"/>
  <c r="AB4549" i="1"/>
  <c r="AB4552" i="1"/>
  <c r="AB4551" i="1"/>
  <c r="AB4553" i="1"/>
  <c r="AB4554" i="1"/>
  <c r="O4555" i="1"/>
  <c r="AB4555" i="1"/>
  <c r="AB4556" i="1"/>
  <c r="AB4557" i="1"/>
  <c r="AB4558" i="1"/>
  <c r="AB4559" i="1"/>
  <c r="AB4560" i="1"/>
  <c r="AB4562" i="1"/>
  <c r="AB4563" i="1"/>
  <c r="AB4565" i="1"/>
  <c r="AB4566" i="1"/>
  <c r="AB4568" i="1"/>
  <c r="AB4567" i="1"/>
  <c r="AB4570" i="1"/>
  <c r="AB4571" i="1"/>
  <c r="AB4572" i="1"/>
  <c r="AB4573" i="1"/>
  <c r="AB4576" i="1"/>
  <c r="AB4577" i="1"/>
  <c r="AB4578" i="1"/>
  <c r="AB4579" i="1"/>
  <c r="AB4580" i="1"/>
  <c r="AB4582" i="1"/>
  <c r="AB4583" i="1"/>
  <c r="AB4584" i="1"/>
  <c r="AB4585" i="1"/>
  <c r="AB4586" i="1"/>
  <c r="AB4587" i="1"/>
  <c r="AB4588" i="1"/>
  <c r="AB4589" i="1"/>
  <c r="AB4590" i="1"/>
  <c r="AB4591" i="1"/>
  <c r="AB4592" i="1"/>
  <c r="AB4593" i="1"/>
  <c r="AB4594" i="1"/>
  <c r="AB4595" i="1"/>
  <c r="AB4596" i="1"/>
  <c r="AB4598" i="1"/>
  <c r="AB4597" i="1"/>
  <c r="AB4599" i="1"/>
  <c r="AB4600" i="1"/>
  <c r="AB4605" i="1"/>
  <c r="AB4603" i="1"/>
  <c r="AB4602" i="1"/>
  <c r="AB4604" i="1"/>
  <c r="AB4606" i="1"/>
  <c r="AB4607" i="1"/>
  <c r="AB4609" i="1"/>
  <c r="AB4608" i="1"/>
  <c r="AB4610" i="1"/>
  <c r="AB4611" i="1"/>
  <c r="AB4612" i="1"/>
  <c r="AB4613" i="1"/>
  <c r="AB4614" i="1"/>
  <c r="AB4615" i="1"/>
  <c r="AB4616" i="1"/>
  <c r="AB4617" i="1"/>
  <c r="AB4621" i="1"/>
  <c r="AB4622" i="1"/>
  <c r="W4623" i="1"/>
  <c r="AB4623" i="1"/>
  <c r="AB4624" i="1"/>
  <c r="AB4625" i="1"/>
  <c r="AB4626" i="1"/>
  <c r="AB4627" i="1"/>
  <c r="AB4628" i="1"/>
  <c r="AB4630" i="1"/>
  <c r="W4631" i="1"/>
  <c r="AB4631" i="1"/>
  <c r="W4633" i="1"/>
  <c r="AB4633" i="1"/>
  <c r="AB4634" i="1"/>
  <c r="AB4636" i="1"/>
  <c r="AB4637" i="1"/>
  <c r="AB4638" i="1"/>
  <c r="W4639" i="1"/>
  <c r="AB4639" i="1"/>
  <c r="AB4640" i="1"/>
  <c r="AB4641" i="1"/>
  <c r="AB4642" i="1"/>
  <c r="AB4643" i="1"/>
  <c r="AB4645" i="1"/>
  <c r="AB4646" i="1"/>
  <c r="AB4647" i="1"/>
  <c r="AB4648" i="1"/>
  <c r="AB4930" i="1"/>
  <c r="AB4649" i="1"/>
  <c r="AB4651" i="1"/>
  <c r="AB4653" i="1"/>
  <c r="AB4652" i="1"/>
  <c r="AB4654" i="1"/>
  <c r="AB4656" i="1"/>
  <c r="AB4660" i="1"/>
  <c r="AB4661" i="1"/>
  <c r="AB4657" i="1"/>
  <c r="AB4658" i="1"/>
  <c r="AB4663" i="1"/>
  <c r="AB4666" i="1"/>
  <c r="AB4668" i="1"/>
  <c r="AB4667" i="1"/>
  <c r="AB4670" i="1"/>
  <c r="AB4673" i="1"/>
  <c r="AB4675" i="1"/>
  <c r="AB4674" i="1"/>
  <c r="AB19" i="1"/>
  <c r="AB4676" i="1"/>
  <c r="AB4677" i="1"/>
  <c r="AB4679" i="1"/>
  <c r="AB4680" i="1"/>
  <c r="AB4686" i="1"/>
  <c r="AB4687" i="1"/>
  <c r="AB4683" i="1"/>
  <c r="AB4684" i="1"/>
  <c r="AB4689" i="1"/>
  <c r="AB4690" i="1"/>
  <c r="AB4691" i="1"/>
  <c r="AB4692" i="1"/>
  <c r="AB4694" i="1"/>
  <c r="AB4693" i="1"/>
  <c r="AB4695" i="1"/>
  <c r="AB4697" i="1"/>
  <c r="AB4696" i="1"/>
  <c r="AB4698" i="1"/>
  <c r="AB4700" i="1"/>
  <c r="AB4702" i="1"/>
  <c r="AB4703" i="1"/>
  <c r="AB4704" i="1"/>
  <c r="AB4705" i="1"/>
  <c r="AB4708" i="1"/>
  <c r="AB4710" i="1"/>
  <c r="AB4714" i="1"/>
  <c r="AB4716" i="1"/>
  <c r="AB4717" i="1"/>
  <c r="AB4955" i="1"/>
  <c r="AB4718" i="1"/>
  <c r="AB4721" i="1"/>
  <c r="AB4719" i="1"/>
  <c r="AB4722" i="1"/>
  <c r="AB4724" i="1"/>
  <c r="AB4725" i="1"/>
  <c r="AB4726" i="1"/>
  <c r="AB4727" i="1"/>
  <c r="AB4730" i="1"/>
  <c r="AB4731" i="1"/>
  <c r="AB4735" i="1"/>
  <c r="AB4736" i="1"/>
  <c r="AB4738" i="1"/>
  <c r="AB4739" i="1"/>
  <c r="AB4740" i="1"/>
  <c r="AB4741" i="1"/>
  <c r="AB4746" i="1"/>
  <c r="AB4748" i="1"/>
  <c r="AB4747" i="1"/>
  <c r="AB4750" i="1"/>
  <c r="AB4754" i="1"/>
  <c r="AB4755" i="1"/>
  <c r="AB4756" i="1"/>
  <c r="AB4758" i="1"/>
  <c r="AB4759" i="1"/>
  <c r="W4760" i="1"/>
  <c r="AB4760" i="1"/>
  <c r="AB4761" i="1"/>
  <c r="AB4764" i="1"/>
  <c r="AB4768" i="1"/>
  <c r="AB4767" i="1"/>
  <c r="AB4770" i="1"/>
  <c r="AB4771" i="1"/>
  <c r="AB4773" i="1"/>
  <c r="AB4774" i="1"/>
  <c r="AB4776" i="1"/>
  <c r="AB4782" i="1"/>
  <c r="AB4783" i="1"/>
  <c r="AB4785" i="1"/>
  <c r="AB4787" i="1"/>
  <c r="AB4788" i="1"/>
  <c r="AB4789" i="1"/>
  <c r="AB4790" i="1"/>
  <c r="AB4793" i="1"/>
  <c r="AB4794" i="1"/>
  <c r="AB4795" i="1"/>
  <c r="AB4797" i="1"/>
  <c r="AB4798" i="1"/>
  <c r="AB4804" i="1"/>
  <c r="AB4805" i="1"/>
  <c r="AB4803" i="1"/>
  <c r="AB4806" i="1"/>
  <c r="AB4808" i="1"/>
  <c r="AB4810" i="1"/>
  <c r="AB4809" i="1"/>
  <c r="AB4811" i="1"/>
  <c r="AB4813" i="1"/>
  <c r="AB4815" i="1"/>
  <c r="AB4814" i="1"/>
  <c r="AB4818" i="1"/>
  <c r="AB4819" i="1"/>
  <c r="AB4820" i="1"/>
  <c r="AB4821" i="1"/>
  <c r="AB4822" i="1"/>
  <c r="AB4824" i="1"/>
  <c r="AB4827" i="1"/>
  <c r="AB4828" i="1"/>
  <c r="AB4829" i="1"/>
  <c r="AB4830" i="1"/>
  <c r="AB4832" i="1"/>
  <c r="AB4836" i="1"/>
  <c r="AB4837" i="1"/>
  <c r="AB4838" i="1"/>
  <c r="AB4840" i="1"/>
  <c r="AB4845" i="1"/>
  <c r="AB4846" i="1"/>
  <c r="AB4844" i="1"/>
  <c r="AB4848" i="1"/>
  <c r="AB4851" i="1"/>
  <c r="AB4849" i="1"/>
  <c r="AB4847" i="1"/>
  <c r="AB4850" i="1"/>
  <c r="AB4852" i="1"/>
  <c r="AB4854" i="1"/>
  <c r="W4855" i="1"/>
  <c r="AB4855" i="1"/>
  <c r="AB4856" i="1"/>
  <c r="AB4857" i="1"/>
  <c r="AB4861" i="1"/>
  <c r="AB4862" i="1"/>
  <c r="AB4865" i="1"/>
  <c r="AB4863" i="1"/>
  <c r="AB4866" i="1"/>
  <c r="AB4867" i="1"/>
  <c r="AB4868" i="1"/>
  <c r="AB4870" i="1"/>
  <c r="AB4871" i="1"/>
  <c r="AB4873" i="1"/>
  <c r="AB4875" i="1"/>
  <c r="AB4877" i="1"/>
  <c r="AB8252" i="1"/>
  <c r="AB4876" i="1"/>
  <c r="AB4879" i="1"/>
  <c r="AB4880" i="1"/>
  <c r="AB4881" i="1"/>
  <c r="AB4882" i="1"/>
  <c r="AB4883" i="1"/>
  <c r="AB4884" i="1"/>
  <c r="AB4885" i="1"/>
  <c r="AB4886" i="1"/>
  <c r="AB4888" i="1"/>
  <c r="AB4889" i="1"/>
  <c r="AB4890" i="1"/>
  <c r="AB4891" i="1"/>
  <c r="AB4892" i="1"/>
  <c r="AB4894" i="1"/>
  <c r="AB4895" i="1"/>
  <c r="AB4900" i="1"/>
  <c r="AB4899" i="1"/>
  <c r="AB4902" i="1"/>
  <c r="AB4901" i="1"/>
  <c r="AB4908" i="1"/>
  <c r="AB4906" i="1"/>
  <c r="AB4905" i="1"/>
  <c r="W4904" i="1"/>
  <c r="AB4904" i="1"/>
  <c r="AB4909" i="1"/>
  <c r="AB4910" i="1"/>
  <c r="AB4911" i="1"/>
  <c r="AB4912" i="1"/>
  <c r="AB4913" i="1"/>
  <c r="AB4914" i="1"/>
  <c r="AB4915" i="1"/>
  <c r="AB4917" i="1"/>
  <c r="AB4916" i="1"/>
  <c r="AB4919" i="1"/>
  <c r="AB4918" i="1"/>
  <c r="AB4922" i="1"/>
  <c r="AB4920" i="1"/>
  <c r="AB4921" i="1"/>
  <c r="AB4923" i="1"/>
  <c r="AB4924" i="1"/>
  <c r="AB4926" i="1"/>
  <c r="AB4925" i="1"/>
  <c r="AB4927" i="1"/>
  <c r="AB4928" i="1"/>
  <c r="AB4929" i="1"/>
  <c r="AB4931" i="1"/>
  <c r="AB4932" i="1"/>
  <c r="AB4933" i="1"/>
  <c r="AB4934" i="1"/>
  <c r="AB4935" i="1"/>
  <c r="AB4936" i="1"/>
  <c r="AB4937" i="1"/>
  <c r="AB4938" i="1"/>
  <c r="AB4939" i="1"/>
  <c r="AB4940" i="1"/>
  <c r="AB4941" i="1"/>
  <c r="AB4943" i="1"/>
  <c r="AB4944" i="1"/>
  <c r="AB4945" i="1"/>
  <c r="AB4946" i="1"/>
  <c r="AB4947" i="1"/>
  <c r="AB4948" i="1"/>
  <c r="AB4949" i="1"/>
  <c r="AB4950" i="1"/>
  <c r="AB4951" i="1"/>
  <c r="AB4952" i="1"/>
  <c r="AB4953" i="1"/>
  <c r="AB4954" i="1"/>
  <c r="AB4956" i="1"/>
  <c r="AB4957" i="1"/>
  <c r="AB4958" i="1"/>
  <c r="AB4959" i="1"/>
  <c r="AB4960" i="1"/>
  <c r="AB4961" i="1"/>
  <c r="AB4962" i="1"/>
  <c r="AB4963" i="1"/>
  <c r="AB4964" i="1"/>
  <c r="S4965" i="1"/>
  <c r="AB4965" i="1"/>
  <c r="AB4966" i="1"/>
  <c r="AB4967" i="1"/>
  <c r="AB4968" i="1"/>
  <c r="AB4969" i="1"/>
  <c r="AB4970" i="1"/>
  <c r="AB4971" i="1"/>
  <c r="AB4972" i="1"/>
  <c r="AB4973" i="1"/>
  <c r="AB4974" i="1"/>
  <c r="AB4975" i="1"/>
  <c r="AB4978" i="1"/>
  <c r="AB4977" i="1"/>
  <c r="AB4979" i="1"/>
  <c r="AB4980" i="1"/>
  <c r="AB4981" i="1"/>
  <c r="AB4982" i="1"/>
  <c r="AB4983" i="1"/>
  <c r="AB4985" i="1"/>
  <c r="AB4984" i="1"/>
  <c r="AB4986" i="1"/>
  <c r="AB4987" i="1"/>
  <c r="AB4988" i="1"/>
  <c r="AB4989" i="1"/>
  <c r="AB4990" i="1"/>
  <c r="AB4991" i="1"/>
  <c r="AB4992" i="1"/>
  <c r="AB4993" i="1"/>
  <c r="AB4994" i="1"/>
  <c r="AB4995" i="1"/>
  <c r="AB4996" i="1"/>
  <c r="AB4997" i="1"/>
  <c r="AB4998" i="1"/>
  <c r="AB4999" i="1"/>
  <c r="AB5000" i="1"/>
  <c r="AB5002" i="1"/>
  <c r="AB5001" i="1"/>
  <c r="AB5003" i="1"/>
  <c r="AB5004" i="1"/>
  <c r="AB5005" i="1"/>
  <c r="AB5006" i="1"/>
  <c r="AB5007" i="1"/>
  <c r="AB5009" i="1"/>
  <c r="AB5008" i="1"/>
  <c r="AB5010" i="1"/>
  <c r="AB5011" i="1"/>
  <c r="AB5012" i="1"/>
  <c r="AB5013" i="1"/>
  <c r="AB5014" i="1"/>
  <c r="AB5015" i="1"/>
  <c r="AB5016" i="1"/>
  <c r="AB5017" i="1"/>
  <c r="AB5018" i="1"/>
  <c r="AB5019" i="1"/>
  <c r="AB5020" i="1"/>
  <c r="AB5021" i="1"/>
  <c r="AB5022" i="1"/>
  <c r="AB5023" i="1"/>
  <c r="W5024" i="1"/>
  <c r="AB5024" i="1"/>
  <c r="AB5025" i="1"/>
  <c r="AB5027" i="1"/>
  <c r="AB5028" i="1"/>
  <c r="AB5032" i="1"/>
  <c r="AB5034" i="1"/>
  <c r="AB5033" i="1"/>
  <c r="AB5035" i="1"/>
  <c r="AB5036" i="1"/>
  <c r="AB5039" i="1"/>
  <c r="AB5045" i="1"/>
  <c r="AB5047" i="1"/>
  <c r="AB5048" i="1"/>
  <c r="AB5050" i="1"/>
  <c r="AB5052" i="1"/>
  <c r="AB5051" i="1"/>
  <c r="AB5053" i="1"/>
  <c r="AB5054" i="1"/>
  <c r="AB5056" i="1"/>
  <c r="AB5058" i="1"/>
  <c r="AB5057" i="1"/>
  <c r="AB5062" i="1"/>
  <c r="AB5060" i="1"/>
  <c r="AB5061" i="1"/>
  <c r="AB5059" i="1"/>
  <c r="AB5065" i="1"/>
  <c r="AB5067" i="1"/>
  <c r="AB5068" i="1"/>
  <c r="AB5070" i="1"/>
  <c r="AB5071" i="1"/>
  <c r="AB5074" i="1"/>
  <c r="AB5075" i="1"/>
  <c r="AB5076" i="1"/>
  <c r="AB5078" i="1"/>
  <c r="AB5079" i="1"/>
  <c r="AB5080" i="1"/>
  <c r="AB5082" i="1"/>
  <c r="AB5083" i="1"/>
  <c r="AB5085" i="1"/>
  <c r="AB5084" i="1"/>
  <c r="AB5088" i="1"/>
  <c r="AB5089" i="1"/>
  <c r="AB5091" i="1"/>
  <c r="AB5093" i="1"/>
  <c r="AB5094" i="1"/>
  <c r="AB5097" i="1"/>
  <c r="AB5096" i="1"/>
  <c r="AB5098" i="1"/>
  <c r="AB5099" i="1"/>
  <c r="AB5100" i="1"/>
  <c r="AB5105" i="1"/>
  <c r="AB5108" i="1"/>
  <c r="AB5109" i="1"/>
  <c r="AB5110" i="1"/>
  <c r="AB5111" i="1"/>
  <c r="AB5113" i="1"/>
  <c r="AB5114" i="1"/>
  <c r="AB5364" i="1"/>
  <c r="AB5115" i="1"/>
  <c r="AB5116" i="1"/>
  <c r="AB5365" i="1"/>
  <c r="AB5118" i="1"/>
  <c r="AB5119" i="1"/>
  <c r="AB5120" i="1"/>
  <c r="AB5121" i="1"/>
  <c r="AB5123" i="1"/>
  <c r="AB5124" i="1"/>
  <c r="AB5127" i="1"/>
  <c r="AB5126" i="1"/>
  <c r="AB5130" i="1"/>
  <c r="AB5128" i="1"/>
  <c r="AB5129" i="1"/>
  <c r="AB5131" i="1"/>
  <c r="AB5132" i="1"/>
  <c r="AB5133" i="1"/>
  <c r="AB5134" i="1"/>
  <c r="AB5136" i="1"/>
  <c r="AB5139" i="1"/>
  <c r="AB5140" i="1"/>
  <c r="AB5141" i="1"/>
  <c r="AB5142" i="1"/>
  <c r="AB5143" i="1"/>
  <c r="AB5144" i="1"/>
  <c r="AB5146" i="1"/>
  <c r="AB5145" i="1"/>
  <c r="AB5147" i="1"/>
  <c r="AB5151" i="1"/>
  <c r="AB5150" i="1"/>
  <c r="AB5153" i="1"/>
  <c r="AB5152" i="1"/>
  <c r="AB5155" i="1"/>
  <c r="AB5157" i="1"/>
  <c r="AB5156" i="1"/>
  <c r="AB5159" i="1"/>
  <c r="AB5162" i="1"/>
  <c r="AB5163" i="1"/>
  <c r="AB5165" i="1"/>
  <c r="AB5167" i="1"/>
  <c r="AB5168" i="1"/>
  <c r="AB5169" i="1"/>
  <c r="AB5171" i="1"/>
  <c r="AB5173" i="1"/>
  <c r="AB5174" i="1"/>
  <c r="AB5175" i="1"/>
  <c r="AB5182" i="1"/>
  <c r="AB5184" i="1"/>
  <c r="AB5185" i="1"/>
  <c r="AB5186" i="1"/>
  <c r="AB5189" i="1"/>
  <c r="AB5192" i="1"/>
  <c r="AB5193" i="1"/>
  <c r="AB5191" i="1"/>
  <c r="AB5194" i="1"/>
  <c r="AB5197" i="1"/>
  <c r="AB5199" i="1"/>
  <c r="AB5200" i="1"/>
  <c r="AB5205" i="1"/>
  <c r="AB5206" i="1"/>
  <c r="AB5208" i="1"/>
  <c r="AB5211" i="1"/>
  <c r="AB5213" i="1"/>
  <c r="AB5216" i="1"/>
  <c r="AB5217" i="1"/>
  <c r="AB5220" i="1"/>
  <c r="AB5221" i="1"/>
  <c r="AB5224" i="1"/>
  <c r="AB5225" i="1"/>
  <c r="AB5228" i="1"/>
  <c r="AB5230" i="1"/>
  <c r="AB5231" i="1"/>
  <c r="AB5233" i="1"/>
  <c r="AB5234" i="1"/>
  <c r="AB5235" i="1"/>
  <c r="AB5236" i="1"/>
  <c r="AB5237" i="1"/>
  <c r="AB5239" i="1"/>
  <c r="AB5241" i="1"/>
  <c r="AB5240" i="1"/>
  <c r="AB5242" i="1"/>
  <c r="AB5243" i="1"/>
  <c r="AB5245" i="1"/>
  <c r="AB5246" i="1"/>
  <c r="AB5247" i="1"/>
  <c r="AB5248" i="1"/>
  <c r="AB5251" i="1"/>
  <c r="AB5253" i="1"/>
  <c r="AB5252" i="1"/>
  <c r="AB5254" i="1"/>
  <c r="AB5256" i="1"/>
  <c r="AB5258" i="1"/>
  <c r="AB5259" i="1"/>
  <c r="AB5260" i="1"/>
  <c r="AB5267" i="1"/>
  <c r="AB5268" i="1"/>
  <c r="AB5270" i="1"/>
  <c r="AB5272" i="1"/>
  <c r="AB5273" i="1"/>
  <c r="AB5274" i="1"/>
  <c r="AB5277" i="1"/>
  <c r="AB5276" i="1"/>
  <c r="AB5279" i="1"/>
  <c r="AB5278" i="1"/>
  <c r="AB5280" i="1"/>
  <c r="AB5282" i="1"/>
  <c r="AB5284" i="1"/>
  <c r="AB5285" i="1"/>
  <c r="AB5286" i="1"/>
  <c r="Z5287" i="1"/>
  <c r="AB5287" i="1"/>
  <c r="AB5288" i="1"/>
  <c r="AB5292" i="1"/>
  <c r="AB5289" i="1"/>
  <c r="AB5290" i="1"/>
  <c r="AB5291" i="1"/>
  <c r="AB5294" i="1"/>
  <c r="AB5295" i="1"/>
  <c r="AB5298" i="1"/>
  <c r="AB5297" i="1"/>
  <c r="AB5299" i="1"/>
  <c r="AB5296" i="1"/>
  <c r="AB5300" i="1"/>
  <c r="AB5301" i="1"/>
  <c r="AB5302" i="1"/>
  <c r="AB5303" i="1"/>
  <c r="AB5306" i="1"/>
  <c r="AB5305" i="1"/>
  <c r="AB5308" i="1"/>
  <c r="AB5307" i="1"/>
  <c r="AB5309" i="1"/>
  <c r="AB5312" i="1"/>
  <c r="AB5314" i="1"/>
  <c r="AB5315" i="1"/>
  <c r="AB5316" i="1"/>
  <c r="AB5317" i="1"/>
  <c r="AB5318" i="1"/>
  <c r="AB5320" i="1"/>
  <c r="AB5319" i="1"/>
  <c r="AB5321" i="1"/>
  <c r="AB5323" i="1"/>
  <c r="AB5325" i="1"/>
  <c r="AB5331" i="1"/>
  <c r="AB5333" i="1"/>
  <c r="AB5334" i="1"/>
  <c r="AB5335" i="1"/>
  <c r="AB5336" i="1"/>
  <c r="AB5338" i="1"/>
  <c r="AB5339" i="1"/>
  <c r="AB5340" i="1"/>
  <c r="AB5345" i="1"/>
  <c r="AB5346" i="1"/>
  <c r="AB5347" i="1"/>
  <c r="AB5348" i="1"/>
  <c r="AB5349" i="1"/>
  <c r="AB5352" i="1"/>
  <c r="AB5351" i="1"/>
  <c r="AB5350" i="1"/>
  <c r="AB5353" i="1"/>
  <c r="AB5354" i="1"/>
  <c r="AB5355" i="1"/>
  <c r="AB5356" i="1"/>
  <c r="AB5357" i="1"/>
  <c r="AB5358" i="1"/>
  <c r="AB5359" i="1"/>
  <c r="AB5360" i="1"/>
  <c r="S5361" i="1"/>
  <c r="AB5361" i="1"/>
  <c r="AB5362" i="1"/>
  <c r="AB5363" i="1"/>
  <c r="AB5366" i="1"/>
  <c r="AB5367" i="1"/>
  <c r="AB5368" i="1"/>
  <c r="AB5369" i="1"/>
  <c r="AB5370" i="1"/>
  <c r="AB5371" i="1"/>
  <c r="AB5372" i="1"/>
  <c r="AB5373" i="1"/>
  <c r="AB5374" i="1"/>
  <c r="AB5375" i="1"/>
  <c r="AB5376" i="1"/>
  <c r="AB5377" i="1"/>
  <c r="AB5378" i="1"/>
  <c r="AB5379" i="1"/>
  <c r="AB5380" i="1"/>
  <c r="AB5381" i="1"/>
  <c r="AB5382" i="1"/>
  <c r="AB5384" i="1"/>
  <c r="AB5385" i="1"/>
  <c r="AB5386" i="1"/>
  <c r="AB5387" i="1"/>
  <c r="AB5388" i="1"/>
  <c r="S5389" i="1"/>
  <c r="AB5389" i="1"/>
  <c r="AB5390" i="1"/>
  <c r="AB5391" i="1"/>
  <c r="AB5392" i="1"/>
  <c r="AB5393" i="1"/>
  <c r="AB5394" i="1"/>
  <c r="AB5395" i="1"/>
  <c r="AB5396" i="1"/>
  <c r="AB5398" i="1"/>
  <c r="AB5397" i="1"/>
  <c r="AB5399" i="1"/>
  <c r="AB5400" i="1"/>
  <c r="AB5401" i="1"/>
  <c r="AB5402" i="1"/>
  <c r="AB5404" i="1"/>
  <c r="AB5408" i="1"/>
  <c r="AB5411" i="1"/>
  <c r="AB5412" i="1"/>
  <c r="AB5413" i="1"/>
  <c r="AB5414" i="1"/>
  <c r="AB5417" i="1"/>
  <c r="AB5418" i="1"/>
  <c r="AB5421" i="1"/>
  <c r="AB5422" i="1"/>
  <c r="AB5423" i="1"/>
  <c r="AB5425" i="1"/>
  <c r="AB5428" i="1"/>
  <c r="AB5429" i="1"/>
  <c r="AB5430" i="1"/>
  <c r="AB5431" i="1"/>
  <c r="O5433" i="1"/>
  <c r="AB5433" i="1"/>
  <c r="AB5432" i="1"/>
  <c r="AB5427" i="1"/>
  <c r="AB5434" i="1"/>
  <c r="AB5437" i="1"/>
  <c r="AB5436" i="1"/>
  <c r="AB5438" i="1"/>
  <c r="AB5444" i="1"/>
  <c r="AB5442" i="1"/>
  <c r="AB5443" i="1"/>
  <c r="AB5440" i="1"/>
  <c r="AB5441" i="1"/>
  <c r="AB5445" i="1"/>
  <c r="AB5447" i="1"/>
  <c r="AB5446" i="1"/>
  <c r="O5451" i="1"/>
  <c r="AB5451" i="1"/>
  <c r="AB5452" i="1"/>
  <c r="AB5453" i="1"/>
  <c r="AB5454" i="1"/>
  <c r="AB5455" i="1"/>
  <c r="AB5456" i="1"/>
  <c r="AB5457" i="1"/>
  <c r="AB5458" i="1"/>
  <c r="AB5459" i="1"/>
  <c r="AB5461" i="1"/>
  <c r="AB5463" i="1"/>
  <c r="Z5462" i="1"/>
  <c r="AB5462" i="1"/>
  <c r="AB5678" i="1"/>
  <c r="AB5468" i="1"/>
  <c r="AB5467" i="1"/>
  <c r="AB5470" i="1"/>
  <c r="AB5469" i="1"/>
  <c r="AB5473" i="1"/>
  <c r="AB5474" i="1"/>
  <c r="AB5475" i="1"/>
  <c r="AB5478" i="1"/>
  <c r="AB5480" i="1"/>
  <c r="AB5483" i="1"/>
  <c r="AB5485" i="1"/>
  <c r="AB5484" i="1"/>
  <c r="AB5487" i="1"/>
  <c r="AB5486" i="1"/>
  <c r="AB5489" i="1"/>
  <c r="AB5491" i="1"/>
  <c r="AB5493" i="1"/>
  <c r="AB5494" i="1"/>
  <c r="AB5492" i="1"/>
  <c r="AB5500" i="1"/>
  <c r="AB5503" i="1"/>
  <c r="AB5501" i="1"/>
  <c r="AB5504" i="1"/>
  <c r="AB5502" i="1"/>
  <c r="AB5506" i="1"/>
  <c r="AB5508" i="1"/>
  <c r="AB5507" i="1"/>
  <c r="AB5509" i="1"/>
  <c r="AB5510" i="1"/>
  <c r="AB5511" i="1"/>
  <c r="AB5514" i="1"/>
  <c r="AB5515" i="1"/>
  <c r="AB5516" i="1"/>
  <c r="AB5513" i="1"/>
  <c r="AB5517" i="1"/>
  <c r="AB5518" i="1"/>
  <c r="AB5519" i="1"/>
  <c r="AB5520" i="1"/>
  <c r="AB5522" i="1"/>
  <c r="AB5521" i="1"/>
  <c r="AB5524" i="1"/>
  <c r="AB5527" i="1"/>
  <c r="AB5528" i="1"/>
  <c r="AB5530" i="1"/>
  <c r="AB5531" i="1"/>
  <c r="AB5532" i="1"/>
  <c r="AB5533" i="1"/>
  <c r="AB5534" i="1"/>
  <c r="AB5535" i="1"/>
  <c r="AB5537" i="1"/>
  <c r="AB5539" i="1"/>
  <c r="AB5540" i="1"/>
  <c r="AB5541" i="1"/>
  <c r="AB5544" i="1"/>
  <c r="AB5543" i="1"/>
  <c r="AB5546" i="1"/>
  <c r="AB5547" i="1"/>
  <c r="AB5548" i="1"/>
  <c r="AB5549" i="1"/>
  <c r="AB5550" i="1"/>
  <c r="AB5552" i="1"/>
  <c r="AB5553" i="1"/>
  <c r="AB5688" i="1"/>
  <c r="AB5556" i="1"/>
  <c r="AB5558" i="1"/>
  <c r="AB5560" i="1"/>
  <c r="AB5561" i="1"/>
  <c r="AB5563" i="1"/>
  <c r="AB5564" i="1"/>
  <c r="AB5565" i="1"/>
  <c r="AB5566" i="1"/>
  <c r="AB5567" i="1"/>
  <c r="AB5568" i="1"/>
  <c r="AB5570" i="1"/>
  <c r="AB5571" i="1"/>
  <c r="AB5572" i="1"/>
  <c r="AB5574" i="1"/>
  <c r="AB5576" i="1"/>
  <c r="AB5578" i="1"/>
  <c r="AB5580" i="1"/>
  <c r="Z5581" i="1"/>
  <c r="AB5581" i="1"/>
  <c r="AB5582" i="1"/>
  <c r="AB5586" i="1"/>
  <c r="AB5588" i="1"/>
  <c r="AB5589" i="1"/>
  <c r="AB5590" i="1"/>
  <c r="AB5593" i="1"/>
  <c r="AB28" i="1"/>
  <c r="AB5595" i="1"/>
  <c r="AB5597" i="1"/>
  <c r="AB5598" i="1"/>
  <c r="AB5599" i="1"/>
  <c r="AB5600" i="1"/>
  <c r="AB5602" i="1"/>
  <c r="AB5603" i="1"/>
  <c r="AB5604" i="1"/>
  <c r="AB5605" i="1"/>
  <c r="AB5696" i="1"/>
  <c r="AB5607" i="1"/>
  <c r="AB5697" i="1"/>
  <c r="AB6023" i="1"/>
  <c r="AB5609" i="1"/>
  <c r="AB5611" i="1"/>
  <c r="AB5614" i="1"/>
  <c r="AB5612" i="1"/>
  <c r="AB5613" i="1"/>
  <c r="AB5617" i="1"/>
  <c r="AB5619" i="1"/>
  <c r="AB5618" i="1"/>
  <c r="AB5620" i="1"/>
  <c r="AB5622" i="1"/>
  <c r="AB5623" i="1"/>
  <c r="AB5624" i="1"/>
  <c r="AB5627" i="1"/>
  <c r="AB5629" i="1"/>
  <c r="AB5630" i="1"/>
  <c r="AB5631" i="1"/>
  <c r="AB5633" i="1"/>
  <c r="AB5634" i="1"/>
  <c r="AB5636" i="1"/>
  <c r="AB5637" i="1"/>
  <c r="AB5642" i="1"/>
  <c r="AB5640" i="1"/>
  <c r="AB5643" i="1"/>
  <c r="AB5649" i="1"/>
  <c r="AB5650" i="1"/>
  <c r="AB5651" i="1"/>
  <c r="AB5652" i="1"/>
  <c r="AB5653" i="1"/>
  <c r="AB5654" i="1"/>
  <c r="AB5655" i="1"/>
  <c r="AB5656" i="1"/>
  <c r="AB5657" i="1"/>
  <c r="AB5662" i="1"/>
  <c r="AB5663" i="1"/>
  <c r="AB5664" i="1"/>
  <c r="AB5665" i="1"/>
  <c r="AB5666" i="1"/>
  <c r="AB5667" i="1"/>
  <c r="AB5668" i="1"/>
  <c r="AB5670" i="1"/>
  <c r="AB5669" i="1"/>
  <c r="AB5671" i="1"/>
  <c r="AB5672" i="1"/>
  <c r="AB5673" i="1"/>
  <c r="AB5674" i="1"/>
  <c r="AB5675" i="1"/>
  <c r="AB5676" i="1"/>
  <c r="AB5677" i="1"/>
  <c r="AB5679" i="1"/>
  <c r="AB5680" i="1"/>
  <c r="AB5682" i="1"/>
  <c r="AB5681" i="1"/>
  <c r="AB5683" i="1"/>
  <c r="AB5685" i="1"/>
  <c r="AB5684" i="1"/>
  <c r="AB5686" i="1"/>
  <c r="AB5687" i="1"/>
  <c r="AB5689" i="1"/>
  <c r="AB5690" i="1"/>
  <c r="AB5691" i="1"/>
  <c r="AB5692" i="1"/>
  <c r="AB5693" i="1"/>
  <c r="AB5694" i="1"/>
  <c r="AB5695" i="1"/>
  <c r="AB5698" i="1"/>
  <c r="AB5699" i="1"/>
  <c r="S5700" i="1"/>
  <c r="AB5700" i="1"/>
  <c r="AB5701" i="1"/>
  <c r="AB5702" i="1"/>
  <c r="AB5703" i="1"/>
  <c r="AB5704" i="1"/>
  <c r="AB5705" i="1"/>
  <c r="AB5709" i="1"/>
  <c r="AB5710" i="1"/>
  <c r="AB5712" i="1"/>
  <c r="AB5713" i="1"/>
  <c r="AB5715" i="1"/>
  <c r="AB5716" i="1"/>
  <c r="AB5961" i="1"/>
  <c r="AB5717" i="1"/>
  <c r="AB5718" i="1"/>
  <c r="AB5721" i="1"/>
  <c r="AB5722" i="1"/>
  <c r="AB5725" i="1"/>
  <c r="AB5726" i="1"/>
  <c r="AB5728" i="1"/>
  <c r="AB5729" i="1"/>
  <c r="AB5727" i="1"/>
  <c r="AB5734" i="1"/>
  <c r="AB5736" i="1"/>
  <c r="AB5737" i="1"/>
  <c r="AB5740" i="1"/>
  <c r="AB5738" i="1"/>
  <c r="AB5741" i="1"/>
  <c r="AB5739" i="1"/>
  <c r="AB5748" i="1"/>
  <c r="AB5747" i="1"/>
  <c r="AB5746" i="1"/>
  <c r="AB5749" i="1"/>
  <c r="AB5751" i="1"/>
  <c r="AB5750" i="1"/>
  <c r="AB5752" i="1"/>
  <c r="AB5753" i="1"/>
  <c r="AB5754" i="1"/>
  <c r="AB5758" i="1"/>
  <c r="AB5760" i="1"/>
  <c r="AB5759" i="1"/>
  <c r="AB5763" i="1"/>
  <c r="AB5761" i="1"/>
  <c r="AB5762" i="1"/>
  <c r="AB5765" i="1"/>
  <c r="AB5766" i="1"/>
  <c r="AB5768" i="1"/>
  <c r="AB5769" i="1"/>
  <c r="AB5772" i="1"/>
  <c r="AB5771" i="1"/>
  <c r="AB5975" i="1"/>
  <c r="AB5773" i="1"/>
  <c r="AB5774" i="1"/>
  <c r="AB5775" i="1"/>
  <c r="AB5777" i="1"/>
  <c r="AB5779" i="1"/>
  <c r="AB5780" i="1"/>
  <c r="AB5781" i="1"/>
  <c r="AB5783" i="1"/>
  <c r="AB5782" i="1"/>
  <c r="AB5784" i="1"/>
  <c r="AB5786" i="1"/>
  <c r="AB5785" i="1"/>
  <c r="AB5789" i="1"/>
  <c r="AB5791" i="1"/>
  <c r="AB5792" i="1"/>
  <c r="AB5790" i="1"/>
  <c r="AB5794" i="1"/>
  <c r="AB5795" i="1"/>
  <c r="AB5796" i="1"/>
  <c r="AB5798" i="1"/>
  <c r="AB5800" i="1"/>
  <c r="AB5801" i="1"/>
  <c r="AB5799" i="1"/>
  <c r="AB6110" i="1"/>
  <c r="AB5807" i="1"/>
  <c r="AB5806" i="1"/>
  <c r="AB5808" i="1"/>
  <c r="AB5809" i="1"/>
  <c r="AB5811" i="1"/>
  <c r="AB5812" i="1"/>
  <c r="Z5813" i="1"/>
  <c r="AB5813" i="1"/>
  <c r="AB5817" i="1"/>
  <c r="AB5816" i="1"/>
  <c r="AB5815" i="1"/>
  <c r="AB5819" i="1"/>
  <c r="AB5820" i="1"/>
  <c r="AB5821" i="1"/>
  <c r="AB5822" i="1"/>
  <c r="AB5823" i="1"/>
  <c r="AB5824" i="1"/>
  <c r="AB5825" i="1"/>
  <c r="AB5826" i="1"/>
  <c r="AB5827" i="1"/>
  <c r="AB5830" i="1"/>
  <c r="AB5831" i="1"/>
  <c r="AB5833" i="1"/>
  <c r="AB5835" i="1"/>
  <c r="AB5659" i="1"/>
  <c r="AB5838" i="1"/>
  <c r="AB5839" i="1"/>
  <c r="AB5840" i="1"/>
  <c r="AB5841" i="1"/>
  <c r="AB5844" i="1"/>
  <c r="AB5845" i="1"/>
  <c r="AB5847" i="1"/>
  <c r="AB5848" i="1"/>
  <c r="AB5853" i="1"/>
  <c r="AB5858" i="1"/>
  <c r="AB5855" i="1"/>
  <c r="AB5857" i="1"/>
  <c r="AB5856" i="1"/>
  <c r="AB5854" i="1"/>
  <c r="AB5862" i="1"/>
  <c r="AB5859" i="1"/>
  <c r="AB5861" i="1"/>
  <c r="AB5863" i="1"/>
  <c r="AB5982" i="1"/>
  <c r="AB5865" i="1"/>
  <c r="AB5867" i="1"/>
  <c r="AB5868" i="1"/>
  <c r="AB5869" i="1"/>
  <c r="AB5870" i="1"/>
  <c r="AB5871" i="1"/>
  <c r="AB5873" i="1"/>
  <c r="AB5874" i="1"/>
  <c r="AB5878" i="1"/>
  <c r="AB5879" i="1"/>
  <c r="AB5881" i="1"/>
  <c r="AB5882" i="1"/>
  <c r="AB5883" i="1"/>
  <c r="AB5884" i="1"/>
  <c r="AB5885" i="1"/>
  <c r="AB5891" i="1"/>
  <c r="AB5893" i="1"/>
  <c r="AB5895" i="1"/>
  <c r="AB5896" i="1"/>
  <c r="AB5897" i="1"/>
  <c r="AB5898" i="1"/>
  <c r="AB5901" i="1"/>
  <c r="AB5900" i="1"/>
  <c r="AB5902" i="1"/>
  <c r="AB5905" i="1"/>
  <c r="AB5913" i="1"/>
  <c r="AB5906" i="1"/>
  <c r="AB5908" i="1"/>
  <c r="O5912" i="1"/>
  <c r="AB5912" i="1"/>
  <c r="AB5910" i="1"/>
  <c r="AB5911" i="1"/>
  <c r="AB5914" i="1"/>
  <c r="AB5915" i="1"/>
  <c r="AB5916" i="1"/>
  <c r="AB5993" i="1"/>
  <c r="AB5917" i="1"/>
  <c r="AB5921" i="1"/>
  <c r="AB5919" i="1"/>
  <c r="AB5918" i="1"/>
  <c r="AB5920" i="1"/>
  <c r="AB5922" i="1"/>
  <c r="AB5924" i="1"/>
  <c r="AB5925" i="1"/>
  <c r="AB5926" i="1"/>
  <c r="AB5929" i="1"/>
  <c r="AB5932" i="1"/>
  <c r="AB5930" i="1"/>
  <c r="AB5931" i="1"/>
  <c r="AB5934" i="1"/>
  <c r="AB5936" i="1"/>
  <c r="AB5937" i="1"/>
  <c r="AB5939" i="1"/>
  <c r="AB5940" i="1"/>
  <c r="AB5941" i="1"/>
  <c r="AB5943" i="1"/>
  <c r="AB5944" i="1"/>
  <c r="AB5945" i="1"/>
  <c r="AB5946" i="1"/>
  <c r="AB5947" i="1"/>
  <c r="AB5948" i="1"/>
  <c r="AB5949" i="1"/>
  <c r="AB5951" i="1"/>
  <c r="AB5950" i="1"/>
  <c r="AB5953" i="1"/>
  <c r="AB5958" i="1"/>
  <c r="AB5959" i="1"/>
  <c r="AB5960" i="1"/>
  <c r="AB5962" i="1"/>
  <c r="AB5963" i="1"/>
  <c r="AB5965" i="1"/>
  <c r="AB5964" i="1"/>
  <c r="AB5966" i="1"/>
  <c r="AB5967" i="1"/>
  <c r="S5969" i="1"/>
  <c r="AB5969" i="1"/>
  <c r="AB5968" i="1"/>
  <c r="AB5970" i="1"/>
  <c r="AB5971" i="1"/>
  <c r="AB5972" i="1"/>
  <c r="AB5973" i="1"/>
  <c r="AB5974" i="1"/>
  <c r="AB5976" i="1"/>
  <c r="AB5977" i="1"/>
  <c r="AB5978" i="1"/>
  <c r="AB5979" i="1"/>
  <c r="S5980" i="1"/>
  <c r="AB5980" i="1"/>
  <c r="AB5981" i="1"/>
  <c r="AB5983" i="1"/>
  <c r="AB5984" i="1"/>
  <c r="AB5985" i="1"/>
  <c r="AB5986" i="1"/>
  <c r="AB5987" i="1"/>
  <c r="AB5988" i="1"/>
  <c r="AB5989" i="1"/>
  <c r="AB5990" i="1"/>
  <c r="AB5991" i="1"/>
  <c r="AB5992" i="1"/>
  <c r="AB5994" i="1"/>
  <c r="AB5995" i="1"/>
  <c r="AB5996" i="1"/>
  <c r="AB5998" i="1"/>
  <c r="AB5997" i="1"/>
  <c r="AB5999" i="1"/>
  <c r="AB6000" i="1"/>
  <c r="AB5872" i="1"/>
  <c r="AB6001" i="1"/>
  <c r="AB6002" i="1"/>
  <c r="AB6004" i="1"/>
  <c r="AB6005" i="1"/>
  <c r="AB6008" i="1"/>
  <c r="AB6009" i="1"/>
  <c r="AB6007" i="1"/>
  <c r="AB6010" i="1"/>
  <c r="AB6011" i="1"/>
  <c r="AB6012" i="1"/>
  <c r="AB6013" i="1"/>
  <c r="AB6015" i="1"/>
  <c r="AB6018" i="1"/>
  <c r="AB6019" i="1"/>
  <c r="AB6021" i="1"/>
  <c r="AB6020" i="1"/>
  <c r="AB6025" i="1"/>
  <c r="AB6024" i="1"/>
  <c r="AB6027" i="1"/>
  <c r="AB6029" i="1"/>
  <c r="AB6033" i="1"/>
  <c r="AB6032" i="1"/>
  <c r="AB6034" i="1"/>
  <c r="AB6043" i="1"/>
  <c r="AB6044" i="1"/>
  <c r="AB6045" i="1"/>
  <c r="AB6049" i="1"/>
  <c r="AB6051" i="1"/>
  <c r="AB6054" i="1"/>
  <c r="AB6057" i="1"/>
  <c r="AB6053" i="1"/>
  <c r="AB6269" i="1"/>
  <c r="AB6055" i="1"/>
  <c r="AB6058" i="1"/>
  <c r="AB6059" i="1"/>
  <c r="AB6063" i="1"/>
  <c r="AB6064" i="1"/>
  <c r="AB6066" i="1"/>
  <c r="AB6068" i="1"/>
  <c r="AB6067" i="1"/>
  <c r="AB6071" i="1"/>
  <c r="AB6072" i="1"/>
  <c r="AB6073" i="1"/>
  <c r="AB6074" i="1"/>
  <c r="AB6075" i="1"/>
  <c r="AB6078" i="1"/>
  <c r="AB6079" i="1"/>
  <c r="AB6081" i="1"/>
  <c r="AB6082" i="1"/>
  <c r="AB6080" i="1"/>
  <c r="AB6084" i="1"/>
  <c r="AB6088" i="1"/>
  <c r="AB6089" i="1"/>
  <c r="AB6090" i="1"/>
  <c r="AB6091" i="1"/>
  <c r="AB6092" i="1"/>
  <c r="AB6093" i="1"/>
  <c r="AB6094" i="1"/>
  <c r="AB6096" i="1"/>
  <c r="AB6097" i="1"/>
  <c r="AB6100" i="1"/>
  <c r="AB6101" i="1"/>
  <c r="AB6099" i="1"/>
  <c r="AB6102" i="1"/>
  <c r="AB6105" i="1"/>
  <c r="AB6107" i="1"/>
  <c r="AB6108" i="1"/>
  <c r="AB6114" i="1"/>
  <c r="AB6112" i="1"/>
  <c r="AB6113" i="1"/>
  <c r="AB6115" i="1"/>
  <c r="AB6118" i="1"/>
  <c r="AB6121" i="1"/>
  <c r="AB6274" i="1"/>
  <c r="AB6123" i="1"/>
  <c r="AB6124" i="1"/>
  <c r="AB6125" i="1"/>
  <c r="AB6126" i="1"/>
  <c r="AB6127" i="1"/>
  <c r="AB6128" i="1"/>
  <c r="AB6129" i="1"/>
  <c r="AB6130" i="1"/>
  <c r="AB6131" i="1"/>
  <c r="AB6135" i="1"/>
  <c r="AB6140" i="1"/>
  <c r="AB6139" i="1"/>
  <c r="AB6141" i="1"/>
  <c r="AB6142" i="1"/>
  <c r="AB6143" i="1"/>
  <c r="AB6146" i="1"/>
  <c r="AB6147" i="1"/>
  <c r="AB6148" i="1"/>
  <c r="AB6150" i="1"/>
  <c r="AB6151" i="1"/>
  <c r="AB6152" i="1"/>
  <c r="AB6153" i="1"/>
  <c r="AB6154" i="1"/>
  <c r="AB6159" i="1"/>
  <c r="AB6160" i="1"/>
  <c r="AB6162" i="1"/>
  <c r="AB6165" i="1"/>
  <c r="AB6166" i="1"/>
  <c r="AB6167" i="1"/>
  <c r="AB6168" i="1"/>
  <c r="AB6169" i="1"/>
  <c r="AB6171" i="1"/>
  <c r="AB6173" i="1"/>
  <c r="AB6172" i="1"/>
  <c r="AB6174" i="1"/>
  <c r="AB6175" i="1"/>
  <c r="AB6179" i="1"/>
  <c r="AB6182" i="1"/>
  <c r="AB6184" i="1"/>
  <c r="AB6185" i="1"/>
  <c r="AB6186" i="1"/>
  <c r="AB6191" i="1"/>
  <c r="AB6192" i="1"/>
  <c r="AB6196" i="1"/>
  <c r="AB6200" i="1"/>
  <c r="AB6199" i="1"/>
  <c r="AB6202" i="1"/>
  <c r="AB6204" i="1"/>
  <c r="AB6205" i="1"/>
  <c r="AB6207" i="1"/>
  <c r="AB6208" i="1"/>
  <c r="AB6210" i="1"/>
  <c r="AB6209" i="1"/>
  <c r="AB6212" i="1"/>
  <c r="AB6214" i="1"/>
  <c r="AB6213" i="1"/>
  <c r="AB6215" i="1"/>
  <c r="AB6216" i="1"/>
  <c r="AB6217" i="1"/>
  <c r="AB6218" i="1"/>
  <c r="AB6219" i="1"/>
  <c r="AB6224" i="1"/>
  <c r="AB6222" i="1"/>
  <c r="AB6223" i="1"/>
  <c r="AB6225" i="1"/>
  <c r="AB6228" i="1"/>
  <c r="AB6229" i="1"/>
  <c r="AB6231" i="1"/>
  <c r="AB6230" i="1"/>
  <c r="AB6233" i="1"/>
  <c r="AB6232" i="1"/>
  <c r="AB6234" i="1"/>
  <c r="AB6235" i="1"/>
  <c r="AB6236" i="1"/>
  <c r="AB6239" i="1"/>
  <c r="AB6240" i="1"/>
  <c r="AB6241" i="1"/>
  <c r="AB6242" i="1"/>
  <c r="AB6243" i="1"/>
  <c r="AB6244" i="1"/>
  <c r="AB6245" i="1"/>
  <c r="AB6246" i="1"/>
  <c r="AB6248" i="1"/>
  <c r="AB6250" i="1"/>
  <c r="AB6249" i="1"/>
  <c r="AB6256" i="1"/>
  <c r="AB6259" i="1"/>
  <c r="AB6258" i="1"/>
  <c r="AB6257" i="1"/>
  <c r="AB6260" i="1"/>
  <c r="AB6261" i="1"/>
  <c r="S6262" i="1"/>
  <c r="AB6262" i="1"/>
  <c r="AB6263" i="1"/>
  <c r="AB6264" i="1"/>
  <c r="AB6265" i="1"/>
  <c r="AB6266" i="1"/>
  <c r="S6268" i="1"/>
  <c r="AB6268" i="1"/>
  <c r="AB6267" i="1"/>
  <c r="AB6270" i="1"/>
  <c r="AB6271" i="1"/>
  <c r="AB6272" i="1"/>
  <c r="AB6273" i="1"/>
  <c r="AB6275" i="1"/>
  <c r="AB6276" i="1"/>
  <c r="AB6277" i="1"/>
  <c r="AB6278" i="1"/>
  <c r="AB6279" i="1"/>
  <c r="AB6282" i="1"/>
  <c r="AB6281" i="1"/>
  <c r="AB6283" i="1"/>
  <c r="AB6284" i="1"/>
  <c r="AB6285" i="1"/>
  <c r="AB6286" i="1"/>
  <c r="AB6287" i="1"/>
  <c r="AB6289" i="1"/>
  <c r="AB6290" i="1"/>
  <c r="AB6291" i="1"/>
  <c r="AB6293" i="1"/>
  <c r="AB6295" i="1"/>
  <c r="AB6296" i="1"/>
  <c r="AB6299" i="1"/>
  <c r="AB6298" i="1"/>
  <c r="AB6300" i="1"/>
  <c r="AB6303" i="1"/>
  <c r="AB6306" i="1"/>
  <c r="AB6305" i="1"/>
  <c r="AB6318" i="1"/>
  <c r="AB6312" i="1"/>
  <c r="AB6317" i="1"/>
  <c r="AB6316" i="1"/>
  <c r="AB6321" i="1"/>
  <c r="AB6322" i="1"/>
  <c r="AB6326" i="1"/>
  <c r="AB6324" i="1"/>
  <c r="AB6325" i="1"/>
  <c r="AB6330" i="1"/>
  <c r="AB6331" i="1"/>
  <c r="AB6333" i="1"/>
  <c r="AB6336" i="1"/>
  <c r="AB6335" i="1"/>
  <c r="AB6332" i="1"/>
  <c r="AB6334" i="1"/>
  <c r="AB6341" i="1"/>
  <c r="AB6342" i="1"/>
  <c r="AB6346" i="1"/>
  <c r="AB6343" i="1"/>
  <c r="AB6347" i="1"/>
  <c r="AB6350" i="1"/>
  <c r="AB6349" i="1"/>
  <c r="AB6351" i="1"/>
  <c r="AB6352" i="1"/>
  <c r="AB6353" i="1"/>
  <c r="AB6354" i="1"/>
  <c r="AB6355" i="1"/>
  <c r="AB6356" i="1"/>
  <c r="AB6358" i="1"/>
  <c r="AB6359" i="1"/>
  <c r="AB6360" i="1"/>
  <c r="AB6363" i="1"/>
  <c r="AB6362" i="1"/>
  <c r="AB6365" i="1"/>
  <c r="AB6364" i="1"/>
  <c r="AB6367" i="1"/>
  <c r="AB6369" i="1"/>
  <c r="AB6372" i="1"/>
  <c r="AB6373" i="1"/>
  <c r="AB6375" i="1"/>
  <c r="AB6374" i="1"/>
  <c r="AB6376" i="1"/>
  <c r="AB6384" i="1"/>
  <c r="AB6385" i="1"/>
  <c r="AB6386" i="1"/>
  <c r="AB6387" i="1"/>
  <c r="AB6388" i="1"/>
  <c r="AB6390" i="1"/>
  <c r="AB6392" i="1"/>
  <c r="AB6393" i="1"/>
  <c r="AB6394" i="1"/>
  <c r="AB6395" i="1"/>
  <c r="AB6396" i="1"/>
  <c r="AB6397" i="1"/>
  <c r="AB6399" i="1"/>
  <c r="AB6401" i="1"/>
  <c r="AB6402" i="1"/>
  <c r="AB6403" i="1"/>
  <c r="AB6406" i="1"/>
  <c r="AB6407" i="1"/>
  <c r="AB6411" i="1"/>
  <c r="AB6412" i="1"/>
  <c r="AB6413" i="1"/>
  <c r="AB6416" i="1"/>
  <c r="AB6414" i="1"/>
  <c r="AB6415" i="1"/>
  <c r="AB6417" i="1"/>
  <c r="AB6418" i="1"/>
  <c r="AB6420" i="1"/>
  <c r="AB6422" i="1"/>
  <c r="AB6421" i="1"/>
  <c r="AB6423" i="1"/>
  <c r="AB6425" i="1"/>
  <c r="AB6428" i="1"/>
  <c r="AB6429" i="1"/>
  <c r="AB6430" i="1"/>
  <c r="AB6431" i="1"/>
  <c r="AB6432" i="1"/>
  <c r="AB6433" i="1"/>
  <c r="AB6440" i="1"/>
  <c r="AB6435" i="1"/>
  <c r="AB6436" i="1"/>
  <c r="AB6439" i="1"/>
  <c r="AB6441" i="1"/>
  <c r="AB6443" i="1"/>
  <c r="AB6445" i="1"/>
  <c r="AB6447" i="1"/>
  <c r="AB6448" i="1"/>
  <c r="AB6451" i="1"/>
  <c r="AB6450" i="1"/>
  <c r="AB6449" i="1"/>
  <c r="AB6452" i="1"/>
  <c r="AB6453" i="1"/>
  <c r="AB6454" i="1"/>
  <c r="AB6455" i="1"/>
  <c r="AB6457" i="1"/>
  <c r="AB6458" i="1"/>
  <c r="AB6459" i="1"/>
  <c r="AB6464" i="1"/>
  <c r="AB6465" i="1"/>
  <c r="AB6467" i="1"/>
  <c r="AB6470" i="1"/>
  <c r="AB6472" i="1"/>
  <c r="AB6471" i="1"/>
  <c r="AB6475" i="1"/>
  <c r="AB6476" i="1"/>
  <c r="AB6478" i="1"/>
  <c r="AB6480" i="1"/>
  <c r="AB6479" i="1"/>
  <c r="AB6482" i="1"/>
  <c r="AB6483" i="1"/>
  <c r="AB6484" i="1"/>
  <c r="AB6485" i="1"/>
  <c r="AB6486" i="1"/>
  <c r="AB6487" i="1"/>
  <c r="AB6489" i="1"/>
  <c r="AB6491" i="1"/>
  <c r="AB6492" i="1"/>
  <c r="AB6498" i="1"/>
  <c r="AB6595" i="1"/>
  <c r="AB6506" i="1"/>
  <c r="AB6507" i="1"/>
  <c r="AB6508" i="1"/>
  <c r="AB6510" i="1"/>
  <c r="AB6513" i="1"/>
  <c r="AB6512" i="1"/>
  <c r="AB6514" i="1"/>
  <c r="AB6515" i="1"/>
  <c r="AB6516" i="1"/>
  <c r="AB6519" i="1"/>
  <c r="AB6520" i="1"/>
  <c r="AB6522" i="1"/>
  <c r="AB6525" i="1"/>
  <c r="AB6524" i="1"/>
  <c r="AB6523" i="1"/>
  <c r="AB6597" i="1"/>
  <c r="AB6528" i="1"/>
  <c r="AB6527" i="1"/>
  <c r="AB6530" i="1"/>
  <c r="AB6531" i="1"/>
  <c r="AB6532" i="1"/>
  <c r="AB6533" i="1"/>
  <c r="AB6534" i="1"/>
  <c r="AB6536" i="1"/>
  <c r="AB2271" i="1"/>
  <c r="AB6535" i="1"/>
  <c r="AB6537" i="1"/>
  <c r="AB6538" i="1"/>
  <c r="AB6541" i="1"/>
  <c r="AB6542" i="1"/>
  <c r="AB6544" i="1"/>
  <c r="AB6543" i="1"/>
  <c r="AB6547" i="1"/>
  <c r="AB6548" i="1"/>
  <c r="AB6549" i="1"/>
  <c r="AB6552" i="1"/>
  <c r="AB6550" i="1"/>
  <c r="AB6553" i="1"/>
  <c r="AB6556" i="1"/>
  <c r="AB6557" i="1"/>
  <c r="AB6559" i="1"/>
  <c r="AB6560" i="1"/>
  <c r="AB6561" i="1"/>
  <c r="AB6563" i="1"/>
  <c r="AB6564" i="1"/>
  <c r="AB6566" i="1"/>
  <c r="AB6567" i="1"/>
  <c r="AB6568" i="1"/>
  <c r="AB6571" i="1"/>
  <c r="AB6574" i="1"/>
  <c r="AB6573" i="1"/>
  <c r="AB6577" i="1"/>
  <c r="AB6579" i="1"/>
  <c r="AB6580" i="1"/>
  <c r="AB6582" i="1"/>
  <c r="AB6583" i="1"/>
  <c r="AB6584" i="1"/>
  <c r="AB6585" i="1"/>
  <c r="AB6586" i="1"/>
  <c r="AB6587" i="1"/>
  <c r="AB6588" i="1"/>
  <c r="AB6589" i="1"/>
  <c r="AB6590" i="1"/>
  <c r="AB6591" i="1"/>
  <c r="AB6592" i="1"/>
  <c r="AB6593" i="1"/>
  <c r="AB6594" i="1"/>
  <c r="AB6596" i="1"/>
  <c r="AB6598" i="1"/>
  <c r="AB6599" i="1"/>
  <c r="AB6600" i="1"/>
  <c r="AB6601" i="1"/>
  <c r="AB6603" i="1"/>
  <c r="AB6606" i="1"/>
  <c r="AB6610" i="1"/>
  <c r="AB6613" i="1"/>
  <c r="AB6614" i="1"/>
  <c r="AB6612" i="1"/>
  <c r="AB6611" i="1"/>
  <c r="AB6615" i="1"/>
  <c r="AB6620" i="1"/>
  <c r="AB6621" i="1"/>
  <c r="AB6623" i="1"/>
  <c r="AB6625" i="1"/>
  <c r="AB6628" i="1"/>
  <c r="AB6629" i="1"/>
  <c r="AB6631" i="1"/>
  <c r="AB6632" i="1"/>
  <c r="AB6636" i="1"/>
  <c r="AB6637" i="1"/>
  <c r="AB6638" i="1"/>
  <c r="AB6635" i="1"/>
  <c r="AB6639" i="1"/>
  <c r="AB6642" i="1"/>
  <c r="AB6643" i="1"/>
  <c r="AB6645" i="1"/>
  <c r="AB6644" i="1"/>
  <c r="AB6646" i="1"/>
  <c r="AB6647" i="1"/>
  <c r="AB6650" i="1"/>
  <c r="AB6651" i="1"/>
  <c r="AB6652" i="1"/>
  <c r="AB6653" i="1"/>
  <c r="AB6657" i="1"/>
  <c r="AB6655" i="1"/>
  <c r="AB6660" i="1"/>
  <c r="O6663" i="1"/>
  <c r="AB6663" i="1"/>
  <c r="AB6661" i="1"/>
  <c r="AB6665" i="1"/>
  <c r="AB6668" i="1"/>
  <c r="AB6667" i="1"/>
  <c r="AB6671" i="1"/>
  <c r="AB6670" i="1"/>
  <c r="AB6673" i="1"/>
  <c r="AB6676" i="1"/>
  <c r="AB6678" i="1"/>
  <c r="AB6680" i="1"/>
  <c r="AB6685" i="1"/>
  <c r="AB6686" i="1"/>
  <c r="AB6684" i="1"/>
  <c r="AB6687" i="1"/>
  <c r="AB6689" i="1"/>
  <c r="AB6688" i="1"/>
  <c r="AB6690" i="1"/>
  <c r="AB6692" i="1"/>
  <c r="AB6693" i="1"/>
  <c r="AB6695" i="1"/>
  <c r="AB6694" i="1"/>
  <c r="AB6698" i="1"/>
  <c r="AB6697" i="1"/>
  <c r="AB6696" i="1"/>
  <c r="AB6699" i="1"/>
  <c r="AB6701" i="1"/>
  <c r="AB6703" i="1"/>
  <c r="AB6704" i="1"/>
  <c r="AB6705" i="1"/>
  <c r="AB6706" i="1"/>
  <c r="AB6708" i="1"/>
  <c r="AB6707" i="1"/>
  <c r="AB6712" i="1"/>
  <c r="AB6713" i="1"/>
  <c r="AB6714" i="1"/>
  <c r="AB6715" i="1"/>
  <c r="AB6716" i="1"/>
  <c r="AB6717" i="1"/>
  <c r="AB6720" i="1"/>
  <c r="AB6721" i="1"/>
  <c r="AB6722" i="1"/>
  <c r="AB6723" i="1"/>
  <c r="AB6840" i="1"/>
  <c r="AB6728" i="1"/>
  <c r="AB6729" i="1"/>
  <c r="AB6731" i="1"/>
  <c r="AB6732" i="1"/>
  <c r="AB6736" i="1"/>
  <c r="AB6737" i="1"/>
  <c r="AB6739" i="1"/>
  <c r="AB6740" i="1"/>
  <c r="AB6741" i="1"/>
  <c r="AB6743" i="1"/>
  <c r="AB6744" i="1"/>
  <c r="AB6745" i="1"/>
  <c r="AB6746" i="1"/>
  <c r="AB6747" i="1"/>
  <c r="AB6749" i="1"/>
  <c r="AB6750" i="1"/>
  <c r="AB6751" i="1"/>
  <c r="AB6753" i="1"/>
  <c r="AB6754" i="1"/>
  <c r="AB6755" i="1"/>
  <c r="AB6756" i="1"/>
  <c r="AB6757" i="1"/>
  <c r="AB6760" i="1"/>
  <c r="AB6763" i="1"/>
  <c r="AB6764" i="1"/>
  <c r="AB6767" i="1"/>
  <c r="AB6768" i="1"/>
  <c r="AB6769" i="1"/>
  <c r="AB6771" i="1"/>
  <c r="AB6772" i="1"/>
  <c r="AB6773" i="1"/>
  <c r="AB6774" i="1"/>
  <c r="AB6775" i="1"/>
  <c r="AB6776" i="1"/>
  <c r="AB6777" i="1"/>
  <c r="AB6778" i="1"/>
  <c r="AB6780" i="1"/>
  <c r="AB6779" i="1"/>
  <c r="AB6781" i="1"/>
  <c r="AB6784" i="1"/>
  <c r="AB6785" i="1"/>
  <c r="AB6787" i="1"/>
  <c r="AB6788" i="1"/>
  <c r="AB6789" i="1"/>
  <c r="AB6791" i="1"/>
  <c r="AB6790" i="1"/>
  <c r="AB6792" i="1"/>
  <c r="AB6794" i="1"/>
  <c r="AB6795" i="1"/>
  <c r="AB6797" i="1"/>
  <c r="AB6798" i="1"/>
  <c r="AB6799" i="1"/>
  <c r="AB6803" i="1"/>
  <c r="AB6805" i="1"/>
  <c r="AB6806" i="1"/>
  <c r="AB6807" i="1"/>
  <c r="AB6808" i="1"/>
  <c r="AB6814" i="1"/>
  <c r="AB6815" i="1"/>
  <c r="AB6816" i="1"/>
  <c r="AB6817" i="1"/>
  <c r="AB6819" i="1"/>
  <c r="AB6820" i="1"/>
  <c r="AB6822" i="1"/>
  <c r="AB6821" i="1"/>
  <c r="AB6823" i="1"/>
  <c r="AB6825" i="1"/>
  <c r="AB6826" i="1"/>
  <c r="AB6828" i="1"/>
  <c r="AB6830" i="1"/>
  <c r="AB6831" i="1"/>
  <c r="AB6832" i="1"/>
  <c r="AB6833" i="1"/>
  <c r="AB6834" i="1"/>
  <c r="AB6835" i="1"/>
  <c r="AB6836" i="1"/>
  <c r="AB6837" i="1"/>
  <c r="AB6838" i="1"/>
  <c r="AB6839" i="1"/>
  <c r="AB6841" i="1"/>
  <c r="AB6842" i="1"/>
  <c r="S6843" i="1"/>
  <c r="AB6843" i="1"/>
  <c r="AB6844" i="1"/>
  <c r="AB6845" i="1"/>
  <c r="AB6848" i="1"/>
  <c r="AB6849" i="1"/>
  <c r="AB6850" i="1"/>
  <c r="AB6851" i="1"/>
  <c r="AB6852" i="1"/>
  <c r="AB6308" i="1"/>
  <c r="AB6853" i="1"/>
  <c r="AB6855" i="1"/>
  <c r="AB6856" i="1"/>
  <c r="AB6858" i="1"/>
  <c r="AB6862" i="1"/>
  <c r="AB6861" i="1"/>
  <c r="AB6863" i="1"/>
  <c r="AB6864" i="1"/>
  <c r="AB6866" i="1"/>
  <c r="AB6865" i="1"/>
  <c r="AB6867" i="1"/>
  <c r="AB6868" i="1"/>
  <c r="AB6876" i="1"/>
  <c r="AB6875" i="1"/>
  <c r="AB6877" i="1"/>
  <c r="AB6878" i="1"/>
  <c r="AB6880" i="1"/>
  <c r="AB6886" i="1"/>
  <c r="AB6887" i="1"/>
  <c r="AB6888" i="1"/>
  <c r="AB6885" i="1"/>
  <c r="AB6890" i="1"/>
  <c r="AB6889" i="1"/>
  <c r="AB6893" i="1"/>
  <c r="AB6892" i="1"/>
  <c r="AB6896" i="1"/>
  <c r="AB6899" i="1"/>
  <c r="AB6902" i="1"/>
  <c r="AB6898" i="1"/>
  <c r="AB6897" i="1"/>
  <c r="AB6900" i="1"/>
  <c r="AB6908" i="1"/>
  <c r="AB6911" i="1"/>
  <c r="AB6913" i="1"/>
  <c r="AB7096" i="1"/>
  <c r="AB6916" i="1"/>
  <c r="AB6917" i="1"/>
  <c r="AB6920" i="1"/>
  <c r="AB6921" i="1"/>
  <c r="AB6923" i="1"/>
  <c r="AB6925" i="1"/>
  <c r="AB6926" i="1"/>
  <c r="AB6929" i="1"/>
  <c r="AB6924" i="1"/>
  <c r="AB6928" i="1"/>
  <c r="AB6931" i="1"/>
  <c r="AB6932" i="1"/>
  <c r="AB6934" i="1"/>
  <c r="AB6936" i="1"/>
  <c r="AB6935" i="1"/>
  <c r="AB6938" i="1"/>
  <c r="AB6939" i="1"/>
  <c r="AB6940" i="1"/>
  <c r="AB6941" i="1"/>
  <c r="AB6942" i="1"/>
  <c r="AB6943" i="1"/>
  <c r="AB6945" i="1"/>
  <c r="AB6946" i="1"/>
  <c r="AB6948" i="1"/>
  <c r="AB6949" i="1"/>
  <c r="AB6951" i="1"/>
  <c r="AB6952" i="1"/>
  <c r="AB6955" i="1"/>
  <c r="AB6956" i="1"/>
  <c r="AB6954" i="1"/>
  <c r="AB6953" i="1"/>
  <c r="AB6958" i="1"/>
  <c r="AB6959" i="1"/>
  <c r="AB6960" i="1"/>
  <c r="AB6962" i="1"/>
  <c r="AB6963" i="1"/>
  <c r="AB7097" i="1"/>
  <c r="AB6964" i="1"/>
  <c r="AB6965" i="1"/>
  <c r="AB6966" i="1"/>
  <c r="AB6967" i="1"/>
  <c r="AB6968" i="1"/>
  <c r="AB6971" i="1"/>
  <c r="AB6972" i="1"/>
  <c r="AB6975" i="1"/>
  <c r="AB6977" i="1"/>
  <c r="AB6978" i="1"/>
  <c r="AB6979" i="1"/>
  <c r="AB6980" i="1"/>
  <c r="AB6981" i="1"/>
  <c r="AB6982" i="1"/>
  <c r="AB6987" i="1"/>
  <c r="AB6988" i="1"/>
  <c r="AB6989" i="1"/>
  <c r="AB6991" i="1"/>
  <c r="AB6995" i="1"/>
  <c r="AB6994" i="1"/>
  <c r="AB6998" i="1"/>
  <c r="AB6999" i="1"/>
  <c r="AB7000" i="1"/>
  <c r="AB7001" i="1"/>
  <c r="AB7002" i="1"/>
  <c r="AB7004" i="1"/>
  <c r="AB7005" i="1"/>
  <c r="AB7006" i="1"/>
  <c r="AB7010" i="1"/>
  <c r="AB7014" i="1"/>
  <c r="AB7015" i="1"/>
  <c r="AB7017" i="1"/>
  <c r="AB7018" i="1"/>
  <c r="AB7019" i="1"/>
  <c r="AB7099" i="1"/>
  <c r="AB7021" i="1"/>
  <c r="AB7023" i="1"/>
  <c r="AB7024" i="1"/>
  <c r="AB5601" i="1"/>
  <c r="AB7027" i="1"/>
  <c r="AB7028" i="1"/>
  <c r="AB7030" i="1"/>
  <c r="AB7102" i="1"/>
  <c r="AB7032" i="1"/>
  <c r="AB7033" i="1"/>
  <c r="AB7034" i="1"/>
  <c r="AB7035" i="1"/>
  <c r="AB7037" i="1"/>
  <c r="AB7040" i="1"/>
  <c r="AB7041" i="1"/>
  <c r="AB7046" i="1"/>
  <c r="AB7045" i="1"/>
  <c r="AB7047" i="1"/>
  <c r="AB7048" i="1"/>
  <c r="AB7051" i="1"/>
  <c r="AB7053" i="1"/>
  <c r="AB7054" i="1"/>
  <c r="AB7056" i="1"/>
  <c r="AB7057" i="1"/>
  <c r="AB7058" i="1"/>
  <c r="AB7059" i="1"/>
  <c r="AB7061" i="1"/>
  <c r="AB29" i="1"/>
  <c r="AB7062" i="1"/>
  <c r="AB7064" i="1"/>
  <c r="AB7065" i="1"/>
  <c r="AB7066" i="1"/>
  <c r="AB7067" i="1"/>
  <c r="AB7069" i="1"/>
  <c r="AB7071" i="1"/>
  <c r="AB7074" i="1"/>
  <c r="AB7075" i="1"/>
  <c r="AB7076" i="1"/>
  <c r="AB7081" i="1"/>
  <c r="AB7083" i="1"/>
  <c r="AB7084" i="1"/>
  <c r="AB7085" i="1"/>
  <c r="AB7090" i="1"/>
  <c r="AB7091" i="1"/>
  <c r="AB7093" i="1"/>
  <c r="AB7092" i="1"/>
  <c r="AB7094" i="1"/>
  <c r="AB7095" i="1"/>
  <c r="AB7098" i="1"/>
  <c r="AB7100" i="1"/>
  <c r="AB7101" i="1"/>
  <c r="AB7103" i="1"/>
  <c r="AB7104" i="1"/>
  <c r="AB7105" i="1"/>
  <c r="AB7108" i="1"/>
  <c r="AB7107" i="1"/>
  <c r="AB7109" i="1"/>
  <c r="AB7110" i="1"/>
  <c r="AB7111" i="1"/>
  <c r="AB7112" i="1"/>
  <c r="AB7117" i="1"/>
  <c r="AB7118" i="1"/>
  <c r="AB7119" i="1"/>
  <c r="AB7121" i="1"/>
  <c r="AB7122" i="1"/>
  <c r="AB7124" i="1"/>
  <c r="AB7125" i="1"/>
  <c r="AB7127" i="1"/>
  <c r="AB7128" i="1"/>
  <c r="AB7131" i="1"/>
  <c r="AB7132" i="1"/>
  <c r="AB7134" i="1"/>
  <c r="AB7138" i="1"/>
  <c r="AB7139" i="1"/>
  <c r="AB7143" i="1"/>
  <c r="AB7144" i="1"/>
  <c r="AB7145" i="1"/>
  <c r="AB7147" i="1"/>
  <c r="AB7150" i="1"/>
  <c r="AB7149" i="1"/>
  <c r="AB7153" i="1"/>
  <c r="AB7152" i="1"/>
  <c r="AB7155" i="1"/>
  <c r="AB7156" i="1"/>
  <c r="AB7158" i="1"/>
  <c r="AB7159" i="1"/>
  <c r="AB7160" i="1"/>
  <c r="AB7163" i="1"/>
  <c r="AB7167" i="1"/>
  <c r="AB7169" i="1"/>
  <c r="AB7170" i="1"/>
  <c r="AB7171" i="1"/>
  <c r="AB7173" i="1"/>
  <c r="Z7176" i="1"/>
  <c r="AB7176" i="1"/>
  <c r="AB7177" i="1"/>
  <c r="AB7178" i="1"/>
  <c r="AB7179" i="1"/>
  <c r="AB7183" i="1"/>
  <c r="AB7182" i="1"/>
  <c r="AB7184" i="1"/>
  <c r="AB7185" i="1"/>
  <c r="AB7186" i="1"/>
  <c r="AB7187" i="1"/>
  <c r="AB7189" i="1"/>
  <c r="AB7188" i="1"/>
  <c r="AB7191" i="1"/>
  <c r="AB7192" i="1"/>
  <c r="AB7193" i="1"/>
  <c r="AB7194" i="1"/>
  <c r="AB7195" i="1"/>
  <c r="AB7197" i="1"/>
  <c r="AB7198" i="1"/>
  <c r="AB7199" i="1"/>
  <c r="AB7342" i="1"/>
  <c r="AB7201" i="1"/>
  <c r="AB7203" i="1"/>
  <c r="AB7204" i="1"/>
  <c r="AB7205" i="1"/>
  <c r="AB7206" i="1"/>
  <c r="AB7208" i="1"/>
  <c r="AB7209" i="1"/>
  <c r="AB7210" i="1"/>
  <c r="AB7212" i="1"/>
  <c r="AB7216" i="1"/>
  <c r="AB7215" i="1"/>
  <c r="AB7217" i="1"/>
  <c r="AB7218" i="1"/>
  <c r="AB7220" i="1"/>
  <c r="AB7223" i="1"/>
  <c r="AB7224" i="1"/>
  <c r="AB7225" i="1"/>
  <c r="AB7226" i="1"/>
  <c r="AB7234" i="1"/>
  <c r="AB7237" i="1"/>
  <c r="AB7238" i="1"/>
  <c r="AB7240" i="1"/>
  <c r="AB7245" i="1"/>
  <c r="AB7246" i="1"/>
  <c r="AB7248" i="1"/>
  <c r="AB7247" i="1"/>
  <c r="AB7250" i="1"/>
  <c r="AB7251" i="1"/>
  <c r="AB7252" i="1"/>
  <c r="AB7253" i="1"/>
  <c r="AB7255" i="1"/>
  <c r="AB7256" i="1"/>
  <c r="AB7257" i="1"/>
  <c r="AB7259" i="1"/>
  <c r="AB7260" i="1"/>
  <c r="AB7261" i="1"/>
  <c r="AB7262" i="1"/>
  <c r="AB7263" i="1"/>
  <c r="AB7266" i="1"/>
  <c r="AB7268" i="1"/>
  <c r="AB7269" i="1"/>
  <c r="AB7270" i="1"/>
  <c r="AB7273" i="1"/>
  <c r="AB7276" i="1"/>
  <c r="AB7277" i="1"/>
  <c r="AB7278" i="1"/>
  <c r="AB7281" i="1"/>
  <c r="AB7280" i="1"/>
  <c r="AB7282" i="1"/>
  <c r="AB7283" i="1"/>
  <c r="AB7286" i="1"/>
  <c r="AB7285" i="1"/>
  <c r="AB7287" i="1"/>
  <c r="AB7289" i="1"/>
  <c r="AB7288" i="1"/>
  <c r="AB7292" i="1"/>
  <c r="AB7294" i="1"/>
  <c r="AB7295" i="1"/>
  <c r="AB7296" i="1"/>
  <c r="AB7299" i="1"/>
  <c r="AB7301" i="1"/>
  <c r="AB7302" i="1"/>
  <c r="AB7304" i="1"/>
  <c r="AB7306" i="1"/>
  <c r="AB7307" i="1"/>
  <c r="AB7308" i="1"/>
  <c r="AB7310" i="1"/>
  <c r="AB7312" i="1"/>
  <c r="AB7314" i="1"/>
  <c r="AB7316" i="1"/>
  <c r="AB7319" i="1"/>
  <c r="AB7322" i="1"/>
  <c r="AB7320" i="1"/>
  <c r="AB7326" i="1"/>
  <c r="AB7327" i="1"/>
  <c r="AB7332" i="1"/>
  <c r="AB7333" i="1"/>
  <c r="AB7334" i="1"/>
  <c r="AB7335" i="1"/>
  <c r="AB7336" i="1"/>
  <c r="AB7337" i="1"/>
  <c r="AB7338" i="1"/>
  <c r="AB7339" i="1"/>
  <c r="AB7340" i="1"/>
  <c r="AB7341" i="1"/>
  <c r="AB7343" i="1"/>
  <c r="AB7344" i="1"/>
  <c r="AB7345" i="1"/>
  <c r="AB7346" i="1"/>
  <c r="AB7347" i="1"/>
  <c r="AB7348" i="1"/>
  <c r="AB7354" i="1"/>
  <c r="AB7353" i="1"/>
  <c r="AB7356" i="1"/>
  <c r="AB7357" i="1"/>
  <c r="AB7361" i="1"/>
  <c r="AB7363" i="1"/>
  <c r="AB7365" i="1"/>
  <c r="AB7366" i="1"/>
  <c r="AB7369" i="1"/>
  <c r="AB7370" i="1"/>
  <c r="AB7371" i="1"/>
  <c r="AB7372" i="1"/>
  <c r="AB7373" i="1"/>
  <c r="AB7380" i="1"/>
  <c r="AB7381" i="1"/>
  <c r="AB7384" i="1"/>
  <c r="AB7385" i="1"/>
  <c r="AB7386" i="1"/>
  <c r="AB7389" i="1"/>
  <c r="AB7393" i="1"/>
  <c r="AB7392" i="1"/>
  <c r="AB7396" i="1"/>
  <c r="AB7397" i="1"/>
  <c r="AB7399" i="1"/>
  <c r="AB7406" i="1"/>
  <c r="AB7405" i="1"/>
  <c r="AB7407" i="1"/>
  <c r="AB30" i="1"/>
  <c r="AB7409" i="1"/>
  <c r="AB7410" i="1"/>
  <c r="AB7411" i="1"/>
  <c r="AB7413" i="1"/>
  <c r="AB7412" i="1"/>
  <c r="AB7414" i="1"/>
  <c r="AB7416" i="1"/>
  <c r="AB7417" i="1"/>
  <c r="AB7418" i="1"/>
  <c r="AB7420" i="1"/>
  <c r="AB7421" i="1"/>
  <c r="AB7423" i="1"/>
  <c r="AB7422" i="1"/>
  <c r="AB7424" i="1"/>
  <c r="AB7425" i="1"/>
  <c r="AB7426" i="1"/>
  <c r="AB7427" i="1"/>
  <c r="AB7428" i="1"/>
  <c r="AB7429" i="1"/>
  <c r="AB7430" i="1"/>
  <c r="AB7434" i="1"/>
  <c r="AB7438" i="1"/>
  <c r="AB7441" i="1"/>
  <c r="AB7447" i="1"/>
  <c r="AB7446" i="1"/>
  <c r="AB7450" i="1"/>
  <c r="AB7451" i="1"/>
  <c r="AB7452" i="1"/>
  <c r="AB7600" i="1"/>
  <c r="AB7455" i="1"/>
  <c r="AB7457" i="1"/>
  <c r="AB7459" i="1"/>
  <c r="AB7460" i="1"/>
  <c r="AB7461" i="1"/>
  <c r="AB7463" i="1"/>
  <c r="AB7464" i="1"/>
  <c r="AB7465" i="1"/>
  <c r="AB7467" i="1"/>
  <c r="AB7468" i="1"/>
  <c r="AB7469" i="1"/>
  <c r="AB7472" i="1"/>
  <c r="AB7473" i="1"/>
  <c r="AB7474" i="1"/>
  <c r="AB7476" i="1"/>
  <c r="AB7477" i="1"/>
  <c r="AB7478" i="1"/>
  <c r="AB7480" i="1"/>
  <c r="AB7482" i="1"/>
  <c r="AB7483" i="1"/>
  <c r="AB7485" i="1"/>
  <c r="AB7488" i="1"/>
  <c r="AB7489" i="1"/>
  <c r="AB7490" i="1"/>
  <c r="AB7491" i="1"/>
  <c r="AB7493" i="1"/>
  <c r="AB7492" i="1"/>
  <c r="AB7494" i="1"/>
  <c r="AB7496" i="1"/>
  <c r="AB7497" i="1"/>
  <c r="AB7500" i="1"/>
  <c r="AB7603" i="1"/>
  <c r="AB7502" i="1"/>
  <c r="AB7506" i="1"/>
  <c r="AB7510" i="1"/>
  <c r="AB7509" i="1"/>
  <c r="AB7512" i="1"/>
  <c r="AB7513" i="1"/>
  <c r="AB7514" i="1"/>
  <c r="AB7515" i="1"/>
  <c r="AB7516" i="1"/>
  <c r="AB7517" i="1"/>
  <c r="AB7518" i="1"/>
  <c r="AB7521" i="1"/>
  <c r="AB7522" i="1"/>
  <c r="AB7528" i="1"/>
  <c r="AB7530" i="1"/>
  <c r="AB7532" i="1"/>
  <c r="AB7534" i="1"/>
  <c r="AB7533" i="1"/>
  <c r="AB7536" i="1"/>
  <c r="AB7537" i="1"/>
  <c r="AB7538" i="1"/>
  <c r="AB7539" i="1"/>
  <c r="AB7541" i="1"/>
  <c r="AB7544" i="1"/>
  <c r="AB7545" i="1"/>
  <c r="AB7547" i="1"/>
  <c r="AB7548" i="1"/>
  <c r="AB7550" i="1"/>
  <c r="AB7551" i="1"/>
  <c r="AB7552" i="1"/>
  <c r="AB7553" i="1"/>
  <c r="AB7554" i="1"/>
  <c r="AB7556" i="1"/>
  <c r="AB7557" i="1"/>
  <c r="AB7559" i="1"/>
  <c r="AB7560" i="1"/>
  <c r="AB7562" i="1"/>
  <c r="AB7561" i="1"/>
  <c r="AB7563" i="1"/>
  <c r="AB7565" i="1"/>
  <c r="AB7569" i="1"/>
  <c r="AB7571" i="1"/>
  <c r="AB7570" i="1"/>
  <c r="AB7573" i="1"/>
  <c r="AB7574" i="1"/>
  <c r="AB7575" i="1"/>
  <c r="AB7578" i="1"/>
  <c r="AB7579" i="1"/>
  <c r="AB7583" i="1"/>
  <c r="AB7584" i="1"/>
  <c r="Z7585" i="1"/>
  <c r="AB7585" i="1"/>
  <c r="AB7591" i="1"/>
  <c r="AB7592" i="1"/>
  <c r="AB7593" i="1"/>
  <c r="AB7594" i="1"/>
  <c r="AB7595" i="1"/>
  <c r="AB7596" i="1"/>
  <c r="AB7597" i="1"/>
  <c r="AB7598" i="1"/>
  <c r="AB7599" i="1"/>
  <c r="AB7601" i="1"/>
  <c r="AB7602" i="1"/>
  <c r="AB7604" i="1"/>
  <c r="S7605" i="1"/>
  <c r="AB7605" i="1"/>
  <c r="AB7607" i="1"/>
  <c r="AB7606" i="1"/>
  <c r="AB7608" i="1"/>
  <c r="AB7609" i="1"/>
  <c r="AB7610" i="1"/>
  <c r="AB7612" i="1"/>
  <c r="AB7614" i="1"/>
  <c r="AB7617" i="1"/>
  <c r="AB7618" i="1"/>
  <c r="AB7619" i="1"/>
  <c r="AB7620" i="1"/>
  <c r="AB7621" i="1"/>
  <c r="AB7628" i="1"/>
  <c r="AB7629" i="1"/>
  <c r="Z7630" i="1"/>
  <c r="AB7630" i="1"/>
  <c r="AB7632" i="1"/>
  <c r="AB7633" i="1"/>
  <c r="AB7634" i="1"/>
  <c r="AB7638" i="1"/>
  <c r="AB7639" i="1"/>
  <c r="AB7640" i="1"/>
  <c r="AB7641" i="1"/>
  <c r="AB7642" i="1"/>
  <c r="AB7643" i="1"/>
  <c r="AB7644" i="1"/>
  <c r="AB7645" i="1"/>
  <c r="AB7646" i="1"/>
  <c r="AB7649" i="1"/>
  <c r="AB7653" i="1"/>
  <c r="AB7654" i="1"/>
  <c r="AB7655" i="1"/>
  <c r="AB7656" i="1"/>
  <c r="AB7660" i="1"/>
  <c r="AB7659" i="1"/>
  <c r="AB7661" i="1"/>
  <c r="AB7663" i="1"/>
  <c r="AB7664" i="1"/>
  <c r="AB7666" i="1"/>
  <c r="AB7668" i="1"/>
  <c r="AB7669" i="1"/>
  <c r="AB7670" i="1"/>
  <c r="AB7671" i="1"/>
  <c r="AB7684" i="1"/>
  <c r="AB7673" i="1"/>
  <c r="AB7676" i="1"/>
  <c r="AB7678" i="1"/>
  <c r="AB7674" i="1"/>
  <c r="AB7677" i="1"/>
  <c r="AB7672" i="1"/>
  <c r="AB7683" i="1"/>
  <c r="AB7679" i="1"/>
  <c r="Z7687" i="1"/>
  <c r="AB7687" i="1"/>
  <c r="AB7686" i="1"/>
  <c r="AB7688" i="1"/>
  <c r="AB7689" i="1"/>
  <c r="AB7690" i="1"/>
  <c r="AB7692" i="1"/>
  <c r="AB7695" i="1"/>
  <c r="AB7696" i="1"/>
  <c r="AB7698" i="1"/>
  <c r="AB7699" i="1"/>
  <c r="AB7700" i="1"/>
  <c r="AB7701" i="1"/>
  <c r="AB7706" i="1"/>
  <c r="AB7709" i="1"/>
  <c r="AB7712" i="1"/>
  <c r="AB7713" i="1"/>
  <c r="AB7714" i="1"/>
  <c r="AB7715" i="1"/>
  <c r="AB7718" i="1"/>
  <c r="AB7719" i="1"/>
  <c r="AB7720" i="1"/>
  <c r="AB7721" i="1"/>
  <c r="AB7723" i="1"/>
  <c r="AB7725" i="1"/>
  <c r="AB7724" i="1"/>
  <c r="AB7726" i="1"/>
  <c r="AB7727" i="1"/>
  <c r="AB7728" i="1"/>
  <c r="AB7729" i="1"/>
  <c r="AB7730" i="1"/>
  <c r="AB7731" i="1"/>
  <c r="AB7734" i="1"/>
  <c r="AB7738" i="1"/>
  <c r="AB7739" i="1"/>
  <c r="AB7740" i="1"/>
  <c r="AB7741" i="1"/>
  <c r="AB7742" i="1"/>
  <c r="AB7744" i="1"/>
  <c r="AB7746" i="1"/>
  <c r="AB7747" i="1"/>
  <c r="AB7749" i="1"/>
  <c r="AB7748" i="1"/>
  <c r="AB7751" i="1"/>
  <c r="AB7752" i="1"/>
  <c r="AB7753" i="1"/>
  <c r="AB7754" i="1"/>
  <c r="AB7756" i="1"/>
  <c r="AB7760" i="1"/>
  <c r="AB7761" i="1"/>
  <c r="AB7762" i="1"/>
  <c r="AB7765" i="1"/>
  <c r="AB7767" i="1"/>
  <c r="AB7772" i="1"/>
  <c r="AB7773" i="1"/>
  <c r="AB7774" i="1"/>
  <c r="AB7776" i="1"/>
  <c r="AB7777" i="1"/>
  <c r="AB7779" i="1"/>
  <c r="AB7778" i="1"/>
  <c r="AB7781" i="1"/>
  <c r="AB7782" i="1"/>
  <c r="AB7785" i="1"/>
  <c r="AB7786" i="1"/>
  <c r="AB7787" i="1"/>
  <c r="AB7788" i="1"/>
  <c r="AB7789" i="1"/>
  <c r="AB7790" i="1"/>
  <c r="AB7793" i="1"/>
  <c r="AB7794" i="1"/>
  <c r="AB7796" i="1"/>
  <c r="AB7798" i="1"/>
  <c r="AB7799" i="1"/>
  <c r="AB7802" i="1"/>
  <c r="AB7806" i="1"/>
  <c r="AB7805" i="1"/>
  <c r="AB7809" i="1"/>
  <c r="AB7810" i="1"/>
  <c r="AB7811" i="1"/>
  <c r="AB7814" i="1"/>
  <c r="AB7813" i="1"/>
  <c r="AB7815" i="1"/>
  <c r="AB7816" i="1"/>
  <c r="AB7817" i="1"/>
  <c r="AB7819" i="1"/>
  <c r="AB7821" i="1"/>
  <c r="AB7822" i="1"/>
  <c r="AB7824" i="1"/>
  <c r="AB7823" i="1"/>
  <c r="AB7826" i="1"/>
  <c r="AB7827" i="1"/>
  <c r="AB7828" i="1"/>
  <c r="AB7829" i="1"/>
  <c r="AB7832" i="1"/>
  <c r="AB7836" i="1"/>
  <c r="AB7837" i="1"/>
  <c r="AB7838" i="1"/>
  <c r="AB7839" i="1"/>
  <c r="AB7841" i="1"/>
  <c r="AB7843" i="1"/>
  <c r="AB7844" i="1"/>
  <c r="AB7845" i="1"/>
  <c r="AB7849" i="1"/>
  <c r="AB7850" i="1"/>
  <c r="AB7853" i="1"/>
  <c r="AB7856" i="1"/>
  <c r="S7857" i="1"/>
  <c r="AB7857" i="1"/>
  <c r="AB7858" i="1"/>
  <c r="AB7859" i="1"/>
  <c r="AB7860" i="1"/>
  <c r="AB7861" i="1"/>
  <c r="AB7862" i="1"/>
  <c r="AB7863" i="1"/>
  <c r="AB7864" i="1"/>
  <c r="S7865" i="1"/>
  <c r="AB7865" i="1"/>
  <c r="AB7866" i="1"/>
  <c r="AB7868" i="1"/>
  <c r="AB7869" i="1"/>
  <c r="AB7870" i="1"/>
  <c r="AB7873" i="1"/>
  <c r="AB7874" i="1"/>
  <c r="AB7878" i="1"/>
  <c r="AB7883" i="1"/>
  <c r="AB7885" i="1"/>
  <c r="AB7887" i="1"/>
  <c r="AB7893" i="1"/>
  <c r="AB7892" i="1"/>
  <c r="AB7891" i="1"/>
  <c r="AB7890" i="1"/>
  <c r="AB7894" i="1"/>
  <c r="AB7895" i="1"/>
  <c r="AB7896" i="1"/>
  <c r="AB7900" i="1"/>
  <c r="AB7898" i="1"/>
  <c r="AB7901" i="1"/>
  <c r="AB7902" i="1"/>
  <c r="AB7906" i="1"/>
  <c r="AB7907" i="1"/>
  <c r="AB7908" i="1"/>
  <c r="AB7911" i="1"/>
  <c r="AB7912" i="1"/>
  <c r="AB7913" i="1"/>
  <c r="AB7914" i="1"/>
  <c r="AB7916" i="1"/>
  <c r="AB7917" i="1"/>
  <c r="AB7918" i="1"/>
  <c r="AB7920" i="1"/>
  <c r="AB7919" i="1"/>
  <c r="AB7924" i="1"/>
  <c r="AB7923" i="1"/>
  <c r="AB7925" i="1"/>
  <c r="AB7922" i="1"/>
  <c r="AB7926" i="1"/>
  <c r="AB7927" i="1"/>
  <c r="AB7928" i="1"/>
  <c r="AB7929" i="1"/>
  <c r="AB7921" i="1"/>
  <c r="AB7934" i="1"/>
  <c r="AB7935" i="1"/>
  <c r="AB7937" i="1"/>
  <c r="AB7936" i="1"/>
  <c r="AB7938" i="1"/>
  <c r="AB7940" i="1"/>
  <c r="AB7942" i="1"/>
  <c r="AB7945" i="1"/>
  <c r="AB7947" i="1"/>
  <c r="AB7948" i="1"/>
  <c r="AB7951" i="1"/>
  <c r="AB7952" i="1"/>
  <c r="AB7950" i="1"/>
  <c r="AB7953" i="1"/>
  <c r="AB7956" i="1"/>
  <c r="AB7954" i="1"/>
  <c r="AB7957" i="1"/>
  <c r="AB7955" i="1"/>
  <c r="AB7959" i="1"/>
  <c r="AB7960" i="1"/>
  <c r="AB7961" i="1"/>
  <c r="AB7962" i="1"/>
  <c r="AB7963" i="1"/>
  <c r="AB7966" i="1"/>
  <c r="AB7967" i="1"/>
  <c r="AB7968" i="1"/>
  <c r="AB7969" i="1"/>
  <c r="AB7972" i="1"/>
  <c r="AB7973" i="1"/>
  <c r="AB7974" i="1"/>
  <c r="AB7975" i="1"/>
  <c r="AB7976" i="1"/>
  <c r="AB7978" i="1"/>
  <c r="AB7979" i="1"/>
  <c r="AB7980" i="1"/>
  <c r="AB7983" i="1"/>
  <c r="AB7984" i="1"/>
  <c r="AB7986" i="1"/>
  <c r="AB7987" i="1"/>
  <c r="AB7988" i="1"/>
  <c r="AB7989" i="1"/>
  <c r="AB7994" i="1"/>
  <c r="AB7996" i="1"/>
  <c r="AB7995" i="1"/>
  <c r="AB7997" i="1"/>
  <c r="AB7999" i="1"/>
  <c r="AB8000" i="1"/>
  <c r="AB8003" i="1"/>
  <c r="AB8009" i="1"/>
  <c r="AB8011" i="1"/>
  <c r="AB8013" i="1"/>
  <c r="AB8012" i="1"/>
  <c r="AB8015" i="1"/>
  <c r="AB8017" i="1"/>
  <c r="AB8018" i="1"/>
  <c r="AB8019" i="1"/>
  <c r="AB8020" i="1"/>
  <c r="AB8021" i="1"/>
  <c r="AB8023" i="1"/>
  <c r="AB8025" i="1"/>
  <c r="AB8026" i="1"/>
  <c r="AB8027" i="1"/>
  <c r="AB8030" i="1"/>
  <c r="AB8031" i="1"/>
  <c r="AB8032" i="1"/>
  <c r="AB8033" i="1"/>
  <c r="AB8034" i="1"/>
  <c r="AB8035" i="1"/>
  <c r="AB8039" i="1"/>
  <c r="AB8040" i="1"/>
  <c r="AB8041" i="1"/>
  <c r="AB8042" i="1"/>
  <c r="AB8047" i="1"/>
  <c r="AB8048" i="1"/>
  <c r="AB8049" i="1"/>
  <c r="AB8051" i="1"/>
  <c r="AB8052" i="1"/>
  <c r="AB8054" i="1"/>
  <c r="AB8055" i="1"/>
  <c r="AB8057" i="1"/>
  <c r="AB8061" i="1"/>
  <c r="AB8063" i="1"/>
  <c r="AB8065" i="1"/>
  <c r="AB8066" i="1"/>
  <c r="AB8067" i="1"/>
  <c r="AB8070" i="1"/>
  <c r="AB8071" i="1"/>
  <c r="AB8074" i="1"/>
  <c r="AB8073" i="1"/>
  <c r="AB8072" i="1"/>
  <c r="AB8075" i="1"/>
  <c r="AB8076" i="1"/>
  <c r="AB8077" i="1"/>
  <c r="AB8078" i="1"/>
  <c r="AB8080" i="1"/>
  <c r="AB8079" i="1"/>
  <c r="AB8082" i="1"/>
  <c r="AB8084" i="1"/>
  <c r="AB8083" i="1"/>
  <c r="AB8086" i="1"/>
  <c r="AB8087" i="1"/>
  <c r="AB8094" i="1"/>
  <c r="AB8097" i="1"/>
  <c r="AB8095" i="1"/>
  <c r="AB8096" i="1"/>
  <c r="AB8093" i="1"/>
  <c r="AB8105" i="1"/>
  <c r="AB8106" i="1"/>
  <c r="AB8107" i="1"/>
  <c r="AB8108" i="1"/>
  <c r="S8109" i="1"/>
  <c r="AB8109" i="1"/>
  <c r="AB8110" i="1"/>
  <c r="AB8111" i="1"/>
  <c r="AB8112" i="1"/>
  <c r="AB8113" i="1"/>
  <c r="AB8114" i="1"/>
  <c r="AB8115" i="1"/>
  <c r="S8116" i="1"/>
  <c r="AB8116" i="1"/>
  <c r="AB8118" i="1"/>
  <c r="AB8119" i="1"/>
  <c r="AB8121" i="1"/>
  <c r="AB8122" i="1"/>
  <c r="AB8123" i="1"/>
  <c r="AB8124" i="1"/>
  <c r="AB8125" i="1"/>
  <c r="AB8126" i="1"/>
  <c r="AB8128" i="1"/>
  <c r="AB8129" i="1"/>
  <c r="AB8130" i="1"/>
  <c r="AB8131" i="1"/>
  <c r="AB8132" i="1"/>
  <c r="AB8134" i="1"/>
  <c r="AB8137" i="1"/>
  <c r="AB8140" i="1"/>
  <c r="AB8139" i="1"/>
  <c r="AB8141" i="1"/>
  <c r="AB8143" i="1"/>
  <c r="AB8149" i="1"/>
  <c r="AB8154" i="1"/>
  <c r="AB8155" i="1"/>
  <c r="AB8157" i="1"/>
  <c r="AB8156" i="1"/>
  <c r="AB8153" i="1"/>
  <c r="AB8159" i="1"/>
  <c r="AB8158" i="1"/>
  <c r="AB8161" i="1"/>
  <c r="AB8162" i="1"/>
  <c r="AB8163" i="1"/>
  <c r="AB8166" i="1"/>
  <c r="AB8168" i="1"/>
  <c r="AB8169" i="1"/>
  <c r="AB8167" i="1"/>
  <c r="AB8170" i="1"/>
  <c r="AB8171" i="1"/>
  <c r="AB8174" i="1"/>
  <c r="AB8176" i="1"/>
  <c r="AB8178" i="1"/>
  <c r="AB8177" i="1"/>
  <c r="AB8182" i="1"/>
  <c r="AB8186" i="1"/>
  <c r="AB8188" i="1"/>
  <c r="AB8189" i="1"/>
  <c r="AB8190" i="1"/>
  <c r="AB8193" i="1"/>
  <c r="AB8192" i="1"/>
  <c r="Z8194" i="1"/>
  <c r="AB8194" i="1"/>
  <c r="AB8196" i="1"/>
  <c r="AB8197" i="1"/>
  <c r="AB8200" i="1"/>
  <c r="AB8205" i="1"/>
  <c r="AB8206" i="1"/>
  <c r="AB8207" i="1"/>
  <c r="AB8208" i="1"/>
  <c r="AB8209" i="1"/>
  <c r="AB8212" i="1"/>
  <c r="AB8213" i="1"/>
  <c r="AB8216" i="1"/>
  <c r="AB8220" i="1"/>
  <c r="AB8222" i="1"/>
  <c r="AB8223" i="1"/>
  <c r="AB8221" i="1"/>
  <c r="AB8224" i="1"/>
  <c r="AB8226" i="1"/>
  <c r="AB8227" i="1"/>
  <c r="AB8229" i="1"/>
  <c r="AB8228" i="1"/>
  <c r="AB8231" i="1"/>
  <c r="AB8232" i="1"/>
  <c r="AB8234" i="1"/>
  <c r="AB8236" i="1"/>
  <c r="AB8238" i="1"/>
  <c r="AB8237" i="1"/>
  <c r="AB8241" i="1"/>
  <c r="AB8240" i="1"/>
  <c r="AB8242" i="1"/>
  <c r="AB8248" i="1"/>
  <c r="AB8249" i="1"/>
  <c r="AB8250" i="1"/>
  <c r="AB8251" i="1"/>
  <c r="AB8254" i="1"/>
  <c r="AB8255" i="1"/>
  <c r="AB8256" i="1"/>
  <c r="AB8253" i="1"/>
  <c r="AB8257" i="1"/>
  <c r="AB8261" i="1"/>
  <c r="AB8264" i="1"/>
  <c r="AB8268" i="1"/>
  <c r="AB8269" i="1"/>
  <c r="AB8271" i="1"/>
  <c r="AB8270" i="1"/>
  <c r="AB8273" i="1"/>
  <c r="AB8274" i="1"/>
  <c r="AB8275" i="1"/>
  <c r="AB8278" i="1"/>
  <c r="AB8279" i="1"/>
  <c r="AB8280" i="1"/>
  <c r="AB8282" i="1"/>
  <c r="AB8281" i="1"/>
  <c r="AB8283" i="1"/>
  <c r="AB8287" i="1"/>
  <c r="AB8288" i="1"/>
  <c r="AB8290" i="1"/>
  <c r="AB8291" i="1"/>
  <c r="AB8294" i="1"/>
  <c r="AB8296" i="1"/>
  <c r="AB8295" i="1"/>
  <c r="AB8299" i="1"/>
  <c r="AB8301" i="1"/>
  <c r="AB8304" i="1"/>
  <c r="AB8305" i="1"/>
  <c r="AB8306" i="1"/>
  <c r="AB8338" i="1"/>
  <c r="AB8307" i="1"/>
  <c r="AB8309" i="1"/>
  <c r="AB8328" i="1"/>
  <c r="AB8313" i="1"/>
  <c r="AB8314" i="1"/>
  <c r="AB8312" i="1"/>
  <c r="AB8316" i="1"/>
  <c r="Z8323" i="1"/>
  <c r="AB8323" i="1"/>
  <c r="AB8315" i="1"/>
  <c r="AB8320" i="1"/>
  <c r="AB8329" i="1"/>
  <c r="AB8330" i="1"/>
  <c r="AB8331" i="1"/>
  <c r="AB8332" i="1"/>
  <c r="AB8333" i="1"/>
  <c r="AB8335" i="1"/>
  <c r="AB8336" i="1"/>
  <c r="AB8337" i="1"/>
  <c r="AB8339" i="1"/>
  <c r="AB8340" i="1"/>
  <c r="AB8343" i="1"/>
  <c r="AB8345" i="1"/>
  <c r="AB8346" i="1"/>
  <c r="AB8348" i="1"/>
  <c r="AB8349" i="1"/>
  <c r="AB8353" i="1"/>
  <c r="AB8351" i="1"/>
  <c r="AB8352" i="1"/>
  <c r="AB8354" i="1"/>
  <c r="AB8355" i="1"/>
  <c r="AB8358" i="1"/>
  <c r="AB8360" i="1"/>
  <c r="AB8362" i="1"/>
  <c r="AB8364" i="1"/>
  <c r="AB8363" i="1"/>
  <c r="AB8365" i="1"/>
  <c r="AB8369" i="1"/>
  <c r="AB8370" i="1"/>
  <c r="AB8374" i="1"/>
  <c r="AB8375" i="1"/>
  <c r="AB8378" i="1"/>
  <c r="AB8377" i="1"/>
  <c r="AB8379" i="1"/>
  <c r="AB8380" i="1"/>
  <c r="AB8376" i="1"/>
  <c r="AB8373" i="1"/>
  <c r="AB8384" i="1"/>
  <c r="AB8386" i="1"/>
  <c r="AB8388" i="1"/>
  <c r="AB8394" i="1"/>
  <c r="AB8395" i="1"/>
  <c r="AB8396" i="1"/>
  <c r="AB8397" i="1"/>
  <c r="AB8399" i="1"/>
  <c r="AB8400" i="1"/>
  <c r="AB8403" i="1"/>
  <c r="AB8406" i="1"/>
  <c r="AB8410" i="1"/>
  <c r="AB8407" i="1"/>
  <c r="AB8408" i="1"/>
  <c r="AB8412" i="1"/>
  <c r="AB8411" i="1"/>
  <c r="AB8409" i="1"/>
  <c r="AB8416" i="1"/>
  <c r="AB8418" i="1"/>
  <c r="AB8420" i="1"/>
  <c r="AB8419" i="1"/>
  <c r="AB8423" i="1"/>
  <c r="AB7851" i="1"/>
  <c r="AB8428" i="1"/>
  <c r="AB8429" i="1"/>
  <c r="AB8433" i="1"/>
  <c r="AB8435" i="1"/>
  <c r="AB8437" i="1"/>
  <c r="AB8439" i="1"/>
  <c r="AB8442" i="1"/>
  <c r="AB8444" i="1"/>
  <c r="AB8443" i="1"/>
  <c r="AB8445" i="1"/>
  <c r="AB8447" i="1"/>
  <c r="AB8448" i="1"/>
  <c r="Z8450" i="1"/>
  <c r="AB8450" i="1"/>
  <c r="AB8449" i="1"/>
  <c r="AB8451" i="1"/>
  <c r="Z8453" i="1"/>
  <c r="AB8453" i="1"/>
  <c r="AB8455" i="1"/>
  <c r="AB8456" i="1"/>
  <c r="AB8457" i="1"/>
  <c r="AB8458" i="1"/>
  <c r="AB8462" i="1"/>
  <c r="AB3684" i="1"/>
  <c r="AB8466" i="1"/>
  <c r="AB8467" i="1"/>
  <c r="AB8468" i="1"/>
  <c r="AB8469" i="1"/>
  <c r="AB8476" i="1"/>
  <c r="AB8478" i="1"/>
  <c r="AB8480" i="1"/>
  <c r="AB8479" i="1"/>
  <c r="AB8481" i="1"/>
  <c r="AB8482" i="1"/>
  <c r="AB8483" i="1"/>
  <c r="AB8484" i="1"/>
  <c r="AB2235" i="1"/>
  <c r="AB8485" i="1"/>
  <c r="AB8487" i="1"/>
  <c r="AB8488" i="1"/>
  <c r="AB8491" i="1"/>
  <c r="AB8489" i="1"/>
  <c r="AB8493" i="1"/>
  <c r="AB8494" i="1"/>
  <c r="AB8495" i="1"/>
  <c r="AB8496" i="1"/>
  <c r="AB8498" i="1"/>
  <c r="AB8499" i="1"/>
  <c r="AB8500" i="1"/>
  <c r="AB8501" i="1"/>
  <c r="AB8502" i="1"/>
  <c r="AB8506" i="1"/>
  <c r="AB8509" i="1"/>
  <c r="Z8505" i="1"/>
  <c r="AB8505" i="1"/>
  <c r="AB8508" i="1"/>
  <c r="AB8518" i="1"/>
  <c r="AB8512" i="1"/>
  <c r="AB8511" i="1"/>
  <c r="AB8513" i="1"/>
  <c r="AB8507" i="1"/>
  <c r="AB8510" i="1"/>
  <c r="AB8517" i="1"/>
  <c r="AB8514" i="1"/>
  <c r="AB8522" i="1"/>
  <c r="AB8523" i="1"/>
  <c r="AB8524" i="1"/>
  <c r="S8525" i="1"/>
  <c r="AB8525" i="1"/>
  <c r="AB8526" i="1"/>
  <c r="AB8527" i="1"/>
  <c r="AB8528" i="1"/>
  <c r="AB8529" i="1"/>
  <c r="AB8534" i="1"/>
  <c r="AB8537" i="1"/>
  <c r="AB8536" i="1"/>
  <c r="AB8540" i="1"/>
  <c r="AB8541" i="1"/>
  <c r="AB8543" i="1"/>
  <c r="AB8544" i="1"/>
  <c r="AB8545" i="1"/>
  <c r="AB8546" i="1"/>
  <c r="AB8550" i="1"/>
  <c r="AB8549" i="1"/>
  <c r="AB8552" i="1"/>
  <c r="AB8554" i="1"/>
  <c r="AB8558" i="1"/>
  <c r="AB8556" i="1"/>
  <c r="AB8555" i="1"/>
  <c r="AB8557" i="1"/>
  <c r="AB8559" i="1"/>
  <c r="AB8560" i="1"/>
  <c r="AB8562" i="1"/>
  <c r="AB8561" i="1"/>
  <c r="AB8564" i="1"/>
  <c r="AB8567" i="1"/>
  <c r="AB8568" i="1"/>
  <c r="AB8570" i="1"/>
  <c r="AB8573" i="1"/>
  <c r="AB8577" i="1"/>
  <c r="AB8574" i="1"/>
  <c r="AB8578" i="1"/>
  <c r="AB8579" i="1"/>
  <c r="AB8580" i="1"/>
  <c r="AB8581" i="1"/>
  <c r="AB8592" i="1"/>
  <c r="AB8593" i="1"/>
  <c r="AB8594" i="1"/>
  <c r="AB8596" i="1"/>
  <c r="AB8597" i="1"/>
  <c r="AB8598" i="1"/>
  <c r="AB8599" i="1"/>
  <c r="AB8602" i="1"/>
  <c r="AB8604" i="1"/>
  <c r="AB8603" i="1"/>
  <c r="AB8605" i="1"/>
  <c r="AB8606" i="1"/>
  <c r="AB8607" i="1"/>
  <c r="AB8608" i="1"/>
  <c r="AB8609" i="1"/>
  <c r="AB8613" i="1"/>
  <c r="AB8615" i="1"/>
  <c r="AB8617" i="1"/>
  <c r="AB8618" i="1"/>
  <c r="AB8620" i="1"/>
  <c r="AB8619" i="1"/>
  <c r="AB8621" i="1"/>
  <c r="AB8623" i="1"/>
  <c r="AB8625" i="1"/>
  <c r="AB8626" i="1"/>
  <c r="AB8629" i="1"/>
  <c r="AB8627" i="1"/>
  <c r="AB8628" i="1"/>
  <c r="AB8631" i="1"/>
  <c r="AB8634" i="1"/>
  <c r="Z8633" i="1"/>
  <c r="AB8633" i="1"/>
  <c r="AB8636" i="1"/>
  <c r="AB8638" i="1"/>
  <c r="AB8639" i="1"/>
  <c r="AB8641" i="1"/>
  <c r="AB8646" i="1"/>
  <c r="AB8647" i="1"/>
  <c r="AB8649" i="1"/>
  <c r="AB8651" i="1"/>
  <c r="AB8775" i="1"/>
  <c r="AB8653" i="1"/>
  <c r="AB8654" i="1"/>
  <c r="AB8656" i="1"/>
  <c r="AB8658" i="1"/>
  <c r="AB8659" i="1"/>
  <c r="Z8660" i="1"/>
  <c r="AB8660" i="1"/>
  <c r="AB8662" i="1"/>
  <c r="AB8663" i="1"/>
  <c r="AB8668" i="1"/>
  <c r="AB8670" i="1"/>
  <c r="AB8672" i="1"/>
  <c r="AB8673" i="1"/>
  <c r="AB8674" i="1"/>
  <c r="AB8675" i="1"/>
  <c r="AB8678" i="1"/>
  <c r="AB8679" i="1"/>
  <c r="AB8681" i="1"/>
  <c r="AB8682" i="1"/>
  <c r="AB8683" i="1"/>
  <c r="AB8685" i="1"/>
  <c r="AB8687" i="1"/>
  <c r="AB8692" i="1"/>
  <c r="AB8693" i="1"/>
  <c r="AB8696" i="1"/>
  <c r="AB8695" i="1"/>
  <c r="AB8699" i="1"/>
  <c r="AB8701" i="1"/>
  <c r="AB8700" i="1"/>
  <c r="AB8717" i="1"/>
  <c r="Z8706" i="1"/>
  <c r="AB8706" i="1"/>
  <c r="AB8710" i="1"/>
  <c r="Z8698" i="1"/>
  <c r="AB8698" i="1"/>
  <c r="AB8719" i="1"/>
  <c r="AB8705" i="1"/>
  <c r="AB8702" i="1"/>
  <c r="AB8703" i="1"/>
  <c r="AB8707" i="1"/>
  <c r="AB8708" i="1"/>
  <c r="AB8704" i="1"/>
  <c r="AB8713" i="1"/>
  <c r="AB8709" i="1"/>
  <c r="AB8715" i="1"/>
  <c r="AB8728" i="1"/>
  <c r="AB8729" i="1"/>
  <c r="AB8730" i="1"/>
  <c r="AB8731" i="1"/>
  <c r="AB8732" i="1"/>
  <c r="AB8733" i="1"/>
  <c r="AB8734" i="1"/>
  <c r="AB8735" i="1"/>
  <c r="AB8736" i="1"/>
  <c r="AB8737" i="1"/>
  <c r="AB8738" i="1"/>
  <c r="AB8739" i="1"/>
  <c r="AB8740" i="1"/>
  <c r="AB8741" i="1"/>
  <c r="AB8742" i="1"/>
  <c r="AB8743" i="1"/>
  <c r="AB8745" i="1"/>
  <c r="AB8746" i="1"/>
  <c r="AB8752" i="1"/>
  <c r="AB8747" i="1"/>
  <c r="AB8749" i="1"/>
  <c r="AB8758" i="1"/>
  <c r="AB8759" i="1"/>
  <c r="AB8760" i="1"/>
  <c r="AB8761" i="1"/>
  <c r="AB8762" i="1"/>
  <c r="AB8763" i="1"/>
  <c r="AB8764" i="1"/>
  <c r="AB8768" i="1"/>
  <c r="AB8769" i="1"/>
  <c r="AB8767" i="1"/>
  <c r="Z8772" i="1"/>
  <c r="AB8772" i="1"/>
  <c r="AB8770" i="1"/>
  <c r="AB8774" i="1"/>
  <c r="AB8776" i="1"/>
  <c r="AB8777" i="1"/>
  <c r="AB8779" i="1"/>
  <c r="AB8782" i="1"/>
  <c r="AB8785" i="1"/>
  <c r="AB8786" i="1"/>
  <c r="AB8788" i="1"/>
  <c r="AB8790" i="1"/>
  <c r="AB8791" i="1"/>
  <c r="AB8792" i="1"/>
  <c r="AB8793" i="1"/>
  <c r="AB8796" i="1"/>
  <c r="AB8795" i="1"/>
  <c r="AB8794" i="1"/>
  <c r="AB8798" i="1"/>
  <c r="AB8797" i="1"/>
  <c r="AB8800" i="1"/>
  <c r="AB8802" i="1"/>
  <c r="AB8808" i="1"/>
  <c r="AB8565" i="1"/>
  <c r="AB8809" i="1"/>
  <c r="AB8812" i="1"/>
  <c r="AB8814" i="1"/>
  <c r="AB8816" i="1"/>
  <c r="AB8817" i="1"/>
  <c r="AB8820" i="1"/>
  <c r="AB8819" i="1"/>
  <c r="AB8818" i="1"/>
  <c r="AB8821" i="1"/>
  <c r="AB8824" i="1"/>
  <c r="AB8823" i="1"/>
  <c r="AB8826" i="1"/>
  <c r="AB8825" i="1"/>
  <c r="AB8827" i="1"/>
  <c r="AB8854" i="1"/>
  <c r="AB8829" i="1"/>
  <c r="AB8828" i="1"/>
  <c r="AB8830" i="1"/>
  <c r="AB8831" i="1"/>
  <c r="AB8833" i="1"/>
  <c r="AB8835" i="1"/>
  <c r="AB8837" i="1"/>
  <c r="AB8836" i="1"/>
  <c r="AB8838" i="1"/>
  <c r="AB8840" i="1"/>
  <c r="AB8839" i="1"/>
  <c r="AB8843" i="1"/>
  <c r="AB8844" i="1"/>
  <c r="AB8850" i="1"/>
  <c r="AB8845" i="1"/>
  <c r="AB8846" i="1"/>
  <c r="AB8853" i="1"/>
  <c r="AB8852" i="1"/>
  <c r="AB8855" i="1"/>
  <c r="AB8857" i="1"/>
  <c r="AB8858" i="1"/>
  <c r="AB8859" i="1"/>
  <c r="AB8860" i="1"/>
  <c r="AB8864" i="1"/>
  <c r="AB8866" i="1"/>
  <c r="AB8867" i="1"/>
  <c r="AB8872" i="1"/>
  <c r="AB8874" i="1"/>
  <c r="AB8877" i="1"/>
  <c r="AB8876" i="1"/>
  <c r="AB8878" i="1"/>
  <c r="AB8880" i="1"/>
  <c r="AB8881" i="1"/>
  <c r="AB8882" i="1"/>
  <c r="AB8883" i="1"/>
  <c r="AB8885" i="1"/>
  <c r="AB8887" i="1"/>
  <c r="AB8888" i="1"/>
  <c r="AB8890" i="1"/>
  <c r="AB8893" i="1"/>
  <c r="AB8892" i="1"/>
  <c r="AB8895" i="1"/>
  <c r="AB8896" i="1"/>
  <c r="AB8897" i="1"/>
  <c r="AB8898" i="1"/>
  <c r="AB8899" i="1"/>
  <c r="AB8902" i="1"/>
  <c r="AB8903" i="1"/>
  <c r="AB8904" i="1"/>
  <c r="AB8909" i="1"/>
  <c r="AB8908" i="1"/>
  <c r="AB8911" i="1"/>
  <c r="AB8912" i="1"/>
  <c r="AB8913" i="1"/>
  <c r="AB8914" i="1"/>
  <c r="AB8915" i="1"/>
  <c r="AB8918" i="1"/>
  <c r="AB8919" i="1"/>
  <c r="AB8921" i="1"/>
  <c r="AB8924" i="1"/>
  <c r="AB8922" i="1"/>
  <c r="AB8923" i="1"/>
  <c r="AB8925" i="1"/>
  <c r="AB8926" i="1"/>
  <c r="AB8927" i="1"/>
  <c r="AB8928" i="1"/>
  <c r="AB8930" i="1"/>
  <c r="AB8929" i="1"/>
  <c r="AB8931" i="1"/>
  <c r="AB8933" i="1"/>
  <c r="AB8934" i="1"/>
  <c r="AB8935" i="1"/>
  <c r="AB8937" i="1"/>
  <c r="AB8936" i="1"/>
  <c r="AB8939" i="1"/>
  <c r="AB8944" i="1"/>
  <c r="AB8941" i="1"/>
  <c r="AB8947" i="1"/>
  <c r="AB8948" i="1"/>
  <c r="AB8949" i="1"/>
  <c r="AB8952" i="1"/>
  <c r="Z8951" i="1"/>
  <c r="AB8951" i="1"/>
  <c r="AB8953" i="1"/>
  <c r="AB8954" i="1"/>
  <c r="AB8955" i="1"/>
  <c r="Z8958" i="1"/>
  <c r="AB8958" i="1"/>
  <c r="AB8957" i="1"/>
  <c r="AB8960" i="1"/>
  <c r="AB8959" i="1"/>
  <c r="AB8962" i="1"/>
  <c r="AB8964" i="1"/>
  <c r="AB8965" i="1"/>
  <c r="AB8966" i="1"/>
  <c r="AB8967" i="1"/>
  <c r="AB8968" i="1"/>
  <c r="AB8969" i="1"/>
  <c r="AB8971" i="1"/>
  <c r="AB8976" i="1"/>
  <c r="AB8977" i="1"/>
  <c r="AB8994" i="1"/>
  <c r="AB8978" i="1"/>
  <c r="AB8986" i="1"/>
  <c r="AB8987" i="1"/>
  <c r="AB8982" i="1"/>
  <c r="AB8984" i="1"/>
  <c r="AB8985" i="1"/>
  <c r="AB9002" i="1"/>
  <c r="AB8980" i="1"/>
  <c r="AB8981" i="1"/>
  <c r="AB8991" i="1"/>
  <c r="AB8993" i="1"/>
  <c r="AB8990" i="1"/>
  <c r="AB9016" i="1"/>
  <c r="AB9017" i="1"/>
  <c r="AB9018" i="1"/>
  <c r="AB9019" i="1"/>
  <c r="AB9020" i="1"/>
  <c r="AB9021" i="1"/>
  <c r="AB9022" i="1"/>
  <c r="AB9023" i="1"/>
  <c r="AB9024" i="1"/>
  <c r="AB9025" i="1"/>
  <c r="AB9026" i="1"/>
  <c r="AB9027" i="1"/>
  <c r="AB9028" i="1"/>
  <c r="AB9029" i="1"/>
  <c r="AB9030" i="1"/>
  <c r="AB9031" i="1"/>
  <c r="AB9034" i="1"/>
  <c r="AB9035" i="1"/>
  <c r="AB9032" i="1"/>
  <c r="AB9033" i="1"/>
  <c r="AB9036" i="1"/>
  <c r="AB9037" i="1"/>
  <c r="AB9038" i="1"/>
  <c r="AB9044" i="1"/>
  <c r="AB9046" i="1"/>
  <c r="AB9048" i="1"/>
  <c r="AB9052" i="1"/>
  <c r="AB9049" i="1"/>
  <c r="AB9051" i="1"/>
  <c r="AB9054" i="1"/>
  <c r="AB9055" i="1"/>
  <c r="AB9057" i="1"/>
  <c r="AB9059" i="1"/>
  <c r="AB9061" i="1"/>
  <c r="AB9064" i="1"/>
  <c r="AB9065" i="1"/>
  <c r="AB9069" i="1"/>
  <c r="AB9072" i="1"/>
  <c r="AB9073" i="1"/>
  <c r="AB9074" i="1"/>
  <c r="AB9075" i="1"/>
  <c r="AB9077" i="1"/>
  <c r="AB9078" i="1"/>
  <c r="AB9079" i="1"/>
  <c r="AB9080" i="1"/>
  <c r="AB9081" i="1"/>
  <c r="AB9090" i="1"/>
  <c r="AB9082" i="1"/>
  <c r="AB9083" i="1"/>
  <c r="AB9089" i="1"/>
  <c r="AB9084" i="1"/>
  <c r="AB9085" i="1"/>
  <c r="AB9091" i="1"/>
  <c r="AB9092" i="1"/>
  <c r="AB9094" i="1"/>
  <c r="AB9099" i="1"/>
  <c r="AB9098" i="1"/>
  <c r="AB9103" i="1"/>
  <c r="AB9100" i="1"/>
  <c r="Z9101" i="1"/>
  <c r="AB9101" i="1"/>
  <c r="AB9102" i="1"/>
  <c r="AB9097" i="1"/>
  <c r="Z9105" i="1"/>
  <c r="AB9105" i="1"/>
  <c r="AB9106" i="1"/>
  <c r="AB9109" i="1"/>
  <c r="AB9119" i="1"/>
  <c r="AB9113" i="1"/>
  <c r="AB9112" i="1"/>
  <c r="AB9115" i="1"/>
  <c r="AB9114" i="1"/>
  <c r="AB9116" i="1"/>
  <c r="AB9118" i="1"/>
  <c r="AB9117" i="1"/>
  <c r="AB9120" i="1"/>
  <c r="AB9121" i="1"/>
  <c r="AB9127" i="1"/>
  <c r="AB9130" i="1"/>
  <c r="AB9131" i="1"/>
  <c r="AB9132" i="1"/>
  <c r="Z9133" i="1"/>
  <c r="AB9133" i="1"/>
  <c r="AB9134" i="1"/>
  <c r="AB9135" i="1"/>
  <c r="AB9136" i="1"/>
  <c r="AB9137" i="1"/>
  <c r="AB9141" i="1"/>
  <c r="AB9138" i="1"/>
  <c r="AB9139" i="1"/>
  <c r="AB9142" i="1"/>
  <c r="Z9146" i="1"/>
  <c r="AB9146" i="1"/>
  <c r="AB9144" i="1"/>
  <c r="AB9145" i="1"/>
  <c r="AB9147" i="1"/>
  <c r="AB9148" i="1"/>
  <c r="AB9149" i="1"/>
  <c r="AB9150" i="1"/>
  <c r="AB9151" i="1"/>
  <c r="AB9153" i="1"/>
  <c r="AB9155" i="1"/>
  <c r="AB9154" i="1"/>
  <c r="AB9157" i="1"/>
  <c r="AB9159" i="1"/>
  <c r="AB9158" i="1"/>
  <c r="AB9160" i="1"/>
  <c r="AB9162" i="1"/>
  <c r="AB9163" i="1"/>
  <c r="AB9166" i="1"/>
  <c r="AB9164" i="1"/>
  <c r="AB9167" i="1"/>
  <c r="AB9169" i="1"/>
  <c r="AB9171" i="1"/>
  <c r="AB9172" i="1"/>
  <c r="AB9175" i="1"/>
  <c r="AB9178" i="1"/>
  <c r="AB9179" i="1"/>
  <c r="AB9185" i="1"/>
  <c r="AB9181" i="1"/>
  <c r="AB9183" i="1"/>
  <c r="AB9182" i="1"/>
  <c r="AB9186" i="1"/>
  <c r="AB9187" i="1"/>
  <c r="AB9189" i="1"/>
  <c r="AB9188" i="1"/>
  <c r="AB9190" i="1"/>
  <c r="AB9191" i="1"/>
  <c r="AB9193" i="1"/>
  <c r="AB9194" i="1"/>
  <c r="AB9197" i="1"/>
  <c r="AB9198" i="1"/>
  <c r="AB9199" i="1"/>
  <c r="AB9201" i="1"/>
  <c r="AB9203" i="1"/>
  <c r="AB9205" i="1"/>
  <c r="AB9206" i="1"/>
  <c r="AB9207" i="1"/>
  <c r="AB9208" i="1"/>
  <c r="AB9209" i="1"/>
  <c r="AB9211" i="1"/>
  <c r="AB9214" i="1"/>
  <c r="AB9212" i="1"/>
  <c r="AB9215" i="1"/>
  <c r="AB9216" i="1"/>
  <c r="AB9217" i="1"/>
  <c r="AB9218" i="1"/>
  <c r="AB9219" i="1"/>
  <c r="AB9220" i="1"/>
  <c r="AB9239" i="1"/>
  <c r="AB9222" i="1"/>
  <c r="AB9226" i="1"/>
  <c r="AB9227" i="1"/>
  <c r="AB9250" i="1"/>
  <c r="AB9243" i="1"/>
  <c r="AB9224" i="1"/>
  <c r="AB9223" i="1"/>
  <c r="AB9235" i="1"/>
  <c r="AB9236" i="1"/>
  <c r="AB9228" i="1"/>
  <c r="AB9225" i="1"/>
  <c r="Z9252" i="1"/>
  <c r="AB9252" i="1"/>
  <c r="AB9246" i="1"/>
  <c r="AB9238" i="1"/>
  <c r="AB9245" i="1"/>
  <c r="AB9242" i="1"/>
  <c r="AB9253" i="1"/>
  <c r="AB9247" i="1"/>
  <c r="AB9249" i="1"/>
  <c r="AB9231" i="1"/>
  <c r="AB9240" i="1"/>
  <c r="AB9234" i="1"/>
  <c r="AB9269" i="1"/>
  <c r="AB9270" i="1"/>
  <c r="AB9271" i="1"/>
  <c r="AB9272" i="1"/>
  <c r="AB9273" i="1"/>
  <c r="AB9274" i="1"/>
  <c r="AB9275" i="1"/>
  <c r="AB9276" i="1"/>
  <c r="AB9277" i="1"/>
  <c r="S9278" i="1"/>
  <c r="AB9278" i="1"/>
  <c r="AB9279" i="1"/>
  <c r="AB9280" i="1"/>
  <c r="AB9281" i="1"/>
  <c r="S9282" i="1"/>
  <c r="AB9282" i="1"/>
  <c r="AB9283" i="1"/>
  <c r="AB9284" i="1"/>
  <c r="AB9285" i="1"/>
  <c r="AB9286" i="1"/>
  <c r="AB9287" i="1"/>
  <c r="AB9290" i="1"/>
  <c r="AB9289" i="1"/>
  <c r="AB9288" i="1"/>
  <c r="Z9292" i="1"/>
  <c r="AB9292" i="1"/>
  <c r="AB9294" i="1"/>
  <c r="AB9295" i="1"/>
  <c r="AB9296" i="1"/>
  <c r="AB9297" i="1"/>
  <c r="AB9298" i="1"/>
  <c r="AB9299" i="1"/>
  <c r="AB9302" i="1"/>
  <c r="AB9307" i="1"/>
  <c r="AB9309" i="1"/>
  <c r="AB9310" i="1"/>
  <c r="AB9311" i="1"/>
  <c r="AB9312" i="1"/>
  <c r="AB9315" i="1"/>
  <c r="AB9317" i="1"/>
  <c r="AB9316" i="1"/>
  <c r="AB9320" i="1"/>
  <c r="AB9322" i="1"/>
  <c r="AB9324" i="1"/>
  <c r="AB9325" i="1"/>
  <c r="AB9327" i="1"/>
  <c r="AB9328" i="1"/>
  <c r="AB9329" i="1"/>
  <c r="AB9330" i="1"/>
  <c r="AB9332" i="1"/>
  <c r="AB9331" i="1"/>
  <c r="AB9334" i="1"/>
  <c r="AB9333" i="1"/>
  <c r="AB9335" i="1"/>
  <c r="AB9337" i="1"/>
  <c r="AB9336" i="1"/>
  <c r="AB9340" i="1"/>
  <c r="AB9345" i="1"/>
  <c r="AB9346" i="1"/>
  <c r="AB9347" i="1"/>
  <c r="AB9348" i="1"/>
  <c r="AB9352" i="1"/>
  <c r="AB9351" i="1"/>
  <c r="AB9353" i="1"/>
  <c r="AB9354" i="1"/>
  <c r="AB9356" i="1"/>
  <c r="AB9360" i="1"/>
  <c r="AB9362" i="1"/>
  <c r="AB9363" i="1"/>
  <c r="AB9366" i="1"/>
  <c r="AB9365" i="1"/>
  <c r="AB9361" i="1"/>
  <c r="AB9364" i="1"/>
  <c r="AB9368" i="1"/>
  <c r="AB9369" i="1"/>
  <c r="AB9370" i="1"/>
  <c r="AB9373" i="1"/>
  <c r="AB9374" i="1"/>
  <c r="AB9375" i="1"/>
  <c r="AB9376" i="1"/>
  <c r="AB9377" i="1"/>
  <c r="AB9378" i="1"/>
  <c r="AB9379" i="1"/>
  <c r="AB9381" i="1"/>
  <c r="AB9380" i="1"/>
  <c r="AB9383" i="1"/>
  <c r="AB9384" i="1"/>
  <c r="AB9385" i="1"/>
  <c r="AB9386" i="1"/>
  <c r="AB9388" i="1"/>
  <c r="AB9389" i="1"/>
  <c r="AB9391" i="1"/>
  <c r="AB9392" i="1"/>
  <c r="AB9395" i="1"/>
  <c r="AB9394" i="1"/>
  <c r="AB9396" i="1"/>
  <c r="AB9397" i="1"/>
  <c r="AB9398" i="1"/>
  <c r="AB9399" i="1"/>
  <c r="AB9401" i="1"/>
  <c r="AB9402" i="1"/>
  <c r="AB9400" i="1"/>
  <c r="AB9403" i="1"/>
  <c r="AB9405" i="1"/>
  <c r="AB9406" i="1"/>
  <c r="AB9407" i="1"/>
  <c r="AB9408" i="1"/>
  <c r="AB9409" i="1"/>
  <c r="AB9411" i="1"/>
  <c r="AB9410" i="1"/>
  <c r="AB9414" i="1"/>
  <c r="AB9412" i="1"/>
  <c r="AB9415" i="1"/>
  <c r="AB9416" i="1"/>
  <c r="AB9413" i="1"/>
  <c r="AB9417" i="1"/>
  <c r="AB9419" i="1"/>
  <c r="AB9420" i="1"/>
  <c r="AB9421" i="1"/>
  <c r="AB9426" i="1"/>
  <c r="AB9424" i="1"/>
  <c r="AB9422" i="1"/>
  <c r="AB9428" i="1"/>
  <c r="AB9423" i="1"/>
  <c r="AB9431" i="1"/>
  <c r="AB9432" i="1"/>
  <c r="AB9433" i="1"/>
  <c r="AB9434" i="1"/>
  <c r="AB9435" i="1"/>
  <c r="AB9437" i="1"/>
  <c r="AB9436" i="1"/>
  <c r="AB9439" i="1"/>
  <c r="AB9438" i="1"/>
  <c r="AB9443" i="1"/>
  <c r="AB9445" i="1"/>
  <c r="AB9444" i="1"/>
  <c r="AB9446" i="1"/>
  <c r="AB9448" i="1"/>
  <c r="AB9450" i="1"/>
  <c r="AB9449" i="1"/>
  <c r="AB9451" i="1"/>
  <c r="AB9452" i="1"/>
  <c r="AB9454" i="1"/>
  <c r="Z9459" i="1"/>
  <c r="AB9459" i="1"/>
  <c r="AB9456" i="1"/>
  <c r="AB9457" i="1"/>
  <c r="AB9458" i="1"/>
  <c r="AB9460" i="1"/>
  <c r="AB9462" i="1"/>
  <c r="AB9463" i="1"/>
  <c r="AB9464" i="1"/>
  <c r="AB9465" i="1"/>
  <c r="AB9466" i="1"/>
  <c r="AB9467" i="1"/>
  <c r="AB9470" i="1"/>
  <c r="AB9472" i="1"/>
  <c r="AB9473" i="1"/>
  <c r="AB9494" i="1"/>
  <c r="AB9478" i="1"/>
  <c r="AB9490" i="1"/>
  <c r="AB9512" i="1"/>
  <c r="AB9525" i="1"/>
  <c r="AB9481" i="1"/>
  <c r="AB9489" i="1"/>
  <c r="AB9488" i="1"/>
  <c r="AB9493" i="1"/>
  <c r="AB9500" i="1"/>
  <c r="AB9492" i="1"/>
  <c r="AB9477" i="1"/>
  <c r="AB9479" i="1"/>
  <c r="AB9491" i="1"/>
  <c r="AB9527" i="1"/>
  <c r="AB9558" i="1"/>
  <c r="AB9486" i="1"/>
  <c r="AB9483" i="1"/>
  <c r="AB9475" i="1"/>
  <c r="AB9498" i="1"/>
  <c r="AB9507" i="1"/>
  <c r="AB9510" i="1"/>
  <c r="AB9509" i="1"/>
  <c r="AB9474" i="1"/>
  <c r="AB9499" i="1"/>
  <c r="AB9496" i="1"/>
  <c r="AB9504" i="1"/>
  <c r="AB9495" i="1"/>
  <c r="AB9480" i="1"/>
  <c r="AB9476" i="1"/>
  <c r="AB9530" i="1"/>
  <c r="AB9533" i="1"/>
  <c r="AB9531" i="1"/>
  <c r="AB9534" i="1"/>
  <c r="AB9508" i="1"/>
  <c r="AB9502" i="1"/>
  <c r="AB9514" i="1"/>
  <c r="AB9519" i="1"/>
  <c r="AB9513" i="1"/>
  <c r="AB9545" i="1"/>
  <c r="AB9546" i="1"/>
  <c r="AB9547" i="1"/>
  <c r="AB9548" i="1"/>
  <c r="AB9549" i="1"/>
  <c r="AB9550" i="1"/>
  <c r="AB9551" i="1"/>
  <c r="AB9552" i="1"/>
  <c r="AB9553" i="1"/>
  <c r="AB9554" i="1"/>
  <c r="AB9555" i="1"/>
  <c r="AB9556" i="1"/>
  <c r="AB9557" i="1"/>
  <c r="AB9559" i="1"/>
  <c r="AB9560" i="1"/>
  <c r="AB9562" i="1"/>
  <c r="AB9565" i="1"/>
  <c r="AB9566" i="1"/>
  <c r="AB9567" i="1"/>
  <c r="AB9568" i="1"/>
  <c r="AB9570" i="1"/>
  <c r="AB9571" i="1"/>
  <c r="AB9572" i="1"/>
  <c r="AB9574" i="1"/>
  <c r="AB9576" i="1"/>
  <c r="AB9575" i="1"/>
  <c r="AB9577" i="1"/>
  <c r="AB9579" i="1"/>
  <c r="AB9582" i="1"/>
  <c r="AB9584" i="1"/>
  <c r="AB9585" i="1"/>
  <c r="AB9586" i="1"/>
  <c r="AB9587" i="1"/>
  <c r="AB9589" i="1"/>
  <c r="AB9592" i="1"/>
  <c r="AB9593" i="1"/>
  <c r="AB9594" i="1"/>
  <c r="AB9598" i="1"/>
  <c r="AB9599" i="1"/>
  <c r="AB9600" i="1"/>
  <c r="AB9601" i="1"/>
  <c r="AB9602" i="1"/>
  <c r="AB9603" i="1"/>
  <c r="AB9605" i="1"/>
  <c r="AB9614" i="1"/>
  <c r="AB9608" i="1"/>
  <c r="AB9613" i="1"/>
  <c r="AB9606" i="1"/>
  <c r="AB9610" i="1"/>
  <c r="AB9615" i="1"/>
  <c r="AB9617" i="1"/>
  <c r="AB9618" i="1"/>
  <c r="AB9619" i="1"/>
  <c r="AB9621" i="1"/>
  <c r="AB9624" i="1"/>
  <c r="AB9622" i="1"/>
  <c r="AB9626" i="1"/>
  <c r="AB9627" i="1"/>
  <c r="AB9629" i="1"/>
  <c r="AB9630" i="1"/>
  <c r="AB9631" i="1"/>
  <c r="AB9633" i="1"/>
  <c r="AB9634" i="1"/>
  <c r="AB9632" i="1"/>
  <c r="AB9635" i="1"/>
  <c r="AB9485" i="1"/>
  <c r="AB9636" i="1"/>
  <c r="AB9637" i="1"/>
  <c r="AB9639" i="1"/>
  <c r="AB9640" i="1"/>
  <c r="AB9641" i="1"/>
  <c r="AB9642" i="1"/>
  <c r="AB9644" i="1"/>
  <c r="AB9645" i="1"/>
  <c r="AB9648" i="1"/>
  <c r="AB9647" i="1"/>
  <c r="AB9652" i="1"/>
  <c r="AB9653" i="1"/>
  <c r="AB9651" i="1"/>
  <c r="AB9654" i="1"/>
  <c r="AB9656" i="1"/>
  <c r="AB9657" i="1"/>
  <c r="AB9658" i="1"/>
  <c r="AB9660" i="1"/>
  <c r="Z9662" i="1"/>
  <c r="AB9662" i="1"/>
  <c r="AB9661" i="1"/>
  <c r="AB9665" i="1"/>
  <c r="AB9663" i="1"/>
  <c r="AB9666" i="1"/>
  <c r="AB9667" i="1"/>
  <c r="AB9668" i="1"/>
  <c r="AB9669" i="1"/>
  <c r="AB9670" i="1"/>
  <c r="AB9671" i="1"/>
  <c r="AB9673" i="1"/>
  <c r="AB9675" i="1"/>
  <c r="AB9676" i="1"/>
  <c r="AB9677" i="1"/>
  <c r="AB9682" i="1"/>
  <c r="AB9679" i="1"/>
  <c r="AB9680" i="1"/>
  <c r="AB9687" i="1"/>
  <c r="AB9688" i="1"/>
  <c r="AB9691" i="1"/>
  <c r="AB9690" i="1"/>
  <c r="AB9689" i="1"/>
  <c r="AB9692" i="1"/>
  <c r="AB9693" i="1"/>
  <c r="AB9694" i="1"/>
  <c r="AB9794" i="1"/>
  <c r="AB9701" i="1"/>
  <c r="AB9749" i="1"/>
  <c r="AB9714" i="1"/>
  <c r="AB9697" i="1"/>
  <c r="AB9696" i="1"/>
  <c r="AB9707" i="1"/>
  <c r="AB9702" i="1"/>
  <c r="AB9737" i="1"/>
  <c r="AB9704" i="1"/>
  <c r="AB9740" i="1"/>
  <c r="AB9698" i="1"/>
  <c r="AB9711" i="1"/>
  <c r="AB9710" i="1"/>
  <c r="AB9705" i="1"/>
  <c r="AB9708" i="1"/>
  <c r="AB9719" i="1"/>
  <c r="AB9700" i="1"/>
  <c r="AB9713" i="1"/>
  <c r="AB9699" i="1"/>
  <c r="AB9736" i="1"/>
  <c r="AB9703" i="1"/>
  <c r="AB9721" i="1"/>
  <c r="Z9748" i="1"/>
  <c r="AB9748" i="1"/>
  <c r="Z9733" i="1"/>
  <c r="AB9733" i="1"/>
  <c r="AB9712" i="1"/>
  <c r="AB9718" i="1"/>
  <c r="AB9731" i="1"/>
  <c r="AB9754" i="1"/>
  <c r="AB9727" i="1"/>
  <c r="AB9709" i="1"/>
  <c r="AB9706" i="1"/>
  <c r="AB9750" i="1"/>
  <c r="AB9739" i="1"/>
  <c r="AB9742" i="1"/>
  <c r="AB9738" i="1"/>
  <c r="AB9752" i="1"/>
  <c r="AB9732" i="1"/>
  <c r="AB9735" i="1"/>
  <c r="AB9720" i="1"/>
  <c r="AB9773" i="1"/>
  <c r="AB9774" i="1"/>
  <c r="AB9775" i="1"/>
  <c r="AB9776" i="1"/>
  <c r="AB9777" i="1"/>
  <c r="AB9778" i="1"/>
  <c r="AB9779" i="1"/>
  <c r="AB9780" i="1"/>
  <c r="AB9781" i="1"/>
  <c r="AB9782" i="1"/>
  <c r="AB9785" i="1"/>
  <c r="AB9784" i="1"/>
  <c r="AB9783" i="1"/>
  <c r="AB9787" i="1"/>
  <c r="AB9786" i="1"/>
  <c r="AB9788" i="1"/>
  <c r="AB9789" i="1"/>
  <c r="AB9790" i="1"/>
  <c r="AB9791" i="1"/>
  <c r="AB9792" i="1"/>
  <c r="AB9796" i="1"/>
  <c r="AB9795" i="1"/>
  <c r="AB9793" i="1"/>
  <c r="AB9798" i="1"/>
  <c r="AB9799" i="1"/>
  <c r="AB9800" i="1"/>
  <c r="AB9802" i="1"/>
  <c r="AB9803" i="1"/>
  <c r="AB9807" i="1"/>
  <c r="AB9806" i="1"/>
  <c r="AB9808" i="1"/>
  <c r="AB9809" i="1"/>
  <c r="AB9811" i="1"/>
  <c r="AB9810" i="1"/>
  <c r="AB9813" i="1"/>
  <c r="AB9814" i="1"/>
  <c r="AB9815" i="1"/>
  <c r="AB9816" i="1"/>
  <c r="AB9817" i="1"/>
  <c r="AB9819" i="1"/>
  <c r="AB9818" i="1"/>
  <c r="AB9820" i="1"/>
  <c r="AB9822" i="1"/>
  <c r="AB9821" i="1"/>
  <c r="AB9823" i="1"/>
  <c r="AB9824" i="1"/>
  <c r="AB9826" i="1"/>
  <c r="AB9830" i="1"/>
  <c r="AB9828" i="1"/>
  <c r="AB9832" i="1"/>
  <c r="AB9836" i="1"/>
  <c r="AB9837" i="1"/>
  <c r="AB9839" i="1"/>
  <c r="AB9838" i="1"/>
  <c r="AB9840" i="1"/>
  <c r="AB9842" i="1"/>
  <c r="AB9843" i="1"/>
  <c r="AB9847" i="1"/>
  <c r="AB9848" i="1"/>
  <c r="AB9849" i="1"/>
  <c r="AB9850" i="1"/>
  <c r="AB9851" i="1"/>
  <c r="AB9852" i="1"/>
  <c r="AB9855" i="1"/>
  <c r="AB9856" i="1"/>
  <c r="AB9859" i="1"/>
  <c r="AB9858" i="1"/>
  <c r="AB9860" i="1"/>
  <c r="AB9861" i="1"/>
  <c r="AB9862" i="1"/>
  <c r="AB9864" i="1"/>
  <c r="AB9866" i="1"/>
  <c r="AB9863" i="1"/>
  <c r="AB9865" i="1"/>
  <c r="AB9868" i="1"/>
  <c r="AB9870" i="1"/>
  <c r="AB9872" i="1"/>
  <c r="AB9874" i="1"/>
  <c r="AB9871" i="1"/>
  <c r="AB9873" i="1"/>
  <c r="Z9875" i="1"/>
  <c r="AB9875" i="1"/>
  <c r="AB9878" i="1"/>
  <c r="AB9879" i="1"/>
  <c r="AB9880" i="1"/>
  <c r="AB9882" i="1"/>
  <c r="AB9884" i="1"/>
  <c r="AB9885" i="1"/>
  <c r="AB9886" i="1"/>
  <c r="AB9887" i="1"/>
  <c r="AB9888" i="1"/>
  <c r="AB9890" i="1"/>
  <c r="AB9891" i="1"/>
  <c r="AB9895" i="1"/>
  <c r="AB9894" i="1"/>
  <c r="AB9897" i="1"/>
  <c r="AB9899" i="1"/>
  <c r="AB10013" i="1"/>
  <c r="AB9901" i="1"/>
  <c r="AB9902" i="1"/>
  <c r="AB9903" i="1"/>
  <c r="AB9908" i="1"/>
  <c r="AB9907" i="1"/>
  <c r="AB9909" i="1"/>
  <c r="AB9911" i="1"/>
  <c r="AB9910" i="1"/>
  <c r="AB9912" i="1"/>
  <c r="AB9915" i="1"/>
  <c r="AB9916" i="1"/>
  <c r="AB9917" i="1"/>
  <c r="AB9918" i="1"/>
  <c r="AB9938" i="1"/>
  <c r="AB9941" i="1"/>
  <c r="AB9930" i="1"/>
  <c r="AB9927" i="1"/>
  <c r="AB9940" i="1"/>
  <c r="AB9933" i="1"/>
  <c r="AB9942" i="1"/>
  <c r="AB9925" i="1"/>
  <c r="AB9965" i="1"/>
  <c r="AB9944" i="1"/>
  <c r="AB9924" i="1"/>
  <c r="AB9926" i="1"/>
  <c r="AB9966" i="1"/>
  <c r="AB9937" i="1"/>
  <c r="AB9932" i="1"/>
  <c r="AB9920" i="1"/>
  <c r="AB9928" i="1"/>
  <c r="AB9922" i="1"/>
  <c r="AB9923" i="1"/>
  <c r="AB9975" i="1"/>
  <c r="AB9931" i="1"/>
  <c r="AB9919" i="1"/>
  <c r="AB9929" i="1"/>
  <c r="AB9957" i="1"/>
  <c r="AB9939" i="1"/>
  <c r="AB9963" i="1"/>
  <c r="Z9958" i="1"/>
  <c r="AB9958" i="1"/>
  <c r="AB9945" i="1"/>
  <c r="AB9946" i="1"/>
  <c r="AB9943" i="1"/>
  <c r="AB9964" i="1"/>
  <c r="AB9960" i="1"/>
  <c r="AB9978" i="1"/>
  <c r="AB9972" i="1"/>
  <c r="AB9959" i="1"/>
  <c r="AB9973" i="1"/>
  <c r="AB9953" i="1"/>
  <c r="Z9956" i="1"/>
  <c r="AB9956" i="1"/>
  <c r="AB9935" i="1"/>
  <c r="AB9979" i="1"/>
  <c r="AB9988" i="1"/>
  <c r="AB9989" i="1"/>
  <c r="AB9992" i="1"/>
  <c r="AB9993" i="1"/>
  <c r="AB9994" i="1"/>
  <c r="AB9991" i="1"/>
  <c r="AB9990" i="1"/>
  <c r="AB9995" i="1"/>
  <c r="AB9996" i="1"/>
  <c r="S10000" i="1"/>
  <c r="AB10000" i="1"/>
  <c r="AB9998" i="1"/>
  <c r="AB9999" i="1"/>
  <c r="AB9997" i="1"/>
  <c r="S10001" i="1"/>
  <c r="AB10001" i="1"/>
  <c r="AB10004" i="1"/>
  <c r="AB10003" i="1"/>
  <c r="AB10002" i="1"/>
  <c r="AB10005" i="1"/>
  <c r="AB10007" i="1"/>
  <c r="AB10006" i="1"/>
  <c r="AB10009" i="1"/>
  <c r="AB10008" i="1"/>
  <c r="AB10011" i="1"/>
  <c r="AB10012" i="1"/>
  <c r="AB10010" i="1"/>
  <c r="AB10014" i="1"/>
  <c r="AB10015" i="1"/>
  <c r="AB10016" i="1"/>
  <c r="AB10017" i="1"/>
  <c r="AB10019" i="1"/>
  <c r="AB10018" i="1"/>
  <c r="AB10020" i="1"/>
  <c r="AB10021" i="1"/>
  <c r="AB10022" i="1"/>
  <c r="AB10024" i="1"/>
  <c r="AB10028" i="1"/>
  <c r="AB10031" i="1"/>
  <c r="AB10029" i="1"/>
  <c r="AB10030" i="1"/>
  <c r="Z10032" i="1"/>
  <c r="AB10032" i="1"/>
  <c r="AB10035" i="1"/>
  <c r="AB10036" i="1"/>
  <c r="AB10038" i="1"/>
  <c r="AB10040" i="1"/>
  <c r="AB10041" i="1"/>
  <c r="AB10042" i="1"/>
  <c r="AB10043" i="1"/>
  <c r="AB10044" i="1"/>
  <c r="AB10045" i="1"/>
  <c r="AB10048" i="1"/>
  <c r="AB10050" i="1"/>
  <c r="AB10051" i="1"/>
  <c r="AB10054" i="1"/>
  <c r="AB10055" i="1"/>
  <c r="AB10053" i="1"/>
  <c r="AB10056" i="1"/>
  <c r="AB10057" i="1"/>
  <c r="AB10059" i="1"/>
  <c r="AB10060" i="1"/>
  <c r="AB10061" i="1"/>
  <c r="AB10062" i="1"/>
  <c r="AB10064" i="1"/>
  <c r="AB10068" i="1"/>
  <c r="AB10071" i="1"/>
  <c r="AB10072" i="1"/>
  <c r="AB10074" i="1"/>
  <c r="AB10075" i="1"/>
  <c r="AB10073" i="1"/>
  <c r="AB10076" i="1"/>
  <c r="Z10077" i="1"/>
  <c r="AB10077" i="1"/>
  <c r="AB10078" i="1"/>
  <c r="AB10079" i="1"/>
  <c r="AB10081" i="1"/>
  <c r="AB10080" i="1"/>
  <c r="AB10082" i="1"/>
  <c r="AB10085" i="1"/>
  <c r="AB10087" i="1"/>
  <c r="AB10088" i="1"/>
  <c r="AB10089" i="1"/>
  <c r="Z10090" i="1"/>
  <c r="AB10090" i="1"/>
  <c r="AB10091" i="1"/>
  <c r="AB10094" i="1"/>
  <c r="AB10093" i="1"/>
  <c r="AB10095" i="1"/>
  <c r="AB10096" i="1"/>
  <c r="AB10099" i="1"/>
  <c r="AB10101" i="1"/>
  <c r="AB10102" i="1"/>
  <c r="AB10103" i="1"/>
  <c r="AB10104" i="1"/>
  <c r="AB10108" i="1"/>
  <c r="AB10109" i="1"/>
  <c r="AB10111" i="1"/>
  <c r="AB10114" i="1"/>
  <c r="AB10113" i="1"/>
  <c r="AB10115" i="1"/>
  <c r="AB10116" i="1"/>
  <c r="AB10112" i="1"/>
  <c r="AB10121" i="1"/>
  <c r="AB10122" i="1"/>
  <c r="AB10129" i="1"/>
  <c r="AB10125" i="1"/>
  <c r="AB10142" i="1"/>
  <c r="Z10143" i="1"/>
  <c r="AB10143" i="1"/>
  <c r="Z10134" i="1"/>
  <c r="AB10134" i="1"/>
  <c r="AB10132" i="1"/>
  <c r="AB10123" i="1"/>
  <c r="AB10155" i="1"/>
  <c r="AB10140" i="1"/>
  <c r="AB10118" i="1"/>
  <c r="AB10120" i="1"/>
  <c r="AB10128" i="1"/>
  <c r="AB10130" i="1"/>
  <c r="AB10126" i="1"/>
  <c r="AB10127" i="1"/>
  <c r="AB10124" i="1"/>
  <c r="AB10133" i="1"/>
  <c r="AB10117" i="1"/>
  <c r="Z10163" i="1"/>
  <c r="AB10163" i="1"/>
  <c r="AB10154" i="1"/>
  <c r="AB10159" i="1"/>
  <c r="AB10153" i="1"/>
  <c r="AB10141" i="1"/>
  <c r="AB10156" i="1"/>
  <c r="AB10135" i="1"/>
  <c r="AB10119" i="1"/>
  <c r="AB10152" i="1"/>
  <c r="AB10131" i="1"/>
  <c r="AB10148" i="1"/>
  <c r="AB10147" i="1"/>
  <c r="AB10165" i="1"/>
  <c r="AB10149" i="1"/>
  <c r="AB10157" i="1"/>
  <c r="AB10138" i="1"/>
  <c r="AB10150" i="1"/>
  <c r="AB10158" i="1"/>
  <c r="AB10174" i="1"/>
  <c r="AB10173" i="1"/>
  <c r="AB10172" i="1"/>
  <c r="AB10175" i="1"/>
  <c r="AB10176" i="1"/>
  <c r="AB10178" i="1"/>
  <c r="AB10177" i="1"/>
  <c r="AB10179" i="1"/>
  <c r="AB10180" i="1"/>
  <c r="AB10181" i="1"/>
  <c r="AB10182" i="1"/>
  <c r="AB10184" i="1"/>
  <c r="AB10183" i="1"/>
  <c r="AB10186" i="1"/>
  <c r="AB10185" i="1"/>
  <c r="AB10187" i="1"/>
  <c r="AB10188" i="1"/>
  <c r="AB10189" i="1"/>
  <c r="AB10190" i="1"/>
  <c r="AB10191" i="1"/>
  <c r="AB10192" i="1"/>
  <c r="AB10297" i="1"/>
  <c r="AB10195" i="1"/>
  <c r="AB10197" i="1"/>
  <c r="AB10198" i="1"/>
  <c r="AB10199" i="1"/>
  <c r="AB10201" i="1"/>
  <c r="AB10200" i="1"/>
  <c r="AB10202" i="1"/>
  <c r="AB10206" i="1"/>
  <c r="AB10209" i="1"/>
  <c r="AB10207" i="1"/>
  <c r="AB10214" i="1"/>
  <c r="AB10217" i="1"/>
  <c r="AB10220" i="1"/>
  <c r="AB10221" i="1"/>
  <c r="AB10224" i="1"/>
  <c r="AB10223" i="1"/>
  <c r="AB10225" i="1"/>
  <c r="AB10228" i="1"/>
  <c r="AB10226" i="1"/>
  <c r="AB10227" i="1"/>
  <c r="AB10230" i="1"/>
  <c r="AB10231" i="1"/>
  <c r="AB10232" i="1"/>
  <c r="AB10235" i="1"/>
  <c r="Z10236" i="1"/>
  <c r="AB10236" i="1"/>
  <c r="AB10239" i="1"/>
  <c r="AB10242" i="1"/>
  <c r="AB10243" i="1"/>
  <c r="AB10244" i="1"/>
  <c r="AB10251" i="1"/>
  <c r="AB10257" i="1"/>
  <c r="AB10259" i="1"/>
  <c r="AB10262" i="1"/>
  <c r="AB10265" i="1"/>
  <c r="AB10267" i="1"/>
  <c r="AB10286" i="1"/>
  <c r="AB10266" i="1"/>
  <c r="AB10272" i="1"/>
  <c r="AB10263" i="1"/>
  <c r="AB10269" i="1"/>
  <c r="AB10285" i="1"/>
  <c r="AB10277" i="1"/>
  <c r="AB10264" i="1"/>
  <c r="AB10288" i="1"/>
  <c r="AB10280" i="1"/>
  <c r="AB10281" i="1"/>
  <c r="Z10284" i="1"/>
  <c r="AB10284" i="1"/>
  <c r="AB10299" i="1"/>
  <c r="AB10298" i="1"/>
  <c r="AB10300" i="1"/>
  <c r="AB10301" i="1"/>
  <c r="AB10302" i="1"/>
  <c r="AB10303" i="1"/>
  <c r="AB10304" i="1"/>
  <c r="AB10305" i="1"/>
  <c r="AB10307" i="1"/>
  <c r="AB10309" i="1"/>
  <c r="AB10310" i="1"/>
  <c r="AB10312" i="1"/>
  <c r="AB10313" i="1"/>
  <c r="AB10314" i="1"/>
  <c r="AB10318" i="1"/>
  <c r="AB10319" i="1"/>
  <c r="AB10320" i="1"/>
  <c r="AB10322" i="1"/>
  <c r="AB10321" i="1"/>
  <c r="AB10327" i="1"/>
  <c r="AB10324" i="1"/>
  <c r="AB10325" i="1"/>
  <c r="AB10328" i="1"/>
  <c r="AB10329" i="1"/>
  <c r="AB10331" i="1"/>
  <c r="Z10333" i="1"/>
  <c r="AB10333" i="1"/>
  <c r="AB10334" i="1"/>
  <c r="AB10335" i="1"/>
  <c r="AB10336" i="1"/>
  <c r="AB10338" i="1"/>
  <c r="AB10339" i="1"/>
  <c r="AB10342" i="1"/>
  <c r="AB10343" i="1"/>
  <c r="AB10344" i="1"/>
  <c r="AB10346" i="1"/>
  <c r="AB10347" i="1"/>
  <c r="AB10348" i="1"/>
  <c r="AB10350" i="1"/>
  <c r="AB10349" i="1"/>
  <c r="AB10353" i="1"/>
  <c r="AB10373" i="1"/>
  <c r="AB10362" i="1"/>
  <c r="AB10352" i="1"/>
  <c r="AB10355" i="1"/>
  <c r="AB10354" i="1"/>
  <c r="AB10351" i="1"/>
  <c r="AB10372" i="1"/>
  <c r="Z10364" i="1"/>
  <c r="AB10364" i="1"/>
  <c r="AB10371" i="1"/>
  <c r="AB10358" i="1"/>
  <c r="AB10356" i="1"/>
  <c r="AB10369" i="1"/>
  <c r="AB10370" i="1"/>
  <c r="AB10380" i="1"/>
  <c r="AB10385" i="1"/>
  <c r="AB10386" i="1"/>
  <c r="AB10387" i="1"/>
  <c r="AB10388" i="1"/>
  <c r="AB10389" i="1"/>
  <c r="AB10390" i="1"/>
  <c r="AB10391" i="1"/>
  <c r="AB10392" i="1"/>
  <c r="AB10397" i="1"/>
  <c r="AB10398" i="1"/>
  <c r="AB10401" i="1"/>
  <c r="AB10403" i="1"/>
  <c r="AB10408" i="1"/>
  <c r="AB10411" i="1"/>
  <c r="AB10412" i="1"/>
  <c r="AB10413" i="1"/>
  <c r="AB10417" i="1"/>
  <c r="AB10419" i="1"/>
  <c r="AB10422" i="1"/>
  <c r="AB10421" i="1"/>
  <c r="Z10424" i="1"/>
  <c r="AB10424" i="1"/>
  <c r="AB10425" i="1"/>
  <c r="AB10426" i="1"/>
  <c r="AB10428" i="1"/>
  <c r="AB10427" i="1"/>
  <c r="AB10430" i="1"/>
  <c r="AB10431" i="1"/>
  <c r="AB10432" i="1"/>
  <c r="AB10433" i="1"/>
  <c r="AB10434" i="1"/>
  <c r="AB10435" i="1"/>
  <c r="AB10436" i="1"/>
  <c r="AB10440" i="1"/>
  <c r="AB10441" i="1"/>
  <c r="AB10443" i="1"/>
  <c r="AB10445" i="1"/>
  <c r="AB10447" i="1"/>
  <c r="AB10465" i="1"/>
  <c r="AB10451" i="1"/>
  <c r="AB10456" i="1"/>
  <c r="AB10449" i="1"/>
  <c r="AB10458" i="1"/>
  <c r="AB10446" i="1"/>
  <c r="AB10448" i="1"/>
  <c r="AB10460" i="1"/>
  <c r="AB10467" i="1"/>
  <c r="AB10450" i="1"/>
  <c r="AB10469" i="1"/>
  <c r="AB10471" i="1"/>
  <c r="AB10472" i="1"/>
  <c r="AB10473" i="1"/>
  <c r="AB10474" i="1"/>
  <c r="AB10475" i="1"/>
  <c r="AB10476" i="1"/>
  <c r="AB10477" i="1"/>
  <c r="AB10478" i="1"/>
  <c r="AB10479" i="1"/>
  <c r="AB10480" i="1"/>
  <c r="AB10484" i="1"/>
  <c r="AB10485" i="1"/>
  <c r="AB10487" i="1"/>
  <c r="AB10488" i="1"/>
  <c r="AB10490" i="1"/>
  <c r="AB10489" i="1"/>
  <c r="AB10492" i="1"/>
  <c r="AB10495" i="1"/>
  <c r="AB10498" i="1"/>
  <c r="AB10499" i="1"/>
  <c r="AB10506" i="1"/>
  <c r="AB10500" i="1"/>
  <c r="AB10507" i="1"/>
  <c r="AB10503" i="1"/>
  <c r="AB10511" i="1"/>
  <c r="AB10501" i="1"/>
  <c r="AB10518" i="1"/>
  <c r="AB10519" i="1"/>
  <c r="AB10520" i="1"/>
  <c r="AB10521" i="1"/>
  <c r="AB10522" i="1"/>
  <c r="S10523" i="1"/>
  <c r="AB10523" i="1"/>
  <c r="AB10527" i="1"/>
  <c r="AB10530" i="1"/>
  <c r="AB10533" i="1"/>
  <c r="AB10535" i="1"/>
  <c r="AB10546" i="1"/>
  <c r="AB10537" i="1"/>
  <c r="AB10536" i="1"/>
  <c r="AB10539" i="1"/>
  <c r="AB10548" i="1"/>
  <c r="AB10550" i="1"/>
  <c r="AB10549" i="1"/>
  <c r="AB10551" i="1"/>
  <c r="AB10553" i="1"/>
  <c r="AB10558" i="1"/>
  <c r="AB10562" i="1"/>
  <c r="AB10565" i="1"/>
  <c r="AB10566" i="1"/>
  <c r="AB10572" i="1"/>
  <c r="AB10574" i="1"/>
  <c r="AB10581" i="1"/>
  <c r="AB10586" i="1"/>
  <c r="AB10590" i="1"/>
  <c r="AB10598" i="1"/>
  <c r="AB10606" i="1"/>
  <c r="AB10607" i="1"/>
  <c r="AB10608" i="1"/>
  <c r="AB1564" i="1"/>
  <c r="AB991" i="1"/>
</calcChain>
</file>

<file path=xl/sharedStrings.xml><?xml version="1.0" encoding="utf-8"?>
<sst xmlns="http://schemas.openxmlformats.org/spreadsheetml/2006/main" count="91046" uniqueCount="16182">
  <si>
    <t>Title</t>
  </si>
  <si>
    <t>Release Date</t>
  </si>
  <si>
    <t>Publisher</t>
  </si>
  <si>
    <t>Developer</t>
  </si>
  <si>
    <t>Franchise</t>
  </si>
  <si>
    <t>Genre</t>
  </si>
  <si>
    <t>Owned</t>
  </si>
  <si>
    <t>Date Purchased</t>
  </si>
  <si>
    <t>Completed</t>
  </si>
  <si>
    <t>Date Completed</t>
  </si>
  <si>
    <t>Completion Time</t>
  </si>
  <si>
    <t>Rating</t>
  </si>
  <si>
    <t>Format</t>
  </si>
  <si>
    <t>Notes</t>
  </si>
  <si>
    <t>Physical</t>
  </si>
  <si>
    <t>Bionic Commando</t>
  </si>
  <si>
    <t>Déjà Vu</t>
  </si>
  <si>
    <t>Mortal Kombat</t>
  </si>
  <si>
    <t>Shadowgate</t>
  </si>
  <si>
    <t>Over Horizon</t>
  </si>
  <si>
    <t>Hot B</t>
  </si>
  <si>
    <t>Scrolling Shooter</t>
  </si>
  <si>
    <t>Priority</t>
  </si>
  <si>
    <t>A Boy and His Blob: Trouble on Blobolonia</t>
  </si>
  <si>
    <t>Absolute Entertainment</t>
  </si>
  <si>
    <t>Imagineering</t>
  </si>
  <si>
    <t>A Boy and His Blob</t>
  </si>
  <si>
    <t>Puzzle Platformer</t>
  </si>
  <si>
    <t>Adventures of Lolo</t>
  </si>
  <si>
    <t>HAL America</t>
  </si>
  <si>
    <t>HAL Laboratory</t>
  </si>
  <si>
    <t>Puzzle Action</t>
  </si>
  <si>
    <t>Adventures of Lolo 2</t>
  </si>
  <si>
    <t>Adventures of Lolo 3</t>
  </si>
  <si>
    <t>Kick Master</t>
  </si>
  <si>
    <t>Kid Niki: Radical Ninja</t>
  </si>
  <si>
    <t>North &amp; South</t>
  </si>
  <si>
    <t>Adventure Island II</t>
  </si>
  <si>
    <t>Power Blade 2</t>
  </si>
  <si>
    <t>Princess Tomato in the Salad Kingdom</t>
  </si>
  <si>
    <t>Romance of the Three Kingdoms</t>
  </si>
  <si>
    <t>Adventure Island</t>
  </si>
  <si>
    <t>Astyanax</t>
  </si>
  <si>
    <t>Bucky O'Hare</t>
  </si>
  <si>
    <t>Destiny of an Emperor</t>
  </si>
  <si>
    <t>Fire 'n Ice</t>
  </si>
  <si>
    <t>Gargoyle's Quest II: The Demon Darkness</t>
  </si>
  <si>
    <t>Kiwi Kraze</t>
  </si>
  <si>
    <t>Rainbow Islands: The Story of Bubble Bobble 2</t>
  </si>
  <si>
    <t>Power Blade</t>
  </si>
  <si>
    <t>Kabuki Quantum Fighter</t>
  </si>
  <si>
    <t>Bubble Bobble</t>
  </si>
  <si>
    <t>Wishlisted</t>
  </si>
  <si>
    <t>Eggerland</t>
  </si>
  <si>
    <t>Taito</t>
  </si>
  <si>
    <t>KID</t>
  </si>
  <si>
    <t>Action Platformer</t>
  </si>
  <si>
    <t>Data East</t>
  </si>
  <si>
    <t>TOSE</t>
  </si>
  <si>
    <t>Kemco</t>
  </si>
  <si>
    <t>Infogrames</t>
  </si>
  <si>
    <t>Strategy</t>
  </si>
  <si>
    <t>Hudson Soft</t>
  </si>
  <si>
    <t>Now Production</t>
  </si>
  <si>
    <t>Side-Scrolling Platformer</t>
  </si>
  <si>
    <t>Adventure Island 3</t>
  </si>
  <si>
    <t>Natsume</t>
  </si>
  <si>
    <t>Adventure</t>
  </si>
  <si>
    <t>Koei</t>
  </si>
  <si>
    <t>Turn-Based Strategy</t>
  </si>
  <si>
    <t>Jaleco</t>
  </si>
  <si>
    <t>Aicom</t>
  </si>
  <si>
    <t>Konami</t>
  </si>
  <si>
    <t>Capcom</t>
  </si>
  <si>
    <t>Tenchi wo Kurau</t>
  </si>
  <si>
    <t>Strategy RPG</t>
  </si>
  <si>
    <t>Tecmo</t>
  </si>
  <si>
    <t>Solomon's Key</t>
  </si>
  <si>
    <t>Puzzle</t>
  </si>
  <si>
    <t>Ghosts 'n Goblins</t>
  </si>
  <si>
    <t>Action Adventure</t>
  </si>
  <si>
    <t>Human Entertainment</t>
  </si>
  <si>
    <t>Software Creations</t>
  </si>
  <si>
    <t>The New Zealand Story</t>
  </si>
  <si>
    <t>Disco</t>
  </si>
  <si>
    <t>The Legend of Zelda</t>
  </si>
  <si>
    <t>Nintendo</t>
  </si>
  <si>
    <t>Nintendo EAD</t>
  </si>
  <si>
    <t>Zelda II: The Adventure of Link</t>
  </si>
  <si>
    <t>Mega Man</t>
  </si>
  <si>
    <t>Super Mario Bros.</t>
  </si>
  <si>
    <t>Super Mario Bros. 3</t>
  </si>
  <si>
    <t>Clu Clu Land</t>
  </si>
  <si>
    <t>Balloon Fight</t>
  </si>
  <si>
    <t>Metal Storm</t>
  </si>
  <si>
    <t>Uninvited</t>
  </si>
  <si>
    <t>Déjà Vu: A Nightmare Comes True</t>
  </si>
  <si>
    <t>Contra</t>
  </si>
  <si>
    <t>Tetris</t>
  </si>
  <si>
    <t>Mother</t>
  </si>
  <si>
    <t>Mario Bros.</t>
  </si>
  <si>
    <t>Excitebike</t>
  </si>
  <si>
    <t>Mega Man 2</t>
  </si>
  <si>
    <t>Mega Man 3</t>
  </si>
  <si>
    <t>Mega Man 4</t>
  </si>
  <si>
    <t>Mega Man 5</t>
  </si>
  <si>
    <t>Mega Man 6</t>
  </si>
  <si>
    <t>Ninja Gaiden II: The Dark Sword of Chaos</t>
  </si>
  <si>
    <t>Ninja Gaiden III: The Ancient Ship of Doom</t>
  </si>
  <si>
    <t>Metroid</t>
  </si>
  <si>
    <t>Kid Icarus</t>
  </si>
  <si>
    <t>Double Dragon</t>
  </si>
  <si>
    <t>Double Dragon II: The Revenge</t>
  </si>
  <si>
    <t>Castlevania</t>
  </si>
  <si>
    <t>Super Mario Bros. 2</t>
  </si>
  <si>
    <t>Double Dragon III: The Sacred Stones</t>
  </si>
  <si>
    <t>Super C</t>
  </si>
  <si>
    <t>Abadox: The Deadly Inner War</t>
  </si>
  <si>
    <t>Shadow of the Ninja</t>
  </si>
  <si>
    <t>Super Mario Bros.: The Lost Levels</t>
  </si>
  <si>
    <t>Xevious</t>
  </si>
  <si>
    <t>All Night Nippon Super Mario Bros.</t>
  </si>
  <si>
    <t>Little Nemo: The Dream Master</t>
  </si>
  <si>
    <t>Gradius</t>
  </si>
  <si>
    <t>Journey to Silius</t>
  </si>
  <si>
    <t>DuckTales</t>
  </si>
  <si>
    <t>Final Fantasy</t>
  </si>
  <si>
    <t>Battletoads</t>
  </si>
  <si>
    <t>Castlevania II: Simon's Quest</t>
  </si>
  <si>
    <t>Castlevania III: Dracula's Curse</t>
  </si>
  <si>
    <t>Dragon Warrior</t>
  </si>
  <si>
    <t>Little Samson</t>
  </si>
  <si>
    <t>Tombs &amp; Treasure</t>
  </si>
  <si>
    <t>Contra Force</t>
  </si>
  <si>
    <t>StarTropics</t>
  </si>
  <si>
    <t>Chōjin Sentai Jetman</t>
  </si>
  <si>
    <t>Crystalis</t>
  </si>
  <si>
    <t>Mario</t>
  </si>
  <si>
    <t>Excite</t>
  </si>
  <si>
    <t>Ninja Gaiden</t>
  </si>
  <si>
    <t>Dragon Quest</t>
  </si>
  <si>
    <t>Nintendo Creative Department</t>
  </si>
  <si>
    <t>Nintendo R&amp;D1</t>
  </si>
  <si>
    <t>Action</t>
  </si>
  <si>
    <t>Irem</t>
  </si>
  <si>
    <t>Tamtex</t>
  </si>
  <si>
    <t>ICOM Simulations</t>
  </si>
  <si>
    <t>Run and Gun</t>
  </si>
  <si>
    <t>Ape</t>
  </si>
  <si>
    <t>Turn-Based RPG</t>
  </si>
  <si>
    <t>Racing</t>
  </si>
  <si>
    <t>Metroidvania</t>
  </si>
  <si>
    <t>Tradewest</t>
  </si>
  <si>
    <t>Beat 'em Up</t>
  </si>
  <si>
    <t>Acclaim Entertainment</t>
  </si>
  <si>
    <t>Technōs Japan</t>
  </si>
  <si>
    <t>Nintendo R&amp;D4</t>
  </si>
  <si>
    <t>Bandai</t>
  </si>
  <si>
    <t>Namco</t>
  </si>
  <si>
    <t>Little Nemo</t>
  </si>
  <si>
    <t>Sunsoft</t>
  </si>
  <si>
    <t>Square</t>
  </si>
  <si>
    <t>Tradews</t>
  </si>
  <si>
    <t>Rare</t>
  </si>
  <si>
    <t>Chunsoft</t>
  </si>
  <si>
    <t>Takeru</t>
  </si>
  <si>
    <t>Infocom</t>
  </si>
  <si>
    <t>Compile</t>
  </si>
  <si>
    <t>Asteka</t>
  </si>
  <si>
    <t>Nintendo R&amp;D3</t>
  </si>
  <si>
    <t>SNK</t>
  </si>
  <si>
    <t>Action RPG</t>
  </si>
  <si>
    <t>Rockin' Kats</t>
  </si>
  <si>
    <t>S.C.A.T.: Special Cybernetic Attack Team</t>
  </si>
  <si>
    <t>Sky Kid</t>
  </si>
  <si>
    <t>Sqoon</t>
  </si>
  <si>
    <t>Stinger</t>
  </si>
  <si>
    <t>Teenage Mutant Ninja Turtles III: The Manhattan Project</t>
  </si>
  <si>
    <t>The Immortal</t>
  </si>
  <si>
    <t>Xexyz</t>
  </si>
  <si>
    <t>Yo! Noid</t>
  </si>
  <si>
    <t>Bad Dudes</t>
  </si>
  <si>
    <t>Darkwing Duck</t>
  </si>
  <si>
    <t>DuckTales 2</t>
  </si>
  <si>
    <t>Demon Sword</t>
  </si>
  <si>
    <t>Faxanadu</t>
  </si>
  <si>
    <t>Ice Climber</t>
  </si>
  <si>
    <t>Legendary Wings</t>
  </si>
  <si>
    <t>Life Force</t>
  </si>
  <si>
    <t>Magician</t>
  </si>
  <si>
    <t>Mighty Final Fight</t>
  </si>
  <si>
    <t>Mr. Gimmick</t>
  </si>
  <si>
    <t>Renegade</t>
  </si>
  <si>
    <t>River City Ransom</t>
  </si>
  <si>
    <t>Rygar</t>
  </si>
  <si>
    <t>Shatterhand</t>
  </si>
  <si>
    <t>Snake's Revenge</t>
  </si>
  <si>
    <t>Solar Jetman: Hunt for the Golden Warpship</t>
  </si>
  <si>
    <t>Streemerz</t>
  </si>
  <si>
    <t>Street Fighter 2010: The Final Fight</t>
  </si>
  <si>
    <t>Teenage Mutant Ninja Turtles II: The Arcade Game</t>
  </si>
  <si>
    <t>The Battle of Olympus</t>
  </si>
  <si>
    <t>The Mafat Conspiracy</t>
  </si>
  <si>
    <t>Tiny Toon Adventures</t>
  </si>
  <si>
    <t>Vice: Project Doom</t>
  </si>
  <si>
    <t>Willow</t>
  </si>
  <si>
    <t>Wizards &amp; Warriors</t>
  </si>
  <si>
    <t>Batman</t>
  </si>
  <si>
    <t>Blaster Master</t>
  </si>
  <si>
    <t>Chip 'N Dale: Rescue Rangers</t>
  </si>
  <si>
    <t>Clash at Demonhead</t>
  </si>
  <si>
    <t>Golgo 13: Top Secret Episode</t>
  </si>
  <si>
    <t>IronSword: Wizards &amp; Warriors II</t>
  </si>
  <si>
    <t>Nightshade</t>
  </si>
  <si>
    <t>Punch-Out!!</t>
  </si>
  <si>
    <t>Teenage Mutant Ninja Turtles</t>
  </si>
  <si>
    <t>Ufouria: The Saga</t>
  </si>
  <si>
    <t>Dragon Warrior II</t>
  </si>
  <si>
    <t>Dragon Warrior III</t>
  </si>
  <si>
    <t>Dragon Warrior IV</t>
  </si>
  <si>
    <t>Metal Gear</t>
  </si>
  <si>
    <t>The Guardian Legend</t>
  </si>
  <si>
    <t>Zoda's Revenge: StarTropics II</t>
  </si>
  <si>
    <t>Kirby</t>
  </si>
  <si>
    <t>Kirby's Adventure</t>
  </si>
  <si>
    <t>Final Fight</t>
  </si>
  <si>
    <t>Kunio-kun</t>
  </si>
  <si>
    <t>Street Fighter</t>
  </si>
  <si>
    <t>Atlus</t>
  </si>
  <si>
    <t>Home Data</t>
  </si>
  <si>
    <t>TwinBee</t>
  </si>
  <si>
    <t>Electronic Arts</t>
  </si>
  <si>
    <t>Sandcastle</t>
  </si>
  <si>
    <t>Bubble Bobble Part 2</t>
  </si>
  <si>
    <t>ITL</t>
  </si>
  <si>
    <t>Chip 'n Dale: Rescue Rangers 2</t>
  </si>
  <si>
    <t>Chip 'n Dale</t>
  </si>
  <si>
    <t>Make Software</t>
  </si>
  <si>
    <t>The Magic of Scheherazade</t>
  </si>
  <si>
    <t>Culture Brain</t>
  </si>
  <si>
    <t>Taxan</t>
  </si>
  <si>
    <t>Eurocom</t>
  </si>
  <si>
    <t>Million</t>
  </si>
  <si>
    <t>Section Z</t>
  </si>
  <si>
    <t>Ultra Games</t>
  </si>
  <si>
    <t>Stealth Action</t>
  </si>
  <si>
    <t>Jetman</t>
  </si>
  <si>
    <t>Faux Game Company</t>
  </si>
  <si>
    <t>Brøderbund</t>
  </si>
  <si>
    <t>Infinity</t>
  </si>
  <si>
    <t>Vic Tokai</t>
  </si>
  <si>
    <t>Golgo 13</t>
  </si>
  <si>
    <t>Sammy</t>
  </si>
  <si>
    <t>Zippo Games</t>
  </si>
  <si>
    <t>Beam Software</t>
  </si>
  <si>
    <t>Sports</t>
  </si>
  <si>
    <t>Hebereke</t>
  </si>
  <si>
    <t>Enix</t>
  </si>
  <si>
    <t>Akumajō Special: Boku Dracula-kun</t>
  </si>
  <si>
    <t>Daisenryaku</t>
  </si>
  <si>
    <t>Fuzzical Fighter</t>
  </si>
  <si>
    <t>Layla</t>
  </si>
  <si>
    <t>Mirai Senshi: Lios</t>
  </si>
  <si>
    <t>Mitsume ga Tooru</t>
  </si>
  <si>
    <t>Momotarō Densetsu</t>
  </si>
  <si>
    <t>Moon Crystal</t>
  </si>
  <si>
    <t>Mōryō Senki Madara</t>
  </si>
  <si>
    <t>Musashi no Bōken</t>
  </si>
  <si>
    <t>Ninja Jajamaru: Ginga Diasakusen</t>
  </si>
  <si>
    <t>Radia Senki: Reimeihen</t>
  </si>
  <si>
    <t>Bio Miracle Bokutte Upa</t>
  </si>
  <si>
    <t>Chaos World</t>
  </si>
  <si>
    <t>Chester Field</t>
  </si>
  <si>
    <t>Cosmo Police Galivan</t>
  </si>
  <si>
    <t>Crisis Force</t>
  </si>
  <si>
    <t>Dark Lord</t>
  </si>
  <si>
    <t>Esper Dream 2: Aratanaru Tatakai</t>
  </si>
  <si>
    <t>Famicom Wars</t>
  </si>
  <si>
    <t>Ganbare Goemon 2</t>
  </si>
  <si>
    <t>Heracles no Eikō II: Titan no Metsubō</t>
  </si>
  <si>
    <t>Holy Diver</t>
  </si>
  <si>
    <t>Juvei Quest</t>
  </si>
  <si>
    <t>Kyatto Ninden Teyandee</t>
  </si>
  <si>
    <t>Lagrange Point</t>
  </si>
  <si>
    <t>Splatterhouse: Wanpaku Graffiti</t>
  </si>
  <si>
    <t>Tetra Star: The Fighter</t>
  </si>
  <si>
    <t>Time Zone</t>
  </si>
  <si>
    <t>Wai Wai World</t>
  </si>
  <si>
    <t>Wai Wai World 2: SOS!! Parsley Jō</t>
  </si>
  <si>
    <t>Cocoron</t>
  </si>
  <si>
    <t>Fire Emblem Gaiden</t>
  </si>
  <si>
    <t>Fire Emblem: Ankoku Ryū to Hikari no Tsurugi</t>
  </si>
  <si>
    <t>Getsu Fūma Den</t>
  </si>
  <si>
    <t>Summer Carnival '92: Recca</t>
  </si>
  <si>
    <t>Sweet Home</t>
  </si>
  <si>
    <t>Final Fantasy II</t>
  </si>
  <si>
    <t>Final Fantasy III</t>
  </si>
  <si>
    <t>Madara</t>
  </si>
  <si>
    <t>Macross</t>
  </si>
  <si>
    <t>Super Robot Wars</t>
  </si>
  <si>
    <t>Esper Dream</t>
  </si>
  <si>
    <t>Advance Wars</t>
  </si>
  <si>
    <t>Ganbare Goemon</t>
  </si>
  <si>
    <t>Splatterhouse</t>
  </si>
  <si>
    <t>Ys</t>
  </si>
  <si>
    <t>Fire Emblem</t>
  </si>
  <si>
    <t>Arumana no Kiseki</t>
  </si>
  <si>
    <t>Kalin no Tsurugi</t>
  </si>
  <si>
    <t>Samurai Sword</t>
  </si>
  <si>
    <t>DOG</t>
  </si>
  <si>
    <t>XTALSOFT</t>
  </si>
  <si>
    <t>Atari</t>
  </si>
  <si>
    <t>Metal Slug 6</t>
  </si>
  <si>
    <t>Giga Wing</t>
  </si>
  <si>
    <t>Marvel vs. Capcom: Clash of Super Heroes</t>
  </si>
  <si>
    <t>Mega Man: The Power Battle</t>
  </si>
  <si>
    <t>Mega Man 2: The Power Fighters</t>
  </si>
  <si>
    <t>Guwange</t>
  </si>
  <si>
    <t>Cadillacs and Dinosaurs</t>
  </si>
  <si>
    <t>Dungeons &amp; Dragons: Shadow Over Mystara</t>
  </si>
  <si>
    <t>Dungeons &amp; Dragons: Tower of Doom</t>
  </si>
  <si>
    <t>Alien vs. Predator</t>
  </si>
  <si>
    <t>ESP Ra.De.</t>
  </si>
  <si>
    <t>DonPachi</t>
  </si>
  <si>
    <t>Gekirindan</t>
  </si>
  <si>
    <t>19XX: The War Against Destiny</t>
  </si>
  <si>
    <t>DoDonPachi</t>
  </si>
  <si>
    <t>1944: The Loop Master</t>
  </si>
  <si>
    <t>Strikers 1945</t>
  </si>
  <si>
    <t>Metal Black</t>
  </si>
  <si>
    <t>Darius</t>
  </si>
  <si>
    <t>Gunbird</t>
  </si>
  <si>
    <t>RayForce</t>
  </si>
  <si>
    <t>GunNail</t>
  </si>
  <si>
    <t>Vasara</t>
  </si>
  <si>
    <t>Vasara 2</t>
  </si>
  <si>
    <t>GunForce II</t>
  </si>
  <si>
    <t>Armed Police Unit Gallop</t>
  </si>
  <si>
    <t>Batsugun</t>
  </si>
  <si>
    <t>Battle Bakraid</t>
  </si>
  <si>
    <t>Battle Garegga</t>
  </si>
  <si>
    <t>Captain America and the Avengers</t>
  </si>
  <si>
    <t>Cybattler</t>
  </si>
  <si>
    <t>Darius Gaiden</t>
  </si>
  <si>
    <t>Dragoon Might</t>
  </si>
  <si>
    <t>Gaia Crusaders</t>
  </si>
  <si>
    <t>Gaiapolis</t>
  </si>
  <si>
    <t>Gemini Wing</t>
  </si>
  <si>
    <t>Guardians</t>
  </si>
  <si>
    <t>Gun Frontier</t>
  </si>
  <si>
    <t>Ketsui: Kizuna Jigoku Tachi</t>
  </si>
  <si>
    <t>Mystic Warriors</t>
  </si>
  <si>
    <t>Rabbit</t>
  </si>
  <si>
    <t>Red Earth</t>
  </si>
  <si>
    <t>1941: Counter Attack</t>
  </si>
  <si>
    <t>1943: The Battle of Midway</t>
  </si>
  <si>
    <t>Aero Fighters</t>
  </si>
  <si>
    <t>After Burner</t>
  </si>
  <si>
    <t>After Burner II</t>
  </si>
  <si>
    <t>Aliens</t>
  </si>
  <si>
    <t>Alpha Mission</t>
  </si>
  <si>
    <t>Arabian Fight</t>
  </si>
  <si>
    <t>Asura Blade</t>
  </si>
  <si>
    <t>Battle Circuit</t>
  </si>
  <si>
    <t>Black Tiger</t>
  </si>
  <si>
    <t>Captain Commando</t>
  </si>
  <si>
    <t>Cotton 2: Magical Night Dreams</t>
  </si>
  <si>
    <t>Cyvern: The Dragon Weapons</t>
  </si>
  <si>
    <t>Darkstalkers 3</t>
  </si>
  <si>
    <t>Denjinmakai</t>
  </si>
  <si>
    <t>Detana!! TwinBee</t>
  </si>
  <si>
    <t>Dogyuun</t>
  </si>
  <si>
    <t>Dragon Blaze</t>
  </si>
  <si>
    <t>Dragon Breed</t>
  </si>
  <si>
    <t>Dungeon Magic</t>
  </si>
  <si>
    <t>Dynasty Wars</t>
  </si>
  <si>
    <t>Eco Fighters</t>
  </si>
  <si>
    <t>Golden Axe: The Revenge of Death Adder</t>
  </si>
  <si>
    <t>Gradius IV: Resurrection</t>
  </si>
  <si>
    <t>Guilty Gear Isuka</t>
  </si>
  <si>
    <t>Guilty Gear X</t>
  </si>
  <si>
    <t>Guilty Gear XX</t>
  </si>
  <si>
    <t>Gunbird 2</t>
  </si>
  <si>
    <t>Haunted Castle</t>
  </si>
  <si>
    <t>Ikari Warriors</t>
  </si>
  <si>
    <t>Killer Instinct 2</t>
  </si>
  <si>
    <t>Macross II</t>
  </si>
  <si>
    <t>Magic Sword</t>
  </si>
  <si>
    <t>Marvel Super Heroes vs. Street Fighter</t>
  </si>
  <si>
    <t>Mortal Kombat 3</t>
  </si>
  <si>
    <t>Mortal Kombat II</t>
  </si>
  <si>
    <t>Mr. Goemon</t>
  </si>
  <si>
    <t>Night Slashers</t>
  </si>
  <si>
    <t>Omega Fighter</t>
  </si>
  <si>
    <t>Oriental Legend 2</t>
  </si>
  <si>
    <t>Primal Rage</t>
  </si>
  <si>
    <t>Progear</t>
  </si>
  <si>
    <t>Raiden</t>
  </si>
  <si>
    <t>Raiden DX</t>
  </si>
  <si>
    <t>Raiden Fighters</t>
  </si>
  <si>
    <t>Raiden Fighters 2: Operation Hell Dive</t>
  </si>
  <si>
    <t>Raiden Fighters Jet</t>
  </si>
  <si>
    <t>Raiden II</t>
  </si>
  <si>
    <t>Rastan</t>
  </si>
  <si>
    <t>R-Type</t>
  </si>
  <si>
    <t>R-Type II</t>
  </si>
  <si>
    <t>R-Type Leo</t>
  </si>
  <si>
    <t>Salamander</t>
  </si>
  <si>
    <t>Salamander 2</t>
  </si>
  <si>
    <t>Samurai Aces</t>
  </si>
  <si>
    <t>Sengeki Striker</t>
  </si>
  <si>
    <t>Shadow Force</t>
  </si>
  <si>
    <t>Space Bomber</t>
  </si>
  <si>
    <t>Street Fighter Alpha 2</t>
  </si>
  <si>
    <t>Street Fighter Alpha 3</t>
  </si>
  <si>
    <t>Street Fighter III: 2nd Impact</t>
  </si>
  <si>
    <t>Street Fighter III: 3rd Strike</t>
  </si>
  <si>
    <t>Strikers 1945 II</t>
  </si>
  <si>
    <t>Strikers 1945 III</t>
  </si>
  <si>
    <t>The Combatribes</t>
  </si>
  <si>
    <t>The Punisher</t>
  </si>
  <si>
    <t>TwinBee Yahho!</t>
  </si>
  <si>
    <t>Warriors of Fate</t>
  </si>
  <si>
    <t>X-Men vs. Street Fighter</t>
  </si>
  <si>
    <t>Change Air Blade</t>
  </si>
  <si>
    <t>Cyberbots: Full Metal Madness</t>
  </si>
  <si>
    <t>Darkstalkers: The Night Warriors</t>
  </si>
  <si>
    <t>DoDonPachi Dai-Ou-Jou</t>
  </si>
  <si>
    <t>Espgaluda</t>
  </si>
  <si>
    <t>Espgaluda II</t>
  </si>
  <si>
    <t>Growl</t>
  </si>
  <si>
    <t>Killer Instinct</t>
  </si>
  <si>
    <t>Knights of the Round</t>
  </si>
  <si>
    <t>Ninja Baseball Bat Man</t>
  </si>
  <si>
    <t>Street Fighter Alpha</t>
  </si>
  <si>
    <t>Street Fighter II: The World Warrior</t>
  </si>
  <si>
    <t>Street Fighter III: New Generation</t>
  </si>
  <si>
    <t>Super Street Fighter II Turbo</t>
  </si>
  <si>
    <t>The King of Dragons</t>
  </si>
  <si>
    <t>The Simpsons Arcade Game</t>
  </si>
  <si>
    <t>X-Men</t>
  </si>
  <si>
    <t>19XX</t>
  </si>
  <si>
    <t>Alien</t>
  </si>
  <si>
    <t>Cotton</t>
  </si>
  <si>
    <t>Darkstalkers</t>
  </si>
  <si>
    <t>Dungeons &amp; Dragons</t>
  </si>
  <si>
    <t>Golden Axe</t>
  </si>
  <si>
    <t>Guilty Gear</t>
  </si>
  <si>
    <t>GunForce</t>
  </si>
  <si>
    <t>Marvel vs. Capcom</t>
  </si>
  <si>
    <t>Metal Slug</t>
  </si>
  <si>
    <t>Parodius</t>
  </si>
  <si>
    <t>The Simpsons</t>
  </si>
  <si>
    <t>Mc O'River</t>
  </si>
  <si>
    <t>Video System</t>
  </si>
  <si>
    <t>Sega</t>
  </si>
  <si>
    <t>Sega AM2</t>
  </si>
  <si>
    <t>Asura Blade: Sword of Dynasty</t>
  </si>
  <si>
    <t>Fuuki</t>
  </si>
  <si>
    <t>Fighting</t>
  </si>
  <si>
    <t>Toaplan</t>
  </si>
  <si>
    <t>Eighting</t>
  </si>
  <si>
    <t>Captain America</t>
  </si>
  <si>
    <t>Success</t>
  </si>
  <si>
    <t>Armored Warriors</t>
  </si>
  <si>
    <t>Kaneko</t>
  </si>
  <si>
    <t>Nihon System</t>
  </si>
  <si>
    <t>Cave</t>
  </si>
  <si>
    <t>Interplay</t>
  </si>
  <si>
    <t>Virgin Interactive Entertainment</t>
  </si>
  <si>
    <t>Banpresto</t>
  </si>
  <si>
    <t>Winkysoft</t>
  </si>
  <si>
    <t>AMI</t>
  </si>
  <si>
    <t>Psikyo</t>
  </si>
  <si>
    <t>Noise Factory</t>
  </si>
  <si>
    <t>Takumi Corporation</t>
  </si>
  <si>
    <t>Sega AM1</t>
  </si>
  <si>
    <t>Power Instinct</t>
  </si>
  <si>
    <t>Groove on Fight: Gōketsuji Ichizoku 3</t>
  </si>
  <si>
    <t>Arc System Works</t>
  </si>
  <si>
    <t>NMK</t>
  </si>
  <si>
    <t>JoJo's Venture</t>
  </si>
  <si>
    <t>Gradius II: Gofer's Ambition</t>
  </si>
  <si>
    <t>Night Warriors: Darkstalkers' Revenge</t>
  </si>
  <si>
    <t>JoJo's Bizarre Adventure</t>
  </si>
  <si>
    <t>Midway</t>
  </si>
  <si>
    <t>Metal Slug 2</t>
  </si>
  <si>
    <t>Metal Slug 3</t>
  </si>
  <si>
    <t>Metal Slug 4</t>
  </si>
  <si>
    <t>Metal Slug 5</t>
  </si>
  <si>
    <t>Metal Slug X</t>
  </si>
  <si>
    <t>Cyber-Lip</t>
  </si>
  <si>
    <t>Shock Troopers</t>
  </si>
  <si>
    <t>Shock Troopers: 2nd Squad</t>
  </si>
  <si>
    <t>Magician Lord</t>
  </si>
  <si>
    <t>Mutation Nation</t>
  </si>
  <si>
    <t>Ninja Master's: Haō Ninpō Chō</t>
  </si>
  <si>
    <t>Aero Fighters 2</t>
  </si>
  <si>
    <t>Aero Fighters 3</t>
  </si>
  <si>
    <t>Aggressors of Dark Kombat</t>
  </si>
  <si>
    <t>Alpha Mission II</t>
  </si>
  <si>
    <t>Andro Dunos</t>
  </si>
  <si>
    <t>Art of Fighting</t>
  </si>
  <si>
    <t>Art of Fighting 2</t>
  </si>
  <si>
    <t>Art of Fighting 3: The Path of the Warrior</t>
  </si>
  <si>
    <t>Blazing Star</t>
  </si>
  <si>
    <t>Blue's Journey</t>
  </si>
  <si>
    <t>Captain Tomaday</t>
  </si>
  <si>
    <t>Eight Man</t>
  </si>
  <si>
    <t>Fatal Fury 2</t>
  </si>
  <si>
    <t>Fatal Fury 3: Road to the Final Victory</t>
  </si>
  <si>
    <t>Fatal Fury: King of Fighters</t>
  </si>
  <si>
    <t>Galaxy Fight: Universal Warriors</t>
  </si>
  <si>
    <t>Ghost Pilots</t>
  </si>
  <si>
    <t>Kizuna Encounter</t>
  </si>
  <si>
    <t>Last Resort</t>
  </si>
  <si>
    <t>Magical Drop III</t>
  </si>
  <si>
    <t>Ninja Commando</t>
  </si>
  <si>
    <t>Pulstar</t>
  </si>
  <si>
    <t>Samurai Shodown</t>
  </si>
  <si>
    <t>Samurai Shodown III: Blades of Blood</t>
  </si>
  <si>
    <t>Samurai Shodown IV: Amakusa's Revenge</t>
  </si>
  <si>
    <t>Samurai Shodown V</t>
  </si>
  <si>
    <t>Sengoku</t>
  </si>
  <si>
    <t>Sengoku 2</t>
  </si>
  <si>
    <t>The King of Fighters '95</t>
  </si>
  <si>
    <t>The King of Fighters '96</t>
  </si>
  <si>
    <t>The King of Fighters '97</t>
  </si>
  <si>
    <t>The King of Fighters '98</t>
  </si>
  <si>
    <t>The King of Fighters 2000</t>
  </si>
  <si>
    <t>The King of Fighters 2001</t>
  </si>
  <si>
    <t>The King of Fighters 2002</t>
  </si>
  <si>
    <t>The King of Fighters 2003</t>
  </si>
  <si>
    <t>World Heroes</t>
  </si>
  <si>
    <t>World Heroes 2</t>
  </si>
  <si>
    <t>Garou: Mark of the Wolves</t>
  </si>
  <si>
    <t>Samurai Shodown II</t>
  </si>
  <si>
    <t>The King of Fighters '94</t>
  </si>
  <si>
    <t>The Last Blade</t>
  </si>
  <si>
    <t>The Last Blade 2</t>
  </si>
  <si>
    <t>Top Hunter: Roddy &amp; Cathy</t>
  </si>
  <si>
    <t>Twinkle Star Sprites</t>
  </si>
  <si>
    <t>Waku Waku 7</t>
  </si>
  <si>
    <t>Windjammers</t>
  </si>
  <si>
    <t>Zed Blade</t>
  </si>
  <si>
    <t>Shinsetsu Samurai Spirits Bushidō Retsuden</t>
  </si>
  <si>
    <t>Mushihimesama</t>
  </si>
  <si>
    <t>UPL</t>
  </si>
  <si>
    <t>International Games System</t>
  </si>
  <si>
    <t>Oriental Legend</t>
  </si>
  <si>
    <t>Parodius Da! From Myth to Laughter</t>
  </si>
  <si>
    <t>Pu·Li·Ru·La</t>
  </si>
  <si>
    <t>Electronic Arts Victor</t>
  </si>
  <si>
    <t>Aorn</t>
  </si>
  <si>
    <t>Seibu Kaihatsu</t>
  </si>
  <si>
    <t>Fabtek</t>
  </si>
  <si>
    <t>Ray</t>
  </si>
  <si>
    <t>Nanao</t>
  </si>
  <si>
    <t>Sengoku Ace</t>
  </si>
  <si>
    <t>Warashi</t>
  </si>
  <si>
    <t>Visco Corporation</t>
  </si>
  <si>
    <t>Violent Storm</t>
  </si>
  <si>
    <t>Nazca Corporation</t>
  </si>
  <si>
    <t>Fatal Fury</t>
  </si>
  <si>
    <t>Mega Enterprise</t>
  </si>
  <si>
    <t>Saurus</t>
  </si>
  <si>
    <t>Magical Drop</t>
  </si>
  <si>
    <t>The King of Fighters</t>
  </si>
  <si>
    <t>Alpha Denshi</t>
  </si>
  <si>
    <t>Biomotor Unitron</t>
  </si>
  <si>
    <t>Delta Warp</t>
  </si>
  <si>
    <t>Metal Slug: 2nd Mission</t>
  </si>
  <si>
    <t>Rockman: Battle &amp; Fighters</t>
  </si>
  <si>
    <t>Densetsu no Ogre Battle Gaiden: Zenobia no Ōji</t>
  </si>
  <si>
    <t>Metal Slug: 1st Mission</t>
  </si>
  <si>
    <t>Sonic the Hedgehog: Pocket Adventure</t>
  </si>
  <si>
    <t>Super Metroid</t>
  </si>
  <si>
    <t>Teenage Mutant Ninja Turtles IV: Turtles in Time</t>
  </si>
  <si>
    <t>Star Fox</t>
  </si>
  <si>
    <t>Famicom Tantei Club Part II: Ushiro ni Tatsu Shōjo</t>
  </si>
  <si>
    <t>The Legend of Zelda: A Link to the Past</t>
  </si>
  <si>
    <t>Chrono Trigger</t>
  </si>
  <si>
    <t>Mega Man 7</t>
  </si>
  <si>
    <t>Contra III: The Alien Wars</t>
  </si>
  <si>
    <t>Super Castlevania IV</t>
  </si>
  <si>
    <t>ActRaiser</t>
  </si>
  <si>
    <t>EarthBound</t>
  </si>
  <si>
    <t>Super Mario RPG: Legend of the Seven Stars</t>
  </si>
  <si>
    <t>Secret of Mana</t>
  </si>
  <si>
    <t>Donkey Kong Country</t>
  </si>
  <si>
    <t>Tetris Attack</t>
  </si>
  <si>
    <t>Terranigma</t>
  </si>
  <si>
    <t>Super Double Dragon</t>
  </si>
  <si>
    <t>Kirby Super Star</t>
  </si>
  <si>
    <t>Donkey Kong Country 2: Diddy's Kong Quest</t>
  </si>
  <si>
    <t>Donkey Kong Country 3: Dixie Kong's Double Trouble!</t>
  </si>
  <si>
    <t>Operation Logic Bomb</t>
  </si>
  <si>
    <t>Super Mario World</t>
  </si>
  <si>
    <t>Time Slip</t>
  </si>
  <si>
    <t>Ninja Gaiden Trilogy</t>
  </si>
  <si>
    <t>Robotrek</t>
  </si>
  <si>
    <t>Mega Man X</t>
  </si>
  <si>
    <t>GunForce: Battle Fire Terror Engulfed Island</t>
  </si>
  <si>
    <t>Rendering Ranger: R2</t>
  </si>
  <si>
    <t>Super Dimension Fortress Macross: Scrambled Valkyrie</t>
  </si>
  <si>
    <t>Castlevania: Dracula X</t>
  </si>
  <si>
    <t>Shadowrun</t>
  </si>
  <si>
    <t>Mega Man X2</t>
  </si>
  <si>
    <t>Spider-Man and Venom: Maximum Carnage</t>
  </si>
  <si>
    <t>Axelay</t>
  </si>
  <si>
    <t>Darius Twin</t>
  </si>
  <si>
    <t>Radical Dreamers: Nusumenai Hōseki</t>
  </si>
  <si>
    <t>Final Fantasy IV</t>
  </si>
  <si>
    <t>Mega Man X3</t>
  </si>
  <si>
    <t>Out of This World</t>
  </si>
  <si>
    <t>Miracle Girls</t>
  </si>
  <si>
    <t>R-Type III: The Third Lightning</t>
  </si>
  <si>
    <t>Lufia II: Rise of the Sinistrals</t>
  </si>
  <si>
    <t>Super Mario Kart</t>
  </si>
  <si>
    <t>Romance of the Three Kingdoms III: Dragon of Destiny</t>
  </si>
  <si>
    <t>Romance of the Three Kingdoms IV: Wall of Fire</t>
  </si>
  <si>
    <t>Romance of the Three Kingdoms II</t>
  </si>
  <si>
    <t>Boogerman: A Pick and Flick Adventure</t>
  </si>
  <si>
    <t>New Horizons</t>
  </si>
  <si>
    <t>Rocky Rodent</t>
  </si>
  <si>
    <t>BioMetal</t>
  </si>
  <si>
    <t>BlaZeon: The Bio-Cyborg Challenge</t>
  </si>
  <si>
    <t>Dragon View</t>
  </si>
  <si>
    <t>Joe &amp; Mac 2: Lost in the Tropics</t>
  </si>
  <si>
    <t>Rival Turf</t>
  </si>
  <si>
    <t>Run Saber</t>
  </si>
  <si>
    <t>Super Adventure Island II</t>
  </si>
  <si>
    <t>The Peace Keepers</t>
  </si>
  <si>
    <t>Uncharted Waters</t>
  </si>
  <si>
    <t>Aero the Acro-Bat</t>
  </si>
  <si>
    <t>Aero the Acro-Bat 2</t>
  </si>
  <si>
    <t>Arcana</t>
  </si>
  <si>
    <t>B.O.B.</t>
  </si>
  <si>
    <t>Brawl Brothers</t>
  </si>
  <si>
    <t>Chuck Rock</t>
  </si>
  <si>
    <t>DinoCity</t>
  </si>
  <si>
    <t>Double Dragon V: The Shadow Falls</t>
  </si>
  <si>
    <t>Equinox</t>
  </si>
  <si>
    <t>Ghoul Patrol</t>
  </si>
  <si>
    <t>Incantation</t>
  </si>
  <si>
    <t>Joe &amp; Mac: Caveman Ninjas</t>
  </si>
  <si>
    <t>Maui Mallard in Cold Shadow</t>
  </si>
  <si>
    <t>MechWarrior</t>
  </si>
  <si>
    <t>MechWarrior 3050</t>
  </si>
  <si>
    <t>Prince of Persia 2: The Shadow and the Flame</t>
  </si>
  <si>
    <t>Raiden Trad</t>
  </si>
  <si>
    <t>Spider-Man &amp; Venom: Separation Anxiety</t>
  </si>
  <si>
    <t>Super Adventure Island</t>
  </si>
  <si>
    <t>Super Nova</t>
  </si>
  <si>
    <t>Super Valis IV</t>
  </si>
  <si>
    <t>The 7th Saga</t>
  </si>
  <si>
    <t>The Ninja Warriors</t>
  </si>
  <si>
    <t>Thunder Spirits</t>
  </si>
  <si>
    <t>X-Men: Mutant Apocalypse</t>
  </si>
  <si>
    <t>Batman Returns</t>
  </si>
  <si>
    <t>Battletoads &amp; Double Dragon: The Ultimate Team</t>
  </si>
  <si>
    <t>Battletoads in Battlemaniacs</t>
  </si>
  <si>
    <t>Brain Lord</t>
  </si>
  <si>
    <t>Cool Spot</t>
  </si>
  <si>
    <t>E.V.O.: The Search for Eden</t>
  </si>
  <si>
    <t>Earth Defense Force</t>
  </si>
  <si>
    <t>Flashback: The Quest for Identity</t>
  </si>
  <si>
    <t>Genghis Khan II: Clan of the Gray Wolf</t>
  </si>
  <si>
    <t>Hagane: The Final Conflict</t>
  </si>
  <si>
    <t>Marvel Super Heroes: War of the Gems</t>
  </si>
  <si>
    <t>Metal Warriors</t>
  </si>
  <si>
    <t>Mickey Mania: The Timeless Adventures of Mickey Mouse</t>
  </si>
  <si>
    <t>Phalanx</t>
  </si>
  <si>
    <t>Phantom 2040</t>
  </si>
  <si>
    <t>Pilotwings</t>
  </si>
  <si>
    <t>Plok</t>
  </si>
  <si>
    <t>Pocky &amp; Rocky 2</t>
  </si>
  <si>
    <t>Prince of Persia</t>
  </si>
  <si>
    <t>Secret of the Stars</t>
  </si>
  <si>
    <t>Space Megaforce</t>
  </si>
  <si>
    <t>Sparkster</t>
  </si>
  <si>
    <t>Strike Gunner S.T.G</t>
  </si>
  <si>
    <t>Sunset Riders</t>
  </si>
  <si>
    <t>Super Bonk</t>
  </si>
  <si>
    <t>Super Ghouls 'n Ghosts</t>
  </si>
  <si>
    <t>Super Smash TV</t>
  </si>
  <si>
    <t>Super Turrican</t>
  </si>
  <si>
    <t>Super Turrican 2</t>
  </si>
  <si>
    <t>The Adventures of Batman &amp; Robin</t>
  </si>
  <si>
    <t>The Death and Return of Superman</t>
  </si>
  <si>
    <t>The Firemen</t>
  </si>
  <si>
    <t>The Ignition Factor</t>
  </si>
  <si>
    <t>The Lost Vikings</t>
  </si>
  <si>
    <t>The Twisted Tales of Spike McFang</t>
  </si>
  <si>
    <t>U.N. Squadron</t>
  </si>
  <si>
    <t>Uniracers</t>
  </si>
  <si>
    <t>Weaponlord</t>
  </si>
  <si>
    <t>Wild Guns</t>
  </si>
  <si>
    <t>X-Kaliber 2097</t>
  </si>
  <si>
    <t>ActRaiser 2</t>
  </si>
  <si>
    <t>Breath of Fire</t>
  </si>
  <si>
    <t>Breath of Fire II</t>
  </si>
  <si>
    <t>Cybernator</t>
  </si>
  <si>
    <t>Earthworm Jim</t>
  </si>
  <si>
    <t>Earthworm Jim 2</t>
  </si>
  <si>
    <t>Final Fight 2</t>
  </si>
  <si>
    <t>Final Fight 3</t>
  </si>
  <si>
    <t>F-Zero</t>
  </si>
  <si>
    <t>Goof Troop</t>
  </si>
  <si>
    <t>Gradius III</t>
  </si>
  <si>
    <t>Harvest Moon</t>
  </si>
  <si>
    <t>Hook</t>
  </si>
  <si>
    <t>Illusion of Gaia</t>
  </si>
  <si>
    <t>Lufia &amp; The Fortress of Doom</t>
  </si>
  <si>
    <t>Pocky &amp; Rocky</t>
  </si>
  <si>
    <t>Secret of Evermore</t>
  </si>
  <si>
    <t>Skyblazer</t>
  </si>
  <si>
    <t>Soul Blazer</t>
  </si>
  <si>
    <t>Super Mario All-Stars</t>
  </si>
  <si>
    <t>Super Punch-Out!!</t>
  </si>
  <si>
    <t>Super R-Type</t>
  </si>
  <si>
    <t>Super Star Wars</t>
  </si>
  <si>
    <t>Super Star Wars: Return of the Jedi</t>
  </si>
  <si>
    <t>Super Star Wars: The Empire Strikes Back</t>
  </si>
  <si>
    <t>The Legend of the Mystical Ninja</t>
  </si>
  <si>
    <t>Tiny Toon Adventures: Buster Busts Loose!</t>
  </si>
  <si>
    <t>Ys III: Wanderers from Ys</t>
  </si>
  <si>
    <t>Zombies Ate My Neighbors</t>
  </si>
  <si>
    <t>Ogre Battle: The March of the Black Queen</t>
  </si>
  <si>
    <t>Ganbare Goemon Kirakira Dōchū: Boku ga Dancer ni Natta Wake</t>
  </si>
  <si>
    <t>Ganbare! Daiku no Gensan</t>
  </si>
  <si>
    <t>Rejoice: Aretha Ōkoku no Kanata</t>
  </si>
  <si>
    <t>Ganbare Goemon 2: Kiteretsu Shogun Magginesu</t>
  </si>
  <si>
    <t>Ganbare Goemon 3: Shishijūrokubē no Karakuri Manji Gatame</t>
  </si>
  <si>
    <t>Genocide 2</t>
  </si>
  <si>
    <t>Ghost Chaser Densei</t>
  </si>
  <si>
    <t>Ghost Sweeper Mikami: Joreishi wa Nice Body</t>
  </si>
  <si>
    <t>Go Go Ackman</t>
  </si>
  <si>
    <t>Go Go Ackman 2</t>
  </si>
  <si>
    <t>Go Go Ackman 3</t>
  </si>
  <si>
    <t>Iron Commando: Kōtetsu no Senshi</t>
  </si>
  <si>
    <t>Jungle no Ōja Tarzan</t>
  </si>
  <si>
    <t>Kamen Rider</t>
  </si>
  <si>
    <t>Mario &amp; Wario</t>
  </si>
  <si>
    <t>Undercover Cops</t>
  </si>
  <si>
    <t>Accele Brid</t>
  </si>
  <si>
    <t>Alcahest</t>
  </si>
  <si>
    <t>Ancient Magic: Bazoe! Mahō Senki</t>
  </si>
  <si>
    <t>Arabian Nights: Sabaku no Seirei-ō</t>
  </si>
  <si>
    <t>Ball Bullet Gun</t>
  </si>
  <si>
    <t>Bastard!!: Ankoku no Hakai-Shin</t>
  </si>
  <si>
    <t>Chō Aniki: Bakuretsu Rantōhen</t>
  </si>
  <si>
    <t>Chō Genjin 2</t>
  </si>
  <si>
    <t>Chōmahō Tairiku Wozz</t>
  </si>
  <si>
    <t>Cyber Knight</t>
  </si>
  <si>
    <t>Cyborg 009</t>
  </si>
  <si>
    <t>Dark Law: Meaning of Death</t>
  </si>
  <si>
    <t>Deae Tonosama Appare Ichiban</t>
  </si>
  <si>
    <t>Der Langrisser</t>
  </si>
  <si>
    <t>Dream Maze: Kigurumi Daibōken</t>
  </si>
  <si>
    <t>Dual Orb II</t>
  </si>
  <si>
    <t>Edo no Kiba</t>
  </si>
  <si>
    <t>Emerald Dragon</t>
  </si>
  <si>
    <t>Energy Breaker</t>
  </si>
  <si>
    <t>Fushigi no Dungeon 2: Fūrai no Shiren</t>
  </si>
  <si>
    <t>Gokujō Parodius: Kako no Eikō wo Motomete</t>
  </si>
  <si>
    <t>Hiōden: Mamono-tachi tono Chikai</t>
  </si>
  <si>
    <t>Horai Gakuen no Bōken!</t>
  </si>
  <si>
    <t>Jaki Crush</t>
  </si>
  <si>
    <t>Jikkyō Oshaberi Parodius</t>
  </si>
  <si>
    <t>Jyutei Senki</t>
  </si>
  <si>
    <t>Kōryū no Mimi</t>
  </si>
  <si>
    <t>Kūsō Kagaku Sekai: Gulliver Boy</t>
  </si>
  <si>
    <t>Lady Stalker: Challenge from the Past</t>
  </si>
  <si>
    <t>Laplace no Ma</t>
  </si>
  <si>
    <t>Lennus II</t>
  </si>
  <si>
    <t>Madō Monogatari: Hanamaru Daiyōchienji</t>
  </si>
  <si>
    <t>Magic Knight Rayearth</t>
  </si>
  <si>
    <t>Magical Drop 2</t>
  </si>
  <si>
    <t>Magical Tarurūto-Kun</t>
  </si>
  <si>
    <t>Magna Braban</t>
  </si>
  <si>
    <t>Majin Tensei</t>
  </si>
  <si>
    <t>Majin Tensei II: Spiral Nemesis</t>
  </si>
  <si>
    <t>Metal Max Returns</t>
  </si>
  <si>
    <t>Mickey no Tokyo Disneyland Daibōken</t>
  </si>
  <si>
    <t>Mobile Suit Gundam F91: Formula Wars 0122</t>
  </si>
  <si>
    <t>Mobile Suit Gundam Wing: Endless Duel</t>
  </si>
  <si>
    <t>Mobile Suit Gundam: Cross Dimension 0079</t>
  </si>
  <si>
    <t>Monstania</t>
  </si>
  <si>
    <t>Mōryō Senki Madara 2</t>
  </si>
  <si>
    <t>Nangoku Shōnen Papuwa-Kun</t>
  </si>
  <si>
    <t>Nekketsu Tairiku: Burning Heroes</t>
  </si>
  <si>
    <t>Neugier: Umi to Kaze no Kōdō</t>
  </si>
  <si>
    <t>Pokonyan! Henpokorin Adventure</t>
  </si>
  <si>
    <t>Romancing SaGa</t>
  </si>
  <si>
    <t>Romancing SaGa 2</t>
  </si>
  <si>
    <t>Romancing SaGa 3</t>
  </si>
  <si>
    <t>Rudra no Hihō</t>
  </si>
  <si>
    <t>Ryūki Heidan Danzarb</t>
  </si>
  <si>
    <t>Shin Nekketsu Kōha: Kunio-tachi no Banka</t>
  </si>
  <si>
    <t>Shodai Nekketsu Kōha Kunio-Kun</t>
  </si>
  <si>
    <t>Shōnen Ashibe</t>
  </si>
  <si>
    <t>Shōnen Ninja Sasuke</t>
  </si>
  <si>
    <t>Silva Saga II: The Legend of Light and Darkness</t>
  </si>
  <si>
    <t>Slayers</t>
  </si>
  <si>
    <t>Space Knight Tekkaman Blade</t>
  </si>
  <si>
    <t>Spriggan Powered</t>
  </si>
  <si>
    <t>Super Back to the Future Part II</t>
  </si>
  <si>
    <t>Super Robot Taisen EX</t>
  </si>
  <si>
    <t>Super Tetris 3</t>
  </si>
  <si>
    <t>Clock Tower</t>
  </si>
  <si>
    <t>FEDA: The Emblem of Justice</t>
  </si>
  <si>
    <t>Front Mission</t>
  </si>
  <si>
    <t>Front Mission: Gun Hazard</t>
  </si>
  <si>
    <t>Hameln no Violin Hiki</t>
  </si>
  <si>
    <t>Holy Umbrella: Dondera no Mubō!!</t>
  </si>
  <si>
    <t>Majyūō</t>
  </si>
  <si>
    <t>Mario no Super Picross</t>
  </si>
  <si>
    <t>Rockman &amp; Forte</t>
  </si>
  <si>
    <t>Shin Megami Tensei</t>
  </si>
  <si>
    <t>Shin Megami Tensei if...</t>
  </si>
  <si>
    <t>Shin Megami Tensei II</t>
  </si>
  <si>
    <t>Super Famicom Wars</t>
  </si>
  <si>
    <t>Tetsuwan Atom</t>
  </si>
  <si>
    <t>Treasure Hunter G</t>
  </si>
  <si>
    <t>Umihara Kawase</t>
  </si>
  <si>
    <t>Wonder Project J: Kikai no Shōnen Pinō</t>
  </si>
  <si>
    <t>Ys IV: Mask of the Sun</t>
  </si>
  <si>
    <t>Ys V: Ushinawareta Suna no Miyako Kefin</t>
  </si>
  <si>
    <t>Bahamut Lagoon</t>
  </si>
  <si>
    <t>DoReMi Fantasy: Milon no DokiDoki Daibōken</t>
  </si>
  <si>
    <t>Final Fantasy V</t>
  </si>
  <si>
    <t>Fire Emblem: Monshō no Nazo</t>
  </si>
  <si>
    <t>Fire Emblem: Seisen no Keifu</t>
  </si>
  <si>
    <t>Fire Emblem: Thracia 776</t>
  </si>
  <si>
    <t>Mystic Ark</t>
  </si>
  <si>
    <t>Seiken Densetsu 3</t>
  </si>
  <si>
    <t>Star Fox 2</t>
  </si>
  <si>
    <t>Tactics Ogre: Let Us Cling Together</t>
  </si>
  <si>
    <t>Tales of Phantasia</t>
  </si>
  <si>
    <t>Star Ocean</t>
  </si>
  <si>
    <t>Ganpuru: Gunman's Proof</t>
  </si>
  <si>
    <t>Magical Pop'n</t>
  </si>
  <si>
    <t>BS Zelda no Densetsu</t>
  </si>
  <si>
    <t>BS Zelda no Densetsu: Inishie no Sekiban</t>
  </si>
  <si>
    <t>Jack Bros.</t>
  </si>
  <si>
    <t>Red Alarm</t>
  </si>
  <si>
    <t>Vertical Force</t>
  </si>
  <si>
    <t>Virtual Boy Wario Land</t>
  </si>
  <si>
    <t>Custom Robo</t>
  </si>
  <si>
    <t>Turok 2: Seeds of Evil</t>
  </si>
  <si>
    <t>Turok 3: Shadow of Oblivion</t>
  </si>
  <si>
    <t>Banjo-Kazooie</t>
  </si>
  <si>
    <t>Body Harvest</t>
  </si>
  <si>
    <t>Castlevania: Legacy of Darkness</t>
  </si>
  <si>
    <t>Excitebike 64</t>
  </si>
  <si>
    <t>Forsaken 64</t>
  </si>
  <si>
    <t>Goemon's Great Adventure</t>
  </si>
  <si>
    <t>Harvest Moon 64</t>
  </si>
  <si>
    <t>Hybrid Heaven</t>
  </si>
  <si>
    <t>Mario Party</t>
  </si>
  <si>
    <t>Mario Party 2</t>
  </si>
  <si>
    <t>Mario Party 3</t>
  </si>
  <si>
    <t>Pokémon Puzzle League</t>
  </si>
  <si>
    <t>Pokémon Stadium</t>
  </si>
  <si>
    <t>Pokémon Stadium 2</t>
  </si>
  <si>
    <t>Turok: Dinosaur Hunter</t>
  </si>
  <si>
    <t>WinBack: Covert Operations</t>
  </si>
  <si>
    <t>Bakuretsu Muteki Bangai-O</t>
  </si>
  <si>
    <t>Banjo-Tooie</t>
  </si>
  <si>
    <t>Beetle Adventure Racing!</t>
  </si>
  <si>
    <t>Diddy Kong Racing</t>
  </si>
  <si>
    <t>Donkey Kong 64</t>
  </si>
  <si>
    <t>F-Zero X</t>
  </si>
  <si>
    <t>Kirby 64: The Crystal Shards</t>
  </si>
  <si>
    <t>Mario Golf</t>
  </si>
  <si>
    <t>Mario Kart 64</t>
  </si>
  <si>
    <t>Mario Tennis</t>
  </si>
  <si>
    <t>Mischief Makers</t>
  </si>
  <si>
    <t>Ogre Battle 64: Person of Lordly Caliber</t>
  </si>
  <si>
    <t>Paper Mario</t>
  </si>
  <si>
    <t>Pokémon Snap</t>
  </si>
  <si>
    <t>Rayman 2: The Great Escape</t>
  </si>
  <si>
    <t>Resident Evil 2</t>
  </si>
  <si>
    <t>Rocket: Robot on Wheels</t>
  </si>
  <si>
    <t>Sin &amp; Punishment: Successor of the Earth</t>
  </si>
  <si>
    <t>Space Station: Silicon Valley</t>
  </si>
  <si>
    <t>Star Wars: Episode I: Battle for Naboo</t>
  </si>
  <si>
    <t>Star Wars: Rogue Squadron</t>
  </si>
  <si>
    <t>Star Wars: Shadows of the Empire</t>
  </si>
  <si>
    <t>Yoshi's Story</t>
  </si>
  <si>
    <t>Jet Force Gemini</t>
  </si>
  <si>
    <t>Super Smash Bros.</t>
  </si>
  <si>
    <t>The Legend of Zelda: Ocarina of Time</t>
  </si>
  <si>
    <t>Blast Corps</t>
  </si>
  <si>
    <t>Perfect Dark</t>
  </si>
  <si>
    <t>Star Fox 64</t>
  </si>
  <si>
    <t>GoldenEye 007</t>
  </si>
  <si>
    <t>The Legend of Zelda: Majora's Mask</t>
  </si>
  <si>
    <t>Conker's Bad Fur Day</t>
  </si>
  <si>
    <t>Super Mario 64</t>
  </si>
  <si>
    <t>Animal Crossing</t>
  </si>
  <si>
    <t>Metroid Prime</t>
  </si>
  <si>
    <t>Spider-Man 2</t>
  </si>
  <si>
    <t>Star Fox Assault</t>
  </si>
  <si>
    <t>Star Fox Adventures</t>
  </si>
  <si>
    <t>Super Mario Sunshine</t>
  </si>
  <si>
    <t>Super Smash Bros. Melee</t>
  </si>
  <si>
    <t>Luigi's Mansion</t>
  </si>
  <si>
    <t>Paper Mario: The Thousand-Year Door</t>
  </si>
  <si>
    <t>Mario Kart: Double Dash!!</t>
  </si>
  <si>
    <t>Mario Party 4</t>
  </si>
  <si>
    <t>Mario Party 5</t>
  </si>
  <si>
    <t>Mario Party 6</t>
  </si>
  <si>
    <t>Mario Party 7</t>
  </si>
  <si>
    <t>Sonic Riders</t>
  </si>
  <si>
    <t>NBA Live 2003</t>
  </si>
  <si>
    <t>Sonic Heroes</t>
  </si>
  <si>
    <t>The Legend of Zelda: The Wind Waker</t>
  </si>
  <si>
    <t>Metroid Prime 2: Echoes</t>
  </si>
  <si>
    <t>Resident Evil 4</t>
  </si>
  <si>
    <t>Eternal Darkness: Sanity's Requiem</t>
  </si>
  <si>
    <t>The Legend of Zelda: Four Swords Adventures</t>
  </si>
  <si>
    <t>Gladius</t>
  </si>
  <si>
    <t>Mega Man Network Transmission</t>
  </si>
  <si>
    <t>Mega Man X: Command Mission</t>
  </si>
  <si>
    <t>P.N.03</t>
  </si>
  <si>
    <t>Pokémon Colosseum</t>
  </si>
  <si>
    <t>Pokémon XD: Gale of Darkness</t>
  </si>
  <si>
    <t>Rayman 3: Hoodlum Havoc</t>
  </si>
  <si>
    <t>Resident Evil Code: Veronica X</t>
  </si>
  <si>
    <t>Star Wars Rogue Squadron II: Rogue Leader</t>
  </si>
  <si>
    <t>The Legend of Zelda: Collector's Edition</t>
  </si>
  <si>
    <t>The Legend of Zelda: Ocarina of Time / Master Quest</t>
  </si>
  <si>
    <t>Baten Kaitos Origins</t>
  </si>
  <si>
    <t>Baten Kaitos: Eternal Wings and the Lost Ocean</t>
  </si>
  <si>
    <t>Battalion Wars</t>
  </si>
  <si>
    <t>Billy Hatcher and the Giant Egg</t>
  </si>
  <si>
    <t>Final Fantasy Crystal Chronicles</t>
  </si>
  <si>
    <t>F-Zero GX</t>
  </si>
  <si>
    <t>Geist</t>
  </si>
  <si>
    <t>Ikaruga</t>
  </si>
  <si>
    <t>Metal Arms: Glitch in the System</t>
  </si>
  <si>
    <t>Resident Evil</t>
  </si>
  <si>
    <t>Skies of Arcadia Legends</t>
  </si>
  <si>
    <t>Tales of Symphonia</t>
  </si>
  <si>
    <t>The Incredible Hulk: Ultimate Destruction</t>
  </si>
  <si>
    <t>The Legend of Zelda: Twilight Princess</t>
  </si>
  <si>
    <t>Viewtiful Joe</t>
  </si>
  <si>
    <t>Viewtiful Joe 2</t>
  </si>
  <si>
    <t>Wario World</t>
  </si>
  <si>
    <t>Fire Emblem: Path of Radiance</t>
  </si>
  <si>
    <t>Killer7</t>
  </si>
  <si>
    <t>Pikmin</t>
  </si>
  <si>
    <t>Pikmin 2</t>
  </si>
  <si>
    <t>1080° Avalanche</t>
  </si>
  <si>
    <t>Metroid Prime 3: Corruption</t>
  </si>
  <si>
    <t>Marvel Ultimate Alliance</t>
  </si>
  <si>
    <t>Super Mario Galaxy</t>
  </si>
  <si>
    <t>Super Smash Bros. Brawl</t>
  </si>
  <si>
    <t>Heatseeker</t>
  </si>
  <si>
    <t>Super Paper Mario</t>
  </si>
  <si>
    <t>New Super Mario Bros. Wii</t>
  </si>
  <si>
    <t>Guitar Hero III: Legends of Rock</t>
  </si>
  <si>
    <t>Zack &amp; Wiki: Quest for Barbaros' Treasure</t>
  </si>
  <si>
    <t>Link's Crossbow Training</t>
  </si>
  <si>
    <t>Wii Sports</t>
  </si>
  <si>
    <t>Wii Play</t>
  </si>
  <si>
    <t>WarioWare: Smooth Moves</t>
  </si>
  <si>
    <t>Excite Truck</t>
  </si>
  <si>
    <t>Rayman Raving Rabbids</t>
  </si>
  <si>
    <t>Super Mario Galaxy 2</t>
  </si>
  <si>
    <t>Kirby's Epic Yarn</t>
  </si>
  <si>
    <t>Metroid: Other M</t>
  </si>
  <si>
    <t>The Legend of Zelda: Skyward Sword</t>
  </si>
  <si>
    <t>Xenoblade Chronicles</t>
  </si>
  <si>
    <t>Animal Crossing: City Folk</t>
  </si>
  <si>
    <t>Another Code: R - A Journey Into Lost Memories</t>
  </si>
  <si>
    <t>Arc Rise Fantasia</t>
  </si>
  <si>
    <t>Baroque</t>
  </si>
  <si>
    <t>Batman: The Brave and the Bold - The Video Game</t>
  </si>
  <si>
    <t>Battalion Wars 2</t>
  </si>
  <si>
    <t>Calling</t>
  </si>
  <si>
    <t>Captain Rainbow</t>
  </si>
  <si>
    <t>Castle of Shikigami III</t>
  </si>
  <si>
    <t>Conduit 2</t>
  </si>
  <si>
    <t>Cursed Mountain</t>
  </si>
  <si>
    <t>de Blob</t>
  </si>
  <si>
    <t>de Blob 2</t>
  </si>
  <si>
    <t>Dead Space: Extraction</t>
  </si>
  <si>
    <t>Disaster: Day of Crisis</t>
  </si>
  <si>
    <t>Donkey Kong Country Returns</t>
  </si>
  <si>
    <t>Donkey Kong Jungle Beat</t>
  </si>
  <si>
    <t>Elebits</t>
  </si>
  <si>
    <t>Epic Mickey</t>
  </si>
  <si>
    <t>Excitebots: Trick Racing</t>
  </si>
  <si>
    <t>Final Fantasy Crystal Chronicles: The Crystal Bearers</t>
  </si>
  <si>
    <t>Final Fantasy Fables: Chocobo's Dungeon</t>
  </si>
  <si>
    <t>Fire Emblem: Radiant Dawn</t>
  </si>
  <si>
    <t>Fragile Dreams: Farewell Ruins of the Moon</t>
  </si>
  <si>
    <t>Ivy the Kiwi?</t>
  </si>
  <si>
    <t>Kirby's Dream Collection: Special Edition</t>
  </si>
  <si>
    <t>Kirby's Return to Dream Land</t>
  </si>
  <si>
    <t>Klonoa</t>
  </si>
  <si>
    <t>Little King's Story</t>
  </si>
  <si>
    <t>Lost in Shadow</t>
  </si>
  <si>
    <t>MadWorld</t>
  </si>
  <si>
    <t>Mario Kart Wii</t>
  </si>
  <si>
    <t>Mario Strikers Charged</t>
  </si>
  <si>
    <t>Metal Slug Anthology</t>
  </si>
  <si>
    <t>Muramasa: The Demon Blade</t>
  </si>
  <si>
    <t>NiGHTS: Journey of Dreams</t>
  </si>
  <si>
    <t>No More Heroes</t>
  </si>
  <si>
    <t>No More Heroes 2: Desperate Struggle</t>
  </si>
  <si>
    <t>Ōkami</t>
  </si>
  <si>
    <t>Opoona</t>
  </si>
  <si>
    <t>Pandora's Tower</t>
  </si>
  <si>
    <t>Pokémon Battle Revolution</t>
  </si>
  <si>
    <t>Red Steel</t>
  </si>
  <si>
    <t>Red Steel 2</t>
  </si>
  <si>
    <t>Resident Evil: The Darkside Chronicles</t>
  </si>
  <si>
    <t>Resident Evil: The Umbrella Chronicles</t>
  </si>
  <si>
    <t>Rhythm Heaven Fever</t>
  </si>
  <si>
    <t>Rune Factory Frontier</t>
  </si>
  <si>
    <t>Silent Hill: Shattered Memories</t>
  </si>
  <si>
    <t>Sin &amp; Punishment: Star Successor</t>
  </si>
  <si>
    <t>Tales of Symphonia: Dawn of the New World</t>
  </si>
  <si>
    <t>The Conduit</t>
  </si>
  <si>
    <t>The House of the Dead: Overkill</t>
  </si>
  <si>
    <t>The Last Story</t>
  </si>
  <si>
    <t>Trauma Center: New Blood</t>
  </si>
  <si>
    <t>Trauma Team</t>
  </si>
  <si>
    <t>Wario Land: Shake It!</t>
  </si>
  <si>
    <t>Zangeki no Reginleiv</t>
  </si>
  <si>
    <t>Zero: Tsukihami no Kamen</t>
  </si>
  <si>
    <t>Boom Blox</t>
  </si>
  <si>
    <t>Boom Blox Bash Party</t>
  </si>
  <si>
    <t>Dewy's Adventure</t>
  </si>
  <si>
    <t>Endless Ocean</t>
  </si>
  <si>
    <t>EA Los Angeles</t>
  </si>
  <si>
    <t>3D Platformer</t>
  </si>
  <si>
    <t>Far Cry Vengeance</t>
  </si>
  <si>
    <t>Geometry Wars: Galaxies</t>
  </si>
  <si>
    <t>Resident Evil 4: Wii Edition</t>
  </si>
  <si>
    <t>Rodea the Sky Soldier</t>
  </si>
  <si>
    <t>Super Monkey Ball: Banana Blitz</t>
  </si>
  <si>
    <t>Arika</t>
  </si>
  <si>
    <t>Ubisoft</t>
  </si>
  <si>
    <t>Ubisoft Montreal</t>
  </si>
  <si>
    <t>Far Cry</t>
  </si>
  <si>
    <t>First-Person Shooter</t>
  </si>
  <si>
    <t>Vivendi Games</t>
  </si>
  <si>
    <t>Bizarre Creations</t>
  </si>
  <si>
    <t>Geometry Wars</t>
  </si>
  <si>
    <t>Twin-Stick Shooter</t>
  </si>
  <si>
    <t>High Voltage Software</t>
  </si>
  <si>
    <t>Harvey Birdman: Attorney at Law</t>
  </si>
  <si>
    <t>Visual Novel</t>
  </si>
  <si>
    <t>PlatinumGames</t>
  </si>
  <si>
    <t>Hack-and-Slash</t>
  </si>
  <si>
    <t>Capcom Production Studio 4</t>
  </si>
  <si>
    <t>Survival Horror</t>
  </si>
  <si>
    <t>NIS America</t>
  </si>
  <si>
    <t>Prope</t>
  </si>
  <si>
    <t>Rodea</t>
  </si>
  <si>
    <t>Super Monkey Ball</t>
  </si>
  <si>
    <t>Poor condition</t>
  </si>
  <si>
    <t>Mega Man 9</t>
  </si>
  <si>
    <t>Virtual Console</t>
  </si>
  <si>
    <t>Intelligent Systems</t>
  </si>
  <si>
    <t>Inti Creates</t>
  </si>
  <si>
    <t>Blaster Master: Overdrive</t>
  </si>
  <si>
    <t>Castlevania: The Adventure ReBirth</t>
  </si>
  <si>
    <t>Contra ReBirth</t>
  </si>
  <si>
    <t>Final Fantasy IV: The After Years</t>
  </si>
  <si>
    <t>LIT</t>
  </si>
  <si>
    <t>Onslaught</t>
  </si>
  <si>
    <t>Rage of the Gladiator</t>
  </si>
  <si>
    <t>Space Invaders Get Even</t>
  </si>
  <si>
    <t>Tomena Sanner</t>
  </si>
  <si>
    <t>Gaijinworks</t>
  </si>
  <si>
    <t>M2</t>
  </si>
  <si>
    <t>Square Enix</t>
  </si>
  <si>
    <t>Matrix Software</t>
  </si>
  <si>
    <t>WayForward Technologies</t>
  </si>
  <si>
    <t>Shade</t>
  </si>
  <si>
    <t>Ghostfire Games</t>
  </si>
  <si>
    <t>Cattle Call</t>
  </si>
  <si>
    <t>Space Invaders</t>
  </si>
  <si>
    <t>Runner</t>
  </si>
  <si>
    <t>Bayonetta</t>
  </si>
  <si>
    <t>Bayonetta 2</t>
  </si>
  <si>
    <t>Donkey Kong Country: Tropical Freeze</t>
  </si>
  <si>
    <t>Monster Hunter 3 Ultimate</t>
  </si>
  <si>
    <t>New Super Mario Bros. U</t>
  </si>
  <si>
    <t>Ninja Gaiden 3: Razor's Edge</t>
  </si>
  <si>
    <t>Nintendo Land</t>
  </si>
  <si>
    <t>Pikmin 3</t>
  </si>
  <si>
    <t>Super Smash Bros. for Wii U</t>
  </si>
  <si>
    <t>The Wonderful 101</t>
  </si>
  <si>
    <t>Xenoblade Chronicles X</t>
  </si>
  <si>
    <t>ZombiU</t>
  </si>
  <si>
    <t>Affordable Space Adventures</t>
  </si>
  <si>
    <t>Metroid Prime Trilogy</t>
  </si>
  <si>
    <t>Pushmo World</t>
  </si>
  <si>
    <t>Shantae and the Pirate's Curse</t>
  </si>
  <si>
    <t>Stealth Inc. 2: A Game of Clones</t>
  </si>
  <si>
    <t>Digital</t>
  </si>
  <si>
    <t>Collection with Bayonetta 2</t>
  </si>
  <si>
    <t>Collection with Bayonetta</t>
  </si>
  <si>
    <t>Mario Kart 8</t>
  </si>
  <si>
    <t>The Legend of Zelda: The Wind Waker HD</t>
  </si>
  <si>
    <t>Super Mario 3D World</t>
  </si>
  <si>
    <t>Hyrule Warriors</t>
  </si>
  <si>
    <t>Captain Toad: Treasure Tracker</t>
  </si>
  <si>
    <t>The Legend of Zelda: Twilight Princess HD</t>
  </si>
  <si>
    <t>Animal Crossing: amiibo Festival</t>
  </si>
  <si>
    <t>Axiom Verge</t>
  </si>
  <si>
    <t>Devil's Third</t>
  </si>
  <si>
    <t>Game &amp; Wario</t>
  </si>
  <si>
    <t>Game Party Champions</t>
  </si>
  <si>
    <t>Kirby and the Rainbow Curse</t>
  </si>
  <si>
    <t>Mario Party 10</t>
  </si>
  <si>
    <t>Mario Tennis: Ultra Smash</t>
  </si>
  <si>
    <t>Mass Effect 3: Special Edition</t>
  </si>
  <si>
    <t>Mighty No. 9</t>
  </si>
  <si>
    <t>NES Remix Pack</t>
  </si>
  <si>
    <t>New Super Luigi U</t>
  </si>
  <si>
    <t>Paper Mario: Color Splash</t>
  </si>
  <si>
    <t>Splatoon</t>
  </si>
  <si>
    <t>Star Fox Guard</t>
  </si>
  <si>
    <t>Star Fox Zero</t>
  </si>
  <si>
    <t>Super Mario Maker</t>
  </si>
  <si>
    <t>Tokyo Mirage Sessions #FE</t>
  </si>
  <si>
    <t>Limited Run Games</t>
  </si>
  <si>
    <t>Mario Kart</t>
  </si>
  <si>
    <t>Team Ninja</t>
  </si>
  <si>
    <t>Nintendo EAD Tokyo</t>
  </si>
  <si>
    <t>Nintendo EPD</t>
  </si>
  <si>
    <t>Retro Studios</t>
  </si>
  <si>
    <t>Capcom Production Studio 1</t>
  </si>
  <si>
    <t>Monster Hunter</t>
  </si>
  <si>
    <t>Minigame Collection</t>
  </si>
  <si>
    <t>Real-Time Strategy</t>
  </si>
  <si>
    <t>Sora Ltd.</t>
  </si>
  <si>
    <t>Monolith Soft</t>
  </si>
  <si>
    <t>Xeno</t>
  </si>
  <si>
    <t>Ubisoft Montpellier</t>
  </si>
  <si>
    <t>KnapNok Games</t>
  </si>
  <si>
    <t>Pushmo</t>
  </si>
  <si>
    <t>Shantae</t>
  </si>
  <si>
    <t>Curve Digital</t>
  </si>
  <si>
    <t>Stealth Bastard</t>
  </si>
  <si>
    <t>Thomas Happ Games</t>
  </si>
  <si>
    <t>Valhalla Game Studios</t>
  </si>
  <si>
    <t>Wario</t>
  </si>
  <si>
    <t>Warner Bros. Interactive Entertainment</t>
  </si>
  <si>
    <t>Phosphor</t>
  </si>
  <si>
    <t>Game Party</t>
  </si>
  <si>
    <t>Ndcube</t>
  </si>
  <si>
    <t>Camelot Software Planning</t>
  </si>
  <si>
    <t>BioWare</t>
  </si>
  <si>
    <t>Mass Effect</t>
  </si>
  <si>
    <t>Deep Silver</t>
  </si>
  <si>
    <t>Comcept</t>
  </si>
  <si>
    <t>indieszero</t>
  </si>
  <si>
    <t>NES Remix</t>
  </si>
  <si>
    <t>Kadokawa Games</t>
  </si>
  <si>
    <t>Third-Person Shooter</t>
  </si>
  <si>
    <t>Tower Defense</t>
  </si>
  <si>
    <t>Rail Shooter</t>
  </si>
  <si>
    <t>Megami Tensei</t>
  </si>
  <si>
    <t>Good-Feel</t>
  </si>
  <si>
    <t>Yoshi</t>
  </si>
  <si>
    <t>Burn:Cycle</t>
  </si>
  <si>
    <t>Link: The Faces of Evil</t>
  </si>
  <si>
    <t>Mutant Rampage: BodySlam</t>
  </si>
  <si>
    <t>Zelda: The Wand of Gamelon</t>
  </si>
  <si>
    <t>Zelda's Adventure</t>
  </si>
  <si>
    <t>Philips</t>
  </si>
  <si>
    <t>TripMedia</t>
  </si>
  <si>
    <t>Animation Magic</t>
  </si>
  <si>
    <t>Viridis</t>
  </si>
  <si>
    <t>Advanced Dungeons &amp; Dragons: Slayer</t>
  </si>
  <si>
    <t>Brain Dead 13</t>
  </si>
  <si>
    <t>Captain Quazar</t>
  </si>
  <si>
    <t>Gex</t>
  </si>
  <si>
    <t>Guardian War</t>
  </si>
  <si>
    <t>Lucienne's Quest</t>
  </si>
  <si>
    <t>Return Fire</t>
  </si>
  <si>
    <t>Strategic Designs</t>
  </si>
  <si>
    <t>Lion Entertainment</t>
  </si>
  <si>
    <t>Digital Leisure</t>
  </si>
  <si>
    <t>ReadySoft</t>
  </si>
  <si>
    <t>FMV</t>
  </si>
  <si>
    <t>The 3DO Company</t>
  </si>
  <si>
    <t>Cyclone Studios</t>
  </si>
  <si>
    <t>BMG Interactive</t>
  </si>
  <si>
    <t>Crystal Dynamics</t>
  </si>
  <si>
    <t>Matsushita Electric</t>
  </si>
  <si>
    <t>Micro Cabin</t>
  </si>
  <si>
    <t>Panasonic</t>
  </si>
  <si>
    <t>Prolific Publishing</t>
  </si>
  <si>
    <t>Silent Software</t>
  </si>
  <si>
    <t>Vehicular Combat</t>
  </si>
  <si>
    <t>The Elder Scrolls Travels: Shadowkey</t>
  </si>
  <si>
    <t>Vir2L Studios</t>
  </si>
  <si>
    <t>The Elder Scrolls</t>
  </si>
  <si>
    <t>Kaze no Klonoa: Moonlight Museum</t>
  </si>
  <si>
    <t>Puyo Puyo Tsu</t>
  </si>
  <si>
    <t>Rockman &amp; Forte: Mirai Kara no Chōsensha</t>
  </si>
  <si>
    <t>Puyo Puyo</t>
  </si>
  <si>
    <t>Layup</t>
  </si>
  <si>
    <t>Dicing Knight</t>
  </si>
  <si>
    <t>Judgement Silversword: Rebirth Edition</t>
  </si>
  <si>
    <t>Rhyme Rider Kerorican</t>
  </si>
  <si>
    <t>Qute</t>
  </si>
  <si>
    <t>Platine Dispositif</t>
  </si>
  <si>
    <t>M-Kai</t>
  </si>
  <si>
    <t>NanaOn-Sha</t>
  </si>
  <si>
    <t>Rhythm</t>
  </si>
  <si>
    <t>Judgement Silversword</t>
  </si>
  <si>
    <t>ADK</t>
  </si>
  <si>
    <t>Yumekobo</t>
  </si>
  <si>
    <t>Yuki Enterprise</t>
  </si>
  <si>
    <t>Eolith</t>
  </si>
  <si>
    <t>Brezzasoft</t>
  </si>
  <si>
    <t>The King of Fighters '99: Millennium Battle</t>
  </si>
  <si>
    <t>IO Sys</t>
  </si>
  <si>
    <t>Ukiyotei</t>
  </si>
  <si>
    <t>Quest Corporation</t>
  </si>
  <si>
    <t>Ogre Battle</t>
  </si>
  <si>
    <t>Dimps</t>
  </si>
  <si>
    <t>Sonic</t>
  </si>
  <si>
    <t>Bothtec</t>
  </si>
  <si>
    <t>Sigma Entertainment</t>
  </si>
  <si>
    <t>dB-SOFT</t>
  </si>
  <si>
    <t>Pack-In-Video</t>
  </si>
  <si>
    <t>Tomy</t>
  </si>
  <si>
    <t>Hect</t>
  </si>
  <si>
    <t>Jaleco Entertainment</t>
  </si>
  <si>
    <t>Nihon Bussan</t>
  </si>
  <si>
    <t>Goemon</t>
  </si>
  <si>
    <t>Glory of Heracles</t>
  </si>
  <si>
    <t>EIM</t>
  </si>
  <si>
    <t>Nihon Falcom</t>
  </si>
  <si>
    <t>K2</t>
  </si>
  <si>
    <t>Naxat Soft</t>
  </si>
  <si>
    <t>Digital Devil Story: Megami Tensei</t>
  </si>
  <si>
    <t>The Krion Conquest</t>
  </si>
  <si>
    <t>Ys II: Ancient Ys Vanished – The Final Chapter</t>
  </si>
  <si>
    <t>Chrono</t>
  </si>
  <si>
    <t>Quintet</t>
  </si>
  <si>
    <t>Mana</t>
  </si>
  <si>
    <t>Donkey Kong</t>
  </si>
  <si>
    <t>Quintet Trilogy</t>
  </si>
  <si>
    <t>Ikari no Yōsai</t>
  </si>
  <si>
    <t>Sales Curve Interactive</t>
  </si>
  <si>
    <t>Bits Studios</t>
  </si>
  <si>
    <t>Virgin Interactive</t>
  </si>
  <si>
    <t>Rainbow Arts</t>
  </si>
  <si>
    <t>Zamuse</t>
  </si>
  <si>
    <t>Winky Soft</t>
  </si>
  <si>
    <t>LJN</t>
  </si>
  <si>
    <t>Spider-Man</t>
  </si>
  <si>
    <t>Delphine Software</t>
  </si>
  <si>
    <t>Another World</t>
  </si>
  <si>
    <t>Adventure Platformer</t>
  </si>
  <si>
    <t>Takara</t>
  </si>
  <si>
    <t>Neverland</t>
  </si>
  <si>
    <t>Lufia</t>
  </si>
  <si>
    <t>Grand Strategy</t>
  </si>
  <si>
    <t>Interplay Entertainment</t>
  </si>
  <si>
    <t>Activision</t>
  </si>
  <si>
    <t>Athena</t>
  </si>
  <si>
    <t>A.I.</t>
  </si>
  <si>
    <t>Joe &amp; Mac</t>
  </si>
  <si>
    <t>Rushing Beat</t>
  </si>
  <si>
    <t>Horisoft</t>
  </si>
  <si>
    <t>Iguana Entertainment</t>
  </si>
  <si>
    <t>Gray Matter</t>
  </si>
  <si>
    <t>Sony Imagesoft</t>
  </si>
  <si>
    <t>Core Design</t>
  </si>
  <si>
    <t>Leland Interactive</t>
  </si>
  <si>
    <t>LucasArts</t>
  </si>
  <si>
    <t>Titus Software</t>
  </si>
  <si>
    <t>Mickey Mouse</t>
  </si>
  <si>
    <t>Tiburon Entertainment</t>
  </si>
  <si>
    <t>Electro Brain</t>
  </si>
  <si>
    <t>Micronics</t>
  </si>
  <si>
    <t>Sony</t>
  </si>
  <si>
    <t>Produce</t>
  </si>
  <si>
    <t>Act Japan</t>
  </si>
  <si>
    <t>Razorsoft</t>
  </si>
  <si>
    <t>Telenet Japan</t>
  </si>
  <si>
    <t>Valis</t>
  </si>
  <si>
    <t>Blizzard Entertainment</t>
  </si>
  <si>
    <t>Tecno Soft</t>
  </si>
  <si>
    <t>Thunder Force</t>
  </si>
  <si>
    <t>Gremlin Graphics</t>
  </si>
  <si>
    <t>Zool</t>
  </si>
  <si>
    <t>Jorudan</t>
  </si>
  <si>
    <t>Almanic</t>
  </si>
  <si>
    <t>U.S. Gold</t>
  </si>
  <si>
    <t>Tiertex</t>
  </si>
  <si>
    <t>Flashback</t>
  </si>
  <si>
    <t>Genghis Khan</t>
  </si>
  <si>
    <t>CAProduction</t>
  </si>
  <si>
    <t>Marvel</t>
  </si>
  <si>
    <t>Traveller's Tales</t>
  </si>
  <si>
    <t>ZOOM</t>
  </si>
  <si>
    <t>Viacom</t>
  </si>
  <si>
    <t>Arsys</t>
  </si>
  <si>
    <t>Silicon &amp; Synapse</t>
  </si>
  <si>
    <t>Toho</t>
  </si>
  <si>
    <t>Aleste</t>
  </si>
  <si>
    <t>Rocket Knight Adventures</t>
  </si>
  <si>
    <t>NTVIC</t>
  </si>
  <si>
    <t>Red Company</t>
  </si>
  <si>
    <t>Bonk</t>
  </si>
  <si>
    <t>Smash TV</t>
  </si>
  <si>
    <t>Seika Corporation</t>
  </si>
  <si>
    <t>Factor 5</t>
  </si>
  <si>
    <t>Turrican</t>
  </si>
  <si>
    <t>Ocean Software</t>
  </si>
  <si>
    <t>Superman</t>
  </si>
  <si>
    <t>Bullet Proof Software</t>
  </si>
  <si>
    <t>DMA Design</t>
  </si>
  <si>
    <t>Visual Concepts</t>
  </si>
  <si>
    <t>Fupac</t>
  </si>
  <si>
    <t>NCS Corp</t>
  </si>
  <si>
    <t>Aladdin</t>
  </si>
  <si>
    <t>Shiny Entertainment</t>
  </si>
  <si>
    <t>Playmates Interactive</t>
  </si>
  <si>
    <t>Simulation</t>
  </si>
  <si>
    <t>Peter Pan</t>
  </si>
  <si>
    <t>Copya System</t>
  </si>
  <si>
    <t>Lennus</t>
  </si>
  <si>
    <t>Nintendo IRD</t>
  </si>
  <si>
    <t>Punch-Out</t>
  </si>
  <si>
    <t>JVC</t>
  </si>
  <si>
    <t>Sculptured Software</t>
  </si>
  <si>
    <t>THQ</t>
  </si>
  <si>
    <t>Hammerin' Harry</t>
  </si>
  <si>
    <t>Yanoman</t>
  </si>
  <si>
    <t>Japan Art Media</t>
  </si>
  <si>
    <t>Genocide</t>
  </si>
  <si>
    <t>Banalex</t>
  </si>
  <si>
    <t>Ghost Sweeper</t>
  </si>
  <si>
    <t>Poppo</t>
  </si>
  <si>
    <t>Arcade Zone</t>
  </si>
  <si>
    <t>Kūsō Kagaku</t>
  </si>
  <si>
    <t>Tarzan</t>
  </si>
  <si>
    <t>Sun L</t>
  </si>
  <si>
    <t>Game Freak</t>
  </si>
  <si>
    <t>Genki</t>
  </si>
  <si>
    <t>Pandora Box</t>
  </si>
  <si>
    <t>I'Max</t>
  </si>
  <si>
    <t>Betop</t>
  </si>
  <si>
    <t>Cobra Team</t>
  </si>
  <si>
    <t>Nippon Computer</t>
  </si>
  <si>
    <t>Masaya</t>
  </si>
  <si>
    <t>Cho Aniki</t>
  </si>
  <si>
    <t>Tonkin House</t>
  </si>
  <si>
    <t>Group SNE</t>
  </si>
  <si>
    <t>Atelier Double</t>
  </si>
  <si>
    <t>BEC</t>
  </si>
  <si>
    <t>ASCII Corporation</t>
  </si>
  <si>
    <t>SAS Sakata</t>
  </si>
  <si>
    <t>Langrisser</t>
  </si>
  <si>
    <t>Axes Art Amuse</t>
  </si>
  <si>
    <t>Dual Orb</t>
  </si>
  <si>
    <t>Micro World</t>
  </si>
  <si>
    <t>Riot</t>
  </si>
  <si>
    <t>Media Works</t>
  </si>
  <si>
    <t>Alfa System</t>
  </si>
  <si>
    <t>Shiren the Wanderer</t>
  </si>
  <si>
    <t>Dungeon Crawler</t>
  </si>
  <si>
    <t>Lenar</t>
  </si>
  <si>
    <t>Wolf Team</t>
  </si>
  <si>
    <t>J-Wing</t>
  </si>
  <si>
    <t>Dynamite</t>
  </si>
  <si>
    <t>Crush Pinball</t>
  </si>
  <si>
    <t>Pinball</t>
  </si>
  <si>
    <t>Kuusoukagaku</t>
  </si>
  <si>
    <t>VAP</t>
  </si>
  <si>
    <t>Amble</t>
  </si>
  <si>
    <t>Climax Entertainment</t>
  </si>
  <si>
    <t>Asmik Corporation</t>
  </si>
  <si>
    <t>Tokuma Shoten</t>
  </si>
  <si>
    <t>Polestar</t>
  </si>
  <si>
    <t>ASK</t>
  </si>
  <si>
    <t>Metal Max</t>
  </si>
  <si>
    <t>GRC</t>
  </si>
  <si>
    <t>Nova Games</t>
  </si>
  <si>
    <t>Gundam</t>
  </si>
  <si>
    <t>Band</t>
  </si>
  <si>
    <t>Bits Laboratory</t>
  </si>
  <si>
    <t>Daft</t>
  </si>
  <si>
    <t>J-Force</t>
  </si>
  <si>
    <t>Yutaka</t>
  </si>
  <si>
    <t>SETA</t>
  </si>
  <si>
    <t>AI</t>
  </si>
  <si>
    <t>Tekkaman Blade</t>
  </si>
  <si>
    <t>Spriggan</t>
  </si>
  <si>
    <t>Toshiba EMI</t>
  </si>
  <si>
    <t>Back to the Future</t>
  </si>
  <si>
    <t>Heartbeat</t>
  </si>
  <si>
    <t>Max Entertainment</t>
  </si>
  <si>
    <t>G-Craft</t>
  </si>
  <si>
    <t>Omiya Soft</t>
  </si>
  <si>
    <t>Earthly Soft</t>
  </si>
  <si>
    <t>KSS</t>
  </si>
  <si>
    <t>Mario's Picross</t>
  </si>
  <si>
    <t>Minato Giken</t>
  </si>
  <si>
    <t>Astro Boy</t>
  </si>
  <si>
    <t>Sting</t>
  </si>
  <si>
    <t>Kiyoshi Sakai</t>
  </si>
  <si>
    <t>TNN/NHK SC</t>
  </si>
  <si>
    <t>Wonder Project J</t>
  </si>
  <si>
    <t>Advance Communication</t>
  </si>
  <si>
    <t>Argonaut Software</t>
  </si>
  <si>
    <t>Tales</t>
  </si>
  <si>
    <t>tri-Ace</t>
  </si>
  <si>
    <t>The Great Circus Mystery Starring Mickey &amp; Minnie</t>
  </si>
  <si>
    <t>Yoshi's Woolly World</t>
  </si>
  <si>
    <t>The Magical Quest Starring Mickey Mouse</t>
  </si>
  <si>
    <t>T&amp;E Soft</t>
  </si>
  <si>
    <t>Wario Land</t>
  </si>
  <si>
    <t>Kaizou Chōjin Schbibinman Zero</t>
  </si>
  <si>
    <t>NCS</t>
  </si>
  <si>
    <t>St.GIGA</t>
  </si>
  <si>
    <t>Nintendo R&amp;D2</t>
  </si>
  <si>
    <t>BattleTech</t>
  </si>
  <si>
    <t>Todd McFarlane's Spawn: The Video Game</t>
  </si>
  <si>
    <t>Lost Vikings 2</t>
  </si>
  <si>
    <t>Ninja Warriors</t>
  </si>
  <si>
    <t>Rock n' Roll Racing</t>
  </si>
  <si>
    <t>Congo's Caper</t>
  </si>
  <si>
    <t>Spider-Man and the X-Men: Arcade's Revenge</t>
  </si>
  <si>
    <t>Pop'n TwinBee</t>
  </si>
  <si>
    <t>Pop'n TwinBee: Rainbow Bell Adventures</t>
  </si>
  <si>
    <t>Demon's Crest</t>
  </si>
  <si>
    <t>Disney's Aladdin</t>
  </si>
  <si>
    <t>Kirby's Dream Land 3</t>
  </si>
  <si>
    <t>Paladin's Quest</t>
  </si>
  <si>
    <t>Super Mario World 2: Yoshi's Island</t>
  </si>
  <si>
    <t>Ghosts 'N Goblins</t>
  </si>
  <si>
    <t>Silent Hill: The Arcade</t>
  </si>
  <si>
    <t>Silent Hill</t>
  </si>
  <si>
    <t>Aretha</t>
  </si>
  <si>
    <t>Cyber Knight II: Chikyū Teikoku no Yabō</t>
  </si>
  <si>
    <t>JoJo no Kimyō na Bōken</t>
  </si>
  <si>
    <t>Kōryū Densetsu Villgust</t>
  </si>
  <si>
    <t>Villgust</t>
  </si>
  <si>
    <t>Gulliver Boy</t>
  </si>
  <si>
    <t>NEC Interchannel</t>
  </si>
  <si>
    <t>Kogado Studio</t>
  </si>
  <si>
    <t>Mad Stalker</t>
  </si>
  <si>
    <t>FEDA</t>
  </si>
  <si>
    <t>Whirlo</t>
  </si>
  <si>
    <t>Minelvaton Saga</t>
  </si>
  <si>
    <t>Dragon Quest V: Tenkū no Hanayome</t>
  </si>
  <si>
    <t>Dragon Quest VI: Maboroshi no Daichi</t>
  </si>
  <si>
    <t>Noise</t>
  </si>
  <si>
    <t>Turok</t>
  </si>
  <si>
    <t>Midway Games</t>
  </si>
  <si>
    <t>Left Field Productions</t>
  </si>
  <si>
    <t>Victor Interactive</t>
  </si>
  <si>
    <t>Board Game</t>
  </si>
  <si>
    <t>Pokémon</t>
  </si>
  <si>
    <t>Omega Force</t>
  </si>
  <si>
    <t>Givro</t>
  </si>
  <si>
    <t>ESP</t>
  </si>
  <si>
    <t>Treasure</t>
  </si>
  <si>
    <t>Bangai-O</t>
  </si>
  <si>
    <t>Paradigm Entertainment</t>
  </si>
  <si>
    <t>Rayman</t>
  </si>
  <si>
    <t>Sucker Punch</t>
  </si>
  <si>
    <t>Sin &amp; Punishment</t>
  </si>
  <si>
    <t>Take-Two Interactive</t>
  </si>
  <si>
    <t>Star Wars</t>
  </si>
  <si>
    <t>James Bond</t>
  </si>
  <si>
    <t>Conker</t>
  </si>
  <si>
    <t>Mystical Ninja Starring Goemon</t>
  </si>
  <si>
    <t>WinBack</t>
  </si>
  <si>
    <t>Wonder Project J2: Corlo no Mori no Josette</t>
  </si>
  <si>
    <t>1080° Snowboarding</t>
  </si>
  <si>
    <t>Forsaken</t>
  </si>
  <si>
    <t>Silicon Knights</t>
  </si>
  <si>
    <t>Genius Sonority</t>
  </si>
  <si>
    <t>Kuju Entertainment</t>
  </si>
  <si>
    <t>Sonic Team</t>
  </si>
  <si>
    <t>Skip Ltd.</t>
  </si>
  <si>
    <t>Amusement Vision</t>
  </si>
  <si>
    <t>n-Space, Inc.</t>
  </si>
  <si>
    <t>Sierra Entertainment</t>
  </si>
  <si>
    <t>Swingin' Ape Studios</t>
  </si>
  <si>
    <t>Overworks</t>
  </si>
  <si>
    <t>Skies of Arcadia</t>
  </si>
  <si>
    <t>Namco Tales Studio</t>
  </si>
  <si>
    <t>Radical Entertainment</t>
  </si>
  <si>
    <t>Incredible Hulk</t>
  </si>
  <si>
    <t>Team Viewtiful</t>
  </si>
  <si>
    <t>Clover Studio</t>
  </si>
  <si>
    <t>Grasshopper Manufacture</t>
  </si>
  <si>
    <t>Nintendo Software Technology</t>
  </si>
  <si>
    <t>1080°</t>
  </si>
  <si>
    <t>Treyarch</t>
  </si>
  <si>
    <t>Namco Bandai Games</t>
  </si>
  <si>
    <t>NBA Live</t>
  </si>
  <si>
    <t>Vicarious Visions</t>
  </si>
  <si>
    <t>Game Arts</t>
  </si>
  <si>
    <t>Codemasters</t>
  </si>
  <si>
    <t>Guitar Hero</t>
  </si>
  <si>
    <t>Nintendo SPD</t>
  </si>
  <si>
    <t>WarioWare</t>
  </si>
  <si>
    <t>Monster Games</t>
  </si>
  <si>
    <t>Roguelike</t>
  </si>
  <si>
    <t>Aksys Games</t>
  </si>
  <si>
    <t>Castle of Shikigami</t>
  </si>
  <si>
    <t>h.a.n.d.</t>
  </si>
  <si>
    <t>NiGHTS</t>
  </si>
  <si>
    <t>Headstrong Games</t>
  </si>
  <si>
    <t>The House of the Dead</t>
  </si>
  <si>
    <t>Cing</t>
  </si>
  <si>
    <t>Another Code</t>
  </si>
  <si>
    <t>Ignition Entertainment</t>
  </si>
  <si>
    <t>imageepoch</t>
  </si>
  <si>
    <t>Warner Bros. Interactive</t>
  </si>
  <si>
    <t>Sproing Interactive</t>
  </si>
  <si>
    <t>Blue Tongue Entertainment</t>
  </si>
  <si>
    <t>Disney Interactive</t>
  </si>
  <si>
    <t>Junction Point Studios</t>
  </si>
  <si>
    <t>Xseed Games</t>
  </si>
  <si>
    <t>Next Level Games</t>
  </si>
  <si>
    <t>Terminal Reality</t>
  </si>
  <si>
    <t>ArtePiazza</t>
  </si>
  <si>
    <t>Ubisoft Quebec</t>
  </si>
  <si>
    <t>Ubisoft Paris</t>
  </si>
  <si>
    <t>Rune Factory</t>
  </si>
  <si>
    <t>Namco Bandai</t>
  </si>
  <si>
    <t>Trauma Center</t>
  </si>
  <si>
    <t>Visceral Games</t>
  </si>
  <si>
    <t>Dead Space</t>
  </si>
  <si>
    <t>Paon</t>
  </si>
  <si>
    <t>Ganbarion</t>
  </si>
  <si>
    <t>Rhythm Heaven</t>
  </si>
  <si>
    <t>Mistwalker</t>
  </si>
  <si>
    <t>Sandlot</t>
  </si>
  <si>
    <t>Fatal Frame</t>
  </si>
  <si>
    <t>Majesco Entertainment</t>
  </si>
  <si>
    <t>Climax Studios</t>
  </si>
  <si>
    <t>Vanillaware</t>
  </si>
  <si>
    <t>Muramasa</t>
  </si>
  <si>
    <t>Ready at Dawn</t>
  </si>
  <si>
    <t>Mario Strikers</t>
  </si>
  <si>
    <t>Prince of Persia: The Forgotten Sands</t>
  </si>
  <si>
    <t>Among the Sleep: Enhanced Edition</t>
  </si>
  <si>
    <t>Krillbite Studio</t>
  </si>
  <si>
    <t>Among the Sleep</t>
  </si>
  <si>
    <t>Arms</t>
  </si>
  <si>
    <t>Assassin's Creed III Remastered</t>
  </si>
  <si>
    <t>Assassin's Creed</t>
  </si>
  <si>
    <t>Atelier Lulua: The Scion of Arland</t>
  </si>
  <si>
    <t>Koei Tecmo</t>
  </si>
  <si>
    <t>Gust Co. Ltd.</t>
  </si>
  <si>
    <t>Atelier</t>
  </si>
  <si>
    <t>Bendy and the Ink Machine</t>
  </si>
  <si>
    <t>Joey Drew Studios</t>
  </si>
  <si>
    <t>Bloodstained: Curse of the Moon</t>
  </si>
  <si>
    <t>505 Games</t>
  </si>
  <si>
    <t>Bloodstained</t>
  </si>
  <si>
    <t>Bloodstained: Ritual of the Night</t>
  </si>
  <si>
    <t>ArtPlay</t>
  </si>
  <si>
    <t>Crash Bandicoot: N. Sane Trilogy</t>
  </si>
  <si>
    <t>Crash Bandicoot</t>
  </si>
  <si>
    <t>Crystal Crisis</t>
  </si>
  <si>
    <t>Nicalis</t>
  </si>
  <si>
    <t>Dark Souls: Remastered</t>
  </si>
  <si>
    <t>FromSoftware</t>
  </si>
  <si>
    <t>Dark Souls</t>
  </si>
  <si>
    <t>Darksiders: Warmastered Edition</t>
  </si>
  <si>
    <t>THQ Nordic</t>
  </si>
  <si>
    <t>Kaiko Games</t>
  </si>
  <si>
    <t>Darksiders</t>
  </si>
  <si>
    <t>Dead Cells</t>
  </si>
  <si>
    <t>Motion Twin</t>
  </si>
  <si>
    <t>Diablo III: Eternal Collection</t>
  </si>
  <si>
    <t>Diablo</t>
  </si>
  <si>
    <t>Dragon Marked for Death</t>
  </si>
  <si>
    <t>Nighthawk Interactive</t>
  </si>
  <si>
    <t>Dragon Quest Builders 2</t>
  </si>
  <si>
    <t>Dragon's Dogma: Dark Arisen</t>
  </si>
  <si>
    <t>Dragon's Dogma</t>
  </si>
  <si>
    <t>Final Fantasy XII: The Zodiac Age</t>
  </si>
  <si>
    <t>Fire Emblem Warriors</t>
  </si>
  <si>
    <t>Fire Emblem: Three Houses</t>
  </si>
  <si>
    <t>Microïds</t>
  </si>
  <si>
    <t>Paul Cuisset</t>
  </si>
  <si>
    <t>Giga Wrecker Alt.</t>
  </si>
  <si>
    <t>Rising Star Games</t>
  </si>
  <si>
    <t>Giga Wrecker</t>
  </si>
  <si>
    <t>God Eater 3</t>
  </si>
  <si>
    <t>Bandai Namco Entertainment</t>
  </si>
  <si>
    <t>Marvelous First Studio</t>
  </si>
  <si>
    <t>God Eater</t>
  </si>
  <si>
    <t>Hollow Knight</t>
  </si>
  <si>
    <t>Team Cherry</t>
  </si>
  <si>
    <t>Hyrule Warriors: Definitive Edition</t>
  </si>
  <si>
    <t>Iconoclasts</t>
  </si>
  <si>
    <t>Bifrost Entertainment</t>
  </si>
  <si>
    <t>Konjak</t>
  </si>
  <si>
    <t>Katamari Damacy Reroll</t>
  </si>
  <si>
    <t>Bandai Namco Studios</t>
  </si>
  <si>
    <t>Katamari</t>
  </si>
  <si>
    <t>Kirby Star Allies</t>
  </si>
  <si>
    <t>L.A. Noire</t>
  </si>
  <si>
    <t>Rockstar Games</t>
  </si>
  <si>
    <t>Team Bondi</t>
  </si>
  <si>
    <t>Lumines Remastered</t>
  </si>
  <si>
    <t>Enhance Inc.</t>
  </si>
  <si>
    <t>Resonair</t>
  </si>
  <si>
    <t>Lumines</t>
  </si>
  <si>
    <t>Machinarium</t>
  </si>
  <si>
    <t>Amanita Design</t>
  </si>
  <si>
    <t>Mario + Rabbids Kingdom Battle</t>
  </si>
  <si>
    <t>Mario Kart 8 Deluxe</t>
  </si>
  <si>
    <t>Mario Tennis Aces</t>
  </si>
  <si>
    <t>Marvel Ultimate Alliance 3: The Black Order</t>
  </si>
  <si>
    <t>Mega Man 11</t>
  </si>
  <si>
    <t>Mortal Kombat 11</t>
  </si>
  <si>
    <t>NetherRealm Studios</t>
  </si>
  <si>
    <t>My Time at Portia</t>
  </si>
  <si>
    <t>Team17</t>
  </si>
  <si>
    <t>Pathea Games</t>
  </si>
  <si>
    <t>New Super Mario Bros. U Deluxe</t>
  </si>
  <si>
    <t>Octopath Traveler</t>
  </si>
  <si>
    <t>Opus Collection</t>
  </si>
  <si>
    <t>SIGONO</t>
  </si>
  <si>
    <t>Opus</t>
  </si>
  <si>
    <t>Pokémon: Let's Go, Pikachu!</t>
  </si>
  <si>
    <t>Psyvariar Delta</t>
  </si>
  <si>
    <t>Dispatch Games</t>
  </si>
  <si>
    <t>Psyvariar</t>
  </si>
  <si>
    <t>Red Faction: Guerrilla Re-Mars-Tered</t>
  </si>
  <si>
    <t>Red Faction</t>
  </si>
  <si>
    <t>Resident Evil: Origins Collection</t>
  </si>
  <si>
    <t>Resident Evil: Revelations Collection</t>
  </si>
  <si>
    <t>R-Type Dimensions EX</t>
  </si>
  <si>
    <t>Tozai Games</t>
  </si>
  <si>
    <t>Runner3</t>
  </si>
  <si>
    <t>Choice Provisions</t>
  </si>
  <si>
    <t>BIT.TRIP</t>
  </si>
  <si>
    <t>Saints Row: The Third - The Full Package</t>
  </si>
  <si>
    <t>Volition</t>
  </si>
  <si>
    <t>Saints Row</t>
  </si>
  <si>
    <t>Salt and Sanctuary</t>
  </si>
  <si>
    <t>Ska Studios</t>
  </si>
  <si>
    <t>Shining Resonance Refrain</t>
  </si>
  <si>
    <t>O-Two</t>
  </si>
  <si>
    <t>Shining</t>
  </si>
  <si>
    <t>Sine Mora EX</t>
  </si>
  <si>
    <t>Gyroscope Games</t>
  </si>
  <si>
    <t>Sine Mora</t>
  </si>
  <si>
    <t>SNK 40th Anniversary Collection</t>
  </si>
  <si>
    <t>Athlon Games</t>
  </si>
  <si>
    <t>Digital Eclipse</t>
  </si>
  <si>
    <t>SNK Heroines: Tag Team Frenzy</t>
  </si>
  <si>
    <t>NIS  America</t>
  </si>
  <si>
    <t>Starlink: Battle for Atlas</t>
  </si>
  <si>
    <t>Ubisoft Toronto</t>
  </si>
  <si>
    <t>Steven Universe: Save the Light &amp; OK K.O.! Let's Play Heroes</t>
  </si>
  <si>
    <t>Cartoon Network Games</t>
  </si>
  <si>
    <t>Grumpyface Studios</t>
  </si>
  <si>
    <t>Steven Universe</t>
  </si>
  <si>
    <t>Super Mario Maker 2</t>
  </si>
  <si>
    <t>Super Mario Odyssey</t>
  </si>
  <si>
    <t>Super Mario Party</t>
  </si>
  <si>
    <t>Super Neptunia RPG</t>
  </si>
  <si>
    <t>Idea Factory International</t>
  </si>
  <si>
    <t>Artisan Studios</t>
  </si>
  <si>
    <t>Hyperdimension Neptunia</t>
  </si>
  <si>
    <t>Super Smash Bros. Ultimate</t>
  </si>
  <si>
    <t>Sushi Striker: The Way of Sushido</t>
  </si>
  <si>
    <t>Tales of Vesperia: Definitive Edition</t>
  </si>
  <si>
    <t>Team Sonic Racing</t>
  </si>
  <si>
    <t>Sumo Digital</t>
  </si>
  <si>
    <t>Sonic the Hedgehog</t>
  </si>
  <si>
    <t>The Elder Scrolls V: Skyrim</t>
  </si>
  <si>
    <t>Bethesda Softworks</t>
  </si>
  <si>
    <t>Bethesda Game Studios</t>
  </si>
  <si>
    <t>The End is Nigh</t>
  </si>
  <si>
    <t>Edmund McMillen</t>
  </si>
  <si>
    <t>The Legend of Zelda: Breath of the Wild</t>
  </si>
  <si>
    <t>The World Ends With You: Final Remix</t>
  </si>
  <si>
    <t>The World Ends With You</t>
  </si>
  <si>
    <t>This War of Mine: Complete Edition</t>
  </si>
  <si>
    <t>11 bit studios</t>
  </si>
  <si>
    <t>Survival</t>
  </si>
  <si>
    <t>Titan Quest</t>
  </si>
  <si>
    <t>Iron Lore Entertainment</t>
  </si>
  <si>
    <t>ToeJam &amp; Earl: Back in the Groove!</t>
  </si>
  <si>
    <t>HumaNature Studios</t>
  </si>
  <si>
    <t>ToeJam &amp; Earl</t>
  </si>
  <si>
    <t>Travis Strikes Again: No More Heroes</t>
  </si>
  <si>
    <t>Trüberbrook</t>
  </si>
  <si>
    <t>Headup</t>
  </si>
  <si>
    <t>btf</t>
  </si>
  <si>
    <t>Umihara Kawase Fresh!</t>
  </si>
  <si>
    <t>Studio Saizensen</t>
  </si>
  <si>
    <t>Undertale</t>
  </si>
  <si>
    <t>Toby Fox</t>
  </si>
  <si>
    <t>Victor Vran: Overkill Edition</t>
  </si>
  <si>
    <t>Wired Productions</t>
  </si>
  <si>
    <t>Haemimont Games</t>
  </si>
  <si>
    <t>Victor Vran</t>
  </si>
  <si>
    <t>Wasteland 2: Director's Cut</t>
  </si>
  <si>
    <t>inXile Entertainment</t>
  </si>
  <si>
    <t>Wasteland</t>
  </si>
  <si>
    <t>Computer RPG</t>
  </si>
  <si>
    <t>DotEmu</t>
  </si>
  <si>
    <t>Wolfenstein II: The New Colossus</t>
  </si>
  <si>
    <t>MachineGames</t>
  </si>
  <si>
    <t>Wolfenstein</t>
  </si>
  <si>
    <t>Wonder Boy: The Dragon's Trap</t>
  </si>
  <si>
    <t>Lizardcube</t>
  </si>
  <si>
    <t>Wonder Boy</t>
  </si>
  <si>
    <t>Xenoblade Chronicles 2</t>
  </si>
  <si>
    <t>Yoshi's Crafted World</t>
  </si>
  <si>
    <t>Blaster Master Zero</t>
  </si>
  <si>
    <t>Brace Yourself Games</t>
  </si>
  <si>
    <t>Fast RMX</t>
  </si>
  <si>
    <t>Shin'en Multimedia</t>
  </si>
  <si>
    <t>Fast Racing</t>
  </si>
  <si>
    <t>Kamiko</t>
  </si>
  <si>
    <t>Flyhigh Works</t>
  </si>
  <si>
    <t>Skipmore</t>
  </si>
  <si>
    <t>Snake Pass</t>
  </si>
  <si>
    <t>Super Rare Games</t>
  </si>
  <si>
    <t>Strictly Limited Games</t>
  </si>
  <si>
    <t>Cadence of Hyrule: Crypt of the NecroDancer Featuring The Legend of Zelda</t>
  </si>
  <si>
    <t>Metroid II: Return of Samus</t>
  </si>
  <si>
    <t>Kid Icarus: Of Myths and Monsters</t>
  </si>
  <si>
    <t>Mega Man: Dr. Wily's Revenge</t>
  </si>
  <si>
    <t>Minakuchi Engineering</t>
  </si>
  <si>
    <t>Mega Man II</t>
  </si>
  <si>
    <t>Mega Man III</t>
  </si>
  <si>
    <t>Mega Man IV</t>
  </si>
  <si>
    <t>Mega Man V</t>
  </si>
  <si>
    <t>Fortified Zone</t>
  </si>
  <si>
    <t>Ikari no Yōsai 2</t>
  </si>
  <si>
    <t>Trip World</t>
  </si>
  <si>
    <t>Chikyū Kaihō Gun ZAS</t>
  </si>
  <si>
    <t>Super Mario Land</t>
  </si>
  <si>
    <t>Castlevania: The Adventure</t>
  </si>
  <si>
    <t>Solar Striker</t>
  </si>
  <si>
    <t>Teenage Mutant Ninja Turtles: Fall of the Foot Clan</t>
  </si>
  <si>
    <t>Nemesis</t>
  </si>
  <si>
    <t>Gradius: The Interstellar Assault</t>
  </si>
  <si>
    <t>Castlevania: Legends</t>
  </si>
  <si>
    <t>Operation C</t>
  </si>
  <si>
    <t>Sagaia</t>
  </si>
  <si>
    <t>Teenage Mutant Ninja Turtles II: Back from the Sewers</t>
  </si>
  <si>
    <t>Contra: The Alien Wars</t>
  </si>
  <si>
    <t>Ninja Gaiden Shadow</t>
  </si>
  <si>
    <t>Super Mario Land 2: 6 Golden Coins</t>
  </si>
  <si>
    <t>Kirby's Dream Land</t>
  </si>
  <si>
    <t>Kirby's Dream Land 2</t>
  </si>
  <si>
    <t>Kid Dracula</t>
  </si>
  <si>
    <t>Castlevania II: Belmont's Revenge</t>
  </si>
  <si>
    <t>Double Dragon II</t>
  </si>
  <si>
    <t>Pokémon Red</t>
  </si>
  <si>
    <t>Aerostar</t>
  </si>
  <si>
    <t>Burai Fighter Deluxe</t>
  </si>
  <si>
    <t>StarHawk</t>
  </si>
  <si>
    <t>Wario Land: Super Mario Land 3</t>
  </si>
  <si>
    <t>Great Greed</t>
  </si>
  <si>
    <t>Biox</t>
  </si>
  <si>
    <t>Kid</t>
  </si>
  <si>
    <t>Burai Fighter</t>
  </si>
  <si>
    <t>Accolade</t>
  </si>
  <si>
    <t>NMS Software</t>
  </si>
  <si>
    <t>Pony Canyon</t>
  </si>
  <si>
    <t>Origin Systems</t>
  </si>
  <si>
    <t>Ultima</t>
  </si>
  <si>
    <t>Japan System Supply</t>
  </si>
  <si>
    <t>Meldac</t>
  </si>
  <si>
    <t>Kaze</t>
  </si>
  <si>
    <t>Ninja Boy</t>
  </si>
  <si>
    <t>The Sword of Hope</t>
  </si>
  <si>
    <t>FCI</t>
  </si>
  <si>
    <t>IGS</t>
  </si>
  <si>
    <t>Multimedia Intelligence</t>
  </si>
  <si>
    <t>Jupiter</t>
  </si>
  <si>
    <t>Teenage Mutant Ninja Turtles III: Radical Rescue</t>
  </si>
  <si>
    <t>Ultima: Runes of Virtue II</t>
  </si>
  <si>
    <t>Chalvo 55: Super Puzzle Action</t>
  </si>
  <si>
    <t>Game Boy Wars</t>
  </si>
  <si>
    <t>Ganbare Goemon: Sarawareta Ebisumaru!</t>
  </si>
  <si>
    <t>Gargoyle's Quest</t>
  </si>
  <si>
    <t>Mercenary Force</t>
  </si>
  <si>
    <t>Ninja Boy 2</t>
  </si>
  <si>
    <t>Penta Dragon</t>
  </si>
  <si>
    <t>The Sword of Hope II</t>
  </si>
  <si>
    <t>Ultima: Runes of Virtue</t>
  </si>
  <si>
    <t>Vattle Giuce</t>
  </si>
  <si>
    <t>Another Bible</t>
  </si>
  <si>
    <t>Cave Noire</t>
  </si>
  <si>
    <t>Donkey Kong Land</t>
  </si>
  <si>
    <t>Donkey Kong Land 2</t>
  </si>
  <si>
    <t>Donkey Kong Land III</t>
  </si>
  <si>
    <t>Final Fantasy Adventure</t>
  </si>
  <si>
    <t>Final Fantasy Legend II</t>
  </si>
  <si>
    <t>Final Fantasy Legend III</t>
  </si>
  <si>
    <t>God Medicine</t>
  </si>
  <si>
    <t>Picross 2</t>
  </si>
  <si>
    <t>Super Robot Taisen</t>
  </si>
  <si>
    <t>The Final Fantasy Legend</t>
  </si>
  <si>
    <t>Kaeru no Tame ni Kane wa Naru</t>
  </si>
  <si>
    <t>The Legend of Zelda: Link's Awakening</t>
  </si>
  <si>
    <t>The Legend of Zelda: Oracle of Ages</t>
  </si>
  <si>
    <t>The Legend of Zelda: Oracle of Seasons</t>
  </si>
  <si>
    <t>The Legend of Zelda: Link's Awakening DX</t>
  </si>
  <si>
    <t>Super Mario Bros. Deluxe</t>
  </si>
  <si>
    <t>Magical Chase GB</t>
  </si>
  <si>
    <t>Mega Man Xtreme</t>
  </si>
  <si>
    <t>R-Type DX</t>
  </si>
  <si>
    <t>Quest</t>
  </si>
  <si>
    <t>Magical Chase</t>
  </si>
  <si>
    <t>Action Man: Search for Base X</t>
  </si>
  <si>
    <t>Azure Dreams</t>
  </si>
  <si>
    <t>Conker's Pocket Tales</t>
  </si>
  <si>
    <t>Das Geheimnis der Happy Hippo-Insel</t>
  </si>
  <si>
    <t>Dragon Warrior I &amp; II</t>
  </si>
  <si>
    <t>Game Boy Wars 2</t>
  </si>
  <si>
    <t>Game Boy Wars 3</t>
  </si>
  <si>
    <t>Ganbare Goemon: Hoshizorashi Dynamites Arawaru!!</t>
  </si>
  <si>
    <t>Heroes of Might and Magic</t>
  </si>
  <si>
    <t>Heroes of Might and Magic II</t>
  </si>
  <si>
    <t>Megami Tensei Gaiden: Last Bible II</t>
  </si>
  <si>
    <t>Power Quest</t>
  </si>
  <si>
    <t>Alice in Wonderland</t>
  </si>
  <si>
    <t>Alone in the Dark: The New Nightmare</t>
  </si>
  <si>
    <t>Bionic Commando: Elite Forces</t>
  </si>
  <si>
    <t>Dragon Warrior Monsters</t>
  </si>
  <si>
    <t>Grandia: Parallel Trippers</t>
  </si>
  <si>
    <t>Lufia: The Legend Returns</t>
  </si>
  <si>
    <t>Magi Nation</t>
  </si>
  <si>
    <t>Mega Man Xtreme 2</t>
  </si>
  <si>
    <t>Metal Walker</t>
  </si>
  <si>
    <t>Pokémon Trading Card Game</t>
  </si>
  <si>
    <t>Revelations: The Demon Slayer</t>
  </si>
  <si>
    <t>Tomb Raider</t>
  </si>
  <si>
    <t>Tomb Raider: Curse of the Sword</t>
  </si>
  <si>
    <t>Wario Land 3</t>
  </si>
  <si>
    <t>Wendy: Every Witch Way</t>
  </si>
  <si>
    <t>Metal Gear Solid</t>
  </si>
  <si>
    <t>Pokémon Crystal</t>
  </si>
  <si>
    <t>Pokémon Yellow: Special Pikachu Edition</t>
  </si>
  <si>
    <t>Star Ocean: Blue Sphere</t>
  </si>
  <si>
    <t>Wario Land II</t>
  </si>
  <si>
    <t>Robopon</t>
  </si>
  <si>
    <t>KnowWonder</t>
  </si>
  <si>
    <t>Might and Magic</t>
  </si>
  <si>
    <t>Digital Eclipse Software</t>
  </si>
  <si>
    <t>Pocket Studios</t>
  </si>
  <si>
    <t>Alone in the Dark</t>
  </si>
  <si>
    <t>JoWooD Productions</t>
  </si>
  <si>
    <t>Kritzelkratz 3000</t>
  </si>
  <si>
    <t>Eidos Interactive</t>
  </si>
  <si>
    <t>Grandia</t>
  </si>
  <si>
    <t>Epoch Co.</t>
  </si>
  <si>
    <t>Interactive Imagination</t>
  </si>
  <si>
    <t>Mario Sports</t>
  </si>
  <si>
    <t>Card</t>
  </si>
  <si>
    <t>TDK Mediactive</t>
  </si>
  <si>
    <t>Tao's Adventure: Curse of the Demon Seal</t>
  </si>
  <si>
    <t>Dragon Warrior Monsters 2: Tara's Adventure</t>
  </si>
  <si>
    <t>Last Bible III</t>
  </si>
  <si>
    <t>Robopon: Sun Version</t>
  </si>
  <si>
    <t>Mario Clash</t>
  </si>
  <si>
    <t>Mario's Tennis</t>
  </si>
  <si>
    <t>Mario Power Tennis</t>
  </si>
  <si>
    <t>Pokémon Gold</t>
  </si>
  <si>
    <t>Turok: Battle of the Bionosaurs</t>
  </si>
  <si>
    <t>Bit Managers</t>
  </si>
  <si>
    <t>Turok: Rage Wars</t>
  </si>
  <si>
    <t>Action Man</t>
  </si>
  <si>
    <t>id Software</t>
  </si>
  <si>
    <t>Doom</t>
  </si>
  <si>
    <t>Gunstar</t>
  </si>
  <si>
    <t>AlphaDream</t>
  </si>
  <si>
    <t>Mario &amp; Luigi</t>
  </si>
  <si>
    <t>Puyo</t>
  </si>
  <si>
    <t>PCCW</t>
  </si>
  <si>
    <t>TMNT</t>
  </si>
  <si>
    <t>Flight-Plan</t>
  </si>
  <si>
    <t>Summon Night</t>
  </si>
  <si>
    <t>Mobile21</t>
  </si>
  <si>
    <t>Majesco</t>
  </si>
  <si>
    <t>Shin'en</t>
  </si>
  <si>
    <t>Iridion</t>
  </si>
  <si>
    <t>Universal</t>
  </si>
  <si>
    <t>Mega Man Battle Network</t>
  </si>
  <si>
    <t>Flagship</t>
  </si>
  <si>
    <t>Metroid: Zero Mission</t>
  </si>
  <si>
    <t>Metroid Fusion</t>
  </si>
  <si>
    <t>Gunstar Super Heroes</t>
  </si>
  <si>
    <t>The Legend of Zelda: The Minish Cap</t>
  </si>
  <si>
    <t>Ninja Five-O</t>
  </si>
  <si>
    <t>Super Mario Advance 3: Yoshi's Island</t>
  </si>
  <si>
    <t>Fire Emblem: The Sacred Stones</t>
  </si>
  <si>
    <t>Mario &amp; Luigi: Superstar Saga</t>
  </si>
  <si>
    <t>Mother 3</t>
  </si>
  <si>
    <t>Pokémon Emerald</t>
  </si>
  <si>
    <t>Pokémon Sapphire</t>
  </si>
  <si>
    <t>Pokémon LeafGreen</t>
  </si>
  <si>
    <t>WarioWare Twisted!</t>
  </si>
  <si>
    <t>WarioWare, Inc.: Mega Microgame$!</t>
  </si>
  <si>
    <t>Puyo Pop Fever</t>
  </si>
  <si>
    <t>Drill Dozer</t>
  </si>
  <si>
    <t>Double Dragon Advance</t>
  </si>
  <si>
    <t>Super Street Fighter II Turbo: Revival</t>
  </si>
  <si>
    <t>Darius R</t>
  </si>
  <si>
    <t>Summon Night: Swordcraft Story</t>
  </si>
  <si>
    <t>Gradius Galaxies</t>
  </si>
  <si>
    <t>Contra Advance: The Alien Wars EX</t>
  </si>
  <si>
    <t>Iridion 3D</t>
  </si>
  <si>
    <t>Goemon: New Age Shutsudō!</t>
  </si>
  <si>
    <t>Crash Bandicoot: The Huge Adventure</t>
  </si>
  <si>
    <t>Kirby &amp; The Amazing Mirror</t>
  </si>
  <si>
    <t>Kirby: Nightmare in Dream Land</t>
  </si>
  <si>
    <t>Metal Slug Advance</t>
  </si>
  <si>
    <t>The Legend of Zelda: A Link to the Past &amp; Four Swords</t>
  </si>
  <si>
    <t>Classic NES Series: The Legend of Zelda</t>
  </si>
  <si>
    <t>Phantasy Star</t>
  </si>
  <si>
    <t>3d6 Games</t>
  </si>
  <si>
    <t>Altered Beast</t>
  </si>
  <si>
    <t>Sims</t>
  </si>
  <si>
    <t>Kojima Productions</t>
  </si>
  <si>
    <t>Boktai</t>
  </si>
  <si>
    <t>Guardian Heroes</t>
  </si>
  <si>
    <t>Empire Interactive</t>
  </si>
  <si>
    <t>Ancient</t>
  </si>
  <si>
    <t>Universal Interactive</t>
  </si>
  <si>
    <t>Vivendi Universal</t>
  </si>
  <si>
    <t>Metro3D</t>
  </si>
  <si>
    <t>Crawfish Interactive</t>
  </si>
  <si>
    <t>Defender of the Crown</t>
  </si>
  <si>
    <t>Densetsu no Stafy</t>
  </si>
  <si>
    <t>Lilo &amp; Stitch</t>
  </si>
  <si>
    <t>Sun-Tec</t>
  </si>
  <si>
    <t>Marvelous Entertainment</t>
  </si>
  <si>
    <t>Xicat Interactive</t>
  </si>
  <si>
    <t>Formula</t>
  </si>
  <si>
    <t>Torus Games</t>
  </si>
  <si>
    <t>Kingdom Hearts</t>
  </si>
  <si>
    <t>Kururin</t>
  </si>
  <si>
    <t>RFX Interactive</t>
  </si>
  <si>
    <t>Lunar</t>
  </si>
  <si>
    <t>Klein Computer Entertainment</t>
  </si>
  <si>
    <t>Brownie Brown</t>
  </si>
  <si>
    <t>Magical Starsign</t>
  </si>
  <si>
    <t>Mario vs. Donkey Kong</t>
  </si>
  <si>
    <t>Graffiti Entertainment</t>
  </si>
  <si>
    <t>Sabarasa</t>
  </si>
  <si>
    <t>Onimusha</t>
  </si>
  <si>
    <t>Far East of Eden</t>
  </si>
  <si>
    <t>Altron</t>
  </si>
  <si>
    <t>Backbone Entertainment</t>
  </si>
  <si>
    <t>Sabre Wulf</t>
  </si>
  <si>
    <t>SouthPeak Interactive</t>
  </si>
  <si>
    <t>Orbital Media</t>
  </si>
  <si>
    <t>Nextech</t>
  </si>
  <si>
    <t>Spyro</t>
  </si>
  <si>
    <t>Realism</t>
  </si>
  <si>
    <t>Monkey Ball</t>
  </si>
  <si>
    <t>Iron Man</t>
  </si>
  <si>
    <t>Sunrise Interactive</t>
  </si>
  <si>
    <t>Zone of the Enders</t>
  </si>
  <si>
    <t>Final Fantasy Tactics</t>
  </si>
  <si>
    <t>Golden Sun</t>
  </si>
  <si>
    <t>Mega Man Zero</t>
  </si>
  <si>
    <t>Pokémon Mystery Dungeon</t>
  </si>
  <si>
    <t>Code Technologies</t>
  </si>
  <si>
    <t>Rebelstar</t>
  </si>
  <si>
    <t>Dept. Heaven</t>
  </si>
  <si>
    <t>Banjo-Kazooie: Grunty's Revenge</t>
  </si>
  <si>
    <t>Phantasy Star Collection</t>
  </si>
  <si>
    <t>Altered Beast: Guardian of the Realms</t>
  </si>
  <si>
    <t>Elemix!</t>
  </si>
  <si>
    <t>Lufia: The Ruins of Lore</t>
  </si>
  <si>
    <t>Shin Bokura no Taiyō: Gyakushū no Sabata</t>
  </si>
  <si>
    <t>Sonic Battle</t>
  </si>
  <si>
    <t>Advance Guardian Heroes</t>
  </si>
  <si>
    <t>Boktai 2: Solar Boy Django</t>
  </si>
  <si>
    <t>Boktai: The Sun is in Your Hand</t>
  </si>
  <si>
    <t>Bubble Bobble: Old and New</t>
  </si>
  <si>
    <t>Car Battler Joe</t>
  </si>
  <si>
    <t>Crash Bandicoot 2: N-Tranced</t>
  </si>
  <si>
    <t>Crash Bandicoot Purple: Ripto's Rampage</t>
  </si>
  <si>
    <t>Densetsu no Stafy 2</t>
  </si>
  <si>
    <t>Densetsu no Stafy 3</t>
  </si>
  <si>
    <t>Disney's Lilo &amp; Stitch</t>
  </si>
  <si>
    <t>DK: King of Swing</t>
  </si>
  <si>
    <t>Dragon Quest Monsters: Caravan Heart</t>
  </si>
  <si>
    <t>Final Fight One</t>
  </si>
  <si>
    <t>Harvest Moon: Friends of Mineral Town</t>
  </si>
  <si>
    <t>Invader</t>
  </si>
  <si>
    <t>Iridion II</t>
  </si>
  <si>
    <t>Jackie Chan Adventures: Legend of the Dark Hand</t>
  </si>
  <si>
    <t>Kingdom Hearts: Chain of Memories</t>
  </si>
  <si>
    <t>Klonoa 2: Dream Champ Tournament</t>
  </si>
  <si>
    <t>Klonoa Heroes: Densetsu no Star Medal</t>
  </si>
  <si>
    <t>Klonoa: Empire of Dreams</t>
  </si>
  <si>
    <t>Konami Krazy Racers</t>
  </si>
  <si>
    <t>Kuru Kuru Kururin</t>
  </si>
  <si>
    <t>Kururin Paradise</t>
  </si>
  <si>
    <t>Lady Sia</t>
  </si>
  <si>
    <t>Lunar Legend</t>
  </si>
  <si>
    <t>Magical Vacation</t>
  </si>
  <si>
    <t>Mario Golf: Advance Tour</t>
  </si>
  <si>
    <t>Mario Kart: Super Circuit</t>
  </si>
  <si>
    <t>Mario Tennis: Power Tour</t>
  </si>
  <si>
    <t>Mazes of Fate</t>
  </si>
  <si>
    <t>Oriental Blue: Ao no Tengai</t>
  </si>
  <si>
    <t>Pocky &amp; Rocky with Becky</t>
  </si>
  <si>
    <t>Rhythm Tengoku</t>
  </si>
  <si>
    <t>River City Ransom EX</t>
  </si>
  <si>
    <t>Scurge: Hive</t>
  </si>
  <si>
    <t>Shining Force: Resurrection of the Dark Dragon</t>
  </si>
  <si>
    <t>Shining Soul</t>
  </si>
  <si>
    <t>Shining Soul II</t>
  </si>
  <si>
    <t>Slime MoriMori Dragon Quest: Shōgeki no Shippo Dan</t>
  </si>
  <si>
    <t>Sonic Advance 2</t>
  </si>
  <si>
    <t>Sonic Advance 3</t>
  </si>
  <si>
    <t>Spyro 2: Season of Flame</t>
  </si>
  <si>
    <t>Spyro Orange: The Cortex Conspiracy</t>
  </si>
  <si>
    <t>Spyro: Attack of the Rhynocs</t>
  </si>
  <si>
    <t>Spyro: Season of Ice</t>
  </si>
  <si>
    <t>Super Monkey Ball Jr.</t>
  </si>
  <si>
    <t>Super Robot Taisen D</t>
  </si>
  <si>
    <t>Super Robot Taisen J</t>
  </si>
  <si>
    <t>The Invincible Iron Man</t>
  </si>
  <si>
    <t>The Pinball of the Dead</t>
  </si>
  <si>
    <t>Zone of the Enders: The Fist of Mars</t>
  </si>
  <si>
    <t>Final Fantasy I &amp; II: Dawn of Souls</t>
  </si>
  <si>
    <t>Final Fantasy IV Advance</t>
  </si>
  <si>
    <t>Final Fantasy Tactics Advance</t>
  </si>
  <si>
    <t>Final Fantasy V Advance</t>
  </si>
  <si>
    <t>Final Fantasy VI Advance</t>
  </si>
  <si>
    <t>Fire Emblem: Fūin no Tsurugi</t>
  </si>
  <si>
    <t>Golden Sun: The Lost Age</t>
  </si>
  <si>
    <t>Mega Man &amp; Bass</t>
  </si>
  <si>
    <t>Mega Man Battle Network 2</t>
  </si>
  <si>
    <t>Mega Man Zero 2</t>
  </si>
  <si>
    <t>Mega Man Zero 3</t>
  </si>
  <si>
    <t>Mega Man Zero 4</t>
  </si>
  <si>
    <t>Pokémon FireRed</t>
  </si>
  <si>
    <t>Pokémon Mystery Dungeon: Red Rescue Team</t>
  </si>
  <si>
    <t>Pokémon Ruby</t>
  </si>
  <si>
    <t>Rebelstar: Tactical Command</t>
  </si>
  <si>
    <t>Riviera: The Promised Land</t>
  </si>
  <si>
    <t>Sigma Star Saga</t>
  </si>
  <si>
    <t>Sonic Advance</t>
  </si>
  <si>
    <t>Super Mario Advance</t>
  </si>
  <si>
    <t>Super Mario Advance 4: Super Mario Bros. 3</t>
  </si>
  <si>
    <t>Super Mario World: Super Mario Advance 2</t>
  </si>
  <si>
    <t>Super Robot Taisen: Original Generation</t>
  </si>
  <si>
    <t>Super Robot Taisen: Original Generation 2</t>
  </si>
  <si>
    <t>Sword of Mana</t>
  </si>
  <si>
    <t>Tactics Ogre: The Knight of Lodis</t>
  </si>
  <si>
    <t>Tomato Adventure</t>
  </si>
  <si>
    <t>Wario Land 4</t>
  </si>
  <si>
    <t>Yggdra Union: We'll Never Fight Alone</t>
  </si>
  <si>
    <t>Advance Wars 2: Black Hole Rising</t>
  </si>
  <si>
    <t>Castlevania: Aria of Sorrow</t>
  </si>
  <si>
    <t>Castlevania: Circle of the Moon</t>
  </si>
  <si>
    <t>Castlevania: Harmony of Dissonance</t>
  </si>
  <si>
    <t>Summon Night: Swordcraft Story 2</t>
  </si>
  <si>
    <t>Astro Boy: Omega Factor</t>
  </si>
  <si>
    <t>DemiKids: Dark Version</t>
  </si>
  <si>
    <t>Magical Quest 3 Starring Mickey &amp; Donald</t>
  </si>
  <si>
    <t>Onimusha Tactics</t>
  </si>
  <si>
    <t>Rayman: Hoodlum's Revenge</t>
  </si>
  <si>
    <t>Robopon 2: Cross Version</t>
  </si>
  <si>
    <t>Mega Man Battle Network 3: Blue Version</t>
  </si>
  <si>
    <t>Mega Man Battle Network 4: Blue Moon</t>
  </si>
  <si>
    <t>Mega Man Battle Network 5: Team ProtoMan</t>
  </si>
  <si>
    <t>Mega Man Battle Network 6: Cybeast Gregar</t>
  </si>
  <si>
    <t>Banjo-Pilot</t>
  </si>
  <si>
    <t>Jackie Chan</t>
  </si>
  <si>
    <t>Spider-Man: Mysterio's Menace</t>
  </si>
  <si>
    <t>Animal Crossing: Wild World</t>
  </si>
  <si>
    <t>Metroid Prime: Hunters</t>
  </si>
  <si>
    <t>Ninja Gaiden: Dragon Sword</t>
  </si>
  <si>
    <t>Star Fox Command</t>
  </si>
  <si>
    <t>The Legend of Zelda: Phantom Hourglass</t>
  </si>
  <si>
    <t>Contra 4</t>
  </si>
  <si>
    <t>Castlevania: Dawn of Sorrow</t>
  </si>
  <si>
    <t>Castlevania: Portrait of Ruin</t>
  </si>
  <si>
    <t>Mario &amp; Luigi: Partners in Time</t>
  </si>
  <si>
    <t>Hotel Dusk: Room 215</t>
  </si>
  <si>
    <t>Professor Layton and the Curious Village</t>
  </si>
  <si>
    <t>Game &amp; Watch Collection</t>
  </si>
  <si>
    <t>Elite Beat Agents</t>
  </si>
  <si>
    <t>New Super Mario Bros.</t>
  </si>
  <si>
    <t>Mario Kart DS</t>
  </si>
  <si>
    <t>Pokémon Diamond</t>
  </si>
  <si>
    <t>Ultimate Spider-Man</t>
  </si>
  <si>
    <t>Pokémon Mystery Dungeon: Blue Rescue Team</t>
  </si>
  <si>
    <t>Brain Age: Train Your Brain in Minutes a Day!</t>
  </si>
  <si>
    <t>Yoshi Touch &amp; Go</t>
  </si>
  <si>
    <t>Yoshi's Island DS</t>
  </si>
  <si>
    <t>Pokémon HeartGold</t>
  </si>
  <si>
    <t>Big Bang Mini</t>
  </si>
  <si>
    <t>Professor Layton and the Diabolical Box</t>
  </si>
  <si>
    <t>Mario &amp; Luigi: Bowser's Inside Story</t>
  </si>
  <si>
    <t>Meteos</t>
  </si>
  <si>
    <t>Radiant Historia</t>
  </si>
  <si>
    <t>Monster Tale</t>
  </si>
  <si>
    <t>The Legend of Zelda: Spirit Tracks</t>
  </si>
  <si>
    <t>Professor Layton and the Unwound Future</t>
  </si>
  <si>
    <t>999: Nine Hours, Nine Persons, Nine Doors</t>
  </si>
  <si>
    <t>Assassin's Creed: Altaïr's Chronicles</t>
  </si>
  <si>
    <t>Assassin's Creed II: Discovery</t>
  </si>
  <si>
    <t>Q-Games</t>
  </si>
  <si>
    <t>Hotel Dusk</t>
  </si>
  <si>
    <t>Level-5</t>
  </si>
  <si>
    <t>Professor Layton</t>
  </si>
  <si>
    <t>Game &amp; Watch</t>
  </si>
  <si>
    <t>iNiS</t>
  </si>
  <si>
    <t>Osu! Tatakae! Ouendan</t>
  </si>
  <si>
    <t>Brain Age</t>
  </si>
  <si>
    <t>Artoon</t>
  </si>
  <si>
    <t>Southpeak Interactive</t>
  </si>
  <si>
    <t>Arkedo</t>
  </si>
  <si>
    <t>Shooter</t>
  </si>
  <si>
    <t>Q Entertainment</t>
  </si>
  <si>
    <t>DreamRift</t>
  </si>
  <si>
    <t>Zero Escape</t>
  </si>
  <si>
    <t>Gameloft Bucharest</t>
  </si>
  <si>
    <t>Griptonite Games</t>
  </si>
  <si>
    <t>Rhapsody: A Musical Adventure</t>
  </si>
  <si>
    <t>Atelier Annie: Alchemists of Sera Island</t>
  </si>
  <si>
    <t>Custom Robo Arena</t>
  </si>
  <si>
    <t>Flower, Sun, and Rain</t>
  </si>
  <si>
    <t>Giana Sisters DS</t>
  </si>
  <si>
    <t>Jake Hunter: Detective Chronicles</t>
  </si>
  <si>
    <t>Lufia: Curse of the Sinistrals</t>
  </si>
  <si>
    <t>Metroid Prime Pinball</t>
  </si>
  <si>
    <t>Nervous Brickdown</t>
  </si>
  <si>
    <t>Robocalypse</t>
  </si>
  <si>
    <t>The Dark Spire</t>
  </si>
  <si>
    <t>Valkyrie Profile: Covenant of the Plume</t>
  </si>
  <si>
    <t>Aliens: Infestation</t>
  </si>
  <si>
    <t>ASH: Archaic Sealed Heat</t>
  </si>
  <si>
    <t>Avalon Code</t>
  </si>
  <si>
    <t>Bleach: Dark Souls</t>
  </si>
  <si>
    <t>Bleach: The Blade of Fate</t>
  </si>
  <si>
    <t>Blue Dragon Plus</t>
  </si>
  <si>
    <t>Blue Dragon: Awakened Shadow</t>
  </si>
  <si>
    <t>Children of Mana</t>
  </si>
  <si>
    <t>Dawn of Heroes</t>
  </si>
  <si>
    <t>Dementium II</t>
  </si>
  <si>
    <t>Densetsu no Stafy 4</t>
  </si>
  <si>
    <t>Disgaea DS</t>
  </si>
  <si>
    <t>DK: Jungle Climber</t>
  </si>
  <si>
    <t>Dragon Quest Heroes: Rocket Slime</t>
  </si>
  <si>
    <t>Dragon Quest IX: Sentinels of the Starry Skies</t>
  </si>
  <si>
    <t>Dragon Quest Monsters: Joker</t>
  </si>
  <si>
    <t>Dragon Quest Monsters: Joker 2</t>
  </si>
  <si>
    <t>Elebits: The Adventures of Kai and Zero</t>
  </si>
  <si>
    <t>Final Fantasy Crystal Chronicles: Echoes of Time</t>
  </si>
  <si>
    <t>Final Fantasy Crystal Chronicles: Ring of Fates</t>
  </si>
  <si>
    <t>Final Fantasy XII: Revenant Wings</t>
  </si>
  <si>
    <t>Final Fantasy: The 4 Heroes of Light</t>
  </si>
  <si>
    <t>Fossil Fighters</t>
  </si>
  <si>
    <t>Grand Theft Auto: Chinatown Wars</t>
  </si>
  <si>
    <t>Heroes of Mana</t>
  </si>
  <si>
    <t>Inazuma Eleven</t>
  </si>
  <si>
    <t>Izuna 2: The Unemployed Ninja Returns</t>
  </si>
  <si>
    <t>Izuna: Legend of the Unemployed Ninja</t>
  </si>
  <si>
    <t>Jake Hunter Detective Story: Memories of the Past</t>
  </si>
  <si>
    <t>Ketsui: Death Label</t>
  </si>
  <si>
    <t>Kingdom Hearts 358/2 Days</t>
  </si>
  <si>
    <t>Kingdom Hearts Re:coded</t>
  </si>
  <si>
    <t>Kirby Super Star Ultra</t>
  </si>
  <si>
    <t>Kirby: Canvas Curse</t>
  </si>
  <si>
    <t>Kirby: Mass Attack</t>
  </si>
  <si>
    <t>Kirby: Squeak Squad</t>
  </si>
  <si>
    <t>Legacy of Ys: Books I &amp; II</t>
  </si>
  <si>
    <t>Lock's Quest</t>
  </si>
  <si>
    <t>LostMagic</t>
  </si>
  <si>
    <t>Luminous Arc 2</t>
  </si>
  <si>
    <t>Lunar Knights</t>
  </si>
  <si>
    <t>Lunar: Dragon Song</t>
  </si>
  <si>
    <t>Mario vs. Donkey Kong 2: March of the Minis</t>
  </si>
  <si>
    <t>Mario vs. Donkey Kong: Mini-Land Mayhem!</t>
  </si>
  <si>
    <t>Mega Man ZX</t>
  </si>
  <si>
    <t>Mega Man ZX Advent</t>
  </si>
  <si>
    <t>Mystery Dungeon: Shiren the Wanderer</t>
  </si>
  <si>
    <t>Nanashi no Game</t>
  </si>
  <si>
    <t>Nanostray</t>
  </si>
  <si>
    <t>Nanostray 2</t>
  </si>
  <si>
    <t>Phantasy Star 0</t>
  </si>
  <si>
    <t>Princess Debut</t>
  </si>
  <si>
    <t>Resident Evil: Deadly Silence</t>
  </si>
  <si>
    <t>Rune Factory 2: A Fantasy Harvest Moon</t>
  </si>
  <si>
    <t>Rune Factory 3: A Fantasy Harvest Moon</t>
  </si>
  <si>
    <t>SaGa 2: Hihō Densetsu: Goddess of Destiny</t>
  </si>
  <si>
    <t>Scribblenauts</t>
  </si>
  <si>
    <t>Solatorobo: Red the Hunter</t>
  </si>
  <si>
    <t>Sonic Chronicles: The Dark Brotherhood</t>
  </si>
  <si>
    <t>Sonic Colors</t>
  </si>
  <si>
    <t>Soul Bubbles</t>
  </si>
  <si>
    <t>Spectrobes</t>
  </si>
  <si>
    <t>Suikoden Tierkreis</t>
  </si>
  <si>
    <t>Super Robot Taisen OG Saga: Endless Frontier</t>
  </si>
  <si>
    <t>Super Scribblenauts</t>
  </si>
  <si>
    <t>Tales of Innocence</t>
  </si>
  <si>
    <t>The Legendary Starfy</t>
  </si>
  <si>
    <t>Thor: God of Thunder</t>
  </si>
  <si>
    <t>Touch Detective</t>
  </si>
  <si>
    <t>Touch Detective 2 ½</t>
  </si>
  <si>
    <t>Trauma Center: Under the Knife</t>
  </si>
  <si>
    <t>Trauma Center: Under the Knife 2</t>
  </si>
  <si>
    <t>Viewtiful Joe: Double Trouble</t>
  </si>
  <si>
    <t>Viva Piñata: Pocket Paradise</t>
  </si>
  <si>
    <t>Wario: Master of Disguise</t>
  </si>
  <si>
    <t>WarioWare: Touched!</t>
  </si>
  <si>
    <t>Ace Attorney Investigations: Miles Edgeworth</t>
  </si>
  <si>
    <t>Advance Wars: Days of Ruin</t>
  </si>
  <si>
    <t>Apollo Justice: Ace Attorney</t>
  </si>
  <si>
    <t>Contact</t>
  </si>
  <si>
    <t>Dementium: The Ward</t>
  </si>
  <si>
    <t>Dragon Quest IV: Chapters of the Chosen</t>
  </si>
  <si>
    <t>Dragon Quest V: Hand of the Heavenly Bride</t>
  </si>
  <si>
    <t>Etrian Odyssey</t>
  </si>
  <si>
    <t>Etrian Odyssey II: Heroes of Lagaard</t>
  </si>
  <si>
    <t>Etrian Odyssey III: The Drowned City</t>
  </si>
  <si>
    <t>Final Fantasy Tactics A2: Grimoire of the Rift</t>
  </si>
  <si>
    <t>Fire Emblem: Shadow Dragon</t>
  </si>
  <si>
    <t>Fire Emblem: Shin Monshō no Nazo Hikari to Kage no Eiyū</t>
  </si>
  <si>
    <t>Ghost Trick: Phantom Detective</t>
  </si>
  <si>
    <t>Golden Sun: Dark Dawn</t>
  </si>
  <si>
    <t>Henry Hatsworth in the Puzzling Adventure</t>
  </si>
  <si>
    <t>Infinite Space</t>
  </si>
  <si>
    <t>Knights in the Nightmare</t>
  </si>
  <si>
    <t>Last Window: The Secret of Cape West</t>
  </si>
  <si>
    <t>Luminous Arc</t>
  </si>
  <si>
    <t>Metal Slug 7</t>
  </si>
  <si>
    <t>Moero! Nekketsu Rhythm Damashii: Osu! Tatakae! Ōendan 2</t>
  </si>
  <si>
    <t>Moon</t>
  </si>
  <si>
    <t>Ninjatown</t>
  </si>
  <si>
    <t>Ōkamiden</t>
  </si>
  <si>
    <t>Osu! Tatakae! Ōendan</t>
  </si>
  <si>
    <t>Pokémon Platinum</t>
  </si>
  <si>
    <t>Pokémon Ranger</t>
  </si>
  <si>
    <t>Pokémon Ranger: Guardian Signs</t>
  </si>
  <si>
    <t>Pokémon Ranger: Shadows of Almia</t>
  </si>
  <si>
    <t>Puzzle Quest 2</t>
  </si>
  <si>
    <t>Rondo of Swords</t>
  </si>
  <si>
    <t>Rune Factory: A Fantasy Harvest Moon</t>
  </si>
  <si>
    <t>Shin Megami Tensei: Strange Journey</t>
  </si>
  <si>
    <t>Soma Bringer</t>
  </si>
  <si>
    <t>Sonic Rush</t>
  </si>
  <si>
    <t>Sonic Rush Adventure</t>
  </si>
  <si>
    <t>Space Invaders Extreme 2</t>
  </si>
  <si>
    <t>Summon Night: Twin Age</t>
  </si>
  <si>
    <t>Super Mario 64 DS</t>
  </si>
  <si>
    <t>Super Princess Peach</t>
  </si>
  <si>
    <t>Tetris DS</t>
  </si>
  <si>
    <t>Theresia</t>
  </si>
  <si>
    <t>Time Hollow</t>
  </si>
  <si>
    <t>Trace Memory</t>
  </si>
  <si>
    <t>Advance Wars: Dual Strike</t>
  </si>
  <si>
    <t>Phoenix Wright: Ace Attorney</t>
  </si>
  <si>
    <t>Pokémon Conquest</t>
  </si>
  <si>
    <t>Professor Layton and the Last Specter</t>
  </si>
  <si>
    <t>Retro Game Challenge</t>
  </si>
  <si>
    <t>Shin Megami Tensei: Devil Survivor</t>
  </si>
  <si>
    <t>Shin Megami Tensei: Devil Survivor 2</t>
  </si>
  <si>
    <t>Castlevania: Order of Ecclesia</t>
  </si>
  <si>
    <t>Nippon Ichi Software</t>
  </si>
  <si>
    <t>Gust</t>
  </si>
  <si>
    <t>Destineer</t>
  </si>
  <si>
    <t>Spellbound Interactive</t>
  </si>
  <si>
    <t>Giana Sisters</t>
  </si>
  <si>
    <t>WorkJam</t>
  </si>
  <si>
    <t>Jake Hunter</t>
  </si>
  <si>
    <t>Fuse Games</t>
  </si>
  <si>
    <t>Arkedo Studio</t>
  </si>
  <si>
    <t>Vogster Entertainment</t>
  </si>
  <si>
    <t>Valkyrie Profile</t>
  </si>
  <si>
    <t>Bleach</t>
  </si>
  <si>
    <t>Blue Dragon</t>
  </si>
  <si>
    <t>D3 Publisher</t>
  </si>
  <si>
    <t>Wicked Studios</t>
  </si>
  <si>
    <t>Renegade Kid</t>
  </si>
  <si>
    <t>Dementium</t>
  </si>
  <si>
    <t>Disgaea</t>
  </si>
  <si>
    <t>Think &amp; Feel</t>
  </si>
  <si>
    <t>Vanpool</t>
  </si>
  <si>
    <t>Rockstar Leeds</t>
  </si>
  <si>
    <t>Grand Theft Auto</t>
  </si>
  <si>
    <t>Ninja Studio</t>
  </si>
  <si>
    <t>Izuna</t>
  </si>
  <si>
    <t>Ketsui</t>
  </si>
  <si>
    <t>Dreams</t>
  </si>
  <si>
    <t>5th Cell</t>
  </si>
  <si>
    <t>Mega Man Star Force</t>
  </si>
  <si>
    <t>Epics</t>
  </si>
  <si>
    <t>CyberConnect2</t>
  </si>
  <si>
    <t>Tail Concerto</t>
  </si>
  <si>
    <t>Mekensleep</t>
  </si>
  <si>
    <t>Disney Interactive Studios</t>
  </si>
  <si>
    <t>Suikoden</t>
  </si>
  <si>
    <t>Thor</t>
  </si>
  <si>
    <t>BeeWorks</t>
  </si>
  <si>
    <t>Viva Piñata</t>
  </si>
  <si>
    <t>Suzak</t>
  </si>
  <si>
    <t>Ace Attorney</t>
  </si>
  <si>
    <t>Gamecock Media Group</t>
  </si>
  <si>
    <t>EA Tiburon</t>
  </si>
  <si>
    <t>Jump!</t>
  </si>
  <si>
    <t>Mastiff</t>
  </si>
  <si>
    <t>Venan Entertainment</t>
  </si>
  <si>
    <t>Mobile &amp; Game Studio, Inc.</t>
  </si>
  <si>
    <t>Creatures Inc.</t>
  </si>
  <si>
    <t>Infinite Interactive</t>
  </si>
  <si>
    <t>Puzzle Quest</t>
  </si>
  <si>
    <t>Project Just</t>
  </si>
  <si>
    <t>Tenky</t>
  </si>
  <si>
    <t>Tecmo Koei</t>
  </si>
  <si>
    <t>Tingle's Balloon Fight DS</t>
  </si>
  <si>
    <t>Irodzuki Tingle no Koi no Balloon Trip</t>
  </si>
  <si>
    <t>Nintendo DS Browser</t>
  </si>
  <si>
    <t>Opera Software</t>
  </si>
  <si>
    <t>Web Browser</t>
  </si>
  <si>
    <t>Game Center CX: Arino no Chōsenjō 2</t>
  </si>
  <si>
    <t>Mega Man Star Force 2: Zerker x Ninja</t>
  </si>
  <si>
    <t>Mega Man Star Force: Dragon</t>
  </si>
  <si>
    <t>Pokémon Black</t>
  </si>
  <si>
    <t>Pokémon Black 2</t>
  </si>
  <si>
    <t>Pokémon Mystery Dungeon: Explorers of Time</t>
  </si>
  <si>
    <t>Bleach: Shattered Blade</t>
  </si>
  <si>
    <t>Polygon Magic</t>
  </si>
  <si>
    <t>Bleach: The 3rd Phantom</t>
  </si>
  <si>
    <t>Tom Create</t>
  </si>
  <si>
    <t>Torneko no Daibōken: Fushigi no Dungeon</t>
  </si>
  <si>
    <t>Torneko: The Last Hope</t>
  </si>
  <si>
    <t>Mega Man Star Force 3: Red Joker</t>
  </si>
  <si>
    <t>Ghost Trick</t>
  </si>
  <si>
    <t>Jump Super Stars</t>
  </si>
  <si>
    <t>Jump Ultimate Stars</t>
  </si>
  <si>
    <t>Phoenix Wright: Ace Attorney − Justice for All</t>
  </si>
  <si>
    <t>Phoenix Wright: Ace Attorney − Trials and Tribulations</t>
  </si>
  <si>
    <t>Pokémon Mystery Dungeon: Explorers of Sky</t>
  </si>
  <si>
    <t>7th Dragon III Code: VFD</t>
  </si>
  <si>
    <t>Animal Crossing: Happy Home Designer</t>
  </si>
  <si>
    <t>Bravely Default</t>
  </si>
  <si>
    <t>Bravely Second: End Layer</t>
  </si>
  <si>
    <t>Chibi-Robo! Zip Lash</t>
  </si>
  <si>
    <t>Code Name: S.T.E.A.M.</t>
  </si>
  <si>
    <t>Detective Pikachu</t>
  </si>
  <si>
    <t>Doctor Lautrec and the Forgotten Knights</t>
  </si>
  <si>
    <t>Dragon Quest VII: Fragments of the Forgotten Past</t>
  </si>
  <si>
    <t>Etrian Mystery Dungeon</t>
  </si>
  <si>
    <t>Etrian Odyssey Nexus</t>
  </si>
  <si>
    <t>Ever Oasis</t>
  </si>
  <si>
    <t>Fire Emblem Echoes: Shadows of Valentia</t>
  </si>
  <si>
    <t>Fire Emblem Fates: Conquest</t>
  </si>
  <si>
    <t>Heroes of Ruin</t>
  </si>
  <si>
    <t>Hey! Pikmin</t>
  </si>
  <si>
    <t>Hyrule Warriors Legends</t>
  </si>
  <si>
    <t>Kirby: Triple Deluxe</t>
  </si>
  <si>
    <t>Kirby's Extra Epic Yarn</t>
  </si>
  <si>
    <t>Latyon's Mystery Journey: Katrielle and the Millionaires' Conspiracy</t>
  </si>
  <si>
    <t>Luigi's Mansion: Dark Moon</t>
  </si>
  <si>
    <t>Mario &amp; Luigi: Bowser's Inside Story + Bowser Jr.'s Journey</t>
  </si>
  <si>
    <t>Mario &amp; Luigi: Dream Team</t>
  </si>
  <si>
    <t>Mario &amp; Luigi: Superstar Saga + Bowser's Minions</t>
  </si>
  <si>
    <t>Mario Kart 7</t>
  </si>
  <si>
    <t>Metroid Prime: Federation Force</t>
  </si>
  <si>
    <t>Metroid: Samus Returns</t>
  </si>
  <si>
    <t>Nano Assault</t>
  </si>
  <si>
    <t>New Super Mario Bros. 2</t>
  </si>
  <si>
    <t>Paper Mario: Sticker Star</t>
  </si>
  <si>
    <t>Persona Q2: New Cinema Labyrinth</t>
  </si>
  <si>
    <t>Pokémon Alpha Sapphire</t>
  </si>
  <si>
    <t>Pokémon Mystery Dungeon: Gates to Infinity</t>
  </si>
  <si>
    <t>Pokémon Sun</t>
  </si>
  <si>
    <t>Pokémon Ultra Sun</t>
  </si>
  <si>
    <t>Pokémon X</t>
  </si>
  <si>
    <t>Professor Layton and the Miracle Mask</t>
  </si>
  <si>
    <t>Project X Zone</t>
  </si>
  <si>
    <t>Project X Zone 2</t>
  </si>
  <si>
    <t>Puzzle &amp; Dragons Z + Super Mario Bros. Edition</t>
  </si>
  <si>
    <t>Radiant Historia: Perfect Chronology</t>
  </si>
  <si>
    <t>Rayman 3D</t>
  </si>
  <si>
    <t>Resident Evil: Revelations</t>
  </si>
  <si>
    <t>River City: Rival Showdown</t>
  </si>
  <si>
    <t>Samurai Warriors: Chronicles</t>
  </si>
  <si>
    <t>Shin Megami Tensei IV</t>
  </si>
  <si>
    <t>Shin Megami Tensei: Strange Journey Redux</t>
  </si>
  <si>
    <t>Shinobi</t>
  </si>
  <si>
    <t>Star Fox 64 3D</t>
  </si>
  <si>
    <t>Steel Diver</t>
  </si>
  <si>
    <t>Super Mario 3D Land</t>
  </si>
  <si>
    <t>Super Mario Maker for Nintendo 3DS</t>
  </si>
  <si>
    <t>The Alliance Alive</t>
  </si>
  <si>
    <t>The Legend of Korra: A New Era Begins</t>
  </si>
  <si>
    <t>The Legend of Zelda: A Link Between Worlds</t>
  </si>
  <si>
    <t>The Legend of Zelda: Majora's Mask 3D</t>
  </si>
  <si>
    <t>The Legend of Zelda: Ocarina of Time 3D</t>
  </si>
  <si>
    <t>The Legend of Zelda: Tri Force Heroes</t>
  </si>
  <si>
    <t>Theatrhythm Final Fantasy</t>
  </si>
  <si>
    <t>Theatrhythm Final Fantasy: Curtain Call</t>
  </si>
  <si>
    <t>Ultimate NES Remix</t>
  </si>
  <si>
    <t>WarioWare Gold</t>
  </si>
  <si>
    <t>Yoshi's New Island</t>
  </si>
  <si>
    <t>3D Classics: Kid Icarus</t>
  </si>
  <si>
    <t>A Kappa's Trail</t>
  </si>
  <si>
    <t>Aero Porter</t>
  </si>
  <si>
    <t>Attack of the Friday Monsters! A Tokyo Tale</t>
  </si>
  <si>
    <t>BIT.TRIP SAGA</t>
  </si>
  <si>
    <t>Crimson Shroud</t>
  </si>
  <si>
    <t>Dillon's Rolling Western</t>
  </si>
  <si>
    <t>Etrian Odyssey IV: Legends of the Titan</t>
  </si>
  <si>
    <t>Ghost Recon: Shadow Wars</t>
  </si>
  <si>
    <t>Gunman Clive</t>
  </si>
  <si>
    <t>Ikachan</t>
  </si>
  <si>
    <t>Liberation Maiden</t>
  </si>
  <si>
    <t>Mario &amp; Luigi: Paper Jam</t>
  </si>
  <si>
    <t>Mighty Gunvolt</t>
  </si>
  <si>
    <t>Mighty Switch Force!</t>
  </si>
  <si>
    <t>Mighty Switch Force! 2</t>
  </si>
  <si>
    <t>Moon Chronicles</t>
  </si>
  <si>
    <t>My Nintendo Picross: The Legend of Zelda: Twilight Princess</t>
  </si>
  <si>
    <t>OlliOlli</t>
  </si>
  <si>
    <t>Sakura Samurai: Art of the Sword</t>
  </si>
  <si>
    <t>Shin Megami Tensei: Devil Summoner - Soul Hackers</t>
  </si>
  <si>
    <t>The Legend of Dark Witch</t>
  </si>
  <si>
    <t>The Legend of Zelda: Four Swords Anniversary Edition</t>
  </si>
  <si>
    <t>The Starship Damrey</t>
  </si>
  <si>
    <t>Woah Dave!</t>
  </si>
  <si>
    <t>7th Dragon</t>
  </si>
  <si>
    <t>Silicon Studio</t>
  </si>
  <si>
    <t>Skip Ltd</t>
  </si>
  <si>
    <t>Creatures</t>
  </si>
  <si>
    <t>Spike Chunsoft</t>
  </si>
  <si>
    <t>Grezzo</t>
  </si>
  <si>
    <t>n-Space</t>
  </si>
  <si>
    <t>Arzest</t>
  </si>
  <si>
    <t>MercurySteam</t>
  </si>
  <si>
    <t>Nintendo EAD Group No. 4</t>
  </si>
  <si>
    <t>P-Studio</t>
  </si>
  <si>
    <t>GungHo Online Entertainment</t>
  </si>
  <si>
    <t>Puzzle &amp; Dragons</t>
  </si>
  <si>
    <t>Atlus USA</t>
  </si>
  <si>
    <t>Ubisoft Casablanca</t>
  </si>
  <si>
    <t>Story of Seasons</t>
  </si>
  <si>
    <t>Arc System Works Co., Ltd.</t>
  </si>
  <si>
    <t>Samurai Warriors</t>
  </si>
  <si>
    <t>Webfoot Technologies</t>
  </si>
  <si>
    <t>The Legend of Korra</t>
  </si>
  <si>
    <t>Vivarium Inc.</t>
  </si>
  <si>
    <t>Guild</t>
  </si>
  <si>
    <t>Millennium Kitchen</t>
  </si>
  <si>
    <t>Gaijin Games</t>
  </si>
  <si>
    <t>Nex Entertainment</t>
  </si>
  <si>
    <t>Ubisoft Sofia</t>
  </si>
  <si>
    <t>Ghost Recon</t>
  </si>
  <si>
    <t>Hörberg Productions</t>
  </si>
  <si>
    <t>Daisuke Amaya</t>
  </si>
  <si>
    <t>Gunvolt</t>
  </si>
  <si>
    <t>Roll7</t>
  </si>
  <si>
    <t>Grounding Inc.</t>
  </si>
  <si>
    <t>Image &amp; Form</t>
  </si>
  <si>
    <t>SteamWorld</t>
  </si>
  <si>
    <t>CIRCLE Entertainment</t>
  </si>
  <si>
    <t>Inside System</t>
  </si>
  <si>
    <t>MiniVisions</t>
  </si>
  <si>
    <t>Animal Crossing: New Leaf</t>
  </si>
  <si>
    <t>Castlevania: Lords of Shadow - Mirror of Fate</t>
  </si>
  <si>
    <t>Donkey Kong Country Returns 3D</t>
  </si>
  <si>
    <t>Kid Icarus: Uprising</t>
  </si>
  <si>
    <t>Fire Emblem: Awakening</t>
  </si>
  <si>
    <t>Project Sora</t>
  </si>
  <si>
    <t>Return to PoPoLoCrois: A Story of Seasons Fairytale</t>
  </si>
  <si>
    <t>SteamWorld Dig</t>
  </si>
  <si>
    <t>Alien Syndrome</t>
  </si>
  <si>
    <t>Astro Warrior</t>
  </si>
  <si>
    <t>Fantasy Zone II: The Tears of Opa-Opa</t>
  </si>
  <si>
    <t>Alex Kidd in Miracle World</t>
  </si>
  <si>
    <t>Alex Kidd in Shinobi World</t>
  </si>
  <si>
    <t>Alex Kidd: High-Tech World</t>
  </si>
  <si>
    <t>Alex Kidd: The Lost Stars</t>
  </si>
  <si>
    <t>Fantasy Zone</t>
  </si>
  <si>
    <t>Golden Axe Warrior</t>
  </si>
  <si>
    <t>Sonic the Hedgehog 2</t>
  </si>
  <si>
    <t>Thunder Blade</t>
  </si>
  <si>
    <t>Wonder Boy III: The Dragon's Trap</t>
  </si>
  <si>
    <t>Wonder Boy in Monster Land</t>
  </si>
  <si>
    <t>Psycho Fox</t>
  </si>
  <si>
    <t>Ys: The Vanished Omens</t>
  </si>
  <si>
    <t>Alex Kidd</t>
  </si>
  <si>
    <t>SIMS</t>
  </si>
  <si>
    <t>Aspect</t>
  </si>
  <si>
    <t>Westone</t>
  </si>
  <si>
    <t>Totally Games</t>
  </si>
  <si>
    <t>Master of Darkness</t>
  </si>
  <si>
    <t>Contra: Hard Corps</t>
  </si>
  <si>
    <t>Dr. Robotnik's Mean Bean Machine</t>
  </si>
  <si>
    <t>Streets of Rage</t>
  </si>
  <si>
    <t>Mega Man: The Wily Wars</t>
  </si>
  <si>
    <t>Streets of Rage 3</t>
  </si>
  <si>
    <t>Castlevania: Bloodlines</t>
  </si>
  <si>
    <t>Beyond Oasis</t>
  </si>
  <si>
    <t>Oasis</t>
  </si>
  <si>
    <t>Cannon Fodder</t>
  </si>
  <si>
    <t>Heavy Unit</t>
  </si>
  <si>
    <t>Air Buster</t>
  </si>
  <si>
    <t>Alisia Dragoon</t>
  </si>
  <si>
    <t>Atomic Robo-Kid</t>
  </si>
  <si>
    <t>Battle Mania: Daiginjō</t>
  </si>
  <si>
    <t>Bio-Hazard Battle</t>
  </si>
  <si>
    <t>Bio-Ship Paladin</t>
  </si>
  <si>
    <t>Dangerous Seed</t>
  </si>
  <si>
    <t>Darwin 4081</t>
  </si>
  <si>
    <t>Elemental Master</t>
  </si>
  <si>
    <t>Eliminate Down</t>
  </si>
  <si>
    <t>Fire Mustang</t>
  </si>
  <si>
    <t>Gley Lancer</t>
  </si>
  <si>
    <t>Granada</t>
  </si>
  <si>
    <t>Hellfire</t>
  </si>
  <si>
    <t>Insector X</t>
  </si>
  <si>
    <t>Master of Weapon</t>
  </si>
  <si>
    <t>Mega SWIV</t>
  </si>
  <si>
    <t>Phelios</t>
  </si>
  <si>
    <t>Rings of Power</t>
  </si>
  <si>
    <t>Sol-Deace</t>
  </si>
  <si>
    <t>Steel Empire</t>
  </si>
  <si>
    <t>Trouble Shooter</t>
  </si>
  <si>
    <t>Truxton</t>
  </si>
  <si>
    <t>Undead Line</t>
  </si>
  <si>
    <t>Verytex</t>
  </si>
  <si>
    <t>Zero the Kamikaze Squirrel</t>
  </si>
  <si>
    <t>Alex Kidd in the Enchanted Castle</t>
  </si>
  <si>
    <t>Alien Storm</t>
  </si>
  <si>
    <t>Arrow Flash</t>
  </si>
  <si>
    <t>Crusader of Centy</t>
  </si>
  <si>
    <t>Curse</t>
  </si>
  <si>
    <t>Cyborg Justice</t>
  </si>
  <si>
    <t>Dune: The Battle for Arrakis</t>
  </si>
  <si>
    <t>Dungeons &amp; Dragons: Warriors of the Eternal Sun</t>
  </si>
  <si>
    <t>Dynamite Headdy</t>
  </si>
  <si>
    <t>Ecco the Dolphin</t>
  </si>
  <si>
    <t>Fire Shark</t>
  </si>
  <si>
    <t>Forgotten Worlds</t>
  </si>
  <si>
    <t>Gaiares</t>
  </si>
  <si>
    <t>Gain Ground</t>
  </si>
  <si>
    <t>General Chaos</t>
  </si>
  <si>
    <t>Ghostbusters</t>
  </si>
  <si>
    <t>Ghouls 'n Ghosts</t>
  </si>
  <si>
    <t>Golden Axe II</t>
  </si>
  <si>
    <t>Golden Axe III</t>
  </si>
  <si>
    <t>Jurassic Park</t>
  </si>
  <si>
    <t>Kid Chameleon</t>
  </si>
  <si>
    <t>King's Bounty</t>
  </si>
  <si>
    <t>Landstalker: The Treasures of King Nole</t>
  </si>
  <si>
    <t>Langrisser II</t>
  </si>
  <si>
    <t>Legend of Wukong</t>
  </si>
  <si>
    <t>Light Crusader</t>
  </si>
  <si>
    <t>Lightening Force: Quest for the Darkstar</t>
  </si>
  <si>
    <t>M.U.S.H.A.</t>
  </si>
  <si>
    <t>MERCS</t>
  </si>
  <si>
    <t>Monster World IV</t>
  </si>
  <si>
    <t>Ranger X</t>
  </si>
  <si>
    <t>Shadow Dancer</t>
  </si>
  <si>
    <t>Shinobi III: Return of the Ninja Master</t>
  </si>
  <si>
    <t>Soldiers of Fortune</t>
  </si>
  <si>
    <t>Splatterhouse 3</t>
  </si>
  <si>
    <t>Star Odyssey</t>
  </si>
  <si>
    <t>Sub-Terrania</t>
  </si>
  <si>
    <t>Super Fantasy Zone</t>
  </si>
  <si>
    <t>Super Thunder Blade</t>
  </si>
  <si>
    <t>Target Earth</t>
  </si>
  <si>
    <t>Teenage Mutant Ninja Turtles: The Hyperstone Heist</t>
  </si>
  <si>
    <t>The Lion King</t>
  </si>
  <si>
    <t>The Ooze</t>
  </si>
  <si>
    <t>The Revenge of Shinobi</t>
  </si>
  <si>
    <t>Thunder Force II</t>
  </si>
  <si>
    <t>Thunder Force III</t>
  </si>
  <si>
    <t>Tōgi Ō: King Colossus</t>
  </si>
  <si>
    <t>Twinkle Tale</t>
  </si>
  <si>
    <t>Valis III</t>
  </si>
  <si>
    <t>Valis: The Fantasm Soldier</t>
  </si>
  <si>
    <t>Vectorman 2</t>
  </si>
  <si>
    <t>Viewpoint</t>
  </si>
  <si>
    <t>Warsong</t>
  </si>
  <si>
    <t>Whip Rush</t>
  </si>
  <si>
    <t>Wings of Wor</t>
  </si>
  <si>
    <t>Wonder Boy III: Monster Lair</t>
  </si>
  <si>
    <t>Wonder Boy in Monster World</t>
  </si>
  <si>
    <t>X-Men 2: Clone Wars</t>
  </si>
  <si>
    <t>Alien Soldier</t>
  </si>
  <si>
    <t>Beggar Prince</t>
  </si>
  <si>
    <t>Comix Zone</t>
  </si>
  <si>
    <t>Decap Attack</t>
  </si>
  <si>
    <t>Gunstar Heroes</t>
  </si>
  <si>
    <t>Michael Jackson's Moonwalker</t>
  </si>
  <si>
    <t>Panorama Cotton</t>
  </si>
  <si>
    <t>Phantasy Star II</t>
  </si>
  <si>
    <t>Phantasy Star III: Generations of Doom</t>
  </si>
  <si>
    <t>Phantasy Star IV: The End of the Millennium</t>
  </si>
  <si>
    <t>Pulseman</t>
  </si>
  <si>
    <t>Ristar</t>
  </si>
  <si>
    <t>Shining Force II</t>
  </si>
  <si>
    <t>Shining in the Darkness</t>
  </si>
  <si>
    <t>Sparkster: Rocket Knight Adventures 2</t>
  </si>
  <si>
    <t>Splatterhouse 2</t>
  </si>
  <si>
    <t>Vectorman</t>
  </si>
  <si>
    <t>Zero Wing</t>
  </si>
  <si>
    <t>Streets of Rage 2</t>
  </si>
  <si>
    <t>Shining Force: The Legacy of Great Intention</t>
  </si>
  <si>
    <t>Sonic &amp; Knuckles</t>
  </si>
  <si>
    <t>Sonic the Hedgehog 3</t>
  </si>
  <si>
    <t>Strider</t>
  </si>
  <si>
    <t>Sensible Software</t>
  </si>
  <si>
    <t>Inter State</t>
  </si>
  <si>
    <t>Treco</t>
  </si>
  <si>
    <t>Chuanpu Technologies</t>
  </si>
  <si>
    <t>Battle Mania</t>
  </si>
  <si>
    <t>Aisystem Tokyo</t>
  </si>
  <si>
    <t>Adrenalin Entertainment</t>
  </si>
  <si>
    <t>Renovation Products</t>
  </si>
  <si>
    <t>Soft Vision International</t>
  </si>
  <si>
    <t>Aprinet</t>
  </si>
  <si>
    <t>Seismic Software Inc.</t>
  </si>
  <si>
    <t>Sage's Creation</t>
  </si>
  <si>
    <t>Time Warner Interactive</t>
  </si>
  <si>
    <t>SCi Games</t>
  </si>
  <si>
    <t>SWIV</t>
  </si>
  <si>
    <t>Naughty Dog</t>
  </si>
  <si>
    <t>Flying Edge</t>
  </si>
  <si>
    <t>Romstar</t>
  </si>
  <si>
    <t>PalSoft</t>
  </si>
  <si>
    <t>OperaHouse</t>
  </si>
  <si>
    <t>Micronet</t>
  </si>
  <si>
    <t>Novotrade International</t>
  </si>
  <si>
    <t>Ballistic</t>
  </si>
  <si>
    <t>Westwood Studios</t>
  </si>
  <si>
    <t>Dune</t>
  </si>
  <si>
    <t>Ecco</t>
  </si>
  <si>
    <t>Game Refuge Inc.</t>
  </si>
  <si>
    <t>Blue Sky Software</t>
  </si>
  <si>
    <t>New World Computing</t>
  </si>
  <si>
    <t>Career Soft</t>
  </si>
  <si>
    <t>Super Fighter Team</t>
  </si>
  <si>
    <t>Gamtec</t>
  </si>
  <si>
    <t>Commando</t>
  </si>
  <si>
    <t>GAU Entertainment</t>
  </si>
  <si>
    <t>Renegade Software</t>
  </si>
  <si>
    <t>The Bitmap Brothers</t>
  </si>
  <si>
    <t>Scavenger, Inc.</t>
  </si>
  <si>
    <t>Zyrinx</t>
  </si>
  <si>
    <t>DreamWorks</t>
  </si>
  <si>
    <t>Johnson Voorsanger</t>
  </si>
  <si>
    <t>Toyo Records</t>
  </si>
  <si>
    <t>Zap</t>
  </si>
  <si>
    <t>Nexus Interact</t>
  </si>
  <si>
    <t>Western Technologies</t>
  </si>
  <si>
    <t>Headgames</t>
  </si>
  <si>
    <t>C&amp;E Inc.</t>
  </si>
  <si>
    <t>Sonic! Software Planning</t>
  </si>
  <si>
    <t>Castle of Illusion Starring Mickey Mouse</t>
  </si>
  <si>
    <t>Ecco Jr.</t>
  </si>
  <si>
    <t>Appaloosa Interactive</t>
  </si>
  <si>
    <t>Ecco the Dolphin: Defender of the Future</t>
  </si>
  <si>
    <t>World of Illusion Starring Mickey Mouse &amp; Donald Duck</t>
  </si>
  <si>
    <t>The Adventures of Willy Beamish</t>
  </si>
  <si>
    <t>The Amazing Spider-Man vs. the Kingpin</t>
  </si>
  <si>
    <t>Android Assault: The Revenge of Bari-Arm</t>
  </si>
  <si>
    <t>Keio Flying Squadron</t>
  </si>
  <si>
    <t>Lords of Thunder</t>
  </si>
  <si>
    <t>Rise of the Dragon</t>
  </si>
  <si>
    <t>Robo Aleste</t>
  </si>
  <si>
    <t>Silpheed</t>
  </si>
  <si>
    <t>Soulstar</t>
  </si>
  <si>
    <t>Vay</t>
  </si>
  <si>
    <t>Popful Mail</t>
  </si>
  <si>
    <t>Shining Force CD</t>
  </si>
  <si>
    <t>Lunar: Eternal Blue</t>
  </si>
  <si>
    <t>Lunar: The Silver Star</t>
  </si>
  <si>
    <t>Dynamix</t>
  </si>
  <si>
    <t>Technopop</t>
  </si>
  <si>
    <t>Big Fun Games</t>
  </si>
  <si>
    <t>Tengen</t>
  </si>
  <si>
    <t>Working Designs</t>
  </si>
  <si>
    <t>Hertz Company</t>
  </si>
  <si>
    <t>Snatcher</t>
  </si>
  <si>
    <t>Sonic CD</t>
  </si>
  <si>
    <t>Metal Head</t>
  </si>
  <si>
    <t>Blackthorne</t>
  </si>
  <si>
    <t>Shadow Squadron</t>
  </si>
  <si>
    <t>Tempo</t>
  </si>
  <si>
    <t>Knuckles' Chaotix</t>
  </si>
  <si>
    <t>Kolibri</t>
  </si>
  <si>
    <t>Burning Rangers</t>
  </si>
  <si>
    <t>Three Dirty Dwarves</t>
  </si>
  <si>
    <t>Albert Odyssey: Legend of Eldean</t>
  </si>
  <si>
    <t>Clockwork Knight</t>
  </si>
  <si>
    <t>Clockwork Knight 2</t>
  </si>
  <si>
    <t>Dragon Force</t>
  </si>
  <si>
    <t>Enemy Zero</t>
  </si>
  <si>
    <t>Final Fight Revenge</t>
  </si>
  <si>
    <t>Mr. Bones</t>
  </si>
  <si>
    <t>Shienryu</t>
  </si>
  <si>
    <t>Shining the Holy Ark</t>
  </si>
  <si>
    <t>Shining Wisdom</t>
  </si>
  <si>
    <t>Sōkyū Gurentai</t>
  </si>
  <si>
    <t>The Legend of Oasis</t>
  </si>
  <si>
    <t>Virtual On: Cyber Troopers</t>
  </si>
  <si>
    <t>Akumajō Dracula X: Gekka no Yasōyoku</t>
  </si>
  <si>
    <t>Astal</t>
  </si>
  <si>
    <t>Game Tengoku ~The Game Paradise!~</t>
  </si>
  <si>
    <t>Panzer Dragoon II Zwei</t>
  </si>
  <si>
    <t>Panzer Dragoon Saga</t>
  </si>
  <si>
    <t>Shining Force III</t>
  </si>
  <si>
    <t>Panzer Dragoon</t>
  </si>
  <si>
    <t>Princess Crown</t>
  </si>
  <si>
    <t>Radiant Silvergun</t>
  </si>
  <si>
    <t>Albert Odyssey</t>
  </si>
  <si>
    <t>WARP</t>
  </si>
  <si>
    <t>D</t>
  </si>
  <si>
    <t>Angelsoft Studios</t>
  </si>
  <si>
    <t>Zono Incorporated</t>
  </si>
  <si>
    <t>Team Andromeda</t>
  </si>
  <si>
    <t>Wow Entertainment</t>
  </si>
  <si>
    <t>Game Tengoku</t>
  </si>
  <si>
    <t>Carrier</t>
  </si>
  <si>
    <t>ChuChu Rocket!</t>
  </si>
  <si>
    <t>Crazy Taxi 2</t>
  </si>
  <si>
    <t>D2</t>
  </si>
  <si>
    <t>Elemental Gimmick Gear</t>
  </si>
  <si>
    <t>Illbleed</t>
  </si>
  <si>
    <t>Napple Tale: Arsia in Daydream</t>
  </si>
  <si>
    <t>Stupid Invaders</t>
  </si>
  <si>
    <t>The House of the Dead 2</t>
  </si>
  <si>
    <t>Giga Wing 2</t>
  </si>
  <si>
    <t>Grandia II</t>
  </si>
  <si>
    <t>Power Stone</t>
  </si>
  <si>
    <t>Power Stone 2</t>
  </si>
  <si>
    <t>Space Channel 5</t>
  </si>
  <si>
    <t>Jet Grind Radio</t>
  </si>
  <si>
    <t>Shenmue</t>
  </si>
  <si>
    <t>Shenmue II</t>
  </si>
  <si>
    <t>SegaGaGa</t>
  </si>
  <si>
    <t>Hitmaker</t>
  </si>
  <si>
    <t>Crazy Taxi</t>
  </si>
  <si>
    <t>Vatical Entertainment</t>
  </si>
  <si>
    <t>Birthday</t>
  </si>
  <si>
    <t>AIA</t>
  </si>
  <si>
    <t>Crazy Games</t>
  </si>
  <si>
    <t>MDK</t>
  </si>
  <si>
    <t>Chime</t>
  </si>
  <si>
    <t>Titanium Studios</t>
  </si>
  <si>
    <t>CyberFront Corporation</t>
  </si>
  <si>
    <t>United Game Artists</t>
  </si>
  <si>
    <t>Smilebit</t>
  </si>
  <si>
    <t>Sylvan Tale</t>
  </si>
  <si>
    <t>Freestyle</t>
  </si>
  <si>
    <t>Fray in Magical Adventure</t>
  </si>
  <si>
    <t>Halley Wars</t>
  </si>
  <si>
    <t>Head Buster</t>
  </si>
  <si>
    <t>Lunar: Samposuru Gakuen</t>
  </si>
  <si>
    <t>Panzer Dragoon Mini</t>
  </si>
  <si>
    <t>Phantasy Star Adventure</t>
  </si>
  <si>
    <t>Phantasy Star Gaiden</t>
  </si>
  <si>
    <t>Psychic World</t>
  </si>
  <si>
    <t>Shining Force Gaiden</t>
  </si>
  <si>
    <t>Shining Force Gaiden: Final Conflict</t>
  </si>
  <si>
    <t>Shining Force: The Sword of Hajya</t>
  </si>
  <si>
    <t>Sonic Blast</t>
  </si>
  <si>
    <t>Sonic Chaos</t>
  </si>
  <si>
    <t>Sonic Drift</t>
  </si>
  <si>
    <t>Sonic Drift 2</t>
  </si>
  <si>
    <t>Sonic Labyrinth</t>
  </si>
  <si>
    <t>Tails Adventure</t>
  </si>
  <si>
    <t>Tails' Skypatrol</t>
  </si>
  <si>
    <t>X-Men: Gamesmaster's Legacy</t>
  </si>
  <si>
    <t>X-Men: Mojo World</t>
  </si>
  <si>
    <t>Ax Battler: A Legend of Golden Axe</t>
  </si>
  <si>
    <t>Coca-Cola Kid</t>
  </si>
  <si>
    <t>Crystal Warriors</t>
  </si>
  <si>
    <t>Defenders of Oasis</t>
  </si>
  <si>
    <t>Royal Stone</t>
  </si>
  <si>
    <t>Sonic the Hedgehog: Triple Trouble</t>
  </si>
  <si>
    <t>MicroCabin</t>
  </si>
  <si>
    <t>Xak</t>
  </si>
  <si>
    <t>Studio Alex</t>
  </si>
  <si>
    <t>Samorost</t>
  </si>
  <si>
    <t>Angry Birds</t>
  </si>
  <si>
    <t>Onslaught! Arena</t>
  </si>
  <si>
    <t>Frog Fractions</t>
  </si>
  <si>
    <t>dys4ia</t>
  </si>
  <si>
    <t>no-one has to die</t>
  </si>
  <si>
    <t>Tower of Heaven</t>
  </si>
  <si>
    <t>Pause Ahead</t>
  </si>
  <si>
    <t>Naya's Quest</t>
  </si>
  <si>
    <t>A Dark Room</t>
  </si>
  <si>
    <t>Candy Box 2</t>
  </si>
  <si>
    <t>Jakub Dvorský</t>
  </si>
  <si>
    <t>Chillingo</t>
  </si>
  <si>
    <t>Rovio Entertainment</t>
  </si>
  <si>
    <t>Lost Decade Games</t>
  </si>
  <si>
    <t>Twinbeard Studios</t>
  </si>
  <si>
    <t>Experimental</t>
  </si>
  <si>
    <t>Anna Anthropy</t>
  </si>
  <si>
    <t>Stuart Madafiglio</t>
  </si>
  <si>
    <t>Askiisoft</t>
  </si>
  <si>
    <t>Terry Cavanagh</t>
  </si>
  <si>
    <t>doublespeak games</t>
  </si>
  <si>
    <t>Text Adventure</t>
  </si>
  <si>
    <t>aniwey</t>
  </si>
  <si>
    <t>Candy Box</t>
  </si>
  <si>
    <t>Zool 2</t>
  </si>
  <si>
    <t>Rebellion</t>
  </si>
  <si>
    <t>Toki</t>
  </si>
  <si>
    <t>Todd's Adventures in Slime World</t>
  </si>
  <si>
    <t>Zarlor Mercenary</t>
  </si>
  <si>
    <t>Blue Lightning</t>
  </si>
  <si>
    <t>Telegames</t>
  </si>
  <si>
    <t>Epyx</t>
  </si>
  <si>
    <t>Valis II</t>
  </si>
  <si>
    <t>Gradius 2</t>
  </si>
  <si>
    <t>King's Valley</t>
  </si>
  <si>
    <t>King's Valley II: The Seal of El Giza</t>
  </si>
  <si>
    <t>Ganbare Goemon! Karakuri Dōchū</t>
  </si>
  <si>
    <t>SD Snatcher</t>
  </si>
  <si>
    <t>Metal Gear 2: Solid Snake</t>
  </si>
  <si>
    <t>Vampire Killer</t>
  </si>
  <si>
    <t>Dead Moon</t>
  </si>
  <si>
    <t>Atomic Robo-Kid Special</t>
  </si>
  <si>
    <t>Darius Alpha</t>
  </si>
  <si>
    <t>Bloody Wolf</t>
  </si>
  <si>
    <t>Coryoon</t>
  </si>
  <si>
    <t>Genji Tsushin Agedama</t>
  </si>
  <si>
    <t>Keith Courage in Alpha Zones</t>
  </si>
  <si>
    <t>Air Zonk</t>
  </si>
  <si>
    <t>Alien Crush</t>
  </si>
  <si>
    <t>Blazing Lazers</t>
  </si>
  <si>
    <t>Bonk 3: Bonk's Big Adventure</t>
  </si>
  <si>
    <t>Bonk's Revenge</t>
  </si>
  <si>
    <t>Devil's Crush</t>
  </si>
  <si>
    <t>Download</t>
  </si>
  <si>
    <t>Lady Sword</t>
  </si>
  <si>
    <t>Neutopia II</t>
  </si>
  <si>
    <t>New Adventure Island</t>
  </si>
  <si>
    <t>Ninja Spirit</t>
  </si>
  <si>
    <t>Silent Debuggers</t>
  </si>
  <si>
    <t>Soldier Blade</t>
  </si>
  <si>
    <t>Somer Assault</t>
  </si>
  <si>
    <t>Super Star Soldier</t>
  </si>
  <si>
    <t>The Legendary Axe</t>
  </si>
  <si>
    <t>Bonk's Adventure</t>
  </si>
  <si>
    <t>Neutopia</t>
  </si>
  <si>
    <t>NEC Home Electronics</t>
  </si>
  <si>
    <t>Games Express</t>
  </si>
  <si>
    <t>Hacker International</t>
  </si>
  <si>
    <t>Palsoft</t>
  </si>
  <si>
    <t>Star Soldier</t>
  </si>
  <si>
    <t>Ginga Fukei Densetsu: Sapphire</t>
  </si>
  <si>
    <t>J.B. Harold Murder Club</t>
  </si>
  <si>
    <t>Seirei Senshi Spriggan</t>
  </si>
  <si>
    <t>Spriggan Mark 2: Re-Terraform</t>
  </si>
  <si>
    <t>Super Darius</t>
  </si>
  <si>
    <t>Super Darius II</t>
  </si>
  <si>
    <t>Dragon Slayer: The Legend of Heroes</t>
  </si>
  <si>
    <t>Exile</t>
  </si>
  <si>
    <t>Gate of Thunder</t>
  </si>
  <si>
    <t>Star Parodier</t>
  </si>
  <si>
    <t>Super Air Zonk: Rockabilly Paradise</t>
  </si>
  <si>
    <t>Beyond Shadowgate</t>
  </si>
  <si>
    <t>Ys Book I &amp; II</t>
  </si>
  <si>
    <t>Ys IV: The Dawn of Ys</t>
  </si>
  <si>
    <t>Akumajō Dracula X: Chi no Rondo</t>
  </si>
  <si>
    <t>Riverhillsoft</t>
  </si>
  <si>
    <t>A-Wave</t>
  </si>
  <si>
    <t>The Legend of Heroes</t>
  </si>
  <si>
    <t>Dual</t>
  </si>
  <si>
    <t>Turbo Technologies</t>
  </si>
  <si>
    <t>Mutant Chronicles: Doom Troopers</t>
  </si>
  <si>
    <t>Vapor Trail</t>
  </si>
  <si>
    <t>The Chaos Engine</t>
  </si>
  <si>
    <t>ToeJam &amp; Earl in Panic on Funkotron</t>
  </si>
  <si>
    <t>ToeJam &amp; Earl III: Mission to Earth</t>
  </si>
  <si>
    <t>ToeJam &amp; Earl Productions</t>
  </si>
  <si>
    <t>Virtual On</t>
  </si>
  <si>
    <t>MDK2</t>
  </si>
  <si>
    <t>Policenauts</t>
  </si>
  <si>
    <t>Chrono Cross</t>
  </si>
  <si>
    <t>Final Fantasy VII</t>
  </si>
  <si>
    <t>Xenogears</t>
  </si>
  <si>
    <t>Marl Kingdom</t>
  </si>
  <si>
    <t>Sony Computer Entertainment</t>
  </si>
  <si>
    <t>Hellnight</t>
  </si>
  <si>
    <t>Beyond the Beyond</t>
  </si>
  <si>
    <t>C: The Contra Adventure</t>
  </si>
  <si>
    <t>Contra: Legacy of War</t>
  </si>
  <si>
    <t>Countdown: Vampires</t>
  </si>
  <si>
    <t>G-Darius</t>
  </si>
  <si>
    <t>Gradius Gaiden</t>
  </si>
  <si>
    <t>Jade Cocoon: Story of the Tamamayu</t>
  </si>
  <si>
    <t>Juggernaut</t>
  </si>
  <si>
    <t>OverBlood</t>
  </si>
  <si>
    <t>OverBlood 2</t>
  </si>
  <si>
    <t>R-Type Delta</t>
  </si>
  <si>
    <t>Arc the Lad</t>
  </si>
  <si>
    <t>Brave Fencer Musashi</t>
  </si>
  <si>
    <t>Breath of Fire IV</t>
  </si>
  <si>
    <t>Clock Tower II: The Struggle Within</t>
  </si>
  <si>
    <t>Cotton 100%</t>
  </si>
  <si>
    <t>Cotton Original: Fantastic Night Dreams</t>
  </si>
  <si>
    <t>Dino Crisis</t>
  </si>
  <si>
    <t>Echo Night</t>
  </si>
  <si>
    <t>Einhänder</t>
  </si>
  <si>
    <t>Eternal Eyes</t>
  </si>
  <si>
    <t>Fear Effect</t>
  </si>
  <si>
    <t>Fear Effect 2: Retro Helix</t>
  </si>
  <si>
    <t>Front Mission 3</t>
  </si>
  <si>
    <t>Galerians</t>
  </si>
  <si>
    <t>Incredible Crisis</t>
  </si>
  <si>
    <t>iS - Internal Section</t>
  </si>
  <si>
    <t>King's Field II</t>
  </si>
  <si>
    <t>Klonoa: Door to Phantomile</t>
  </si>
  <si>
    <t>Koudelka</t>
  </si>
  <si>
    <t>Langrisser IV</t>
  </si>
  <si>
    <t>Legend of Legaia</t>
  </si>
  <si>
    <t>Legend of Mana</t>
  </si>
  <si>
    <t>Magical Drop F: Daibōken Mo Rakujyanai!</t>
  </si>
  <si>
    <t>Medal of Honor</t>
  </si>
  <si>
    <t>Mega Man X4</t>
  </si>
  <si>
    <t>Mega Man X5</t>
  </si>
  <si>
    <t>Mega Man X6</t>
  </si>
  <si>
    <t>Nekketsu Oyako</t>
  </si>
  <si>
    <t>RayCrisis: Series Termination</t>
  </si>
  <si>
    <t>RayStorm</t>
  </si>
  <si>
    <t>SaGa Frontier</t>
  </si>
  <si>
    <t>SaGa Frontier 2</t>
  </si>
  <si>
    <t>Silhouette Mirage</t>
  </si>
  <si>
    <t>Skullmonkeys</t>
  </si>
  <si>
    <t>Super Robot Taisen Alpha Gaiden</t>
  </si>
  <si>
    <t>Syphon Filter 2</t>
  </si>
  <si>
    <t>Syphon Filter 3</t>
  </si>
  <si>
    <t>Tales of Destiny</t>
  </si>
  <si>
    <t>Tales of Destiny II</t>
  </si>
  <si>
    <t>Tenchu 2: Birth of the Stealth Assassins</t>
  </si>
  <si>
    <t>Thousand Arms</t>
  </si>
  <si>
    <t>Threads of Fate</t>
  </si>
  <si>
    <t>Tomb Raider II</t>
  </si>
  <si>
    <t>Tomba! 2: The Evil Swine Return</t>
  </si>
  <si>
    <t>UmJammer Lammy</t>
  </si>
  <si>
    <t>Vanguard Bandits</t>
  </si>
  <si>
    <t>Alundra 2: A New Legend Begins</t>
  </si>
  <si>
    <t>Ape Escape</t>
  </si>
  <si>
    <t>Blood Omen: Legacy of Kain</t>
  </si>
  <si>
    <t>Breath of Fire III</t>
  </si>
  <si>
    <t>Castlevania Chronicles</t>
  </si>
  <si>
    <t>Castlevania: Symphony of the Night</t>
  </si>
  <si>
    <t>Crash Bandicoot 2: Cortex Strikes Back</t>
  </si>
  <si>
    <t>Crash Bandicoot: Warped</t>
  </si>
  <si>
    <t>Dragon Warrior VII</t>
  </si>
  <si>
    <t>Harmful Park</t>
  </si>
  <si>
    <t>King's Field</t>
  </si>
  <si>
    <t>Legacy of Kain: Soul Reaver</t>
  </si>
  <si>
    <t>Lunar 2: Eternal Blue Complete</t>
  </si>
  <si>
    <t>Lunar: Silver Star Story Complete</t>
  </si>
  <si>
    <t>Mega Man 8</t>
  </si>
  <si>
    <t>Mega Man Legends 2</t>
  </si>
  <si>
    <t>Ogre Battle: Limited Edition</t>
  </si>
  <si>
    <t>Pandemonium!</t>
  </si>
  <si>
    <t>Panzer Bandit</t>
  </si>
  <si>
    <t>PaRappa the Rapper</t>
  </si>
  <si>
    <t>Rapid Reload</t>
  </si>
  <si>
    <t>Resident Evil 3: Nemesis</t>
  </si>
  <si>
    <t>Revelations: Persona</t>
  </si>
  <si>
    <t>Spyro 2: Ripto's Rage!</t>
  </si>
  <si>
    <t>Spyro the Dragon</t>
  </si>
  <si>
    <t>Star Ocean: The Second Story</t>
  </si>
  <si>
    <t>Strider 2</t>
  </si>
  <si>
    <t>Suikoden II</t>
  </si>
  <si>
    <t>Super Puzzle Fighter II Turbo</t>
  </si>
  <si>
    <t>Syphon Filter</t>
  </si>
  <si>
    <t>Tear Ring Saga</t>
  </si>
  <si>
    <t>Tenchu: Stealth Assassins</t>
  </si>
  <si>
    <t>The Legend of Dragoon</t>
  </si>
  <si>
    <t>The Misadventures of Tron Bonne</t>
  </si>
  <si>
    <t>Tomba!</t>
  </si>
  <si>
    <t>Vandal Hearts</t>
  </si>
  <si>
    <t>Wild Arms</t>
  </si>
  <si>
    <t>Wild Arms 2</t>
  </si>
  <si>
    <t>Alundra</t>
  </si>
  <si>
    <t>Mega Man Legends</t>
  </si>
  <si>
    <t>Parasite Eve</t>
  </si>
  <si>
    <t>Parasite Eve II</t>
  </si>
  <si>
    <t>Persona 2: Eternal Punishment</t>
  </si>
  <si>
    <t>Persona 2: Innocent Sin</t>
  </si>
  <si>
    <t>Vagrant Story</t>
  </si>
  <si>
    <t>Final Fantasy IX</t>
  </si>
  <si>
    <t>Final Fantasy VIII</t>
  </si>
  <si>
    <t>Crave Entertainment</t>
  </si>
  <si>
    <t>Jade Cocoon</t>
  </si>
  <si>
    <t>Evolution Games</t>
  </si>
  <si>
    <t>Agetec</t>
  </si>
  <si>
    <t>Musashi</t>
  </si>
  <si>
    <t>TamTam</t>
  </si>
  <si>
    <t>Kronos Digital Entertainment</t>
  </si>
  <si>
    <t>positron</t>
  </si>
  <si>
    <t>Sacnoth</t>
  </si>
  <si>
    <t>Contrail</t>
  </si>
  <si>
    <t>Legaia</t>
  </si>
  <si>
    <t>The Neverhood</t>
  </si>
  <si>
    <t>989 Studios</t>
  </si>
  <si>
    <t>Eidetic</t>
  </si>
  <si>
    <t>SCE Bend Studio</t>
  </si>
  <si>
    <t>Acquire</t>
  </si>
  <si>
    <t>Tenchu</t>
  </si>
  <si>
    <t>Whoopee Camp</t>
  </si>
  <si>
    <t>Legacy of Kain</t>
  </si>
  <si>
    <t>Sky Think Systems</t>
  </si>
  <si>
    <t>Love-de-Lic</t>
  </si>
  <si>
    <t>Toys for Bob</t>
  </si>
  <si>
    <t>Fill-in-Cafe</t>
  </si>
  <si>
    <t>Media Vision</t>
  </si>
  <si>
    <t>Persona</t>
  </si>
  <si>
    <t>Insomniac Games</t>
  </si>
  <si>
    <t>Mineloader Software</t>
  </si>
  <si>
    <t>Enterbrain</t>
  </si>
  <si>
    <t>Tirnanog</t>
  </si>
  <si>
    <t>Command &amp; Conquer</t>
  </si>
  <si>
    <t>Final Fantasy Chronicles</t>
  </si>
  <si>
    <t>Square Electronic Arts</t>
  </si>
  <si>
    <t>&gt;observer_</t>
  </si>
  <si>
    <t>Aspyr</t>
  </si>
  <si>
    <t>Bloober Team</t>
  </si>
  <si>
    <t>1001 Spikes</t>
  </si>
  <si>
    <t>8bits Fanatics</t>
  </si>
  <si>
    <t>Aban Hawkins</t>
  </si>
  <si>
    <t>2064: Read Only Memories</t>
  </si>
  <si>
    <t>MidBoss</t>
  </si>
  <si>
    <t>3079: Block Action RPG</t>
  </si>
  <si>
    <t>Phr00t's Software</t>
  </si>
  <si>
    <t>30X9</t>
  </si>
  <si>
    <t>3089: Futuristic Action RPG</t>
  </si>
  <si>
    <t>8-Bit Commando</t>
  </si>
  <si>
    <t>2dengine</t>
  </si>
  <si>
    <t>A Bird Story</t>
  </si>
  <si>
    <t>Freebird Games</t>
  </si>
  <si>
    <t>A Fistful of Gun</t>
  </si>
  <si>
    <t>Devolver Digital</t>
  </si>
  <si>
    <t>FarmerGnome</t>
  </si>
  <si>
    <t>A Golden Wake</t>
  </si>
  <si>
    <t>Wadjet Eye Games</t>
  </si>
  <si>
    <t>Grundislav Games</t>
  </si>
  <si>
    <t>A Hat in Time</t>
  </si>
  <si>
    <t>Humble Bundle</t>
  </si>
  <si>
    <t>Gears for Breakfast</t>
  </si>
  <si>
    <t>A New Beginning: Final Cut</t>
  </si>
  <si>
    <t>Daedalic Entertainment</t>
  </si>
  <si>
    <t>A Normal Lost Phone</t>
  </si>
  <si>
    <t>Dear Villagers</t>
  </si>
  <si>
    <t>Accidental Queens</t>
  </si>
  <si>
    <t>A Story About My Uncle</t>
  </si>
  <si>
    <t>Coffee Stain Studios</t>
  </si>
  <si>
    <t>Gone North Games</t>
  </si>
  <si>
    <t>First-Person Platformer</t>
  </si>
  <si>
    <t>A Stroke of Fate: Operation Valkyrie</t>
  </si>
  <si>
    <t>Akella</t>
  </si>
  <si>
    <t>SPLine</t>
  </si>
  <si>
    <t>A Virus Named Tom</t>
  </si>
  <si>
    <t>Misfits Attic</t>
  </si>
  <si>
    <t>A.R.E.S.: Extinction Agenda</t>
  </si>
  <si>
    <t>Origo Games</t>
  </si>
  <si>
    <t>Extend Studio</t>
  </si>
  <si>
    <t>A.R.E.S.</t>
  </si>
  <si>
    <t>Aaero</t>
  </si>
  <si>
    <t>Mad Fellows</t>
  </si>
  <si>
    <t>Absolver</t>
  </si>
  <si>
    <t>Sloclap</t>
  </si>
  <si>
    <t>Abyss Odyssey</t>
  </si>
  <si>
    <t>ACE Team</t>
  </si>
  <si>
    <t>Acceleration of SUGURI X-Edition HD</t>
  </si>
  <si>
    <t>Rockin' Android</t>
  </si>
  <si>
    <t>Orange_Juice</t>
  </si>
  <si>
    <t>SUGURI</t>
  </si>
  <si>
    <t>Ace Combat: Assault Horizon</t>
  </si>
  <si>
    <t>Project Aces</t>
  </si>
  <si>
    <t>Ace Combat</t>
  </si>
  <si>
    <t>Aces Wild: Manic Brawling Action!</t>
  </si>
  <si>
    <t>Culture Attack Studio</t>
  </si>
  <si>
    <t>Advent Rising</t>
  </si>
  <si>
    <t>GlyphX Games</t>
  </si>
  <si>
    <t>AER: Memories of Old</t>
  </si>
  <si>
    <t>Forgotten Key</t>
  </si>
  <si>
    <t>Afterfall: InSanity</t>
  </si>
  <si>
    <t>Nicolas Entertainment Group</t>
  </si>
  <si>
    <t>Intoxicate Studios</t>
  </si>
  <si>
    <t>Agarest: Generations of War</t>
  </si>
  <si>
    <t>Ghostlight</t>
  </si>
  <si>
    <t>Idea Factory</t>
  </si>
  <si>
    <t>Agarest</t>
  </si>
  <si>
    <t>Age of Empires II: HD Edition</t>
  </si>
  <si>
    <t>Microsoft Studios</t>
  </si>
  <si>
    <t>Skybox Labs</t>
  </si>
  <si>
    <t>Age of Empires</t>
  </si>
  <si>
    <t>Age of Wonders</t>
  </si>
  <si>
    <t>Gathering of Developers</t>
  </si>
  <si>
    <t>Triumph Studios</t>
  </si>
  <si>
    <t>Age of Wonders III</t>
  </si>
  <si>
    <t>4X</t>
  </si>
  <si>
    <t>Age of Wonders: Shadow Magic</t>
  </si>
  <si>
    <t>Akane</t>
  </si>
  <si>
    <t>Ludic Studios</t>
  </si>
  <si>
    <t>Akane the Kunoichi</t>
  </si>
  <si>
    <t>Haruneko Entertainment</t>
  </si>
  <si>
    <t>Alan Wake's American Nightmare</t>
  </si>
  <si>
    <t>Remedy Entertainment</t>
  </si>
  <si>
    <t>Alan Wake</t>
  </si>
  <si>
    <t>Alice: Madness Returns</t>
  </si>
  <si>
    <t>Spicy Horse</t>
  </si>
  <si>
    <t>Alice</t>
  </si>
  <si>
    <t>Alicemare</t>
  </si>
  <si>
    <t>Playism</t>
  </si>
  <si>
    <t>△○□× (Miwashiba)</t>
  </si>
  <si>
    <t>Alien Breed 2: Assault</t>
  </si>
  <si>
    <t>Alien Breed</t>
  </si>
  <si>
    <t>Alien Breed 3: Descent</t>
  </si>
  <si>
    <t>Alien Breed: Impact</t>
  </si>
  <si>
    <t>Alien Shooter</t>
  </si>
  <si>
    <t>Sigma Team Inc.</t>
  </si>
  <si>
    <t>Alien Shooter 2: Conscription</t>
  </si>
  <si>
    <t>Alien Shooter 2: Reloaded</t>
  </si>
  <si>
    <t>Alien Shooter: Revisited</t>
  </si>
  <si>
    <t>Alien Swarm: Reactive Drop</t>
  </si>
  <si>
    <t>Reactive Drop Team</t>
  </si>
  <si>
    <t>Alien Swarm</t>
  </si>
  <si>
    <t>Alien: Isolation</t>
  </si>
  <si>
    <t>Creative Assembly</t>
  </si>
  <si>
    <t>Rebellion Developments</t>
  </si>
  <si>
    <t>Aliens: Colonial Marines</t>
  </si>
  <si>
    <t>Gearbox Software</t>
  </si>
  <si>
    <t>All Our Asias</t>
  </si>
  <si>
    <t>Analgesic Productions</t>
  </si>
  <si>
    <t>Sean Han Tani</t>
  </si>
  <si>
    <t>ALLTYNEX Second</t>
  </si>
  <si>
    <t>Nyu Media</t>
  </si>
  <si>
    <t>SITER SKAIN</t>
  </si>
  <si>
    <t>ALLTYNEX</t>
  </si>
  <si>
    <t>Eden Games</t>
  </si>
  <si>
    <t>Alpha Kimori</t>
  </si>
  <si>
    <t>Sherman3D</t>
  </si>
  <si>
    <t>Alpha Protocol</t>
  </si>
  <si>
    <t>Obsidian Entertainment</t>
  </si>
  <si>
    <t>American Truck Simulator</t>
  </si>
  <si>
    <t>SCS Software</t>
  </si>
  <si>
    <t>Truck Simulator</t>
  </si>
  <si>
    <t>Amnesia: A Machine for Pigs</t>
  </si>
  <si>
    <t>Frictional Games</t>
  </si>
  <si>
    <t>The Chinese Room</t>
  </si>
  <si>
    <t>Amnesia</t>
  </si>
  <si>
    <t>Amnesia: The Dark Descent</t>
  </si>
  <si>
    <t>Anachronox</t>
  </si>
  <si>
    <t>Ion Storm</t>
  </si>
  <si>
    <t>Analogue: A Hate Story</t>
  </si>
  <si>
    <t>Love Conquers All Games</t>
  </si>
  <si>
    <t>Analogue</t>
  </si>
  <si>
    <t>And Yet It Moves</t>
  </si>
  <si>
    <t>Broken Rules</t>
  </si>
  <si>
    <t>Anodyne</t>
  </si>
  <si>
    <t>Anomaly 2</t>
  </si>
  <si>
    <t>Anomaly</t>
  </si>
  <si>
    <t>Anomaly Defenders</t>
  </si>
  <si>
    <t>Anomaly: Warzone Earth</t>
  </si>
  <si>
    <t>Anomaly: Warzone Earth - Mobile Campaign</t>
  </si>
  <si>
    <t>Antichamber</t>
  </si>
  <si>
    <t>Demruth</t>
  </si>
  <si>
    <t>Alexander Bruce</t>
  </si>
  <si>
    <t>First-Person Puzzle</t>
  </si>
  <si>
    <t>Apotheon</t>
  </si>
  <si>
    <t>Alientrap</t>
  </si>
  <si>
    <t>Aqua Kitty: Milk Mine Defender</t>
  </si>
  <si>
    <t>TIKIPOD</t>
  </si>
  <si>
    <t>Aquaria</t>
  </si>
  <si>
    <t>Bit Blot</t>
  </si>
  <si>
    <t>Ara Fell</t>
  </si>
  <si>
    <t>Stegosoft Games</t>
  </si>
  <si>
    <t>Arcadecraft</t>
  </si>
  <si>
    <t>Firebase Industries</t>
  </si>
  <si>
    <t>Arcana Heart 3 LOVE MAX!!!!!</t>
  </si>
  <si>
    <t>Examu</t>
  </si>
  <si>
    <t>Arcana Heart</t>
  </si>
  <si>
    <t>ArcaniA</t>
  </si>
  <si>
    <t>JoWooD Entertainment</t>
  </si>
  <si>
    <t>Spellbound Entertainment</t>
  </si>
  <si>
    <t>Gothic</t>
  </si>
  <si>
    <t>ARMED SEVEN</t>
  </si>
  <si>
    <t>ASTRO PORT</t>
  </si>
  <si>
    <t>Armikrog</t>
  </si>
  <si>
    <t>Versus Evil</t>
  </si>
  <si>
    <t>Pencil Test Studios</t>
  </si>
  <si>
    <t>Armored Hunter GUNHOUND EX</t>
  </si>
  <si>
    <t>DRACUE Software</t>
  </si>
  <si>
    <t>GUNHOUND</t>
  </si>
  <si>
    <t>Arx Fatalis</t>
  </si>
  <si>
    <t>Arkane Studios</t>
  </si>
  <si>
    <t>Assassin's Creed Chronicles: India</t>
  </si>
  <si>
    <t>Assassin's Creed Chronicles: Russia</t>
  </si>
  <si>
    <t>Assassin's Creed Origins</t>
  </si>
  <si>
    <t>Assassin's Creed Rogue</t>
  </si>
  <si>
    <t>Assassin's Creed Syndicate</t>
  </si>
  <si>
    <t>Assassin's Creed Unity</t>
  </si>
  <si>
    <t>Assassin's Creed: Freedom Cry</t>
  </si>
  <si>
    <t>Assassin's Creed: Revelations</t>
  </si>
  <si>
    <t>Assault Android Cactus</t>
  </si>
  <si>
    <t>Witch Beam</t>
  </si>
  <si>
    <t>Astebreed</t>
  </si>
  <si>
    <t>Edelweiss</t>
  </si>
  <si>
    <t>Auditorium</t>
  </si>
  <si>
    <t>Cipher Prime Studios</t>
  </si>
  <si>
    <t>Avadon 2: The Corruption</t>
  </si>
  <si>
    <t>Spiderweb Software</t>
  </si>
  <si>
    <t>Avadon</t>
  </si>
  <si>
    <t>Avadon: The Black Fortress</t>
  </si>
  <si>
    <t>Avernum 4</t>
  </si>
  <si>
    <t>Avernum</t>
  </si>
  <si>
    <t>Avernum 5</t>
  </si>
  <si>
    <t>Avernum 6</t>
  </si>
  <si>
    <t>Avernum: Escape from the Pit</t>
  </si>
  <si>
    <t>Aztaka</t>
  </si>
  <si>
    <t>Citeremis</t>
  </si>
  <si>
    <t>Azure Striker Gunvolt</t>
  </si>
  <si>
    <t>Back to the Future: The Game</t>
  </si>
  <si>
    <t>Telltale Games</t>
  </si>
  <si>
    <t>Bad Mojo Redux</t>
  </si>
  <si>
    <t>Pulse Entertainment</t>
  </si>
  <si>
    <t>Badland</t>
  </si>
  <si>
    <t>Frogmind Games</t>
  </si>
  <si>
    <t>Baldur's Gate II: Enhanced Edition</t>
  </si>
  <si>
    <t>Beamdog</t>
  </si>
  <si>
    <t>Baldur's Gate</t>
  </si>
  <si>
    <t>Baldur's Gate: Enhanced Edition</t>
  </si>
  <si>
    <t>Ballpoint Universe: Infinite</t>
  </si>
  <si>
    <t>Arachnid Games</t>
  </si>
  <si>
    <t>BANZAI PECAN: The Last Hope for the Young Century</t>
  </si>
  <si>
    <t>Zanza Studios</t>
  </si>
  <si>
    <t>SERIOUS*IMPACT WORKS</t>
  </si>
  <si>
    <t>Bastion</t>
  </si>
  <si>
    <t>Supergiant Games</t>
  </si>
  <si>
    <t>Batman: Arkham Asylum</t>
  </si>
  <si>
    <t>Rocksteady Studios</t>
  </si>
  <si>
    <t>Batman: Arkham</t>
  </si>
  <si>
    <t>Batman: Arkham City</t>
  </si>
  <si>
    <t>Batman: Arkham Knight</t>
  </si>
  <si>
    <t>Batman: Arkham Origins</t>
  </si>
  <si>
    <t>Splash Damage</t>
  </si>
  <si>
    <t>Batman: Arkham Origins Blackgate</t>
  </si>
  <si>
    <t>Armature Studio</t>
  </si>
  <si>
    <t>Battle Chef Brigade</t>
  </si>
  <si>
    <t>Adult Swim Games</t>
  </si>
  <si>
    <t>Trinket Studios</t>
  </si>
  <si>
    <t>BattleBlock Theater</t>
  </si>
  <si>
    <t>The Behemoth</t>
  </si>
  <si>
    <t>Battlestations: Midway</t>
  </si>
  <si>
    <t>Eidos Hungary</t>
  </si>
  <si>
    <t>Battlestations</t>
  </si>
  <si>
    <t>Real-Time Tactics</t>
  </si>
  <si>
    <t>Beat Hazard</t>
  </si>
  <si>
    <t>Cold Beam Games</t>
  </si>
  <si>
    <t>Before the Echo</t>
  </si>
  <si>
    <t>Iridium Studios</t>
  </si>
  <si>
    <t>Beholder</t>
  </si>
  <si>
    <t>Alawar Entertainment</t>
  </si>
  <si>
    <t>Warm Lamp Games</t>
  </si>
  <si>
    <t>Bejeweled 3</t>
  </si>
  <si>
    <t>PopCap Games</t>
  </si>
  <si>
    <t>Bejeweled</t>
  </si>
  <si>
    <t>Ben There, Dan That!</t>
  </si>
  <si>
    <t>Size Five Games</t>
  </si>
  <si>
    <t>Besiege</t>
  </si>
  <si>
    <t>Spiderling Studios</t>
  </si>
  <si>
    <t>Betrayer</t>
  </si>
  <si>
    <t>Blackpowder Games</t>
  </si>
  <si>
    <t>Beyond Divinity</t>
  </si>
  <si>
    <t>HIP Interactive</t>
  </si>
  <si>
    <t>Larian Studios</t>
  </si>
  <si>
    <t>Divinity</t>
  </si>
  <si>
    <t>Beyond Good &amp; Evil</t>
  </si>
  <si>
    <t>Ubisoft Pictures</t>
  </si>
  <si>
    <t>Binary Domain</t>
  </si>
  <si>
    <t>Bio Menace</t>
  </si>
  <si>
    <t>Apogee Software</t>
  </si>
  <si>
    <t>Biology Battle</t>
  </si>
  <si>
    <t>Novaleaf Game Studios</t>
  </si>
  <si>
    <t>Grin</t>
  </si>
  <si>
    <t>Bionic Commando Rearmed</t>
  </si>
  <si>
    <t>BioShock</t>
  </si>
  <si>
    <t>2K Games</t>
  </si>
  <si>
    <t>2K Boston</t>
  </si>
  <si>
    <t>BioShock 2</t>
  </si>
  <si>
    <t>2K Marin</t>
  </si>
  <si>
    <t>BioShock Infinite</t>
  </si>
  <si>
    <t>Irrational Games</t>
  </si>
  <si>
    <t>BIT.TRIP BEAT</t>
  </si>
  <si>
    <t>BIT.TRIP CORE</t>
  </si>
  <si>
    <t>BIT.TRIP FATE</t>
  </si>
  <si>
    <t>BIT.TRIP FLUX</t>
  </si>
  <si>
    <t>BIT.TRIP Presents… Runner2: Future Legend of Rhythm Alien</t>
  </si>
  <si>
    <t>BIT.TRIP RUNNER</t>
  </si>
  <si>
    <t>BIT.TRIP VOID</t>
  </si>
  <si>
    <t>Black the Fall</t>
  </si>
  <si>
    <t>Sand Sailor Studio</t>
  </si>
  <si>
    <t>Blackguards</t>
  </si>
  <si>
    <t>The Dark Eye</t>
  </si>
  <si>
    <t>Blackguards 2</t>
  </si>
  <si>
    <t>Blackwell Unbound</t>
  </si>
  <si>
    <t>Blackwell</t>
  </si>
  <si>
    <t>Blade Kitten</t>
  </si>
  <si>
    <t>Krome Studios</t>
  </si>
  <si>
    <t>Blades of Time</t>
  </si>
  <si>
    <t>Gaijin Entertainment</t>
  </si>
  <si>
    <t>Blake Stone: Aliens of Gold</t>
  </si>
  <si>
    <t>JAM Productions</t>
  </si>
  <si>
    <t>Blake Stone</t>
  </si>
  <si>
    <t>Blake Stone: Planet Strike</t>
  </si>
  <si>
    <t>BlazBlue: Calamity Trigger</t>
  </si>
  <si>
    <t>H2 Interactive</t>
  </si>
  <si>
    <t>BlazBlue</t>
  </si>
  <si>
    <t>BlazBlue: Continuum Shift Extend</t>
  </si>
  <si>
    <t>BlazeRush</t>
  </si>
  <si>
    <t>Targem Games</t>
  </si>
  <si>
    <t>Bleed</t>
  </si>
  <si>
    <t>Ian Campbell</t>
  </si>
  <si>
    <t>Bleed 2</t>
  </si>
  <si>
    <t>Blocks That Matter</t>
  </si>
  <si>
    <t>Swing Swing Submarine</t>
  </si>
  <si>
    <t>Blood of the Werewolf</t>
  </si>
  <si>
    <t>Scientifically Proven</t>
  </si>
  <si>
    <t>BloodRayne: Betrayal</t>
  </si>
  <si>
    <t>Midnight City</t>
  </si>
  <si>
    <t>BloodRayne</t>
  </si>
  <si>
    <t>Blueberry Garden</t>
  </si>
  <si>
    <t>Erik Svedäng</t>
  </si>
  <si>
    <t>Borderlands</t>
  </si>
  <si>
    <t>Borderlands 2</t>
  </si>
  <si>
    <t>Borderlands: The Pre-Sequel</t>
  </si>
  <si>
    <t>2K Australia</t>
  </si>
  <si>
    <t>Bot Vice</t>
  </si>
  <si>
    <t>DYA Games</t>
  </si>
  <si>
    <t>Botanicula</t>
  </si>
  <si>
    <t>Braid</t>
  </si>
  <si>
    <t>Number None</t>
  </si>
  <si>
    <t>Breath of Death VII: The Beginning</t>
  </si>
  <si>
    <t>Zeboyd Games</t>
  </si>
  <si>
    <t>Broforce</t>
  </si>
  <si>
    <t>Free Lives</t>
  </si>
  <si>
    <t>Broken Age</t>
  </si>
  <si>
    <t>Double Fine Productions</t>
  </si>
  <si>
    <t>Broken Sword 5: The Serpent's Curse</t>
  </si>
  <si>
    <t>Revolution Software</t>
  </si>
  <si>
    <t>Broken Sword</t>
  </si>
  <si>
    <t>Broken Sword II: The Smoking Mirror</t>
  </si>
  <si>
    <t>Broken Sword: Shadow of the Templars - The Director's Cut</t>
  </si>
  <si>
    <t>Broken Sword: The Sleeping Dragon</t>
  </si>
  <si>
    <t>The Adventure Company</t>
  </si>
  <si>
    <t>Brothers in Arms: Hell's Highway</t>
  </si>
  <si>
    <t>Brothers in Arms</t>
  </si>
  <si>
    <t>Brothers: A Tale of Two Sons</t>
  </si>
  <si>
    <t>Starbreeze Studios</t>
  </si>
  <si>
    <t>Brütal Legend</t>
  </si>
  <si>
    <t>Bulletstorm</t>
  </si>
  <si>
    <t>People Can Fly</t>
  </si>
  <si>
    <t>Bully: Scholarship Edition</t>
  </si>
  <si>
    <t>Rockstar Vancouver</t>
  </si>
  <si>
    <t>Bunny Must Die! Chelsea and the 7 Devils</t>
  </si>
  <si>
    <t>Burly Men at Sea</t>
  </si>
  <si>
    <t>Brain&amp;Brain</t>
  </si>
  <si>
    <t>Burning Daylight</t>
  </si>
  <si>
    <t>Burning Daylight Team</t>
  </si>
  <si>
    <t>Burnout Paradise: The Ultimate Box</t>
  </si>
  <si>
    <t>Criterion Games</t>
  </si>
  <si>
    <t>Burnout</t>
  </si>
  <si>
    <t>Caligo</t>
  </si>
  <si>
    <t>Krealit</t>
  </si>
  <si>
    <t>Call of Cthulhu: Dark Corners of the Earth</t>
  </si>
  <si>
    <t>Headfirst Productions</t>
  </si>
  <si>
    <t>Call of Duty 4: Modern Warfare</t>
  </si>
  <si>
    <t>Infinity Ward</t>
  </si>
  <si>
    <t>Call of Duty</t>
  </si>
  <si>
    <t>Call of Duty: Modern Warfare 2</t>
  </si>
  <si>
    <t>Call of Duty: World at War</t>
  </si>
  <si>
    <t>Call of Juarez</t>
  </si>
  <si>
    <t>Techland</t>
  </si>
  <si>
    <t>Call of Juarez: Bound in Blood</t>
  </si>
  <si>
    <t>Call of Juarez: Gunslinger</t>
  </si>
  <si>
    <t>Capsized</t>
  </si>
  <si>
    <t>Card City Nights</t>
  </si>
  <si>
    <t>Ludosity</t>
  </si>
  <si>
    <t>Card Game</t>
  </si>
  <si>
    <t>Carmageddon: Max Damage</t>
  </si>
  <si>
    <t>Stainless Games</t>
  </si>
  <si>
    <t>Carmageddon</t>
  </si>
  <si>
    <t>Castle Crashers</t>
  </si>
  <si>
    <t>Castle in the Darkness</t>
  </si>
  <si>
    <t>Matt Kap</t>
  </si>
  <si>
    <t>Castle: Never Judge a Book by its Cover</t>
  </si>
  <si>
    <t>Viva Media</t>
  </si>
  <si>
    <t>Gunnar Games</t>
  </si>
  <si>
    <t>Castle</t>
  </si>
  <si>
    <t>Hidden Object</t>
  </si>
  <si>
    <t>Castlevania: Lords of Shadow</t>
  </si>
  <si>
    <t>Castlevania: Lords of Shadow 2</t>
  </si>
  <si>
    <t>Cat Goes Fishing</t>
  </si>
  <si>
    <t>Cat5Games</t>
  </si>
  <si>
    <t>Cave Story+</t>
  </si>
  <si>
    <t>Cave Story</t>
  </si>
  <si>
    <t>Chantelise: A Tale of Two Sisters</t>
  </si>
  <si>
    <t>Carpe Fulgur</t>
  </si>
  <si>
    <t>EasyGameStation</t>
  </si>
  <si>
    <t>Chaos on Deponia</t>
  </si>
  <si>
    <t>Deponia</t>
  </si>
  <si>
    <t>Chaos Reborn</t>
  </si>
  <si>
    <t>Snapshot Games Inc.</t>
  </si>
  <si>
    <t>Chaos</t>
  </si>
  <si>
    <t>Cherry Tree High Comedy Club</t>
  </si>
  <si>
    <t>Cherry Tree High</t>
  </si>
  <si>
    <t>Cherry Tree High I! My! Girls!</t>
  </si>
  <si>
    <t>Child of Light</t>
  </si>
  <si>
    <t>Children of Zodiarcs</t>
  </si>
  <si>
    <t>Cardboard Utopia</t>
  </si>
  <si>
    <t>Chroma Squad</t>
  </si>
  <si>
    <t>Behold Studios</t>
  </si>
  <si>
    <t>Chuck's Challenge 3D</t>
  </si>
  <si>
    <t>Nkidu Games</t>
  </si>
  <si>
    <t>Niffler Ltd.</t>
  </si>
  <si>
    <t>Cibele</t>
  </si>
  <si>
    <t>Star Maid Games</t>
  </si>
  <si>
    <t>Cinders</t>
  </si>
  <si>
    <t>MoaCube</t>
  </si>
  <si>
    <t>Cities: Skylines</t>
  </si>
  <si>
    <t>Paradox Interactive</t>
  </si>
  <si>
    <t>Colossal Order</t>
  </si>
  <si>
    <t>Cities</t>
  </si>
  <si>
    <t>Citizens of Earth</t>
  </si>
  <si>
    <t>Eden Industries</t>
  </si>
  <si>
    <t>Claire</t>
  </si>
  <si>
    <t>Hailstorm Games</t>
  </si>
  <si>
    <t>Clive Barker's Jericho</t>
  </si>
  <si>
    <t>Closure</t>
  </si>
  <si>
    <t>Eyebrow Interactive</t>
  </si>
  <si>
    <t>Clustertruck</t>
  </si>
  <si>
    <t>tinyBuild Games</t>
  </si>
  <si>
    <t>Landfall</t>
  </si>
  <si>
    <t>Code of Princess</t>
  </si>
  <si>
    <t>Degica</t>
  </si>
  <si>
    <t>Cognition: An Erica Reed Thriller</t>
  </si>
  <si>
    <t>Phoenix Online Publishing</t>
  </si>
  <si>
    <t>Phoenix Online Studios</t>
  </si>
  <si>
    <t>Command &amp; Conquer: Red Alert 3</t>
  </si>
  <si>
    <t>Command &amp; Conquer: Red Alert 3 - Uprising</t>
  </si>
  <si>
    <t>Commandos 2: Men of Courage</t>
  </si>
  <si>
    <t>Pyro Studios</t>
  </si>
  <si>
    <t>Commandos</t>
  </si>
  <si>
    <t>Commandos 3: Destination Berlin</t>
  </si>
  <si>
    <t>Commandos: Behind Enemy Lines</t>
  </si>
  <si>
    <t>Commandos: Beyond the Call of Duty</t>
  </si>
  <si>
    <t>Company of Heroes</t>
  </si>
  <si>
    <t>Relic Entertainment</t>
  </si>
  <si>
    <t>Company of Heroes 2</t>
  </si>
  <si>
    <t>Company of Heroes: Opposing Fronts</t>
  </si>
  <si>
    <t>Company of Heroes: Tales of Valor</t>
  </si>
  <si>
    <t>Conception II: Children of the Seven Stars</t>
  </si>
  <si>
    <t>Conception</t>
  </si>
  <si>
    <t>Condemned: Criminal Origins</t>
  </si>
  <si>
    <t>Monolith Productions</t>
  </si>
  <si>
    <t>Condemned</t>
  </si>
  <si>
    <t>Contraption Maker</t>
  </si>
  <si>
    <t>Top Meadow</t>
  </si>
  <si>
    <t>Game Dev Castle</t>
  </si>
  <si>
    <t>Contrast</t>
  </si>
  <si>
    <t>Focus Home Interactive</t>
  </si>
  <si>
    <t>Compulsion Games</t>
  </si>
  <si>
    <t>Cook, Serve, Delicious!</t>
  </si>
  <si>
    <t>Vertigo Gaming</t>
  </si>
  <si>
    <t>Corporate Lifestyle Simulator</t>
  </si>
  <si>
    <t>DolphinBarn</t>
  </si>
  <si>
    <t>Cosmic Star Heroine</t>
  </si>
  <si>
    <t>Costume Quest</t>
  </si>
  <si>
    <t>Costume Quest 2</t>
  </si>
  <si>
    <t>Cradle</t>
  </si>
  <si>
    <t>Flying Café for Semianimals</t>
  </si>
  <si>
    <t>Crimzon Clover WORLD IGNITION</t>
  </si>
  <si>
    <t>YOTSUBANE</t>
  </si>
  <si>
    <t>Critter Crunch</t>
  </si>
  <si>
    <t>Capybara Games</t>
  </si>
  <si>
    <t>Croixleur Sigma</t>
  </si>
  <si>
    <t>souvenir circ.</t>
  </si>
  <si>
    <t>CrossCode</t>
  </si>
  <si>
    <t>Deck13</t>
  </si>
  <si>
    <t>Radical Fish Games</t>
  </si>
  <si>
    <t>Crow</t>
  </si>
  <si>
    <t>Sunside Inc</t>
  </si>
  <si>
    <t>Crusader Kings</t>
  </si>
  <si>
    <t>Paradox Development Studio</t>
  </si>
  <si>
    <t>Crusader Kings II</t>
  </si>
  <si>
    <t>Cryostasis: Sleep of Reason</t>
  </si>
  <si>
    <t>Action Forms</t>
  </si>
  <si>
    <t>Crypt of the NecroDancer</t>
  </si>
  <si>
    <t>Klei Entertainment</t>
  </si>
  <si>
    <t>Crysis</t>
  </si>
  <si>
    <t>Crytek</t>
  </si>
  <si>
    <t>Crysis 2</t>
  </si>
  <si>
    <t>Crytek Studios</t>
  </si>
  <si>
    <t>Crysis Warhead</t>
  </si>
  <si>
    <t>Crytek Budapest</t>
  </si>
  <si>
    <t>Cthulhu Saves the World</t>
  </si>
  <si>
    <t>Cubetractor</t>
  </si>
  <si>
    <t>Ludochip</t>
  </si>
  <si>
    <t>Cultist Simulator</t>
  </si>
  <si>
    <t>Weather Factory</t>
  </si>
  <si>
    <t>Cuphead</t>
  </si>
  <si>
    <t>Studio MDHR</t>
  </si>
  <si>
    <t>Cyberpunk 2077</t>
  </si>
  <si>
    <t>CD Projekt</t>
  </si>
  <si>
    <t>CD Projekt Red</t>
  </si>
  <si>
    <t>D4: Dark Dreams Don't Die</t>
  </si>
  <si>
    <t>Access Games</t>
  </si>
  <si>
    <t>Daikatana</t>
  </si>
  <si>
    <t>Damnation</t>
  </si>
  <si>
    <t>Blue Omega Entertainment</t>
  </si>
  <si>
    <t>Dandara</t>
  </si>
  <si>
    <t>Raw Fury</t>
  </si>
  <si>
    <t>Long Hat House</t>
  </si>
  <si>
    <t>Danganronpa 2: Goodbye Despair</t>
  </si>
  <si>
    <t>Danganronpa</t>
  </si>
  <si>
    <t>Danganronpa: Trigger Happy Havoc</t>
  </si>
  <si>
    <t>Danmaku Unlimited 2</t>
  </si>
  <si>
    <t>Doragon Entertainment</t>
  </si>
  <si>
    <t>Danmaku Unlimited</t>
  </si>
  <si>
    <t>Dark</t>
  </si>
  <si>
    <t>Kalypso Media</t>
  </si>
  <si>
    <t>Realmforge Studios</t>
  </si>
  <si>
    <t>Dark Fall II: Lights Out</t>
  </si>
  <si>
    <t>XXv Productions</t>
  </si>
  <si>
    <t>Dark Fall</t>
  </si>
  <si>
    <t>Dark Fall: Lost Souls</t>
  </si>
  <si>
    <t>Iceberg Interactive</t>
  </si>
  <si>
    <t>Darkling Room</t>
  </si>
  <si>
    <t>Dark Messiah of Might &amp; Magic</t>
  </si>
  <si>
    <t>Might &amp; Magic</t>
  </si>
  <si>
    <t>Dark Sector</t>
  </si>
  <si>
    <t>Digital Extremes</t>
  </si>
  <si>
    <t>Dark Souls II</t>
  </si>
  <si>
    <t>Souls</t>
  </si>
  <si>
    <t>Dark Souls II: Scholar of the First Sin</t>
  </si>
  <si>
    <t>Bandai Namco Games</t>
  </si>
  <si>
    <t>Dark Souls III</t>
  </si>
  <si>
    <t>Dark Souls: Prepare to Die Edition</t>
  </si>
  <si>
    <t>Dark Void</t>
  </si>
  <si>
    <t>Airtight Games</t>
  </si>
  <si>
    <t>Dark Void Zero</t>
  </si>
  <si>
    <t>Other Ocean Interactive</t>
  </si>
  <si>
    <t>Darkness Within 2: The Dark Lineage</t>
  </si>
  <si>
    <t>Zoetrope Interactive</t>
  </si>
  <si>
    <t>Darkness Within</t>
  </si>
  <si>
    <t>Darkness Within: In Pursuit of Loath Nolder</t>
  </si>
  <si>
    <t>Darksiders II: Deathinitive Edition</t>
  </si>
  <si>
    <t>Nordic Games</t>
  </si>
  <si>
    <t>Gunfire Games</t>
  </si>
  <si>
    <t>KAIKO</t>
  </si>
  <si>
    <t>Day of the Tentacle Remastered</t>
  </si>
  <si>
    <t>Maniac Mansion</t>
  </si>
  <si>
    <t>Dead Island</t>
  </si>
  <si>
    <t>Dead Island: Riptide</t>
  </si>
  <si>
    <t>Dead Pixels</t>
  </si>
  <si>
    <t>CSR-Studios</t>
  </si>
  <si>
    <t>Dead Rising</t>
  </si>
  <si>
    <t>Dead Rising 2</t>
  </si>
  <si>
    <t>Blue Castle Games</t>
  </si>
  <si>
    <t>Dead Rising 2: Off the Record</t>
  </si>
  <si>
    <t>EA Redwood Shores</t>
  </si>
  <si>
    <t>Dead Space 2</t>
  </si>
  <si>
    <t>Dead Synchronicity: Tomorrow Comes Today</t>
  </si>
  <si>
    <t>Fictiorama Studios</t>
  </si>
  <si>
    <t>Deadbeat Heroes</t>
  </si>
  <si>
    <t>Deadbeat Productions</t>
  </si>
  <si>
    <t>Deadbolt</t>
  </si>
  <si>
    <t>Hopoo Games</t>
  </si>
  <si>
    <t>Deadlight</t>
  </si>
  <si>
    <t>Tequila Works</t>
  </si>
  <si>
    <t>Deadly Premonition: The Director's Cut</t>
  </si>
  <si>
    <t>Dear Esther</t>
  </si>
  <si>
    <t>Death Ray Manta</t>
  </si>
  <si>
    <t>The Future of Videogames</t>
  </si>
  <si>
    <t>Death to Spies</t>
  </si>
  <si>
    <t>1C Company</t>
  </si>
  <si>
    <t>Haggard Games</t>
  </si>
  <si>
    <t>Death to Spies: Moment of Truth</t>
  </si>
  <si>
    <t>DeathSpank</t>
  </si>
  <si>
    <t>Hothead Games</t>
  </si>
  <si>
    <t>DeathSpank: Thongs of Virtue</t>
  </si>
  <si>
    <t>Deep Dungeons of Doom</t>
  </si>
  <si>
    <t>Bossa Studios</t>
  </si>
  <si>
    <t>Defender's Quest: Valley of the Forgotten</t>
  </si>
  <si>
    <t>Level Up Labs</t>
  </si>
  <si>
    <t>Defender's Quest</t>
  </si>
  <si>
    <t>Defense Grid: The Awakening</t>
  </si>
  <si>
    <t>Hidden Path Entertainment</t>
  </si>
  <si>
    <t>Defense Grid</t>
  </si>
  <si>
    <t>Defy Gravity</t>
  </si>
  <si>
    <t>Fish Factory Games</t>
  </si>
  <si>
    <t>Paul Fisch</t>
  </si>
  <si>
    <t>Mindscape</t>
  </si>
  <si>
    <t>Déjà Vu II: Lost in Las Vegas</t>
  </si>
  <si>
    <t>Dementium II HD</t>
  </si>
  <si>
    <t>Digital Tribe Games</t>
  </si>
  <si>
    <t>Memetic Games</t>
  </si>
  <si>
    <t>Deponia Doomsday</t>
  </si>
  <si>
    <t>Depression Quest</t>
  </si>
  <si>
    <t>The Quinnspiracy</t>
  </si>
  <si>
    <t>Depths of Peril</t>
  </si>
  <si>
    <t>Soldak Entertainment</t>
  </si>
  <si>
    <t>Desperados 2: Cooper's Revenge</t>
  </si>
  <si>
    <t>Desperados</t>
  </si>
  <si>
    <t>Desperados: Wanted Dead or Alive</t>
  </si>
  <si>
    <t>Detective Case and Clown Bot in: Murder in the Hotel Lisbon</t>
  </si>
  <si>
    <t>Nerd Monkeys</t>
  </si>
  <si>
    <t>Detective Grimoire</t>
  </si>
  <si>
    <t>Armor Games</t>
  </si>
  <si>
    <t>SFB Games</t>
  </si>
  <si>
    <t>Detention</t>
  </si>
  <si>
    <t>Red Candle Games</t>
  </si>
  <si>
    <t>Deus Ex</t>
  </si>
  <si>
    <t>Deus Ex: Human Revolution</t>
  </si>
  <si>
    <t>Eidos Montreal</t>
  </si>
  <si>
    <t>Deus Ex: Invisible War</t>
  </si>
  <si>
    <t>Deus Ex: Mankind Divided</t>
  </si>
  <si>
    <t>Deus Ex: The Fall</t>
  </si>
  <si>
    <t>N-Fusion Interactive</t>
  </si>
  <si>
    <t>Devil Daggers</t>
  </si>
  <si>
    <t>Sorath</t>
  </si>
  <si>
    <t>Devil May Cry 4</t>
  </si>
  <si>
    <t>Devil May Cry</t>
  </si>
  <si>
    <t>Dex</t>
  </si>
  <si>
    <t>Dreadlocks Ltd</t>
  </si>
  <si>
    <t>Diaries of a Spaceport Janitor</t>
  </si>
  <si>
    <t>Sundae Month</t>
  </si>
  <si>
    <t>Dinner Date</t>
  </si>
  <si>
    <t>Jeroen D. Stout</t>
  </si>
  <si>
    <t>Din's Curse</t>
  </si>
  <si>
    <t>Masque Publishing</t>
  </si>
  <si>
    <t>DiRT 3</t>
  </si>
  <si>
    <t>Codemasters Southam</t>
  </si>
  <si>
    <t>DiRT</t>
  </si>
  <si>
    <t>DiRT Showdown</t>
  </si>
  <si>
    <t>Disciples III: Reincarnation</t>
  </si>
  <si>
    <t>bitComposer Games</t>
  </si>
  <si>
    <t>Disciples</t>
  </si>
  <si>
    <t>Disciples III: Renaissance</t>
  </si>
  <si>
    <t>Kalypso Media Digital</t>
  </si>
  <si>
    <t>.dat</t>
  </si>
  <si>
    <t>Dishonored</t>
  </si>
  <si>
    <t>Dishonored 2</t>
  </si>
  <si>
    <t>Divekick</t>
  </si>
  <si>
    <t>Iron Galaxy</t>
  </si>
  <si>
    <t>Divide By Sheep</t>
  </si>
  <si>
    <t>Victor Solodilov, Denis Novikov</t>
  </si>
  <si>
    <t>Divine Divinity</t>
  </si>
  <si>
    <t>CDV Software Entertainment</t>
  </si>
  <si>
    <t>Divinity II: Developer's Cut</t>
  </si>
  <si>
    <t>Divinity: Original Sin</t>
  </si>
  <si>
    <t>DLC Quest</t>
  </si>
  <si>
    <t>Going Loud Studios</t>
  </si>
  <si>
    <t>DmC Devil May Cry</t>
  </si>
  <si>
    <t>Ninja Theory</t>
  </si>
  <si>
    <t>Do Not Feed the Monkeys</t>
  </si>
  <si>
    <t>Alawar Premium</t>
  </si>
  <si>
    <t>Doctor Who: The Adventure Games</t>
  </si>
  <si>
    <t>BBC Wales Interactive</t>
  </si>
  <si>
    <t>Doctor Who</t>
  </si>
  <si>
    <t>Doki Doki Literature Club</t>
  </si>
  <si>
    <t>Team Salvato</t>
  </si>
  <si>
    <t>Doom &amp; Destiny</t>
  </si>
  <si>
    <t>Heartbit Interactive</t>
  </si>
  <si>
    <t>Door Kickers</t>
  </si>
  <si>
    <t>KillHouse Games</t>
  </si>
  <si>
    <t>Double Dragon Neon</t>
  </si>
  <si>
    <t>Dr. Green</t>
  </si>
  <si>
    <t>Johan Aronsson</t>
  </si>
  <si>
    <t>Dr. Langeskov, The Tiger, and The Terribly Cursed Emerald: A Whirlwind Heist</t>
  </si>
  <si>
    <t>Crows Crows Crows</t>
  </si>
  <si>
    <t>Dragon Age: Origins</t>
  </si>
  <si>
    <t>Dragon Age</t>
  </si>
  <si>
    <t>Dragon Fantasy: The Volumes of Westeria</t>
  </si>
  <si>
    <t>The Muteki Corporation</t>
  </si>
  <si>
    <t>Dragon Fantasy</t>
  </si>
  <si>
    <t>Drakensang: The Dark Eye</t>
  </si>
  <si>
    <t>Radon Labs</t>
  </si>
  <si>
    <t>Dreamfall Chapters</t>
  </si>
  <si>
    <t>Red Thread Games</t>
  </si>
  <si>
    <t>Dreamfall</t>
  </si>
  <si>
    <t>Dreaming Sarah</t>
  </si>
  <si>
    <t>Asteristic Game Studio</t>
  </si>
  <si>
    <t>Driftmoon</t>
  </si>
  <si>
    <t>Instant Kingdom</t>
  </si>
  <si>
    <t>Droid Assault</t>
  </si>
  <si>
    <t>Puppygames</t>
  </si>
  <si>
    <t>Dropsy</t>
  </si>
  <si>
    <t>Tendershoot</t>
  </si>
  <si>
    <t>DuckTales: Remastered</t>
  </si>
  <si>
    <t>Duke Nukem</t>
  </si>
  <si>
    <t>Duke Nukem 3D: Megaton Edition</t>
  </si>
  <si>
    <t>General Arcade</t>
  </si>
  <si>
    <t>Duke Nukem Forever</t>
  </si>
  <si>
    <t>Duke Nukem II</t>
  </si>
  <si>
    <t>Duke Nukem: Manhattan Project</t>
  </si>
  <si>
    <t>Arush Entertainment</t>
  </si>
  <si>
    <t>Sunstorm Interactive</t>
  </si>
  <si>
    <t>Dungeon Defenders</t>
  </si>
  <si>
    <t>Trendy Entertainment</t>
  </si>
  <si>
    <t>Dungeon of the Endless</t>
  </si>
  <si>
    <t>Amplitude Studios</t>
  </si>
  <si>
    <t>Endless</t>
  </si>
  <si>
    <t>Dungeon Siege</t>
  </si>
  <si>
    <t>Microsoft</t>
  </si>
  <si>
    <t>Gas Powered Games</t>
  </si>
  <si>
    <t>Dungeon Siege 2</t>
  </si>
  <si>
    <t>Microsoft Game Studios</t>
  </si>
  <si>
    <t>Dungeon Siege III</t>
  </si>
  <si>
    <t>Dungeons &amp; Dragons: Chronicles of Mystara</t>
  </si>
  <si>
    <t>Iron Galaxy Studios</t>
  </si>
  <si>
    <t>Dungeons 3</t>
  </si>
  <si>
    <t>Dungeons</t>
  </si>
  <si>
    <t>Dungeons of Dredmor</t>
  </si>
  <si>
    <t>Gaslamp Games</t>
  </si>
  <si>
    <t>Duskers</t>
  </si>
  <si>
    <t>Dust: An Elysian Tail</t>
  </si>
  <si>
    <t>Humble Hearts</t>
  </si>
  <si>
    <t>Dustforce</t>
  </si>
  <si>
    <t>Hitbox Team</t>
  </si>
  <si>
    <t>Dyad</t>
  </si>
  <si>
    <t>Right Square Bracket Left Square Bracket</t>
  </si>
  <si>
    <t>Dying Light</t>
  </si>
  <si>
    <t>Techland Publishing</t>
  </si>
  <si>
    <t>Dynamite Jack</t>
  </si>
  <si>
    <t>Hassey Enterprises</t>
  </si>
  <si>
    <t>Dyscourse</t>
  </si>
  <si>
    <t>Owlchemy Labs</t>
  </si>
  <si>
    <t>Dysfunctional Systems: Learning to Manage Chaos</t>
  </si>
  <si>
    <t>Dischan Media</t>
  </si>
  <si>
    <t>Dysfunctional Systems</t>
  </si>
  <si>
    <t>E.Y.E.: Divine Cybermancy</t>
  </si>
  <si>
    <t>Streum On Studio</t>
  </si>
  <si>
    <t>Eador: Genesis</t>
  </si>
  <si>
    <t>Snowbird Games</t>
  </si>
  <si>
    <t>Eador</t>
  </si>
  <si>
    <t>Eador: Masters of the Broken World</t>
  </si>
  <si>
    <t>Earth 2160</t>
  </si>
  <si>
    <t>Reality Pump</t>
  </si>
  <si>
    <t>Earth</t>
  </si>
  <si>
    <t>Earth Defense Force 4.1: The Shadow of New Despair</t>
  </si>
  <si>
    <t>Earth Defense Force: Insect Armageddon</t>
  </si>
  <si>
    <t>Vicious Cycle Software</t>
  </si>
  <si>
    <t>Edna &amp; Harvey: Harvey's New Eyes</t>
  </si>
  <si>
    <t>Edna &amp; Harvey</t>
  </si>
  <si>
    <t>Edna &amp; Harvey: The Breakout</t>
  </si>
  <si>
    <t>Eldritch</t>
  </si>
  <si>
    <t>Minor Key Games</t>
  </si>
  <si>
    <t>Electronic Super Joy</t>
  </si>
  <si>
    <t>Michael Todd Games</t>
  </si>
  <si>
    <t>Electronic Super Joy: Groove City</t>
  </si>
  <si>
    <t>Yazar Media Group</t>
  </si>
  <si>
    <t>Elliot Quest</t>
  </si>
  <si>
    <t>PlayEveryWare</t>
  </si>
  <si>
    <t>Ansimuz Games</t>
  </si>
  <si>
    <t>else Heart.Break()</t>
  </si>
  <si>
    <t>Ember</t>
  </si>
  <si>
    <t>Emily is Away</t>
  </si>
  <si>
    <t>Kyle Seeley</t>
  </si>
  <si>
    <t>Emily is Away Too</t>
  </si>
  <si>
    <t>Empire: Total War</t>
  </si>
  <si>
    <t>Total War</t>
  </si>
  <si>
    <t>Endless Space</t>
  </si>
  <si>
    <t>Enemy Mind</t>
  </si>
  <si>
    <t>Schell Games</t>
  </si>
  <si>
    <t>English Country Tune</t>
  </si>
  <si>
    <t>Increpare Games</t>
  </si>
  <si>
    <t>Enslaved: Odyssey to the West</t>
  </si>
  <si>
    <t>Environmental Station Alpha</t>
  </si>
  <si>
    <t>Hempuli Oy</t>
  </si>
  <si>
    <t>Arvi Teikari, Roope Mäkinen</t>
  </si>
  <si>
    <t>Epic Battle Fantasy 4</t>
  </si>
  <si>
    <t>Matt Roszak</t>
  </si>
  <si>
    <t>Epic Battle Fantasy</t>
  </si>
  <si>
    <t>Epistory: Typing Chronicles</t>
  </si>
  <si>
    <t>Plug In Digital</t>
  </si>
  <si>
    <t>Fishing Cactus</t>
  </si>
  <si>
    <t>Eryi's Action</t>
  </si>
  <si>
    <t>Xtal Sword</t>
  </si>
  <si>
    <t>Escape Goat</t>
  </si>
  <si>
    <t>MagicalTimeBean</t>
  </si>
  <si>
    <t>Escape Goat 2</t>
  </si>
  <si>
    <t>Double Fine Presents</t>
  </si>
  <si>
    <t>Eschalon: Book I</t>
  </si>
  <si>
    <t>Basilisk Games</t>
  </si>
  <si>
    <t>Eschalon</t>
  </si>
  <si>
    <t>Eschalon: Book II</t>
  </si>
  <si>
    <t>Eschalon: Book III</t>
  </si>
  <si>
    <t>Ethan: Meteor Hunter</t>
  </si>
  <si>
    <t>Seaven Studio</t>
  </si>
  <si>
    <t>Eufloria HD</t>
  </si>
  <si>
    <t>Omni Systems</t>
  </si>
  <si>
    <t>Rudolf Kremers &amp; Alex May</t>
  </si>
  <si>
    <t>Eufloria</t>
  </si>
  <si>
    <t>Euro Truck Simulator 2</t>
  </si>
  <si>
    <t>Europa Universalis III</t>
  </si>
  <si>
    <t>Europa Universalis</t>
  </si>
  <si>
    <t>Even the Ocean</t>
  </si>
  <si>
    <t>Sean Han Tani, Marina Kittaka</t>
  </si>
  <si>
    <t>Eversion</t>
  </si>
  <si>
    <t>Zaratustra Productions</t>
  </si>
  <si>
    <t>EvilQuest</t>
  </si>
  <si>
    <t>Chaosoft Games</t>
  </si>
  <si>
    <t>Evoland</t>
  </si>
  <si>
    <t>Shiro Games</t>
  </si>
  <si>
    <t>Evoland 2</t>
  </si>
  <si>
    <t>eXceed 2nd: Vampire REX</t>
  </si>
  <si>
    <t>Tennen-sozai</t>
  </si>
  <si>
    <t>eXceed</t>
  </si>
  <si>
    <t>eXceed 3rd: Jade Penetrate Black Package</t>
  </si>
  <si>
    <t>eXceed: Gun Bullet Children</t>
  </si>
  <si>
    <t>Flat Software</t>
  </si>
  <si>
    <t>Explodemon</t>
  </si>
  <si>
    <t>Curve Studios</t>
  </si>
  <si>
    <t>F.E.A.R.</t>
  </si>
  <si>
    <t>Vivendi Universal Games</t>
  </si>
  <si>
    <t>F.E.A.R. 2: Project Origin</t>
  </si>
  <si>
    <t>F.E.A.R. 3</t>
  </si>
  <si>
    <t>Day 1 Studios</t>
  </si>
  <si>
    <t>F.E.A.R.: Extraction Point</t>
  </si>
  <si>
    <t>TimeGate Studios</t>
  </si>
  <si>
    <t>F.E.A.R.: Perseus Mandate</t>
  </si>
  <si>
    <t>Fable: The Lost Chapters</t>
  </si>
  <si>
    <t>Lionhead Studios</t>
  </si>
  <si>
    <t>Fable</t>
  </si>
  <si>
    <t>Fahrenheit: Indigo Prophecy Remastered</t>
  </si>
  <si>
    <t>Fairy Bloom Freesia</t>
  </si>
  <si>
    <t>Fairy Fencer F</t>
  </si>
  <si>
    <t>Compile Heart</t>
  </si>
  <si>
    <t>Fairy Fencer</t>
  </si>
  <si>
    <t>Fallout 4</t>
  </si>
  <si>
    <t>Fallout</t>
  </si>
  <si>
    <t>Fallout Tactics: Brotherhood of Steel</t>
  </si>
  <si>
    <t>14 Degrees East</t>
  </si>
  <si>
    <t>Micro Forté</t>
  </si>
  <si>
    <t>Fallout: New Vegas</t>
  </si>
  <si>
    <t>Far Cry 3</t>
  </si>
  <si>
    <t>Far Cry 3: Blood Dragon</t>
  </si>
  <si>
    <t>Far Cry 5</t>
  </si>
  <si>
    <t>Far Cry Primal</t>
  </si>
  <si>
    <t>Fate: The Cursed King</t>
  </si>
  <si>
    <t>WildTangent Games</t>
  </si>
  <si>
    <t>Fate</t>
  </si>
  <si>
    <t>Fearless Fantasy</t>
  </si>
  <si>
    <t>Enter Skies</t>
  </si>
  <si>
    <t>Fester Mudd: Curse of the Gold - Episode 1</t>
  </si>
  <si>
    <t>Replay Games</t>
  </si>
  <si>
    <t>Prank Ltd.</t>
  </si>
  <si>
    <t>Fester Mudd</t>
  </si>
  <si>
    <t>Fez</t>
  </si>
  <si>
    <t>Trapdoor</t>
  </si>
  <si>
    <t>Polytron Corporation</t>
  </si>
  <si>
    <t>Fieldrunners</t>
  </si>
  <si>
    <t>Subatomic Studios</t>
  </si>
  <si>
    <t>Fight'N Rage</t>
  </si>
  <si>
    <t>sebagamesdev</t>
  </si>
  <si>
    <t>Figment</t>
  </si>
  <si>
    <t>Bedtime Digital Games</t>
  </si>
  <si>
    <t>Final Fantasy XIII</t>
  </si>
  <si>
    <t>Square Enix 1st Production Department</t>
  </si>
  <si>
    <t>Final Fantasy XIII-2</t>
  </si>
  <si>
    <t>Final Fantasy XV</t>
  </si>
  <si>
    <t>Square Enix Business Division 2</t>
  </si>
  <si>
    <t>Finding Paradise</t>
  </si>
  <si>
    <t>To the Moon</t>
  </si>
  <si>
    <t>Finding Teddy</t>
  </si>
  <si>
    <t>Storybird Games</t>
  </si>
  <si>
    <t>Firewatch</t>
  </si>
  <si>
    <t>Campo Santo</t>
  </si>
  <si>
    <t>Fist of Awesome</t>
  </si>
  <si>
    <t>I Fight Bears</t>
  </si>
  <si>
    <t>Fist of Jesus</t>
  </si>
  <si>
    <t>Kiss Ltd</t>
  </si>
  <si>
    <t>Mutant Games</t>
  </si>
  <si>
    <t>Fist Puncher</t>
  </si>
  <si>
    <t>Team2Bit</t>
  </si>
  <si>
    <t>Five Nights at Freddy's</t>
  </si>
  <si>
    <t>Scott Cawthon</t>
  </si>
  <si>
    <t>Five Nights at Freddy's 2</t>
  </si>
  <si>
    <t>Flock!</t>
  </si>
  <si>
    <t>Proper Games</t>
  </si>
  <si>
    <t>Flotilla</t>
  </si>
  <si>
    <t>Blendo Games</t>
  </si>
  <si>
    <t>Fly'N</t>
  </si>
  <si>
    <t>Ankama Games</t>
  </si>
  <si>
    <t>Flywrench</t>
  </si>
  <si>
    <t>Messhof</t>
  </si>
  <si>
    <t>Forced</t>
  </si>
  <si>
    <t>BetaDwarf</t>
  </si>
  <si>
    <t>Forgotton Anne</t>
  </si>
  <si>
    <t>ThroughLine Games</t>
  </si>
  <si>
    <t>Fortune Summoners: Secret of the Elemental Stone</t>
  </si>
  <si>
    <t>Lizsoft</t>
  </si>
  <si>
    <t>Fractal: Make Blooms Not War</t>
  </si>
  <si>
    <t>Fractured Soul</t>
  </si>
  <si>
    <t>Endgame Studios</t>
  </si>
  <si>
    <t>Fran Bow</t>
  </si>
  <si>
    <t>Killmonday Games</t>
  </si>
  <si>
    <t>Freedom Force</t>
  </si>
  <si>
    <t>Freedom Force vs. the 3rd Reich</t>
  </si>
  <si>
    <t>Freedom Planet</t>
  </si>
  <si>
    <t>GalaxyTrail</t>
  </si>
  <si>
    <t>Frozen Synapse</t>
  </si>
  <si>
    <t>Mode 7 Games</t>
  </si>
  <si>
    <t>Turn-Based Tactics</t>
  </si>
  <si>
    <t>FTL: Faster Than Light</t>
  </si>
  <si>
    <t>Subset Games</t>
  </si>
  <si>
    <t>Full Bore</t>
  </si>
  <si>
    <t>Whole Hog Games</t>
  </si>
  <si>
    <t>Full Metal Furies</t>
  </si>
  <si>
    <t>Cellar Door Games</t>
  </si>
  <si>
    <t>Full Throttle Remastered</t>
  </si>
  <si>
    <t>Full Throttle</t>
  </si>
  <si>
    <t>Furi</t>
  </si>
  <si>
    <t>The Game Bakers</t>
  </si>
  <si>
    <t>Future Proof</t>
  </si>
  <si>
    <t>Silhouette Valley Games</t>
  </si>
  <si>
    <t>Galactic Civilizations II: Dread Lords</t>
  </si>
  <si>
    <t>Stardock</t>
  </si>
  <si>
    <t>Galactic Civilizations</t>
  </si>
  <si>
    <t>GALAK-Z</t>
  </si>
  <si>
    <t>17-Bit</t>
  </si>
  <si>
    <t>Galaxy on Fire 2</t>
  </si>
  <si>
    <t>Fishlabs Entertainment</t>
  </si>
  <si>
    <t>Galaxy on Fire</t>
  </si>
  <si>
    <t>Game of Thrones</t>
  </si>
  <si>
    <t>Cyanide</t>
  </si>
  <si>
    <t>Game of Thrones: A Telltale Game Series</t>
  </si>
  <si>
    <t>Garshasp: The Monster Slayer</t>
  </si>
  <si>
    <t>Digital Dragon</t>
  </si>
  <si>
    <t>Dead Mage</t>
  </si>
  <si>
    <t>Garshasp</t>
  </si>
  <si>
    <t>Gas Guzzlers Extreme</t>
  </si>
  <si>
    <t>Gamepires</t>
  </si>
  <si>
    <t>Gauntlet</t>
  </si>
  <si>
    <t>Arrowhead Game Studios</t>
  </si>
  <si>
    <t>Gemini Rue</t>
  </si>
  <si>
    <t>Joshua Nuemberger</t>
  </si>
  <si>
    <t>Geneforge</t>
  </si>
  <si>
    <t>Geneforge 2</t>
  </si>
  <si>
    <t>Geneforge 3</t>
  </si>
  <si>
    <t>Geneforge 4: Rebellion</t>
  </si>
  <si>
    <t>Geneforge 5: Overthrow</t>
  </si>
  <si>
    <t>Genital Jousting</t>
  </si>
  <si>
    <t>Geometry Wars 3: Dimensions Evolved</t>
  </si>
  <si>
    <t>Sierra</t>
  </si>
  <si>
    <t>Lucid Games</t>
  </si>
  <si>
    <t>Ghost Master</t>
  </si>
  <si>
    <t>Sick Puppies</t>
  </si>
  <si>
    <t>Ghostbusters: The Video Game</t>
  </si>
  <si>
    <t>Giana Sisters: Twisted Dreams</t>
  </si>
  <si>
    <t>HandyGames</t>
  </si>
  <si>
    <t>Black Forest Games</t>
  </si>
  <si>
    <t>Giana Sisters: Twisted Dreams - Rise of the Owlverlord</t>
  </si>
  <si>
    <t>GIGANTIC ARMY</t>
  </si>
  <si>
    <t>Girls Like Robots</t>
  </si>
  <si>
    <t>Popcannibal</t>
  </si>
  <si>
    <t>Gish</t>
  </si>
  <si>
    <t>Chrono Logic</t>
  </si>
  <si>
    <t>Cryptic Sea</t>
  </si>
  <si>
    <t>Glass Masquerade</t>
  </si>
  <si>
    <t>Onyx Lute</t>
  </si>
  <si>
    <t>Gnomoria</t>
  </si>
  <si>
    <t>Robotronic Games</t>
  </si>
  <si>
    <t>Go! Go! Nippon! ~My First Trip to Japan~</t>
  </si>
  <si>
    <t>MangaGamer</t>
  </si>
  <si>
    <t>OVERDRIVE</t>
  </si>
  <si>
    <t>Goat Simulator</t>
  </si>
  <si>
    <t>Gods Will Be Watching</t>
  </si>
  <si>
    <t>Deconstructeam</t>
  </si>
  <si>
    <t>Goetia</t>
  </si>
  <si>
    <t>Sushee</t>
  </si>
  <si>
    <t>Gone Home</t>
  </si>
  <si>
    <t>Fullbright</t>
  </si>
  <si>
    <t>Goodbye Deponia</t>
  </si>
  <si>
    <t>Goosebumps: The Game</t>
  </si>
  <si>
    <t>GameMill Entertainment</t>
  </si>
  <si>
    <t>Goosebumps</t>
  </si>
  <si>
    <t>Gorky 17</t>
  </si>
  <si>
    <t>TopWare Interactive</t>
  </si>
  <si>
    <t>Metropolis Software</t>
  </si>
  <si>
    <t>Gorky</t>
  </si>
  <si>
    <t>ASC Games</t>
  </si>
  <si>
    <t>Grand Theft Auto 2</t>
  </si>
  <si>
    <t>Grand Theft Auto III</t>
  </si>
  <si>
    <t>Grand Theft Auto IV</t>
  </si>
  <si>
    <t>Rockstar North</t>
  </si>
  <si>
    <t>Grand Theft Auto V</t>
  </si>
  <si>
    <t>Grand Theft Auto: Episodes from Liberty City</t>
  </si>
  <si>
    <t>Grand Theft Auto: San Andreas</t>
  </si>
  <si>
    <t>Grand Theft Auto: Vice City</t>
  </si>
  <si>
    <t>Gratuitous Space Battles</t>
  </si>
  <si>
    <t>Positech Games</t>
  </si>
  <si>
    <t>Graveyard Keeper</t>
  </si>
  <si>
    <t>Lazy Bear Games</t>
  </si>
  <si>
    <t>Greed Corp</t>
  </si>
  <si>
    <t>Vanguard Entertainment Group</t>
  </si>
  <si>
    <t>Vanguard Games</t>
  </si>
  <si>
    <t>Grey Goo</t>
  </si>
  <si>
    <t>Grey Box</t>
  </si>
  <si>
    <t>Petroglyph Games</t>
  </si>
  <si>
    <t>Grid 2</t>
  </si>
  <si>
    <t>Codemasters Racing</t>
  </si>
  <si>
    <t>Grid</t>
  </si>
  <si>
    <t>Grim Dawn</t>
  </si>
  <si>
    <t>Crate Entertainment</t>
  </si>
  <si>
    <t>Grim Fandango Remastered</t>
  </si>
  <si>
    <t>Grim Fandango</t>
  </si>
  <si>
    <t>Grow Home</t>
  </si>
  <si>
    <t>Ubisoft Reflections</t>
  </si>
  <si>
    <t>Grow Up</t>
  </si>
  <si>
    <t>Guacamelee! Super Turbo Championship Edition</t>
  </si>
  <si>
    <t>DrinkBox Studios</t>
  </si>
  <si>
    <t>Guacamelee</t>
  </si>
  <si>
    <t>Guilty Gear Xrd -SIGN-</t>
  </si>
  <si>
    <t>Guilty Gear XX Accent Core Plus R</t>
  </si>
  <si>
    <t>Gun Metal</t>
  </si>
  <si>
    <t>Strategy First</t>
  </si>
  <si>
    <t>Rage Software</t>
  </si>
  <si>
    <t>GundeadliGne</t>
  </si>
  <si>
    <t>Gundemonium</t>
  </si>
  <si>
    <t>Gundemonium Recollection</t>
  </si>
  <si>
    <t>Gunpoint</t>
  </si>
  <si>
    <t>Suspicious Developments</t>
  </si>
  <si>
    <t>Gurumin: A Monstrous Adventure</t>
  </si>
  <si>
    <t>Gurumin</t>
  </si>
  <si>
    <t>Hack 'n' Slash</t>
  </si>
  <si>
    <t>Hack, Slash, Loot</t>
  </si>
  <si>
    <t>David Williamson</t>
  </si>
  <si>
    <t>Hacknet</t>
  </si>
  <si>
    <t>Fellow Traveller</t>
  </si>
  <si>
    <t>Team Fractal Alligator</t>
  </si>
  <si>
    <t>Half Minute Hero: Super Mega Neo Climax Ultimate Boy</t>
  </si>
  <si>
    <t>Half Minute Hero</t>
  </si>
  <si>
    <t>Half Minute Hero: The Second Coming</t>
  </si>
  <si>
    <t>Marvelous AQL</t>
  </si>
  <si>
    <t>Half-Life</t>
  </si>
  <si>
    <t>Valve Corporation</t>
  </si>
  <si>
    <t>Half-Life 2</t>
  </si>
  <si>
    <t>Half-Life 2: Episode One</t>
  </si>
  <si>
    <t>Half-Life 2: Episode Two</t>
  </si>
  <si>
    <t>Half-Life 2: Lost Coast</t>
  </si>
  <si>
    <t>Half-Life: Blue Shift</t>
  </si>
  <si>
    <t>Half-Life: Opposing Force</t>
  </si>
  <si>
    <t>Halo: Spartan Assault</t>
  </si>
  <si>
    <t>343 Industries</t>
  </si>
  <si>
    <t>Halo</t>
  </si>
  <si>
    <t>Hamlet or the last game without MMORPG features, shaders and product placement</t>
  </si>
  <si>
    <t>Denis Galanin</t>
  </si>
  <si>
    <t>Hammerwatch</t>
  </si>
  <si>
    <t>Crackshell</t>
  </si>
  <si>
    <t>Hand of Fate</t>
  </si>
  <si>
    <t>Defiant Development</t>
  </si>
  <si>
    <t>Hard Reset</t>
  </si>
  <si>
    <t>Flying Wild Hog</t>
  </si>
  <si>
    <t>Harvest: Massive Encounter</t>
  </si>
  <si>
    <t>Oxeye Game Studio</t>
  </si>
  <si>
    <t>Harvester</t>
  </si>
  <si>
    <t>Merit Studios</t>
  </si>
  <si>
    <t>DigiFX Interactive</t>
  </si>
  <si>
    <t>Hate Plus</t>
  </si>
  <si>
    <t>Hatoful Boyfriend</t>
  </si>
  <si>
    <t>Mediatonic</t>
  </si>
  <si>
    <t>Headlander</t>
  </si>
  <si>
    <t>CHUMBOSOFT</t>
  </si>
  <si>
    <t>Hector: Badge of Carnage</t>
  </si>
  <si>
    <t>Straandlooper</t>
  </si>
  <si>
    <t>Helen's Mysterious Castle</t>
  </si>
  <si>
    <t>Satsu</t>
  </si>
  <si>
    <t>Hell Yeah! Wrath of the Dead Rabbit</t>
  </si>
  <si>
    <t>Hellblade: Senua's Sacrifice</t>
  </si>
  <si>
    <t>Helldivers</t>
  </si>
  <si>
    <t>Hello Neighbor</t>
  </si>
  <si>
    <t>Dynamic Pixels</t>
  </si>
  <si>
    <t>Her Story</t>
  </si>
  <si>
    <t>Sam Barlow</t>
  </si>
  <si>
    <t>Hero Siege</t>
  </si>
  <si>
    <t>Panic Art Studios</t>
  </si>
  <si>
    <t>Heroes of a Broken Land</t>
  </si>
  <si>
    <t>Winged Pixel Inc.</t>
  </si>
  <si>
    <t>Heroine's Quest: The Herald of Ragnarok</t>
  </si>
  <si>
    <t>Crystal Shard</t>
  </si>
  <si>
    <t>Hidden Folks</t>
  </si>
  <si>
    <t>Adriaan de Jongh</t>
  </si>
  <si>
    <t>Hitman</t>
  </si>
  <si>
    <t>IO Interactive</t>
  </si>
  <si>
    <t>Hitman 2: Silent Assassin</t>
  </si>
  <si>
    <t>Hitman: Absolution</t>
  </si>
  <si>
    <t>Hitman: Blood Money</t>
  </si>
  <si>
    <t>Hitman: Codename 47</t>
  </si>
  <si>
    <t>Hitman: Contracts</t>
  </si>
  <si>
    <t>Hitogata Happa</t>
  </si>
  <si>
    <t>Hive Jump</t>
  </si>
  <si>
    <t>Graphite Lab</t>
  </si>
  <si>
    <t>Holy Potatoes! A Weapon Shop?!</t>
  </si>
  <si>
    <t>Daylight Studios</t>
  </si>
  <si>
    <t>Holy Potatoes!</t>
  </si>
  <si>
    <t>Home</t>
  </si>
  <si>
    <t>Benjamin Rivers</t>
  </si>
  <si>
    <t>Homeworld Remastered Collection</t>
  </si>
  <si>
    <t>Homeworld</t>
  </si>
  <si>
    <t>Hotline Miami</t>
  </si>
  <si>
    <t>Dennaton Games</t>
  </si>
  <si>
    <t>Hotline Miami 2: Wrong Number</t>
  </si>
  <si>
    <t>Hover</t>
  </si>
  <si>
    <t>Midgar Studio</t>
  </si>
  <si>
    <t>How to Survive</t>
  </si>
  <si>
    <t>Eko Software</t>
  </si>
  <si>
    <t>How to Survive 2</t>
  </si>
  <si>
    <t>Human Resource Machine</t>
  </si>
  <si>
    <t>Tomorrow Corporation</t>
  </si>
  <si>
    <t>Hydrophobia: Prophecy</t>
  </si>
  <si>
    <t>Dark Energy Digital</t>
  </si>
  <si>
    <t>Hylics</t>
  </si>
  <si>
    <t>Mason Lindroth</t>
  </si>
  <si>
    <t>Hyper Light Drifter</t>
  </si>
  <si>
    <t>Heart Machine</t>
  </si>
  <si>
    <t>Hyperdevotion Noire: Goddess Black Heart</t>
  </si>
  <si>
    <t>Hyperdimension Neptunia Re;Birth1</t>
  </si>
  <si>
    <t>Hyperdimension Neptunia Re;Birth2: Sisters Generation</t>
  </si>
  <si>
    <t>Hyperdimension Neptunia Re;Birth3: V Generation</t>
  </si>
  <si>
    <t>Hyperdimension Neptunia U: Action Unleashed</t>
  </si>
  <si>
    <t>I Have No Mouth, and I Must Scream</t>
  </si>
  <si>
    <t>Cyberdreams</t>
  </si>
  <si>
    <t>The Dreamers Guild</t>
  </si>
  <si>
    <t>ibb &amp; obb</t>
  </si>
  <si>
    <t>Sparpweed Games</t>
  </si>
  <si>
    <t>Icewind Dale: Enhanced Edition</t>
  </si>
  <si>
    <t>Icewind Dale</t>
  </si>
  <si>
    <t>Ilamentia</t>
  </si>
  <si>
    <t>Caiysware</t>
  </si>
  <si>
    <t>Anthony Case</t>
  </si>
  <si>
    <t>Immortal Redneck</t>
  </si>
  <si>
    <t>Crema</t>
  </si>
  <si>
    <t>IMSCARED</t>
  </si>
  <si>
    <t>Ivan Zanotti's MyMadnessWorks</t>
  </si>
  <si>
    <t>Incredipede</t>
  </si>
  <si>
    <t>Northway Games</t>
  </si>
  <si>
    <t>Inescapable</t>
  </si>
  <si>
    <t>Magnetic Realms</t>
  </si>
  <si>
    <t>Inherit the Earth: Quest for the Orb</t>
  </si>
  <si>
    <t>Injustice: Gods Among Us</t>
  </si>
  <si>
    <t>Injustice</t>
  </si>
  <si>
    <t>Inquisitor</t>
  </si>
  <si>
    <t>Cinemax</t>
  </si>
  <si>
    <t>Insanely Twisted Shadow Planet</t>
  </si>
  <si>
    <t>Shadow Planet Productions</t>
  </si>
  <si>
    <t>Insecticide Part 1</t>
  </si>
  <si>
    <t>Missing Link Games</t>
  </si>
  <si>
    <t>Crackpot Entertainment</t>
  </si>
  <si>
    <t>Insecticide</t>
  </si>
  <si>
    <t>Inside</t>
  </si>
  <si>
    <t>Playdead</t>
  </si>
  <si>
    <t>Into the Breach</t>
  </si>
  <si>
    <t>Intrusion 2</t>
  </si>
  <si>
    <t>Aleksey Abramenko</t>
  </si>
  <si>
    <t>Intrusion</t>
  </si>
  <si>
    <t>Invisible, Inc.</t>
  </si>
  <si>
    <t>Iron Brigade</t>
  </si>
  <si>
    <t>Ittle Dew</t>
  </si>
  <si>
    <t>Jack Lumber</t>
  </si>
  <si>
    <t>Jade Empire: Special Edition</t>
  </si>
  <si>
    <t>Jamestown</t>
  </si>
  <si>
    <t>Final Form Games</t>
  </si>
  <si>
    <t>Jamsouls</t>
  </si>
  <si>
    <t>Chromatic Dream</t>
  </si>
  <si>
    <t>Jazzpunk: Director's Cut</t>
  </si>
  <si>
    <t>Necrophone Games</t>
  </si>
  <si>
    <t>Jet Set Radio</t>
  </si>
  <si>
    <t>Joe Danger 2: The Movie</t>
  </si>
  <si>
    <t>Hello Games</t>
  </si>
  <si>
    <t>Joe Danger</t>
  </si>
  <si>
    <t>Jolly Rover</t>
  </si>
  <si>
    <t>Brawsome</t>
  </si>
  <si>
    <t>Journey of a Roach</t>
  </si>
  <si>
    <t>Koboldgames</t>
  </si>
  <si>
    <t>Judge Dredd: Dredd vs. Death</t>
  </si>
  <si>
    <t>Evolved Games</t>
  </si>
  <si>
    <t>Judge Dredd</t>
  </si>
  <si>
    <t>JumpJet Rex</t>
  </si>
  <si>
    <t>TreeFortress Games</t>
  </si>
  <si>
    <t>Jurassic Park: The Game</t>
  </si>
  <si>
    <t>Just Cause</t>
  </si>
  <si>
    <t>Avalanche Studios</t>
  </si>
  <si>
    <t>Just Cause 2</t>
  </si>
  <si>
    <t>Just Cause 3</t>
  </si>
  <si>
    <t>KAMUI</t>
  </si>
  <si>
    <t>Kane &amp; Lynch 2: Dog Days</t>
  </si>
  <si>
    <t>Kane &amp; Lynch</t>
  </si>
  <si>
    <t>Kane &amp; Lynch: Dead Men</t>
  </si>
  <si>
    <t>Kaptain Brawe: A Brawe New World</t>
  </si>
  <si>
    <t>Libredia Entertainment</t>
  </si>
  <si>
    <t>Cateia Games</t>
  </si>
  <si>
    <t>Karateka</t>
  </si>
  <si>
    <t>Liquid Entertainment</t>
  </si>
  <si>
    <t>Kathy Rain</t>
  </si>
  <si>
    <t>Clifftop Games</t>
  </si>
  <si>
    <t>Kentucky Route Zero</t>
  </si>
  <si>
    <t>Cardboard Computer</t>
  </si>
  <si>
    <t>Killer is Dead</t>
  </si>
  <si>
    <t>Kingdom Come: Deliverance</t>
  </si>
  <si>
    <t>Warhorse Studios</t>
  </si>
  <si>
    <t>Kingdom Rush</t>
  </si>
  <si>
    <t>Ironhide Game Studio</t>
  </si>
  <si>
    <t>Kingdom: New Lands</t>
  </si>
  <si>
    <t>Noio</t>
  </si>
  <si>
    <t>Kingdom</t>
  </si>
  <si>
    <t>Kingdoms of Amalur: Reckoning</t>
  </si>
  <si>
    <t>38 Studios</t>
  </si>
  <si>
    <t>King's Bounty: Armored Princess</t>
  </si>
  <si>
    <t>Katauri Interactive</t>
  </si>
  <si>
    <t>King's Bounty: The Legend</t>
  </si>
  <si>
    <t>King's Bounty: Warriors of the North</t>
  </si>
  <si>
    <t>1C-SoftClub</t>
  </si>
  <si>
    <t>Kingsway</t>
  </si>
  <si>
    <t>Andrew Morrish</t>
  </si>
  <si>
    <t>Knights of Pen and Paper</t>
  </si>
  <si>
    <t>Knock-knock</t>
  </si>
  <si>
    <t>Ice-Pick Lodge</t>
  </si>
  <si>
    <t>Knytt Underground</t>
  </si>
  <si>
    <t>Ripstone</t>
  </si>
  <si>
    <t>Nifflas' Games</t>
  </si>
  <si>
    <t>Knytt</t>
  </si>
  <si>
    <t>Krater</t>
  </si>
  <si>
    <t>Fatshark</t>
  </si>
  <si>
    <t>KRUNCH</t>
  </si>
  <si>
    <t>LeGrudge &amp; Rugged</t>
  </si>
  <si>
    <t>Kult: Heretic Kingdoms</t>
  </si>
  <si>
    <t>Got Game</t>
  </si>
  <si>
    <t>3D People</t>
  </si>
  <si>
    <t>Heretic Kingdoms</t>
  </si>
  <si>
    <t>Kung Fu Strike: The Warrior's Rise</t>
  </si>
  <si>
    <t>X.D. Network Inc.</t>
  </si>
  <si>
    <t>Qooc Software</t>
  </si>
  <si>
    <t>Kung Fury: Street Rage</t>
  </si>
  <si>
    <t>Hello There</t>
  </si>
  <si>
    <t>Kung Fury</t>
  </si>
  <si>
    <t>La-Mulana</t>
  </si>
  <si>
    <t>NIGORO</t>
  </si>
  <si>
    <t>Lara Croft and the Guardian of Light</t>
  </si>
  <si>
    <t>Lara Croft and the Temple of Osiris</t>
  </si>
  <si>
    <t>Lara Croft Go</t>
  </si>
  <si>
    <t>Square Enix Montreal</t>
  </si>
  <si>
    <t>Last Dream</t>
  </si>
  <si>
    <t>White Giant RPG Studios</t>
  </si>
  <si>
    <t>Last Knight: Rogue Rider Edition</t>
  </si>
  <si>
    <t>Toco Games</t>
  </si>
  <si>
    <t>Late Shift</t>
  </si>
  <si>
    <t>Wales Interactive</t>
  </si>
  <si>
    <t>CtrlMovie</t>
  </si>
  <si>
    <t>Layers of Fear</t>
  </si>
  <si>
    <t>Left 4 Dead</t>
  </si>
  <si>
    <t>Valve South</t>
  </si>
  <si>
    <t>Left 4 Dead 2</t>
  </si>
  <si>
    <t>Legend of Dungeon</t>
  </si>
  <si>
    <t>Robot Loves Kitty</t>
  </si>
  <si>
    <t>Legend of Grimrock</t>
  </si>
  <si>
    <t>Almost Human</t>
  </si>
  <si>
    <t>Legendary</t>
  </si>
  <si>
    <t>Spark Unlimited</t>
  </si>
  <si>
    <t>LEGO Batman 2: DC Super Heroes</t>
  </si>
  <si>
    <t>LEGO Batman</t>
  </si>
  <si>
    <t>LEGO Batman 3: Beyond Gotham</t>
  </si>
  <si>
    <t>LEGO Batman: The Videogame</t>
  </si>
  <si>
    <t>LEGO Harry Potter: Years 1-4</t>
  </si>
  <si>
    <t>LEGO Harry Potter</t>
  </si>
  <si>
    <t>LEGO Harry Potter: Years 5-7</t>
  </si>
  <si>
    <t>LEGO Indiana Jones 2: The Adventure Continues</t>
  </si>
  <si>
    <t>LEGO Indiana Jones</t>
  </si>
  <si>
    <t>LEGO Indiana Jones: The Original Adventures</t>
  </si>
  <si>
    <t>LEGO Jurassic World</t>
  </si>
  <si>
    <t>TT Fusion</t>
  </si>
  <si>
    <t>LEGO</t>
  </si>
  <si>
    <t>LEGO Marvel Super Heroes</t>
  </si>
  <si>
    <t>LEGO Marvel</t>
  </si>
  <si>
    <t>LEGO Marvel's Avengers</t>
  </si>
  <si>
    <t>LEGO Star Wars III: The Clone Wars</t>
  </si>
  <si>
    <t>LEGO Star Wars</t>
  </si>
  <si>
    <t>LEGO Star Wars: The Complete Saga</t>
  </si>
  <si>
    <t>LEGO Star Wars: The Force Awakens</t>
  </si>
  <si>
    <t>LEGO The Hobbit</t>
  </si>
  <si>
    <t>LEGO The Lord of the Rings</t>
  </si>
  <si>
    <t>Lethal League</t>
  </si>
  <si>
    <t>Team Reptile</t>
  </si>
  <si>
    <t>Lichdom: Battlemage</t>
  </si>
  <si>
    <t>Xaviant</t>
  </si>
  <si>
    <t>LiEat</t>
  </si>
  <si>
    <t>Life is Strange</t>
  </si>
  <si>
    <t>DONTNOD Entertainment</t>
  </si>
  <si>
    <t>Life is Strange: Before the Storm</t>
  </si>
  <si>
    <t>Deck Nine</t>
  </si>
  <si>
    <t>Lightning Returns: Final Fantasy XIII</t>
  </si>
  <si>
    <t>Lili: Child of Geos</t>
  </si>
  <si>
    <t>BitMonster</t>
  </si>
  <si>
    <t>Lilly Looking Through</t>
  </si>
  <si>
    <t>Geeta Games</t>
  </si>
  <si>
    <t>Limbo</t>
  </si>
  <si>
    <t>LISA</t>
  </si>
  <si>
    <t>Dingaling Productions</t>
  </si>
  <si>
    <t>Little Big Adventure</t>
  </si>
  <si>
    <t>Adeline Software International</t>
  </si>
  <si>
    <t>Little Big Adventure 2</t>
  </si>
  <si>
    <t>Little Inferno</t>
  </si>
  <si>
    <t>Little Nightmares</t>
  </si>
  <si>
    <t>Tarsier Studios</t>
  </si>
  <si>
    <t>LocoCycle</t>
  </si>
  <si>
    <t>Twisted Pixel Games</t>
  </si>
  <si>
    <t>Lone Survivor: The Director's Cut</t>
  </si>
  <si>
    <t>Superflat Games</t>
  </si>
  <si>
    <t>Jasper Byrne</t>
  </si>
  <si>
    <t>Long Live the Queen</t>
  </si>
  <si>
    <t>Hanako Games</t>
  </si>
  <si>
    <t>Lords of the Fallen</t>
  </si>
  <si>
    <t>Deck13 Interactive</t>
  </si>
  <si>
    <t>Lost Planet 2</t>
  </si>
  <si>
    <t>Lost Planet</t>
  </si>
  <si>
    <t>Lost Planet 3</t>
  </si>
  <si>
    <t>Lost Planet: Extreme Condition</t>
  </si>
  <si>
    <t>LostWinds</t>
  </si>
  <si>
    <t>Frontier Developments</t>
  </si>
  <si>
    <t>LostWinds 2: Winter of the Melodias</t>
  </si>
  <si>
    <t>Love</t>
  </si>
  <si>
    <t>Fred Wood</t>
  </si>
  <si>
    <t>Lovely Planet</t>
  </si>
  <si>
    <t>QUICKTEQUILA</t>
  </si>
  <si>
    <t>Lovers in a Dangerous Spacetime</t>
  </si>
  <si>
    <t>Asteroid Base</t>
  </si>
  <si>
    <t>Lucius</t>
  </si>
  <si>
    <t>Shiver Games</t>
  </si>
  <si>
    <t>Lucius Demake</t>
  </si>
  <si>
    <t>Luftrausers</t>
  </si>
  <si>
    <t>Vlambeer</t>
  </si>
  <si>
    <t>Lugaru HD</t>
  </si>
  <si>
    <t>Wolfire Games</t>
  </si>
  <si>
    <t>Lugaru</t>
  </si>
  <si>
    <t>Lume</t>
  </si>
  <si>
    <t>State of Play Games</t>
  </si>
  <si>
    <t>WildTangent</t>
  </si>
  <si>
    <t>Lumino City</t>
  </si>
  <si>
    <t>Lunnye Devitsy</t>
  </si>
  <si>
    <t>Boss Baddie</t>
  </si>
  <si>
    <t>Mad Father</t>
  </si>
  <si>
    <t>sen</t>
  </si>
  <si>
    <t>Mad Max</t>
  </si>
  <si>
    <t>Mafia II</t>
  </si>
  <si>
    <t>2K Czech</t>
  </si>
  <si>
    <t>Mafia</t>
  </si>
  <si>
    <t>Mafia III</t>
  </si>
  <si>
    <t>Hangar 13</t>
  </si>
  <si>
    <t>Magicka</t>
  </si>
  <si>
    <t>Magicka 2</t>
  </si>
  <si>
    <t>Pieces Interactive</t>
  </si>
  <si>
    <t>Magnetic By Nature</t>
  </si>
  <si>
    <t>Team Tripleslash</t>
  </si>
  <si>
    <t>Mainlining</t>
  </si>
  <si>
    <t>Merge Games</t>
  </si>
  <si>
    <t>Rebelephant</t>
  </si>
  <si>
    <t>Majesty 2: The Kingdom Fantasy Sim</t>
  </si>
  <si>
    <t>1C:Ino-Co</t>
  </si>
  <si>
    <t>Majesty</t>
  </si>
  <si>
    <t>Major Stryker</t>
  </si>
  <si>
    <t>Manos: The Hands of Fate</t>
  </si>
  <si>
    <t>FreakZone Games</t>
  </si>
  <si>
    <t>Manos</t>
  </si>
  <si>
    <t>Mark of the Ninja</t>
  </si>
  <si>
    <t>Marlow Briggs and the Mask of Death</t>
  </si>
  <si>
    <t>ZootFly</t>
  </si>
  <si>
    <t>Mars: War Logs</t>
  </si>
  <si>
    <t>Spiders</t>
  </si>
  <si>
    <t>Mars</t>
  </si>
  <si>
    <t>Massive Chalice</t>
  </si>
  <si>
    <t>Master Spy</t>
  </si>
  <si>
    <t>TURBOGUN</t>
  </si>
  <si>
    <t>Max Payne</t>
  </si>
  <si>
    <t>Max Payne 2: The Fall of Max Payne</t>
  </si>
  <si>
    <t>Max Payne 3</t>
  </si>
  <si>
    <t>Rockstar Studios</t>
  </si>
  <si>
    <t>Max: The Curse of Brotherhood</t>
  </si>
  <si>
    <t>Press Play</t>
  </si>
  <si>
    <t>Max &amp; the Magic Marker</t>
  </si>
  <si>
    <t>McDroid</t>
  </si>
  <si>
    <t>Elefantopia</t>
  </si>
  <si>
    <t>McPixel</t>
  </si>
  <si>
    <t>Sos Sosowski</t>
  </si>
  <si>
    <t>Danger Close Games</t>
  </si>
  <si>
    <t>Medieval II: Total War</t>
  </si>
  <si>
    <t>Mega Man Legacy Collection</t>
  </si>
  <si>
    <t>Megabyte Punch</t>
  </si>
  <si>
    <t>Megadimension Neptunia VII</t>
  </si>
  <si>
    <t>Meltdown</t>
  </si>
  <si>
    <t>Phenomenon Games</t>
  </si>
  <si>
    <t>Memento Mori</t>
  </si>
  <si>
    <t>Bohemia Interactive</t>
  </si>
  <si>
    <t>Memoria</t>
  </si>
  <si>
    <t>Men of War: Assault Squad</t>
  </si>
  <si>
    <t>Digitalmindsoft</t>
  </si>
  <si>
    <t>Men of War</t>
  </si>
  <si>
    <t>Men of War: Condemned Heroes</t>
  </si>
  <si>
    <t>Mercenary Kings</t>
  </si>
  <si>
    <t>Tribute Games</t>
  </si>
  <si>
    <t>Metal Dead</t>
  </si>
  <si>
    <t>Walk Thru Walls Studios</t>
  </si>
  <si>
    <t>Metal Gear Rising: Revengeance</t>
  </si>
  <si>
    <t>Metal Gear Solid V: Ground Zeroes</t>
  </si>
  <si>
    <t>Metal Gear Solid V: The Phantom Pain</t>
  </si>
  <si>
    <t>Metro 2033</t>
  </si>
  <si>
    <t>4A Games</t>
  </si>
  <si>
    <t>Metro</t>
  </si>
  <si>
    <t>Metro: Last Light</t>
  </si>
  <si>
    <t>Miasmata</t>
  </si>
  <si>
    <t>IonFX Studios</t>
  </si>
  <si>
    <t>Middle-earth: Shadow of Mordor</t>
  </si>
  <si>
    <t>The Lord of the Rings</t>
  </si>
  <si>
    <t>Middle-earth: Shadow of War</t>
  </si>
  <si>
    <t>Might &amp; Magic: Clash of Heroes</t>
  </si>
  <si>
    <t>Mighty Switch Force! Hose it Down!</t>
  </si>
  <si>
    <t>Millennium 2: Take Me Higher</t>
  </si>
  <si>
    <t>Aldorlea Games</t>
  </si>
  <si>
    <t>Millennium</t>
  </si>
  <si>
    <t>Millennium 3: Cry Wolf</t>
  </si>
  <si>
    <t>Millennium 5: The Battle of the Millennium</t>
  </si>
  <si>
    <t>Millennium: A New Hope</t>
  </si>
  <si>
    <t>Mini Ninjas</t>
  </si>
  <si>
    <t>Minit</t>
  </si>
  <si>
    <t>JW, Kitty, Jukio, and Dom</t>
  </si>
  <si>
    <t>MirrorMoon EP</t>
  </si>
  <si>
    <t>Santa Ragione</t>
  </si>
  <si>
    <t>Mirror's Edge</t>
  </si>
  <si>
    <t>EA DICE</t>
  </si>
  <si>
    <t>Mitsurugi Kamui Hikae</t>
  </si>
  <si>
    <t>Zenith Blue</t>
  </si>
  <si>
    <t>Momodora III</t>
  </si>
  <si>
    <t>rdein</t>
  </si>
  <si>
    <t>Momodora</t>
  </si>
  <si>
    <t>Momodora: Reverie Under the Moonlight</t>
  </si>
  <si>
    <t>Bombservice</t>
  </si>
  <si>
    <t>Monaco: What's Yours Is Mine</t>
  </si>
  <si>
    <t>Pocketwatch Games</t>
  </si>
  <si>
    <t>Monkey Island 2: Special Edition</t>
  </si>
  <si>
    <t>Monkey Island</t>
  </si>
  <si>
    <t>Team D-13</t>
  </si>
  <si>
    <t>Monster Hunter: World</t>
  </si>
  <si>
    <t>Monster Loves You!</t>
  </si>
  <si>
    <t>Radial Games Corp</t>
  </si>
  <si>
    <t>Moon Hunters</t>
  </si>
  <si>
    <t>Kitfox Games</t>
  </si>
  <si>
    <t>Moonlighter</t>
  </si>
  <si>
    <t>Digital Sun</t>
  </si>
  <si>
    <t>Mordheim: City of the Damned</t>
  </si>
  <si>
    <t>Rogue Factor</t>
  </si>
  <si>
    <t>Warhammer Fantasy</t>
  </si>
  <si>
    <t>Mortal Kombat Arcade Kollection</t>
  </si>
  <si>
    <t>Mortal Kombat X</t>
  </si>
  <si>
    <t>Mother Russia Bleeds</t>
  </si>
  <si>
    <t>Le Cartel Studio</t>
  </si>
  <si>
    <t>Ms. Splosion Man</t>
  </si>
  <si>
    <t>Splosion Man</t>
  </si>
  <si>
    <t>Murdered: Soul Suspect</t>
  </si>
  <si>
    <t>MURI</t>
  </si>
  <si>
    <t>Mushroom 11</t>
  </si>
  <si>
    <t>Untame</t>
  </si>
  <si>
    <t>Mushroom Men: Truffle Trouble</t>
  </si>
  <si>
    <t>Red Fly Studio</t>
  </si>
  <si>
    <t>Mushroom Men</t>
  </si>
  <si>
    <t>Mutant Mudds Deluxe</t>
  </si>
  <si>
    <t>Good Shepherd Entertainment</t>
  </si>
  <si>
    <t>Mutant Mudds</t>
  </si>
  <si>
    <t>Mutant Year Zero: Road to Eden</t>
  </si>
  <si>
    <t>Funcom</t>
  </si>
  <si>
    <t>The Bearded Ladies</t>
  </si>
  <si>
    <t>Mutant Year Zero</t>
  </si>
  <si>
    <t>N++</t>
  </si>
  <si>
    <t>Metanet Software</t>
  </si>
  <si>
    <t>N</t>
  </si>
  <si>
    <t>NAIRI: Tower of Shirin</t>
  </si>
  <si>
    <t>Another Indie</t>
  </si>
  <si>
    <t>HomeBearStudio</t>
  </si>
  <si>
    <t>Narco Terror</t>
  </si>
  <si>
    <t>Koch Media</t>
  </si>
  <si>
    <t>Rubicon Organization</t>
  </si>
  <si>
    <t>NecroVisioN</t>
  </si>
  <si>
    <t>1C Entertainment</t>
  </si>
  <si>
    <t>The Farm 51</t>
  </si>
  <si>
    <t>NecroVisioN: Lost Company</t>
  </si>
  <si>
    <t>Need for Speed: Hot Pursuit</t>
  </si>
  <si>
    <t>Need for Speed</t>
  </si>
  <si>
    <t>Nelson Tethers: Puzzle Agent</t>
  </si>
  <si>
    <t>Puzzle Agent</t>
  </si>
  <si>
    <t>Neo Scavenger</t>
  </si>
  <si>
    <t>Blue Bottle Games</t>
  </si>
  <si>
    <t>Neon Drive</t>
  </si>
  <si>
    <t>Fraoula</t>
  </si>
  <si>
    <t>Nethergate: Resurrection</t>
  </si>
  <si>
    <t>Nethergate</t>
  </si>
  <si>
    <t>NeuroVoider</t>
  </si>
  <si>
    <t>Flying Oak Games</t>
  </si>
  <si>
    <t>Never Alone</t>
  </si>
  <si>
    <t>E-Line Media</t>
  </si>
  <si>
    <t>Upper One Games</t>
  </si>
  <si>
    <t>Neverwinter Nights: Enhanced Edition</t>
  </si>
  <si>
    <t>Neverwinter Nights</t>
  </si>
  <si>
    <t>Nex Machina</t>
  </si>
  <si>
    <t>Housemarque</t>
  </si>
  <si>
    <t>Nidhogg</t>
  </si>
  <si>
    <t>NieR: Automata</t>
  </si>
  <si>
    <t>Drakengard</t>
  </si>
  <si>
    <t>NiGHTS Into Dreams…</t>
  </si>
  <si>
    <t>NightSky</t>
  </si>
  <si>
    <t>Nihilumbra</t>
  </si>
  <si>
    <t>BeautiFun Games</t>
  </si>
  <si>
    <t>Nine Parchments</t>
  </si>
  <si>
    <t>Frozenbyte</t>
  </si>
  <si>
    <t>Nioh</t>
  </si>
  <si>
    <t>No Time to Explain: Remastered</t>
  </si>
  <si>
    <t>No Time to Explain</t>
  </si>
  <si>
    <t>Noitu Love 2: Devolution</t>
  </si>
  <si>
    <t>Noitu Love</t>
  </si>
  <si>
    <t>Northgard</t>
  </si>
  <si>
    <t>Nosferatu: The Wrath of Malachi</t>
  </si>
  <si>
    <t>iGames Publishing</t>
  </si>
  <si>
    <t>Idol FX</t>
  </si>
  <si>
    <t>Not A Hero</t>
  </si>
  <si>
    <t>Nuclear Throne</t>
  </si>
  <si>
    <t>Nux</t>
  </si>
  <si>
    <t>Idigicon</t>
  </si>
  <si>
    <t>Platypus</t>
  </si>
  <si>
    <t>NyxQuest: Kindred Spirits</t>
  </si>
  <si>
    <t>Over the Top Games</t>
  </si>
  <si>
    <t>Obscure</t>
  </si>
  <si>
    <t>DreamCatcher Interactive</t>
  </si>
  <si>
    <t>Hydravision Entertainment</t>
  </si>
  <si>
    <t>Obscure II</t>
  </si>
  <si>
    <t>Oceanhorn: Monster of Uncharted Seas</t>
  </si>
  <si>
    <t>FDG Entertainment</t>
  </si>
  <si>
    <t>Cornfox &amp; Bros.</t>
  </si>
  <si>
    <t>Oceanhorn</t>
  </si>
  <si>
    <t>Octahedron: Transfixed Edition</t>
  </si>
  <si>
    <t>Demimonde</t>
  </si>
  <si>
    <t>Octodad: Dadliest Catch</t>
  </si>
  <si>
    <t>Young Horses</t>
  </si>
  <si>
    <t>Odallus: The Dark Call</t>
  </si>
  <si>
    <t>JoyMasher</t>
  </si>
  <si>
    <t>Oddworld: Abe's Exoddus</t>
  </si>
  <si>
    <t>GT Interactive Software</t>
  </si>
  <si>
    <t>Oddworld Inhabitants</t>
  </si>
  <si>
    <t>Oddworld</t>
  </si>
  <si>
    <t>Oddworld: Abe's Oddysee</t>
  </si>
  <si>
    <t>Oddworld: Munch's Oddysee</t>
  </si>
  <si>
    <t>Oddworld: Stranger's Wrath HD</t>
  </si>
  <si>
    <t>Of Orcs and Men</t>
  </si>
  <si>
    <t>Offspring Fling!</t>
  </si>
  <si>
    <t>Kyle Pulver</t>
  </si>
  <si>
    <t>Okyntt</t>
  </si>
  <si>
    <t>Nemoria Entertainment</t>
  </si>
  <si>
    <t>Old Man's Journey</t>
  </si>
  <si>
    <t>OlliOlli2: Welcome to Olliwood</t>
  </si>
  <si>
    <t>Olympia Rising</t>
  </si>
  <si>
    <t>Paleozoic</t>
  </si>
  <si>
    <t>Omikron: The Nomad Soul</t>
  </si>
  <si>
    <t>Quantic Dream</t>
  </si>
  <si>
    <t>One Finger Death Punch</t>
  </si>
  <si>
    <t>Silver Dollar Games</t>
  </si>
  <si>
    <t>One Way Heroics</t>
  </si>
  <si>
    <t>Smoking WOLF</t>
  </si>
  <si>
    <t>Oniken</t>
  </si>
  <si>
    <t>Onikira: Demon Killer</t>
  </si>
  <si>
    <t>Headup Games</t>
  </si>
  <si>
    <t>Digital Furnaces Games</t>
  </si>
  <si>
    <t>Oozi: Earth Adventure</t>
  </si>
  <si>
    <t>Awesome Games Studio</t>
  </si>
  <si>
    <t>Orcs Must Die!</t>
  </si>
  <si>
    <t>Robot Entertainment</t>
  </si>
  <si>
    <t>Orcs Must Die! 2</t>
  </si>
  <si>
    <t>Organ Trail: Director's Cut</t>
  </si>
  <si>
    <t>The Men Who Wear Many Hats</t>
  </si>
  <si>
    <t>Ori and the Blind Forest</t>
  </si>
  <si>
    <t>Moon Studios</t>
  </si>
  <si>
    <t>Orwell: Ignorance is Strength</t>
  </si>
  <si>
    <t>Osmotic Studios</t>
  </si>
  <si>
    <t>Orwell</t>
  </si>
  <si>
    <t>Orwell: Keeping an Eye On You</t>
  </si>
  <si>
    <t>Oscura: Lost Light</t>
  </si>
  <si>
    <t>Surprise Attack</t>
  </si>
  <si>
    <t>Chocolate Liberation Front</t>
  </si>
  <si>
    <t>Oscura</t>
  </si>
  <si>
    <t>Osmos</t>
  </si>
  <si>
    <t>Hemisphere Games</t>
  </si>
  <si>
    <t>Our Darker Purpose</t>
  </si>
  <si>
    <t>Avidly Wild Games</t>
  </si>
  <si>
    <t>Out There Somewhere</t>
  </si>
  <si>
    <t>EQGames</t>
  </si>
  <si>
    <t>MiniBoss</t>
  </si>
  <si>
    <t>Outland</t>
  </si>
  <si>
    <t>Outlast</t>
  </si>
  <si>
    <t>Red Barrels</t>
  </si>
  <si>
    <t>Outlast 2</t>
  </si>
  <si>
    <t>Overgrowth</t>
  </si>
  <si>
    <t>Overlord</t>
  </si>
  <si>
    <t>Overlord II</t>
  </si>
  <si>
    <t>Overlord: Raising Hell</t>
  </si>
  <si>
    <t>Owlboy</t>
  </si>
  <si>
    <t>D-Pad Studio</t>
  </si>
  <si>
    <t>Oxenfree</t>
  </si>
  <si>
    <t>Night School Studio</t>
  </si>
  <si>
    <t>Pac-Man 256</t>
  </si>
  <si>
    <t>Hipster Whale</t>
  </si>
  <si>
    <t>Pac-Man</t>
  </si>
  <si>
    <t>Endless Runner</t>
  </si>
  <si>
    <t>Pac-Man Championship Edition DX+</t>
  </si>
  <si>
    <t>Mine Loader Software</t>
  </si>
  <si>
    <t>Painkiller: Black Edition</t>
  </si>
  <si>
    <t>Painkiller</t>
  </si>
  <si>
    <t>Painkiller: Hell &amp; Damnation</t>
  </si>
  <si>
    <t>Painkiller: Overdose</t>
  </si>
  <si>
    <t>Mindware Studios</t>
  </si>
  <si>
    <t>Painkiller: Recurring Evil</t>
  </si>
  <si>
    <t>Med-Art</t>
  </si>
  <si>
    <t>Painkiller: Redemption</t>
  </si>
  <si>
    <t>Eggtooth Team</t>
  </si>
  <si>
    <t>Pandemonium</t>
  </si>
  <si>
    <t>Paper Dungeons</t>
  </si>
  <si>
    <t>Agent Mega</t>
  </si>
  <si>
    <t>Stephane Valverde &amp; Leslie Valverde</t>
  </si>
  <si>
    <t>Paper Sorcerer</t>
  </si>
  <si>
    <t>Ultra Runaway Games</t>
  </si>
  <si>
    <t>Papers, Please</t>
  </si>
  <si>
    <t>Papo &amp; Yo</t>
  </si>
  <si>
    <t>Minority Media</t>
  </si>
  <si>
    <t>Paradigm</t>
  </si>
  <si>
    <t>Jacob Janerka</t>
  </si>
  <si>
    <t>Paranautical Activity</t>
  </si>
  <si>
    <t>Digerati Distribution</t>
  </si>
  <si>
    <t>Paratopic</t>
  </si>
  <si>
    <t>Arbitrary Metric</t>
  </si>
  <si>
    <t>Party Hard</t>
  </si>
  <si>
    <t>Pinokl Games</t>
  </si>
  <si>
    <t>Party Hard 2</t>
  </si>
  <si>
    <t>Pathologic Classic HD</t>
  </si>
  <si>
    <t>Patrician IV</t>
  </si>
  <si>
    <t>Gaming Minds Studios</t>
  </si>
  <si>
    <t>Patrician</t>
  </si>
  <si>
    <t>Patrician IV: Rise of a Dynasty</t>
  </si>
  <si>
    <t>Penny Arcade Adventures: On the Rain-Slick Precipice of Darkness, Episode One</t>
  </si>
  <si>
    <t>Penny Arcade Adventures</t>
  </si>
  <si>
    <t>Penny Arcade Adventures: On the Rain-Slick Precipice of Darkness, Episode Two</t>
  </si>
  <si>
    <t>Penny Arcade's On the Rain-Slick Precipice of Darkness 3</t>
  </si>
  <si>
    <t>Penny Arcade</t>
  </si>
  <si>
    <t>Penny Arcade's On the Rain-Slick Precipice of Darkness 4</t>
  </si>
  <si>
    <t>Penumbra: Black Plague</t>
  </si>
  <si>
    <t>Penumbra</t>
  </si>
  <si>
    <t>Penumbra: Overture</t>
  </si>
  <si>
    <t>Penumbra: Requiem</t>
  </si>
  <si>
    <t>Phantom Brave</t>
  </si>
  <si>
    <t>Phantom Breaker: Battle Grounds</t>
  </si>
  <si>
    <t>MAGES. Inc.</t>
  </si>
  <si>
    <t>Pid</t>
  </si>
  <si>
    <t>Might and Delight</t>
  </si>
  <si>
    <t>Pier Solar and the Great Architects</t>
  </si>
  <si>
    <t>WaterMelon</t>
  </si>
  <si>
    <t>Pillars of Eternity</t>
  </si>
  <si>
    <t>Pineapple Smash Crew</t>
  </si>
  <si>
    <t>Rich Make Game</t>
  </si>
  <si>
    <t>Pink Heaven</t>
  </si>
  <si>
    <t>Studio Pixel</t>
  </si>
  <si>
    <t>Pink Hour</t>
  </si>
  <si>
    <t>Pinstripe</t>
  </si>
  <si>
    <t>Thomas Brush</t>
  </si>
  <si>
    <t>Pitiri 1977</t>
  </si>
  <si>
    <t>ILIKESCIFI Games</t>
  </si>
  <si>
    <t>Pix the Cat</t>
  </si>
  <si>
    <t>Pastagames</t>
  </si>
  <si>
    <t>Pixel Piracy</t>
  </si>
  <si>
    <t>Vitali Kirpu</t>
  </si>
  <si>
    <t>PixelJunk Eden</t>
  </si>
  <si>
    <t>PixelJunk</t>
  </si>
  <si>
    <t>PixelJunk Monsters Ultimate</t>
  </si>
  <si>
    <t>Double Eleven</t>
  </si>
  <si>
    <t>PixelJunk Shooter</t>
  </si>
  <si>
    <t>PixelJunk Shooter Ultimate</t>
  </si>
  <si>
    <t>Planescape: Torment: Enhanced Edition</t>
  </si>
  <si>
    <t>Planescape</t>
  </si>
  <si>
    <t>Planetary Annihilation</t>
  </si>
  <si>
    <t>Planetary Annihilation Inc</t>
  </si>
  <si>
    <t>Platypus II</t>
  </si>
  <si>
    <t>Please, Don't Touch Anything</t>
  </si>
  <si>
    <t>ForwardXP</t>
  </si>
  <si>
    <t>Four Quarters</t>
  </si>
  <si>
    <t>Plug &amp; Play</t>
  </si>
  <si>
    <t>Etter Studio</t>
  </si>
  <si>
    <t>Mario von Rickenbach &amp; Michael Frei</t>
  </si>
  <si>
    <t>Poker Night 2</t>
  </si>
  <si>
    <t>Poker Night</t>
  </si>
  <si>
    <t>Poker Night at the Inventory</t>
  </si>
  <si>
    <t>Pony Island</t>
  </si>
  <si>
    <t>Daniel Mullins Games</t>
  </si>
  <si>
    <t>Poöf vs. the Cursed Kitty</t>
  </si>
  <si>
    <t>Neko Entertainment</t>
  </si>
  <si>
    <t>Pool Panic</t>
  </si>
  <si>
    <t>Rekim</t>
  </si>
  <si>
    <t>Portal</t>
  </si>
  <si>
    <t>Portal 2</t>
  </si>
  <si>
    <t>Post Mortem</t>
  </si>
  <si>
    <t>Still Life</t>
  </si>
  <si>
    <t>Postal 2</t>
  </si>
  <si>
    <t>Running With Scissors</t>
  </si>
  <si>
    <t>Postal</t>
  </si>
  <si>
    <t>Potatoman Seeks the Troof</t>
  </si>
  <si>
    <t>Pixeljam</t>
  </si>
  <si>
    <t>Prey</t>
  </si>
  <si>
    <t>Primordia</t>
  </si>
  <si>
    <t>Wormwood Studios</t>
  </si>
  <si>
    <t>Prince of Persia: The Sands of Time</t>
  </si>
  <si>
    <t>Princess Remedy in a Heap of Trouble</t>
  </si>
  <si>
    <t>Princess Remedy</t>
  </si>
  <si>
    <t>Princess Remedy in a World of Hurt</t>
  </si>
  <si>
    <t>Project Highrise</t>
  </si>
  <si>
    <t>Kasedo Games</t>
  </si>
  <si>
    <t>SomaSim</t>
  </si>
  <si>
    <t>Proteus</t>
  </si>
  <si>
    <t>Twisted Tree</t>
  </si>
  <si>
    <t>Ed Key and David Kanaga</t>
  </si>
  <si>
    <t>Psychonauts</t>
  </si>
  <si>
    <t>Punch Club</t>
  </si>
  <si>
    <t>Pure</t>
  </si>
  <si>
    <t>Black Rock Studio</t>
  </si>
  <si>
    <t>Puzzle Agent 2</t>
  </si>
  <si>
    <t>Puzzle Bots</t>
  </si>
  <si>
    <t>Ivy Games</t>
  </si>
  <si>
    <t>Puzzle Quest: Galactrix</t>
  </si>
  <si>
    <t>Pyre</t>
  </si>
  <si>
    <t>Q.U.B.E. 2</t>
  </si>
  <si>
    <t>Trapped Nerve Games</t>
  </si>
  <si>
    <t>Toxic Games</t>
  </si>
  <si>
    <t>Q.U.B.E.</t>
  </si>
  <si>
    <t>Q.U.B.E.: Director's Cut</t>
  </si>
  <si>
    <t>QP Shooting: Dangerous!!</t>
  </si>
  <si>
    <t>Fruitbat Factory</t>
  </si>
  <si>
    <t>Quantum Conundrum</t>
  </si>
  <si>
    <t>Airtight</t>
  </si>
  <si>
    <t>Quarantine Circular</t>
  </si>
  <si>
    <t>Bithell Games</t>
  </si>
  <si>
    <t>Subsurface Circular</t>
  </si>
  <si>
    <t>Race Driver: Grid</t>
  </si>
  <si>
    <t>Race the Sun</t>
  </si>
  <si>
    <t>Flippfly</t>
  </si>
  <si>
    <t>Rage</t>
  </si>
  <si>
    <t>Raiden III</t>
  </si>
  <si>
    <t>MOSS</t>
  </si>
  <si>
    <t>Raiden IV: OverKill</t>
  </si>
  <si>
    <t>Rain World</t>
  </si>
  <si>
    <t>Videocult</t>
  </si>
  <si>
    <t>Ravensword: Shadowlands</t>
  </si>
  <si>
    <t>Crescent Moon Games</t>
  </si>
  <si>
    <t>Ravensword</t>
  </si>
  <si>
    <t>Real Boxing</t>
  </si>
  <si>
    <t>Vivid Games</t>
  </si>
  <si>
    <t>Rebel Galaxy</t>
  </si>
  <si>
    <t>Double Damage Games</t>
  </si>
  <si>
    <t>Receiver</t>
  </si>
  <si>
    <t>Recettear: An Item Shop's Tale</t>
  </si>
  <si>
    <t>QUByte Interactive</t>
  </si>
  <si>
    <t>Red Faction II</t>
  </si>
  <si>
    <t>Red Faction: Armageddon</t>
  </si>
  <si>
    <t>Red Faction: Guerrilla</t>
  </si>
  <si>
    <t>Red Orchestra 2: Heroes of Stalingrad</t>
  </si>
  <si>
    <t>Tripwire Interactive</t>
  </si>
  <si>
    <t>Red Orchestra</t>
  </si>
  <si>
    <t>RefleX</t>
  </si>
  <si>
    <t>Regions of Ruin</t>
  </si>
  <si>
    <t>Poysky Productions</t>
  </si>
  <si>
    <t>Vox Games</t>
  </si>
  <si>
    <t>Remember Me</t>
  </si>
  <si>
    <t>Dontnod Entertainment</t>
  </si>
  <si>
    <t>Renegade Ops</t>
  </si>
  <si>
    <t>Reprisal Universe</t>
  </si>
  <si>
    <t>electrolyte</t>
  </si>
  <si>
    <t>Reprisal</t>
  </si>
  <si>
    <t>Resident Evil 0</t>
  </si>
  <si>
    <t>Resident Evil 5</t>
  </si>
  <si>
    <t>Resident Evil 6</t>
  </si>
  <si>
    <t>Resident Evil 7: Biohazard</t>
  </si>
  <si>
    <t>Resident Evil: Revelations 2</t>
  </si>
  <si>
    <t>Resonance</t>
  </si>
  <si>
    <t>XII Games</t>
  </si>
  <si>
    <t>Retro City Rampage DX</t>
  </si>
  <si>
    <t>Vblank Entertainment</t>
  </si>
  <si>
    <t>Retro City Rampage</t>
  </si>
  <si>
    <t>Retro Game Crunch</t>
  </si>
  <si>
    <t>Retro/Grade</t>
  </si>
  <si>
    <t>24 Caret Games</t>
  </si>
  <si>
    <t>Retrovirus</t>
  </si>
  <si>
    <t>Cadenza Interactive</t>
  </si>
  <si>
    <t>Return to Castle Wolfenstein</t>
  </si>
  <si>
    <t>Gray Matter Interactive</t>
  </si>
  <si>
    <t>Reus</t>
  </si>
  <si>
    <t>Abbey Games</t>
  </si>
  <si>
    <t>Revenge of the Titans</t>
  </si>
  <si>
    <t>Reversion: The Meeting</t>
  </si>
  <si>
    <t>3f Interactive</t>
  </si>
  <si>
    <t>Reversion</t>
  </si>
  <si>
    <t>REVOLVER360 RE:ACTOR</t>
  </si>
  <si>
    <t>Cross Eaglet</t>
  </si>
  <si>
    <t>Rex Rocket</t>
  </si>
  <si>
    <t>Castle Pixel</t>
  </si>
  <si>
    <t>Rhiannon: Curse of the Four Branches</t>
  </si>
  <si>
    <t>Lighthouse Interactive</t>
  </si>
  <si>
    <t>Arberth Studios</t>
  </si>
  <si>
    <t>RiME</t>
  </si>
  <si>
    <t>Ring Runner: Flight of the Sages</t>
  </si>
  <si>
    <t>Triple.B.Titles</t>
  </si>
  <si>
    <t>Rise of the Tomb Raider</t>
  </si>
  <si>
    <t>Rise of the Triad</t>
  </si>
  <si>
    <t>Interceptor Entertainment</t>
  </si>
  <si>
    <t>Risen</t>
  </si>
  <si>
    <t>Piranha Bytes</t>
  </si>
  <si>
    <t>Risen 2: Dark Waters</t>
  </si>
  <si>
    <t>Risk of Rain</t>
  </si>
  <si>
    <t>Chucklefish</t>
  </si>
  <si>
    <t>Rivals of Aether</t>
  </si>
  <si>
    <t>Dan Fornace</t>
  </si>
  <si>
    <t>Road Redemption</t>
  </si>
  <si>
    <t>EQ-Games</t>
  </si>
  <si>
    <t>Robin Hood: The Legend of Sherwood</t>
  </si>
  <si>
    <t>Robin Hood</t>
  </si>
  <si>
    <t>Robot Roller-Derby Disco Dodgeball</t>
  </si>
  <si>
    <t>82 Apps</t>
  </si>
  <si>
    <t>Erik Asmussen</t>
  </si>
  <si>
    <t>Rochard</t>
  </si>
  <si>
    <t>Recoil Games</t>
  </si>
  <si>
    <t>Rock of Ages</t>
  </si>
  <si>
    <t>Rock of Ages II: Bigger &amp; Boulder</t>
  </si>
  <si>
    <t>Rocket Knight</t>
  </si>
  <si>
    <t>Rocketbirds: Hardboiled Chicken</t>
  </si>
  <si>
    <t>Ratloop</t>
  </si>
  <si>
    <t>Rocketbirds</t>
  </si>
  <si>
    <t>Rogue Legacy</t>
  </si>
  <si>
    <t>Rogue Warrior</t>
  </si>
  <si>
    <t>Rome: Total War</t>
  </si>
  <si>
    <t>Ronin</t>
  </si>
  <si>
    <t>Tomasz Wacławek</t>
  </si>
  <si>
    <t>Ruiner</t>
  </si>
  <si>
    <t>Reikon Games</t>
  </si>
  <si>
    <t>Runaway: A Road Adventure</t>
  </si>
  <si>
    <t>FX Interactive</t>
  </si>
  <si>
    <t>Pendulo Studios</t>
  </si>
  <si>
    <t>Runaway</t>
  </si>
  <si>
    <t>Runaway: A Twist of Fate</t>
  </si>
  <si>
    <t>Runaway: The Dream of the Turtle</t>
  </si>
  <si>
    <t>Rune</t>
  </si>
  <si>
    <t>Human Head Studios</t>
  </si>
  <si>
    <t>Rusty Lake Hotel</t>
  </si>
  <si>
    <t>Rusty Lake</t>
  </si>
  <si>
    <t>Rusty Lake Paradise</t>
  </si>
  <si>
    <t>Rusty Lake: Roots</t>
  </si>
  <si>
    <t>Ryse: Son of Rome</t>
  </si>
  <si>
    <t>S.T.A.L.K.E.R.: Call of Pripyat</t>
  </si>
  <si>
    <t>GSC Game World</t>
  </si>
  <si>
    <t>S.T.A.L.K.E.R.</t>
  </si>
  <si>
    <t>S.T.A.L.K.E.R.: Clear Sky</t>
  </si>
  <si>
    <t>GSC World Publishing</t>
  </si>
  <si>
    <t>S.T.A.L.K.E.R.: Shadow of Chernobyl</t>
  </si>
  <si>
    <t>Sacred</t>
  </si>
  <si>
    <t>Ascaron</t>
  </si>
  <si>
    <t>Sacred 2: Fallen Angel</t>
  </si>
  <si>
    <t>Sacred Citadel</t>
  </si>
  <si>
    <t>Southend Interactive</t>
  </si>
  <si>
    <t>Saints Row 2</t>
  </si>
  <si>
    <t>Saints Row IV</t>
  </si>
  <si>
    <t>Deep Silver Volition</t>
  </si>
  <si>
    <t>Saints Row: Gat out of Hell</t>
  </si>
  <si>
    <t>Saints Row: The Third</t>
  </si>
  <si>
    <t>Saira</t>
  </si>
  <si>
    <t>Kreatoriet AB</t>
  </si>
  <si>
    <t>Nicklas Nygren</t>
  </si>
  <si>
    <t>Sam &amp; Max: Beyond Time and Space</t>
  </si>
  <si>
    <t>Sam &amp; Max</t>
  </si>
  <si>
    <t>Sam &amp; Max: Save the World</t>
  </si>
  <si>
    <t>Sam &amp; Max: The Devil's Playhouse</t>
  </si>
  <si>
    <t>Samorost 2</t>
  </si>
  <si>
    <t>Samorost 3</t>
  </si>
  <si>
    <t>Sanctum</t>
  </si>
  <si>
    <t>Sanctum 2</t>
  </si>
  <si>
    <t>Sang-Froid: Tales of Werewolves</t>
  </si>
  <si>
    <t>Artifice Studio</t>
  </si>
  <si>
    <t>SATAZIUS</t>
  </si>
  <si>
    <t>Satellite Reign</t>
  </si>
  <si>
    <t>5 Lives Studios</t>
  </si>
  <si>
    <t>Saturday Morning RPG</t>
  </si>
  <si>
    <t>Actigame Publishing Corp.</t>
  </si>
  <si>
    <t>Mighty Rabbit Studios</t>
  </si>
  <si>
    <t>Savant: Ascent</t>
  </si>
  <si>
    <t>Scalpers: Turtle &amp; the Moonshine Gang</t>
  </si>
  <si>
    <t>A Sweet Studio</t>
  </si>
  <si>
    <t>Scanner Sombre</t>
  </si>
  <si>
    <t>Introversion Software</t>
  </si>
  <si>
    <t>Scarygirl</t>
  </si>
  <si>
    <t>TikGames</t>
  </si>
  <si>
    <t>Scourge: Outbreak</t>
  </si>
  <si>
    <t>Bitbox</t>
  </si>
  <si>
    <t>Tragnarion Studios</t>
  </si>
  <si>
    <t>Scratches: Director's Cut</t>
  </si>
  <si>
    <t>Nucleosys</t>
  </si>
  <si>
    <t>Scribblenauts Unlimited</t>
  </si>
  <si>
    <t>Secrets of Rætikon</t>
  </si>
  <si>
    <t>Sega Bass Fishing</t>
  </si>
  <si>
    <t>Sekiro: Shadows Die Twice</t>
  </si>
  <si>
    <t>Septerra Core: Legacy of the Creator</t>
  </si>
  <si>
    <t>Valkyrie Studios</t>
  </si>
  <si>
    <t>Serious Sam 2</t>
  </si>
  <si>
    <t>Croteam</t>
  </si>
  <si>
    <t>Serious Sam</t>
  </si>
  <si>
    <t>Serious Sam 3: BFE</t>
  </si>
  <si>
    <t>Serious Sam Double D XXL</t>
  </si>
  <si>
    <t>Mommy's Best Games</t>
  </si>
  <si>
    <t>Serious Sam HD: The First Encounter</t>
  </si>
  <si>
    <t>Serious Sam HD: The Second Encounter</t>
  </si>
  <si>
    <t>Serious Sam: The First Encounter</t>
  </si>
  <si>
    <t>Serious Sam: The Random Encounter</t>
  </si>
  <si>
    <t>Serious Sam: The Second Encounter</t>
  </si>
  <si>
    <t>Seven: The Days Long Gone</t>
  </si>
  <si>
    <t>IMGN.PRO</t>
  </si>
  <si>
    <t>Shad'O</t>
  </si>
  <si>
    <t>Okugi Studio</t>
  </si>
  <si>
    <t>Shadow Man</t>
  </si>
  <si>
    <t>Acclaim Studios Teesside</t>
  </si>
  <si>
    <t>Shadow of the Tomb Raider</t>
  </si>
  <si>
    <t>Mimimi Productions</t>
  </si>
  <si>
    <t>Shadow Warrior</t>
  </si>
  <si>
    <t>Shadow Warrior Classic Redux</t>
  </si>
  <si>
    <t>Zojoi</t>
  </si>
  <si>
    <t>Shadowgrounds</t>
  </si>
  <si>
    <t>Shadowgrounds: Survivor</t>
  </si>
  <si>
    <t>Shadowrun Returns</t>
  </si>
  <si>
    <t>Harebrained Schemes</t>
  </si>
  <si>
    <t>Shadowrun: Dragonfall</t>
  </si>
  <si>
    <t>Shadowrun: Hong Kong</t>
  </si>
  <si>
    <t>Shadows on the Vatican: Act I - Greed</t>
  </si>
  <si>
    <t>Adventure Productions</t>
  </si>
  <si>
    <t>10th Art Studio</t>
  </si>
  <si>
    <t>Shadows on the Vatican</t>
  </si>
  <si>
    <t>Shadwen</t>
  </si>
  <si>
    <t>Shank</t>
  </si>
  <si>
    <t>Shank 2</t>
  </si>
  <si>
    <t>Shantae: Risky's Revenge</t>
  </si>
  <si>
    <t>Shatter</t>
  </si>
  <si>
    <t>PikPok</t>
  </si>
  <si>
    <t>Sidhe</t>
  </si>
  <si>
    <t>Shattered Planet</t>
  </si>
  <si>
    <t>She Remembered Caterpillars</t>
  </si>
  <si>
    <t>Ysbryd Games</t>
  </si>
  <si>
    <t>jumpsuit entertainment</t>
  </si>
  <si>
    <t>Shelter</t>
  </si>
  <si>
    <t>Shelter 2</t>
  </si>
  <si>
    <t>Shipwreck</t>
  </si>
  <si>
    <t>Brushfire Games</t>
  </si>
  <si>
    <t>Shovel Knight</t>
  </si>
  <si>
    <t>Yacht Club Games</t>
  </si>
  <si>
    <t>Shutshimi</t>
  </si>
  <si>
    <t>Neon Deity Games</t>
  </si>
  <si>
    <t>Sid Meier's Civilization IV</t>
  </si>
  <si>
    <t>Firaxis Games</t>
  </si>
  <si>
    <t>Civilization</t>
  </si>
  <si>
    <t>Sid Meier's Civilization IV: Beyond the Sword</t>
  </si>
  <si>
    <t>Sid Meier's Civilization IV: Colonization</t>
  </si>
  <si>
    <t>Sid Meier's Civilization IV: Warlords</t>
  </si>
  <si>
    <t>Sid Meier's Civilization V</t>
  </si>
  <si>
    <t>Sid Meier's Civilization: Beyond Earth</t>
  </si>
  <si>
    <t>Sideway: New York</t>
  </si>
  <si>
    <t>Playbrains</t>
  </si>
  <si>
    <t>Fuel Entertainment</t>
  </si>
  <si>
    <t>Silence</t>
  </si>
  <si>
    <t>The Whispered World</t>
  </si>
  <si>
    <t>Silence of the Sleep</t>
  </si>
  <si>
    <t>Jesse Makkonen</t>
  </si>
  <si>
    <t>SilverQuest: Gaiden</t>
  </si>
  <si>
    <t>Wolfgame</t>
  </si>
  <si>
    <t>SimCity 4</t>
  </si>
  <si>
    <t>EA Games</t>
  </si>
  <si>
    <t>Maxis</t>
  </si>
  <si>
    <t>SimCity</t>
  </si>
  <si>
    <t>Simulacra</t>
  </si>
  <si>
    <t>Kaigan Games OÜ</t>
  </si>
  <si>
    <t>Digital Reality</t>
  </si>
  <si>
    <t>Singularity</t>
  </si>
  <si>
    <t>Raven Software</t>
  </si>
  <si>
    <t>Sins of a Solar Empire: Rebellion</t>
  </si>
  <si>
    <t>Stardock Entertainment</t>
  </si>
  <si>
    <t>Ironclad Games</t>
  </si>
  <si>
    <t>Sins of a Solar Empire</t>
  </si>
  <si>
    <t>Sir, You Are Being Hunted</t>
  </si>
  <si>
    <t>Big Robot</t>
  </si>
  <si>
    <t>Skullgirls</t>
  </si>
  <si>
    <t>Marvelous</t>
  </si>
  <si>
    <t>Lab Zero Games</t>
  </si>
  <si>
    <t>Skulls of the Shogun</t>
  </si>
  <si>
    <t>Sky Force Anniversary</t>
  </si>
  <si>
    <t>Infinite Dreams</t>
  </si>
  <si>
    <t>Sky Force</t>
  </si>
  <si>
    <t>Skyborn</t>
  </si>
  <si>
    <t>Dancing Dragon Games</t>
  </si>
  <si>
    <t>Skyhill</t>
  </si>
  <si>
    <t>Mandragora</t>
  </si>
  <si>
    <t>Slave Zero</t>
  </si>
  <si>
    <t>Accolade, Inc.</t>
  </si>
  <si>
    <t>Slay the Spire</t>
  </si>
  <si>
    <t>Mega Crit Games</t>
  </si>
  <si>
    <t>Sleeping Dogs</t>
  </si>
  <si>
    <t>United Front Games</t>
  </si>
  <si>
    <t>Slime-san</t>
  </si>
  <si>
    <t>Fabraz</t>
  </si>
  <si>
    <t>Slipstream</t>
  </si>
  <si>
    <t>ansdor</t>
  </si>
  <si>
    <t>Snapshot</t>
  </si>
  <si>
    <t>Retro Affect</t>
  </si>
  <si>
    <t>Sniper Elite</t>
  </si>
  <si>
    <t>Namco Hometek</t>
  </si>
  <si>
    <t>Sniper Elite 4</t>
  </si>
  <si>
    <t>Sniper Elite III</t>
  </si>
  <si>
    <t>Sniper Elite V2</t>
  </si>
  <si>
    <t>Sniper: Ghost Warrior</t>
  </si>
  <si>
    <t>City Interactive</t>
  </si>
  <si>
    <t>Sniper: Ghost Warrior 2</t>
  </si>
  <si>
    <t>Snuggle Truck</t>
  </si>
  <si>
    <t>Solar 2</t>
  </si>
  <si>
    <t>Murudai</t>
  </si>
  <si>
    <t>Solar</t>
  </si>
  <si>
    <t>SOMA</t>
  </si>
  <si>
    <t>Song of the Deep</t>
  </si>
  <si>
    <t>GameTrust Games</t>
  </si>
  <si>
    <t>Songbringer</t>
  </si>
  <si>
    <t>Wizard Fu</t>
  </si>
  <si>
    <t>Sonic &amp; All-Stars Racing Transformed</t>
  </si>
  <si>
    <t>Sonic &amp; Sega All-Stars Racing</t>
  </si>
  <si>
    <t>Sonic Adventure 2</t>
  </si>
  <si>
    <t>Sonic Adventure DX</t>
  </si>
  <si>
    <t>Blit Software</t>
  </si>
  <si>
    <t>Sonic Forces</t>
  </si>
  <si>
    <t>Sonic Generations</t>
  </si>
  <si>
    <t>Sonic Lost World</t>
  </si>
  <si>
    <t>Sonic Mania</t>
  </si>
  <si>
    <t>PagodaWest Games</t>
  </si>
  <si>
    <t>Sonic the Hedgehog 4: Episode I</t>
  </si>
  <si>
    <t>Sonic the Hedgehog 4: Episode II</t>
  </si>
  <si>
    <t>Sorcery! Part 3</t>
  </si>
  <si>
    <t>inkle Ltd</t>
  </si>
  <si>
    <t>Sorcery!</t>
  </si>
  <si>
    <t>Sorcery! Parts 1 &amp; 2</t>
  </si>
  <si>
    <t>Space Channel 5: Part 2</t>
  </si>
  <si>
    <t>Space Pirates and Zombies</t>
  </si>
  <si>
    <t>MinMax Games</t>
  </si>
  <si>
    <t>Spacebase DF-9</t>
  </si>
  <si>
    <t>SpaceChem</t>
  </si>
  <si>
    <t>Zachtronics</t>
  </si>
  <si>
    <t>Spec Ops: The Line</t>
  </si>
  <si>
    <t>Yager</t>
  </si>
  <si>
    <t>SpeedRunners</t>
  </si>
  <si>
    <t>DoubleDutch Games</t>
  </si>
  <si>
    <t>Spelunky</t>
  </si>
  <si>
    <t>Mossmouth</t>
  </si>
  <si>
    <t>Spider: Rite of the Shrouded Moon</t>
  </si>
  <si>
    <t>Tiger Style</t>
  </si>
  <si>
    <t>Spider</t>
  </si>
  <si>
    <t>Spirits</t>
  </si>
  <si>
    <t>Spaces of Play</t>
  </si>
  <si>
    <t>Splice</t>
  </si>
  <si>
    <t>Split/Second</t>
  </si>
  <si>
    <t>Sproggiwood</t>
  </si>
  <si>
    <t>Freehold Games</t>
  </si>
  <si>
    <t>Spy Chameleon: RGB Agent</t>
  </si>
  <si>
    <t>Unfinished Pixel</t>
  </si>
  <si>
    <t>Squidlit</t>
  </si>
  <si>
    <t>Squidlit Ink.</t>
  </si>
  <si>
    <t>Squishy the Suicidal Pig</t>
  </si>
  <si>
    <t>Tomi Maarela &amp; Elias Viglione</t>
  </si>
  <si>
    <t>Stacking</t>
  </si>
  <si>
    <t>Star Wars: Battlefront II</t>
  </si>
  <si>
    <t>Pandemic Studios</t>
  </si>
  <si>
    <t>Star Wars: Battlefront</t>
  </si>
  <si>
    <t>Star Wars: Dark Forces</t>
  </si>
  <si>
    <t>Star Wars: Jedi Knight</t>
  </si>
  <si>
    <t>Star Wars: Empire at War</t>
  </si>
  <si>
    <t>Star Wars: Galactic Battlegrounds</t>
  </si>
  <si>
    <t>Ensemble Studios</t>
  </si>
  <si>
    <t>Star Wars: Jedi Knight - Dark Forces II</t>
  </si>
  <si>
    <t>Star Wars: Jedi Knight - Jedi Academy</t>
  </si>
  <si>
    <t>Star Wars: Jedi Knight - Mysteries of the Sith</t>
  </si>
  <si>
    <t>Star Wars: Jedi Knight II - Jedi Outcast</t>
  </si>
  <si>
    <t>Star Wars: Knights of the Old Republic</t>
  </si>
  <si>
    <t>Star Wars: Knights of the Old Republic II - The Sith Lords</t>
  </si>
  <si>
    <t>Star Wars: Rebellion</t>
  </si>
  <si>
    <t>Coolhand Interactive</t>
  </si>
  <si>
    <t>Star Wars: Republic Commando</t>
  </si>
  <si>
    <t>Star Wars: The Force Unleashed</t>
  </si>
  <si>
    <t>Star Wars: The Force Unleashed II</t>
  </si>
  <si>
    <t>Star Wars: X-Wing Alliance</t>
  </si>
  <si>
    <t>Star Wars: X-Wing</t>
  </si>
  <si>
    <t>Stardew Valley</t>
  </si>
  <si>
    <t>ConcernedApe</t>
  </si>
  <si>
    <t>Starseed Pilgrim</t>
  </si>
  <si>
    <t>Droqen's Games</t>
  </si>
  <si>
    <t>State of Decay</t>
  </si>
  <si>
    <t>Undead Labs</t>
  </si>
  <si>
    <t>Stealth Bastard Deluxe</t>
  </si>
  <si>
    <t>Steam Heroes</t>
  </si>
  <si>
    <t>ProjectorGames</t>
  </si>
  <si>
    <t>Image &amp; Form Games</t>
  </si>
  <si>
    <t>SteamWorld Heist</t>
  </si>
  <si>
    <t>Steel Rats</t>
  </si>
  <si>
    <t>Tate Multimedia</t>
  </si>
  <si>
    <t>Steel Storm: Burning Retribution</t>
  </si>
  <si>
    <t>Kot in Action Creative Artel</t>
  </si>
  <si>
    <t>Steel Storm</t>
  </si>
  <si>
    <t>Steredenn</t>
  </si>
  <si>
    <t>Pixelnest Studio</t>
  </si>
  <si>
    <t>Still Life 2</t>
  </si>
  <si>
    <t>Encore</t>
  </si>
  <si>
    <t>Gameco Studios</t>
  </si>
  <si>
    <t>Storm in a Teacup</t>
  </si>
  <si>
    <t>Cobra Mobile</t>
  </si>
  <si>
    <t>Stray Cat Crossing</t>
  </si>
  <si>
    <t>Fridge</t>
  </si>
  <si>
    <t>Jurlo, JetPackGone</t>
  </si>
  <si>
    <t>Street Fighter X Tekken</t>
  </si>
  <si>
    <t>Streets of Rogue</t>
  </si>
  <si>
    <t>Matt Dabrowski</t>
  </si>
  <si>
    <t>Double Helix Games</t>
  </si>
  <si>
    <t>Strife: Veteran Edition</t>
  </si>
  <si>
    <t>Rogue Entertainment</t>
  </si>
  <si>
    <t>Strike Suit Zero</t>
  </si>
  <si>
    <t>Born Ready Games</t>
  </si>
  <si>
    <t>Strike Suit</t>
  </si>
  <si>
    <t>Strikey Sisters</t>
  </si>
  <si>
    <t>Strong Bad's Cool Game for Attractive People</t>
  </si>
  <si>
    <t>Stronghold</t>
  </si>
  <si>
    <t>Firefly Studios</t>
  </si>
  <si>
    <t>Stronghold 2</t>
  </si>
  <si>
    <t>Stronghold Crusader</t>
  </si>
  <si>
    <t>Stronghold Crusader II</t>
  </si>
  <si>
    <t>Stronghold Legends</t>
  </si>
  <si>
    <t>Styx: Master of Shadows</t>
  </si>
  <si>
    <t>Styx: Shards of Darkness</t>
  </si>
  <si>
    <t>Submerged</t>
  </si>
  <si>
    <t>Uppercut Games</t>
  </si>
  <si>
    <t>Subnautica</t>
  </si>
  <si>
    <t>Unknown Worlds Entertainment</t>
  </si>
  <si>
    <t>Sugar Cube: Bittersweet Factory</t>
  </si>
  <si>
    <t>Turtle Cream</t>
  </si>
  <si>
    <t>Summoner</t>
  </si>
  <si>
    <t>Sundered</t>
  </si>
  <si>
    <t>Thunder Lotus Games</t>
  </si>
  <si>
    <t>Sunless Sea</t>
  </si>
  <si>
    <t>Failbetter Games</t>
  </si>
  <si>
    <t>Sunless</t>
  </si>
  <si>
    <t>Super 3D Noah's Ark</t>
  </si>
  <si>
    <t>Piko Interactive</t>
  </si>
  <si>
    <t>Wisdom Tree</t>
  </si>
  <si>
    <t>Super Amazing Wagon Adventure</t>
  </si>
  <si>
    <t>sparsevector</t>
  </si>
  <si>
    <t>Super Cloudbuilt</t>
  </si>
  <si>
    <t>Coilworks</t>
  </si>
  <si>
    <t>Cloudbuilt</t>
  </si>
  <si>
    <t>Super Galaxy Squadron EX Turbo</t>
  </si>
  <si>
    <t>New Blood Interactive</t>
  </si>
  <si>
    <t>Synset</t>
  </si>
  <si>
    <t>Super Hexagon</t>
  </si>
  <si>
    <t>Super House of the Dead Ninjas</t>
  </si>
  <si>
    <t>Megadev</t>
  </si>
  <si>
    <t>Super Killer Hornet: Resurrection</t>
  </si>
  <si>
    <t>Flump Studios</t>
  </si>
  <si>
    <t>Super Lemonade Factory</t>
  </si>
  <si>
    <t>initials</t>
  </si>
  <si>
    <t>Super Meat Boy</t>
  </si>
  <si>
    <t>Team Meat</t>
  </si>
  <si>
    <t>Meat Boy</t>
  </si>
  <si>
    <t>Super Puzzle Platformer Deluxe</t>
  </si>
  <si>
    <t>Super Sanctum TD</t>
  </si>
  <si>
    <t>Super Star Path</t>
  </si>
  <si>
    <t>Super Time Force Ultra</t>
  </si>
  <si>
    <t>Superbrothers: Sword &amp; Sworcery EP</t>
  </si>
  <si>
    <t>Supercharged Robot VULKAISER</t>
  </si>
  <si>
    <t>Supreme Commander</t>
  </si>
  <si>
    <t>Supreme Commander 2</t>
  </si>
  <si>
    <t>Supreme Commander: Forged Alliance</t>
  </si>
  <si>
    <t>Surgeon Simulator</t>
  </si>
  <si>
    <t>Surviving Mars</t>
  </si>
  <si>
    <t>Sword of the Stars</t>
  </si>
  <si>
    <t>Kerberos Productions</t>
  </si>
  <si>
    <t>Sword of the Stars II: Lords of Winter</t>
  </si>
  <si>
    <t>Sword of the Stars: The Pit</t>
  </si>
  <si>
    <t>Swords and Soldiers 2: Shawarmageddon</t>
  </si>
  <si>
    <t>Ronimo Games</t>
  </si>
  <si>
    <t>Swords and Soldiers</t>
  </si>
  <si>
    <t>Swords and Soldiers HD</t>
  </si>
  <si>
    <t>Syberia</t>
  </si>
  <si>
    <t>Syberia II</t>
  </si>
  <si>
    <t>MC2-Microïds</t>
  </si>
  <si>
    <t>Syder Arcade</t>
  </si>
  <si>
    <t>Studio Evil</t>
  </si>
  <si>
    <t>Symphony</t>
  </si>
  <si>
    <t>Empty Clip Studios</t>
  </si>
  <si>
    <t>System Shock 2</t>
  </si>
  <si>
    <t>Looking Glass Studios</t>
  </si>
  <si>
    <t>System Shock</t>
  </si>
  <si>
    <t>System Shock: Enhanced Edition</t>
  </si>
  <si>
    <t>Tales from Space: Mutant Blobs Attack</t>
  </si>
  <si>
    <t>Tales from Space</t>
  </si>
  <si>
    <t>Tales from the Borderlands</t>
  </si>
  <si>
    <t>Tales of Berseria</t>
  </si>
  <si>
    <t>Tales of Maj'Eyal</t>
  </si>
  <si>
    <t>Netcore Games</t>
  </si>
  <si>
    <t>Tales of Monkey Island</t>
  </si>
  <si>
    <t>Tannenberg</t>
  </si>
  <si>
    <t>Blackmill Games</t>
  </si>
  <si>
    <t>Technobabylon</t>
  </si>
  <si>
    <t>Technocrat Games</t>
  </si>
  <si>
    <t>Teleglitch: Die More Edition</t>
  </si>
  <si>
    <t>Test3 Projects</t>
  </si>
  <si>
    <t>Tengami</t>
  </si>
  <si>
    <t>Nyamyam</t>
  </si>
  <si>
    <t>Tesla Effect: A Tex Murphy Adventure</t>
  </si>
  <si>
    <t>Big Finish Games</t>
  </si>
  <si>
    <t>Tex Murphy</t>
  </si>
  <si>
    <t>Teslagrad</t>
  </si>
  <si>
    <t>Rain Games</t>
  </si>
  <si>
    <t>Tex Murphy: Martian Memorandum</t>
  </si>
  <si>
    <t>Access Software</t>
  </si>
  <si>
    <t>Tex Murphy: Under a Killing Moon</t>
  </si>
  <si>
    <t>The 11th Hour</t>
  </si>
  <si>
    <t>Trilobyte</t>
  </si>
  <si>
    <t>The 7th Guest</t>
  </si>
  <si>
    <t>The Adventure Pals</t>
  </si>
  <si>
    <t>Armor Games Studios</t>
  </si>
  <si>
    <t>Massive Monster</t>
  </si>
  <si>
    <t>The Age of Decadence</t>
  </si>
  <si>
    <t>Iron Tower Studio</t>
  </si>
  <si>
    <t>The Awesome Adventures of Captain Spirit</t>
  </si>
  <si>
    <t>The Baconing</t>
  </si>
  <si>
    <t>The Ball</t>
  </si>
  <si>
    <t>Teotl Studios</t>
  </si>
  <si>
    <t>The Banner Saga</t>
  </si>
  <si>
    <t>Stoic Studio</t>
  </si>
  <si>
    <t>The Bard's Tale</t>
  </si>
  <si>
    <t>InXile Entertainment</t>
  </si>
  <si>
    <t>The Basement Collection</t>
  </si>
  <si>
    <t>The Beginner's Guide</t>
  </si>
  <si>
    <t>Everything Unlimited Ltd.</t>
  </si>
  <si>
    <t>The Binding of Isaac</t>
  </si>
  <si>
    <t>The Blackwell Convergence</t>
  </si>
  <si>
    <t>The Blackwell Deception</t>
  </si>
  <si>
    <t>The Blackwell Epiphany</t>
  </si>
  <si>
    <t>The Blackwell Legacy</t>
  </si>
  <si>
    <t>The Blue Flamingo</t>
  </si>
  <si>
    <t>The Book of Unwritten Tales</t>
  </si>
  <si>
    <t>King Art Games</t>
  </si>
  <si>
    <t>The Book of Unwritten Tales: The Critter Chronicles</t>
  </si>
  <si>
    <t>The Bureau: XCOM Declassified</t>
  </si>
  <si>
    <t>The Cat Lady</t>
  </si>
  <si>
    <t>Screen 7</t>
  </si>
  <si>
    <t>Harvester Games</t>
  </si>
  <si>
    <t>The Darkness II</t>
  </si>
  <si>
    <t>The Darkness</t>
  </si>
  <si>
    <t>The Darkside Detective</t>
  </si>
  <si>
    <t>Spooky Doorway</t>
  </si>
  <si>
    <t>The Deer God</t>
  </si>
  <si>
    <t>The Detail</t>
  </si>
  <si>
    <t>Rival Games</t>
  </si>
  <si>
    <t>The Dream Machine</t>
  </si>
  <si>
    <t>The Sleeping Machine</t>
  </si>
  <si>
    <t>Cockroach Inc.</t>
  </si>
  <si>
    <t>The Dwarves</t>
  </si>
  <si>
    <t>The Elder Scrolls III: Morrowind</t>
  </si>
  <si>
    <t>The Elder Scrolls IV: Oblivion</t>
  </si>
  <si>
    <t>The Evil Within</t>
  </si>
  <si>
    <t>Tango Gameworks</t>
  </si>
  <si>
    <t>The Fall</t>
  </si>
  <si>
    <t>Over the Moon Games</t>
  </si>
  <si>
    <t>The Final Station</t>
  </si>
  <si>
    <t>Oleg Sergeev, Andrey Rumak, Do My Best</t>
  </si>
  <si>
    <t>The Flame in the Flood</t>
  </si>
  <si>
    <t>The Molasses Flood</t>
  </si>
  <si>
    <t>The Floor is Jelly</t>
  </si>
  <si>
    <t>Ian Snyder</t>
  </si>
  <si>
    <t>The Great Story of a Mighty Hero</t>
  </si>
  <si>
    <t>DeanForge</t>
  </si>
  <si>
    <t>The Incredible Adventures of Van Helsing</t>
  </si>
  <si>
    <t>NeocoreGames</t>
  </si>
  <si>
    <t>The Incredible Adventures of Van Helsing II</t>
  </si>
  <si>
    <t>The Incredible Adventures of Van Helsing III</t>
  </si>
  <si>
    <t>The Indie Mixtape</t>
  </si>
  <si>
    <t>CDP</t>
  </si>
  <si>
    <t>Daniel Linssen, Detective, Ditto, Glitchnap, Shark Jump Studios</t>
  </si>
  <si>
    <t>The Journey Down: Chapter One</t>
  </si>
  <si>
    <t>SkyGoblin</t>
  </si>
  <si>
    <t>The Journey Down</t>
  </si>
  <si>
    <t>The Journey Down: Chapter Three</t>
  </si>
  <si>
    <t>The Journey Down: Chapter Two</t>
  </si>
  <si>
    <t>The King of Fighters XIII</t>
  </si>
  <si>
    <t>The Last Door: Collector's Edition</t>
  </si>
  <si>
    <t>The Game Kitchen</t>
  </si>
  <si>
    <t>The Last Door</t>
  </si>
  <si>
    <t>The Last Door: Season 2 - Collector's Edition</t>
  </si>
  <si>
    <t>The Last Remnant</t>
  </si>
  <si>
    <t>The Last Tinker: City of Colors</t>
  </si>
  <si>
    <t>The LEGO Movie: Videogame</t>
  </si>
  <si>
    <t>The LEGO Movie</t>
  </si>
  <si>
    <t>The Lion's Song</t>
  </si>
  <si>
    <t>Mi'pu'mi Games</t>
  </si>
  <si>
    <t>The Longest Journey</t>
  </si>
  <si>
    <t>The Lord of the Rings: War in the North</t>
  </si>
  <si>
    <t>Snowblind Studios</t>
  </si>
  <si>
    <t>The Lost Crown</t>
  </si>
  <si>
    <t>The Marvellous Miss Take</t>
  </si>
  <si>
    <t>Wonderstruck</t>
  </si>
  <si>
    <t>The Mercury Man</t>
  </si>
  <si>
    <t>Mehsoft</t>
  </si>
  <si>
    <t>The Next Big Thing</t>
  </si>
  <si>
    <t>The Next Penelope</t>
  </si>
  <si>
    <t>Aurelien Regard</t>
  </si>
  <si>
    <t>The Night of the Rabbit</t>
  </si>
  <si>
    <t>The Novelist</t>
  </si>
  <si>
    <t>Orthogonal Games</t>
  </si>
  <si>
    <t>The Secret of Monkey Island: Special Edition</t>
  </si>
  <si>
    <t>The Sexy Brutale</t>
  </si>
  <si>
    <t>Cavalier Game Studios</t>
  </si>
  <si>
    <t>The Ship</t>
  </si>
  <si>
    <t>Blazing Griffin</t>
  </si>
  <si>
    <t>Outerlight</t>
  </si>
  <si>
    <t>The Shivah</t>
  </si>
  <si>
    <t>The Signal From Tölva</t>
  </si>
  <si>
    <t>The Silent Age</t>
  </si>
  <si>
    <t>Meridian4</t>
  </si>
  <si>
    <t>House On Fire</t>
  </si>
  <si>
    <t>The Stanley Parable</t>
  </si>
  <si>
    <t>Galactic Café</t>
  </si>
  <si>
    <t>The Sun at Night</t>
  </si>
  <si>
    <t>Minicore Studios</t>
  </si>
  <si>
    <t>The Surge</t>
  </si>
  <si>
    <t>The Swapper</t>
  </si>
  <si>
    <t>Facepalm Games</t>
  </si>
  <si>
    <t>The Talos Principle</t>
  </si>
  <si>
    <t>The Technomancer</t>
  </si>
  <si>
    <t>The Tiny Bang Story</t>
  </si>
  <si>
    <t>Colibri Games</t>
  </si>
  <si>
    <t>The Turing Test</t>
  </si>
  <si>
    <t>Bulkhead Interactive</t>
  </si>
  <si>
    <t>The Typing of the Dead: Overkill</t>
  </si>
  <si>
    <t>Modern Dream</t>
  </si>
  <si>
    <t>The Vagrant</t>
  </si>
  <si>
    <t>SakuraGame</t>
  </si>
  <si>
    <t>O.T.K. Games</t>
  </si>
  <si>
    <t>The Vanishing of Ethan Carter</t>
  </si>
  <si>
    <t>The Astronauts</t>
  </si>
  <si>
    <t>The Videokid</t>
  </si>
  <si>
    <t>PixelTrip Studios</t>
  </si>
  <si>
    <t>The Void</t>
  </si>
  <si>
    <t>The Walking Dead</t>
  </si>
  <si>
    <t>The Walking Dead: Michonne</t>
  </si>
  <si>
    <t>The Walking Dead: Season Two</t>
  </si>
  <si>
    <t>The Witcher 2: Assassins of Kings</t>
  </si>
  <si>
    <t>The Witcher</t>
  </si>
  <si>
    <t>The Witcher: Enhanced Edition</t>
  </si>
  <si>
    <t>The Witness</t>
  </si>
  <si>
    <t>Thekla</t>
  </si>
  <si>
    <t>The Wolf Among Us</t>
  </si>
  <si>
    <t>They Bleed Pixels</t>
  </si>
  <si>
    <t>Spooky Squid Games</t>
  </si>
  <si>
    <t>They Breathe</t>
  </si>
  <si>
    <t>The Working Parts</t>
  </si>
  <si>
    <t>Thief</t>
  </si>
  <si>
    <t>Thief II: The Metal Age</t>
  </si>
  <si>
    <t>Thief: Deadly Shadows</t>
  </si>
  <si>
    <t>Thief: The Dark Project</t>
  </si>
  <si>
    <t>Thirty Flights of Loving</t>
  </si>
  <si>
    <t>This War of Mine</t>
  </si>
  <si>
    <t>Thomas Was Alone</t>
  </si>
  <si>
    <t>Time Gentlemen, Please!</t>
  </si>
  <si>
    <t>Timespinner</t>
  </si>
  <si>
    <t>Lunar Ray Games</t>
  </si>
  <si>
    <t>Tiny and Big: Grandpa's Leftovers</t>
  </si>
  <si>
    <t>Black Pants Studio</t>
  </si>
  <si>
    <t>Tiny Barbarian DX</t>
  </si>
  <si>
    <t>StarQuail Games</t>
  </si>
  <si>
    <t>Titan Attacks</t>
  </si>
  <si>
    <t>Titan Souls</t>
  </si>
  <si>
    <t>Acid Nerve</t>
  </si>
  <si>
    <t>Tobe's Vertical Adventure</t>
  </si>
  <si>
    <t>Secret Base</t>
  </si>
  <si>
    <t>Toki Tori</t>
  </si>
  <si>
    <t>Two Tribes</t>
  </si>
  <si>
    <t>Toki Tori 2+</t>
  </si>
  <si>
    <t>Tokyo 42</t>
  </si>
  <si>
    <t>Mode  7</t>
  </si>
  <si>
    <t>SMAC Games</t>
  </si>
  <si>
    <t>Tokyo Dark</t>
  </si>
  <si>
    <t>Cherrymochi</t>
  </si>
  <si>
    <t>Tom Clancy's Ghost Recon: Future Soldier</t>
  </si>
  <si>
    <t>Tom Clancy's Splinter Cell: Conviction</t>
  </si>
  <si>
    <t>Splinter Cell</t>
  </si>
  <si>
    <t>Tom Clancy's The Division</t>
  </si>
  <si>
    <t>Massive Entertainment</t>
  </si>
  <si>
    <t>The Division</t>
  </si>
  <si>
    <t>Tomb Raider III: Adventures of Lara Croft</t>
  </si>
  <si>
    <t>Tomb Raider: Anniversary</t>
  </si>
  <si>
    <t>Tomb Raider: Chronicles</t>
  </si>
  <si>
    <t>Tomb Raider: Legend</t>
  </si>
  <si>
    <t>Tomb Raider: The Angel of Darkness</t>
  </si>
  <si>
    <t>Tomb Raider: The Last Revelation</t>
  </si>
  <si>
    <t>Tomb Raider: Underworld</t>
  </si>
  <si>
    <t>Tooth and Tail</t>
  </si>
  <si>
    <t>Torchlight</t>
  </si>
  <si>
    <t>Runic Games</t>
  </si>
  <si>
    <t>Torchlight II</t>
  </si>
  <si>
    <t>Toren</t>
  </si>
  <si>
    <t>Swordtales</t>
  </si>
  <si>
    <t>Torment: Tides of Numenera</t>
  </si>
  <si>
    <t>Tormentum: Dark Sorrow</t>
  </si>
  <si>
    <t>OhNoo Studio</t>
  </si>
  <si>
    <t>Total War: Rome II</t>
  </si>
  <si>
    <t>Tower 57</t>
  </si>
  <si>
    <t>Pixwerk</t>
  </si>
  <si>
    <t>Tower of Guns</t>
  </si>
  <si>
    <t>Terrible Posture Games</t>
  </si>
  <si>
    <t>Tower Wars</t>
  </si>
  <si>
    <t>SuperVillain Studios</t>
  </si>
  <si>
    <t>TowerFall Ascension</t>
  </si>
  <si>
    <t>Matt Makes Games</t>
  </si>
  <si>
    <t>Toy Soldiers</t>
  </si>
  <si>
    <t>Signal Studios</t>
  </si>
  <si>
    <t>Transcripted</t>
  </si>
  <si>
    <t>Alkemi</t>
  </si>
  <si>
    <t>Transistor</t>
  </si>
  <si>
    <t>Trauma</t>
  </si>
  <si>
    <t>Krystian Majewski</t>
  </si>
  <si>
    <t>Trials Fusion</t>
  </si>
  <si>
    <t>RedLynx</t>
  </si>
  <si>
    <t>Trials</t>
  </si>
  <si>
    <t>Trine</t>
  </si>
  <si>
    <t>Trine 2</t>
  </si>
  <si>
    <t>Trine 3: The Artifacts of Power</t>
  </si>
  <si>
    <t>Tropico 3</t>
  </si>
  <si>
    <t>Tropico</t>
  </si>
  <si>
    <t>Tropico 5</t>
  </si>
  <si>
    <t>Two Brothers</t>
  </si>
  <si>
    <t>Ackk Studios</t>
  </si>
  <si>
    <t>Two Worlds</t>
  </si>
  <si>
    <t>Two Worlds II</t>
  </si>
  <si>
    <t>Type:Rider</t>
  </si>
  <si>
    <t>Ex Nihilo</t>
  </si>
  <si>
    <t>Ultratron</t>
  </si>
  <si>
    <t>UnderRail</t>
  </si>
  <si>
    <t>Stygian Software</t>
  </si>
  <si>
    <t>Unholy Heights</t>
  </si>
  <si>
    <t>Petit Depotto</t>
  </si>
  <si>
    <t>Unmechanical</t>
  </si>
  <si>
    <t>Talawa Games</t>
  </si>
  <si>
    <t>Urban Trial Freestyle</t>
  </si>
  <si>
    <t>VA-11 Hall-A: Cyberpunk Bartender Action</t>
  </si>
  <si>
    <t>Sukeban Games</t>
  </si>
  <si>
    <t>Valdis Story: Abyssal City</t>
  </si>
  <si>
    <t>Endlessfluff Games</t>
  </si>
  <si>
    <t>Valiant Hearts: The Great War</t>
  </si>
  <si>
    <t>Valkyria Chronicles</t>
  </si>
  <si>
    <t>Vampire: The Masquerade - Bloodlines</t>
  </si>
  <si>
    <t>Troika Games</t>
  </si>
  <si>
    <t>Vampire: The Masquerade</t>
  </si>
  <si>
    <t>Vanguard Princess</t>
  </si>
  <si>
    <t>eigoMANGA</t>
  </si>
  <si>
    <t>Tomoaki Sugeno</t>
  </si>
  <si>
    <t>Vanquish</t>
  </si>
  <si>
    <t>Velocity Ultra</t>
  </si>
  <si>
    <t>FuturLab</t>
  </si>
  <si>
    <t>Velocity</t>
  </si>
  <si>
    <t>Velvet Assassin</t>
  </si>
  <si>
    <t>SouthPeak Games</t>
  </si>
  <si>
    <t>Replay Studios</t>
  </si>
  <si>
    <t>Vertical Drop Heroes HD</t>
  </si>
  <si>
    <t>Nerdook Productions</t>
  </si>
  <si>
    <t>Vessel</t>
  </si>
  <si>
    <t>IndiePub</t>
  </si>
  <si>
    <t>Strange Loop Games</t>
  </si>
  <si>
    <t>EuroVideo Medien</t>
  </si>
  <si>
    <t>Virginia</t>
  </si>
  <si>
    <t>Variable State</t>
  </si>
  <si>
    <t>Viscera Cleanup Detail: Santa's Rampage</t>
  </si>
  <si>
    <t>RuneStorm</t>
  </si>
  <si>
    <t>Viscera Cleanup Detail</t>
  </si>
  <si>
    <t>Viscera Cleanup Detail: Shadow Warrior</t>
  </si>
  <si>
    <t>Volgarr the Viking</t>
  </si>
  <si>
    <t>Crazy Viking Studios</t>
  </si>
  <si>
    <t>Volume</t>
  </si>
  <si>
    <t>VVVVVV</t>
  </si>
  <si>
    <t>Waking Mars</t>
  </si>
  <si>
    <t>Wallace &amp; Gromit's Grand Adventures</t>
  </si>
  <si>
    <t>Wallace &amp; Gromit</t>
  </si>
  <si>
    <t>Wanderlust: Rebirth</t>
  </si>
  <si>
    <t>Yeti Trunk</t>
  </si>
  <si>
    <t>Wandersong</t>
  </si>
  <si>
    <t>Greg Lobanov</t>
  </si>
  <si>
    <t>War of the Human Tanks</t>
  </si>
  <si>
    <t>Yakiniku Banzai</t>
  </si>
  <si>
    <t>Warhammer 40,000: Dawn of War</t>
  </si>
  <si>
    <t>Warhammer 40,000</t>
  </si>
  <si>
    <t>Warhammer 40,000: Dawn of War II</t>
  </si>
  <si>
    <t>Warhammer 40,000: Dawn of War II - Retribution</t>
  </si>
  <si>
    <t>Warhammer 40,000: Mechanicus</t>
  </si>
  <si>
    <t>Bulwark Studios</t>
  </si>
  <si>
    <t>Warhammer 40,000: Space Marine</t>
  </si>
  <si>
    <t>Warhammer: End Times - Vermintide</t>
  </si>
  <si>
    <t>Warhammer: Vermintide 2</t>
  </si>
  <si>
    <t>Warp</t>
  </si>
  <si>
    <t>Trapdoor Inc.</t>
  </si>
  <si>
    <t>Wasteland 2</t>
  </si>
  <si>
    <t>Watch Dogs 2</t>
  </si>
  <si>
    <t>Watch Dogs</t>
  </si>
  <si>
    <t>We Were Here Too</t>
  </si>
  <si>
    <t>Total Mayhem Games</t>
  </si>
  <si>
    <t>Westerado: Double Barreled</t>
  </si>
  <si>
    <t>Ostrich Banditos</t>
  </si>
  <si>
    <t>Westerado</t>
  </si>
  <si>
    <t>Where is my Heart?</t>
  </si>
  <si>
    <t>Die Gute Fabrik</t>
  </si>
  <si>
    <t>Schulenburg Software</t>
  </si>
  <si>
    <t>White Noise 2</t>
  </si>
  <si>
    <t>Milkstone Studios</t>
  </si>
  <si>
    <t>White Noise</t>
  </si>
  <si>
    <t>Why Am I Dead At Sea</t>
  </si>
  <si>
    <t>Peltast Software</t>
  </si>
  <si>
    <t>Wings of Vi</t>
  </si>
  <si>
    <t>Grynsoft</t>
  </si>
  <si>
    <t>Wizard of Legend</t>
  </si>
  <si>
    <t>Contingent99</t>
  </si>
  <si>
    <t>Wizardry VI: Bane of the Cosmic Forge</t>
  </si>
  <si>
    <t>Sir-Tech</t>
  </si>
  <si>
    <t>Wizardry</t>
  </si>
  <si>
    <t>Wizardry VII: Crusaders of the Dark Savant</t>
  </si>
  <si>
    <t>Wizorb</t>
  </si>
  <si>
    <t>Wolcen: Lords of Mayhem</t>
  </si>
  <si>
    <t>Wolcen Studio</t>
  </si>
  <si>
    <t>Wolfenstein: The New Order</t>
  </si>
  <si>
    <t>Wolfenstein: The Old Blood</t>
  </si>
  <si>
    <t>WORLD END ECONOMiCA episode.01</t>
  </si>
  <si>
    <t>Sekai Project</t>
  </si>
  <si>
    <t>Spicy Tails</t>
  </si>
  <si>
    <t>WORLD END ECONOMiCA</t>
  </si>
  <si>
    <t>World of Goo</t>
  </si>
  <si>
    <t>2D Boy</t>
  </si>
  <si>
    <t>Wrack</t>
  </si>
  <si>
    <t>Final Boss Entertainment</t>
  </si>
  <si>
    <t>Wuppo</t>
  </si>
  <si>
    <t>SOEDESCO Publishing</t>
  </si>
  <si>
    <t>Knuist &amp; Perzik</t>
  </si>
  <si>
    <t>Wyv and Keep: The Temple of the Lost Idol</t>
  </si>
  <si>
    <t>A Jolly Corpse</t>
  </si>
  <si>
    <t>X: Beyond the Frontier</t>
  </si>
  <si>
    <t>Egosoft</t>
  </si>
  <si>
    <t>X</t>
  </si>
  <si>
    <t>X2: The Threat</t>
  </si>
  <si>
    <t>Enlight</t>
  </si>
  <si>
    <t>X3: Reunion</t>
  </si>
  <si>
    <t>X-Blades</t>
  </si>
  <si>
    <t>XCOM: Enemy Unknown</t>
  </si>
  <si>
    <t>XCOM</t>
  </si>
  <si>
    <t>Xenonauts</t>
  </si>
  <si>
    <t>Goldhawk Interactive</t>
  </si>
  <si>
    <t>Xeodrifter</t>
  </si>
  <si>
    <t>Yakuza 0</t>
  </si>
  <si>
    <t>Sega CS1</t>
  </si>
  <si>
    <t>Yakuza</t>
  </si>
  <si>
    <t>Yar's Revenge</t>
  </si>
  <si>
    <t>Killspace Entertainment</t>
  </si>
  <si>
    <t>Yars' Revenge</t>
  </si>
  <si>
    <t>Year Walk</t>
  </si>
  <si>
    <t>Simogo</t>
  </si>
  <si>
    <t>Yoku's Island Express</t>
  </si>
  <si>
    <t>Villa Gorilla</t>
  </si>
  <si>
    <t>Yomawari: Night Alone</t>
  </si>
  <si>
    <t>Yomawari</t>
  </si>
  <si>
    <t>Yooka-Laylee</t>
  </si>
  <si>
    <t>Playtonic Games</t>
  </si>
  <si>
    <t>You Have to Win the Game</t>
  </si>
  <si>
    <t>Ys I &amp; II Chronicles+</t>
  </si>
  <si>
    <t>Ys Origin</t>
  </si>
  <si>
    <t>Ys VI: The Ark of Napishtim</t>
  </si>
  <si>
    <t>Ys: The Oath in Felghana</t>
  </si>
  <si>
    <t>Z</t>
  </si>
  <si>
    <t>Zack Zero</t>
  </si>
  <si>
    <t>Crocodile Entertainment</t>
  </si>
  <si>
    <t>Zen Bound 2</t>
  </si>
  <si>
    <t>Secret Exit</t>
  </si>
  <si>
    <t>Zen Bound</t>
  </si>
  <si>
    <t>Zenith</t>
  </si>
  <si>
    <t>BadLand Publishing</t>
  </si>
  <si>
    <t>Infinigon</t>
  </si>
  <si>
    <t>Zeno Clash</t>
  </si>
  <si>
    <t>Zeno Clash 2</t>
  </si>
  <si>
    <t>Zero Gear</t>
  </si>
  <si>
    <t>Brian Cronin</t>
  </si>
  <si>
    <t>ZeroRanger</t>
  </si>
  <si>
    <t>System Erasure</t>
  </si>
  <si>
    <t>Ziggurat</t>
  </si>
  <si>
    <t>Zombie Army Trilogy</t>
  </si>
  <si>
    <t>Zombie Night Terror</t>
  </si>
  <si>
    <t>NoClip</t>
  </si>
  <si>
    <t>Zombie Shooter</t>
  </si>
  <si>
    <t>Zombie Shooter 2</t>
  </si>
  <si>
    <t>Anomaly Korea</t>
  </si>
  <si>
    <t>Age of Empires II: The Age of Kings</t>
  </si>
  <si>
    <t>Peggle</t>
  </si>
  <si>
    <t>Peggle Nights</t>
  </si>
  <si>
    <t>Plants vs. Zombies</t>
  </si>
  <si>
    <t>Passage</t>
  </si>
  <si>
    <t>Super Crate Box</t>
  </si>
  <si>
    <t>Digital: A Love Story</t>
  </si>
  <si>
    <t>Bejeweled 2 Deluxe</t>
  </si>
  <si>
    <t>Oregon Trail II</t>
  </si>
  <si>
    <t>don't take it personally, babe, it just ain't your story</t>
  </si>
  <si>
    <t>The Life of a Pacifist is Often Fraught With Conflict</t>
  </si>
  <si>
    <t>Air Pressure</t>
  </si>
  <si>
    <t>Enemy of the Solid State</t>
  </si>
  <si>
    <t>The Cat and the Coup</t>
  </si>
  <si>
    <t>FOTONICA</t>
  </si>
  <si>
    <t>Rocky Memphis and the Temple of Ophuxoff</t>
  </si>
  <si>
    <t>RunMan: Race Around the World</t>
  </si>
  <si>
    <t>Chocolate Castle</t>
  </si>
  <si>
    <t>Voxatron</t>
  </si>
  <si>
    <t>Irukandji</t>
  </si>
  <si>
    <t>Homefront</t>
  </si>
  <si>
    <t>Minecraft</t>
  </si>
  <si>
    <t>Swift*Stitch</t>
  </si>
  <si>
    <t>Killing Floor</t>
  </si>
  <si>
    <t>Terraria</t>
  </si>
  <si>
    <t>Gravity Bone</t>
  </si>
  <si>
    <t>Dawning</t>
  </si>
  <si>
    <t>Barkley, Shut Up and Jam: Gaiden</t>
  </si>
  <si>
    <t>Celestial Mechanica</t>
  </si>
  <si>
    <t>Hero Core</t>
  </si>
  <si>
    <t>Ib</t>
  </si>
  <si>
    <t>I Get This Call Every Day</t>
  </si>
  <si>
    <t>The Expendabros</t>
  </si>
  <si>
    <t>The Plan</t>
  </si>
  <si>
    <t>Mandagon</t>
  </si>
  <si>
    <t>Freeware</t>
  </si>
  <si>
    <t>DRM Free</t>
  </si>
  <si>
    <t>OnLive</t>
  </si>
  <si>
    <t>Mojang</t>
  </si>
  <si>
    <t>Desura</t>
  </si>
  <si>
    <t>Assassin's Creed: Brotherhood</t>
  </si>
  <si>
    <t>Jason Rohrer</t>
  </si>
  <si>
    <t>Christine Love</t>
  </si>
  <si>
    <t>Love Stories</t>
  </si>
  <si>
    <t>Humongous Entertainment</t>
  </si>
  <si>
    <t>Freddi Fish</t>
  </si>
  <si>
    <t>SoftKey Multimedia</t>
  </si>
  <si>
    <t>MECC</t>
  </si>
  <si>
    <t>Oregon Trail</t>
  </si>
  <si>
    <t>Bento Smile</t>
  </si>
  <si>
    <t>The Games Company</t>
  </si>
  <si>
    <t>Trevor Storey/Stuart Collier</t>
  </si>
  <si>
    <t>Tom Sennett/Matt Thorson</t>
  </si>
  <si>
    <t>RunMan</t>
  </si>
  <si>
    <t>Lexaloffle Games</t>
  </si>
  <si>
    <t>Charlie Knight</t>
  </si>
  <si>
    <t>Early Access</t>
  </si>
  <si>
    <t>Sophie Houlden</t>
  </si>
  <si>
    <t>entropixel</t>
  </si>
  <si>
    <t>Tales of Game's</t>
  </si>
  <si>
    <t>Barkley</t>
  </si>
  <si>
    <t>Paul Veer &amp; Roger Hicks</t>
  </si>
  <si>
    <t>Daniel Remar</t>
  </si>
  <si>
    <t>Hero</t>
  </si>
  <si>
    <t>kouri</t>
  </si>
  <si>
    <t>David S. Gallant</t>
  </si>
  <si>
    <t>Peter Brinson/Kurosh ValaNejad</t>
  </si>
  <si>
    <t>Valve</t>
  </si>
  <si>
    <t>Re-Logic</t>
  </si>
  <si>
    <t>Blind Sky Studios</t>
  </si>
  <si>
    <t>Chuck's Challenge</t>
  </si>
  <si>
    <t>Clive Barker's Undying</t>
  </si>
  <si>
    <t>Galak-Z</t>
  </si>
  <si>
    <t>Go! Go! Nippon!</t>
  </si>
  <si>
    <t>QP Shooting</t>
  </si>
  <si>
    <t>Spec Ops</t>
  </si>
  <si>
    <t>Sugar Cube</t>
  </si>
  <si>
    <t>Shin Megami Tensei: Persona 4</t>
  </si>
  <si>
    <t>Black</t>
  </si>
  <si>
    <t>God of War</t>
  </si>
  <si>
    <t>SCE Santa Monica Studio</t>
  </si>
  <si>
    <t>Extermination</t>
  </si>
  <si>
    <t>Arc the Lad: End of Darkness</t>
  </si>
  <si>
    <t>Arc the Lad: Twilight of the Spirits</t>
  </si>
  <si>
    <t>Clock Tower 3</t>
  </si>
  <si>
    <t>Contra: Shattered Soldier</t>
  </si>
  <si>
    <t>Eternal Poison</t>
  </si>
  <si>
    <t>Haunting Ground</t>
  </si>
  <si>
    <t>Jade Cocoon 2</t>
  </si>
  <si>
    <t>Kuon</t>
  </si>
  <si>
    <t>Ape Escape 2</t>
  </si>
  <si>
    <t>Ape Escape 3</t>
  </si>
  <si>
    <t>Ar tonelico II: Melody of Metafalica</t>
  </si>
  <si>
    <t>Atelier Iris 2: The Azoth of Destiny</t>
  </si>
  <si>
    <t>Atelier Iris 3: Grand Phantasm</t>
  </si>
  <si>
    <t>Baldur's Gate: Dark Alliance II</t>
  </si>
  <si>
    <t>Breath of Fire: Dragon Quarter</t>
  </si>
  <si>
    <t>Castle Shikigami 2</t>
  </si>
  <si>
    <t>Castlevania: Curse of Darkness</t>
  </si>
  <si>
    <t>Castlevania: Lament of Innocence</t>
  </si>
  <si>
    <t>Drakengard 2</t>
  </si>
  <si>
    <t>Echo Night: Beyond</t>
  </si>
  <si>
    <t>Forbidden Siren 2</t>
  </si>
  <si>
    <t>Front Mission 4</t>
  </si>
  <si>
    <t>Front Mission 5: Scars of the War</t>
  </si>
  <si>
    <t>Galerians: Ash</t>
  </si>
  <si>
    <t>Grandia III</t>
  </si>
  <si>
    <t>Gregory Horror Show</t>
  </si>
  <si>
    <t>Growlanser Generations</t>
  </si>
  <si>
    <t>Growlanser: Heritage of War</t>
  </si>
  <si>
    <t>Gungrave</t>
  </si>
  <si>
    <t>Heavenly Guardian</t>
  </si>
  <si>
    <t>Ibara</t>
  </si>
  <si>
    <t>King's Field: The Ancient City</t>
  </si>
  <si>
    <t>Klonoa 2: Lunatea's Veil</t>
  </si>
  <si>
    <t>La Pucelle: Tactics</t>
  </si>
  <si>
    <t>Makai Kingdom: Chronicles of the Sacred Tome</t>
  </si>
  <si>
    <t>Mana Khemia 2: Fall of Alchemy</t>
  </si>
  <si>
    <t>Mana Khemia: Alchemists of Al-Revis</t>
  </si>
  <si>
    <t>Maximo: Ghosts to Glory</t>
  </si>
  <si>
    <t>Mega Man X7</t>
  </si>
  <si>
    <t>Mega Man X8</t>
  </si>
  <si>
    <t>Mobile Light Force 2</t>
  </si>
  <si>
    <t>Monster Hunter 2</t>
  </si>
  <si>
    <t>Neo Contra</t>
  </si>
  <si>
    <t>Okage: Shadow King</t>
  </si>
  <si>
    <t>Project Eden</t>
  </si>
  <si>
    <t>Rez</t>
  </si>
  <si>
    <t>Rule of Rose</t>
  </si>
  <si>
    <t>Sakura Wars: So Long, My Love</t>
  </si>
  <si>
    <t>Shadow Hearts: Covenant</t>
  </si>
  <si>
    <t>Shadow Hearts: From the New World</t>
  </si>
  <si>
    <t>Soul Nomad &amp; the World Eaters</t>
  </si>
  <si>
    <t>Steambot Chronicles</t>
  </si>
  <si>
    <t>Stella Deus: The Gate of Eternity</t>
  </si>
  <si>
    <t>Suikoden III</t>
  </si>
  <si>
    <t>Suikoden IV</t>
  </si>
  <si>
    <t>Suikoden Tactics</t>
  </si>
  <si>
    <t>Suikoden V</t>
  </si>
  <si>
    <t>Tales of Destiny 2</t>
  </si>
  <si>
    <t>Tales of Legendia</t>
  </si>
  <si>
    <t>Tales of Rebirth</t>
  </si>
  <si>
    <t>The Suffering: Ties That Bind</t>
  </si>
  <si>
    <t>Twinkle Star Sprites: La Petite Princesse</t>
  </si>
  <si>
    <t>Valkyrie Profile 2: Silmeria</t>
  </si>
  <si>
    <t>Wild Arms 3</t>
  </si>
  <si>
    <t>Wild Arms 4</t>
  </si>
  <si>
    <t>Wild Arms 5</t>
  </si>
  <si>
    <t>Xenosaga Episode II: Jenseits von Gut und Böse</t>
  </si>
  <si>
    <t>Xenosaga Episode III: Also sprach Zarathustra</t>
  </si>
  <si>
    <t>XIII</t>
  </si>
  <si>
    <t>Yakuza 2</t>
  </si>
  <si>
    <t>Ys: The Ark of Napishtim</t>
  </si>
  <si>
    <t>Zone of the Enders: The 2nd Runner</t>
  </si>
  <si>
    <t>Ar tonelico: Melody of Elemia</t>
  </si>
  <si>
    <t>Atelier Iris: Eternal Mana</t>
  </si>
  <si>
    <t>Baldur's Gate: Dark Alliance</t>
  </si>
  <si>
    <t>Cold Fear</t>
  </si>
  <si>
    <t>Dark Cloud</t>
  </si>
  <si>
    <t>Dark Cloud 2</t>
  </si>
  <si>
    <t>Darkwatch</t>
  </si>
  <si>
    <t>Devil May Cry 2</t>
  </si>
  <si>
    <t>Devil May Cry 3: Dante's Awakening</t>
  </si>
  <si>
    <t>Dirge of Cerberus: Final Fantasy VII</t>
  </si>
  <si>
    <t>Disaster Report</t>
  </si>
  <si>
    <t>Disgaea 2: Cursed Memories</t>
  </si>
  <si>
    <t>Disgaea: Hour of Darkness</t>
  </si>
  <si>
    <t>Dragon Quest VIII: Journey of the Cursed King</t>
  </si>
  <si>
    <t>Fatal Frame II: Crimson Butterfly</t>
  </si>
  <si>
    <t>Fatal Frame III: The Tormented</t>
  </si>
  <si>
    <t>Final Fantasy X-2</t>
  </si>
  <si>
    <t>Final Fantasy XII</t>
  </si>
  <si>
    <t>God Hand</t>
  </si>
  <si>
    <t>God of War II</t>
  </si>
  <si>
    <t>GrimGrimoire</t>
  </si>
  <si>
    <t>Jak 3</t>
  </si>
  <si>
    <t>Jak and Daxter: The Lost Frontier</t>
  </si>
  <si>
    <t>Jak and Daxter: The Precursor Legacy</t>
  </si>
  <si>
    <t>Jak II</t>
  </si>
  <si>
    <t>Katamari Damacy</t>
  </si>
  <si>
    <t>kill.switch</t>
  </si>
  <si>
    <t>Killzone</t>
  </si>
  <si>
    <t>Kingdom Hearts II</t>
  </si>
  <si>
    <t>Michigan: Report from Hell</t>
  </si>
  <si>
    <t>Namco x Capcom</t>
  </si>
  <si>
    <t>Odin Sphere</t>
  </si>
  <si>
    <t>Psi-Ops: The Mindgate Conspiracy</t>
  </si>
  <si>
    <t>Radiata Stories</t>
  </si>
  <si>
    <t>Ratchet &amp; Clank: Going Commando</t>
  </si>
  <si>
    <t>Ratchet &amp; Clank: Up Your Arsenal</t>
  </si>
  <si>
    <t>Ratchet: Deadlocked</t>
  </si>
  <si>
    <t>Red Dead Revolver</t>
  </si>
  <si>
    <t>Secret Agent Clank</t>
  </si>
  <si>
    <t>Shadow Hearts</t>
  </si>
  <si>
    <t>Shin Megami Tensei: Devil Summoner 2: Raidou Kuzunoha vs. King Abaddon</t>
  </si>
  <si>
    <t>Shin Megami Tensei: Devil Summoner: Raidou Kuzunoha vs. The Soulless Army</t>
  </si>
  <si>
    <t>Shin Megami Tensei: Digital Devil Saga</t>
  </si>
  <si>
    <t>Shin Megami Tensei: Digital Devil Saga 2</t>
  </si>
  <si>
    <t>Shin Megami Tensei: Nocturne</t>
  </si>
  <si>
    <t>Silent Hill 3</t>
  </si>
  <si>
    <t>Silent Hill 4: The Room</t>
  </si>
  <si>
    <t>Siren</t>
  </si>
  <si>
    <t>Sly 2: Band of Thieves</t>
  </si>
  <si>
    <t>Sly 3: Honor Among Thieves</t>
  </si>
  <si>
    <t>Star Ocean: Till the End of Time</t>
  </si>
  <si>
    <t>Tales of the Abyss</t>
  </si>
  <si>
    <t>The Suffering</t>
  </si>
  <si>
    <t>The Thing</t>
  </si>
  <si>
    <t>TimeSplitters 2</t>
  </si>
  <si>
    <t>TimeSplitters: Future Perfect</t>
  </si>
  <si>
    <t>Xenosaga Episode I: Der Wille zur Macht</t>
  </si>
  <si>
    <t>Final Fantasy X</t>
  </si>
  <si>
    <t>Metal Gear Solid 2: Sons of Liberty</t>
  </si>
  <si>
    <t>Metal Gear Solid 3: Snake Eater</t>
  </si>
  <si>
    <t>Ratchet &amp; Clank</t>
  </si>
  <si>
    <t>Rogue Galaxy</t>
  </si>
  <si>
    <t>Shin Megami Tensei: Persona 3 FES</t>
  </si>
  <si>
    <t>Sly Cooper and the Thievius Raccoonus</t>
  </si>
  <si>
    <t>Ico</t>
  </si>
  <si>
    <t>Shadow of the Colossus</t>
  </si>
  <si>
    <t>Silent Hill 2</t>
  </si>
  <si>
    <t>Deep Space</t>
  </si>
  <si>
    <t>The Tower of Duraga</t>
  </si>
  <si>
    <t>SCE Japan Studio</t>
  </si>
  <si>
    <t>Ar tonelico</t>
  </si>
  <si>
    <t>Black Isle Studios</t>
  </si>
  <si>
    <t>XS Games</t>
  </si>
  <si>
    <t>Cavia</t>
  </si>
  <si>
    <t>Project Siren</t>
  </si>
  <si>
    <t>Growlanser</t>
  </si>
  <si>
    <t>UFO Interactive Games</t>
  </si>
  <si>
    <t>Starfish SD</t>
  </si>
  <si>
    <t>Maximo</t>
  </si>
  <si>
    <t>Zener Works</t>
  </si>
  <si>
    <t>Punchline</t>
  </si>
  <si>
    <t>Sakura Wars</t>
  </si>
  <si>
    <t>Nautilus</t>
  </si>
  <si>
    <t>Pinegrow</t>
  </si>
  <si>
    <t>Surreal Software</t>
  </si>
  <si>
    <t>Darkworks</t>
  </si>
  <si>
    <t>High Moon Studios</t>
  </si>
  <si>
    <t>Jak and Daxter</t>
  </si>
  <si>
    <t>High Impact Games</t>
  </si>
  <si>
    <t>Guerrilla Games</t>
  </si>
  <si>
    <t>Rockstar San Diego</t>
  </si>
  <si>
    <t>Red Dead</t>
  </si>
  <si>
    <t>Sanzaru Games</t>
  </si>
  <si>
    <t>Sly Cooper</t>
  </si>
  <si>
    <t>Computer Artworks</t>
  </si>
  <si>
    <t>Free Radical Design</t>
  </si>
  <si>
    <t>TimeSplitters</t>
  </si>
  <si>
    <t>Team Ico</t>
  </si>
  <si>
    <t>Legend of Illusion Starring Mickey Mouse</t>
  </si>
  <si>
    <t>Shinobi II: The Silent Fury</t>
  </si>
  <si>
    <t>Dino Crisis 2</t>
  </si>
  <si>
    <t>Dino Stalker</t>
  </si>
  <si>
    <t>Capcom Production Studio 3</t>
  </si>
  <si>
    <t>Dino Crisis 3</t>
  </si>
  <si>
    <t>Landstalker</t>
  </si>
  <si>
    <t>Time Stalkers</t>
  </si>
  <si>
    <t>Dark Savior</t>
  </si>
  <si>
    <t>Crash Bandicoot: The Wrath of Cortex</t>
  </si>
  <si>
    <t>Universal Interactive Studios</t>
  </si>
  <si>
    <t>Crash Twinsanity</t>
  </si>
  <si>
    <t>Crash of the Titans</t>
  </si>
  <si>
    <t>Crash: Mind Over Mutant</t>
  </si>
  <si>
    <t>Crash Nitro Kart</t>
  </si>
  <si>
    <t>Crash Tag Team Racing</t>
  </si>
  <si>
    <t>3D Dot Game Heroes</t>
  </si>
  <si>
    <t>50 Cent: Blood on the Sand</t>
  </si>
  <si>
    <t>Swordfish Studios</t>
  </si>
  <si>
    <t>Afro Samurai</t>
  </si>
  <si>
    <t>Anarchy Reigns</t>
  </si>
  <si>
    <t>Ar nosurge: Ode to an Unborn Star</t>
  </si>
  <si>
    <t>Ar tonelico Qoga: Knell of Ar Ciel</t>
  </si>
  <si>
    <t>Armored Core 4</t>
  </si>
  <si>
    <t>Armored Core</t>
  </si>
  <si>
    <t>Armored Core V</t>
  </si>
  <si>
    <t>Armored Core: For Answer</t>
  </si>
  <si>
    <t>Armored Core: Verdict Day</t>
  </si>
  <si>
    <t>Army of Two: The 40th Day</t>
  </si>
  <si>
    <t>EA Montreal</t>
  </si>
  <si>
    <t>Army of Two</t>
  </si>
  <si>
    <t>Army of Two: The Devil's Cartel</t>
  </si>
  <si>
    <t>Asura's Wrath</t>
  </si>
  <si>
    <t>Atelier Ayesha: The Alchemist of Dusk</t>
  </si>
  <si>
    <t>Atelier Escha &amp; Logy: Alchemists of the Dusk Sky</t>
  </si>
  <si>
    <t>Atelier Meruru: The Apprentice of Arland</t>
  </si>
  <si>
    <t>Atelier Rorona: The Alchemist of Arland</t>
  </si>
  <si>
    <t>Atelier Shallie: Alchemists of the Dusk Sea</t>
  </si>
  <si>
    <t>Atelier Totori: The Adventurer of Arland</t>
  </si>
  <si>
    <t>Blur</t>
  </si>
  <si>
    <t>Command &amp; Conquer: Red Alert 3 - Ultimate Edition</t>
  </si>
  <si>
    <t>Condemned 2: Bloodshot</t>
  </si>
  <si>
    <t>Dante's Inferno</t>
  </si>
  <si>
    <t>Demon's Souls</t>
  </si>
  <si>
    <t>Disgaea 3: Absence of Justice</t>
  </si>
  <si>
    <t>Disgaea 4: A Promise Unforgotten</t>
  </si>
  <si>
    <t>Disgaea D2: A Brighter Darkness</t>
  </si>
  <si>
    <t>Drakengard 3</t>
  </si>
  <si>
    <t>Driver: San Francisco</t>
  </si>
  <si>
    <t>Driver</t>
  </si>
  <si>
    <t>Eat Lead: The Return of Matt Hazard</t>
  </si>
  <si>
    <t>El Shaddai: Ascension of the Metatron</t>
  </si>
  <si>
    <t>UTV Ignition Games</t>
  </si>
  <si>
    <t>Ignition Tokyo</t>
  </si>
  <si>
    <t>Enchanted Arms</t>
  </si>
  <si>
    <t>Eternal Sonata</t>
  </si>
  <si>
    <t>tri-Crescendo</t>
  </si>
  <si>
    <t>Front Mission Evolved</t>
  </si>
  <si>
    <t>God of War Saga</t>
  </si>
  <si>
    <t>God of War: Origins Collection</t>
  </si>
  <si>
    <t>Haze</t>
  </si>
  <si>
    <t>Heavenly Sword</t>
  </si>
  <si>
    <t>Infamous</t>
  </si>
  <si>
    <t>Sucker Punch Productions</t>
  </si>
  <si>
    <t>Infamous 2</t>
  </si>
  <si>
    <t>Jak and Daxter Collection</t>
  </si>
  <si>
    <t>Mass Media Games</t>
  </si>
  <si>
    <t>Journey: Collector's Edition</t>
  </si>
  <si>
    <t>Thatgamecompany</t>
  </si>
  <si>
    <t>Katamari Forever</t>
  </si>
  <si>
    <t>Killzone Trilogy</t>
  </si>
  <si>
    <t>LittleBigPlanet</t>
  </si>
  <si>
    <t>Media Molecule</t>
  </si>
  <si>
    <t>LittleBigPlanet 2</t>
  </si>
  <si>
    <t>LittleBigPlanet Karting</t>
  </si>
  <si>
    <t>Lollipop Chainsaw</t>
  </si>
  <si>
    <t>Marvel: Ultimate Alliance</t>
  </si>
  <si>
    <t>Marvel: Ultimate Alliance 2</t>
  </si>
  <si>
    <t>Mass Effect 2</t>
  </si>
  <si>
    <t>Mass Effect 3</t>
  </si>
  <si>
    <t>Mass Effect Trilogy</t>
  </si>
  <si>
    <t>Mercenaries 2: World in Flames</t>
  </si>
  <si>
    <t>Mercenaries</t>
  </si>
  <si>
    <t>Metal Gear Solid 4: Guns of the Patriots</t>
  </si>
  <si>
    <t>MotorStorm</t>
  </si>
  <si>
    <t>Evolution Studios</t>
  </si>
  <si>
    <t>MotorStorm: Apocalypse</t>
  </si>
  <si>
    <t>MotorStorm: Pacific Rift</t>
  </si>
  <si>
    <t>NeverDead</t>
  </si>
  <si>
    <t>Nier</t>
  </si>
  <si>
    <t>Ninja Gaiden Sigma</t>
  </si>
  <si>
    <t>Ninja Gaiden Sigma 2</t>
  </si>
  <si>
    <t>No More Heroes: Heroes' Paradise</t>
  </si>
  <si>
    <t>feelplus</t>
  </si>
  <si>
    <t>Oddworld: New 'n' Tasty!</t>
  </si>
  <si>
    <t>Just Add Water</t>
  </si>
  <si>
    <t>Persona 4 Arena</t>
  </si>
  <si>
    <t>Persona 4 Arena Ultimax</t>
  </si>
  <si>
    <t>PlayStation All-Stars Battle Royale</t>
  </si>
  <si>
    <t>SuperBot Entertainment</t>
  </si>
  <si>
    <t>Prototype 2</t>
  </si>
  <si>
    <t>Prototype</t>
  </si>
  <si>
    <t>Quantum Theory</t>
  </si>
  <si>
    <t>Team Tachyon</t>
  </si>
  <si>
    <t>Ratchet &amp; Clank Collection</t>
  </si>
  <si>
    <t>Ratchet &amp; Clank Future: A Crack in Time</t>
  </si>
  <si>
    <t>Ratchet &amp; Clank Future: Quest for Booty</t>
  </si>
  <si>
    <t>Ratchet &amp; Clank Future: Tools of Destruction</t>
  </si>
  <si>
    <t>Ratchet &amp; Clank: All 4 One</t>
  </si>
  <si>
    <t>Ratchet &amp; Clank: Full Frontal Assault</t>
  </si>
  <si>
    <t>Ratchet &amp; Clank: Into the Nexus</t>
  </si>
  <si>
    <t>Resident Evil: Operation Raccoon City</t>
  </si>
  <si>
    <t>Slant Six Games</t>
  </si>
  <si>
    <t>Resistance 2</t>
  </si>
  <si>
    <t>Resistance</t>
  </si>
  <si>
    <t>Resistance 3</t>
  </si>
  <si>
    <t>Resistance: Fall of Man</t>
  </si>
  <si>
    <t>Resonance of Fate</t>
  </si>
  <si>
    <t>Rune Factory: Tides of Destiny</t>
  </si>
  <si>
    <t>Shadows of the Damned</t>
  </si>
  <si>
    <t>Silent Hill: Downpour</t>
  </si>
  <si>
    <t>Vatra Games</t>
  </si>
  <si>
    <t>Siren: Blood Curse</t>
  </si>
  <si>
    <t>Skate</t>
  </si>
  <si>
    <t>EA Black Box</t>
  </si>
  <si>
    <t>Skate 2</t>
  </si>
  <si>
    <t>Skate 3</t>
  </si>
  <si>
    <t>Sly Cooper: Thieves in Time</t>
  </si>
  <si>
    <t>Sonic Unleashed</t>
  </si>
  <si>
    <t>BottleRocket</t>
  </si>
  <si>
    <t>SSX</t>
  </si>
  <si>
    <t>EA Sports</t>
  </si>
  <si>
    <t>EA Canada</t>
  </si>
  <si>
    <t>Starhawk</t>
  </si>
  <si>
    <t>LightBox Interactive</t>
  </si>
  <si>
    <t>Warhawk</t>
  </si>
  <si>
    <t>Tales of Graces f</t>
  </si>
  <si>
    <t>Tales of Xillia</t>
  </si>
  <si>
    <t>Tales of Xillia 2</t>
  </si>
  <si>
    <t>The Godfather II</t>
  </si>
  <si>
    <t>The Godfather</t>
  </si>
  <si>
    <t>The Godfather: The Don's Edition</t>
  </si>
  <si>
    <t>The Ico &amp; Shadow of the Colossus Collection</t>
  </si>
  <si>
    <t>SIE Japan Studio</t>
  </si>
  <si>
    <t>The Sly Collection</t>
  </si>
  <si>
    <t>Time and Eternity</t>
  </si>
  <si>
    <t>Imageepoch</t>
  </si>
  <si>
    <t>Tom Clancy's Splinter Cell: Blacklist</t>
  </si>
  <si>
    <t>Uncharted 2: Among Thieves</t>
  </si>
  <si>
    <t>Uncharted</t>
  </si>
  <si>
    <t>Uncharted 3: Drake's Deception</t>
  </si>
  <si>
    <t>Uncharted: Drake's Fortune</t>
  </si>
  <si>
    <t>Wanted: Weapons of Fate</t>
  </si>
  <si>
    <t>Wet</t>
  </si>
  <si>
    <t>Behaviour Interactive</t>
  </si>
  <si>
    <t>White Knight Chronicles</t>
  </si>
  <si>
    <t>White Knight Chronicles II</t>
  </si>
  <si>
    <t>Wipeout HD Fury</t>
  </si>
  <si>
    <t>SCE Studio Liverpool</t>
  </si>
  <si>
    <t>Wipeout</t>
  </si>
  <si>
    <t>X-Men Origins: Wolverine</t>
  </si>
  <si>
    <t>Yakuza 3</t>
  </si>
  <si>
    <t>Yakuza 4</t>
  </si>
  <si>
    <t>Yakuza: Dead Souls</t>
  </si>
  <si>
    <t>Zone of the Enders: HD Collection</t>
  </si>
  <si>
    <t>Konami Computer Entertainment Japan</t>
  </si>
  <si>
    <t>Catherine</t>
  </si>
  <si>
    <t>Earth Defense Force 2025</t>
  </si>
  <si>
    <t>From Dust</t>
  </si>
  <si>
    <t>God of War: Ascension</t>
  </si>
  <si>
    <t>Ni no Kuni: Wrath of the White Witch</t>
  </si>
  <si>
    <t>Ni no Kuni</t>
  </si>
  <si>
    <t>Risen 3: Titan Lords</t>
  </si>
  <si>
    <t>The Last of Us</t>
  </si>
  <si>
    <t>Tokyo Jungle</t>
  </si>
  <si>
    <t>Crispy's</t>
  </si>
  <si>
    <t>Twisted Metal</t>
  </si>
  <si>
    <t>Eat Sleep Play</t>
  </si>
  <si>
    <t>Unofficial case/artwork</t>
  </si>
  <si>
    <t>Collection with Infamous 2</t>
  </si>
  <si>
    <t>Collection with Infamous</t>
  </si>
  <si>
    <t>PlayStation Plus</t>
  </si>
  <si>
    <t>50 Cent</t>
  </si>
  <si>
    <t>Buzz Monkey</t>
  </si>
  <si>
    <t>Sid Meier's Civilization Revolution</t>
  </si>
  <si>
    <t>Moon: Remix RPG Adventure</t>
  </si>
  <si>
    <t>Pandemonium 2</t>
  </si>
  <si>
    <t>Resident Evil Survivor</t>
  </si>
  <si>
    <t>Syphon Filter: The Omega Strain</t>
  </si>
  <si>
    <t>Syphon Filter: Dark Mirror</t>
  </si>
  <si>
    <t>Syphon Filter: Logan's Shadow</t>
  </si>
  <si>
    <t>Thunder Force V: Perfect System</t>
  </si>
  <si>
    <t>Vandal Hearts II</t>
  </si>
  <si>
    <t>Raw Danger!</t>
  </si>
  <si>
    <t>Echo Night 2: The Lord of Nightmares</t>
  </si>
  <si>
    <t>Growlanser: Wayfarer of Time</t>
  </si>
  <si>
    <t>Destination Software</t>
  </si>
  <si>
    <t>Visual Impact</t>
  </si>
  <si>
    <t>Maximo vs. Army of Zin</t>
  </si>
  <si>
    <t>Capcom Production Studio 8</t>
  </si>
  <si>
    <t>Wild Arms XF</t>
  </si>
  <si>
    <t>Media.Vision</t>
  </si>
  <si>
    <t>A Plague Tale: Innocence</t>
  </si>
  <si>
    <t>Asobo Studio</t>
  </si>
  <si>
    <t>Alone With You</t>
  </si>
  <si>
    <t>Benjamin Rivers Inc.</t>
  </si>
  <si>
    <t>Assassin's Creed Odyssey</t>
  </si>
  <si>
    <t>Assault Suit Leynos</t>
  </si>
  <si>
    <t>Dracue</t>
  </si>
  <si>
    <t>Assault Suit</t>
  </si>
  <si>
    <t>Bloodborne</t>
  </si>
  <si>
    <t>Burnout Paradise Remastered</t>
  </si>
  <si>
    <t>Beenox</t>
  </si>
  <si>
    <t>Danganronpa Trilogy</t>
  </si>
  <si>
    <t>Darksiders III</t>
  </si>
  <si>
    <t>Days Gone</t>
  </si>
  <si>
    <t>Sony Interactive Entertainment</t>
  </si>
  <si>
    <t>SIE Bend Studio</t>
  </si>
  <si>
    <t>Death's Gambit</t>
  </si>
  <si>
    <t>White Rabbit</t>
  </si>
  <si>
    <t>Desert Child</t>
  </si>
  <si>
    <t>Akupara Games</t>
  </si>
  <si>
    <t>Destiny</t>
  </si>
  <si>
    <t>Bungie</t>
  </si>
  <si>
    <t>Detroit: Become Human</t>
  </si>
  <si>
    <t>Devil May Cry 5</t>
  </si>
  <si>
    <t>Muteki Corporation</t>
  </si>
  <si>
    <t>Dragon Quest Builders</t>
  </si>
  <si>
    <t>Square Enix Business Division 5</t>
  </si>
  <si>
    <t>Dragon Quest Heroes II</t>
  </si>
  <si>
    <t>Dragon Quest Heroes: The World Tree's Woe and the Blight Below</t>
  </si>
  <si>
    <t>Dragon Quest XI: Echoes of an Elusive Age</t>
  </si>
  <si>
    <t>Dragon's Crown Pro</t>
  </si>
  <si>
    <t>Enter the Gungeon</t>
  </si>
  <si>
    <t>Dodge Roll</t>
  </si>
  <si>
    <t>Final Fantasy X/X-2 HD Remaster</t>
  </si>
  <si>
    <t>Game Tengoku CruisinMix Special</t>
  </si>
  <si>
    <t>God Eater 2: Rage Burst</t>
  </si>
  <si>
    <t>Shift</t>
  </si>
  <si>
    <t>SIE Santa Monica Studio</t>
  </si>
  <si>
    <t>Gravity Rush 2</t>
  </si>
  <si>
    <t>Gravity Rush</t>
  </si>
  <si>
    <t>Horizon: Zero Dawn</t>
  </si>
  <si>
    <t>Horizon</t>
  </si>
  <si>
    <t>Infamous: Second Son</t>
  </si>
  <si>
    <t>Judgment</t>
  </si>
  <si>
    <t>Ryu Ga Gotoku Studio</t>
  </si>
  <si>
    <t>Killzone: Shadow Fall</t>
  </si>
  <si>
    <t>Kingdom Hearts HD 2.8 Final Chapter Prologue</t>
  </si>
  <si>
    <t>Square Enix Business Division 3</t>
  </si>
  <si>
    <t>Kingdom Hearts III</t>
  </si>
  <si>
    <t>Knack</t>
  </si>
  <si>
    <t>Knack II</t>
  </si>
  <si>
    <t>Left Alive</t>
  </si>
  <si>
    <t>Mirror's Edge Catalyst</t>
  </si>
  <si>
    <t>NBA 2K14</t>
  </si>
  <si>
    <t>2K Sports</t>
  </si>
  <si>
    <t>NBA 2K</t>
  </si>
  <si>
    <t>Ni no Kuni II: Revenant Kingdom</t>
  </si>
  <si>
    <t>Ōkami HD</t>
  </si>
  <si>
    <t>Onimusha Warlords</t>
  </si>
  <si>
    <t>Persona 5</t>
  </si>
  <si>
    <t>Rad Rodgers</t>
  </si>
  <si>
    <t>Slipgate Studios</t>
  </si>
  <si>
    <t>Rage 2</t>
  </si>
  <si>
    <t>Red Dead Redemption II</t>
  </si>
  <si>
    <t>Capcom R&amp;D Division 1</t>
  </si>
  <si>
    <t>Bluepoint Games</t>
  </si>
  <si>
    <t>Shenmue I &amp; II</t>
  </si>
  <si>
    <t>Soulcalibur VI</t>
  </si>
  <si>
    <t>Soulcalibur</t>
  </si>
  <si>
    <t>Spyro: Reignited Trilogy</t>
  </si>
  <si>
    <t>The First Tree</t>
  </si>
  <si>
    <t>David Wehle</t>
  </si>
  <si>
    <t>The King of Fighters '97: Global Match</t>
  </si>
  <si>
    <t>The Last Guardian</t>
  </si>
  <si>
    <t>The Last of Us Remastered</t>
  </si>
  <si>
    <t>The Legend of Heroes: Trails of Cold Steel</t>
  </si>
  <si>
    <t>The Legend of Heroes: Trails of Cold Steel II</t>
  </si>
  <si>
    <t>The Nonary Games</t>
  </si>
  <si>
    <t>The Order: 1886</t>
  </si>
  <si>
    <t>The Sinking City</t>
  </si>
  <si>
    <t>Bigben Interactive</t>
  </si>
  <si>
    <t>Frogwares</t>
  </si>
  <si>
    <t>Uncharted 4: A Thief's End</t>
  </si>
  <si>
    <t>Uncharted: The Lost Legacy</t>
  </si>
  <si>
    <t>Valkyria Chronicles 4</t>
  </si>
  <si>
    <t>XCOM 2</t>
  </si>
  <si>
    <t>Yakuza 6: The Song of Life</t>
  </si>
  <si>
    <t>Yakuza Kiwami 2</t>
  </si>
  <si>
    <t>Alienation</t>
  </si>
  <si>
    <t>Beyond: Two Souls</t>
  </si>
  <si>
    <t>Call of Duty: Black Ops III</t>
  </si>
  <si>
    <t>Everybody's Gone to the Rapture</t>
  </si>
  <si>
    <t>God Eater Resurrection</t>
  </si>
  <si>
    <t>God of War III Remastered</t>
  </si>
  <si>
    <t>Gravity Rush Remastered</t>
  </si>
  <si>
    <t>Heavy Rain</t>
  </si>
  <si>
    <t>LittleBigPlanet 3</t>
  </si>
  <si>
    <t>Onrush</t>
  </si>
  <si>
    <t>Codemasters Evo</t>
  </si>
  <si>
    <t>Resogun</t>
  </si>
  <si>
    <t>Sound Shapes</t>
  </si>
  <si>
    <t>Queasy Games</t>
  </si>
  <si>
    <t>Tearaway Unfolded</t>
  </si>
  <si>
    <t>Tearaway</t>
  </si>
  <si>
    <t>Transformers: Devastation</t>
  </si>
  <si>
    <t>Transformers</t>
  </si>
  <si>
    <t>Until Dawn</t>
  </si>
  <si>
    <t>Supermassive Games</t>
  </si>
  <si>
    <t>Until Dawn: Rush of Blood</t>
  </si>
  <si>
    <t>Valkyria Chronicles Remastered</t>
  </si>
  <si>
    <t>Yakuza Kiwami</t>
  </si>
  <si>
    <t>Sega of America</t>
  </si>
  <si>
    <t>Zettai Zetsumei Toshi 3: Kowareyuku Machi to Kanojo no Uta</t>
  </si>
  <si>
    <t>Crash Team Racing: Nitro-Fueled</t>
  </si>
  <si>
    <t>Infamous: First Light</t>
  </si>
  <si>
    <t>Kingdom Hearts HD 1.5 + II.5 ReMIX</t>
  </si>
  <si>
    <t>NieR: Automata - Game of the YoRHa Edition</t>
  </si>
  <si>
    <t>Assassin's Creed: Bloodlines</t>
  </si>
  <si>
    <t>Astonishia Story</t>
  </si>
  <si>
    <t>Brave Story: New Traveler</t>
  </si>
  <si>
    <t>Every Extend Extra</t>
  </si>
  <si>
    <t>Gungnir</t>
  </si>
  <si>
    <t>Kingdom Hearts: Birth by Sleep</t>
  </si>
  <si>
    <t>Last Ranker</t>
  </si>
  <si>
    <t>LocoRoco 2</t>
  </si>
  <si>
    <t>Mega Man: Powered Up</t>
  </si>
  <si>
    <t>Metal Gear Acid</t>
  </si>
  <si>
    <t>Metal Gear Acid 2</t>
  </si>
  <si>
    <t>Patapon 2</t>
  </si>
  <si>
    <t>Patapon 3</t>
  </si>
  <si>
    <t>Prinny 2: Dawn of Operation Panties, Dood!</t>
  </si>
  <si>
    <t>The Legend of Heroes II: Prophecy of the Moonlight Witch</t>
  </si>
  <si>
    <t>The Legend of Heroes III: Song of the Ocean</t>
  </si>
  <si>
    <t>The Legend of Heroes: A Tear of Vermillion</t>
  </si>
  <si>
    <t>The Legend of Heroes: Trails in the Sky</t>
  </si>
  <si>
    <t>What Did I Do to Deserve This, My Lord!?</t>
  </si>
  <si>
    <t>What Did I Do To Deserve This, My Lord!? 2</t>
  </si>
  <si>
    <t>Castlevania: The Dracula X Chronicles</t>
  </si>
  <si>
    <t>Corpse Party</t>
  </si>
  <si>
    <t>Corpse Party: Book of Shadows</t>
  </si>
  <si>
    <t>Crimson Gem Saga</t>
  </si>
  <si>
    <t>Crisis Core: Final Fantasy VII</t>
  </si>
  <si>
    <t>Daxter</t>
  </si>
  <si>
    <t>Disgaea Infinite</t>
  </si>
  <si>
    <t>Echochrome</t>
  </si>
  <si>
    <t>Final Fantasy IV: The Complete Collection</t>
  </si>
  <si>
    <t>Final Fantasy Tactics: The War of the Lions</t>
  </si>
  <si>
    <t>Final Fantasy Type-0</t>
  </si>
  <si>
    <t>God of War: Chains of Olympus</t>
  </si>
  <si>
    <t>God of War: Ghost of Sparta</t>
  </si>
  <si>
    <t>Grand Knights History</t>
  </si>
  <si>
    <t>Grand Theft Auto: Liberty City Stories</t>
  </si>
  <si>
    <t>Grand Theft Auto: Vice City Stories</t>
  </si>
  <si>
    <t>LocoRoco</t>
  </si>
  <si>
    <t>Metal Gear Solid: Portable Ops</t>
  </si>
  <si>
    <t>Patapon</t>
  </si>
  <si>
    <t>Prinny: Can I Really Be the Hero?</t>
  </si>
  <si>
    <t>Ratchet &amp; Clank: Size Matters</t>
  </si>
  <si>
    <t>Senjō no Valkyria 3: Unrecorded Chronicles</t>
  </si>
  <si>
    <t>Spectral Souls: Resurrection of the Ethereal Empires</t>
  </si>
  <si>
    <t>The 3rd Birthday</t>
  </si>
  <si>
    <t>Valkyria Chronicles II</t>
  </si>
  <si>
    <t>Ys Seven</t>
  </si>
  <si>
    <t>Dead Head Fred</t>
  </si>
  <si>
    <t>Jeanne d'Arc</t>
  </si>
  <si>
    <t>Sonnori</t>
  </si>
  <si>
    <t>Game Republic</t>
  </si>
  <si>
    <t>Brave Story</t>
  </si>
  <si>
    <t>Pyramid</t>
  </si>
  <si>
    <t>Buena Vista Games</t>
  </si>
  <si>
    <t>Every Extend</t>
  </si>
  <si>
    <t>Japan Studio</t>
  </si>
  <si>
    <t>G-Artists</t>
  </si>
  <si>
    <t>Prinny</t>
  </si>
  <si>
    <t>What Did I Do To Deserve This!?</t>
  </si>
  <si>
    <t>Team GrisGris</t>
  </si>
  <si>
    <t>IRONNOS Software</t>
  </si>
  <si>
    <t>Game Yarouze</t>
  </si>
  <si>
    <t>Dariusburst</t>
  </si>
  <si>
    <t>Echoshift</t>
  </si>
  <si>
    <t>LocoRoco: Midnight Carnival</t>
  </si>
  <si>
    <t>Mega Man: Maverick Hunter X</t>
  </si>
  <si>
    <t>The Legend of Heroes: Trails in the Sky SC</t>
  </si>
  <si>
    <t>Exist Archive: The Other Side of the Sky</t>
  </si>
  <si>
    <t>Freedom Wars</t>
  </si>
  <si>
    <t>Guacamelee!</t>
  </si>
  <si>
    <t>LittleBigPlanet PS Vita</t>
  </si>
  <si>
    <t>Lumines: Electronic Symphony</t>
  </si>
  <si>
    <t>Muramasa Rebirth</t>
  </si>
  <si>
    <t>Rayman Legends</t>
  </si>
  <si>
    <t>Resistance: Burning Skies</t>
  </si>
  <si>
    <t>Nihilistic Software</t>
  </si>
  <si>
    <t>Shakedown: Hawaii</t>
  </si>
  <si>
    <t>Soul Sacrifice</t>
  </si>
  <si>
    <t>Tales from Space: Mutant Blobs Attack!!!</t>
  </si>
  <si>
    <t>Uncharted: Golden Abyss</t>
  </si>
  <si>
    <t>Persona 4 Golden</t>
  </si>
  <si>
    <t>Space Hulk</t>
  </si>
  <si>
    <t>Funbox Media</t>
  </si>
  <si>
    <t>Full Control</t>
  </si>
  <si>
    <t>Super Monkey Ball: Banana Splitz</t>
  </si>
  <si>
    <t>Zero Escape: Virtue's Last Reward</t>
  </si>
  <si>
    <t>Crimson Skies: High Road to Revenge</t>
  </si>
  <si>
    <t>FASA Studio</t>
  </si>
  <si>
    <t>Crimson Skies</t>
  </si>
  <si>
    <t>Ninja Gaiden Black</t>
  </si>
  <si>
    <t>Grabbed by the Ghoulies</t>
  </si>
  <si>
    <t>Jet Set Radio Future</t>
  </si>
  <si>
    <t>Metal Wolf Chaos</t>
  </si>
  <si>
    <t>Panzer Dragoon Orta</t>
  </si>
  <si>
    <t>Gears of War</t>
  </si>
  <si>
    <t>Epic Games</t>
  </si>
  <si>
    <t>Gears of War 2</t>
  </si>
  <si>
    <t>Gears of War 3</t>
  </si>
  <si>
    <t>Gears of War: Judgment</t>
  </si>
  <si>
    <t>Project Sylpheed</t>
  </si>
  <si>
    <t>Assassin's Creed II</t>
  </si>
  <si>
    <t>Konami Computer Entertainment Tokyo</t>
  </si>
  <si>
    <t>Crackdown</t>
  </si>
  <si>
    <t>Realtime Worlds</t>
  </si>
  <si>
    <t>Crackdown 2</t>
  </si>
  <si>
    <t>Ruffian Games</t>
  </si>
  <si>
    <t>Dead Rising 2: Case Zero</t>
  </si>
  <si>
    <t>Dig Dug</t>
  </si>
  <si>
    <t>Arcade</t>
  </si>
  <si>
    <t>Dragon Age II</t>
  </si>
  <si>
    <t>Fable III</t>
  </si>
  <si>
    <t>Galaga</t>
  </si>
  <si>
    <t>Geometry Wars: Retro Evolved</t>
  </si>
  <si>
    <t>Geometry Wars: Retro Evolved 2</t>
  </si>
  <si>
    <t>Halo 3</t>
  </si>
  <si>
    <t>Hard Corps: Uprising</t>
  </si>
  <si>
    <t>ilomilo</t>
  </si>
  <si>
    <t>Lost Odyssey</t>
  </si>
  <si>
    <t>Mega Man 10</t>
  </si>
  <si>
    <t>Metal Gear Solid: Peace Walker HD</t>
  </si>
  <si>
    <t>Ms. Pac-Man</t>
  </si>
  <si>
    <t>Shadow Complex</t>
  </si>
  <si>
    <t>Chair Entertainment</t>
  </si>
  <si>
    <t>Mossmouth, LLC</t>
  </si>
  <si>
    <t>The Cave</t>
  </si>
  <si>
    <t>The Maw</t>
  </si>
  <si>
    <t>The Misadventures of P.B. Winterbottom</t>
  </si>
  <si>
    <t>2K Play</t>
  </si>
  <si>
    <t>The Odd Gentlemen</t>
  </si>
  <si>
    <t>Zuma</t>
  </si>
  <si>
    <t>Oberon Media</t>
  </si>
  <si>
    <t>Halo: Combat Evolved</t>
  </si>
  <si>
    <t>Halo 2</t>
  </si>
  <si>
    <t>Bungie Studios</t>
  </si>
  <si>
    <t>Burnout Paradise</t>
  </si>
  <si>
    <t>Battlefield: Bad Company</t>
  </si>
  <si>
    <t>Robert Ludlum's The Bourne Conspiracy</t>
  </si>
  <si>
    <t>Banjo-Kazooie: Nuts &amp; Bolts</t>
  </si>
  <si>
    <t>Fallout 3</t>
  </si>
  <si>
    <t>The Elder Scrolls IV: Shivering Isles</t>
  </si>
  <si>
    <t>DICE</t>
  </si>
  <si>
    <t>Battlefield</t>
  </si>
  <si>
    <t>Bourne</t>
  </si>
  <si>
    <t>Disney</t>
  </si>
  <si>
    <t>Vigil Games</t>
  </si>
  <si>
    <t>Call of Duty 2</t>
  </si>
  <si>
    <t>Fable II</t>
  </si>
  <si>
    <t>Call of Duty 3</t>
  </si>
  <si>
    <t>Darksiders II</t>
  </si>
  <si>
    <t>Assassin's Creed III</t>
  </si>
  <si>
    <t>Call of Duty: Black Ops II</t>
  </si>
  <si>
    <t>Red Dead Redemption</t>
  </si>
  <si>
    <t>Halo: Reach</t>
  </si>
  <si>
    <t>Arkedo Series - 02 SWAP!</t>
  </si>
  <si>
    <t>Arkedo Series - 03 PIXEL!</t>
  </si>
  <si>
    <t>Fishing Girl</t>
  </si>
  <si>
    <t>I MAED A GAM3 W1TH Z0MB1ES</t>
  </si>
  <si>
    <t>Miner Dig Deep</t>
  </si>
  <si>
    <t>Protect Me Knight</t>
  </si>
  <si>
    <t>Shoot 1UP</t>
  </si>
  <si>
    <t>Arkedo Series - 01 JUMP!</t>
  </si>
  <si>
    <t>radiangames JoyJoy</t>
  </si>
  <si>
    <t>radiangames Crossfire</t>
  </si>
  <si>
    <t>Groov</t>
  </si>
  <si>
    <t>Johnny Platform's Biscuit Romp</t>
  </si>
  <si>
    <t>Retrofit: Overload</t>
  </si>
  <si>
    <t>Platformance: Castle Pain</t>
  </si>
  <si>
    <t>Leave Home</t>
  </si>
  <si>
    <t>Weapon of Choice</t>
  </si>
  <si>
    <t>Monsters (Probably) Stole My Princess</t>
  </si>
  <si>
    <t>Star Crisis</t>
  </si>
  <si>
    <t>radiangames Inferno</t>
  </si>
  <si>
    <t>Soulcaster</t>
  </si>
  <si>
    <t>Streets of Fury</t>
  </si>
  <si>
    <t>Ophidian Wars: Opac's Journey</t>
  </si>
  <si>
    <t>Halfbrick Echoes</t>
  </si>
  <si>
    <t>A Shooter</t>
  </si>
  <si>
    <t>Hypership Out of Control</t>
  </si>
  <si>
    <t>Explosionade</t>
  </si>
  <si>
    <t>radiangames Fluid</t>
  </si>
  <si>
    <t>Decimation X</t>
  </si>
  <si>
    <t>Didgery</t>
  </si>
  <si>
    <t>radiangames Fireball</t>
  </si>
  <si>
    <t>Squid Yes! Not So Octopus!</t>
  </si>
  <si>
    <t>U Want Cookie?</t>
  </si>
  <si>
    <t>The Tempura of the Dead</t>
  </si>
  <si>
    <t>The Deep Cave</t>
  </si>
  <si>
    <t>Treasure Treasure: FFEE</t>
  </si>
  <si>
    <t>Aesop's Garden</t>
  </si>
  <si>
    <t>Aah Little Atlantis</t>
  </si>
  <si>
    <t>Vampire Rage</t>
  </si>
  <si>
    <t>FlipSide</t>
  </si>
  <si>
    <t>Break Limit</t>
  </si>
  <si>
    <t>Gravi Dot</t>
  </si>
  <si>
    <t>Zombie Accountant</t>
  </si>
  <si>
    <t>Chu's Dynasty</t>
  </si>
  <si>
    <t>radiangames Crossfire 2</t>
  </si>
  <si>
    <t>Decimation X3</t>
  </si>
  <si>
    <t>Aphelion: Episode One: Graves of Earth</t>
  </si>
  <si>
    <t>Football Games Room</t>
  </si>
  <si>
    <t>Inertia!</t>
  </si>
  <si>
    <t>Soulcaster II</t>
  </si>
  <si>
    <t>Aphelion: Episode Two: Wings of Omega</t>
  </si>
  <si>
    <t>OSR Unhinged</t>
  </si>
  <si>
    <t>Score Rush</t>
  </si>
  <si>
    <t>Zombie Estate</t>
  </si>
  <si>
    <t>Hyper Button</t>
  </si>
  <si>
    <t>Decay - Part 1</t>
  </si>
  <si>
    <t>REVOLVER360</t>
  </si>
  <si>
    <t>Space Police on SuperHighway 9</t>
  </si>
  <si>
    <t>Curse of the Crescent Isle</t>
  </si>
  <si>
    <t>Vorpal</t>
  </si>
  <si>
    <t>Echoes+</t>
  </si>
  <si>
    <t>Aah Impossible Rescue</t>
  </si>
  <si>
    <t>MotorHEAT</t>
  </si>
  <si>
    <t>Trivia Or Die</t>
  </si>
  <si>
    <t>Tester Phase One</t>
  </si>
  <si>
    <t>radiangames Ballistic</t>
  </si>
  <si>
    <t>Old School Racer</t>
  </si>
  <si>
    <t>Infinity Danger</t>
  </si>
  <si>
    <t>Iredia: Atram's Secret</t>
  </si>
  <si>
    <t>Rad Raygun</t>
  </si>
  <si>
    <t>Gateways!</t>
  </si>
  <si>
    <t>Bonded Realities</t>
  </si>
  <si>
    <t>Antipole</t>
  </si>
  <si>
    <t>Arkedo Series</t>
  </si>
  <si>
    <t>Eric Woroshow</t>
  </si>
  <si>
    <t>James Silva</t>
  </si>
  <si>
    <t>Robir</t>
  </si>
  <si>
    <t>radiangames</t>
  </si>
  <si>
    <t>Funkmasonry Industries</t>
  </si>
  <si>
    <t>Ishisoft</t>
  </si>
  <si>
    <t>Johnny Platform</t>
  </si>
  <si>
    <t>Wam Games</t>
  </si>
  <si>
    <t>Magiko Gaming</t>
  </si>
  <si>
    <t>Platformance</t>
  </si>
  <si>
    <t>Hermit Games</t>
  </si>
  <si>
    <t>Excalibur Studios</t>
  </si>
  <si>
    <t>Magical Time Bean</t>
  </si>
  <si>
    <t>Andrew Russell</t>
  </si>
  <si>
    <t>Cyrille Lagarigue</t>
  </si>
  <si>
    <t>Small Cave Games</t>
  </si>
  <si>
    <t>Tempula</t>
  </si>
  <si>
    <t>Halfbrick</t>
  </si>
  <si>
    <t>VoodooChief</t>
  </si>
  <si>
    <t>Fun Infused Games</t>
  </si>
  <si>
    <t>Xona Games</t>
  </si>
  <si>
    <t>Lotus Games</t>
  </si>
  <si>
    <t>Loafjaw</t>
  </si>
  <si>
    <t>AxB</t>
  </si>
  <si>
    <t>Penny Bridge</t>
  </si>
  <si>
    <t>Treasure Treasure</t>
  </si>
  <si>
    <t>Aah Games</t>
  </si>
  <si>
    <t>Aah</t>
  </si>
  <si>
    <t>Tricktale</t>
  </si>
  <si>
    <t>BOKstuff</t>
  </si>
  <si>
    <t>Zombie Monkey Games</t>
  </si>
  <si>
    <t>Cyber Edge Studios</t>
  </si>
  <si>
    <t>Educational</t>
  </si>
  <si>
    <t>Tribetoy</t>
  </si>
  <si>
    <t>Lunatic Studios</t>
  </si>
  <si>
    <t>Aphelion</t>
  </si>
  <si>
    <t>Greenstone Games</t>
  </si>
  <si>
    <t>Special Topics</t>
  </si>
  <si>
    <t>Riddlersoft</t>
  </si>
  <si>
    <t>Jeremy Verchick</t>
  </si>
  <si>
    <t>Red Crest Studios</t>
  </si>
  <si>
    <t>Shining Gate Software</t>
  </si>
  <si>
    <t>Decay</t>
  </si>
  <si>
    <t>Haiku Interactive</t>
  </si>
  <si>
    <t>Abraham Morales</t>
  </si>
  <si>
    <t>Binary Zoo</t>
  </si>
  <si>
    <t>Trivia</t>
  </si>
  <si>
    <t>DK Alpha</t>
  </si>
  <si>
    <t>CEIEC</t>
  </si>
  <si>
    <t>TRU FUN Entertainment</t>
  </si>
  <si>
    <t>Smudged Cat Games</t>
  </si>
  <si>
    <t>Saturnine Games</t>
  </si>
  <si>
    <t>Xbox Live Indie Games</t>
  </si>
  <si>
    <t>Alien Hominid HD</t>
  </si>
  <si>
    <t>Teenage Mutant Ninja Turtles: Turtles in Time Re-Shelled</t>
  </si>
  <si>
    <t>Dash of Destruction</t>
  </si>
  <si>
    <t>Aegis Wing</t>
  </si>
  <si>
    <t>Space Invaders Extreme</t>
  </si>
  <si>
    <t>Duke Nukem 3D</t>
  </si>
  <si>
    <t>Marvel vs. Capcom 2: New Age of Heroes</t>
  </si>
  <si>
    <t>Risk: Factions</t>
  </si>
  <si>
    <t>Castlevania: Harmony of Despair</t>
  </si>
  <si>
    <t>Scott Pilgrim vs. The World: The Game</t>
  </si>
  <si>
    <t>Doritos Crash Course</t>
  </si>
  <si>
    <t>Harms Way</t>
  </si>
  <si>
    <t>O3 Entertainment</t>
  </si>
  <si>
    <t>Ubisoft Singapore</t>
  </si>
  <si>
    <t>OneBigGame</t>
  </si>
  <si>
    <t>Zoë Mode</t>
  </si>
  <si>
    <t>NinjaBee</t>
  </si>
  <si>
    <t>3D Realms</t>
  </si>
  <si>
    <t>Risk</t>
  </si>
  <si>
    <t>Wanako Games</t>
  </si>
  <si>
    <t>Bongfish</t>
  </si>
  <si>
    <t>The Orange Box</t>
  </si>
  <si>
    <t>Compilation</t>
  </si>
  <si>
    <t>Teenage Mutant Ninja Turtles 1989 Classic Arcade</t>
  </si>
  <si>
    <t>Alien Hominid</t>
  </si>
  <si>
    <t>Borderlands: Game of the Year Edition</t>
  </si>
  <si>
    <t>Borderlands: The Handsome Collection</t>
  </si>
  <si>
    <t>Call of Duty: Infinite Warfare</t>
  </si>
  <si>
    <t>Crackdown 3</t>
  </si>
  <si>
    <t>Xbox Game Studios</t>
  </si>
  <si>
    <t>Dark Souls III: The Fire Fades</t>
  </si>
  <si>
    <t>Gears of War 4</t>
  </si>
  <si>
    <t>The Coalition</t>
  </si>
  <si>
    <t>Gears of War: Ultimate Edition</t>
  </si>
  <si>
    <t>Halo 5: Guardians</t>
  </si>
  <si>
    <t>Halo: The Master Chief Collection</t>
  </si>
  <si>
    <t>Mass Effect: Andromeda</t>
  </si>
  <si>
    <t>Rare Replay</t>
  </si>
  <si>
    <t>Sunset Overdrive</t>
  </si>
  <si>
    <t>Super Lucky's Tale</t>
  </si>
  <si>
    <t>Playful Corp.</t>
  </si>
  <si>
    <t>Anthem</t>
  </si>
  <si>
    <t>Battlefield 1</t>
  </si>
  <si>
    <t>Battlefield 3</t>
  </si>
  <si>
    <t>Battlefield 4</t>
  </si>
  <si>
    <t>Battlefield: Bad Company 2</t>
  </si>
  <si>
    <t>Command &amp; Conquer 3: Kane's Wrath</t>
  </si>
  <si>
    <t>Command &amp; Conquer 3: Tiberium Wars</t>
  </si>
  <si>
    <t>Command &amp; Conquer 4: Tiberian Twilight</t>
  </si>
  <si>
    <t>Command &amp; Conquer: Generals</t>
  </si>
  <si>
    <t>EA Pacific</t>
  </si>
  <si>
    <t>Command &amp; Conquer: Generals - Zero Hour</t>
  </si>
  <si>
    <t>Command &amp; Conquer: Red Alert</t>
  </si>
  <si>
    <t>Command &amp; Conquer: Red Alert - Counterstrike</t>
  </si>
  <si>
    <t>Command &amp; Conquer: Red Alert - The Aftermath</t>
  </si>
  <si>
    <t>Command &amp; Conquer: Red Alert 2</t>
  </si>
  <si>
    <t>Westwood Pacific</t>
  </si>
  <si>
    <t>Command &amp; Conquer: Red Alert 2 - Yuri's Revenge</t>
  </si>
  <si>
    <t>Command &amp; Conquer: Renegade</t>
  </si>
  <si>
    <t>Command &amp; Conquer: The Covert Operations</t>
  </si>
  <si>
    <t>Command &amp; Conquer: Tiberian Sun</t>
  </si>
  <si>
    <t>Command &amp; Conquer: Tiberian Sun - Firestorm</t>
  </si>
  <si>
    <t>Crysis 3</t>
  </si>
  <si>
    <t>Crytek Frankfurt</t>
  </si>
  <si>
    <t>Dead Space 3</t>
  </si>
  <si>
    <t>Medal of Honor: Allied Assault</t>
  </si>
  <si>
    <t>2015, Inc.</t>
  </si>
  <si>
    <t>Star Wars Battlefront II</t>
  </si>
  <si>
    <t>Syndicate</t>
  </si>
  <si>
    <t>The Saboteur</t>
  </si>
  <si>
    <t>Titanfall</t>
  </si>
  <si>
    <t>Respawn Entertainment</t>
  </si>
  <si>
    <t>Titanfall 2</t>
  </si>
  <si>
    <t>Wing Commander III: Heart of the Tiger</t>
  </si>
  <si>
    <t>Wing Commander</t>
  </si>
  <si>
    <t>Space Combat</t>
  </si>
  <si>
    <t>Chameleon Twist</t>
  </si>
  <si>
    <t>Chameleon Twist 2</t>
  </si>
  <si>
    <t>Doom 64</t>
  </si>
  <si>
    <t>Dr. Mario 64</t>
  </si>
  <si>
    <t>Dr. Mario</t>
  </si>
  <si>
    <t>Duke Nukem 64</t>
  </si>
  <si>
    <t>Duke Nukem: Zero Hour</t>
  </si>
  <si>
    <t>Earthworm Jim 3D</t>
  </si>
  <si>
    <t>VIS Interactive</t>
  </si>
  <si>
    <t>Fighters Destiny</t>
  </si>
  <si>
    <t>Fighter Destiny 2</t>
  </si>
  <si>
    <t>Imagineer</t>
  </si>
  <si>
    <t>Gauntlet Legends</t>
  </si>
  <si>
    <t>Atari Games</t>
  </si>
  <si>
    <t>Gauntlet: Dark Legacy</t>
  </si>
  <si>
    <t>Gex: Enter the Gecko</t>
  </si>
  <si>
    <t>Gex 3: Deep Cover Gecko</t>
  </si>
  <si>
    <t>Glover</t>
  </si>
  <si>
    <t>Hasbro Interactive</t>
  </si>
  <si>
    <t>Interactive Studios</t>
  </si>
  <si>
    <t>Mortal Kombat 4</t>
  </si>
  <si>
    <t>Mortal Kombat Mythologies: Sub-Zero</t>
  </si>
  <si>
    <t>Neon Genesis Evangelion</t>
  </si>
  <si>
    <t>Pilotwings 64</t>
  </si>
  <si>
    <t>Quake</t>
  </si>
  <si>
    <t>Quake II</t>
  </si>
  <si>
    <t>Raster Productions</t>
  </si>
  <si>
    <t>Quest 64</t>
  </si>
  <si>
    <t>Shadowgate 64: Trials of the Four Towers</t>
  </si>
  <si>
    <t>TNS</t>
  </si>
  <si>
    <t>Snowboard Kids</t>
  </si>
  <si>
    <t>Racdym</t>
  </si>
  <si>
    <t>Snowboard Kids 2</t>
  </si>
  <si>
    <t>Star Soldier: Vanishing Earth</t>
  </si>
  <si>
    <t>StarCraft 64</t>
  </si>
  <si>
    <t>StarCraft</t>
  </si>
  <si>
    <t>Acclaim Studios Austin</t>
  </si>
  <si>
    <t>Wave Race 64</t>
  </si>
  <si>
    <t>Wave Race</t>
  </si>
  <si>
    <t>Tony Hawk's Pro Skater</t>
  </si>
  <si>
    <t>Neversoft</t>
  </si>
  <si>
    <t>Tony Hawk's Pro Skater 2</t>
  </si>
  <si>
    <t>Tom Clancy's Rainbow Six</t>
  </si>
  <si>
    <t>Red Storm Entertainment</t>
  </si>
  <si>
    <t>Rainbow Six</t>
  </si>
  <si>
    <t>Cowboy Bebop</t>
  </si>
  <si>
    <t>Nightmare Creatures</t>
  </si>
  <si>
    <t>Kalisto Entertainment</t>
  </si>
  <si>
    <t>Nightmare Creatures II</t>
  </si>
  <si>
    <t>Tony Hawk's Pro Skater 3</t>
  </si>
  <si>
    <t>Cowboy Bebop: Tsuioku no Serenade</t>
  </si>
  <si>
    <t>Quest: Brian's Journey</t>
  </si>
  <si>
    <t>Final Soldier</t>
  </si>
  <si>
    <t>Star Soldier R</t>
  </si>
  <si>
    <t>Starship Hector</t>
  </si>
  <si>
    <t>Super Star Force: Jikūreki no Himitsu</t>
  </si>
  <si>
    <t>Star Force</t>
  </si>
  <si>
    <t>Mega Force</t>
  </si>
  <si>
    <t>Final Star Force</t>
  </si>
  <si>
    <t>Wave Race: Blue Storm</t>
  </si>
  <si>
    <t>Aegis Defenders</t>
  </si>
  <si>
    <t>Guts Department</t>
  </si>
  <si>
    <t>Battle Garegga Rev.2016</t>
  </si>
  <si>
    <t>Amazing Island</t>
  </si>
  <si>
    <t>Donkey Konga</t>
  </si>
  <si>
    <t>Donkey Konga 2</t>
  </si>
  <si>
    <t>Freedom Fighters</t>
  </si>
  <si>
    <t>Cel Damage</t>
  </si>
  <si>
    <t>Pseudo Interactive</t>
  </si>
  <si>
    <t>Chaos Field</t>
  </si>
  <si>
    <t>MileStone</t>
  </si>
  <si>
    <t>Donkey Konga 3</t>
  </si>
  <si>
    <t>Doshin the Giant</t>
  </si>
  <si>
    <t>Param</t>
  </si>
  <si>
    <t>Gotcha Force</t>
  </si>
  <si>
    <t>Goblin Commander: Unleash the Horde</t>
  </si>
  <si>
    <t>Gun</t>
  </si>
  <si>
    <t>Harvest Moon: A Wonderful Life</t>
  </si>
  <si>
    <t>Victor Interactive Software</t>
  </si>
  <si>
    <t>Harvest Moon: Another Wonderful Life</t>
  </si>
  <si>
    <t>Harvest Moon: Magical Melody</t>
  </si>
  <si>
    <t>Marvelous Interactive</t>
  </si>
  <si>
    <t>The Hobbit</t>
  </si>
  <si>
    <t>Inevitable Entertainment</t>
  </si>
  <si>
    <t>Kirby Air Ride</t>
  </si>
  <si>
    <t>The Lord of the Rings: The Return of the King</t>
  </si>
  <si>
    <t>The Lord of the Rings: The Third Age</t>
  </si>
  <si>
    <t>The Lord of the Rings: The Two Towers</t>
  </si>
  <si>
    <t>Stormfront Studios</t>
  </si>
  <si>
    <t>Mario Golf: Toadstool Tour</t>
  </si>
  <si>
    <t>Odama</t>
  </si>
  <si>
    <t>Vivarium</t>
  </si>
  <si>
    <t>Cranky Pants Games</t>
  </si>
  <si>
    <t>Second Sight</t>
  </si>
  <si>
    <t>Shadow the Hedgehog</t>
  </si>
  <si>
    <t>Sega Studios USA</t>
  </si>
  <si>
    <t>Super Mario Strikers</t>
  </si>
  <si>
    <t>Soul Reaver 2</t>
  </si>
  <si>
    <t>Blood Omen 2</t>
  </si>
  <si>
    <t>Legacy of Kain: Defiance</t>
  </si>
  <si>
    <t>Cyber Empires</t>
  </si>
  <si>
    <t>Millennium Interactive</t>
  </si>
  <si>
    <t>Silicion Knights</t>
  </si>
  <si>
    <t>Fantasy Empires</t>
  </si>
  <si>
    <t>Strategic Simulations</t>
  </si>
  <si>
    <t>Too Human</t>
  </si>
  <si>
    <t>SNK vs. Capcom: The Match of the Millennium</t>
  </si>
  <si>
    <t>SNK vs. Capcom</t>
  </si>
  <si>
    <t>Capcom vs. SNK: Millennium Fight 2000</t>
  </si>
  <si>
    <t>Capcom vs. SNK 2: Mark of the Millennium 2001</t>
  </si>
  <si>
    <t>SNK vs. Capcom: SVC Chaos</t>
  </si>
  <si>
    <t>Call of Duty: Modern Warfare: Mobilized</t>
  </si>
  <si>
    <t>Call of Duty: Modern Warfare 3 – Defiance</t>
  </si>
  <si>
    <t>Call of Duty: Modern Warfare – Reflex Edition</t>
  </si>
  <si>
    <t>Call of Duty: Black Ops</t>
  </si>
  <si>
    <t>Call of Duty: Finest Hour</t>
  </si>
  <si>
    <t>Call of Duty 2: Big Red One</t>
  </si>
  <si>
    <t>Call of Duty: World at War – Final Fronts</t>
  </si>
  <si>
    <t>Call of Duty: Roads to Victory</t>
  </si>
  <si>
    <t>Amaze Entertainment</t>
  </si>
  <si>
    <t>Call of Duty: Black Ops: Declassified</t>
  </si>
  <si>
    <t>nStigate Games</t>
  </si>
  <si>
    <t>Burnout 2: Point of Impact</t>
  </si>
  <si>
    <t>Burnout 3: Takedown</t>
  </si>
  <si>
    <t>Burnout Revenge</t>
  </si>
  <si>
    <t>Burnout Dominator</t>
  </si>
  <si>
    <t>EA UK</t>
  </si>
  <si>
    <t>Burnout Legends</t>
  </si>
  <si>
    <t>The Need for Speed</t>
  </si>
  <si>
    <t>Defender</t>
  </si>
  <si>
    <t>OutLook Entertainment</t>
  </si>
  <si>
    <t>Spyro: Year of the Dragon</t>
  </si>
  <si>
    <t>Spyro: Shadow Legacy</t>
  </si>
  <si>
    <t>Spyro: Enter the Dragonfly</t>
  </si>
  <si>
    <t>Check Six Studios</t>
  </si>
  <si>
    <t>Spyro: A Hero's Tail</t>
  </si>
  <si>
    <t>The Legend of Spyro: A New Beginning</t>
  </si>
  <si>
    <t>The Legend of Spyro: The Eternal Night</t>
  </si>
  <si>
    <t>The Legend of Spyro: Dawn of the Dragon</t>
  </si>
  <si>
    <t>Étranges Libellules</t>
  </si>
  <si>
    <t>Medal of Honor: Underground</t>
  </si>
  <si>
    <t>Medal of Honor: Frontline</t>
  </si>
  <si>
    <t>Medal of Honor: Rising Sun</t>
  </si>
  <si>
    <t>Medal of Honor: European Assault</t>
  </si>
  <si>
    <t>Medal of Honor: Heroes</t>
  </si>
  <si>
    <t>Team Fusion</t>
  </si>
  <si>
    <t>Medal of Honor: Vanguard</t>
  </si>
  <si>
    <t>Budcat Creations</t>
  </si>
  <si>
    <t>Medal of Honor: Heroes 2</t>
  </si>
  <si>
    <t>Medal of Honor: Infiltrator</t>
  </si>
  <si>
    <t>Netherock</t>
  </si>
  <si>
    <t>Mortal Kombat Gold</t>
  </si>
  <si>
    <t>Mortal Kombat: Special Forces</t>
  </si>
  <si>
    <t>Mortal Kombat: Deadly Alliance</t>
  </si>
  <si>
    <t>Mortal Kombat: Deception</t>
  </si>
  <si>
    <t>Mortal Kombat: Armageddon</t>
  </si>
  <si>
    <t>Mortal Kombat: Shaolin Monks</t>
  </si>
  <si>
    <t>Mortal Kombat: Unchained</t>
  </si>
  <si>
    <t>Peter Jackson's King Kong: The Official Game of the Movie</t>
  </si>
  <si>
    <t>King Kong</t>
  </si>
  <si>
    <t>Project Soul</t>
  </si>
  <si>
    <t>Soulcalibur II</t>
  </si>
  <si>
    <t>Soulcalibur Legends</t>
  </si>
  <si>
    <t>Castlevania Judgment</t>
  </si>
  <si>
    <t>Soulcalibur III</t>
  </si>
  <si>
    <t>Soulcalibur: Broken Destiny</t>
  </si>
  <si>
    <t>Soulcalibur IV</t>
  </si>
  <si>
    <t>Soulcalibur V</t>
  </si>
  <si>
    <t>EA Sports BIG</t>
  </si>
  <si>
    <t>SSX Tricky</t>
  </si>
  <si>
    <t>SSX on Tour</t>
  </si>
  <si>
    <t>SSX 3</t>
  </si>
  <si>
    <t>SSX Blur</t>
  </si>
  <si>
    <t>Star Wars Rogue Squadron III: Rebel Strike</t>
  </si>
  <si>
    <t>Star Wars Rogue Squadron</t>
  </si>
  <si>
    <t>Super Monkey Ball 2</t>
  </si>
  <si>
    <t>Super Monkey Ball: Touch &amp; Roll</t>
  </si>
  <si>
    <t>Super Monkey Ball 3D</t>
  </si>
  <si>
    <t>Super Monkey Ball Deluxe</t>
  </si>
  <si>
    <t>Super Monkey Ball Adventure</t>
  </si>
  <si>
    <t>Tony Hawk's Pro Skater 4</t>
  </si>
  <si>
    <t>Turok: Evolution</t>
  </si>
  <si>
    <t>Viewtiful Joe: Red Hot Rumble</t>
  </si>
  <si>
    <t>X-Men Legends</t>
  </si>
  <si>
    <t>X-Men Legends II: Rise of Apocalypse</t>
  </si>
  <si>
    <t>Propaganda Games</t>
  </si>
  <si>
    <t>Double Dragon III: The Rosetta Stone</t>
  </si>
  <si>
    <t>Dragonsphere</t>
  </si>
  <si>
    <t>DragonStrike</t>
  </si>
  <si>
    <t>Abuse</t>
  </si>
  <si>
    <t>Albion</t>
  </si>
  <si>
    <t>Alien Carnage</t>
  </si>
  <si>
    <t>Champions of Krynn</t>
  </si>
  <si>
    <t>Commander Keen Episode II: The Earth Explodes</t>
  </si>
  <si>
    <t>Commander Keen Episode III: Keen Must Die!</t>
  </si>
  <si>
    <t>Commander Keen Episode IV: Secret of the Oracle</t>
  </si>
  <si>
    <t>Commander Keen Episode V: The Armageddon Machine</t>
  </si>
  <si>
    <t>Commander Keen: Aliens Ate My Babysitter!</t>
  </si>
  <si>
    <t>Crusader: No Remorse</t>
  </si>
  <si>
    <t>CyberMage: Darklight Awakening</t>
  </si>
  <si>
    <t>D/Generation</t>
  </si>
  <si>
    <t>Darklands</t>
  </si>
  <si>
    <t>Dune II: The Building of a Dynasty</t>
  </si>
  <si>
    <t>Eye of the Beholder</t>
  </si>
  <si>
    <t>Eye of the Beholder II: The Legend of Darkmoon</t>
  </si>
  <si>
    <t>Fade to Black</t>
  </si>
  <si>
    <t>Gateway to the Savage Frontier</t>
  </si>
  <si>
    <t>Heretic</t>
  </si>
  <si>
    <t>Heroes of Might and Magic II: The Succession Wars</t>
  </si>
  <si>
    <t>Heroes of Might and Magic: A Strategic Quest</t>
  </si>
  <si>
    <t>Hexen: Beyond Heretic</t>
  </si>
  <si>
    <t>Indiana Jones and the Fate of Atlantis</t>
  </si>
  <si>
    <t>Jazz Jackrabbit</t>
  </si>
  <si>
    <t>King's Quest II: Romancing the Throne</t>
  </si>
  <si>
    <t>King's Quest III: To Heir is Human</t>
  </si>
  <si>
    <t>King's Quest IV: The Perils of Rosella</t>
  </si>
  <si>
    <t>King's Quest V: Absence Makes the Heart Go Yonder!</t>
  </si>
  <si>
    <t>King's Quest VI: Heir Today, Gone Tomorrow</t>
  </si>
  <si>
    <t>King's Quest VII: The Princeless Bride</t>
  </si>
  <si>
    <t>King's Quest: Quest for the Crown</t>
  </si>
  <si>
    <t>Kingdom: The Far Reaches</t>
  </si>
  <si>
    <t>Lands of Lore: The Throne of Chaos</t>
  </si>
  <si>
    <t>Leisure Suit Larry 5: Passionate Patti Does a Little Undercover Work</t>
  </si>
  <si>
    <t>Leisure Suit Larry 6: Shape Up or Slip Out!</t>
  </si>
  <si>
    <t>Leisure Suit Larry Goes Looking for Love (in Several Wrong Places)</t>
  </si>
  <si>
    <t>Leisure Suit Larry III: Passionate Patti in the Pursuit of the Pulsating Pectorals</t>
  </si>
  <si>
    <t>Leisure Suit Larry in the Land of the Lounge Lizards</t>
  </si>
  <si>
    <t>Leisure Suit Larry: Love for Sail!</t>
  </si>
  <si>
    <t>Lure of the Temptress</t>
  </si>
  <si>
    <t>M.A.X. 2</t>
  </si>
  <si>
    <t>Manhunter 2: San Francisco</t>
  </si>
  <si>
    <t>Manhunter: New York</t>
  </si>
  <si>
    <t>Might and Magic Book One: The Secret of the Inner Sanctum</t>
  </si>
  <si>
    <t>Might and Magic II: Gates to Another World</t>
  </si>
  <si>
    <t>Might and Magic III: Isles of Terra</t>
  </si>
  <si>
    <t>Might and Magic IV: Clouds of Xeen</t>
  </si>
  <si>
    <t>Might and Magic V: Darkside of Xeen</t>
  </si>
  <si>
    <t>Police Quest II: The Vengeance</t>
  </si>
  <si>
    <t>Police Quest III: The Kindred</t>
  </si>
  <si>
    <t>Police Quest: In Pursuit of the Death Angel</t>
  </si>
  <si>
    <t>Police Quest: Open Season</t>
  </si>
  <si>
    <t>Pool of Radiance</t>
  </si>
  <si>
    <t>Prisoner of Ice</t>
  </si>
  <si>
    <t>Quest for Glory II: Trial by Fire</t>
  </si>
  <si>
    <t>Quest for Glory III: Wages of War</t>
  </si>
  <si>
    <t>Quest for Glory: Shadows of Darkness</t>
  </si>
  <si>
    <t>Quest for Glory: So You Want to Be a Hero</t>
  </si>
  <si>
    <t>Realms of the Haunting</t>
  </si>
  <si>
    <t>Secret of the Silver Blades</t>
  </si>
  <si>
    <t>Shadow of the Comet</t>
  </si>
  <si>
    <t>Shadow Sorcerer</t>
  </si>
  <si>
    <t>Space Quest 6: Roger Wilco in the Spinal Frontier</t>
  </si>
  <si>
    <t>Space Quest II: Chapter II - Vohaul's Revenge</t>
  </si>
  <si>
    <t>Space Quest III: The Pirates of Pestulon</t>
  </si>
  <si>
    <t>Space Quest IV: Roger Wilco and the Time Rippers</t>
  </si>
  <si>
    <t>Space Quest V: Roger Wilco - The Next Mutation</t>
  </si>
  <si>
    <t>Stargunner</t>
  </si>
  <si>
    <t>The Bard's Tale II: The Destiny Knight</t>
  </si>
  <si>
    <t>The Bard's Tale III: Thief of Fate</t>
  </si>
  <si>
    <t>Ultima I: The First Age of Darkness</t>
  </si>
  <si>
    <t>Ultima II: The Revenge of the Enchantress</t>
  </si>
  <si>
    <t>Ultima III: Exodus</t>
  </si>
  <si>
    <t>Ultima Underworld II: Labyrinth of Worlds</t>
  </si>
  <si>
    <t>Ultima Underworld: The Stygian Abyss</t>
  </si>
  <si>
    <t>Ultima V: Warriors of Destiny</t>
  </si>
  <si>
    <t>Ultima VII Part Two: Serpent Isle</t>
  </si>
  <si>
    <t>Ultima VIII: Pagan</t>
  </si>
  <si>
    <t>War of the Lance</t>
  </si>
  <si>
    <t>Wing Commander II: Vengeance of the Kilrathi</t>
  </si>
  <si>
    <t>Wing Commander IV: The Price of Freedom</t>
  </si>
  <si>
    <t>Wizardry II: The Knight of Diamonds</t>
  </si>
  <si>
    <t>Wizardry III: Legacy of Llylgamyn</t>
  </si>
  <si>
    <t>Wizardry IV: The Return of Werdna</t>
  </si>
  <si>
    <t>Wizardry V: Heart of the Maelstrom</t>
  </si>
  <si>
    <t>Wizardry: Proving Grounds of the Mad Overlord</t>
  </si>
  <si>
    <t>X-COM: Apocalypse</t>
  </si>
  <si>
    <t>X-COM: Terror from the Deep</t>
  </si>
  <si>
    <t>X-COM: UFO Defense</t>
  </si>
  <si>
    <t>Alone in the Dark 2</t>
  </si>
  <si>
    <t>Alone in the Dark 3</t>
  </si>
  <si>
    <t>Betrayal at Krondor</t>
  </si>
  <si>
    <t>Blood</t>
  </si>
  <si>
    <t>Commander Keen Episode I: Marooned on Mars</t>
  </si>
  <si>
    <t>Dark Seed</t>
  </si>
  <si>
    <t>Doom II: Hell on Earth</t>
  </si>
  <si>
    <t>Dungeon Keeper</t>
  </si>
  <si>
    <t>Flight of the Amazon Queen</t>
  </si>
  <si>
    <t>Indiana Jones and the Last Crusade: The Graphic Adventure</t>
  </si>
  <si>
    <t>Loom</t>
  </si>
  <si>
    <t>Master of Orion</t>
  </si>
  <si>
    <t>Master of Orion II: Battle at Antares</t>
  </si>
  <si>
    <t>Neuromancer</t>
  </si>
  <si>
    <t>Raptor: Call of the Shadows</t>
  </si>
  <si>
    <t>Realms of Arkania: Blade of Destiny</t>
  </si>
  <si>
    <t>Realms of Arkania: Shadows Over Riva</t>
  </si>
  <si>
    <t>Realms of Arkania: Star Trail</t>
  </si>
  <si>
    <t>Rise of the Triad: Dark War</t>
  </si>
  <si>
    <t>Sam &amp; Max: Hit the Road</t>
  </si>
  <si>
    <t>Space Quest: Chapter I - The Sarien Encounter</t>
  </si>
  <si>
    <t>Star Control</t>
  </si>
  <si>
    <t>Star Control 3</t>
  </si>
  <si>
    <t>Star Control II</t>
  </si>
  <si>
    <t>StarFlight</t>
  </si>
  <si>
    <t>Syndicate Wars</t>
  </si>
  <si>
    <t>The Beast Within: A Gabriel Knight Mystery</t>
  </si>
  <si>
    <t>The Dig</t>
  </si>
  <si>
    <t>The Elder Scrolls: Arena</t>
  </si>
  <si>
    <t>Ultima VI: The False Prophet</t>
  </si>
  <si>
    <t>Ultima VII: The Black Gate</t>
  </si>
  <si>
    <t>WarCraft II: Tides of Darkness</t>
  </si>
  <si>
    <t>WarCraft: Orcs &amp; Humans</t>
  </si>
  <si>
    <t>Wolfenstein 3D</t>
  </si>
  <si>
    <t>Zak McKracken and the Alien Mindbenders</t>
  </si>
  <si>
    <t>BioForge</t>
  </si>
  <si>
    <t>Day of the Tentacle</t>
  </si>
  <si>
    <t>Gabriel Knight: Sins of the Fathers</t>
  </si>
  <si>
    <t>The Elder Scrolls II: Daggerfall</t>
  </si>
  <si>
    <t>Arcadia Systems</t>
  </si>
  <si>
    <t>Binary Design</t>
  </si>
  <si>
    <t>Interactivision</t>
  </si>
  <si>
    <t>MicroProse</t>
  </si>
  <si>
    <t>Sir-Tech Software</t>
  </si>
  <si>
    <t>Crack dot Com</t>
  </si>
  <si>
    <t>Blue Byte Software</t>
  </si>
  <si>
    <t>Interactive Binary</t>
  </si>
  <si>
    <t>Commander Keen</t>
  </si>
  <si>
    <t>FormGen</t>
  </si>
  <si>
    <t>Robert Cook &amp; James Brown</t>
  </si>
  <si>
    <t>Cryo Interactive</t>
  </si>
  <si>
    <t>Indiana Jones</t>
  </si>
  <si>
    <t>Epic MegaGames</t>
  </si>
  <si>
    <t>King's Quest</t>
  </si>
  <si>
    <t>Lands of Lore</t>
  </si>
  <si>
    <t>Leisure Suit Larry</t>
  </si>
  <si>
    <t>M.A.X.</t>
  </si>
  <si>
    <t>Evryware</t>
  </si>
  <si>
    <t>Manhunter</t>
  </si>
  <si>
    <t>Police Quest</t>
  </si>
  <si>
    <t>Quest for Glory</t>
  </si>
  <si>
    <t>Space Quest</t>
  </si>
  <si>
    <t>WizardWorks</t>
  </si>
  <si>
    <t>Mythos Games</t>
  </si>
  <si>
    <t>GT Interactive</t>
  </si>
  <si>
    <t>Bullfrog Productions</t>
  </si>
  <si>
    <t>Lucasfilm Games</t>
  </si>
  <si>
    <t>Simtex</t>
  </si>
  <si>
    <t>Mediagenic</t>
  </si>
  <si>
    <t>Cygnus Studios</t>
  </si>
  <si>
    <t>Attic Entertainment Software</t>
  </si>
  <si>
    <t>Realms of Arkania</t>
  </si>
  <si>
    <t>Legend Entertainment</t>
  </si>
  <si>
    <t>Binary Systems</t>
  </si>
  <si>
    <t>Gabriel Knight</t>
  </si>
  <si>
    <t>WarCraft</t>
  </si>
  <si>
    <t>The Secret of Monkey Island</t>
  </si>
  <si>
    <t>Beneath a Steel Sky</t>
  </si>
  <si>
    <t>Zork I: The Great Underground Empire</t>
  </si>
  <si>
    <t>Zork</t>
  </si>
  <si>
    <t>Arcanum: Of Steamworks and Magick Obscura</t>
  </si>
  <si>
    <t>Sierra On-Line</t>
  </si>
  <si>
    <t>Baldur's Gate II: Shadows of Amn</t>
  </si>
  <si>
    <t>Baldur's Gate II: Throne of Bhaal</t>
  </si>
  <si>
    <t>Baldur's Gate: Tales of the Sword Coast</t>
  </si>
  <si>
    <t>BloodRayne 2</t>
  </si>
  <si>
    <t>Interplay Productions</t>
  </si>
  <si>
    <t>Descent</t>
  </si>
  <si>
    <t>Parallax Software</t>
  </si>
  <si>
    <t>Descent 3</t>
  </si>
  <si>
    <t>Outrage Entertainment</t>
  </si>
  <si>
    <t>Descent 3: Mercenary</t>
  </si>
  <si>
    <t>Descent II</t>
  </si>
  <si>
    <t>MPS Labs</t>
  </si>
  <si>
    <t>Dungeon Keeper: The Deeper Dungeons</t>
  </si>
  <si>
    <t>Dungeons &amp; Dragons: Dragonshard</t>
  </si>
  <si>
    <t>Fallout 2</t>
  </si>
  <si>
    <t>Far Cry 2</t>
  </si>
  <si>
    <t>Interactive Binary Illusions</t>
  </si>
  <si>
    <t>Forgotten Realms: Demon Stone</t>
  </si>
  <si>
    <t>FreeSpace 2</t>
  </si>
  <si>
    <t>FreeSpace</t>
  </si>
  <si>
    <t>Gabriel Knight 3: Blood of the Sacred, Blood of the Damned</t>
  </si>
  <si>
    <t>Sierra Studios</t>
  </si>
  <si>
    <t>Giants: Citizen Kabuto</t>
  </si>
  <si>
    <t>Planet Moon Studios</t>
  </si>
  <si>
    <t>Heroes of Might and Magic III: Armageddon's Blade</t>
  </si>
  <si>
    <t>Heroes of Might and Magic III: The Restoration of Erathia</t>
  </si>
  <si>
    <t>Heroes of Might and Magic III: The Shadow of Death</t>
  </si>
  <si>
    <t>Icewind Dale II</t>
  </si>
  <si>
    <t>Icewind Dale: Heart of Winter</t>
  </si>
  <si>
    <t>King of Dragon Pass</t>
  </si>
  <si>
    <t>A Sharp</t>
  </si>
  <si>
    <t>Magrunner: Dark Pulse</t>
  </si>
  <si>
    <t>Minecraft: Story Mode</t>
  </si>
  <si>
    <t>Neverwinter Nights 2</t>
  </si>
  <si>
    <t>Neverwinter Nights 2: Mask of the Betrayer</t>
  </si>
  <si>
    <t>Neverwinter Nights 2: Mysteries of Westgate</t>
  </si>
  <si>
    <t>Ossian Studios</t>
  </si>
  <si>
    <t>Neverwinter Nights 2: Storm of Zehir</t>
  </si>
  <si>
    <t>Neverwinter Nights: Hordes of the Underdark</t>
  </si>
  <si>
    <t>Neverwinter Nights: Kingmaker</t>
  </si>
  <si>
    <t>Neverwinter Nights: Shadows of Undrentide</t>
  </si>
  <si>
    <t>Floodgate Entertainment</t>
  </si>
  <si>
    <t>Obduction</t>
  </si>
  <si>
    <t>Cyan Worlds</t>
  </si>
  <si>
    <t>Planescape: Torment</t>
  </si>
  <si>
    <t>Prince of Persia: The Two Thrones</t>
  </si>
  <si>
    <t>Prince of Persia: Warrior Within</t>
  </si>
  <si>
    <t>Rayman Origins</t>
  </si>
  <si>
    <t>Shadow Warrior 2</t>
  </si>
  <si>
    <t>Sid Meier's Alpha Centauri</t>
  </si>
  <si>
    <t>The Chronicles of Riddick: Assault on Dark Athena</t>
  </si>
  <si>
    <t>The Chronicles of Riddick</t>
  </si>
  <si>
    <t>The Dark Eye: Chains of Satinav</t>
  </si>
  <si>
    <t>The Temple of Elemental Evil</t>
  </si>
  <si>
    <t>Call of Duty: Black Ops 4</t>
  </si>
  <si>
    <t>Destiny 2</t>
  </si>
  <si>
    <t>Diablo III</t>
  </si>
  <si>
    <t>Diablo III: Reaper of Souls</t>
  </si>
  <si>
    <t>StarCraft II: Heart of the Swarm</t>
  </si>
  <si>
    <t>StarCraft II: Legacy of the Void</t>
  </si>
  <si>
    <t>StarCraft II: Wings of Liberty</t>
  </si>
  <si>
    <t>Assassin's Creed Chronicles: China</t>
  </si>
  <si>
    <t>Assassin's Creed IV: Black Flag</t>
  </si>
  <si>
    <t>Assassin's Creed: Liberation HD</t>
  </si>
  <si>
    <t>Far Cry 4</t>
  </si>
  <si>
    <t>Far Cry: New Dawn</t>
  </si>
  <si>
    <t>Heroes of Might and Magic IV</t>
  </si>
  <si>
    <t>Heroes of Might and Magic IV: The Gathering Storm</t>
  </si>
  <si>
    <t>Heroes of Might and Magic IV: Winds of War</t>
  </si>
  <si>
    <t>Might and Magic VI: The Mandate of Heaven</t>
  </si>
  <si>
    <t>South Park: The Fractured But Whole</t>
  </si>
  <si>
    <t>Ubisoft San Francisco</t>
  </si>
  <si>
    <t>South Park</t>
  </si>
  <si>
    <t>South Park: The Stick of Truth</t>
  </si>
  <si>
    <t>A Good Snowman is Hard to Build</t>
  </si>
  <si>
    <t>Draknek</t>
  </si>
  <si>
    <t>Benjamin Davis &amp; Alan Hazelden</t>
  </si>
  <si>
    <t>Antihero</t>
  </si>
  <si>
    <t>Tom Conkling</t>
  </si>
  <si>
    <t>Baseball Stars 2</t>
  </si>
  <si>
    <t>Baseball Stars</t>
  </si>
  <si>
    <t>Bomber Crew</t>
  </si>
  <si>
    <t>Runner Duck</t>
  </si>
  <si>
    <t>Cosmic Express</t>
  </si>
  <si>
    <t>Cosmic Engineers</t>
  </si>
  <si>
    <t>Crossing Souls</t>
  </si>
  <si>
    <t>Fourattic</t>
  </si>
  <si>
    <t>Cursed Castilla</t>
  </si>
  <si>
    <t>Locomalito</t>
  </si>
  <si>
    <t>Devil May Cry HD Collection</t>
  </si>
  <si>
    <t>Downwell</t>
  </si>
  <si>
    <t>Moppin</t>
  </si>
  <si>
    <t>DubWars</t>
  </si>
  <si>
    <t>WOBBL3 Entertainment</t>
  </si>
  <si>
    <t>MURA Interactive</t>
  </si>
  <si>
    <t>Fatal Fury Special</t>
  </si>
  <si>
    <t>For the King</t>
  </si>
  <si>
    <t>IronOak Games</t>
  </si>
  <si>
    <t>Framed Collection</t>
  </si>
  <si>
    <t>Loveshack Entertainment</t>
  </si>
  <si>
    <t>Framed</t>
  </si>
  <si>
    <t>GoNNER</t>
  </si>
  <si>
    <t>Art in Heart</t>
  </si>
  <si>
    <t>Guild of Dungeoneering</t>
  </si>
  <si>
    <t>Gambrinous</t>
  </si>
  <si>
    <t>Heavy Bullets</t>
  </si>
  <si>
    <t>Terri Vellmann</t>
  </si>
  <si>
    <t>High Hell</t>
  </si>
  <si>
    <t>Hue</t>
  </si>
  <si>
    <t>Fiddlesticks Games</t>
  </si>
  <si>
    <t>I, Hope</t>
  </si>
  <si>
    <t>Kenny Roy</t>
  </si>
  <si>
    <t>Jotun: Valhalla Edition</t>
  </si>
  <si>
    <t>Ken Follett's The Pillars of the Earth</t>
  </si>
  <si>
    <t>Mable &amp; The Wood</t>
  </si>
  <si>
    <t>Graffiti Games</t>
  </si>
  <si>
    <t>Triplevision Games</t>
  </si>
  <si>
    <t>Mr. Shifty</t>
  </si>
  <si>
    <t>Team Shifty</t>
  </si>
  <si>
    <t>Next Up Hero</t>
  </si>
  <si>
    <t>Digital Continue</t>
  </si>
  <si>
    <t>Overcooked!</t>
  </si>
  <si>
    <t>Ghost Town Games</t>
  </si>
  <si>
    <t>Overload</t>
  </si>
  <si>
    <t>Revival Productions</t>
  </si>
  <si>
    <t>Pikuniku</t>
  </si>
  <si>
    <t>Arnaud De Bock, Rémi Forcadell, Alan Zucconi, Calum Bowen</t>
  </si>
  <si>
    <t>Poi</t>
  </si>
  <si>
    <t>PolyKid</t>
  </si>
  <si>
    <t>Indietopia Games</t>
  </si>
  <si>
    <t>Concave Studio</t>
  </si>
  <si>
    <t>Republique</t>
  </si>
  <si>
    <t>Camouflaj</t>
  </si>
  <si>
    <t>Sanitarium</t>
  </si>
  <si>
    <t>DreamForge Intertainment</t>
  </si>
  <si>
    <t>Serial Cleaner</t>
  </si>
  <si>
    <t>iFun4All S.A.</t>
  </si>
  <si>
    <t>Smoke and Sacrifice</t>
  </si>
  <si>
    <t>Solar Sail Games</t>
  </si>
  <si>
    <t>Sokobond</t>
  </si>
  <si>
    <t>Alan Hazelden, Lee Shang Lun</t>
  </si>
  <si>
    <t>Stikbold! A Dodgeball Adventure</t>
  </si>
  <si>
    <t>Game Swing</t>
  </si>
  <si>
    <t>Strafe</t>
  </si>
  <si>
    <t>Pixel Titans</t>
  </si>
  <si>
    <t>SUPERHOT</t>
  </si>
  <si>
    <t>SUPERHOT Team</t>
  </si>
  <si>
    <t>Tacoma</t>
  </si>
  <si>
    <t>Tales from Candlekeep: Tomb of Annihilation</t>
  </si>
  <si>
    <t>BKOM Studios</t>
  </si>
  <si>
    <t>The Banner Saga 2</t>
  </si>
  <si>
    <t>The Escapists</t>
  </si>
  <si>
    <t>Mouldy Toof Studios</t>
  </si>
  <si>
    <t>The Messenger</t>
  </si>
  <si>
    <t>Sabotage Studio</t>
  </si>
  <si>
    <t>The Metronomicon: Slay the Dance Floor</t>
  </si>
  <si>
    <t>Puuba</t>
  </si>
  <si>
    <t>The Red Strings Club</t>
  </si>
  <si>
    <t>Uurnog Uurnlimited</t>
  </si>
  <si>
    <t>Whispering Willows</t>
  </si>
  <si>
    <t>Night Light Interactive</t>
  </si>
  <si>
    <t>Wizardry 8</t>
  </si>
  <si>
    <t>Sir-Tech Canada</t>
  </si>
  <si>
    <t>City of Brass</t>
  </si>
  <si>
    <t>Ninja Blade</t>
  </si>
  <si>
    <t>Shadow Complex Remastered</t>
  </si>
  <si>
    <t>Slime Rancher</t>
  </si>
  <si>
    <t>Monomi Park</t>
  </si>
  <si>
    <t>Stories Untold</t>
  </si>
  <si>
    <t>No Code</t>
  </si>
  <si>
    <t>World in Conflict</t>
  </si>
  <si>
    <t>GNOG</t>
  </si>
  <si>
    <t>KO_OP</t>
  </si>
  <si>
    <t>Epic Games Store</t>
  </si>
  <si>
    <t>Green Man Gaming</t>
  </si>
  <si>
    <t>Amazon</t>
  </si>
  <si>
    <t>Ai to Yūki to Kashiwamochi</t>
  </si>
  <si>
    <t>10800 Zombies</t>
  </si>
  <si>
    <t>Eternal Daughter</t>
  </si>
  <si>
    <t>Eternally Us</t>
  </si>
  <si>
    <t>FiNCK</t>
  </si>
  <si>
    <t>I Wanna Be the Guy</t>
  </si>
  <si>
    <t>Illuminator</t>
  </si>
  <si>
    <t>Kanye Quest 3030</t>
  </si>
  <si>
    <t>Under the Garden</t>
  </si>
  <si>
    <t>Warlock Bentspine</t>
  </si>
  <si>
    <t>5 Days a Stranger</t>
  </si>
  <si>
    <t>6 Days a Sacrifice</t>
  </si>
  <si>
    <t>7 Days a Skeptic</t>
  </si>
  <si>
    <t>8-Bit Killer</t>
  </si>
  <si>
    <t>A Game with a Kitty 3</t>
  </si>
  <si>
    <t>Abobo's Big Adventure</t>
  </si>
  <si>
    <t>Action Fist</t>
  </si>
  <si>
    <t>All the Way Down</t>
  </si>
  <si>
    <t>Blue Wish Resurrection</t>
  </si>
  <si>
    <t>ERIE</t>
  </si>
  <si>
    <t>Escape from the Underworld</t>
  </si>
  <si>
    <t>Guxt</t>
  </si>
  <si>
    <t>Hydra Castle Labyrinth</t>
  </si>
  <si>
    <t>I'm O.K: A Murder Simulator</t>
  </si>
  <si>
    <t>Jables's Adventure</t>
  </si>
  <si>
    <t>Jumper</t>
  </si>
  <si>
    <t>Jumper Three</t>
  </si>
  <si>
    <t>Jumper Two</t>
  </si>
  <si>
    <t>L'Abbaye des Morts</t>
  </si>
  <si>
    <t>Maldita Castilla</t>
  </si>
  <si>
    <t>Nudo</t>
  </si>
  <si>
    <t>Rescue: The Beagles</t>
  </si>
  <si>
    <t>Sombreros</t>
  </si>
  <si>
    <t>suteF</t>
  </si>
  <si>
    <t>The Battle for Wesnoth</t>
  </si>
  <si>
    <t>The Hive</t>
  </si>
  <si>
    <t>The Soul of Dracula</t>
  </si>
  <si>
    <t>The White Chamber</t>
  </si>
  <si>
    <t>They Came From Verminest</t>
  </si>
  <si>
    <t>Trilby: The Art of Theft</t>
  </si>
  <si>
    <t>Trilby's Notes</t>
  </si>
  <si>
    <t>Akuji the Demon</t>
  </si>
  <si>
    <t>Ao Oni</t>
  </si>
  <si>
    <t>Banana Nababa</t>
  </si>
  <si>
    <t>Codename: Gordon</t>
  </si>
  <si>
    <t>DataJack</t>
  </si>
  <si>
    <t>Fetus</t>
  </si>
  <si>
    <t>GIGADEEP</t>
  </si>
  <si>
    <t>Guardian of Paradise</t>
  </si>
  <si>
    <t>Hydorah</t>
  </si>
  <si>
    <t>Iji</t>
  </si>
  <si>
    <t>Katawa Shoujo</t>
  </si>
  <si>
    <t>Knytt Stories</t>
  </si>
  <si>
    <t>Metal Shinobi Assassin</t>
  </si>
  <si>
    <t>Mighty Jill Off</t>
  </si>
  <si>
    <t>Momodora II</t>
  </si>
  <si>
    <t>Moustache King Adventure</t>
  </si>
  <si>
    <t>Neftelia</t>
  </si>
  <si>
    <t>Noitu Love &amp; The Army of Grinning Darns</t>
  </si>
  <si>
    <t>OFF</t>
  </si>
  <si>
    <t>Perspective</t>
  </si>
  <si>
    <t>Soundless Mountain II</t>
  </si>
  <si>
    <t>Street Fighter X Mega Man</t>
  </si>
  <si>
    <t>Within A Deep Forest</t>
  </si>
  <si>
    <t>Yume Nikki</t>
  </si>
  <si>
    <t>Amber: Journeys Beyond</t>
  </si>
  <si>
    <t>Inherent Evil: The Haunted Hotel</t>
  </si>
  <si>
    <t>Shivers 2: Harvest of Souls</t>
  </si>
  <si>
    <t>Homeworld 2</t>
  </si>
  <si>
    <t>Jazz Jackrabbit 2</t>
  </si>
  <si>
    <t>Marathon</t>
  </si>
  <si>
    <t>Myth II: Soulblighter</t>
  </si>
  <si>
    <t>Myth III: The Wolf Age</t>
  </si>
  <si>
    <t>Myth: The Fallen Lords</t>
  </si>
  <si>
    <t>No One Lives Forever 2: A Spy in H.A.R.M.'s Way</t>
  </si>
  <si>
    <t>Nocturne</t>
  </si>
  <si>
    <t>Shivers</t>
  </si>
  <si>
    <t>Dark Seed II</t>
  </si>
  <si>
    <t>Escape from Monkey Island</t>
  </si>
  <si>
    <t>The Curse of Monkey Island</t>
  </si>
  <si>
    <t>Blade Runner</t>
  </si>
  <si>
    <t>Diablo II</t>
  </si>
  <si>
    <t>Freelancer</t>
  </si>
  <si>
    <t>StarCraft: Brood War</t>
  </si>
  <si>
    <t>Stubbs the Zombie in Rebel Without a Pulse</t>
  </si>
  <si>
    <t>The Operative: No One Lives Forever</t>
  </si>
  <si>
    <t>WarCraft III: Reign of Chaos</t>
  </si>
  <si>
    <t>Tetsu</t>
  </si>
  <si>
    <t>Jan Willem Nijman</t>
  </si>
  <si>
    <t>Blackeye Software</t>
  </si>
  <si>
    <t>The Thought Radar</t>
  </si>
  <si>
    <t>Nifflas</t>
  </si>
  <si>
    <t>Kayin</t>
  </si>
  <si>
    <t>Holy Wow Studios</t>
  </si>
  <si>
    <t>Icarus Proudbottom</t>
  </si>
  <si>
    <t>Logan Ames</t>
  </si>
  <si>
    <t>Phenix</t>
  </si>
  <si>
    <t>Paul Greasley</t>
  </si>
  <si>
    <t>Lazrool</t>
  </si>
  <si>
    <t>Fully Ramblomatic</t>
  </si>
  <si>
    <t>Chzo Mythos</t>
  </si>
  <si>
    <t>origamihero</t>
  </si>
  <si>
    <t>A Game with a Kitty</t>
  </si>
  <si>
    <t>Team Bobo</t>
  </si>
  <si>
    <t>Teknopants</t>
  </si>
  <si>
    <t>Sanctuary Interactive</t>
  </si>
  <si>
    <t>X_xgameroom</t>
  </si>
  <si>
    <t>Master Games Studio</t>
  </si>
  <si>
    <t>Banov</t>
  </si>
  <si>
    <t>Pixel</t>
  </si>
  <si>
    <t>Peposoft</t>
  </si>
  <si>
    <t>Buster</t>
  </si>
  <si>
    <t>Thompsonsoft</t>
  </si>
  <si>
    <t>Squiddershins</t>
  </si>
  <si>
    <t>Matt Thorson</t>
  </si>
  <si>
    <t>Arcane Kids</t>
  </si>
  <si>
    <t>nenad</t>
  </si>
  <si>
    <t>Dustin Gunn</t>
  </si>
  <si>
    <t>rotten_tater</t>
  </si>
  <si>
    <t>David White</t>
  </si>
  <si>
    <t>Vanni del Moral</t>
  </si>
  <si>
    <t>bunaguchi</t>
  </si>
  <si>
    <t>Studio Trophis</t>
  </si>
  <si>
    <t>noprops</t>
  </si>
  <si>
    <t>Lazreal</t>
  </si>
  <si>
    <t>NuClearVision</t>
  </si>
  <si>
    <t>RSHAW</t>
  </si>
  <si>
    <t>Four Leaf Studios</t>
  </si>
  <si>
    <t>ドイツ軍大佐</t>
  </si>
  <si>
    <t>JaJitsu</t>
  </si>
  <si>
    <t>tutiurarara</t>
  </si>
  <si>
    <t>Mortis Ghost</t>
  </si>
  <si>
    <t>DigiPen</t>
  </si>
  <si>
    <t>Seow Zong Hui</t>
  </si>
  <si>
    <t>Kikiyama</t>
  </si>
  <si>
    <t>Hue Forest Entertainment</t>
  </si>
  <si>
    <t>Head Games Publishing</t>
  </si>
  <si>
    <t>Eclipse</t>
  </si>
  <si>
    <t>Bungie Software</t>
  </si>
  <si>
    <t>Myth</t>
  </si>
  <si>
    <t>MumboJumbo</t>
  </si>
  <si>
    <t>No One Lives Forever</t>
  </si>
  <si>
    <t>Digital Anvil</t>
  </si>
  <si>
    <t>Aspyr Media</t>
  </si>
  <si>
    <t>Wideload</t>
  </si>
  <si>
    <t>Third-Person Action</t>
  </si>
  <si>
    <t>Fox Interactive</t>
  </si>
  <si>
    <t>Blue Knight</t>
  </si>
  <si>
    <t>Endeavor</t>
  </si>
  <si>
    <t>Fishbane</t>
  </si>
  <si>
    <t>Grand Mystic Quest of Discovery</t>
  </si>
  <si>
    <t>K.O.L.M.</t>
  </si>
  <si>
    <t>Mamono Slayer</t>
  </si>
  <si>
    <t>MMMMMM</t>
  </si>
  <si>
    <t>Redder</t>
  </si>
  <si>
    <t>Action Escape Kitty</t>
  </si>
  <si>
    <t>Cat Astro Phi</t>
  </si>
  <si>
    <t>Give Up Robot</t>
  </si>
  <si>
    <t>Give Up Robot 2</t>
  </si>
  <si>
    <t>Ali Maunder</t>
  </si>
  <si>
    <t>Zillix</t>
  </si>
  <si>
    <t>Droqen</t>
  </si>
  <si>
    <t>hulahulahest</t>
  </si>
  <si>
    <t>Antony Lavelle</t>
  </si>
  <si>
    <t>increpare games</t>
  </si>
  <si>
    <t>dessgeega</t>
  </si>
  <si>
    <t>Melly</t>
  </si>
  <si>
    <t>Photon Storm</t>
  </si>
  <si>
    <t>God of War: Betrayal</t>
  </si>
  <si>
    <t>Sony Pictures Digital</t>
  </si>
  <si>
    <t>Javaground</t>
  </si>
  <si>
    <t>EightyEightGames</t>
  </si>
  <si>
    <t>Aralon: Sword and Shadow</t>
  </si>
  <si>
    <t>Aralon</t>
  </si>
  <si>
    <t>Assassin's Creed Identity</t>
  </si>
  <si>
    <t>Blue Byte</t>
  </si>
  <si>
    <t>Bean's Quest</t>
  </si>
  <si>
    <t>Kumobius</t>
  </si>
  <si>
    <t>Cafeteria Nipponica</t>
  </si>
  <si>
    <t>Kairosoft</t>
  </si>
  <si>
    <t>EA Mobile</t>
  </si>
  <si>
    <t>IronMonkey Studios</t>
  </si>
  <si>
    <t>Dead Trigger</t>
  </si>
  <si>
    <t>Madfinger Games</t>
  </si>
  <si>
    <t>Devil's Attorney</t>
  </si>
  <si>
    <t>1337 Game Design</t>
  </si>
  <si>
    <t>Don't Look Back</t>
  </si>
  <si>
    <t>Doom II RPG</t>
  </si>
  <si>
    <t>id Mobile</t>
  </si>
  <si>
    <t>Dragon's Lair</t>
  </si>
  <si>
    <t>Dragon's Lair LLC</t>
  </si>
  <si>
    <t>Dream of Pixels</t>
  </si>
  <si>
    <t>Dawn of Play</t>
  </si>
  <si>
    <t>Dungeon Village</t>
  </si>
  <si>
    <t>Edge</t>
  </si>
  <si>
    <t>Mobigame</t>
  </si>
  <si>
    <t>Epic Astro Story</t>
  </si>
  <si>
    <t>EPOCH.</t>
  </si>
  <si>
    <t>EPOCH.2</t>
  </si>
  <si>
    <t>Florence</t>
  </si>
  <si>
    <t>Annapurna Interactive</t>
  </si>
  <si>
    <t>Mountains</t>
  </si>
  <si>
    <t>Game Dev Story</t>
  </si>
  <si>
    <t>Geometry Wars: Touch</t>
  </si>
  <si>
    <t>Grand Prix Story</t>
  </si>
  <si>
    <t>He-Man: The Most Powerful Game in the Universe</t>
  </si>
  <si>
    <t>GlitchSoft</t>
  </si>
  <si>
    <t>He-Man</t>
  </si>
  <si>
    <t>Hitman Go</t>
  </si>
  <si>
    <t>Hot Springs Story</t>
  </si>
  <si>
    <t>Infinity Blade</t>
  </si>
  <si>
    <t>Infinity Blade II</t>
  </si>
  <si>
    <t>Infinity Blade III</t>
  </si>
  <si>
    <t>Kid Vector</t>
  </si>
  <si>
    <t>Uncade</t>
  </si>
  <si>
    <t>Mass Effect: Infiltrator</t>
  </si>
  <si>
    <t>Mega Mall Story</t>
  </si>
  <si>
    <t>Mikey Hooks</t>
  </si>
  <si>
    <t>BeaverTap Games</t>
  </si>
  <si>
    <t>Mikey Shorts</t>
  </si>
  <si>
    <t>Mikey Shorts Halloween</t>
  </si>
  <si>
    <t>Monument Valley</t>
  </si>
  <si>
    <t>Monument Valley 2</t>
  </si>
  <si>
    <t>Nameless: The Hackers</t>
  </si>
  <si>
    <t>BoxCat Games</t>
  </si>
  <si>
    <t>Oh! Edo Towns</t>
  </si>
  <si>
    <t>MTV Networks</t>
  </si>
  <si>
    <t>Plants vs. Zombies 2</t>
  </si>
  <si>
    <t>Pocket League Story</t>
  </si>
  <si>
    <t>Polara</t>
  </si>
  <si>
    <t>Hope This Works Games</t>
  </si>
  <si>
    <t>Project 83113</t>
  </si>
  <si>
    <t>NCSoft</t>
  </si>
  <si>
    <t>Fabrication Games</t>
  </si>
  <si>
    <t>Punch Quest</t>
  </si>
  <si>
    <t>Rocketcat Games</t>
  </si>
  <si>
    <t>Rayman Fiesta Run</t>
  </si>
  <si>
    <t>Rayman Jungle Run</t>
  </si>
  <si>
    <t>Ridiculous Fishing</t>
  </si>
  <si>
    <t>Scribblenauts Remix</t>
  </si>
  <si>
    <t>Shardlands</t>
  </si>
  <si>
    <t>Breach Entertainment</t>
  </si>
  <si>
    <t>Sir Benfro's Brilliant Balloon</t>
  </si>
  <si>
    <t>Explore and Create Limited</t>
  </si>
  <si>
    <t>Spider: The Secret of Bryce Manor</t>
  </si>
  <si>
    <t>Star Command</t>
  </si>
  <si>
    <t>Star Command, LLC</t>
  </si>
  <si>
    <t>Super Crossfire</t>
  </si>
  <si>
    <t>Crossfire</t>
  </si>
  <si>
    <t>Swordigo</t>
  </si>
  <si>
    <t>Touch Foo</t>
  </si>
  <si>
    <t>The Act</t>
  </si>
  <si>
    <t>React Entertainment</t>
  </si>
  <si>
    <t>The Room</t>
  </si>
  <si>
    <t>Fireproof Games</t>
  </si>
  <si>
    <t>The Room Three</t>
  </si>
  <si>
    <t>The Room Two</t>
  </si>
  <si>
    <t>The Room: Old Sins</t>
  </si>
  <si>
    <t>Venture Towns</t>
  </si>
  <si>
    <t>Wimp: Who Stole My Pants?</t>
  </si>
  <si>
    <t>Flexile Studio</t>
  </si>
  <si>
    <t>Wolfenstein RPG</t>
  </si>
  <si>
    <t>Yesterday</t>
  </si>
  <si>
    <t>You Must Build A Boat</t>
  </si>
  <si>
    <t>Lost Kingdoms</t>
  </si>
  <si>
    <t>Lost Kingdoms II</t>
  </si>
  <si>
    <t>Mario Superstar Baseball</t>
  </si>
  <si>
    <t>Mega Man Anniversary Collection</t>
  </si>
  <si>
    <t>Mega Man X Collection</t>
  </si>
  <si>
    <t>Sonic Gems Collection</t>
  </si>
  <si>
    <t>Sonic Mega Collection</t>
  </si>
  <si>
    <t>Mario Baseball</t>
  </si>
  <si>
    <t>Atomic Planet Entertainment</t>
  </si>
  <si>
    <t>Dead Rising: Chop Till You Drop</t>
  </si>
  <si>
    <t>Epic Mickey 2: The Power of Two</t>
  </si>
  <si>
    <t>Dokapon Kingdom</t>
  </si>
  <si>
    <t>Donkey Kong Barrel Blast</t>
  </si>
  <si>
    <t>Dragon Quest Swords: The Masked Queen and the Tower of Mirrors</t>
  </si>
  <si>
    <t>Endless Ocean: Blue World</t>
  </si>
  <si>
    <t>Fortune Street</t>
  </si>
  <si>
    <t>Ghost Squad</t>
  </si>
  <si>
    <t>Harvest Moon: Animal Parade</t>
  </si>
  <si>
    <t>Harvest Moon: Tree of Tranquility</t>
  </si>
  <si>
    <t>The House of the Dead 2 &amp; 3 Return</t>
  </si>
  <si>
    <t>Kororinpa: Marble Mania</t>
  </si>
  <si>
    <t>Lost in Blue: Shipwrecked</t>
  </si>
  <si>
    <t>Manhunt 2</t>
  </si>
  <si>
    <t>Marble Saga: Kororinpa</t>
  </si>
  <si>
    <t>Mario Party 8</t>
  </si>
  <si>
    <t>Mario Party 9</t>
  </si>
  <si>
    <t>Mario Sports Mix</t>
  </si>
  <si>
    <t>Mario Super Sluggers</t>
  </si>
  <si>
    <t>Mercury Meltdown Revolution</t>
  </si>
  <si>
    <t>Monster Hunter Tri</t>
  </si>
  <si>
    <t>Onechanbara: Bikini Zombie Slayers</t>
  </si>
  <si>
    <t>Overlord: Dark Legend</t>
  </si>
  <si>
    <t>Sonic and the Black Knight</t>
  </si>
  <si>
    <t>Sonic and the Secret Rings</t>
  </si>
  <si>
    <t>Sonic Riders: Zero Gravity</t>
  </si>
  <si>
    <t>Tatsunoko vs. Capcom: Ultimate All-Stars</t>
  </si>
  <si>
    <t>Tenchu: Shadow Assassins</t>
  </si>
  <si>
    <t>Trauma Center: Second Opinion</t>
  </si>
  <si>
    <t>Wii Sports Resort</t>
  </si>
  <si>
    <t>Project Zero 2: Wii Edition</t>
  </si>
  <si>
    <t>Bully</t>
  </si>
  <si>
    <t>Dokapon</t>
  </si>
  <si>
    <t>Tose</t>
  </si>
  <si>
    <t>Itadaki Street</t>
  </si>
  <si>
    <t>Kororinpa</t>
  </si>
  <si>
    <t>Lost in Blue</t>
  </si>
  <si>
    <t>Rockstar London</t>
  </si>
  <si>
    <t>Manhunt</t>
  </si>
  <si>
    <t>Mercury</t>
  </si>
  <si>
    <t>Tamsoft</t>
  </si>
  <si>
    <t>Onechanbara</t>
  </si>
  <si>
    <t>Tatsunoko vs. Capcom</t>
  </si>
  <si>
    <t>Tecmo Koei Games</t>
  </si>
  <si>
    <t>Zombie Zone</t>
  </si>
  <si>
    <t>Zombie Hunters</t>
  </si>
  <si>
    <t>Essential Games</t>
  </si>
  <si>
    <t>Zombie Hunters 2</t>
  </si>
  <si>
    <t>Onechanbara Z2: Chaos</t>
  </si>
  <si>
    <t>Marvelous USA</t>
  </si>
  <si>
    <t>Onechanbara: Bikini Samurai Squad</t>
  </si>
  <si>
    <t>Archer Maclean's Mercury</t>
  </si>
  <si>
    <t>Awesome Studios</t>
  </si>
  <si>
    <t>Survival Kids</t>
  </si>
  <si>
    <t>Lost in Blue 2</t>
  </si>
  <si>
    <t>Lost in Blue 3</t>
  </si>
  <si>
    <t>Dokapon Journey</t>
  </si>
  <si>
    <t>Tenchu: Wrath of Heaven</t>
  </si>
  <si>
    <t>Tenchu: Fatal Shadows</t>
  </si>
  <si>
    <t>Tenchu: Time of the Assassins</t>
  </si>
  <si>
    <t>Tenchu: Dark Secret</t>
  </si>
  <si>
    <t>Tenchu Z</t>
  </si>
  <si>
    <t>Shadow Assault: Tenchu</t>
  </si>
  <si>
    <t>Jack in the Dark</t>
  </si>
  <si>
    <t>Tom Clancy's Rainbow Six: Vegas</t>
  </si>
  <si>
    <t>Tom Clancy's Rainbow Six: Vegas 2</t>
  </si>
  <si>
    <t>Ubiosft Montreal</t>
  </si>
  <si>
    <t>Tom Clancy's Rainbow Six: Rogue Spear</t>
  </si>
  <si>
    <t>Saffire Corporation</t>
  </si>
  <si>
    <t>Tom Clancy's Rainbow Six: Lone Wolf</t>
  </si>
  <si>
    <t>Tom Clancy's Rainbow Six 3</t>
  </si>
  <si>
    <t>Ubisoft Shanghai</t>
  </si>
  <si>
    <t>Tom Clancy's Rainbow Six: Lockdown</t>
  </si>
  <si>
    <t>Tom Clancy's Rainbow Six: Critical Hour</t>
  </si>
  <si>
    <t>Tom Clancy's Ghost Recon</t>
  </si>
  <si>
    <t>Tactical Shooter</t>
  </si>
  <si>
    <t>Tom Clancy's Ghost Recon: Island Thunder</t>
  </si>
  <si>
    <t>Tom Clancy's Ghost Recon: Jungle Storm</t>
  </si>
  <si>
    <t>Tom Clancy's Ghost Recon 2</t>
  </si>
  <si>
    <t>Tom Clancy's Ghost Recon 2: Summit Strike</t>
  </si>
  <si>
    <t>Tom Clancy's Ghost Recon Advanced Warfighter</t>
  </si>
  <si>
    <t>Tom Clancy's Ghost Recon Advanced Warfighter 2</t>
  </si>
  <si>
    <t>Virtuos</t>
  </si>
  <si>
    <t>Tom Clancy's Ghost Recon Predator</t>
  </si>
  <si>
    <t>Tom Clancy's Splinter Cell</t>
  </si>
  <si>
    <t>Tom Clancy's Splinter Cell: Pandora Tomorrow</t>
  </si>
  <si>
    <t>Ubisoft Milan</t>
  </si>
  <si>
    <t>Tom Clancy's Splinter Cell: Chaos Theory</t>
  </si>
  <si>
    <t>Gameloft</t>
  </si>
  <si>
    <t>Tom Clancy's Splinter Cell 3D</t>
  </si>
  <si>
    <t>Tom Clancy's Splinter Cell: Double Agent</t>
  </si>
  <si>
    <t>Tom Clancy's H.A.W.X</t>
  </si>
  <si>
    <t>Ubisoft Bucharest</t>
  </si>
  <si>
    <t>H.A.W.X</t>
  </si>
  <si>
    <t>Tom Clancy's H.A.W.X 2</t>
  </si>
  <si>
    <t>Twisted Metal: Small Brawl</t>
  </si>
  <si>
    <t>Incognito Entertainment</t>
  </si>
  <si>
    <t>SingleTrac</t>
  </si>
  <si>
    <t>Twisted Metal 2</t>
  </si>
  <si>
    <t>Twisted Metal III</t>
  </si>
  <si>
    <t>Twisted Metal 4</t>
  </si>
  <si>
    <t>Twisted Metal: Black</t>
  </si>
  <si>
    <t>Twisted Metal: Head-On</t>
  </si>
  <si>
    <t>Need for Speed II</t>
  </si>
  <si>
    <t>Need for Speed III: Hot Pursuit</t>
  </si>
  <si>
    <t>Need for Speed: High Stakes</t>
  </si>
  <si>
    <t>Need for Speed: Porsche Unleashed</t>
  </si>
  <si>
    <t>Eden Studios</t>
  </si>
  <si>
    <t>Need for Speed: Hot Pursuit 2</t>
  </si>
  <si>
    <t>Need for Speed: Underground</t>
  </si>
  <si>
    <t>Need for Speed: Underground 2</t>
  </si>
  <si>
    <t>Need for Speed: Most Wanted</t>
  </si>
  <si>
    <t>Need for Speed: Carbon</t>
  </si>
  <si>
    <t>Need for Speed: ProStreet</t>
  </si>
  <si>
    <t>Need for Speed: Undercover</t>
  </si>
  <si>
    <t>Need for Speed: Shift</t>
  </si>
  <si>
    <t>Slightly Mad Studios</t>
  </si>
  <si>
    <t>Need for Speed: Shift 2: Unleashed</t>
  </si>
  <si>
    <t>Need for Speed: The Run</t>
  </si>
  <si>
    <t>Need for Speed: Nitro</t>
  </si>
  <si>
    <t>Adventure Island: The Beginning</t>
  </si>
  <si>
    <t>Alien Crush Returns</t>
  </si>
  <si>
    <t>Doc Louis's Punch-Out!!</t>
  </si>
  <si>
    <t>Excitebike: World Rally</t>
  </si>
  <si>
    <t>Final Fantasy Crystal Chronicles: My Life as a Darklord</t>
  </si>
  <si>
    <t>Final Fantasy Crystal Chronicles: My Life as a King</t>
  </si>
  <si>
    <t>Gradius ReBirth</t>
  </si>
  <si>
    <t>Harvest Moon: My Little Shop</t>
  </si>
  <si>
    <t>Mr. Driller W</t>
  </si>
  <si>
    <t>Mr. Driller</t>
  </si>
  <si>
    <t>Robocalypse: Beaver Defense</t>
  </si>
  <si>
    <t>DEVICE 6</t>
  </si>
  <si>
    <t>David A. Palmer Productions</t>
  </si>
  <si>
    <t>Chex Quest</t>
  </si>
  <si>
    <t>Digital Café</t>
  </si>
  <si>
    <t>Chex Quest 2</t>
  </si>
  <si>
    <t>Chex Quest 3</t>
  </si>
  <si>
    <t>Steve Rozner</t>
  </si>
  <si>
    <t>Mega Man: Battle &amp; Chase</t>
  </si>
  <si>
    <t>Super Adventure Rockman</t>
  </si>
  <si>
    <t>Kouyousha</t>
  </si>
  <si>
    <t>Dungeons &amp; Dragons: Eye of the Beholder</t>
  </si>
  <si>
    <t>Pronto Games</t>
  </si>
  <si>
    <t>Duke Nukem Advance</t>
  </si>
  <si>
    <t>Heretic II</t>
  </si>
  <si>
    <t>World Series of Poker: Tournament of Champions</t>
  </si>
  <si>
    <t>World Series of Poker</t>
  </si>
  <si>
    <t>Kingdom of Paradise</t>
  </si>
  <si>
    <t>Tenchi no Mon</t>
  </si>
  <si>
    <t>Oniken + Odallus Collection</t>
  </si>
  <si>
    <t>EastAsiaSoft</t>
  </si>
  <si>
    <t>Play-Asia Exclusive</t>
  </si>
  <si>
    <t>Aliens vs. Predator</t>
  </si>
  <si>
    <t>Dark Fall: The Journal</t>
  </si>
  <si>
    <t>Game Titan</t>
  </si>
  <si>
    <t>Lands of Lore: Guardians of Destiny</t>
  </si>
  <si>
    <t>The Legend of Kyrandia: Book One - Fables and Fiends</t>
  </si>
  <si>
    <t>The Legend of Kyrandia</t>
  </si>
  <si>
    <t>The Legend of Kyrandia: Book Two - Hand of Fate</t>
  </si>
  <si>
    <t>The Legend of Kyrandia: Book Three - Malcolm's Revenge</t>
  </si>
  <si>
    <t>Roadwar 2000</t>
  </si>
  <si>
    <t>Roadwar</t>
  </si>
  <si>
    <t>Roadwar Europa</t>
  </si>
  <si>
    <t>Mars Saga</t>
  </si>
  <si>
    <t>Circuit's Edge</t>
  </si>
  <si>
    <t>Hillsfar</t>
  </si>
  <si>
    <t>Dungeons &amp; Dragons: Order of the Griffon</t>
  </si>
  <si>
    <t>Young Merlin</t>
  </si>
  <si>
    <t>Pirates: The Legend of Black Kat</t>
  </si>
  <si>
    <t>MechWarrior 2: 31st Century Combat</t>
  </si>
  <si>
    <t>MechWarrior 2: Mercenaries</t>
  </si>
  <si>
    <t>BattleTech: The Crescent Hawk's Inception</t>
  </si>
  <si>
    <t>BattleTech: The Crescent Hawk's Revenge</t>
  </si>
  <si>
    <t>MechAssault: Phantom War</t>
  </si>
  <si>
    <t>MechAssault</t>
  </si>
  <si>
    <t>MechAssault 2: Lone Wolf</t>
  </si>
  <si>
    <t>MechWarrior 3</t>
  </si>
  <si>
    <t>Zipper Interactive</t>
  </si>
  <si>
    <t>MechWarrior 4: Vengeance</t>
  </si>
  <si>
    <t>FASA Interactive</t>
  </si>
  <si>
    <t>MechWarrior 4: Mercenaries</t>
  </si>
  <si>
    <t>MechCommander</t>
  </si>
  <si>
    <t>MechCommander 2</t>
  </si>
  <si>
    <t>Crusaders of Might and Magic</t>
  </si>
  <si>
    <t>Warriors of Might and Magic</t>
  </si>
  <si>
    <t>Shifters</t>
  </si>
  <si>
    <t>Heroes of Might and Magic: Quest for the Dragon Bone Staff</t>
  </si>
  <si>
    <t>Dragon Rage</t>
  </si>
  <si>
    <t>Castle Wolfenstein</t>
  </si>
  <si>
    <t>Muse Software</t>
  </si>
  <si>
    <t>Beyond Castle Wolfenstein</t>
  </si>
  <si>
    <t>Enemy Territory: Quake Wars</t>
  </si>
  <si>
    <t>Doom II</t>
  </si>
  <si>
    <t>Orcs &amp; Elves</t>
  </si>
  <si>
    <t>Doom RPG</t>
  </si>
  <si>
    <t>JAMDAT Mobile</t>
  </si>
  <si>
    <t>Fallout: Brotherhood of Steel</t>
  </si>
  <si>
    <t>Collection of Mana</t>
  </si>
  <si>
    <t>Pacify</t>
  </si>
  <si>
    <t>Shawn Hitchcock</t>
  </si>
  <si>
    <t>SKH Apps</t>
  </si>
  <si>
    <t>Beholder 2</t>
  </si>
  <si>
    <t>Darkwood</t>
  </si>
  <si>
    <t>Acid Wizard Studio</t>
  </si>
  <si>
    <t>Agony</t>
  </si>
  <si>
    <t>Madmind Studio</t>
  </si>
  <si>
    <t>Butcher</t>
  </si>
  <si>
    <t>Transhuman Design</t>
  </si>
  <si>
    <t>An Elder Scrolls Legend: Battlespire</t>
  </si>
  <si>
    <t>The Elder Scrolls Adventures: Redguard</t>
  </si>
  <si>
    <t>The Elder Scrolls Travels: Stormhold</t>
  </si>
  <si>
    <t>The Elder Scrolls Travels: Dawnstar</t>
  </si>
  <si>
    <t>Worlds of Ultima: The Savage Empire</t>
  </si>
  <si>
    <t>Ultima: Worlds of Adventure 2: Martian Dreams</t>
  </si>
  <si>
    <t>Ultima IV: Quest of the Avatar</t>
  </si>
  <si>
    <t>Akalabeth: World of Doom</t>
  </si>
  <si>
    <t>California Pacific Computer Co.</t>
  </si>
  <si>
    <t>Richard Garriott</t>
  </si>
  <si>
    <t>Ultima: Escape from Mt. Drash</t>
  </si>
  <si>
    <t>Ultima IX: Ascension</t>
  </si>
  <si>
    <t>Wing Commander: Prophecy</t>
  </si>
  <si>
    <t>Flight Simulation</t>
  </si>
  <si>
    <t>Wing Commander: Privateer</t>
  </si>
  <si>
    <t>Nemesis: The Wizardry Adventure</t>
  </si>
  <si>
    <t>Labyrinth: The Computer Game</t>
  </si>
  <si>
    <t>Labyrinth</t>
  </si>
  <si>
    <t>Jill Off</t>
  </si>
  <si>
    <t>Marathon Infinity</t>
  </si>
  <si>
    <t>Hunter: The Reckoning - Wayward</t>
  </si>
  <si>
    <t>Hunter: The Reckoning</t>
  </si>
  <si>
    <t>Age of Empires: The Age of Kings</t>
  </si>
  <si>
    <t>Age of Empires: Mythologies</t>
  </si>
  <si>
    <t>Hunter: The Reckoning - Redeemer</t>
  </si>
  <si>
    <t>Diablo: Hellfire</t>
  </si>
  <si>
    <t>Synergistic Software</t>
  </si>
  <si>
    <t>Diablo II: Lord of Destruction</t>
  </si>
  <si>
    <t>Blizzard North</t>
  </si>
  <si>
    <t>Slime Mori Mori Dragon Quest 3: Daikaizoku to Shippo Dan</t>
  </si>
  <si>
    <t>Dai Gyakuten Saiban: Naruhodō Ryūnosuke no Bōken</t>
  </si>
  <si>
    <t>Dai Gyakuten Saiban 2: Naruhodō Ryūnosuke no Kakugo</t>
  </si>
  <si>
    <t>Gyakuten Kenji 2</t>
  </si>
  <si>
    <t>Phoenix Wright: Ace Attorney - Dual Destinies</t>
  </si>
  <si>
    <t>Phoenix Wright: Ace Attorney - Spirit of Justice</t>
  </si>
  <si>
    <t>CRL Group PLC</t>
  </si>
  <si>
    <t>Andy Stodart, Ian Foster</t>
  </si>
  <si>
    <t>Adventure Island II: Aliens in Paradise</t>
  </si>
  <si>
    <t>Alien vs. Predator: The Last of His Clan</t>
  </si>
  <si>
    <t>ASK Kodansha</t>
  </si>
  <si>
    <t>Alien 3</t>
  </si>
  <si>
    <t>The Amazing Spider-Man</t>
  </si>
  <si>
    <t>The Amazing Spider-Man 2</t>
  </si>
  <si>
    <t>Battletoads in Ragnarok's World</t>
  </si>
  <si>
    <t>Double Dragon 3: The Arcade Game</t>
  </si>
  <si>
    <t>Dragon's Lair: The Legend</t>
  </si>
  <si>
    <t>CSG Imagesoft</t>
  </si>
  <si>
    <t>Elite Systems</t>
  </si>
  <si>
    <t>Fushigi no Dungeon: Furai no Shiren GB</t>
  </si>
  <si>
    <t>Aquamarine</t>
  </si>
  <si>
    <t>Harvest Moon GB</t>
  </si>
  <si>
    <t>Kirby's Block Ball</t>
  </si>
  <si>
    <t>Kirby's Pinball Land</t>
  </si>
  <si>
    <t>Kirby's Star Stacker</t>
  </si>
  <si>
    <t>Metal Masters</t>
  </si>
  <si>
    <t>Blaster Master Boy</t>
  </si>
  <si>
    <t>Milon's Secret Castle</t>
  </si>
  <si>
    <t>Jelly Boy</t>
  </si>
  <si>
    <t>Probe Software</t>
  </si>
  <si>
    <t>Super Chinese</t>
  </si>
  <si>
    <t>Oddworld Adventures</t>
  </si>
  <si>
    <t>Spider-Man 3: Invasion of the Spider-Slayers</t>
  </si>
  <si>
    <t>Wizards &amp; Warriors X: The Fortress of Fear</t>
  </si>
  <si>
    <t>Estimated Time</t>
  </si>
  <si>
    <t>Cotton: Fantastic Night Dreams</t>
  </si>
  <si>
    <t>DiRT Rally</t>
  </si>
  <si>
    <t>Celeste</t>
  </si>
  <si>
    <t>Knightmare: Majō Densetsu</t>
  </si>
  <si>
    <t>Knightmare</t>
  </si>
  <si>
    <t>The Maze of Galious: Knightmare II</t>
  </si>
  <si>
    <t>Shalom: Knightmare III</t>
  </si>
  <si>
    <t>Shadow Tower Abyss</t>
  </si>
  <si>
    <t>Shadow Tower</t>
  </si>
  <si>
    <t>Armored Core: Nexus</t>
  </si>
  <si>
    <t>Armored Core: Nine Breaker</t>
  </si>
  <si>
    <t>Armored Core: Last Raven</t>
  </si>
  <si>
    <t>Eternal Ring</t>
  </si>
  <si>
    <t>Evergrace</t>
  </si>
  <si>
    <t>Armored Core 2</t>
  </si>
  <si>
    <t>The Adventures of Cookie &amp; Cream</t>
  </si>
  <si>
    <t>Armored Core 2: Another Age</t>
  </si>
  <si>
    <t>Forever Kingdom</t>
  </si>
  <si>
    <t>Armored Core 3</t>
  </si>
  <si>
    <t>Silent Line: Armored Core</t>
  </si>
  <si>
    <t>Armored Core: Project Phantasma</t>
  </si>
  <si>
    <t>Armored Core: Master of Arena</t>
  </si>
  <si>
    <t>Spriggan: Lunar Verse</t>
  </si>
  <si>
    <t>Frame Gride</t>
  </si>
  <si>
    <t>Giga Wing Generations</t>
  </si>
  <si>
    <t>Armored Core: Formula Front</t>
  </si>
  <si>
    <t>Spectral Souls</t>
  </si>
  <si>
    <t>Bomberman Quest</t>
  </si>
  <si>
    <t>Eleven</t>
  </si>
  <si>
    <t>Bomberman</t>
  </si>
  <si>
    <t>Bomberman Max: Blue Champion</t>
  </si>
  <si>
    <t>Ganbare Goemon: Tengu-tō no Gyakushū!</t>
  </si>
  <si>
    <t>Harvest Moon 2 GBC</t>
  </si>
  <si>
    <t>Harvest Moon 3 GBC</t>
  </si>
  <si>
    <t>Kirby Tilt 'n' Tumble</t>
  </si>
  <si>
    <t>Monster Rancher Battle Card GB</t>
  </si>
  <si>
    <t>Monster Rancher</t>
  </si>
  <si>
    <t>Oddworld Adventures 2</t>
  </si>
  <si>
    <t>Pokémon Card GB2: Great Rocket-Dan Sanjō!</t>
  </si>
  <si>
    <t>The Pokémon Company</t>
  </si>
  <si>
    <t>Pokémon Puzzle Challenge</t>
  </si>
  <si>
    <t>Pokémon Pinball</t>
  </si>
  <si>
    <t>Return of the Ninja</t>
  </si>
  <si>
    <t>Resident Evil Gaiden</t>
  </si>
  <si>
    <t>Shadowgate Classic</t>
  </si>
  <si>
    <t>Spider-Man 2: The Sinister Six</t>
  </si>
  <si>
    <t>Warlocked</t>
  </si>
  <si>
    <t>Aliens: Thanatos Encounter</t>
  </si>
  <si>
    <t>Wicked Witch Software</t>
  </si>
  <si>
    <t>Blaster Master: Enemy Below</t>
  </si>
  <si>
    <t>Gex 3: Deep Pocket Gecko</t>
  </si>
  <si>
    <t>Monster Rancher Explorer</t>
  </si>
  <si>
    <t>Bomberman Max 2: Blue Advance</t>
  </si>
  <si>
    <t>Mega Man Battle Chip Challenge</t>
  </si>
  <si>
    <t>Pokémon Pinball: Ruby &amp; Sapphire</t>
  </si>
  <si>
    <t>Hey You, Pikachu!</t>
  </si>
  <si>
    <t>Ambrella</t>
  </si>
  <si>
    <t>Indiana Jones and the Infernal Machine</t>
  </si>
  <si>
    <t>Pokémon Fushigi no Danjon Susume! Honō no Bōken-dan</t>
  </si>
  <si>
    <t>Pokémon Rumble</t>
  </si>
  <si>
    <t>PokéPark Wii: Pikachu's Adventure</t>
  </si>
  <si>
    <t>PokéPark 2: Wonders Beyond</t>
  </si>
  <si>
    <t>Pokémon Rumble U</t>
  </si>
  <si>
    <t>Pokémon Rumble Blast</t>
  </si>
  <si>
    <t>Pokémon Dash</t>
  </si>
  <si>
    <t>Learn with Pokémon: Typing Adventure</t>
  </si>
  <si>
    <t>Pokémon Trozei!</t>
  </si>
  <si>
    <t>Spider-Man 2: Enter Electro</t>
  </si>
  <si>
    <t>Astral Chain</t>
  </si>
  <si>
    <t>The Dark Pictures Anthology</t>
  </si>
  <si>
    <t>Zool: Ninja of the "Nth" Dimension</t>
  </si>
  <si>
    <t>Cat Quest</t>
  </si>
  <si>
    <t>The Gentlebros</t>
  </si>
  <si>
    <t>Tyranny</t>
  </si>
  <si>
    <t>Immortal Planet</t>
  </si>
  <si>
    <t>teedoubleuGAMES</t>
  </si>
  <si>
    <t>Deep Sky Derelicts</t>
  </si>
  <si>
    <t>Snowhound Games</t>
  </si>
  <si>
    <t>HIVESWAP: Act 1</t>
  </si>
  <si>
    <t>What Pumpkin Games</t>
  </si>
  <si>
    <t>Homestuck</t>
  </si>
  <si>
    <t>Dragon Age: Inquisition</t>
  </si>
  <si>
    <t>Legendary Axe II</t>
  </si>
  <si>
    <t>Download 2</t>
  </si>
  <si>
    <t>Dragon's Revenge</t>
  </si>
  <si>
    <t>Platform</t>
  </si>
  <si>
    <t>Neo-Geo</t>
  </si>
  <si>
    <t>Neo-Geo CD</t>
  </si>
  <si>
    <t>Neo-Geo Pocket Color</t>
  </si>
  <si>
    <t>NES</t>
  </si>
  <si>
    <t>Famicom Disk System</t>
  </si>
  <si>
    <t>SNES</t>
  </si>
  <si>
    <t>BS-X</t>
  </si>
  <si>
    <t>Virtual Boy</t>
  </si>
  <si>
    <t>Nintendo 64</t>
  </si>
  <si>
    <t>Nintendo GameCube</t>
  </si>
  <si>
    <t>Nintendo Wii</t>
  </si>
  <si>
    <t>WiiWare</t>
  </si>
  <si>
    <t>Nintendo Wii U</t>
  </si>
  <si>
    <t>Nintendo Switch</t>
  </si>
  <si>
    <t>Game Boy</t>
  </si>
  <si>
    <t>Game Boy Color</t>
  </si>
  <si>
    <t>Game Boy Advance</t>
  </si>
  <si>
    <t>Nintendo DS</t>
  </si>
  <si>
    <t>Nintendo 3DS</t>
  </si>
  <si>
    <t>Sega Master System</t>
  </si>
  <si>
    <t>Sega Genesis</t>
  </si>
  <si>
    <t>Sega CD</t>
  </si>
  <si>
    <t>Sega 32X</t>
  </si>
  <si>
    <t>Sega Saturn</t>
  </si>
  <si>
    <t>Sega Dreamcast</t>
  </si>
  <si>
    <t>Sega Game Gear</t>
  </si>
  <si>
    <t>PlayStation</t>
  </si>
  <si>
    <t>PlayStation 2</t>
  </si>
  <si>
    <t>PlayStation 3</t>
  </si>
  <si>
    <t>PlayStation 4</t>
  </si>
  <si>
    <t>Control</t>
  </si>
  <si>
    <t>PlayStation Portable</t>
  </si>
  <si>
    <t>PlayStation Vita</t>
  </si>
  <si>
    <t>Xbox</t>
  </si>
  <si>
    <t>Xbox 360</t>
  </si>
  <si>
    <t>Xbox One</t>
  </si>
  <si>
    <t>Commodore 64</t>
  </si>
  <si>
    <t>Commodore VIC-20</t>
  </si>
  <si>
    <t>Guacamelee! 2</t>
  </si>
  <si>
    <t>Distance</t>
  </si>
  <si>
    <t>MOTHERGUNSHIP</t>
  </si>
  <si>
    <t>God's Trigger</t>
  </si>
  <si>
    <t>State of Mind</t>
  </si>
  <si>
    <t>Refract</t>
  </si>
  <si>
    <t>Grip Digital</t>
  </si>
  <si>
    <t>One More Level</t>
  </si>
  <si>
    <t>Steam</t>
  </si>
  <si>
    <t>GOG</t>
  </si>
  <si>
    <t>Abzû</t>
  </si>
  <si>
    <t>Giant Squid Studios</t>
  </si>
  <si>
    <t>Browser</t>
  </si>
  <si>
    <t>J2ME</t>
  </si>
  <si>
    <t>iOS</t>
  </si>
  <si>
    <t>Atari 2600</t>
  </si>
  <si>
    <t>Atari Jaguar</t>
  </si>
  <si>
    <t>Atari Lynx</t>
  </si>
  <si>
    <t>MSX</t>
  </si>
  <si>
    <t>MSX2</t>
  </si>
  <si>
    <t>TurboGrafx-16</t>
  </si>
  <si>
    <t>TurboGrafx-CD</t>
  </si>
  <si>
    <t>Philips CD-i</t>
  </si>
  <si>
    <t>3DO</t>
  </si>
  <si>
    <t>N-Gage</t>
  </si>
  <si>
    <t>WonderSwan</t>
  </si>
  <si>
    <t>WonderSwan Color</t>
  </si>
  <si>
    <t>Origin</t>
  </si>
  <si>
    <t>Battle.net</t>
  </si>
  <si>
    <t>uPlay</t>
  </si>
  <si>
    <t>Twitch</t>
  </si>
  <si>
    <t>PC</t>
  </si>
  <si>
    <t>Deadly Premonition</t>
  </si>
  <si>
    <t>Hoshigami: Ruining Blue Earth</t>
  </si>
  <si>
    <t>MaxFive</t>
  </si>
  <si>
    <t>Hoshigami</t>
  </si>
  <si>
    <t>Hoshigami: Ruining Blue Earth Remix</t>
  </si>
  <si>
    <t>Barnhouse Effect</t>
  </si>
  <si>
    <t>Kartia: The World of Fate</t>
  </si>
  <si>
    <t>Maken X</t>
  </si>
  <si>
    <t>Maken</t>
  </si>
  <si>
    <t>Dungeon Explorer</t>
  </si>
  <si>
    <t>Digital Devil Story: Megami Tensei II</t>
  </si>
  <si>
    <t>Shin Megami Tensei: Nine</t>
  </si>
  <si>
    <t>Megami Tensei Gaiden: Last Bible Special</t>
  </si>
  <si>
    <t>Elemental Gearbolt</t>
  </si>
  <si>
    <t>The Granstream Saga</t>
  </si>
  <si>
    <t>Ronde</t>
  </si>
  <si>
    <t>Multimedia Intelligence Transfer</t>
  </si>
  <si>
    <t>Shin Megami Tensei: Persona 3</t>
  </si>
  <si>
    <t>Shin Megami Tensei: Persona</t>
  </si>
  <si>
    <t>Shin Megami Tensei: Persona 2 - Innocent Sin</t>
  </si>
  <si>
    <t>Persona Q: Shadow of the Labyrinth</t>
  </si>
  <si>
    <t>Gears 5</t>
  </si>
  <si>
    <t>Homefront: The Revolution</t>
  </si>
  <si>
    <t>Dambuster Studios</t>
  </si>
  <si>
    <t>PlayStation Network</t>
  </si>
  <si>
    <t>Psygnosis</t>
  </si>
  <si>
    <t>Wipeout 3</t>
  </si>
  <si>
    <t>Wipeout 64</t>
  </si>
  <si>
    <t>Wipeout Fusion</t>
  </si>
  <si>
    <t>BAM! Entertainment</t>
  </si>
  <si>
    <t>Sony Studio Liverpool</t>
  </si>
  <si>
    <t>Wipeout Pure</t>
  </si>
  <si>
    <t>Wipeout Pulse</t>
  </si>
  <si>
    <t>Wipeout 2048</t>
  </si>
  <si>
    <t>Kowloon's Gate</t>
  </si>
  <si>
    <t>Sony Music Entertainment</t>
  </si>
  <si>
    <t>Zeque</t>
  </si>
  <si>
    <t>Racing Lagoon</t>
  </si>
  <si>
    <t>Moonlight Syndrome</t>
  </si>
  <si>
    <t>Twilight Syndrome</t>
  </si>
  <si>
    <t>Devilman</t>
  </si>
  <si>
    <t>serial experiments lain</t>
  </si>
  <si>
    <t>Pioneer LDC</t>
  </si>
  <si>
    <t>Hokuto no Ken: Seikimatsu Kyūseishu Densetsu</t>
  </si>
  <si>
    <t>Fist of the North Star</t>
  </si>
  <si>
    <t>Destrega</t>
  </si>
  <si>
    <t>Wipeout XL</t>
  </si>
  <si>
    <t>Downtown Special: Kunio-kun no Jidaigeki Dayo Zen'in Shūgō!</t>
  </si>
  <si>
    <t>Borderlands 3</t>
  </si>
  <si>
    <t>Daemon X Machina</t>
  </si>
  <si>
    <t>Irisu Syndrome!</t>
  </si>
  <si>
    <t>Legend of Princess</t>
  </si>
  <si>
    <t>Joakim Sandberg</t>
  </si>
  <si>
    <t>Little Princess: Marl Ōkoku no Ningyō Hime 2</t>
  </si>
  <si>
    <t>Tenshi no Present: Marl Ōkoku Monogatari</t>
  </si>
  <si>
    <t>The Witcher 3: Wild Hunt</t>
  </si>
  <si>
    <t>Castles in the Sky</t>
  </si>
  <si>
    <t>The Tall Trees</t>
  </si>
  <si>
    <t>Jisei: The First Case</t>
  </si>
  <si>
    <t>SakeVisual</t>
  </si>
  <si>
    <t>Jisei</t>
  </si>
  <si>
    <t>Adventures of Mana</t>
  </si>
  <si>
    <t>MCF</t>
  </si>
  <si>
    <t>Tomb Raider: The Prophecy</t>
  </si>
  <si>
    <t>Zero no Kiseki</t>
  </si>
  <si>
    <t>Ao no Kiseki</t>
  </si>
  <si>
    <t>Dangen Entertainment</t>
  </si>
  <si>
    <t>Shadow Man: 2econd Coming</t>
  </si>
  <si>
    <t>Contra: Rogue Corps</t>
  </si>
  <si>
    <t>AI: The Somnium Files</t>
  </si>
  <si>
    <t>I Love You, Colonel Sanders! A Finger Lickin’ Good Dating Simulator</t>
  </si>
  <si>
    <t>KFC</t>
  </si>
  <si>
    <t>Psyop</t>
  </si>
  <si>
    <t>Everything</t>
  </si>
  <si>
    <t>David Oreilly</t>
  </si>
  <si>
    <t>Metro 2033 Redux</t>
  </si>
  <si>
    <t>PQube</t>
  </si>
  <si>
    <t>Code Vein</t>
  </si>
  <si>
    <t>Dragon Quest XI S: Echoes of an Elusive Age - Definitive Edition</t>
  </si>
  <si>
    <t>99Vidas</t>
  </si>
  <si>
    <t>QuByte Interactive</t>
  </si>
  <si>
    <t>Necrosphere Deluxe</t>
  </si>
  <si>
    <t>Unties</t>
  </si>
  <si>
    <t>Cat Nigiri</t>
  </si>
  <si>
    <t>Adam Wolfe</t>
  </si>
  <si>
    <t>Mad Head Games</t>
  </si>
  <si>
    <t>Stranger Things 3: The Game</t>
  </si>
  <si>
    <t>BonusXP</t>
  </si>
  <si>
    <t>Stranger Things</t>
  </si>
  <si>
    <t>Avernum 3: Ruined World</t>
  </si>
  <si>
    <t>Call of Duty: WWII</t>
  </si>
  <si>
    <t>Sledgehammer Games</t>
  </si>
  <si>
    <t>Override: Mech City Brawl</t>
  </si>
  <si>
    <t>Modus Games</t>
  </si>
  <si>
    <t>The Balance</t>
  </si>
  <si>
    <t>Planet Alpha</t>
  </si>
  <si>
    <t>Planet Alpha ApS</t>
  </si>
  <si>
    <t>PUSS!</t>
  </si>
  <si>
    <t>teamCOIL</t>
  </si>
  <si>
    <t>The Spiral Scouts</t>
  </si>
  <si>
    <t>Cantaloupe Kids</t>
  </si>
  <si>
    <t>Ghostbusters: The Video Game - Remastered</t>
  </si>
  <si>
    <t>Mad Dog Games</t>
  </si>
  <si>
    <t>Saber Interactive</t>
  </si>
  <si>
    <t>Air Combat</t>
  </si>
  <si>
    <t>Ace Combat 2</t>
  </si>
  <si>
    <t>Ace Combat 3: Electrosphere</t>
  </si>
  <si>
    <t>Ace Combat 04: Shattered Skies</t>
  </si>
  <si>
    <t>Ace Combat 5: The Unsung War</t>
  </si>
  <si>
    <t>Ace Combat Zero: The Belkan War</t>
  </si>
  <si>
    <t>Ace Combat 6: Fires of Liberation</t>
  </si>
  <si>
    <t>Ace Combat Advance</t>
  </si>
  <si>
    <t>HumanSoft</t>
  </si>
  <si>
    <t>Ace Combat X: Skies of Deception</t>
  </si>
  <si>
    <t>Spy Fiction</t>
  </si>
  <si>
    <t>Sammy Studios</t>
  </si>
  <si>
    <t>The Sky Crawlers: Innocent Aces</t>
  </si>
  <si>
    <t>Lord of Arcana</t>
  </si>
  <si>
    <t>Ace Combat: Joint Assault</t>
  </si>
  <si>
    <t>Ace Combat: Assault Horizon Legacy</t>
  </si>
  <si>
    <t>Otogi: Myth of Demons</t>
  </si>
  <si>
    <t>Otogi</t>
  </si>
  <si>
    <t>Murakumo: Renegade Mech Pursuit</t>
  </si>
  <si>
    <t>Otogi 2: Immortal Warriors</t>
  </si>
  <si>
    <t>The Witcher 3: Wild Hunt - Complete Edition</t>
  </si>
  <si>
    <t>Bushido Blade</t>
  </si>
  <si>
    <t>Light Weight</t>
  </si>
  <si>
    <t>Bushido Blade 2</t>
  </si>
  <si>
    <t>Duke Nukem: Land of the Babes</t>
  </si>
  <si>
    <t>Duke Nukem: Critical Mass</t>
  </si>
  <si>
    <t>Frontline Studios</t>
  </si>
  <si>
    <t>Duke Nukem Mobile</t>
  </si>
  <si>
    <t>MachineWorks Northwest</t>
  </si>
  <si>
    <t>Duke Nukem: Time to Kill</t>
  </si>
  <si>
    <t>Dynasty Warriors</t>
  </si>
  <si>
    <t>Dynasty Warriors 2</t>
  </si>
  <si>
    <t>Dynasty Warriors 3</t>
  </si>
  <si>
    <t>Dynasty Warriors 4</t>
  </si>
  <si>
    <t>Dynasty Warriors 6</t>
  </si>
  <si>
    <t>Dynasty Warriors 5</t>
  </si>
  <si>
    <t>Dynasty Warriors 7</t>
  </si>
  <si>
    <t>Dynasty Warriors 8</t>
  </si>
  <si>
    <t>Dynasty Warriors Advance</t>
  </si>
  <si>
    <t>Dynasty Warriors Vol. 2</t>
  </si>
  <si>
    <t>Dynasty Warriors DS: Fighter's Battle</t>
  </si>
  <si>
    <t>Dynasty Warriors: Strikeforce</t>
  </si>
  <si>
    <t>Dynasty Warriors Next</t>
  </si>
  <si>
    <t>Dynasty Tactics</t>
  </si>
  <si>
    <t>Dynasty Warriors: Gundam</t>
  </si>
  <si>
    <t>Mobile Suit Gundam</t>
  </si>
  <si>
    <t>Dynasty Warriors: Gundam 2</t>
  </si>
  <si>
    <t>Dynasty Warriors: Gundam 3</t>
  </si>
  <si>
    <t>Samurai Warriors 2</t>
  </si>
  <si>
    <t>Samurai Warriors: Katana</t>
  </si>
  <si>
    <t>Samurai Warriors 3</t>
  </si>
  <si>
    <t>Samurai Warriors 4</t>
  </si>
  <si>
    <t>Samurai Warriors: Spirit of Sanada</t>
  </si>
  <si>
    <t>Warriors Orochi</t>
  </si>
  <si>
    <t>Warriors Orochi 2</t>
  </si>
  <si>
    <t>Warriors Orochi 3</t>
  </si>
  <si>
    <t>Warriors Orochi 4</t>
  </si>
  <si>
    <t>Warriors: Legends of Troy</t>
  </si>
  <si>
    <t>Koei Canada</t>
  </si>
  <si>
    <t>Fist of the North Star: Ken's Rage</t>
  </si>
  <si>
    <t>Fist of the North Star: Ken's Rage 2</t>
  </si>
  <si>
    <t>Berserk and the Band of the Hawk</t>
  </si>
  <si>
    <t>Berserk</t>
  </si>
  <si>
    <t>Fatal Fury: Wild Ambition</t>
  </si>
  <si>
    <t>Dynasty Tactics 2</t>
  </si>
  <si>
    <t>The Ninja Saviors: Return of the Warriors</t>
  </si>
  <si>
    <t>ININ Games</t>
  </si>
  <si>
    <t>Natsume Atari</t>
  </si>
  <si>
    <t>Trillion: God of Destruction</t>
  </si>
  <si>
    <t>Neptunia Shooter</t>
  </si>
  <si>
    <t>MegaTagmension Blanc + Neptune vs. Zombies</t>
  </si>
  <si>
    <t>Superdimension Neptune vs. Sega Hard Girls</t>
  </si>
  <si>
    <t>Fairy Fencer F: Advent Dark Force</t>
  </si>
  <si>
    <t>A Short Hike</t>
  </si>
  <si>
    <t>adamgryu</t>
  </si>
  <si>
    <t>River City Girls</t>
  </si>
  <si>
    <t>Ghost 1.0 + Unepic Collection</t>
  </si>
  <si>
    <t>@unepic_fran</t>
  </si>
  <si>
    <t>Samurai Warriors: State of War</t>
  </si>
  <si>
    <t>Berserk: Millennium Falcon Hen Seima Senki no Shō</t>
  </si>
  <si>
    <t>Yuke's</t>
  </si>
  <si>
    <t>Sword of the Berserk: Guts' Rage</t>
  </si>
  <si>
    <t>Dragon's Lair Trilogy</t>
  </si>
  <si>
    <t>Resident Evil Triple Pack</t>
  </si>
  <si>
    <t>Dragon's Lair 3D: Return to the Lair</t>
  </si>
  <si>
    <t>Dragonstone Software</t>
  </si>
  <si>
    <t>MediEvil</t>
  </si>
  <si>
    <t>Other Ocean Emeryville</t>
  </si>
  <si>
    <t>SCE Cambridge Studio</t>
  </si>
  <si>
    <t>MediEvil 2</t>
  </si>
  <si>
    <t>MediEvil: Resurrection</t>
  </si>
  <si>
    <t>Mercenary Kings: Reloaded Edition</t>
  </si>
  <si>
    <t>Star Wars: Bounty Hunter</t>
  </si>
  <si>
    <t>Tharsis</t>
  </si>
  <si>
    <t>The Haunted Island, a Frog Detective Game</t>
  </si>
  <si>
    <t>worm club</t>
  </si>
  <si>
    <t>Grace Bruxner, Thomas Bowker</t>
  </si>
  <si>
    <t>Frog Detective</t>
  </si>
  <si>
    <t>Flipping Death</t>
  </si>
  <si>
    <t>Zoink Games</t>
  </si>
  <si>
    <t>ART SQOOL</t>
  </si>
  <si>
    <t>Glanderco</t>
  </si>
  <si>
    <t>Julian Glander</t>
  </si>
  <si>
    <t>Ghost in the Shell</t>
  </si>
  <si>
    <t>Exact</t>
  </si>
  <si>
    <t>Ghost in the Shell: Stand Alone Complex</t>
  </si>
  <si>
    <t>Love &amp; Destroy</t>
  </si>
  <si>
    <t>Arc Entertainment</t>
  </si>
  <si>
    <t>Sands of Destruction</t>
  </si>
  <si>
    <t>Surveillance Kanshisha</t>
  </si>
  <si>
    <t>Goemon: Shin Sedai Shūmei!</t>
  </si>
  <si>
    <t>Gran Turismo</t>
  </si>
  <si>
    <t>Polys Entertainment</t>
  </si>
  <si>
    <t>Gran Turismo 2</t>
  </si>
  <si>
    <t>Polyphony Digital</t>
  </si>
  <si>
    <t>Gran Turismo 3: A-Spec</t>
  </si>
  <si>
    <t>Gran Turismo 4</t>
  </si>
  <si>
    <t>Gran Turismo 5</t>
  </si>
  <si>
    <t>Gran Turismo 6</t>
  </si>
  <si>
    <t>Gran Turismo Sport</t>
  </si>
  <si>
    <t>Gran Turismo 5 Prologue</t>
  </si>
  <si>
    <t>Yukito Products</t>
  </si>
  <si>
    <t>Heart of Darkness</t>
  </si>
  <si>
    <t>Amazing Studio</t>
  </si>
  <si>
    <t>I.Q.: Intelligent Qube</t>
  </si>
  <si>
    <t>Intelligent Qube</t>
  </si>
  <si>
    <t>Loaded</t>
  </si>
  <si>
    <t>Gremlin Interactive</t>
  </si>
  <si>
    <t>Legend</t>
  </si>
  <si>
    <t>Gunnm: Martian Memory</t>
  </si>
  <si>
    <t>Pepsiman</t>
  </si>
  <si>
    <t>R4: Ridge Racer Type 4</t>
  </si>
  <si>
    <t>Ridge Racer</t>
  </si>
  <si>
    <t>Ridge Racer 2</t>
  </si>
  <si>
    <t>Rave Racer</t>
  </si>
  <si>
    <t>Ridge Racer Revolution</t>
  </si>
  <si>
    <t>Rage Racer</t>
  </si>
  <si>
    <t>Ridge Racer V</t>
  </si>
  <si>
    <t>R: Racing Evolution</t>
  </si>
  <si>
    <t>Ridge Racer 6</t>
  </si>
  <si>
    <t>Ridge Racer 7</t>
  </si>
  <si>
    <t>Ridge Racer Unbounded</t>
  </si>
  <si>
    <t>Bugbear Entertainment</t>
  </si>
  <si>
    <t>Ridge Racer 64</t>
  </si>
  <si>
    <t>Ridge Racer DS</t>
  </si>
  <si>
    <t>Ridge Racer 3D</t>
  </si>
  <si>
    <t>Cellius</t>
  </si>
  <si>
    <t>Planet Laika</t>
  </si>
  <si>
    <t>Orphen: Scion of Sorcery</t>
  </si>
  <si>
    <t>The Raiden Project</t>
  </si>
  <si>
    <t>Gradius V</t>
  </si>
  <si>
    <t>Dragon Drive: D-Masters Shot</t>
  </si>
  <si>
    <t>Tiny Toon Adventures: Buster's Bad Dream</t>
  </si>
  <si>
    <t>Swing! Entertainment Media</t>
  </si>
  <si>
    <t>Stretch Panic</t>
  </si>
  <si>
    <t>Conspiracy Entertainment</t>
  </si>
  <si>
    <t>Silpheed: The Lost Planet</t>
  </si>
  <si>
    <t>Rakugaki Showtime</t>
  </si>
  <si>
    <t>McDonald's Treasure Land Adventure</t>
  </si>
  <si>
    <t>McDonald's</t>
  </si>
  <si>
    <t>Space Hulk: Vengeance of the Blood Angels</t>
  </si>
  <si>
    <t>Key Game</t>
  </si>
  <si>
    <t>Star Wars: Episode I - The Phantom Menace</t>
  </si>
  <si>
    <t>Star Wars: Episode I - Jedi Power Battles</t>
  </si>
  <si>
    <t>Big Ape Productions</t>
  </si>
  <si>
    <t>Star Wars: Rebel Assault II: The Hidden Empire</t>
  </si>
  <si>
    <t>Star Wars: Rebel Assault</t>
  </si>
  <si>
    <t>Star Wars: Masters of Teräs Käsi</t>
  </si>
  <si>
    <t>Tatsunoko Fight</t>
  </si>
  <si>
    <t>Electronics Application</t>
  </si>
  <si>
    <t>Tatsunoko</t>
  </si>
  <si>
    <t>Tekken</t>
  </si>
  <si>
    <t>Tekken 2</t>
  </si>
  <si>
    <t>Tekken 3</t>
  </si>
  <si>
    <t>Tekken 4</t>
  </si>
  <si>
    <t>Tekken 5</t>
  </si>
  <si>
    <t>Tekken: Dark Resurrection</t>
  </si>
  <si>
    <t>Tekken 6</t>
  </si>
  <si>
    <t>Tekken Card Challenge</t>
  </si>
  <si>
    <t>Tekken Tag Tournament</t>
  </si>
  <si>
    <t>Tekken Advance</t>
  </si>
  <si>
    <t>Tekken's Nina Williams in: Death by Degrees</t>
  </si>
  <si>
    <t>Tekken Tag Tournament 2</t>
  </si>
  <si>
    <t>Tekken 3D: Prime Edition</t>
  </si>
  <si>
    <t>Gon</t>
  </si>
  <si>
    <t>Urban Reign</t>
  </si>
  <si>
    <t>Thunder Force VI</t>
  </si>
  <si>
    <t>TwinBee RPG</t>
  </si>
  <si>
    <t>Vampire Hunter D</t>
  </si>
  <si>
    <t>Vigilante 8</t>
  </si>
  <si>
    <t>Luxoflux</t>
  </si>
  <si>
    <t>Vigilante 8: Second Offense</t>
  </si>
  <si>
    <t>Dragon Drive</t>
  </si>
  <si>
    <t>Luigi's Mansion 3</t>
  </si>
  <si>
    <t>Corpse Killer</t>
  </si>
  <si>
    <t>Metal Wolf Chaos XD</t>
  </si>
  <si>
    <t>Special Reserve Games</t>
  </si>
  <si>
    <t>Screaming Villains</t>
  </si>
  <si>
    <t>Digital Pictures</t>
  </si>
  <si>
    <t>11-11 Memories Retold</t>
  </si>
  <si>
    <t>Aardman Animations</t>
  </si>
  <si>
    <t>Evergarden</t>
  </si>
  <si>
    <t>Synthetik: Legion Rising</t>
  </si>
  <si>
    <t>Flow Fire Games</t>
  </si>
  <si>
    <t>Synthetik</t>
  </si>
  <si>
    <t>Resident Evil: The Mercenaries 3D</t>
  </si>
  <si>
    <t>Death Stranding</t>
  </si>
  <si>
    <t>Layton's Mystery Journey: Katrielle and the Millionaires' Conspiracy - Deluxe Edition</t>
  </si>
  <si>
    <t>Pokémon Sword</t>
  </si>
  <si>
    <t>Doom 3: BFG Edition</t>
  </si>
  <si>
    <t>Lost Phone</t>
  </si>
  <si>
    <t>Power Rangers: Battle for the Grid</t>
  </si>
  <si>
    <t>Lionsgate Games</t>
  </si>
  <si>
    <t>nWay Games</t>
  </si>
  <si>
    <t>Power Rangers</t>
  </si>
  <si>
    <t>Forager</t>
  </si>
  <si>
    <t>HopFrog</t>
  </si>
  <si>
    <t>Dawn of Mana</t>
  </si>
  <si>
    <t>Def Jam: Fight for NY</t>
  </si>
  <si>
    <t>AKI Corporation</t>
  </si>
  <si>
    <t>Def Jam</t>
  </si>
  <si>
    <t>Def Jam Vendetta</t>
  </si>
  <si>
    <t>Destroy All Humans!</t>
  </si>
  <si>
    <t>Locomotive Games</t>
  </si>
  <si>
    <t>Destroy All Humans! Path of the Furon</t>
  </si>
  <si>
    <t>Sandblast Games</t>
  </si>
  <si>
    <t>Destroy All Humans! 2</t>
  </si>
  <si>
    <t>Devil Kings</t>
  </si>
  <si>
    <t>Sengoku Basara</t>
  </si>
  <si>
    <t>Dragon Quest: Shōnen Yangus to Fushigi no Dungeon</t>
  </si>
  <si>
    <t>Enter the Matrix</t>
  </si>
  <si>
    <t>The Matrix</t>
  </si>
  <si>
    <t>Final Fight: Streetwise</t>
  </si>
  <si>
    <t>Gitaroo Man</t>
  </si>
  <si>
    <t>HOT・B</t>
  </si>
  <si>
    <t>Taito Corporation</t>
  </si>
  <si>
    <t>Magic Pengel</t>
  </si>
  <si>
    <t>Magic Pengel: The Quest for Color</t>
  </si>
  <si>
    <t>Garakuda-Studio</t>
  </si>
  <si>
    <t>Harvest Moon: Save the Homeland</t>
  </si>
  <si>
    <t>Jak X: Combat Racing</t>
  </si>
  <si>
    <t>50 Cent: Bulletproof</t>
  </si>
  <si>
    <t>Genuine Games</t>
  </si>
  <si>
    <t>Destroy All Humans! Big Willy Unleashed</t>
  </si>
  <si>
    <t>Bug Fables: The Everlasting Sapling</t>
  </si>
  <si>
    <t>DANGEN Entertainment</t>
  </si>
  <si>
    <t>Moonsprout Games</t>
  </si>
  <si>
    <t>Bad North</t>
  </si>
  <si>
    <t>Plausible Concept</t>
  </si>
  <si>
    <t>Mister Mosquito</t>
  </si>
  <si>
    <t>Zoom</t>
  </si>
  <si>
    <t>Sega Wow</t>
  </si>
  <si>
    <t>The Cyber Shinobi</t>
  </si>
  <si>
    <t>Shinobi Legions</t>
  </si>
  <si>
    <t>Oni</t>
  </si>
  <si>
    <t>Bungie West</t>
  </si>
  <si>
    <t>Onimusha 2: Samurai's Destiny</t>
  </si>
  <si>
    <t>Onimusha 3: Demon Siege</t>
  </si>
  <si>
    <t>Onimusha Blade Warriors</t>
  </si>
  <si>
    <t>Onimusha: Dawn of Dreams</t>
  </si>
  <si>
    <t>Capcom Production Studio 2</t>
  </si>
  <si>
    <t>Primal</t>
  </si>
  <si>
    <t>SCE Studio Cambridge</t>
  </si>
  <si>
    <t>Psyvariar 2: The Will to Fabricate</t>
  </si>
  <si>
    <t>Success Corporation</t>
  </si>
  <si>
    <t>SKONEC Entertainment</t>
  </si>
  <si>
    <t>Psyvariar: Medium Unit</t>
  </si>
  <si>
    <t>R-Type Final</t>
  </si>
  <si>
    <t>Samurai Champloo: Sidetracked</t>
  </si>
  <si>
    <t>Samurai Champloo</t>
  </si>
  <si>
    <t>Samurai Shodown VI</t>
  </si>
  <si>
    <t>Samurai Shodown: Warriors Rage</t>
  </si>
  <si>
    <t>Samurai Shodown 64: Warriors Rage</t>
  </si>
  <si>
    <t>Samurai Shodown 64</t>
  </si>
  <si>
    <t>Samurai Western</t>
  </si>
  <si>
    <t>Shining Force EXA</t>
  </si>
  <si>
    <t>Shining Force Neo</t>
  </si>
  <si>
    <t>Shining Tears</t>
  </si>
  <si>
    <t>Shining Force Feather</t>
  </si>
  <si>
    <t>Shining Hearts</t>
  </si>
  <si>
    <t>Shining Blade</t>
  </si>
  <si>
    <t>Shining Ark</t>
  </si>
  <si>
    <t>Shining Wind</t>
  </si>
  <si>
    <t>Unlimited Saga</t>
  </si>
  <si>
    <t>Square Product Development Division 2</t>
  </si>
  <si>
    <t>Legaia 2: Duel Saga</t>
  </si>
  <si>
    <t>Fresh Games</t>
  </si>
  <si>
    <t>Prokion</t>
  </si>
  <si>
    <t>The Mark of Kri</t>
  </si>
  <si>
    <t>SCE San Diego Studio</t>
  </si>
  <si>
    <t>Mercenaries: Playground of Destruction</t>
  </si>
  <si>
    <t>Midnight Club: Street Racing</t>
  </si>
  <si>
    <t>Angel Studios</t>
  </si>
  <si>
    <t>Midnight Club</t>
  </si>
  <si>
    <t>Midnight Club II</t>
  </si>
  <si>
    <t>Midnight Club 3: Dub Edition</t>
  </si>
  <si>
    <t>Midnight Club: Los Angeles</t>
  </si>
  <si>
    <t>Gris</t>
  </si>
  <si>
    <t>Nomada Studio</t>
  </si>
  <si>
    <t>The Outer Worlds</t>
  </si>
  <si>
    <t>Private Division</t>
  </si>
  <si>
    <t>Wolfenstein: Youngblood</t>
  </si>
  <si>
    <t>Halo: Spartan Strike</t>
  </si>
  <si>
    <t>Stasis</t>
  </si>
  <si>
    <t>The Brotherhood</t>
  </si>
  <si>
    <t>Vikings: Wolves of Midgard</t>
  </si>
  <si>
    <t>Games Farm</t>
  </si>
  <si>
    <t>Dishonored: Death of the Outsider</t>
  </si>
  <si>
    <t>Tom Clancy's The Division 2</t>
  </si>
  <si>
    <t>The Bridge</t>
  </si>
  <si>
    <t>The Quantum Astrophysicists Guild</t>
  </si>
  <si>
    <t>Hard Copy Games</t>
  </si>
  <si>
    <t>The Aquatic Adventure of the Last Human</t>
  </si>
  <si>
    <t>YCJY</t>
  </si>
  <si>
    <t>Lichtspeer: Double Speer Edition</t>
  </si>
  <si>
    <t>Lichthund</t>
  </si>
  <si>
    <t>Chasm</t>
  </si>
  <si>
    <t>Bit Kid</t>
  </si>
  <si>
    <t>Blasphemous</t>
  </si>
  <si>
    <t>Ancestors Legacy</t>
  </si>
  <si>
    <t>Destructive Creations</t>
  </si>
  <si>
    <t>Phantom Doctrine</t>
  </si>
  <si>
    <t>CreativeForge Games</t>
  </si>
  <si>
    <t>Dead In Vinland</t>
  </si>
  <si>
    <t>CCCP</t>
  </si>
  <si>
    <t>Horizon Chase Turbo</t>
  </si>
  <si>
    <t>Aquiris Game Studio</t>
  </si>
  <si>
    <t>X-Morph: Defense</t>
  </si>
  <si>
    <t>EXOR Studios</t>
  </si>
  <si>
    <t>Horizon Chase</t>
  </si>
  <si>
    <t>Call of Duty: Modern Warfare</t>
  </si>
  <si>
    <t>Assassin's Creed: The Rebel Collection</t>
  </si>
  <si>
    <t>Deadly Premonition Origins</t>
  </si>
  <si>
    <t>Toybox Games</t>
  </si>
  <si>
    <t>Hellblade</t>
  </si>
  <si>
    <t>Fables</t>
  </si>
  <si>
    <t>Star Wars Jedi: Fallen Order</t>
  </si>
  <si>
    <t>Metro Exodus</t>
  </si>
  <si>
    <t>Hades</t>
  </si>
  <si>
    <t>Resident Evil 3</t>
  </si>
  <si>
    <t>Gunvolt Chronicles: Luminous Avenger iX</t>
  </si>
  <si>
    <t>The Evil Within 2</t>
  </si>
  <si>
    <t>Ape Out</t>
  </si>
  <si>
    <t>The Crew</t>
  </si>
  <si>
    <t>The Crew 2</t>
  </si>
  <si>
    <t>Remnant: From the Ashes</t>
  </si>
  <si>
    <t>Sherlock Holmes: The Devil's Daughter</t>
  </si>
  <si>
    <t>Gabe Cuzzillo</t>
  </si>
  <si>
    <t>Ivory Tower</t>
  </si>
  <si>
    <t>Perfect World Entertainment</t>
  </si>
  <si>
    <t>Sherlock Holmes</t>
  </si>
  <si>
    <t>Dead Nation: Apocalypse Edition</t>
  </si>
  <si>
    <t>Outer Wilds</t>
  </si>
  <si>
    <t>Mobius Digital</t>
  </si>
  <si>
    <t>Tom Clancy's Ghost Recon Wildlands</t>
  </si>
  <si>
    <t>Gato Roboto</t>
  </si>
  <si>
    <t>Heave Ho</t>
  </si>
  <si>
    <t>doinksoft</t>
  </si>
  <si>
    <t>Vampyr</t>
  </si>
  <si>
    <t>Doom Eternal</t>
  </si>
  <si>
    <t>I Am Alive</t>
  </si>
  <si>
    <t>Stellaris</t>
  </si>
  <si>
    <t>Double Dragon IV</t>
  </si>
  <si>
    <t>Heaven Will Be Mine</t>
  </si>
  <si>
    <t>Pillow Fight Games</t>
  </si>
  <si>
    <t>Quantum Break</t>
  </si>
  <si>
    <t>From Beyond Prologue</t>
  </si>
  <si>
    <t>SuckerFree Games</t>
  </si>
  <si>
    <t>From Beyond</t>
  </si>
  <si>
    <t>Observation</t>
  </si>
  <si>
    <t>Tower of Time</t>
  </si>
  <si>
    <t>Event Horizon</t>
  </si>
  <si>
    <t>Thronebreaker: The Witcher Tales</t>
  </si>
  <si>
    <t>The Witcher Adventure Game</t>
  </si>
  <si>
    <t>Blair Witch</t>
  </si>
  <si>
    <t>Xbox Game Pass</t>
  </si>
  <si>
    <t>Yooka-Laylee and the Impossible Lair</t>
  </si>
  <si>
    <t>Rise of Nations: Extended Edition</t>
  </si>
  <si>
    <t>Big Huge Games</t>
  </si>
  <si>
    <t>Rise of Nations</t>
  </si>
  <si>
    <t>Anarcute</t>
  </si>
  <si>
    <t>Anarteam</t>
  </si>
  <si>
    <t>Splasher</t>
  </si>
  <si>
    <t>Splashteam</t>
  </si>
  <si>
    <t>Steep</t>
  </si>
  <si>
    <t>Ubisoft Annecy</t>
  </si>
  <si>
    <t>macdows 95</t>
  </si>
  <si>
    <t>Yunus Ayyildiz</t>
  </si>
  <si>
    <t>Street Fighter V</t>
  </si>
  <si>
    <t>Two Point Hospital</t>
  </si>
  <si>
    <t>Two Point Studios</t>
  </si>
  <si>
    <t>DiRT Rally 2.0</t>
  </si>
  <si>
    <t>Whispers of a Machine</t>
  </si>
  <si>
    <t>GRIP: Combat Racing</t>
  </si>
  <si>
    <t>Caged Element</t>
  </si>
  <si>
    <t>Mages of Mystralia</t>
  </si>
  <si>
    <t>Borealys Games</t>
  </si>
  <si>
    <t>Battlefield Hardline</t>
  </si>
  <si>
    <t>Ultracore</t>
  </si>
  <si>
    <t>Digital Illusions</t>
  </si>
  <si>
    <t>Void Bastards</t>
  </si>
  <si>
    <t>Blue Manchu</t>
  </si>
  <si>
    <t>Armello</t>
  </si>
  <si>
    <t>League of Geeks</t>
  </si>
  <si>
    <t>Hand of Fate 2</t>
  </si>
  <si>
    <t>Crawl</t>
  </si>
  <si>
    <t>Powerhoof</t>
  </si>
  <si>
    <t>The Stillness of the Wind</t>
  </si>
  <si>
    <t>Memory of God / Lambic Studios</t>
  </si>
  <si>
    <t>The Gardens Between</t>
  </si>
  <si>
    <t>The Voxel Agents</t>
  </si>
  <si>
    <t>Horace</t>
  </si>
  <si>
    <t>Paul Helman, Sean Scaplehorn</t>
  </si>
  <si>
    <t>Tokyo Mirage Sessions #FE Encore</t>
  </si>
  <si>
    <t>Eador: Imperium</t>
  </si>
  <si>
    <t>River City Ransom: Underground</t>
  </si>
  <si>
    <t>Conatus Creative</t>
  </si>
  <si>
    <t>The Testament of Sherlock Holmes</t>
  </si>
  <si>
    <t>Flower</t>
  </si>
  <si>
    <t>American Fugitive</t>
  </si>
  <si>
    <t>Fallen Tree Games</t>
  </si>
  <si>
    <t>Narcos: Rise of the Cartels</t>
  </si>
  <si>
    <t>Kuju</t>
  </si>
  <si>
    <t>White Night</t>
  </si>
  <si>
    <t>Osome Studio</t>
  </si>
  <si>
    <t>SteamWorld Quest: Hand of Gilgamech</t>
  </si>
  <si>
    <t>Thunderful Publishing</t>
  </si>
  <si>
    <t>Final Fantasy Type-0 HD</t>
  </si>
  <si>
    <t>Underhero</t>
  </si>
  <si>
    <t>Paper Castle Games</t>
  </si>
  <si>
    <t>The Hex</t>
  </si>
  <si>
    <t>Eliza</t>
  </si>
  <si>
    <t>Night Call</t>
  </si>
  <si>
    <t>Monkey Moon, BlackMuffin</t>
  </si>
  <si>
    <t>Project Warlock</t>
  </si>
  <si>
    <t>gaming company</t>
  </si>
  <si>
    <t>Buckshot Software</t>
  </si>
  <si>
    <t>SHENZHEN I/O</t>
  </si>
  <si>
    <t>Book of Demons</t>
  </si>
  <si>
    <t>Thing Trunk</t>
  </si>
  <si>
    <t>Pathfinder: Kingmaker</t>
  </si>
  <si>
    <t>Owlcat Games</t>
  </si>
  <si>
    <t>Pathfinder</t>
  </si>
  <si>
    <t>Frostpunk</t>
  </si>
  <si>
    <t>The Yakuza Remastered Collection</t>
  </si>
  <si>
    <t>Final Fantasy Mystic Quest</t>
  </si>
  <si>
    <t>Aztez</t>
  </si>
  <si>
    <t>Team Colorblind</t>
  </si>
  <si>
    <t>Darksiders Genesis</t>
  </si>
  <si>
    <t>Airship Syndicate</t>
  </si>
  <si>
    <t>The King of Fighters XIV</t>
  </si>
  <si>
    <t>Code Mystics</t>
  </si>
  <si>
    <t>John Wick Hex</t>
  </si>
  <si>
    <t>John Wick</t>
  </si>
  <si>
    <t>Moss</t>
  </si>
  <si>
    <t>Polyarc</t>
  </si>
  <si>
    <t>SUPERHOT VR</t>
  </si>
  <si>
    <t>Budget Cuts</t>
  </si>
  <si>
    <t>Neat Corporation</t>
  </si>
  <si>
    <t>GORN</t>
  </si>
  <si>
    <t>Cosmic Trip</t>
  </si>
  <si>
    <t>Funktronic Labs</t>
  </si>
  <si>
    <t>Shadows: Awakening</t>
  </si>
  <si>
    <t>Conarium</t>
  </si>
  <si>
    <t>Remothered: Tormented Fathers</t>
  </si>
  <si>
    <t>Darril Arts</t>
  </si>
  <si>
    <t>Stormind Games</t>
  </si>
  <si>
    <t>Remothered</t>
  </si>
  <si>
    <t>Tear Ring Saga: Berwick Saga</t>
  </si>
  <si>
    <t>Earth Seeker</t>
  </si>
  <si>
    <t>Crafts &amp; Meister</t>
  </si>
  <si>
    <t>Super Robot Taisen OG Saga: Endless Frontier Exceed</t>
  </si>
  <si>
    <t>Rockman EXE 4.5 Real Operation</t>
  </si>
  <si>
    <t>Final Fantasy Explorers</t>
  </si>
  <si>
    <t>Racjin</t>
  </si>
  <si>
    <t>World of Final Fantasy</t>
  </si>
  <si>
    <t>Mega Man Zero/ZX Legacy Collection</t>
  </si>
  <si>
    <t>Rune Factory 4 Special</t>
  </si>
  <si>
    <t>Archival Edition</t>
  </si>
  <si>
    <t>Cooking Mama: Cook Off</t>
  </si>
  <si>
    <t>Cooking Mama Limited</t>
  </si>
  <si>
    <t>Cooking Mama</t>
  </si>
  <si>
    <t>Babysitting Mama</t>
  </si>
  <si>
    <t>Bomberman Tournament</t>
  </si>
  <si>
    <t>Bomberman Wars</t>
  </si>
  <si>
    <t>Bomberman 64</t>
  </si>
  <si>
    <t>Bomberman 64: The Second Attack</t>
  </si>
  <si>
    <t>CIMA: The Enemy</t>
  </si>
  <si>
    <t>Dokapon: Monster Hunter</t>
  </si>
  <si>
    <t>Asmik Ace Entertainment</t>
  </si>
  <si>
    <t>Monster Rancher Advance</t>
  </si>
  <si>
    <t>Monster Rancher Advance 2</t>
  </si>
  <si>
    <t>Zoids: Legacy</t>
  </si>
  <si>
    <t>Amedio</t>
  </si>
  <si>
    <t>Zoids</t>
  </si>
  <si>
    <t>Ys VIII: Lacrimosa of DANA</t>
  </si>
  <si>
    <t>Cooking Mama: World Kitchen</t>
  </si>
  <si>
    <t>Dissidia Final Fantasy</t>
  </si>
  <si>
    <t>Bionic Commando Rearmed 2</t>
  </si>
  <si>
    <t>A King's Tale: Final Fantasy XV</t>
  </si>
  <si>
    <t>Aretha II: Arial no Fushigi na Tabi</t>
  </si>
  <si>
    <t>Golvellius: Valley of Doom</t>
  </si>
  <si>
    <t>Golvellius</t>
  </si>
  <si>
    <t>Miracle Warriors: Seal of the Dark Lord</t>
  </si>
  <si>
    <t>Kogado Software Products</t>
  </si>
  <si>
    <t>Sorcerer's Kingdom</t>
  </si>
  <si>
    <t>Nippon Computer Systems</t>
  </si>
  <si>
    <t>Record of Lodoss War: Advent of Cardice</t>
  </si>
  <si>
    <t>Record of Lodoss War</t>
  </si>
  <si>
    <t>Saiyuki: Journey West</t>
  </si>
  <si>
    <t>Deep Labyrinth</t>
  </si>
  <si>
    <t>Interactive Brains</t>
  </si>
  <si>
    <t>From the Abyss</t>
  </si>
  <si>
    <t>Sonic Powered</t>
  </si>
  <si>
    <t>Hero's Saga Laevatein Tactics</t>
  </si>
  <si>
    <t>GungHo Works</t>
  </si>
  <si>
    <t>InuYasha: Secret of the Divine Jewel</t>
  </si>
  <si>
    <t>Art Co., Ltd.</t>
  </si>
  <si>
    <t>InuYasha</t>
  </si>
  <si>
    <t>Nostalgia</t>
  </si>
  <si>
    <t>Metro Redux</t>
  </si>
  <si>
    <t>Hexyz Force</t>
  </si>
  <si>
    <t>Heroes Phantasia</t>
  </si>
  <si>
    <t>Witchcraft</t>
  </si>
  <si>
    <t>Last Armageddon</t>
  </si>
  <si>
    <t>Tengai Makyō Zero</t>
  </si>
  <si>
    <t>Chaos Wars</t>
  </si>
  <si>
    <t>Blazing Souls: Accelate</t>
  </si>
  <si>
    <t>Mugsters</t>
  </si>
  <si>
    <t>Reinkout Games</t>
  </si>
  <si>
    <t>Oreshika: Tainted Bloodlines</t>
  </si>
  <si>
    <t>Oreshika</t>
  </si>
  <si>
    <t>Fate/Extra</t>
  </si>
  <si>
    <t>Type-Moon</t>
  </si>
  <si>
    <t>Fate/stay night</t>
  </si>
  <si>
    <t>Beyond the Labyrinth</t>
  </si>
  <si>
    <t>Magna Carta: Tears of Blood</t>
  </si>
  <si>
    <t>Softmax</t>
  </si>
  <si>
    <t>Magna Carta</t>
  </si>
  <si>
    <t>Wachenröder</t>
  </si>
  <si>
    <t>Westone Bit Entertainment</t>
  </si>
  <si>
    <t>Boundless Ocean</t>
  </si>
  <si>
    <t>Hardi Gosal, Setu Firestorm</t>
  </si>
  <si>
    <t>Spellshard: The Black Crown of Horgoth</t>
  </si>
  <si>
    <t>Shizuma, KF Harlock</t>
  </si>
  <si>
    <t>Innocent Life: A Futuristic Harvest Moon</t>
  </si>
  <si>
    <t>Killzone: Mercenary</t>
  </si>
  <si>
    <t>Guerrilla Cambridge</t>
  </si>
  <si>
    <t>Summon Night 6: Lost Borders</t>
  </si>
  <si>
    <t>Persona 4: Dancing All Night</t>
  </si>
  <si>
    <t>Xenoblade Chronicles 3D</t>
  </si>
  <si>
    <t>New Nintendo 3DS</t>
  </si>
  <si>
    <t>Fantasy Life</t>
  </si>
  <si>
    <t>Fire Emblem Fates: Birthright</t>
  </si>
  <si>
    <t>Release Region</t>
  </si>
  <si>
    <t>Condition</t>
  </si>
  <si>
    <t>Both</t>
  </si>
  <si>
    <t>Complete</t>
  </si>
  <si>
    <t>JP</t>
  </si>
  <si>
    <t>Two copies owned</t>
  </si>
  <si>
    <t>NA</t>
  </si>
  <si>
    <t>DE</t>
  </si>
  <si>
    <t>EU</t>
  </si>
  <si>
    <t>Other</t>
  </si>
  <si>
    <t>Collection with Wii U version</t>
  </si>
  <si>
    <t>Collection with Wii version</t>
  </si>
  <si>
    <t>Two copies owned (one counterfeit)</t>
  </si>
  <si>
    <t>Kero Blaster</t>
  </si>
  <si>
    <t>Offworld Trading Company</t>
  </si>
  <si>
    <t>Mohawk Games</t>
  </si>
  <si>
    <t>Etherborn</t>
  </si>
  <si>
    <t>Altered Matter</t>
  </si>
  <si>
    <t>AI War 2</t>
  </si>
  <si>
    <t>Arcen Games</t>
  </si>
  <si>
    <t>AI War</t>
  </si>
  <si>
    <t>Fell Seal: Arbiter's Mark</t>
  </si>
  <si>
    <t>6 Eyes Studio</t>
  </si>
  <si>
    <t>F1 2019</t>
  </si>
  <si>
    <t>F1</t>
  </si>
  <si>
    <t>198X</t>
  </si>
  <si>
    <t>Hi-Bit Studios</t>
  </si>
  <si>
    <t>EXAPUNKS</t>
  </si>
  <si>
    <t>Battle Chasers: Nightwar</t>
  </si>
  <si>
    <t>Planet Coaster</t>
  </si>
  <si>
    <t>My Friend Pedro</t>
  </si>
  <si>
    <t>DeadToast Entertainment</t>
  </si>
  <si>
    <t>Pokémon Mystery Dungeon: Rescue Team DX</t>
  </si>
  <si>
    <t>Half-Life: Alyx</t>
  </si>
  <si>
    <t>Langrisser I &amp; II</t>
  </si>
  <si>
    <t>Chara-ani Corporation</t>
  </si>
  <si>
    <t>Wolfenstein: Cyberpilot</t>
  </si>
  <si>
    <t>The Elder Scrolls V: Skyrim VR</t>
  </si>
  <si>
    <t>Fallout 4 VR</t>
  </si>
  <si>
    <t>Doom VFR</t>
  </si>
  <si>
    <t>Ori and the Will of the Wisps</t>
  </si>
  <si>
    <t>Ori</t>
  </si>
  <si>
    <t>Anodyne 2: Return to Dust</t>
  </si>
  <si>
    <t>Melos Han-Tani, Marina Kittaka</t>
  </si>
  <si>
    <t>Mutazione</t>
  </si>
  <si>
    <t>Thumper</t>
  </si>
  <si>
    <t>Drool</t>
  </si>
  <si>
    <t>Nigoro</t>
  </si>
  <si>
    <t>Disco Elysium</t>
  </si>
  <si>
    <t>ZA/UM</t>
  </si>
  <si>
    <t>Animal Crossing: New Horizons</t>
  </si>
  <si>
    <t>Read Only Memories</t>
  </si>
  <si>
    <t>Rick and Morty: Virtual Rick-ality</t>
  </si>
  <si>
    <t>Rick and Morty</t>
  </si>
  <si>
    <t>The Legend of Bum-Bo</t>
  </si>
  <si>
    <t>Blade Strangers</t>
  </si>
  <si>
    <t>The Binding of Isaac: Rebirth</t>
  </si>
  <si>
    <t>Fingered</t>
  </si>
  <si>
    <t>Spider-Man: Far From Home Virtual Reality Experience</t>
  </si>
  <si>
    <t>Sony Pictures Virtual Reality</t>
  </si>
  <si>
    <t>CreateVR</t>
  </si>
  <si>
    <t>2064: Read Only Memories INTEGRAL</t>
  </si>
  <si>
    <t>Dragon Quest VI: Realms of Revelation</t>
  </si>
  <si>
    <t>Marathon 2: Durandal</t>
  </si>
  <si>
    <t>World War Z</t>
  </si>
  <si>
    <t>Sbaer Interactive</t>
  </si>
  <si>
    <t>Tormentor❌Punisher</t>
  </si>
  <si>
    <t>E-Studio</t>
  </si>
  <si>
    <t>Persona 5 Royal</t>
  </si>
  <si>
    <t>Steelbook</t>
  </si>
  <si>
    <t>Earthlock</t>
  </si>
  <si>
    <t>Soedesco</t>
  </si>
  <si>
    <t>Snowcastle Games</t>
  </si>
  <si>
    <t>Lightmatter</t>
  </si>
  <si>
    <t>Tunnel Vision Games</t>
  </si>
  <si>
    <t>Hob</t>
  </si>
  <si>
    <t>The Room VR: A Dark Matter</t>
  </si>
  <si>
    <t>MOLEK-SYNTEZ</t>
  </si>
  <si>
    <t>The Bard's Tale IV: Director's Cut</t>
  </si>
  <si>
    <t>Raiden V: Director's Cut</t>
  </si>
  <si>
    <t>Moss Co., Ltd.</t>
  </si>
  <si>
    <t>Driftland: The Magic Revival</t>
  </si>
  <si>
    <t>Star Drifters</t>
  </si>
  <si>
    <t>Opus Magnum</t>
  </si>
  <si>
    <t>This Is the Police 2</t>
  </si>
  <si>
    <t>Weappy Studio</t>
  </si>
  <si>
    <t>This Is the Police</t>
  </si>
  <si>
    <t>Hitman 2</t>
  </si>
  <si>
    <t>Warner Bros Interactive Entertainment</t>
  </si>
  <si>
    <t>VR</t>
  </si>
  <si>
    <t>Space Pirate Trainer</t>
  </si>
  <si>
    <t>I-Illusions</t>
  </si>
  <si>
    <t>Gungeon</t>
  </si>
  <si>
    <t>Deltarune: Chapter 1</t>
  </si>
  <si>
    <t>Typhoon Studios</t>
  </si>
  <si>
    <t>Gylt</t>
  </si>
  <si>
    <t>Google Stadia</t>
  </si>
  <si>
    <t>We Went Back</t>
  </si>
  <si>
    <t>Dead Thread Games</t>
  </si>
  <si>
    <t>Final Fantasy VII Remake</t>
  </si>
  <si>
    <t>Square Enix Business Division 1</t>
  </si>
  <si>
    <t>Command &amp; Conquer: Remastered Collection</t>
  </si>
  <si>
    <t>Petroglyph</t>
  </si>
  <si>
    <t>Close to the Sun</t>
  </si>
  <si>
    <t>Monstrum</t>
  </si>
  <si>
    <t>Junkfish Limited</t>
  </si>
  <si>
    <t>Team Junkfish</t>
  </si>
  <si>
    <t>The Elder Scrolls Online</t>
  </si>
  <si>
    <t>Zenimax Online Studios</t>
  </si>
  <si>
    <t>Transpose</t>
  </si>
  <si>
    <t>Secret Location</t>
  </si>
  <si>
    <t>Journey to the Savage Planet</t>
  </si>
  <si>
    <t>Assemble With Care</t>
  </si>
  <si>
    <t>Apple Arcade</t>
  </si>
  <si>
    <t>ustwo games</t>
  </si>
  <si>
    <t>Cooking Mama: Cookstar</t>
  </si>
  <si>
    <t>Planet Entertainment</t>
  </si>
  <si>
    <t>1st Playable Productions</t>
  </si>
  <si>
    <t>Release Year</t>
  </si>
  <si>
    <t>Neo Cab</t>
  </si>
  <si>
    <t>Chance Agency</t>
  </si>
  <si>
    <t>Sayonara Wild Hearts</t>
  </si>
  <si>
    <t>iam8bit</t>
  </si>
  <si>
    <t>Gorogoa</t>
  </si>
  <si>
    <t>Jason Roberts</t>
  </si>
  <si>
    <t>Donut County</t>
  </si>
  <si>
    <t>Ben Esposito</t>
  </si>
  <si>
    <t>Just Cause 4</t>
  </si>
  <si>
    <t>Wheels of Aurelia</t>
  </si>
  <si>
    <t>Call of Duty: Modern Warfare 3</t>
  </si>
  <si>
    <t>Call of Duty: Advanced Warfare</t>
  </si>
  <si>
    <t>WHAT THE GOLF?</t>
  </si>
  <si>
    <t>Triband</t>
  </si>
  <si>
    <t>Pilgrims</t>
  </si>
  <si>
    <t>Tangle Tower</t>
  </si>
  <si>
    <t>XCOM: Chimera Squad</t>
  </si>
  <si>
    <t>I Expect You To Die</t>
  </si>
  <si>
    <t>Viveport</t>
  </si>
  <si>
    <t>Yono and the Celestial Elephants</t>
  </si>
  <si>
    <t>Neckbolt</t>
  </si>
  <si>
    <t>Blossom Tales: The Sleeping King</t>
  </si>
  <si>
    <t>Jenny LeClue: Detectivu</t>
  </si>
  <si>
    <t>Mografi</t>
  </si>
  <si>
    <t>Jenny LeClue</t>
  </si>
  <si>
    <t>Pac-Man Championship Edition 2</t>
  </si>
  <si>
    <t>Luna</t>
  </si>
  <si>
    <t>Funomena</t>
  </si>
  <si>
    <t>Total War: Shogun 2</t>
  </si>
  <si>
    <t>Ys: Memories of Celceta</t>
  </si>
  <si>
    <t>Trials of Mana</t>
  </si>
  <si>
    <t>Xeen</t>
  </si>
  <si>
    <t>Life is Strange 2</t>
  </si>
  <si>
    <t>MO:Astray</t>
  </si>
  <si>
    <t>Rayark International Limited</t>
  </si>
  <si>
    <t>Archpray</t>
  </si>
  <si>
    <t>Warsaw</t>
  </si>
  <si>
    <t>Pixelated Milk</t>
  </si>
  <si>
    <t>The Swords of Ditto: Mormo's Curse</t>
  </si>
  <si>
    <t>onebitbeyond</t>
  </si>
  <si>
    <t>Warhammer 40,000: Gladius - Relics of War</t>
  </si>
  <si>
    <t>Slitherine Ltd.</t>
  </si>
  <si>
    <t>Proxy Studios</t>
  </si>
  <si>
    <t>Jurassic World Evolution</t>
  </si>
  <si>
    <t>AVICII Invector</t>
  </si>
  <si>
    <t>Hello There Games</t>
  </si>
  <si>
    <t>Oninaki</t>
  </si>
  <si>
    <t>Tokyo RPG Factory</t>
  </si>
  <si>
    <t>Lost Sphear</t>
  </si>
  <si>
    <t>I Am Setsuna</t>
  </si>
  <si>
    <t>Assassin's Creed Valhalla</t>
  </si>
  <si>
    <t>X-COM: Enforcer</t>
  </si>
  <si>
    <t>X-COM: Interceptor</t>
  </si>
  <si>
    <t>Chariot</t>
  </si>
  <si>
    <t>Mechanism</t>
  </si>
  <si>
    <t>Okaeri</t>
  </si>
  <si>
    <t>Frima Studio</t>
  </si>
  <si>
    <t>Alexander Goodwin</t>
  </si>
  <si>
    <t>Chilla's Art</t>
  </si>
  <si>
    <t>TimeShift</t>
  </si>
  <si>
    <t>Velocity 2X</t>
  </si>
  <si>
    <t>Phantasmagoria 2: A Puzzle of Flesh</t>
  </si>
  <si>
    <t>Phantasmagoria</t>
  </si>
  <si>
    <t>Caesar IV</t>
  </si>
  <si>
    <t>Tilted Mill Entertainment</t>
  </si>
  <si>
    <t>Caesar</t>
  </si>
  <si>
    <t>Quest for Glory V: Dragon Fire</t>
  </si>
  <si>
    <t>Yosemite Entertainment</t>
  </si>
  <si>
    <t>Caesar III</t>
  </si>
  <si>
    <t>Impressions Games</t>
  </si>
  <si>
    <t>NAIRI</t>
  </si>
  <si>
    <t>Gears Tactics</t>
  </si>
  <si>
    <t>The Wonderful 101: Remastered</t>
  </si>
  <si>
    <t>SpongeBob SquarePants: Battle for Bikini Bottom - Rehydrated</t>
  </si>
  <si>
    <t>Purple Lamp Studios</t>
  </si>
  <si>
    <t>SpongeBob SquarePants</t>
  </si>
  <si>
    <t>The Fall Part 2: Unbound</t>
  </si>
  <si>
    <t>Brink</t>
  </si>
  <si>
    <t>Beat Cop</t>
  </si>
  <si>
    <t>Pixel Crow</t>
  </si>
  <si>
    <t>Hypnospace Outlaw</t>
  </si>
  <si>
    <t>No More Robots</t>
  </si>
  <si>
    <t>Tendershoot, Michael Lasch, ThatWhichIs Media</t>
  </si>
  <si>
    <t>Starbound</t>
  </si>
  <si>
    <t>Cucklefish</t>
  </si>
  <si>
    <t>Ashen</t>
  </si>
  <si>
    <t>Trover Saves the Universe</t>
  </si>
  <si>
    <t>Outward</t>
  </si>
  <si>
    <t>The LEGO Ninjago Movie Video Game</t>
  </si>
  <si>
    <t>A44</t>
  </si>
  <si>
    <t>Squanch Games</t>
  </si>
  <si>
    <t>Nine Dots</t>
  </si>
  <si>
    <t>Superliminal</t>
  </si>
  <si>
    <t>Pillow Castle</t>
  </si>
  <si>
    <t>++Good Games</t>
  </si>
  <si>
    <t>Baten Kaitos</t>
  </si>
  <si>
    <t>Linkle Liver Story</t>
  </si>
  <si>
    <t>Death end re;Quest</t>
  </si>
  <si>
    <t>Freddi Fish 4: The Case of the Hogfish Rustlers of Briny Gulch</t>
  </si>
  <si>
    <t>Get Even</t>
  </si>
  <si>
    <t>Tekken 7</t>
  </si>
  <si>
    <t>Rad</t>
  </si>
  <si>
    <t>Monkeycraft</t>
  </si>
  <si>
    <t>.hack//G.U. Last Recode</t>
  </si>
  <si>
    <t>.hack</t>
  </si>
  <si>
    <t>Super NES Classic Edition</t>
  </si>
  <si>
    <t>Phantasy Star Online Episode I &amp; II Plus</t>
  </si>
  <si>
    <t>Phantasy Star Online Episode III: C.A.R.D. Revolution</t>
  </si>
  <si>
    <t>Sid Meier's Civilization VI</t>
  </si>
  <si>
    <t>Shiren the Wanderer: The Tower of Fortune and the Dice of Fate</t>
  </si>
  <si>
    <t>Disaster Report 4: Summer Memories</t>
  </si>
  <si>
    <t>Granzella</t>
  </si>
  <si>
    <t>Sakura Wars 2: Thou Shalt Not Die</t>
  </si>
  <si>
    <t>Sakura Wars 3: Is Paris Burning?</t>
  </si>
  <si>
    <t>Sakura Wars 4: Fall in Love, Maidens</t>
  </si>
  <si>
    <t>Project S-11</t>
  </si>
  <si>
    <t>Paragon 5</t>
  </si>
  <si>
    <t>Stadia Pro</t>
  </si>
  <si>
    <t>Lost Words: Beyond the Page</t>
  </si>
  <si>
    <t>Summon Night 5</t>
  </si>
  <si>
    <t>Felistella</t>
  </si>
  <si>
    <t>Summon Night 3</t>
  </si>
  <si>
    <t>Summon Night 2</t>
  </si>
  <si>
    <t>Summon Night 4</t>
  </si>
  <si>
    <t>Summon Night X: Tears Crown</t>
  </si>
  <si>
    <t>Summon Night Craft Sword Monogatari: Hajimari no Ishi</t>
  </si>
  <si>
    <t>Brigandine: The Legend of Forsena</t>
  </si>
  <si>
    <t>Hearty Robin</t>
  </si>
  <si>
    <t>Brigandine</t>
  </si>
  <si>
    <t>Utawarerumono: Prelude to the Fallen</t>
  </si>
  <si>
    <t>Aquaplus</t>
  </si>
  <si>
    <t>Utawarerumono</t>
  </si>
  <si>
    <t>Minecraft Dungeons</t>
  </si>
  <si>
    <t>Mojang Studios</t>
  </si>
  <si>
    <t>Kotodama: The 7 Mysteries of Fujisawa</t>
  </si>
  <si>
    <t>Sketchbook Games</t>
  </si>
  <si>
    <t>Utawarerumono: Mask of Truth</t>
  </si>
  <si>
    <t>Tales of Zestiria</t>
  </si>
  <si>
    <t>Dungeons 2</t>
  </si>
  <si>
    <t>Utawarerumono: Zan</t>
  </si>
  <si>
    <t>The Lost Child</t>
  </si>
  <si>
    <t>Crim</t>
  </si>
  <si>
    <t>El Shaddai</t>
  </si>
  <si>
    <t>Forsaken Remastered</t>
  </si>
  <si>
    <t>Nightdive Studios</t>
  </si>
  <si>
    <t>Syberia 3</t>
  </si>
  <si>
    <t>Yesterday Origins</t>
  </si>
  <si>
    <t>Borderlands Legendary Collection</t>
  </si>
  <si>
    <t>Shadows: Heretic Kingdoms</t>
  </si>
  <si>
    <t>Utawarerumono: Mask of Deception</t>
  </si>
  <si>
    <t>Xenoblade Chronicles: Definitive Edition</t>
  </si>
  <si>
    <t>Vasara Collection</t>
  </si>
  <si>
    <t>Assault Suit Leynos 2</t>
  </si>
  <si>
    <t>Code: Realize ~Guardian of Rebirth~</t>
  </si>
  <si>
    <t>Otomate</t>
  </si>
  <si>
    <t>Code: Realize</t>
  </si>
  <si>
    <t>XBlaze Lost: Memories</t>
  </si>
  <si>
    <t>XBlaze Code: Embryo</t>
  </si>
  <si>
    <t>Chaos Code: New Sign of Catastrophe</t>
  </si>
  <si>
    <t>FK Digital</t>
  </si>
  <si>
    <t>Chaos Code</t>
  </si>
  <si>
    <t>7th Dragon 2020-II</t>
  </si>
  <si>
    <t>Eternal Legend: Eien no Densetsu</t>
  </si>
  <si>
    <t>JAM</t>
  </si>
  <si>
    <t>Chocobo no Fushigi na Dungeon</t>
  </si>
  <si>
    <t>Chocobo's Dungeon 2</t>
  </si>
  <si>
    <t>Final Fantasy Fables: Chocobo Tales</t>
  </si>
  <si>
    <t>Chocobo to Mahō no Ehon: Majo to Shōjo to Gonin no Yūsha</t>
  </si>
  <si>
    <t>7th Dragon 2020</t>
  </si>
  <si>
    <t>Crystal Defenders</t>
  </si>
  <si>
    <t>Xanadu</t>
  </si>
  <si>
    <t>Star Ocean: Integrity and Faithlessness</t>
  </si>
  <si>
    <t>Star Ocean: First Departure</t>
  </si>
  <si>
    <t>Star Ocean: Second Evolution</t>
  </si>
  <si>
    <t>Dragon Quest Monsters: Joker 3</t>
  </si>
  <si>
    <t>Dragon Quest Wars</t>
  </si>
  <si>
    <t>DSiWare</t>
  </si>
  <si>
    <t>Dream Daddy: A Dad Dating Simulator</t>
  </si>
  <si>
    <t>Game Grumps</t>
  </si>
  <si>
    <t>Total Annihilation</t>
  </si>
  <si>
    <t>Cavedog Entertainment</t>
  </si>
  <si>
    <t>Total Annihilation: The Core Contingency</t>
  </si>
  <si>
    <t>Total Annihilation: Battle Tactics</t>
  </si>
  <si>
    <t>Murder by Numbers</t>
  </si>
  <si>
    <t>The Irregular Corporation</t>
  </si>
  <si>
    <t>OneShot</t>
  </si>
  <si>
    <t>Little Cat Feet</t>
  </si>
  <si>
    <t>itch.io</t>
  </si>
  <si>
    <t>Quadrilateral Cowboy</t>
  </si>
  <si>
    <t>Death and Taxes</t>
  </si>
  <si>
    <t>Placeholder Gameworks</t>
  </si>
  <si>
    <t>Glittermitten Grove</t>
  </si>
  <si>
    <t>Mostly Tigerproof</t>
  </si>
  <si>
    <t>Double Cross</t>
  </si>
  <si>
    <t>13AM Games</t>
  </si>
  <si>
    <t>The King's Bird</t>
  </si>
  <si>
    <t>Serenity Forge</t>
  </si>
  <si>
    <t>Cook, Serve, Delicious! 2!!</t>
  </si>
  <si>
    <t>Cook, Serve, Delicious</t>
  </si>
  <si>
    <t>Astrologaster</t>
  </si>
  <si>
    <t>A Mortician's Tale</t>
  </si>
  <si>
    <t>Laundry Bear Games</t>
  </si>
  <si>
    <t>Gunhouse</t>
  </si>
  <si>
    <t>Necrosoft Games</t>
  </si>
  <si>
    <t>Midnight Ultra</t>
  </si>
  <si>
    <t>Forward Instinct</t>
  </si>
  <si>
    <t>Semblance</t>
  </si>
  <si>
    <t>Nyamakop</t>
  </si>
  <si>
    <t>Overland</t>
  </si>
  <si>
    <t>Finji</t>
  </si>
  <si>
    <t>Night in the Woods</t>
  </si>
  <si>
    <t>Infinite Fall</t>
  </si>
  <si>
    <t>Curse of the Crescent Isle DX</t>
  </si>
  <si>
    <t>Adam Mowery</t>
  </si>
  <si>
    <t>Call of Duty: Modern Warfare 2 Campaign Remastered</t>
  </si>
  <si>
    <t>Langrisser Re:Incarnation Tensei</t>
  </si>
  <si>
    <t>Masaya Games</t>
  </si>
  <si>
    <t>Langrisser III</t>
  </si>
  <si>
    <t>Langrisser V: The End of Legend</t>
  </si>
  <si>
    <t>Tales of the World: Radiant Mythology</t>
  </si>
  <si>
    <t>Unchained Blades</t>
  </si>
  <si>
    <t>FuRyu</t>
  </si>
  <si>
    <t>Z.H.P. Unlosing Ranger VS Darkdeath Evilman</t>
  </si>
  <si>
    <t>The Guided Fate Paradox</t>
  </si>
  <si>
    <t>Class of Heroes</t>
  </si>
  <si>
    <t>Zero Div</t>
  </si>
  <si>
    <t>Class of Heroes 2</t>
  </si>
  <si>
    <t>MonkeyPaw Games</t>
  </si>
  <si>
    <t>Blazing Heroes</t>
  </si>
  <si>
    <t>Spectrobes: Beyond the Portals</t>
  </si>
  <si>
    <t>Spectrobes: Origins</t>
  </si>
  <si>
    <t>Lagoon</t>
  </si>
  <si>
    <t>Inindo: Way of the Ninja</t>
  </si>
  <si>
    <t>Brandish</t>
  </si>
  <si>
    <t>Jake Hunter Detective Story: Ghost of the Dusk</t>
  </si>
  <si>
    <t>Grand Kingdom</t>
  </si>
  <si>
    <t>Monochrome Corporation</t>
  </si>
  <si>
    <t>Black Stone: Magic &amp; Steel</t>
  </si>
  <si>
    <t>XPEC Entertainment</t>
  </si>
  <si>
    <t>Metal Dungeon</t>
  </si>
  <si>
    <t>Panther Software</t>
  </si>
  <si>
    <t>Spectral Force 3</t>
  </si>
  <si>
    <t>Spectral Force</t>
  </si>
  <si>
    <t>My World, My Way</t>
  </si>
  <si>
    <t>Global A Entertainment</t>
  </si>
  <si>
    <t>The Wizard of Oz: Beyond the Yellow Brick Road</t>
  </si>
  <si>
    <t>The Wizard of Oz</t>
  </si>
  <si>
    <t>Valkyria Revolution</t>
  </si>
  <si>
    <t>Super Win the Game</t>
  </si>
  <si>
    <t>The Dark Crystal: Age of Resistance Tactics</t>
  </si>
  <si>
    <t>En Masse Entertainment</t>
  </si>
  <si>
    <t>The Dark Crystal</t>
  </si>
  <si>
    <t>Away: Journey to the Unexpected</t>
  </si>
  <si>
    <t>Zero Time Dilemma</t>
  </si>
  <si>
    <t>Super Smash Bros</t>
  </si>
  <si>
    <t>Super Smash Bros. for Nintendo 3DS</t>
  </si>
  <si>
    <t>Epic Mickey: Power of Illusion</t>
  </si>
  <si>
    <t>The Touryst</t>
  </si>
  <si>
    <t>The Legend of Legacy</t>
  </si>
  <si>
    <t>Severed</t>
  </si>
  <si>
    <t>Stella Glow</t>
  </si>
  <si>
    <t>Sol Trigger</t>
  </si>
  <si>
    <t>Launch Edition</t>
  </si>
  <si>
    <t>Greatest Hits</t>
  </si>
  <si>
    <t>Misprinted label</t>
  </si>
  <si>
    <t>Two copies owned (Regular, Game of the Year Greatest Hits)</t>
  </si>
  <si>
    <t>Dark Souls Trilogy</t>
  </si>
  <si>
    <t>ADK Damashii</t>
  </si>
  <si>
    <t>Purchase Price</t>
  </si>
  <si>
    <t>Metal Gear Solid: The Legacy Collection</t>
  </si>
  <si>
    <t>Relentless Edition</t>
  </si>
  <si>
    <t>Decisive Edition</t>
  </si>
  <si>
    <t>Ittle Dew 2+</t>
  </si>
  <si>
    <t>Desperados III</t>
  </si>
  <si>
    <t>Mimimi Games</t>
  </si>
  <si>
    <t>Baba Is You</t>
  </si>
  <si>
    <t>Kingdom: Classic</t>
  </si>
  <si>
    <t>Noio, Licorice</t>
  </si>
  <si>
    <t>Knights of Pen and Paper 2</t>
  </si>
  <si>
    <t>Kyy Games</t>
  </si>
  <si>
    <t>Elite Dangerous</t>
  </si>
  <si>
    <t>Elite</t>
  </si>
  <si>
    <t>Planet of the Eyes</t>
  </si>
  <si>
    <t>Cococucumber</t>
  </si>
  <si>
    <t>Arcade Spirits</t>
  </si>
  <si>
    <t>Ficiton Factory Games</t>
  </si>
  <si>
    <t>Long Gone Days</t>
  </si>
  <si>
    <t>BURA</t>
  </si>
  <si>
    <t>Milkmaid of the Milky Way</t>
  </si>
  <si>
    <t>machineboy</t>
  </si>
  <si>
    <t>Mattis Folkestad</t>
  </si>
  <si>
    <t>Tanglewood</t>
  </si>
  <si>
    <t>Big Evil Corporation</t>
  </si>
  <si>
    <t>Another Lost Phone: Laura's Story</t>
  </si>
  <si>
    <t>Kickstarter Backer Edition</t>
  </si>
  <si>
    <t>Akiba's Trip</t>
  </si>
  <si>
    <t>R-Type Command</t>
  </si>
  <si>
    <t>R-Type Tactics II: Operation Bitter Chocolate</t>
  </si>
  <si>
    <t>Digimon World Re:Digitize</t>
  </si>
  <si>
    <t>Digimon</t>
  </si>
  <si>
    <t>Digimon World</t>
  </si>
  <si>
    <t>Digimon World 2</t>
  </si>
  <si>
    <t>Digimon World 3</t>
  </si>
  <si>
    <t>Digimon World 4</t>
  </si>
  <si>
    <t>Digimon World DS</t>
  </si>
  <si>
    <t>Digimon World Dawn</t>
  </si>
  <si>
    <t>Digimon Adventure: Cathode Tamer</t>
  </si>
  <si>
    <t>Digimon World: Data Squad</t>
  </si>
  <si>
    <t>Nanashi no Game: Me</t>
  </si>
  <si>
    <t>Ni no Kuni: Dominion of the Dark Djinn</t>
  </si>
  <si>
    <t>Dragon Force II: Kamisarishi Daichi ni</t>
  </si>
  <si>
    <t>.hack//Link</t>
  </si>
  <si>
    <t>Digimon Adventure</t>
  </si>
  <si>
    <t>Nayuta no Kiseki</t>
  </si>
  <si>
    <t>Shinseiki Evangelion: Koutetsu no Girlfriend 2nd</t>
  </si>
  <si>
    <t>Broccoli</t>
  </si>
  <si>
    <t>Gainax</t>
  </si>
  <si>
    <t>Evangelion</t>
  </si>
  <si>
    <t>Sora no Woto: Otome no Gojuusou</t>
  </si>
  <si>
    <t>XAX Entertainment</t>
  </si>
  <si>
    <t>Super Robot Taisen A Portable</t>
  </si>
  <si>
    <t>Ys vs. Sora no Kiseki: Alternative Saga</t>
  </si>
  <si>
    <t>Culdcept</t>
  </si>
  <si>
    <t>OmiyaSoft</t>
  </si>
  <si>
    <t>Culdcept II</t>
  </si>
  <si>
    <t>Media Factory</t>
  </si>
  <si>
    <t>Culdcept Saga</t>
  </si>
  <si>
    <t>SD Gundam G Generation Overworld</t>
  </si>
  <si>
    <t>Pathway</t>
  </si>
  <si>
    <t>Robotality</t>
  </si>
  <si>
    <t>Ace of Seafood</t>
  </si>
  <si>
    <t>Calappa Games</t>
  </si>
  <si>
    <t>Gocco of War</t>
  </si>
  <si>
    <t>peakvox</t>
  </si>
  <si>
    <t>The Silver Case</t>
  </si>
  <si>
    <t>Break Arts II</t>
  </si>
  <si>
    <t>MercuryStudio</t>
  </si>
  <si>
    <t>Break Arts</t>
  </si>
  <si>
    <t>Ace Combat 7: Skies Unknown</t>
  </si>
  <si>
    <t>Nioh 2</t>
  </si>
  <si>
    <t>2nd Super Robot Taisen</t>
  </si>
  <si>
    <t>3rd Super Robot Taisen</t>
  </si>
  <si>
    <t>4th Super Robot Taisen</t>
  </si>
  <si>
    <t>Hero Senki</t>
  </si>
  <si>
    <t>The Great Battle</t>
  </si>
  <si>
    <t>Super Robot Taisen Alpha</t>
  </si>
  <si>
    <t>Super Robot Taisen R</t>
  </si>
  <si>
    <t>PictoQuest</t>
  </si>
  <si>
    <t>NanoPiko</t>
  </si>
  <si>
    <t>The Last of Us Part II</t>
  </si>
  <si>
    <t>Maneater</t>
  </si>
  <si>
    <t>Sword Art Online Re: Hollow Fragment</t>
  </si>
  <si>
    <t>Aquria</t>
  </si>
  <si>
    <t>Sword Art Online</t>
  </si>
  <si>
    <t>Sword Art Online: Lost Song</t>
  </si>
  <si>
    <t>Artdink</t>
  </si>
  <si>
    <t>Tales of Hearts R</t>
  </si>
  <si>
    <t>7th Chord</t>
  </si>
  <si>
    <t>Transformers: War for Cybertron</t>
  </si>
  <si>
    <t>Transformers: Fall of Cybertron</t>
  </si>
  <si>
    <t>Transformers: Rise of the Dark Spark</t>
  </si>
  <si>
    <t>Edge of Reality</t>
  </si>
  <si>
    <t>Transformers: Cybertron Adventures</t>
  </si>
  <si>
    <t>La-Mulana 1 &amp; 2: Hidden Treasures Edition</t>
  </si>
  <si>
    <t>The Wing of Madoola</t>
  </si>
  <si>
    <t>Relics: Ankoku Yōsai</t>
  </si>
  <si>
    <t>Zillion</t>
  </si>
  <si>
    <t>Zillion II: The Tri-Formation Cycle</t>
  </si>
  <si>
    <t>Metal Max 2</t>
  </si>
  <si>
    <t>Crea-Tech</t>
  </si>
  <si>
    <t>Metal Saga</t>
  </si>
  <si>
    <t>Metal Saga: Season of Steel</t>
  </si>
  <si>
    <t>Metal Max 3</t>
  </si>
  <si>
    <t>Champions of Norrath</t>
  </si>
  <si>
    <t>Sony Online Entertainment</t>
  </si>
  <si>
    <t>EverQuest</t>
  </si>
  <si>
    <t>Champions: Return to Arms</t>
  </si>
  <si>
    <t>Little Town Hero</t>
  </si>
  <si>
    <t>Big Idea Edition</t>
  </si>
  <si>
    <t>Record of Agarest War: Mariage</t>
  </si>
  <si>
    <t>Agarest: Generations of War Zero</t>
  </si>
  <si>
    <t>Agarest: Generations of War 2</t>
  </si>
  <si>
    <t>The Sacred Tears TRUE</t>
  </si>
  <si>
    <t>AlphaNuts</t>
  </si>
  <si>
    <t>Another Star</t>
  </si>
  <si>
    <t>Akiba's Trip: Undead &amp; Undressed</t>
  </si>
  <si>
    <t>Artifact Adventure</t>
  </si>
  <si>
    <t>Shadows of Adam</t>
  </si>
  <si>
    <t>Stranger of Sword City</t>
  </si>
  <si>
    <t>Psycho-Pass: Mandatory Happiness</t>
  </si>
  <si>
    <t>Vision Riders Entertainment</t>
  </si>
  <si>
    <t>Psycho-Pass</t>
  </si>
  <si>
    <t>bluffman</t>
  </si>
  <si>
    <t>Something Classic Games</t>
  </si>
  <si>
    <t>Experience</t>
  </si>
  <si>
    <t>Mages</t>
  </si>
  <si>
    <t>Cthulhu Saves Christmas</t>
  </si>
  <si>
    <t>Pillars of Dust</t>
  </si>
  <si>
    <t>Retreaux Games</t>
  </si>
  <si>
    <t>Culdcept Revolt</t>
  </si>
  <si>
    <t>Aquapazza: Aquaplus Dream Match</t>
  </si>
  <si>
    <t>Dissidia Final Fantasy NT</t>
  </si>
  <si>
    <t>Kunai</t>
  </si>
  <si>
    <t>Dark Devotion</t>
  </si>
  <si>
    <t>The Arcade Crew</t>
  </si>
  <si>
    <t>Hibernian Workshop</t>
  </si>
  <si>
    <t>TurtleBlaze</t>
  </si>
  <si>
    <t>Streets of Rage 4</t>
  </si>
  <si>
    <t>The Legend of Heroes: Trails of Cold Steel III</t>
  </si>
  <si>
    <t>Extracurricular Edition</t>
  </si>
  <si>
    <t>Beyond a Steel Sky</t>
  </si>
  <si>
    <t>Rogue Hearts Dungeon</t>
  </si>
  <si>
    <t>Age of Wonders: Planetfall</t>
  </si>
  <si>
    <t>Beat Hazard 2</t>
  </si>
  <si>
    <t>Verlet Swing</t>
  </si>
  <si>
    <t>Yuppie Psycho</t>
  </si>
  <si>
    <t>Flamebait Games</t>
  </si>
  <si>
    <t>Baroque Decay</t>
  </si>
  <si>
    <t>Idea  Factory</t>
  </si>
  <si>
    <t>Earth Defense Force 2: Invaders from Planet Space</t>
  </si>
  <si>
    <t>Akiba's Beat</t>
  </si>
  <si>
    <t>VirtuaVerse</t>
  </si>
  <si>
    <t>Blood Music</t>
  </si>
  <si>
    <t>Theta Division</t>
  </si>
  <si>
    <t>Black Mesa</t>
  </si>
  <si>
    <t>Crowbar Collective</t>
  </si>
  <si>
    <t>In Cold Blood</t>
  </si>
  <si>
    <t>DreamCatcher Games</t>
  </si>
  <si>
    <t>The Walking Dead: A New Frontier</t>
  </si>
  <si>
    <t>The Walking Dead: The Final Season</t>
  </si>
  <si>
    <t>Skybound Games</t>
  </si>
  <si>
    <t>Batman: The Telltale Series</t>
  </si>
  <si>
    <t>Heaven's Vault</t>
  </si>
  <si>
    <t>Batman: The Enemy Within</t>
  </si>
  <si>
    <t>Grimm's Hollow</t>
  </si>
  <si>
    <t>ghosthunter</t>
  </si>
  <si>
    <t>The Escapists 2</t>
  </si>
  <si>
    <t>Lifeless Planet</t>
  </si>
  <si>
    <t>Stage 2 Studios</t>
  </si>
  <si>
    <t>Catherine: Full Body</t>
  </si>
  <si>
    <t>Spirit of the North</t>
  </si>
  <si>
    <t>Infuse Studio</t>
  </si>
  <si>
    <t>Vane</t>
  </si>
  <si>
    <t>Friend &amp; Foe Games</t>
  </si>
  <si>
    <t>Destiny Connect: Tick-Tock Travelers</t>
  </si>
  <si>
    <t>Time Capsule Edition</t>
  </si>
  <si>
    <t>Tom Clancy's Ghost Recon Breakpoint</t>
  </si>
  <si>
    <t>Escaped Chasm</t>
  </si>
  <si>
    <t>Temmie Chang</t>
  </si>
  <si>
    <t>Dweller's Empty Path</t>
  </si>
  <si>
    <t>Far Cry 6</t>
  </si>
  <si>
    <t>The Walking Dead: Saints &amp; Sinners</t>
  </si>
  <si>
    <t>Skydance Interactive</t>
  </si>
  <si>
    <t>Story of Seasons: Friends of Mineral Town</t>
  </si>
  <si>
    <t>Deadly Premonition 2: A Blessing in Disguise</t>
  </si>
  <si>
    <t>Corpse Party: Blood Drive</t>
  </si>
  <si>
    <t>5pd.</t>
  </si>
  <si>
    <t>Kadokawa Shoten</t>
  </si>
  <si>
    <t>Thinking Rabbit</t>
  </si>
  <si>
    <t>Paper Mario: The Origami King</t>
  </si>
  <si>
    <t>Two copies owned (one Limited Edition)</t>
  </si>
  <si>
    <t>Two copies owned (one Australian)</t>
  </si>
  <si>
    <t>Halo 4</t>
  </si>
  <si>
    <t>Halo 3: ODST</t>
  </si>
  <si>
    <t>The Awakened Fate Ultimatum</t>
  </si>
  <si>
    <t>Ape Quest</t>
  </si>
  <si>
    <t>Erica</t>
  </si>
  <si>
    <t>Flavourworks</t>
  </si>
  <si>
    <t>Okaeri! Chibi-Robo! Happy Richie Ōsōji!</t>
  </si>
  <si>
    <t>Chibi-Robo!</t>
  </si>
  <si>
    <t>Chibi-Robo!: Park Patrol</t>
  </si>
  <si>
    <t>Puella Magi Madoka Magica Portable</t>
  </si>
  <si>
    <t>Nitro+</t>
  </si>
  <si>
    <t>Madoka Magica</t>
  </si>
  <si>
    <t>Battle Golfer Yui</t>
  </si>
  <si>
    <t>Santos</t>
  </si>
  <si>
    <t>Carnage Heart</t>
  </si>
  <si>
    <t>Carnage Heart EXA</t>
  </si>
  <si>
    <t>Sigma Harmonics</t>
  </si>
  <si>
    <t>Blood of Bahamut</t>
  </si>
  <si>
    <t>Front Mission 2089</t>
  </si>
  <si>
    <t>Front Mission 2</t>
  </si>
  <si>
    <t>Squaresoft</t>
  </si>
  <si>
    <t>Shin Megami Tensei: Synchronicity Prologue</t>
  </si>
  <si>
    <t>ladybug</t>
  </si>
  <si>
    <t>Shin Megami Tensei: Devil Summoner</t>
  </si>
  <si>
    <t>Kyūyaku Megami Tensei</t>
  </si>
  <si>
    <t>Opera House</t>
  </si>
  <si>
    <t>Shin Megami Tensei: Devil Children - Messiah Riser</t>
  </si>
  <si>
    <t>Shin Megami Tensei: Devil Children - Book of Fire</t>
  </si>
  <si>
    <t>Shin Megami Tensei: Devil Children - Black Book</t>
  </si>
  <si>
    <t>Ghost of Tsushima</t>
  </si>
  <si>
    <t>Splatoon 2</t>
  </si>
  <si>
    <t>Persona 5: Dancing in Starlight</t>
  </si>
  <si>
    <t>Makai Ichiban Kan</t>
  </si>
  <si>
    <t>Shinobido: Way of the Ninja</t>
  </si>
  <si>
    <t>Shinobido</t>
  </si>
  <si>
    <t>Shinobido: Tales of the Ninja</t>
  </si>
  <si>
    <t>Vixen 357</t>
  </si>
  <si>
    <t>NCS Corporation</t>
  </si>
  <si>
    <t>Ring of Red</t>
  </si>
  <si>
    <t>MS Saga: A New Dawn</t>
  </si>
  <si>
    <t>Ragnarok Tactics</t>
  </si>
  <si>
    <t>Generation of Chaos</t>
  </si>
  <si>
    <t>Aedis Eclipse: Generation of Chaos</t>
  </si>
  <si>
    <t>Generation of Chaos: Pandora's Reflection</t>
  </si>
  <si>
    <t>The Lord of the Rings: Tactics</t>
  </si>
  <si>
    <t>Medabots: Metabee</t>
  </si>
  <si>
    <t>Medabots</t>
  </si>
  <si>
    <t>Solid Runner</t>
  </si>
  <si>
    <t>Blood Gear</t>
  </si>
  <si>
    <t>West One</t>
  </si>
  <si>
    <t>Fullmetal Alchemist and the Broken Angel</t>
  </si>
  <si>
    <t>Fullmetal Alchemist</t>
  </si>
  <si>
    <t>Fullmetal Alchemist 2: Curse of the Crimson Elixir</t>
  </si>
  <si>
    <t>Graffiti Kingdom</t>
  </si>
  <si>
    <t>Persona 3: Dancing in Moonlight</t>
  </si>
  <si>
    <t>Carrion</t>
  </si>
  <si>
    <t>Phobia Game Studio</t>
  </si>
  <si>
    <t>Toukiden: The Age of Demons</t>
  </si>
  <si>
    <t>Toukiden</t>
  </si>
  <si>
    <t>LEGO Legends of Chima</t>
  </si>
  <si>
    <t>Army Corps of Hell</t>
  </si>
  <si>
    <t>Entersphere</t>
  </si>
  <si>
    <t>Moero Chronicle</t>
  </si>
  <si>
    <t>Genkai Tokki</t>
  </si>
  <si>
    <t>Miami Vice: The Game</t>
  </si>
  <si>
    <t>Miami Vice</t>
  </si>
  <si>
    <t>Tenshi no Uta</t>
  </si>
  <si>
    <t>Tenshi no Uta: Shiroki Tsubasa no Inori</t>
  </si>
  <si>
    <t>Brave Prove</t>
  </si>
  <si>
    <t>Data West</t>
  </si>
  <si>
    <t>Marie to Elie Atelier: Salsburg no Renkinjutsu 1+2</t>
  </si>
  <si>
    <t>Rockman EXE Operation Shooting Star</t>
  </si>
  <si>
    <t>Shin Seikoku: La Wares</t>
  </si>
  <si>
    <t>Asuncia: Matsue no Jubaku</t>
  </si>
  <si>
    <t>Xing Entertainment</t>
  </si>
  <si>
    <t>E.O. Imagination</t>
  </si>
  <si>
    <t>Punch Line</t>
  </si>
  <si>
    <t>5pb.</t>
  </si>
  <si>
    <t>Dungeon Travelers 2: The Royal Library &amp; the Monster Seal</t>
  </si>
  <si>
    <t>Fairy Tail</t>
  </si>
  <si>
    <t>Ys Strategy</t>
  </si>
  <si>
    <t>Future Creates</t>
  </si>
  <si>
    <t>Shaq Fu: A Legend Reborn</t>
  </si>
  <si>
    <t>Treachery in Beatdown City</t>
  </si>
  <si>
    <t>Blazing Chrome</t>
  </si>
  <si>
    <t>Big Deez Productions</t>
  </si>
  <si>
    <t>Shaq Fu</t>
  </si>
  <si>
    <t>Nuchallenger</t>
  </si>
  <si>
    <t>HurakanWorks</t>
  </si>
  <si>
    <t>Spirit Hunter: Death Mark</t>
  </si>
  <si>
    <t>Spirit Hunter</t>
  </si>
  <si>
    <t>Ring Fit Adventure</t>
  </si>
  <si>
    <t>The friends of Ringo Ishikawa</t>
  </si>
  <si>
    <t>yeo</t>
  </si>
  <si>
    <t>Ragnarok DS</t>
  </si>
  <si>
    <t>Ragnarok Online</t>
  </si>
  <si>
    <t>Day One Edition</t>
  </si>
  <si>
    <t>Valhalla Knights 3</t>
  </si>
  <si>
    <t>Valhalla Knights</t>
  </si>
  <si>
    <t>Criminal Girls: Invite Only</t>
  </si>
  <si>
    <t>Criminal Girls</t>
  </si>
  <si>
    <t>Brigandine: The Legend of Runersia</t>
  </si>
  <si>
    <t>Happinet</t>
  </si>
  <si>
    <t>Blood Will Tell: Tezuka Osamu's Dororo</t>
  </si>
  <si>
    <t>Red Entertainment</t>
  </si>
  <si>
    <t>Guardian's Crusade</t>
  </si>
  <si>
    <t>Blaze and Blade: Eternal Quest</t>
  </si>
  <si>
    <t>Funsoft</t>
  </si>
  <si>
    <t>Blaze and Blade</t>
  </si>
  <si>
    <t>Musashi: Samurai Legend</t>
  </si>
  <si>
    <t>Square Product Development Division 5</t>
  </si>
  <si>
    <t>Shadow Madness</t>
  </si>
  <si>
    <t>Craveyard Studios</t>
  </si>
  <si>
    <t>Mimana Iyar Chronicle</t>
  </si>
  <si>
    <t>Princess Minerva</t>
  </si>
  <si>
    <t>Eien no Filena</t>
  </si>
  <si>
    <t>Rygar: The Legendary Adventure</t>
  </si>
  <si>
    <t>Wargroove</t>
  </si>
  <si>
    <t>Call of Cthulhu</t>
  </si>
  <si>
    <t>Genesis Alpha One</t>
  </si>
  <si>
    <t>Radiation Blue</t>
  </si>
  <si>
    <t>The Coma 2: Vicious Sisters</t>
  </si>
  <si>
    <t>Devespresso Games</t>
  </si>
  <si>
    <t>The Coma</t>
  </si>
  <si>
    <t>A Case of Distrust</t>
  </si>
  <si>
    <t>The Wandering Ben</t>
  </si>
  <si>
    <t>Icey</t>
  </si>
  <si>
    <t>X.D. Network</t>
  </si>
  <si>
    <t>Shanghai FantaBlade Network Technology</t>
  </si>
  <si>
    <t>Toukiden: Kiwami</t>
  </si>
  <si>
    <t>Is It Wrong to Try to Pick Up Girls in a Dungeon?</t>
  </si>
  <si>
    <t>Is It Wrong to Try to Pick Up Girls in a Dungeon? Familia Myth Infinite Combate</t>
  </si>
  <si>
    <t>Our World is Ended.</t>
  </si>
  <si>
    <t>Day 1 Edition</t>
  </si>
  <si>
    <t>Unit 13</t>
  </si>
  <si>
    <t>Collar × Malice</t>
  </si>
  <si>
    <t>Collar × Malice -Unlimited-</t>
  </si>
  <si>
    <t>MeiQ: Labyrinth of Death</t>
  </si>
  <si>
    <t>Drive Girls</t>
  </si>
  <si>
    <t>Touch My Katamari</t>
  </si>
  <si>
    <t>Shinobido 2: Revenge of Zen</t>
  </si>
  <si>
    <t>Total War Saga: Troy</t>
  </si>
  <si>
    <t>Killzone: Liberation</t>
  </si>
  <si>
    <t>Populous DS</t>
  </si>
  <si>
    <t>Populous</t>
  </si>
  <si>
    <t>Shinseiki Evangelion: Kōtetsu no Girlfriend</t>
  </si>
  <si>
    <t>Fullmetal Alchemist: Dual Sympathy</t>
  </si>
  <si>
    <t>Gungrave: Overdose</t>
  </si>
  <si>
    <t>Ikusabune</t>
  </si>
  <si>
    <t>Super Robot Taisen Gaiden: Masō Kishin – The Lord of Elemental</t>
  </si>
  <si>
    <t>Demon Gaze</t>
  </si>
  <si>
    <t>We Were Here</t>
  </si>
  <si>
    <t>Lost: Via Domus</t>
  </si>
  <si>
    <t>Lost</t>
  </si>
  <si>
    <t>Avatar: The Last Airbender – The Burning Earth</t>
  </si>
  <si>
    <t>THQ Studio Australia</t>
  </si>
  <si>
    <t>Avatar: The Last Airbender</t>
  </si>
  <si>
    <t>Way of the Samurai</t>
  </si>
  <si>
    <t>Eragon</t>
  </si>
  <si>
    <t>Zen: Intergalactic Ninja</t>
  </si>
  <si>
    <t>Death end re;Quest 2</t>
  </si>
  <si>
    <t>Huntdown</t>
  </si>
  <si>
    <t>Easy Trigger</t>
  </si>
  <si>
    <t>Vampire Panic</t>
  </si>
  <si>
    <t>Metal Max Xeno</t>
  </si>
  <si>
    <t>Kadowkawa Games</t>
  </si>
  <si>
    <t>Sakura Note: Ima ni Tsunagaru Mirai</t>
  </si>
  <si>
    <t>Audio Games</t>
  </si>
  <si>
    <t>Black Sigil: Blade of the Exiled</t>
  </si>
  <si>
    <t>Studio Archcraft</t>
  </si>
  <si>
    <t>Demon Gaze II</t>
  </si>
  <si>
    <t>Kabu Trader Shun</t>
  </si>
  <si>
    <t>Glass Rose</t>
  </si>
  <si>
    <t>Shadow of Rome</t>
  </si>
  <si>
    <t>Spyborgs</t>
  </si>
  <si>
    <t>Bionic Games</t>
  </si>
  <si>
    <t>Under the Skin</t>
  </si>
  <si>
    <t>Chaos Legion</t>
  </si>
  <si>
    <t>Capcom Production Studio 6</t>
  </si>
  <si>
    <t>Crimson Tears</t>
  </si>
  <si>
    <t>DreamFactory</t>
  </si>
  <si>
    <t>Beat Down: Fists of Vengeance</t>
  </si>
  <si>
    <t>A Way Out</t>
  </si>
  <si>
    <t>Hazelight Studios</t>
  </si>
  <si>
    <t>Unravel</t>
  </si>
  <si>
    <t>Coldwood Interactive</t>
  </si>
  <si>
    <t>Unravel Two</t>
  </si>
  <si>
    <t>Onion Games</t>
  </si>
  <si>
    <t>The Missing: J.J. Macfield and the Island of Memories</t>
  </si>
  <si>
    <t>White Owls</t>
  </si>
  <si>
    <t>Captain Tsubasa: Rise of New Champions</t>
  </si>
  <si>
    <t>Captain Tsubasa</t>
  </si>
  <si>
    <t>Fate/Extella: The Umbral Star</t>
  </si>
  <si>
    <t>Nige-Ron-Pa</t>
  </si>
  <si>
    <t>Dennou Club</t>
  </si>
  <si>
    <t>Giftpia</t>
  </si>
  <si>
    <t>Endonesia</t>
  </si>
  <si>
    <t>Coloball 2002</t>
  </si>
  <si>
    <t>Chulip</t>
  </si>
  <si>
    <t>UFO: A Day in the Life</t>
  </si>
  <si>
    <t>ASCII Entertainment</t>
  </si>
  <si>
    <t>L.O.L.: Lack of Love</t>
  </si>
  <si>
    <t>Kill la Kill: If</t>
  </si>
  <si>
    <t>Kill la Kill</t>
  </si>
  <si>
    <t>Bloodroots</t>
  </si>
  <si>
    <t>Paper Cult</t>
  </si>
  <si>
    <t>Vampire: The Masquerade - Coteries of New York</t>
  </si>
  <si>
    <t>Draw Distance</t>
  </si>
  <si>
    <t>The Occupation</t>
  </si>
  <si>
    <t>Humble Games</t>
  </si>
  <si>
    <t>White Paper Games</t>
  </si>
  <si>
    <t>Generation Zero</t>
  </si>
  <si>
    <t>Systemic Reaction</t>
  </si>
  <si>
    <t>Lethal League Blaze</t>
  </si>
  <si>
    <t>Strange Brigade</t>
  </si>
  <si>
    <t>The Shapeshifting Detective</t>
  </si>
  <si>
    <t>D'Avekki Studdios</t>
  </si>
  <si>
    <t>Ragnarok Odyssey</t>
  </si>
  <si>
    <t>Marvel's Avengers</t>
  </si>
  <si>
    <t>Blinx: The Time Sweeper</t>
  </si>
  <si>
    <t>Blinx</t>
  </si>
  <si>
    <t>Blinx 2: Masters of Time and Space</t>
  </si>
  <si>
    <t>Far Cry Instincts</t>
  </si>
  <si>
    <t>Far Cry Instincts: Evolution</t>
  </si>
  <si>
    <t>Dark Wizard</t>
  </si>
  <si>
    <t>Muv-Luv</t>
  </si>
  <si>
    <t>Valkyrie Drive: Bhikkhuni</t>
  </si>
  <si>
    <t>Meteorise</t>
  </si>
  <si>
    <t>Valkyrie Drive</t>
  </si>
  <si>
    <t>Tony Hawk's Pro Skater 1 + 2</t>
  </si>
  <si>
    <t>Lord of Magna: Maiden Heaven</t>
  </si>
  <si>
    <t>Luminous Arc 3</t>
  </si>
  <si>
    <t>Luminous Arc Infinity</t>
  </si>
  <si>
    <t>Senritsu no Stratus</t>
  </si>
  <si>
    <t>Nude Maker</t>
  </si>
  <si>
    <t>Call of Duty: Ghosts</t>
  </si>
  <si>
    <t>Operation Abyss: New Tokyo Legacy</t>
  </si>
  <si>
    <t>New Tokyo Legacy</t>
  </si>
  <si>
    <t>Operation Babel: New Tokyo Legacy</t>
  </si>
  <si>
    <t>Where the Water Tastes Like Wine</t>
  </si>
  <si>
    <t>Dim Bulb Games</t>
  </si>
  <si>
    <t>Tokyo Xanadu</t>
  </si>
  <si>
    <t>Dragoneer's Aria</t>
  </si>
  <si>
    <t>Hit Maker</t>
  </si>
  <si>
    <t>A Witch's Tale</t>
  </si>
  <si>
    <t>Trinity Universe</t>
  </si>
  <si>
    <t>Hyperdimension Neptunia: Producing Perfection</t>
  </si>
  <si>
    <t>Saw</t>
  </si>
  <si>
    <t>Zombie Studios</t>
  </si>
  <si>
    <t>Saw II: Flesh &amp; Blood</t>
  </si>
  <si>
    <t>Muv-Luv Alternative</t>
  </si>
  <si>
    <t>ixtl</t>
  </si>
  <si>
    <t>Call of Duty: Black Ops Cold War</t>
  </si>
  <si>
    <t>Gal*Gun: Double Peace</t>
  </si>
  <si>
    <t>Gal*Gun</t>
  </si>
  <si>
    <t>Assassin's Creed III: Liberation</t>
  </si>
  <si>
    <t>Professor Layton vs. Phoenix Wright: Ace Attorney</t>
  </si>
  <si>
    <t>Criminal Girls 2: Party Favors</t>
  </si>
  <si>
    <t>Amnesia: Rebirth</t>
  </si>
  <si>
    <t>Monster Hunter Stories</t>
  </si>
  <si>
    <t>Digimon Story: Cyber Sleuth – Hacker's Memory</t>
  </si>
  <si>
    <t>Super Mario 3D All-Stars</t>
  </si>
  <si>
    <t>Aegis of Earth: Protonovus Assault</t>
  </si>
  <si>
    <t>Mind Zero</t>
  </si>
  <si>
    <t>Etrian Odyssey V: Beyond the Myth</t>
  </si>
  <si>
    <t>Shin Megami Tensei IV: Apocalypse</t>
  </si>
  <si>
    <t>Etrian Odyssey Untold: The Millennium Girl</t>
  </si>
  <si>
    <t>Etrian Odyssey Untold 2: The Fafnir Knight</t>
  </si>
  <si>
    <t>13 Sentinels: Aegis Rim</t>
  </si>
  <si>
    <t>The Sojourn</t>
  </si>
  <si>
    <t>Shifting Tides</t>
  </si>
  <si>
    <t>Dynasty Warriors 8: Xtreme Legends - Complete Edition</t>
  </si>
  <si>
    <t>One-Punch Man: A Hero Nobody Knows</t>
  </si>
  <si>
    <t>One-Punch Man</t>
  </si>
  <si>
    <t>Fatal Inertia</t>
  </si>
  <si>
    <t>Colosseum: Road to Freedom</t>
  </si>
  <si>
    <t>Ertrain</t>
  </si>
  <si>
    <t>Mystic Heroes</t>
  </si>
  <si>
    <t>Crimson Sea</t>
  </si>
  <si>
    <t>Crimson Sea 2</t>
  </si>
  <si>
    <t>Breakdown</t>
  </si>
  <si>
    <t>Brute Force</t>
  </si>
  <si>
    <t>C.A.T.: Cyber Attack Team</t>
  </si>
  <si>
    <t>Medix</t>
  </si>
  <si>
    <t>Hide</t>
  </si>
  <si>
    <t>Conker: Live &amp; Reloaded</t>
  </si>
  <si>
    <t>Dungeons &amp; Dragons: Heroes</t>
  </si>
  <si>
    <t>Atari Hunt Valley</t>
  </si>
  <si>
    <t>Gunvalkyrie</t>
  </si>
  <si>
    <t>Xyanide</t>
  </si>
  <si>
    <t>Playlogic Entertainment</t>
  </si>
  <si>
    <t>Xyanide: Resurrection</t>
  </si>
  <si>
    <t>Phantom Dust</t>
  </si>
  <si>
    <t>Rise of the Kasai</t>
  </si>
  <si>
    <t>BottleRocket Entertainment</t>
  </si>
  <si>
    <t>AS</t>
  </si>
  <si>
    <t>Gundam Breaker 3: Break Edition</t>
  </si>
  <si>
    <t>Sengoku Basara 2</t>
  </si>
  <si>
    <t>Sengoku Basara 2: Heroes</t>
  </si>
  <si>
    <t>Star Wars: Squadrons</t>
  </si>
  <si>
    <t>Mafia: Definitive Edition</t>
  </si>
  <si>
    <t>Murasaki Baby</t>
  </si>
  <si>
    <t>Sid Meier's Civilization Revolution 2 Plus</t>
  </si>
  <si>
    <t>Monster Monpiece</t>
  </si>
  <si>
    <t>Ovosonico</t>
  </si>
  <si>
    <t>Virtua Quest</t>
  </si>
  <si>
    <t>Virtua Fighter</t>
  </si>
  <si>
    <t>Warriors Orochi 3: Hyper</t>
  </si>
  <si>
    <t>The Uncertain: Last Quiet Day</t>
  </si>
  <si>
    <t>New Game Order</t>
  </si>
  <si>
    <t>The Uncertain</t>
  </si>
  <si>
    <t>The Suicide of Rachel Foster</t>
  </si>
  <si>
    <t>ONE-O-ONE GAMES</t>
  </si>
  <si>
    <t>Iron Danger</t>
  </si>
  <si>
    <t>Action Squad Studios</t>
  </si>
  <si>
    <t>Sunless Skies</t>
  </si>
  <si>
    <t>Tropico 6</t>
  </si>
  <si>
    <t>Limbic Entertainment</t>
  </si>
  <si>
    <t>Fae Tactics</t>
  </si>
  <si>
    <t>Crash Bandicoot 4: It's About Time</t>
  </si>
  <si>
    <t>Silent Hill: Book of Memories</t>
  </si>
  <si>
    <t>Moero Crystal H</t>
  </si>
  <si>
    <t>Mary Skelter 2</t>
  </si>
  <si>
    <t>Mary Skelter</t>
  </si>
  <si>
    <t>Shantae and the Seven Sirens</t>
  </si>
  <si>
    <t>Prinny 1•2: Exploded and Reloaded</t>
  </si>
  <si>
    <t>Just Desserts Edition</t>
  </si>
  <si>
    <t>Robotics;Notes Double Pack</t>
  </si>
  <si>
    <t>Science Adventure</t>
  </si>
  <si>
    <t>Ghost Games</t>
  </si>
  <si>
    <t>Need for Speed Payback</t>
  </si>
  <si>
    <t>The Unfinished Swan</t>
  </si>
  <si>
    <t>Giant Sparrow</t>
  </si>
  <si>
    <t>Lucius II</t>
  </si>
  <si>
    <t>Kholat</t>
  </si>
  <si>
    <t>Lucius III</t>
  </si>
  <si>
    <t>Syndrome</t>
  </si>
  <si>
    <t>Camel 101</t>
  </si>
  <si>
    <t>Wick</t>
  </si>
  <si>
    <t>Hellbent Games</t>
  </si>
  <si>
    <t>Vandal Hearts: Flames of Judgment</t>
  </si>
  <si>
    <t>Konami Digital Entertainment</t>
  </si>
  <si>
    <t>Hijinx Studios</t>
  </si>
  <si>
    <t>Stocksynd House</t>
  </si>
  <si>
    <t>Rate My Funeral</t>
  </si>
  <si>
    <t>CyberFlux Games</t>
  </si>
  <si>
    <t>Labyrinth of Refrain: Coven of Dusk</t>
  </si>
  <si>
    <t>Earth Defense Force 5</t>
  </si>
  <si>
    <t>Streets of Kamurocho</t>
  </si>
  <si>
    <t>Onee Chanbara Origin</t>
  </si>
  <si>
    <t>Valhollian</t>
  </si>
  <si>
    <t>Kamata and Partners</t>
  </si>
  <si>
    <t>Datt Japan</t>
  </si>
  <si>
    <t>Layers of Fear 2</t>
  </si>
  <si>
    <t>Gun Media</t>
  </si>
  <si>
    <t>Fire Emblem: Shadow Dragon &amp; the Blade of Light</t>
  </si>
  <si>
    <t>Transformers: Battlegrounds</t>
  </si>
  <si>
    <t>Outright Games</t>
  </si>
  <si>
    <t>Coatsink Software</t>
  </si>
  <si>
    <t>Untitled Goose Game</t>
  </si>
  <si>
    <t>Panic</t>
  </si>
  <si>
    <t>House House</t>
  </si>
  <si>
    <t>Silent Hill: Origins</t>
  </si>
  <si>
    <t>Climax Action</t>
  </si>
  <si>
    <t>Ghostrunner</t>
  </si>
  <si>
    <t>Nelke &amp; the Legendary Alchemists: Ateliers of the New World</t>
  </si>
  <si>
    <t>The Legend of Heroes: Trails of Cold Steel IV</t>
  </si>
  <si>
    <t>Frontline Edition</t>
  </si>
  <si>
    <t>Gal*Gun 2</t>
  </si>
  <si>
    <t>Gun Gun Pixies</t>
  </si>
  <si>
    <t>Watch Dogs: Legion</t>
  </si>
  <si>
    <t>Pikmin 3 Deluxe</t>
  </si>
  <si>
    <t>Atelier Ryza: Ever Darkness &amp; the Secret Hideout</t>
  </si>
  <si>
    <t>Monster Kingdom: Jewel Summoner</t>
  </si>
  <si>
    <t>Gaia</t>
  </si>
  <si>
    <t>Bakugan: Champions of Vestroia</t>
  </si>
  <si>
    <t>Bakugan</t>
  </si>
  <si>
    <t>Playstack</t>
  </si>
  <si>
    <t>Cold Symmetry</t>
  </si>
  <si>
    <t>Phantasy Star Portable</t>
  </si>
  <si>
    <t>Phantasy Star Portable 2</t>
  </si>
  <si>
    <t>Killing Floor: Incursion</t>
  </si>
  <si>
    <t>Creed: Rise to Glory</t>
  </si>
  <si>
    <t>Survios</t>
  </si>
  <si>
    <t>Raw Data</t>
  </si>
  <si>
    <t>Zero Caliber VR</t>
  </si>
  <si>
    <t>XREAL Games</t>
  </si>
  <si>
    <t>Yakuza: Like a Dragon</t>
  </si>
  <si>
    <t>Day Ichi Steelbook Edition</t>
  </si>
  <si>
    <t>Sakuna: Of Rice and Ruin</t>
  </si>
  <si>
    <t>Astro's Playroom</t>
  </si>
  <si>
    <t>PlayStation 5</t>
  </si>
  <si>
    <t>ASOBI Team</t>
  </si>
  <si>
    <t>Astro Bot</t>
  </si>
  <si>
    <t>Bugsnax</t>
  </si>
  <si>
    <t>Spider-Man: Miles Morales</t>
  </si>
  <si>
    <t>Sackboy: A Big Adventure</t>
  </si>
  <si>
    <t>Godfall</t>
  </si>
  <si>
    <t>Gearbox Publishing</t>
  </si>
  <si>
    <t>Counterplay Games</t>
  </si>
  <si>
    <t>Xbox Series X|S</t>
  </si>
  <si>
    <t>Kingdom Hearts: Melody of Memory</t>
  </si>
  <si>
    <t>The Falconeer</t>
  </si>
  <si>
    <t>Tomas Sala</t>
  </si>
  <si>
    <t>Cloudpunk</t>
  </si>
  <si>
    <t>Maple Whispering Limited</t>
  </si>
  <si>
    <t>Ion Lands</t>
  </si>
  <si>
    <t>AeternoBlade II</t>
  </si>
  <si>
    <t>Corecell Technology</t>
  </si>
  <si>
    <t>AeternoBlade</t>
  </si>
  <si>
    <t>The World Next Door</t>
  </si>
  <si>
    <t>VIZ Media</t>
  </si>
  <si>
    <t>Rose City Games</t>
  </si>
  <si>
    <t>Ironcast</t>
  </si>
  <si>
    <t>Dreadbit</t>
  </si>
  <si>
    <t>Monster Boy and the Cursed Kingdom</t>
  </si>
  <si>
    <t>ReCore</t>
  </si>
  <si>
    <t>Panzer Dragoon: Remake</t>
  </si>
  <si>
    <t>Forever Entertainment</t>
  </si>
  <si>
    <t>MegaPixel Studios</t>
  </si>
  <si>
    <t>Hyrule Warriors: Age of Calamity</t>
  </si>
  <si>
    <t>Shantae: Half-Genie Hero Ultimate Edition</t>
  </si>
  <si>
    <t>LEGO Legends of Chima: Laval's Journey</t>
  </si>
  <si>
    <t>Yes, Your Grace</t>
  </si>
  <si>
    <t>Brave at Night</t>
  </si>
  <si>
    <t>MudRunner</t>
  </si>
  <si>
    <t>Spintires</t>
  </si>
  <si>
    <t>If Found…</t>
  </si>
  <si>
    <t>DREAMFEEL</t>
  </si>
  <si>
    <t>Paradise Killer</t>
  </si>
  <si>
    <t>Kaizen Game Works</t>
  </si>
  <si>
    <t>Haven</t>
  </si>
  <si>
    <t>Röki</t>
  </si>
  <si>
    <t>United Label</t>
  </si>
  <si>
    <t>Polygon Treehouse</t>
  </si>
  <si>
    <t>Dicey Dungeons</t>
  </si>
  <si>
    <t>Terry Cavanaugh</t>
  </si>
  <si>
    <t>Don't Starve</t>
  </si>
  <si>
    <t>Jump Force</t>
  </si>
  <si>
    <t>My Hero One's Justice</t>
  </si>
  <si>
    <t>Byking</t>
  </si>
  <si>
    <t>My Hero Academia</t>
  </si>
  <si>
    <t>Overcooked! 2</t>
  </si>
  <si>
    <t>The Beast Inside</t>
  </si>
  <si>
    <t>Movie Games</t>
  </si>
  <si>
    <t>Illusion Ray Studio</t>
  </si>
  <si>
    <t>Still There</t>
  </si>
  <si>
    <t>GhostShark</t>
  </si>
  <si>
    <t>Frog Detective 2: The Case of the Invisible Wizard</t>
  </si>
  <si>
    <t>Zwei: The Ilvard Insurrection</t>
  </si>
  <si>
    <t>Zwei</t>
  </si>
  <si>
    <t>Zwei: The Arges Adventure</t>
  </si>
  <si>
    <t>Indivisible</t>
  </si>
  <si>
    <t>One Step From Eden</t>
  </si>
  <si>
    <t>Thomas Moon Kang</t>
  </si>
  <si>
    <t>Children of Morta</t>
  </si>
  <si>
    <t>Immortals Fenyx Rising</t>
  </si>
  <si>
    <t>Puyo Puyo Tetris 2</t>
  </si>
  <si>
    <t>Spiritfarer</t>
  </si>
  <si>
    <t>Raji: An Ancient Epic</t>
  </si>
  <si>
    <t>Super.com</t>
  </si>
  <si>
    <t>Nodding Heads Games</t>
  </si>
  <si>
    <t>The Pathless</t>
  </si>
  <si>
    <t>Giant Squid</t>
  </si>
  <si>
    <t>The Solitaire Conspiracy</t>
  </si>
  <si>
    <t>Through the Darkest of Times</t>
  </si>
  <si>
    <t>Paintbucket Games</t>
  </si>
  <si>
    <t>Helltaker</t>
  </si>
  <si>
    <t>vanripper</t>
  </si>
  <si>
    <t>Genshin Impact</t>
  </si>
  <si>
    <t>miHoYo</t>
  </si>
  <si>
    <t>Cyberpunk</t>
  </si>
  <si>
    <t>Ghost of a Tale</t>
  </si>
  <si>
    <t>SeithCG</t>
  </si>
  <si>
    <t>Trials Rising</t>
  </si>
  <si>
    <t>Final Fantasy Crystal Chronicles: Remastered Edition</t>
  </si>
  <si>
    <t>The Game Designers Studio</t>
  </si>
  <si>
    <t>SaGa</t>
  </si>
  <si>
    <t>SaGa: Scarlet Grace - Ambitions</t>
  </si>
  <si>
    <t>The Long Dark</t>
  </si>
  <si>
    <t>Hinterland Studio</t>
  </si>
  <si>
    <t>Brigador: Up-Armored Edition</t>
  </si>
  <si>
    <t>Stellar Jockeys</t>
  </si>
  <si>
    <t>Brigador</t>
  </si>
  <si>
    <t>Blaster Master Zero 2</t>
  </si>
  <si>
    <t>The Bouncer</t>
  </si>
  <si>
    <t>Moons of Madness</t>
  </si>
  <si>
    <t>Rock Pocket Games</t>
  </si>
  <si>
    <t>Breathedge</t>
  </si>
  <si>
    <t>HypeTrain Digital</t>
  </si>
  <si>
    <t>RedRuins Softworks</t>
  </si>
  <si>
    <t>Grandia HD Collection</t>
  </si>
  <si>
    <t>Atooi Collection</t>
  </si>
  <si>
    <t>Atooi</t>
  </si>
  <si>
    <t>Darkest Dungeon</t>
  </si>
  <si>
    <t>Red Hook Studios</t>
  </si>
  <si>
    <t>Beam Team Games</t>
  </si>
  <si>
    <t>Stranded Deep</t>
  </si>
  <si>
    <t>The Ambassador: Fractured Timelines</t>
  </si>
  <si>
    <t>The Quantum Astrophysics Guild</t>
  </si>
  <si>
    <t>tinyDino Games</t>
  </si>
  <si>
    <t>Minoria</t>
  </si>
  <si>
    <t>Tales of the Neon Sea</t>
  </si>
  <si>
    <t>Zodiac Interactive</t>
  </si>
  <si>
    <t>Palm Pioneer</t>
  </si>
  <si>
    <t>Vampire: The Masquerade - Shadows of New York</t>
  </si>
  <si>
    <t>Not Tonight</t>
  </si>
  <si>
    <t>PanicBarn</t>
  </si>
  <si>
    <t>Song of Horror</t>
  </si>
  <si>
    <t>Raiser Games</t>
  </si>
  <si>
    <t>Protocol Games</t>
  </si>
  <si>
    <t>Warhammer: Chaosbane</t>
  </si>
  <si>
    <t>Nacon</t>
  </si>
  <si>
    <t>Pathologic 2</t>
  </si>
  <si>
    <t>Pathologic</t>
  </si>
  <si>
    <t>Ancestors: The Humankind Odyssey</t>
  </si>
  <si>
    <t>Panache Digital Games</t>
  </si>
  <si>
    <t>Cyber Shadow</t>
  </si>
  <si>
    <t>Aarne "MekaSkull" Hunziker</t>
  </si>
  <si>
    <t>Call of the Sea</t>
  </si>
  <si>
    <t>Out of the Blue</t>
  </si>
  <si>
    <t>What Remains of Edith Finch</t>
  </si>
  <si>
    <t>Shenmue III</t>
  </si>
  <si>
    <t>Ys Net</t>
  </si>
  <si>
    <t>Crying Suns</t>
  </si>
  <si>
    <t>Alt Shift</t>
  </si>
  <si>
    <t>Dlala Studios</t>
  </si>
  <si>
    <t>Space Channel 5 VR Kinda Funky News Flash!</t>
  </si>
  <si>
    <t>Hitman 3</t>
  </si>
  <si>
    <t>Scott Pilgrim vs. The World: The Game - Complete Edition</t>
  </si>
  <si>
    <t>Scott Pilgrim</t>
  </si>
  <si>
    <t>Brave Battle Saga: The Legend of the Magic Warrior</t>
  </si>
  <si>
    <t>Hakai Ou: King of Crusher</t>
  </si>
  <si>
    <t>FAB Communications</t>
  </si>
  <si>
    <t>Nanatsu no Hikan: Senritsu no Bishō</t>
  </si>
  <si>
    <t>Ore ga Omae o Mamoru</t>
  </si>
  <si>
    <t>Vingt-et-un Systems</t>
  </si>
  <si>
    <t>Remote Control Dandy</t>
  </si>
  <si>
    <t>Takt of Magic</t>
  </si>
  <si>
    <t>Super Stardust Delta</t>
  </si>
  <si>
    <t>Stardust</t>
  </si>
  <si>
    <t>Commodore Amiga</t>
  </si>
  <si>
    <t>Bloodhouse</t>
  </si>
  <si>
    <t>Super Stardust</t>
  </si>
  <si>
    <t>Super Stardust Portable</t>
  </si>
  <si>
    <t>It Came from the Desert</t>
  </si>
  <si>
    <t>Cinemaware</t>
  </si>
  <si>
    <t>Moonstone: A Hard Days Knight</t>
  </si>
  <si>
    <t>Rob Anderson</t>
  </si>
  <si>
    <t>Gods</t>
  </si>
  <si>
    <t>Jay and Silent Bob: Mall Brawl</t>
  </si>
  <si>
    <t>The Media Indie Exchange</t>
  </si>
  <si>
    <t>Interabang Entertainment</t>
  </si>
  <si>
    <t>Jay and Silent Bob</t>
  </si>
  <si>
    <t>Laser Lords</t>
  </si>
  <si>
    <t>Spinnaker Software Corporation</t>
  </si>
  <si>
    <t>The Nightmare of Druaga: Fushigi no Dungeon</t>
  </si>
  <si>
    <t>Akira</t>
  </si>
  <si>
    <t>Sludge Life</t>
  </si>
  <si>
    <t>Terri Vellmann &amp; Doseone</t>
  </si>
  <si>
    <t>Heavy Metal: Geomatrix</t>
  </si>
  <si>
    <t>Heavy Metal</t>
  </si>
  <si>
    <t>Hell: A Cyberpunk Thriller</t>
  </si>
  <si>
    <t>GameTek</t>
  </si>
  <si>
    <t>Hired Guns</t>
  </si>
  <si>
    <t>Immercenary</t>
  </si>
  <si>
    <t>Five Miles Out</t>
  </si>
  <si>
    <t>Interphase</t>
  </si>
  <si>
    <t>Image Works</t>
  </si>
  <si>
    <t>The Assembly Line</t>
  </si>
  <si>
    <t>Hammerfist</t>
  </si>
  <si>
    <t>Vivid Image</t>
  </si>
  <si>
    <t>Drowned God: Conspiracy of the Ages</t>
  </si>
  <si>
    <t>Inscape</t>
  </si>
  <si>
    <t>Epic Multimedia Group</t>
  </si>
  <si>
    <t>Extase</t>
  </si>
  <si>
    <t>Virgin Mastetronic</t>
  </si>
  <si>
    <t>Cryo</t>
  </si>
  <si>
    <t>Angel Devoid: Face of the Enemy</t>
  </si>
  <si>
    <t>Electric Dreams</t>
  </si>
  <si>
    <t>Crusader: No Regret</t>
  </si>
  <si>
    <t>Crusader</t>
  </si>
  <si>
    <t>Project: Snowblind</t>
  </si>
  <si>
    <t>Quarantine</t>
  </si>
  <si>
    <t>Imagexcel</t>
  </si>
  <si>
    <t>Raid 2020</t>
  </si>
  <si>
    <t>Color Dreams</t>
  </si>
  <si>
    <t>Ripper</t>
  </si>
  <si>
    <t>Skyhammer</t>
  </si>
  <si>
    <t>Songbird Productions</t>
  </si>
  <si>
    <t>G-Police</t>
  </si>
  <si>
    <t>Stolen</t>
  </si>
  <si>
    <t>Hip Games</t>
  </si>
  <si>
    <t>Blue 52</t>
  </si>
  <si>
    <t>Suspended: A Cryogenic Nightmare</t>
  </si>
  <si>
    <t>System Rush</t>
  </si>
  <si>
    <t>Nokia</t>
  </si>
  <si>
    <t>Ideaworks Game Studio</t>
  </si>
  <si>
    <t>William Shatner's TekWar</t>
  </si>
  <si>
    <t>Capstone Software</t>
  </si>
  <si>
    <t>Wirehead</t>
  </si>
  <si>
    <t>The Code Monkeys</t>
  </si>
  <si>
    <t>Zero Divide</t>
  </si>
  <si>
    <t>Neuro</t>
  </si>
  <si>
    <t>Russobit-M</t>
  </si>
  <si>
    <t>Revolt Games</t>
  </si>
  <si>
    <t>Neuro Hunter</t>
  </si>
  <si>
    <t>Media Art</t>
  </si>
  <si>
    <t>Nightlong: Union City Conspiracy</t>
  </si>
  <si>
    <t>Trecision</t>
  </si>
  <si>
    <t>Normality</t>
  </si>
  <si>
    <t>Osman</t>
  </si>
  <si>
    <t>Mitchell Corporation</t>
  </si>
  <si>
    <t>Paradise Cracked</t>
  </si>
  <si>
    <t>Buka Entertainment</t>
  </si>
  <si>
    <t>MiST Land South</t>
  </si>
  <si>
    <t>Predator: Concrete Jungle</t>
  </si>
  <si>
    <t>Predator</t>
  </si>
  <si>
    <t>Zoku: The Legend of Bishin</t>
  </si>
  <si>
    <t>Magifact</t>
  </si>
  <si>
    <t>Captive</t>
  </si>
  <si>
    <t>Liberation: Captive 2</t>
  </si>
  <si>
    <t>Byte Engineers</t>
  </si>
  <si>
    <t>Codename: Tenka</t>
  </si>
  <si>
    <t>Harvest Moon 3D: The Tale of Two Towns</t>
  </si>
  <si>
    <t>Puyo Puyo Tetris</t>
  </si>
  <si>
    <t>Commando: Steel Disaster</t>
  </si>
  <si>
    <t>Lexicon Entertainment</t>
  </si>
  <si>
    <t>Mana Computer Software</t>
  </si>
  <si>
    <t>One Piece</t>
  </si>
  <si>
    <t>One Piece: Pirate Warriors 3</t>
  </si>
  <si>
    <t>The Surge 2</t>
  </si>
  <si>
    <t>New Gundam Breaker</t>
  </si>
  <si>
    <t>Warriors All-Stars</t>
  </si>
  <si>
    <t>Harvest Moon 3D: A New Beginning</t>
  </si>
  <si>
    <t>Mario Tennis Open</t>
  </si>
  <si>
    <t>Metal Slug XX</t>
  </si>
  <si>
    <t>Kessen</t>
  </si>
  <si>
    <t>Kessen II</t>
  </si>
  <si>
    <t>Kessen III</t>
  </si>
  <si>
    <t>Resident Evil Village</t>
  </si>
  <si>
    <t>NieR Replicant ver.1.22474487139…</t>
  </si>
  <si>
    <t>Toylogic</t>
  </si>
  <si>
    <t>Shadow of Destiny</t>
  </si>
  <si>
    <t>10.000 Bullets</t>
  </si>
  <si>
    <t>Blue Moon Studio</t>
  </si>
  <si>
    <t>The Red Star</t>
  </si>
  <si>
    <t>The Sword of Etheria</t>
  </si>
  <si>
    <t>The Getaway</t>
  </si>
  <si>
    <t>Team Soho</t>
  </si>
  <si>
    <t>The Getaway: Black Monday</t>
  </si>
  <si>
    <t>London Studio</t>
  </si>
  <si>
    <t>Gangs of London</t>
  </si>
  <si>
    <t>Way of the Samurai 2</t>
  </si>
  <si>
    <t>Drakan: Order of the Flame</t>
  </si>
  <si>
    <t>Drakan</t>
  </si>
  <si>
    <t>Drakan: The Ancients' Gates</t>
  </si>
  <si>
    <t>Genji: Dawn of the Samurai</t>
  </si>
  <si>
    <t>Kya: Dark Lineage</t>
  </si>
  <si>
    <t>Robot Alchemic Drive</t>
  </si>
  <si>
    <t>Battle Engine Aquila</t>
  </si>
  <si>
    <t>Lost Toys</t>
  </si>
  <si>
    <t>S.L.A.I.: Steel Lancer Arena International</t>
  </si>
  <si>
    <t>Gungriffon Blaze</t>
  </si>
  <si>
    <t>SkyGunner</t>
  </si>
  <si>
    <t>PixelArts</t>
  </si>
  <si>
    <t>Headhunter</t>
  </si>
  <si>
    <t>Amuze</t>
  </si>
  <si>
    <t>Headhunter: Redemption</t>
  </si>
  <si>
    <t>Urban Chaos: Riot Response</t>
  </si>
  <si>
    <t>Cold Winter</t>
  </si>
  <si>
    <t>Bujingai: The Forsaken City</t>
  </si>
  <si>
    <t>Aliens Versus Predator: Extinction</t>
  </si>
  <si>
    <t>Zono</t>
  </si>
  <si>
    <t>Genji</t>
  </si>
  <si>
    <t>Tukoni</t>
  </si>
  <si>
    <t>Oksana Bula, Alexey Furman</t>
  </si>
  <si>
    <t>Oksana Bula, Alexey Furman, Alexey Sysoiev</t>
  </si>
  <si>
    <t>King Arthur: Knight's Tale</t>
  </si>
  <si>
    <t>Atelier Ryza 2: Lost Legends &amp; the Secret Fairy</t>
  </si>
  <si>
    <t>2 Games in 1 Double Pack: Finding Nemo / Monsters, Inc.</t>
  </si>
  <si>
    <t>Kirby: Planet Robobot</t>
  </si>
  <si>
    <t>Killer Queen Black</t>
  </si>
  <si>
    <t>BumbleBear Games</t>
  </si>
  <si>
    <t>Killer Queen</t>
  </si>
  <si>
    <t>Way of the Samurai 3</t>
  </si>
  <si>
    <t>Way of the Samurai 4</t>
  </si>
  <si>
    <t>Namco Museum</t>
  </si>
  <si>
    <t>Mass Media</t>
  </si>
  <si>
    <t>BioShock: The Collection</t>
  </si>
  <si>
    <t>Blind Squirrel Games</t>
  </si>
  <si>
    <t>The Medium</t>
  </si>
  <si>
    <t>Spinch</t>
  </si>
  <si>
    <t>Queen Bee Games</t>
  </si>
  <si>
    <t>Flight School Studio</t>
  </si>
  <si>
    <t>Ys IX: Monstrum Nox</t>
  </si>
  <si>
    <t>Pact Edition</t>
  </si>
  <si>
    <t>Creature in the Well</t>
  </si>
  <si>
    <t>Concrete Genie</t>
  </si>
  <si>
    <t>Pixelopus</t>
  </si>
  <si>
    <t>Angry Video Game Nerd Adventures</t>
  </si>
  <si>
    <t>Screenwave Media</t>
  </si>
  <si>
    <t>Angry Video Game Nerd</t>
  </si>
  <si>
    <t>Angry Video Game Nerd II: ASSimilation</t>
  </si>
  <si>
    <t>Rain of Reflections: Set Free</t>
  </si>
  <si>
    <t>Lionbite Games</t>
  </si>
  <si>
    <t>Rain of Reflections</t>
  </si>
  <si>
    <t>Steins;Gate</t>
  </si>
  <si>
    <t>Final Fantasy XIV: A Realm Reborn</t>
  </si>
  <si>
    <t>Final Fantasy XIV: Heavensward</t>
  </si>
  <si>
    <t>Final Fantasy XIV: Stormblood</t>
  </si>
  <si>
    <t>Final Fantasy XIV: Shadowbringers</t>
  </si>
  <si>
    <t>Square Enix Creative Business Unit III</t>
  </si>
  <si>
    <t>Final Fantasy XI Online</t>
  </si>
  <si>
    <t>Nikopol: Secrets of the Immortals</t>
  </si>
  <si>
    <t>White Noise Online</t>
  </si>
  <si>
    <t>Dokuro</t>
  </si>
  <si>
    <t>Damascus Gear: Operation Tokyo</t>
  </si>
  <si>
    <t>Damascus Gear: Operation Osaka</t>
  </si>
  <si>
    <t>Banner of the Maid</t>
  </si>
  <si>
    <t>Damascus Gear</t>
  </si>
  <si>
    <t>Got Game Entertainment</t>
  </si>
  <si>
    <t>Whtie Birds Productions</t>
  </si>
  <si>
    <t>CE-Asia</t>
  </si>
  <si>
    <t>Azure Flame Studio</t>
  </si>
  <si>
    <t>Mario Golf: World Tour</t>
  </si>
  <si>
    <t>Gal*Gun Returns</t>
  </si>
  <si>
    <t>The Lord of the Rings: Adventure Card Game</t>
  </si>
  <si>
    <t>Asmodee Digital</t>
  </si>
  <si>
    <t>Antihero Studios</t>
  </si>
  <si>
    <t>Return of the Obra Dinn</t>
  </si>
  <si>
    <t>3909</t>
  </si>
  <si>
    <t>Lucas Pope</t>
  </si>
  <si>
    <t>Super Mario 3D World + Bowser's Fury</t>
  </si>
  <si>
    <t>Lost Dimension</t>
  </si>
  <si>
    <t>Lancarse</t>
  </si>
  <si>
    <t>Sorcery Saga: Curse of the Great Curry God</t>
  </si>
  <si>
    <t>Madō Monogatari</t>
  </si>
  <si>
    <t>Streets of Fury EX</t>
  </si>
  <si>
    <t>Guard Crush</t>
  </si>
  <si>
    <t>MMORPG</t>
  </si>
  <si>
    <t>Digimon Story Cyber Sleuth: Complete Edition</t>
  </si>
  <si>
    <t>Azur Lane: Crosswave</t>
  </si>
  <si>
    <t>Azur Lane</t>
  </si>
  <si>
    <t>The Mummy Demastered</t>
  </si>
  <si>
    <t>The Mummy</t>
  </si>
  <si>
    <t>Ion Fury</t>
  </si>
  <si>
    <t>Voidpoint</t>
  </si>
  <si>
    <t>Risk of Rain 2</t>
  </si>
  <si>
    <t>Nexomon: Extinction</t>
  </si>
  <si>
    <t>VEWO Interactive</t>
  </si>
  <si>
    <t>Persona 5 Strikers</t>
  </si>
  <si>
    <t>Nexomon</t>
  </si>
  <si>
    <t>Hiveswap: Act 2</t>
  </si>
  <si>
    <t>Blacksad: Under the Skin</t>
  </si>
  <si>
    <t>Microids</t>
  </si>
  <si>
    <t>Reventure</t>
  </si>
  <si>
    <t>Pixelatto</t>
  </si>
  <si>
    <t>Half Past Fate</t>
  </si>
  <si>
    <t>Way Down Deep</t>
  </si>
  <si>
    <t>Ghosts 'n Goblins Resurrection</t>
  </si>
  <si>
    <t>The Caligula Effect: Overdose</t>
  </si>
  <si>
    <t>Historia</t>
  </si>
  <si>
    <t>The Caligula Effect</t>
  </si>
  <si>
    <t>Famicom Detective Club: The Missing Heir</t>
  </si>
  <si>
    <t>Famicom Detective Club</t>
  </si>
  <si>
    <t>Famicom Detective Club: The Girl Who Stands Behind</t>
  </si>
  <si>
    <t>Bravely Default II</t>
  </si>
  <si>
    <t>Claytechworks</t>
  </si>
  <si>
    <t>Monster Hunter Freedom</t>
  </si>
  <si>
    <t>Monster Hunter Freedom 2</t>
  </si>
  <si>
    <t>Monster Hunter Freedom Unite</t>
  </si>
  <si>
    <t>Monster Hunter Generations Ultimate</t>
  </si>
  <si>
    <t>Ageless</t>
  </si>
  <si>
    <t>One More Dream Studios</t>
  </si>
  <si>
    <t>Wildfire</t>
  </si>
  <si>
    <t>Sneaky Bastards</t>
  </si>
  <si>
    <t>Cyber Hook</t>
  </si>
  <si>
    <t>Blazing Stick</t>
  </si>
  <si>
    <t>Peaky Blinders: Mastermind</t>
  </si>
  <si>
    <t>Peaky Blinders</t>
  </si>
  <si>
    <t>Hotshot Racing</t>
  </si>
  <si>
    <t>Kingdom: Two Crowns</t>
  </si>
  <si>
    <t>Stumpy🐙Squid</t>
  </si>
  <si>
    <t>ELEX</t>
  </si>
  <si>
    <t>Maquette</t>
  </si>
  <si>
    <t>Graceful Decay</t>
  </si>
  <si>
    <t>Farpoint</t>
  </si>
  <si>
    <t>Impulse Gear</t>
  </si>
  <si>
    <t>Hellpoint</t>
  </si>
  <si>
    <t>Neptunia Virtual Stars</t>
  </si>
  <si>
    <t>Cradle Games</t>
  </si>
  <si>
    <t>Mario Sports Superstars</t>
  </si>
  <si>
    <t>Game Creation</t>
  </si>
  <si>
    <t>Infinite Undiscovery</t>
  </si>
  <si>
    <t>Tri-Ace</t>
  </si>
  <si>
    <t>Phantasy Star Universe</t>
  </si>
  <si>
    <t>White Knight Chronicles: Origins</t>
  </si>
  <si>
    <t>Play Novel: Silent Hill</t>
  </si>
  <si>
    <t>Shiki Eiyuuden</t>
  </si>
  <si>
    <t>Outrigger Koubou</t>
  </si>
  <si>
    <t>Soul Sacrifice Delta</t>
  </si>
  <si>
    <t>Natural Doctrine</t>
  </si>
  <si>
    <t>Saviors of Sapphire Wings / Stranger of Sword City Revisited</t>
  </si>
  <si>
    <t>Saviors of Sapphire Wings</t>
  </si>
  <si>
    <t>Devotion</t>
  </si>
  <si>
    <t>Monster Hunter 4 Ultimate</t>
  </si>
  <si>
    <t>Star Ocean: First Departure R</t>
  </si>
  <si>
    <t>Battle Hunter</t>
  </si>
  <si>
    <t>River King: A Wonderful Journey</t>
  </si>
  <si>
    <t>Legend of the River King</t>
  </si>
  <si>
    <t>Astro Bot Rescue Mission</t>
  </si>
  <si>
    <t>Paper Beast</t>
  </si>
  <si>
    <t>Pixel Reef</t>
  </si>
  <si>
    <t>Rez Infinite</t>
  </si>
  <si>
    <t>Enhance Games</t>
  </si>
  <si>
    <t>Balan Wonderworld</t>
  </si>
  <si>
    <t>Monster Hunter Rise</t>
  </si>
  <si>
    <t>Fist of the North Star: Lost Paradise</t>
  </si>
  <si>
    <t>PlayStation Hits</t>
  </si>
  <si>
    <t>PowerSlave</t>
  </si>
  <si>
    <t>Lobotomy Software</t>
  </si>
  <si>
    <t>Mansion of Hidden Souls</t>
  </si>
  <si>
    <t>System Sacom</t>
  </si>
  <si>
    <t>Lunacy</t>
  </si>
  <si>
    <t>River City: Knights of Justice</t>
  </si>
  <si>
    <t>Avit-Niigata</t>
  </si>
  <si>
    <t>River City: Tokyo Rumble</t>
  </si>
  <si>
    <t>Black Knight Sword</t>
  </si>
  <si>
    <t>rain</t>
  </si>
  <si>
    <t>The House of the Dead 4</t>
  </si>
  <si>
    <t>MotorStorm: RC</t>
  </si>
  <si>
    <t>MotorStorm: Arctic Edge</t>
  </si>
  <si>
    <t>Samurai Warriors: Chronicles 3</t>
  </si>
  <si>
    <t>Neon Genesis Evangelion: Shito Ikusei</t>
  </si>
  <si>
    <t>Soft Machine</t>
  </si>
  <si>
    <t>Neon Genesis Evengelion</t>
  </si>
  <si>
    <t>JoJo no Kimyou na Bouken: Ougon no Kaze</t>
  </si>
  <si>
    <t>Pokémon Super Mystery Dungeon</t>
  </si>
  <si>
    <t>Fast Racing League</t>
  </si>
  <si>
    <t>Jett Rocket</t>
  </si>
  <si>
    <t>Before I Forget</t>
  </si>
  <si>
    <t>3-Fold Games</t>
  </si>
  <si>
    <t>Mizzurna Falls</t>
  </si>
  <si>
    <t>Rhythm Thief &amp; the Emperor's Treasure</t>
  </si>
  <si>
    <t>ModNation Racers: Road Trip</t>
  </si>
  <si>
    <t>San Diego Studios</t>
  </si>
  <si>
    <t>ModNation Racers</t>
  </si>
  <si>
    <t>Attack on Titan: Humanity in Chains</t>
  </si>
  <si>
    <t>Attack on Titan</t>
  </si>
  <si>
    <t>Delisted</t>
  </si>
  <si>
    <t>Oddworld: Soulstorm</t>
  </si>
  <si>
    <t>Zombie Army 4: Dead War</t>
  </si>
  <si>
    <t>Skully</t>
  </si>
  <si>
    <t>Finish Line Games</t>
  </si>
  <si>
    <t>Colt Canyon</t>
  </si>
  <si>
    <t>Retrific</t>
  </si>
  <si>
    <t>Simulacra 2</t>
  </si>
  <si>
    <t>Kaigan Games</t>
  </si>
  <si>
    <t>In Other Waters</t>
  </si>
  <si>
    <t>Jump Over the Age</t>
  </si>
  <si>
    <t>Remothered: Broken Porcelain</t>
  </si>
  <si>
    <t>Rock of Ages III: Make &amp; Break</t>
  </si>
  <si>
    <t>CI Games</t>
  </si>
  <si>
    <t>Sniper: Ghost Warrior Contracts</t>
  </si>
  <si>
    <t>Borderlands 2 VR</t>
  </si>
  <si>
    <t>Job Simulator</t>
  </si>
  <si>
    <t>Sairento VR</t>
  </si>
  <si>
    <t>Mixed Realms Pte Ltd</t>
  </si>
  <si>
    <t>Espire 1: VR Operative</t>
  </si>
  <si>
    <t>Digital Lode</t>
  </si>
  <si>
    <t>Surgeon Simulator: Experience Reality</t>
  </si>
  <si>
    <t>Detached</t>
  </si>
  <si>
    <t>Anshar Studios</t>
  </si>
  <si>
    <t>Vendor</t>
  </si>
  <si>
    <t>Ordered Date</t>
  </si>
  <si>
    <t>Price</t>
  </si>
  <si>
    <t>Metroid Prime 4</t>
  </si>
  <si>
    <t>Elden Ring</t>
  </si>
  <si>
    <t>No More Heroes III</t>
  </si>
  <si>
    <t>Coffee Talk</t>
  </si>
  <si>
    <t>Tales of Arise</t>
  </si>
  <si>
    <t>Scarlet Nexus</t>
  </si>
  <si>
    <t>New Pokémon Snap</t>
  </si>
  <si>
    <t>Cris Tales</t>
  </si>
  <si>
    <t>Mighty Gunvolt Burst</t>
  </si>
  <si>
    <t>Samurai Jack: Battle Through Time</t>
  </si>
  <si>
    <t>Disgaea 6: Defiance of Destiny</t>
  </si>
  <si>
    <t>Poison Control</t>
  </si>
  <si>
    <t>Halo Infinite</t>
  </si>
  <si>
    <t>Returnal</t>
  </si>
  <si>
    <t>R-Type Final 2</t>
  </si>
  <si>
    <t>Atelier Mysterious Trilogy Deluxe Pack</t>
  </si>
  <si>
    <t>Ratchet &amp; Clank: Rift Apart</t>
  </si>
  <si>
    <t>Guilty Gear Strive</t>
  </si>
  <si>
    <t>The Legend of Zelda: Skyward Sword HD</t>
  </si>
  <si>
    <t>Mario Golf: Super Rush</t>
  </si>
  <si>
    <t>Miitopia</t>
  </si>
  <si>
    <t>World's End Club</t>
  </si>
  <si>
    <t>Afterparty</t>
  </si>
  <si>
    <t>Bloodstained: Curse of the Moon 2</t>
  </si>
  <si>
    <t>Raiden IV x MIKADO remix</t>
  </si>
  <si>
    <t>Pokémon Brilliant Diamond</t>
  </si>
  <si>
    <t>SaGa Frontier Remastered</t>
  </si>
  <si>
    <t>Ninja Gaiden: Master Collection</t>
  </si>
  <si>
    <t>The Silver Case 2425</t>
  </si>
  <si>
    <t>Prinny Presents NIS Classics Volume 1: Phantom Brave: The Hermuda Triangle Remastered / Soul Nomad &amp; the World Eaters</t>
  </si>
  <si>
    <t>Pokémon Legends: Arceus</t>
  </si>
  <si>
    <t>Wonder Boy: Asha in Monster World</t>
  </si>
  <si>
    <t>Kaze and the Wild Masks</t>
  </si>
  <si>
    <t>Revenge of the Bird King</t>
  </si>
  <si>
    <t>M7 Games</t>
  </si>
  <si>
    <t>Hot Shots Golf: World Invitational</t>
  </si>
  <si>
    <t>Chaos;Child</t>
  </si>
  <si>
    <t>Penny Punching Princess</t>
  </si>
  <si>
    <t>Game</t>
  </si>
  <si>
    <t>Release</t>
  </si>
  <si>
    <t>Collection</t>
  </si>
  <si>
    <t>#</t>
  </si>
  <si>
    <t>Date</t>
  </si>
  <si>
    <t>Play Time</t>
  </si>
  <si>
    <t>Emulated</t>
  </si>
  <si>
    <t>Critic Score</t>
  </si>
  <si>
    <t>Dual-Joystick Shooter</t>
  </si>
  <si>
    <t>Twisted Pixel</t>
  </si>
  <si>
    <t>Mega Interprise</t>
  </si>
  <si>
    <t>Flight Simulator</t>
  </si>
  <si>
    <t>Space Shooter</t>
  </si>
  <si>
    <t>Wii</t>
  </si>
  <si>
    <t>Takumi</t>
  </si>
  <si>
    <t>Cipher Prime</t>
  </si>
  <si>
    <t>Eikichi Kawasaki</t>
  </si>
  <si>
    <t>Acclaim</t>
  </si>
  <si>
    <t>8ing</t>
  </si>
  <si>
    <t>Turbo-Grafx 16</t>
  </si>
  <si>
    <t>Visco</t>
  </si>
  <si>
    <t>Adam the Otaku</t>
  </si>
  <si>
    <t>Max</t>
  </si>
  <si>
    <t>Block Building</t>
  </si>
  <si>
    <t>Superbrothers</t>
  </si>
  <si>
    <t>Sword &amp; Sworcery</t>
  </si>
  <si>
    <t>Bulkypix</t>
  </si>
  <si>
    <t>Péndulo Studios</t>
  </si>
  <si>
    <t>Nobilis</t>
  </si>
  <si>
    <t>Reverb Communications</t>
  </si>
  <si>
    <t>Tales of Monkey Island Chapter 1: Launch of the Screaming Narwhal</t>
  </si>
  <si>
    <t>SouthEnd Interactive</t>
  </si>
  <si>
    <t>Coil</t>
  </si>
  <si>
    <t>Sidhe Interactive</t>
  </si>
  <si>
    <t>Sigma Team</t>
  </si>
  <si>
    <t>Sam &amp; Max 101: Culture Shock</t>
  </si>
  <si>
    <t>Tales of Monkey Island Chapter 2: The Siege of Spinner Cay</t>
  </si>
  <si>
    <t>phr00t</t>
  </si>
  <si>
    <t>Hassey Interprises</t>
  </si>
  <si>
    <t>Whiptail Interactive</t>
  </si>
  <si>
    <t>Mighty</t>
  </si>
  <si>
    <t>Team17 Software</t>
  </si>
  <si>
    <t>Tales of Monkey Island Chapter 3: Lair of the Leviathan</t>
  </si>
  <si>
    <t>Tales of Monkey Island Chapter 4: The Trial and Execution of Guybrush Threepwood</t>
  </si>
  <si>
    <t>Tales of Monkey Island Chapter 5: Rise of the Pirate God</t>
  </si>
  <si>
    <t>Ed Key &amp; David Kanaga</t>
  </si>
  <si>
    <t>Strong Bad's Cool Game for Attractive People Episode 1: Homestar Ruiner</t>
  </si>
  <si>
    <t>Strong Bad</t>
  </si>
  <si>
    <t>Mike Bithell</t>
  </si>
  <si>
    <t>Mikolaj “Sos” Kaminski</t>
  </si>
  <si>
    <t>Bootdisk Revolution</t>
  </si>
  <si>
    <t>Jochum Skoglund &amp; Niklas Myrberg</t>
  </si>
  <si>
    <t>KochMedia</t>
  </si>
  <si>
    <t>Blitz Games Studios</t>
  </si>
  <si>
    <t>Yager Development</t>
  </si>
  <si>
    <t>The Fullbright Company</t>
  </si>
  <si>
    <t>Octodad</t>
  </si>
  <si>
    <t>TT Games</t>
  </si>
  <si>
    <t>Neocore Games</t>
  </si>
  <si>
    <t>Lord of the Rings</t>
  </si>
  <si>
    <t>EightyEight Games</t>
  </si>
  <si>
    <t>Moonshot Interactive</t>
  </si>
  <si>
    <t>Miniboss</t>
  </si>
  <si>
    <t>Circle Entertainment</t>
  </si>
  <si>
    <t>Yotsubane</t>
  </si>
  <si>
    <t>Lili</t>
  </si>
  <si>
    <t>Super Time Force</t>
  </si>
  <si>
    <t xml:space="preserve">Mario von Rickenbach &amp; Michael Frei </t>
  </si>
  <si>
    <t>CD Projekt RED</t>
  </si>
  <si>
    <t>Square Enix Montréal</t>
  </si>
  <si>
    <t xml:space="preserve">Grand Theft Auto V </t>
  </si>
  <si>
    <t>Warner Bros. Games Montreal</t>
  </si>
  <si>
    <t>Halo: Combat Evolved Anniversary</t>
  </si>
  <si>
    <t>2/92/2008</t>
  </si>
  <si>
    <t>Command &amp; Conquer: Remastered</t>
  </si>
  <si>
    <t>Halo 2: Anniversary</t>
  </si>
  <si>
    <t>Final Fantasy X HD Remaster</t>
  </si>
  <si>
    <t>Final Fantasy X-2 HD Remaster</t>
  </si>
  <si>
    <t>It's clear there's a film director behind this game. Cinematography was clearly intentional. Actual gameplay is a bit stilted in spots, and the game's story can be oddly paced with a not entirely interesting or unique wrap-up.</t>
  </si>
  <si>
    <t>Graphics and music are the stars of this show. Sadly this re-release is plagued with bugs, degrading the online coop experience, but it's still a solid brawler.</t>
  </si>
  <si>
    <t>Open-ended and creative levels with tons of interesting and unique methods to dispatch your targets. The game is a bit short, and rough around the edges in spots, but is still largely delightful.</t>
  </si>
  <si>
    <t>The thrilling conclusion to the Utawarerumono series, with less filler than its predecessor. The story reaches a satisfying conclusion, but not really any evolution on the gameplay.</t>
  </si>
  <si>
    <t>An extremely faithful homage to Ninja Gaiden. Perhaps, in some ways, too faithful. Knockback in 2021? No thank you. Some stage designs felt unfair, but altogether a fun game.</t>
  </si>
  <si>
    <t>Some great ideas on display here, with mixed execution. Would have liked to see a better conclusion to the story, and perhaps some more interesting usages of the dual world mechanics.</t>
  </si>
  <si>
    <t>The most comfy and chill RPG I've ever played. The battle system is a little weak, but the crafting system is robust and intriguing to explore. The story being more low-stakes was a welcome departure from typical JRPGs, and the characters were all engaging.</t>
  </si>
  <si>
    <t>While the game is excellent on PC, and the port here is well done, I just couldn't enjoy playing such a hectic shooter with a controller.</t>
  </si>
  <si>
    <t>Wonky control scheme, but some interesting levels. Nothing particularly mindblowing, but entertaining enough.</t>
  </si>
  <si>
    <t>An achievement of a game. It's amazing how far this has come since its launch, and it's clear how much love and craftsmenship has been poured into refining the game's relaunch. This is the time that it took me to complete the final mission of the base game.</t>
  </si>
  <si>
    <t>Excellent coop experience. Each boss is a unique and exciting challenge. Run and gun sections are less interesting.</t>
  </si>
  <si>
    <t>The story is only getting better with Heavensward, and the gameplay is fleshing out more and more. Excited to continue through with Stormblood and Shadowbringers to see how much more complex the mechanics get and how much deeper the story gets. This is the time that it took me to complete the A Realm Reborn post-story quests, along with the main quests of Heavensward.</t>
  </si>
  <si>
    <t>Stormblood's story is a step down from Heavensward--less focused and feels sidetracked from the overarching plot. The gameplay still holds up, with continuously deepening mechanics and more and more exciting abilities. This is the time it took me to complete the Heavensward post-story quests, along with the main quests of Stormblood.</t>
  </si>
  <si>
    <t>Capcom Produciton Studio 4</t>
  </si>
  <si>
    <t>Holds up remarkably well. I'd last played this on the GameCube prior to recording detailed info in my spreadsheet, when I rated it a 100%. I don't think this game is a perfect game anymore, but it's still definitely one of the best of the series. Its goofiness can be a bit much, and some enemies are serious sponges, but it's otherwise a blast.</t>
  </si>
  <si>
    <t>This absolutely lived up to the hype. The story that has been building up since A Realm Reborn reaches incredible heights in Shadowbringers, and the gameplay continues to layer. It's amazing how even after nearly 250 hours of content, there is still more to learn. This is the time it took me to complete the Stormblood post-story qeusts, along with the main quests of Shadowbringers.</t>
  </si>
  <si>
    <t>This game is basically more of the same, coming from Atelier Ryza, but with better quality of life features and some cooler ways to craft items. I found myself getting more into the crafting mechanics, and I enjoyed some of the slight changes to the battle system, such as not requiring you to manually level up your tactics. Comfy game!</t>
  </si>
  <si>
    <t>This game rapidly has become one of my favorite roguelikes. It's amazing how each run can have such build variability. It never feels like a death is cheap, even if your run has been screwed by randomness--it's easy enough to just hop into another one. This completion was the time it took for me to reach my first clear of the game on normal difficulty with no modifiers, where I stayed alive for the majority of the game (52 minutes out of a 54 minute session).</t>
  </si>
  <si>
    <t>Curses 'N Chaos</t>
  </si>
  <si>
    <t>Heart of Enya</t>
  </si>
  <si>
    <t>Team Bapy</t>
  </si>
  <si>
    <t>Chex Quest HD</t>
  </si>
  <si>
    <t>General Mills</t>
  </si>
  <si>
    <t>Team Chex Quest HD</t>
  </si>
  <si>
    <t>Samsara Room</t>
  </si>
  <si>
    <t>Epic Battle Fantasy 3</t>
  </si>
  <si>
    <t>NaissanceE</t>
  </si>
  <si>
    <t>Limasse Five</t>
  </si>
  <si>
    <t>Graceful Explosion Machine</t>
  </si>
  <si>
    <t>Vertex Pop</t>
  </si>
  <si>
    <t>Power of the Hired</t>
  </si>
  <si>
    <t>Ihatovo Monogatari</t>
  </si>
  <si>
    <t>G.O.D: Mezame yoto Yobu Koe ga Kikoe</t>
  </si>
  <si>
    <t>Arcturus: The Curse and Loss of Divinity</t>
  </si>
  <si>
    <t>KO</t>
  </si>
  <si>
    <t>Falcom</t>
  </si>
  <si>
    <t>Gravity</t>
  </si>
  <si>
    <t>It's astounding how well this game has adapted Persona to a different genre. The game is truly wonderful, despite some flaws (enemies do a lot of damage, boss fights can be a bit repetitious when spamming spells a boss is weak to, depth is lost in the translation to a new genre). Seeing these characters again was a delight.</t>
  </si>
  <si>
    <t>Toukiden 2</t>
  </si>
  <si>
    <t>Tales of the Heroes: Twin Brave</t>
  </si>
  <si>
    <t>Dengeki Gakuen RPG: Cross of Venus</t>
  </si>
  <si>
    <t>ASCII Media Works</t>
  </si>
  <si>
    <t>Pegasus Japan</t>
  </si>
  <si>
    <t>Namco Super Wars</t>
  </si>
  <si>
    <t>Aggelos</t>
  </si>
  <si>
    <t>Tracking #</t>
  </si>
  <si>
    <t>Chaos;Head</t>
  </si>
  <si>
    <t>Nitroplus</t>
  </si>
  <si>
    <t>Tears to Tiara</t>
  </si>
  <si>
    <t>Leaf</t>
  </si>
  <si>
    <t>Toge Productions</t>
  </si>
  <si>
    <t>Dungeon Hunter: Alliance</t>
  </si>
  <si>
    <t>Gameloft Montreal</t>
  </si>
  <si>
    <t>Dungeon Hunter</t>
  </si>
  <si>
    <t>Contaminated Edition</t>
  </si>
  <si>
    <t>Metal Gear Solid: Snake Eater 3D</t>
  </si>
  <si>
    <t>Soleil</t>
  </si>
  <si>
    <t>Samurai Jack</t>
  </si>
  <si>
    <t>Clap Hanz</t>
  </si>
  <si>
    <t>Hot Shots Golf</t>
  </si>
  <si>
    <t>Stranglehold</t>
  </si>
  <si>
    <t>Midway Chicago</t>
  </si>
  <si>
    <t>PixelJunk SideScroller</t>
  </si>
  <si>
    <t>This is a challenging game to assign a "rating" to. It's clear that this game has depth beyond anything I could experience in a reasonable amount of time, and it's clear that there is much to enjoy here, however the game lacks modern tweaks that would make this a more enjoyable experience. The biggest problem is that the game does not respect the player's time--even with massive EXP boosts and Trust NPCs, it can take hours to accomplish even simple tasks. Small mistakes can cost time, and it's impossible to play this game without a guide. I'm glad to have experienced this game, but I don't think I could recommend it to others. This is the time it took me to clear all of the Bastok missions, which was my starting nation.</t>
  </si>
  <si>
    <t>Iris and the Giant</t>
  </si>
  <si>
    <t>Goblinz Publishing</t>
  </si>
  <si>
    <t>Louis Rigaud</t>
  </si>
  <si>
    <t>Under Night In-Birth Exe:Late</t>
  </si>
  <si>
    <t>Mugen Souls Z</t>
  </si>
  <si>
    <t>Legend of Kay Anniversary</t>
  </si>
  <si>
    <t>Under Night In-Birth</t>
  </si>
  <si>
    <t>Mugen Souls</t>
  </si>
  <si>
    <t>Kaiko</t>
  </si>
  <si>
    <t>Legend of Kay</t>
  </si>
  <si>
    <t>Sanuk Games</t>
  </si>
  <si>
    <t>Tales from Space: About a Blob</t>
  </si>
  <si>
    <t>PixelJunk Racers 2nd Lap</t>
  </si>
  <si>
    <t>Gravity Crash Ultra</t>
  </si>
  <si>
    <t>Trash Panic</t>
  </si>
  <si>
    <t>Comet Crash</t>
  </si>
  <si>
    <t>Pelfast</t>
  </si>
  <si>
    <t>Surge Deluxe</t>
  </si>
  <si>
    <t>Piyotama</t>
  </si>
  <si>
    <t>Blade Dancer: Lineage of Light</t>
  </si>
  <si>
    <t>Dual Hearts</t>
  </si>
  <si>
    <t>Tsugunai: Atonement</t>
  </si>
  <si>
    <t>Sky Odyssey</t>
  </si>
  <si>
    <t>Cross</t>
  </si>
  <si>
    <t>Philosoma</t>
  </si>
  <si>
    <t>Dark Mist</t>
  </si>
  <si>
    <t>Mystic Pillars</t>
  </si>
  <si>
    <t>Holy Cow Productions</t>
  </si>
  <si>
    <t>Shin Megami Tensei: Devil Survivor 2 - Record Breaker</t>
  </si>
  <si>
    <t>Rival Schools: United By Fate</t>
  </si>
  <si>
    <t>Rival Schools</t>
  </si>
  <si>
    <t>Project Justice</t>
  </si>
  <si>
    <t>Wide Ocean Big Jacket</t>
  </si>
  <si>
    <t>Tender Claws</t>
  </si>
  <si>
    <t>Turnfollow</t>
  </si>
  <si>
    <t>Outriders</t>
  </si>
  <si>
    <t>Outriders is a game which clearly has a lot of potential, but squanders it in several ways. The story is weak and takes itself overly seriously. The world tier progression system is interesting, but in practice the difficulty is all over the place. One encounter could be easy, while the next is impossibly difficult. The game does have some enjoyable looting &amp; shooting, but it's marred with these problems along with technical issues left &amp; right.</t>
  </si>
  <si>
    <t>This is a weird one. The game is fairly solid, albeit pretty easy and a tad repetitive, with some decently fun hack-and-slash style action RPG gameplay going on, but the story takes some really unexpected turns. Some of the things that the main characters were supporting made me uneasy, like some strange "welfare queen" type stuff in the game's first act, and supporting an authoritarian regime in the latter third. Overall, enjoyable game, but felt like it was partially a right wing hit job.</t>
  </si>
  <si>
    <t>Yaiba: Ninja Gaiden Z</t>
  </si>
  <si>
    <t>Metal Gear Survive</t>
  </si>
  <si>
    <t>One Piece: Unlimited World Red</t>
  </si>
  <si>
    <t>BlitWorks</t>
  </si>
  <si>
    <t>Professor Layton and the Azran Legacy</t>
  </si>
  <si>
    <t>Shin Megami Tensei: Devil Survivor - Overclocked</t>
  </si>
  <si>
    <t>Inaugural Flight Edition</t>
  </si>
  <si>
    <t>TumbleSeed</t>
  </si>
  <si>
    <t>aeiowu</t>
  </si>
  <si>
    <t>Limited Run Games (not officially released)</t>
  </si>
  <si>
    <t>America's Greatest Game Shows: Wheel of Fortune &amp; Jeopardy</t>
  </si>
  <si>
    <t>Battlefield V</t>
  </si>
  <si>
    <t>This shooter has charm, but what it lacks is variety. It felt like playing the same stage 40 times over, with mildly different stage design. Would've like to see this as an actual scrolling shooter with levels versus looping levels where you need to kill all of the enemies. Overall, forgetable, though competently made.</t>
  </si>
  <si>
    <t>It's always enjoyable (or at least ineresting) when a storied franchise dips into different genres, and Snap is no exception. I never played the original back on the Nintendo 64, but if it's anything like this one then I'm sure it's solid as well. I think that there is a lack of serious depth which prevents it from scoring higher, but it's still a welcome diversion from more traditional gaming experiences.</t>
  </si>
  <si>
    <t>UFO Interactive</t>
  </si>
  <si>
    <t>Zombie Revenge</t>
  </si>
  <si>
    <t>Kabus 22</t>
  </si>
  <si>
    <t>Vestel</t>
  </si>
  <si>
    <t>Son Işık Ltd.</t>
  </si>
  <si>
    <t>Yakuza Fury</t>
  </si>
  <si>
    <t>505 Game Street</t>
  </si>
  <si>
    <t>Dolphin Blue</t>
  </si>
  <si>
    <t>Aqua Kitty</t>
  </si>
  <si>
    <t>Frankly, I don't think I enjoyed this game as much as I remembered I'd enjoyed it the first time around. That's not to say that this game isn't a blast--it absolutely is--but there can be some spots where depth perception creates a frustrating experience. It can be challenging to aim for a specific spot to land, causing some deaths which feel unfair. Other than this issue, however, the game is excellent, and Bowser's Fury is an amazing addition.</t>
  </si>
  <si>
    <t>Mass Effect Legendary Edition</t>
  </si>
  <si>
    <t>Boring.</t>
  </si>
  <si>
    <t>Another excellent entry in the Resident Evil series. Capcom has really found its stride with this franchise, and it's exciting to see what new directions each game takes the series in.</t>
  </si>
  <si>
    <t>Shin Megami Tensei III: Nocturne HD Remaster</t>
  </si>
  <si>
    <t>PixelHive</t>
  </si>
  <si>
    <t>Electronic Super Joy 2</t>
  </si>
  <si>
    <t>Severed Press</t>
  </si>
  <si>
    <t>Too Kyo Games</t>
  </si>
  <si>
    <t>Monkey Craft</t>
  </si>
  <si>
    <t>Deluxe Edition</t>
  </si>
  <si>
    <t>Astro Aqua Kitty</t>
  </si>
  <si>
    <t>Space Invaders: Invincible Collection</t>
  </si>
  <si>
    <t>Gotch Technology</t>
  </si>
  <si>
    <t>Disjunction</t>
  </si>
  <si>
    <t>Ape Tribe Games</t>
  </si>
  <si>
    <t>Sold Out</t>
  </si>
  <si>
    <t>Going Under</t>
  </si>
  <si>
    <t>Aggro Crab</t>
  </si>
  <si>
    <t>Panzer Paladin</t>
  </si>
  <si>
    <t>Ikenfell</t>
  </si>
  <si>
    <t>Happy Ray Games</t>
  </si>
  <si>
    <t>Neptunia re★Verse</t>
  </si>
  <si>
    <t>Had a blast playing this game, but getting to the final ending was fairly repetitive due to minor differences between each ending. Lots of tedium with not much payoff, however the core game is excellent enough to make up for this grind.</t>
  </si>
  <si>
    <t>This is a hard one. The game has a solid storyline with interesting characters and believable twists and turns. The 3D models are gorgeous, looking hand animated and crisp. The problem with the game is that it's challenging to choose the correct dialogue choice or action to trigger the plot to advance. At times I found myself looping through the same dialogue options three or more times. One time, the game even required me to choose the "quit game" option to advance the plot! If it weren't as tedious to find the correct choice, this game would certainly score higher marks.</t>
  </si>
  <si>
    <t>Bullets</t>
  </si>
  <si>
    <t>DLC</t>
  </si>
  <si>
    <t>Final Fantasy VII Remake Episode INTERmission</t>
  </si>
  <si>
    <t>Demon Throttle</t>
  </si>
  <si>
    <t>Monster Hunter Stories 2: Wings of Ruin</t>
  </si>
  <si>
    <t>The Great Ace Attorney Chronicles</t>
  </si>
  <si>
    <t>Neo Geo Pocket Color Selection Vol. 1</t>
  </si>
  <si>
    <t>Castlevania Anniversary Collection</t>
  </si>
  <si>
    <t>Seven Samurai 20XX</t>
  </si>
  <si>
    <t>Nano Breaker</t>
  </si>
  <si>
    <t>It Takes Two</t>
  </si>
  <si>
    <t>WarioWare: Get It Together!</t>
  </si>
  <si>
    <t>Metroid Dread</t>
  </si>
  <si>
    <t>Advance Wars 1+2: Re-Boot Camp</t>
  </si>
  <si>
    <t>Super Street Fighter IV: 3D Edition</t>
  </si>
  <si>
    <t>Blue Fire</t>
  </si>
  <si>
    <t>ROBI Studios</t>
  </si>
  <si>
    <t>Hell is Other Demons</t>
  </si>
  <si>
    <t>Kongregate</t>
  </si>
  <si>
    <t>Cuddle Monster Games</t>
  </si>
  <si>
    <t>Absolute Drift</t>
  </si>
  <si>
    <t>Funselektor Labs</t>
  </si>
  <si>
    <t>Graze Counter</t>
  </si>
  <si>
    <t>Henteko Doujin</t>
  </si>
  <si>
    <t>Bikkuri Software</t>
  </si>
  <si>
    <t>Chocobo's Mystery Dungeon EVERY BUDDY!</t>
  </si>
  <si>
    <t>I found this game to be an absolute joy. It has a charming story, likeable characters, and an interesting world. The battle system being more programmatic rather than direct input is unique and something that I found myself really enjoying. It was a ton of fun to try and find the perfect Gambits to make fights a breeze.</t>
  </si>
  <si>
    <t>Alternate Jake Hunter - Daedalus: The Awakening of Golden Jazz</t>
  </si>
  <si>
    <t>Neilo</t>
  </si>
  <si>
    <t>I do like that Square Enix tried to experiment with the Final Fantasy series (and to flesh out the Final Fantasy mythos more), and this isn't an outright bad game, but it's definitely not a great game either. The shooting can be a little clunky and the weapon customization doesn't feel super impactful, with many of the stats &amp; custom tidbits going unexplained (I was never really sure what weapon weight was and why it mattered).</t>
  </si>
  <si>
    <t>Afrika</t>
  </si>
  <si>
    <t>Bladestorm: The Hundred Years' War</t>
  </si>
  <si>
    <t>Cross Edge</t>
  </si>
  <si>
    <t>Folklore</t>
  </si>
  <si>
    <t>Genji: Days of the Blade</t>
  </si>
  <si>
    <t>MindJack</t>
  </si>
  <si>
    <t>Puppeteer</t>
  </si>
  <si>
    <t>Sengoku Basara: Samurai Heroes</t>
  </si>
  <si>
    <t>Tears to Tiara II: Heir of the Overlord</t>
  </si>
  <si>
    <t>Trinity: Souls of Zill O'll</t>
  </si>
  <si>
    <t>Watchmen: The End is Nigh - The Complete Experience</t>
  </si>
  <si>
    <t>Wheelman</t>
  </si>
  <si>
    <t>Dynasty Warriors: Gundam Reborn</t>
  </si>
  <si>
    <t>One Piece: Pirate Warriors</t>
  </si>
  <si>
    <t>One Piece: Pirate Warriors 2</t>
  </si>
  <si>
    <t>OneeChanbara Z ~ Kagura ~ With NoNoNo!</t>
  </si>
  <si>
    <t>Sengoku Basara 4</t>
  </si>
  <si>
    <t>Battle Princess of Arcadias</t>
  </si>
  <si>
    <t>echochrome ii</t>
  </si>
  <si>
    <t>The Last Guy</t>
  </si>
  <si>
    <t>Legasista</t>
  </si>
  <si>
    <t>Lumines Supernova</t>
  </si>
  <si>
    <t>Savage Moon</t>
  </si>
  <si>
    <t>Rhino Studios</t>
  </si>
  <si>
    <t>Bladestorm</t>
  </si>
  <si>
    <t>Watchmen</t>
  </si>
  <si>
    <t>echochrome</t>
  </si>
  <si>
    <t>Bleach: Soul Resurrección</t>
  </si>
  <si>
    <t>Zill O'll</t>
  </si>
  <si>
    <t>Deadline Games</t>
  </si>
  <si>
    <t>Tigon Studios</t>
  </si>
  <si>
    <t>Alchemist</t>
  </si>
  <si>
    <t>Musō Orochi Z</t>
  </si>
  <si>
    <t>ApolloSoft</t>
  </si>
  <si>
    <t>System Prisma</t>
  </si>
  <si>
    <t>FluffyLogic</t>
  </si>
  <si>
    <t>This game is a complete blast! It's like playing through a Pixar movie. Each detail in the game is well-crafted, and the game doesn't feel like it drags at any point. Sony proves that they're continuously excellent at these focused single-player experiences.</t>
  </si>
  <si>
    <t>Senran Kagura 2: Deep Crimson</t>
  </si>
  <si>
    <t>Spirit Camera: The Cursed Memoir</t>
  </si>
  <si>
    <t>Story of Seasons: Trio of Towns</t>
  </si>
  <si>
    <t>BoxBoxBoy!</t>
  </si>
  <si>
    <t>Crashmo</t>
  </si>
  <si>
    <t>Fire Emblem Fates: Revelation</t>
  </si>
  <si>
    <t>HarmoKnight</t>
  </si>
  <si>
    <t>IronFall: Invasion</t>
  </si>
  <si>
    <t>Jett Rocket II: The Wrath of Taikai</t>
  </si>
  <si>
    <t>Mario and Donkey Kong: Minis on the Move</t>
  </si>
  <si>
    <t>Picross e</t>
  </si>
  <si>
    <t>Picross e2</t>
  </si>
  <si>
    <t>Picross e3</t>
  </si>
  <si>
    <t>Picross e4</t>
  </si>
  <si>
    <t>Picross e5</t>
  </si>
  <si>
    <t>Picross e6</t>
  </si>
  <si>
    <t>Picross e7</t>
  </si>
  <si>
    <t>Picross e8</t>
  </si>
  <si>
    <t>Rhythm Heaven Megamix</t>
  </si>
  <si>
    <t>Stretchmo</t>
  </si>
  <si>
    <t>Weapon Shop de Omasse</t>
  </si>
  <si>
    <t>Dead or Alive: Dimensions</t>
  </si>
  <si>
    <t>Dream Trigger 3D</t>
  </si>
  <si>
    <t>Yo-kai Watch</t>
  </si>
  <si>
    <t>Yo-kai Watch 2: Psychic Specters</t>
  </si>
  <si>
    <t>Yo-kai Watch 3</t>
  </si>
  <si>
    <t>Yo-kai Watch Blasters: Red Cat Corps</t>
  </si>
  <si>
    <t>Fast Racing Neo</t>
  </si>
  <si>
    <t>Mario vs. Donkey Kong: Tipping Stars</t>
  </si>
  <si>
    <t>Nano Assault Neo</t>
  </si>
  <si>
    <t>Senran Kagura</t>
  </si>
  <si>
    <t>Dead or Alive</t>
  </si>
  <si>
    <t>BoxBoy!</t>
  </si>
  <si>
    <t>Bye-Bye BoxBoy!</t>
  </si>
  <si>
    <t>Bugs vs. Tanks!</t>
  </si>
  <si>
    <t>VD-dev</t>
  </si>
  <si>
    <t>Picross</t>
  </si>
  <si>
    <t>Velez &amp; Dubail</t>
  </si>
  <si>
    <t>Picross DS</t>
  </si>
  <si>
    <t>Dillon's Dead-Heat Breakers</t>
  </si>
  <si>
    <t>Chibi-Robo! Photo Finder</t>
  </si>
  <si>
    <t>Dillon's Rolling Western: The Last Ranger</t>
  </si>
  <si>
    <t>Transference</t>
  </si>
  <si>
    <t>Umbrella Corps</t>
  </si>
  <si>
    <t>The Land of Pain</t>
  </si>
  <si>
    <t>White Day VR: Courage Test</t>
  </si>
  <si>
    <t>White Day</t>
  </si>
  <si>
    <t>Alessandro Guzzo</t>
  </si>
  <si>
    <t>Sonnori Corp</t>
  </si>
  <si>
    <t>Maybe I'm more used to the way this series plays, but this one felt much more polished and well-paced than its predecessor. Yes, there are still frustrating moments where you're trying every possible command, but they're more far and few between--it's more often clear what the next command should be. I also felt that the game did a better job about restricting your dialogue options to realistic choices, making it less tedious to go through the entire list if you don't know how to progress. Regardless, enjoyed this one and definitely would recommend this one over The Missing Heir if someone is to just play one.</t>
  </si>
  <si>
    <t>Unrelenting Edition</t>
  </si>
  <si>
    <t>When a game is good it's a joy to play, and when a game is bad it can still be fun to play because of its absurdity, or to revel in its badness. When a game is just mediocre, you're falling asleep at the keyboard / controller, which was entirely the case with Dead Space 3. Even playing it coop couldn't save it, it was still a snoozefest from start to finish.</t>
  </si>
  <si>
    <t>Anthem is the epitome of squandered potential. The game is gorgeous and flying is generally fun, but it's bogged down by an absolute lack of quality loot, boring gameplay loop, soulless world, wacky pacing, and forced multiplayer. The game's campaign is a nightmare in terms of pacing due to multiple instances where I was required to run around the open world just hoping I'd get the random event needed to finish the mission I was on. This game isn't offensively bad, but it is a huge disappointment coming from BioWare.</t>
  </si>
  <si>
    <t>Alex Kidd in Miracle World DX</t>
  </si>
  <si>
    <t>Jankenteam</t>
  </si>
  <si>
    <t>Beautiful Katamari</t>
  </si>
  <si>
    <t>Chromehounds</t>
  </si>
  <si>
    <t>Earth Defense Force 2017</t>
  </si>
  <si>
    <t>Far Cry Instincts: Predator</t>
  </si>
  <si>
    <t>Comic Jumper</t>
  </si>
  <si>
    <t>Hydro Thunder Hurricane</t>
  </si>
  <si>
    <t>Vector Unit</t>
  </si>
  <si>
    <t>Hydro Thunder</t>
  </si>
  <si>
    <t>A Rose in the Twilight</t>
  </si>
  <si>
    <t>Boot Hill Heroes</t>
  </si>
  <si>
    <t>Experimental Gamer Studios</t>
  </si>
  <si>
    <t>Scar of the Doll</t>
  </si>
  <si>
    <t>Child-Dream</t>
  </si>
  <si>
    <t>The Note</t>
  </si>
  <si>
    <t>SunSoft</t>
  </si>
  <si>
    <t>Team Bughouse</t>
  </si>
  <si>
    <t>Super Robot Taisen GC</t>
  </si>
  <si>
    <t>Starfire</t>
  </si>
  <si>
    <t>NEC PC-9801</t>
  </si>
  <si>
    <t>Innsmouth no Yakata</t>
  </si>
  <si>
    <t>Be Top</t>
  </si>
  <si>
    <t>Woof. This is a great looking remaster, but its greatness is entirely surface level. The game controls like Alex Kidd is permanently sliding on ice, and jumps are almost impossible to handle precisely with how floaty it controls. Enemy placement is unfair, boss battles are random rock-paper-scissors (cool in concept, but in execution totally unfair), level design is dated to say the least. If they had actually improved on this game rather than faithfully recreating its old-school design philosophy, then this would have been a much better game. Truly impossible to play without the infinite lives option.</t>
  </si>
  <si>
    <t>Post Void</t>
  </si>
  <si>
    <t>YCJY Games</t>
  </si>
  <si>
    <t>The Dishwasher: Dead Samurai</t>
  </si>
  <si>
    <t>The Dishwasher</t>
  </si>
  <si>
    <t>Ecsaform</t>
  </si>
  <si>
    <t>Bandai Visual</t>
  </si>
  <si>
    <t>Tokyo Dungeon</t>
  </si>
  <si>
    <t>Kadokawa</t>
  </si>
  <si>
    <t>Marubeni</t>
  </si>
  <si>
    <t>Illusion City: Gen'ei Toshi</t>
  </si>
  <si>
    <t>Star Cruiser</t>
  </si>
  <si>
    <t>Arsys Software</t>
  </si>
  <si>
    <t>Volfoss</t>
  </si>
  <si>
    <t>This game has all the style of a classic Nintendo 64 collect-a-thon, but its execution makes it a pale imitation of the greats from that era. The physics based traversal can create some fun scenarios, but the controls often feel like the true enemy as opposed to the level design. Dying and wiping out collected items feels like cheap difficulty. I'd have prefered a more forgiving checkpoint system, as well as more refined controls.</t>
  </si>
  <si>
    <t>This game is exactly the kind of thing that I like to see out of a retro "refresh" type game. It's a fairly well designed Metroidvania, with some cool power-ups and interesting split side-scrolling and top-down sections. I do think that the boss design is a little weak, as most of them go down pretty rapidly, and I'd also say that some of the on-foot side-scrolling sections feel a little janky in terms of controls (I swear I was holding up to get onto that ladder). Overall, solid game, and excited to check out the rest of the Blaster Master series.</t>
  </si>
  <si>
    <t>Dance Dance Revolution: Mario Mix</t>
  </si>
  <si>
    <t>I thought this was another pretty novel take on the Final Fantasy series. Overall, a solid game, but definitely has some rough edges. I found it particularly tricky to micromanage units, which was required in some trickier parts of the game. Additionally, even with completing a large swath of the side missions, I was underleveled for most of the latter half of the game, requiring several hours of level grinding to even stand a chance in the final chapters. Despite these flaws, a good game.</t>
  </si>
  <si>
    <t>Tantalus</t>
  </si>
  <si>
    <t>This game has definitely aged. It's pretty janky, pretty cheesy, and not all that scary as a result. Still has a fairly interesting story, that somewhat fell apart towards the end. Worth a play for fans of survival horror, but otherwise wouldn't recommend.</t>
  </si>
  <si>
    <t>Just an all around boring game. Played mainly solo, and it's just a generic third person shooter with some pretty punishing difficulty if you're not actively grinding up your character and gear. Story is lifeless, gameplay is repetitive. It also started up in windowed mode every time I booted the game which was super annoying.</t>
  </si>
  <si>
    <t>Unreal</t>
  </si>
  <si>
    <t>Unreal II: The Awakening</t>
  </si>
  <si>
    <t>Viviette</t>
  </si>
  <si>
    <t>The Shore</t>
  </si>
  <si>
    <t>Ares Dragonis</t>
  </si>
  <si>
    <t>Gone Golfing</t>
  </si>
  <si>
    <t>Icehelm</t>
  </si>
  <si>
    <t>Dreams Uncorporated</t>
  </si>
  <si>
    <t>Akiba's Trip: Hellbound &amp; Debriefed</t>
  </si>
  <si>
    <t>Blaster Master Zero 3</t>
  </si>
  <si>
    <t>Russian Subway Dogs</t>
  </si>
  <si>
    <t>BlayzBloo: Super Melee Brawlers Battle Royale</t>
  </si>
  <si>
    <t>Neo: The World Ends With You</t>
  </si>
  <si>
    <t>Shin Megami Tensei V</t>
  </si>
  <si>
    <t>Monark</t>
  </si>
  <si>
    <t>The Legend of Nayuta: Boundless Trails</t>
  </si>
  <si>
    <t>The Legend of Heroes: Trails Into Reverie</t>
  </si>
  <si>
    <t>The Caligula Effect 2</t>
  </si>
  <si>
    <t>Maskmaker</t>
  </si>
  <si>
    <t>MWM Interactive</t>
  </si>
  <si>
    <t>InnerspaceVR</t>
  </si>
  <si>
    <t>…Iru!</t>
  </si>
  <si>
    <t>Blood: The Last Vampire</t>
  </si>
  <si>
    <t>Elm Knight</t>
  </si>
  <si>
    <t>Kinetica</t>
  </si>
  <si>
    <t>Santa Monica Studio</t>
  </si>
  <si>
    <t>Blood+: One Night Kiss</t>
  </si>
  <si>
    <t>Digimon Survive</t>
  </si>
  <si>
    <t>Dragon Star Varnir</t>
  </si>
  <si>
    <t>Fuga: Melodies of Steel</t>
  </si>
  <si>
    <t>Little Tail Bronx</t>
  </si>
  <si>
    <t>EarthBound Beginnings</t>
  </si>
  <si>
    <t>English of the Dead</t>
  </si>
  <si>
    <t>Project Hacker: Kakusei</t>
  </si>
  <si>
    <t>Chaos Rings</t>
  </si>
  <si>
    <t>Crime Crackers</t>
  </si>
  <si>
    <t>Metamorphosis</t>
  </si>
  <si>
    <t>All in! Games</t>
  </si>
  <si>
    <t>Ovid Works</t>
  </si>
  <si>
    <t>English</t>
  </si>
  <si>
    <t>Xak: The Art of Visual Stage</t>
  </si>
  <si>
    <t>Xak II: Rising of the Redmoon</t>
  </si>
  <si>
    <t>Xak: The Tower of Gazzel</t>
  </si>
  <si>
    <t>Xak III: The Eternal Recurrence</t>
  </si>
  <si>
    <t>NEC</t>
  </si>
  <si>
    <t>Ganbare Goemon: Uchū Kaizoku Akogingu</t>
  </si>
  <si>
    <t>BS Fire Emblem: Archanea Senki-hen</t>
  </si>
  <si>
    <t>The Witch and the Hundred Knight</t>
  </si>
  <si>
    <t>The Witch and the Hundred Knight: Revival Edition</t>
  </si>
  <si>
    <t>Aidyn Chronicles: The First Mage</t>
  </si>
  <si>
    <t>H2O Entertainment</t>
  </si>
  <si>
    <t>Assault Suits Valken 2</t>
  </si>
  <si>
    <t>Assault Suits Valken</t>
  </si>
  <si>
    <t>Matterfall</t>
  </si>
  <si>
    <t>Chaos Rings III</t>
  </si>
  <si>
    <t>Robotech: The Macross Saga HD Edition</t>
  </si>
  <si>
    <t>GPC Games</t>
  </si>
  <si>
    <t>Lucky Chicken Games</t>
  </si>
  <si>
    <t>Robotech</t>
  </si>
  <si>
    <t>Gnosia</t>
  </si>
  <si>
    <t>Petit Depot</t>
  </si>
  <si>
    <t>Kowloon High-School Chronicle</t>
  </si>
  <si>
    <t>Tokyo Majin Gakuen Denki</t>
  </si>
  <si>
    <t>Necrobarista</t>
  </si>
  <si>
    <t>Route 59</t>
  </si>
  <si>
    <t>I really wanted to like this game because everything about it is stylish and slick, but it unfortunately did not land for me at all. I didn't find the characters interesting, and it often felt like the writers were trying much too hard with the different characters' mannerisms. The overarching story was low stakes and felt more like a bunch of vignettes, which weren't particularly interesting individually or altogether. The story segments were bridged with this first person exploration, but it was horrendous to control it with a touch screen, and the game performed like total ass. It was outright unplayable on my iPhone X and I wasn't even able to finish the game until I got an iPhone 12. Avoid.</t>
  </si>
  <si>
    <t>Alba: A Wildlife Adventure</t>
  </si>
  <si>
    <t>A Monster's Expedition</t>
  </si>
  <si>
    <t>Beyond Blue</t>
  </si>
  <si>
    <t>Bleak Sword</t>
  </si>
  <si>
    <t>Creaks</t>
  </si>
  <si>
    <t>Exit the Gungeon</t>
  </si>
  <si>
    <t>Fantasian</t>
  </si>
  <si>
    <t>Inmost</t>
  </si>
  <si>
    <t>The Last Campfire</t>
  </si>
  <si>
    <t>LEGO Builder's Journey</t>
  </si>
  <si>
    <t>Little Orpheus</t>
  </si>
  <si>
    <t>Manifold Garden</t>
  </si>
  <si>
    <t>Neversong</t>
  </si>
  <si>
    <t>Next Stop Nowhere</t>
  </si>
  <si>
    <t>NUTS</t>
  </si>
  <si>
    <t>Oceanhorn 2: Knights of the Lost Realm</t>
  </si>
  <si>
    <t>Sneaky Sasquatch</t>
  </si>
  <si>
    <t>South of the Circle</t>
  </si>
  <si>
    <t>Spyder</t>
  </si>
  <si>
    <t>Stela</t>
  </si>
  <si>
    <t>Takeshi and Hiroshi</t>
  </si>
  <si>
    <t>Yaga</t>
  </si>
  <si>
    <t>Draknek Limited</t>
  </si>
  <si>
    <t>more8bit</t>
  </si>
  <si>
    <t>Hidden Layer Games</t>
  </si>
  <si>
    <t>The LEGO Group</t>
  </si>
  <si>
    <t>William Chyr Studio</t>
  </si>
  <si>
    <t>Noodlecake Studios</t>
  </si>
  <si>
    <t>RAC7</t>
  </si>
  <si>
    <t>State of Play</t>
  </si>
  <si>
    <t>SkyBox Labs</t>
  </si>
  <si>
    <t>Oink Games</t>
  </si>
  <si>
    <t>Pokkén Tournament DX</t>
  </si>
  <si>
    <t>Medarot: Kuwagata Version</t>
  </si>
  <si>
    <t>Rainbow Cotton</t>
  </si>
  <si>
    <t>Jojo no Kimyou na Bouken: Phantom Blood</t>
  </si>
  <si>
    <t>Anchor</t>
  </si>
  <si>
    <t>Cozy Grove</t>
  </si>
  <si>
    <t>Spry Fox</t>
  </si>
  <si>
    <t>Reigns: Beyond</t>
  </si>
  <si>
    <t>Nerial</t>
  </si>
  <si>
    <t>Reigns</t>
  </si>
  <si>
    <t>The Collage Atlas</t>
  </si>
  <si>
    <t>Robot House Games</t>
  </si>
  <si>
    <t>Death Jr.</t>
  </si>
  <si>
    <t>Death Jr. II: Root of Evil</t>
  </si>
  <si>
    <t>Frontier Gate</t>
  </si>
  <si>
    <t>Frontier Gate Boost+</t>
  </si>
  <si>
    <t>Aconcagua</t>
  </si>
  <si>
    <t>Rising Zan: The Samurai Gunman</t>
  </si>
  <si>
    <t>UEP Systems</t>
  </si>
  <si>
    <t>Doctor Hauzer</t>
  </si>
  <si>
    <t>Chase: Cold Case Investigations ~Distant Memories~</t>
  </si>
  <si>
    <t>Overall a fairly enjoyable side story to Final Fantasy VII, though the gameplay is bogged down by the roulette DMW system, frequently breaking the pace of the gameplay with needlessly long animations. Other than this system, the game was a barebones action RPG, reasonably enjoyable gameplay systems.</t>
  </si>
  <si>
    <t>Escape from Bug Island</t>
  </si>
  <si>
    <t>Spike</t>
  </si>
  <si>
    <t>Aragami</t>
  </si>
  <si>
    <t>Lince Works</t>
  </si>
  <si>
    <t>ECHO</t>
  </si>
  <si>
    <t>ULTRA ULTRA</t>
  </si>
  <si>
    <t>Heat Signature</t>
  </si>
  <si>
    <t>Kitaria Fables</t>
  </si>
  <si>
    <t>Twin Hearts</t>
  </si>
  <si>
    <t>Solid coop game with a lot of unique set pieces. The story definitely falls flat and the characters aren't very likeable.</t>
  </si>
  <si>
    <t>Boring walking simulator with scripted jump scares. Barebones plot, no characterization. Contextless spooks.</t>
  </si>
  <si>
    <t>Mary Skelter: Finale</t>
  </si>
  <si>
    <t>Community Pom</t>
  </si>
  <si>
    <t>Fill-In Café</t>
  </si>
  <si>
    <t>Kurohyō: Ryū ga Gotoku Shinshō</t>
  </si>
  <si>
    <t>Ryū ga Gotoku Kenzan!</t>
  </si>
  <si>
    <t>New Entertainment R&amp;D Dept.</t>
  </si>
  <si>
    <t>Kurohyō 2: Ryū ga Gotoku Ashura hen</t>
  </si>
  <si>
    <t>Gensō Suikogaiden Volume 1: Swordsman of Harmonia</t>
  </si>
  <si>
    <t>Gensō Suikogaiden Volume 2: Duel at the Crystal Valley</t>
  </si>
  <si>
    <t>Gensō Suikoden: Tsumugareshi Hyakunen no Toki</t>
  </si>
  <si>
    <t>Gensō Suikoden Card Stories</t>
  </si>
  <si>
    <t>Will</t>
  </si>
  <si>
    <t>Get In the Car, Loser!</t>
  </si>
  <si>
    <t>Camp W</t>
  </si>
  <si>
    <t>Fatal Frame: Maiden of Black Water</t>
  </si>
  <si>
    <t>Play Asia</t>
  </si>
  <si>
    <t>Utawarerumono: Zan 2</t>
  </si>
  <si>
    <t>Undernauts: Labyrinth of Yomi</t>
  </si>
  <si>
    <t>Kena: Bridge of Spirits</t>
  </si>
  <si>
    <t>Chorus</t>
  </si>
  <si>
    <t>Stranger of Paradise: Final Fantasy Origin</t>
  </si>
  <si>
    <t>Atelier Sophie 2: The Alchemist of the Mysterious Dream</t>
  </si>
  <si>
    <t>Yurukill: The Calumniation Games</t>
  </si>
  <si>
    <t>The Legend of Heroes: Trails to Azure</t>
  </si>
  <si>
    <t>Blue Reflection: Second Light</t>
  </si>
  <si>
    <t>Triangle Strategy</t>
  </si>
  <si>
    <t>Kirby and the Forgotten Land</t>
  </si>
  <si>
    <t>Horizon: Forbidden West</t>
  </si>
  <si>
    <t>Mario Party Superstars</t>
  </si>
  <si>
    <t>Fushigi no Dungeon: Fuurai no Shiren 2 - Oni Shuurai! Shiren Jou!</t>
  </si>
  <si>
    <t>Pipo Saru 2001</t>
  </si>
  <si>
    <t>Mirrors</t>
  </si>
  <si>
    <t>NEC PC-8801</t>
  </si>
  <si>
    <t>Wing</t>
  </si>
  <si>
    <t>Metal Slader Glory</t>
  </si>
  <si>
    <t>In some ways, this was a step up. Streamlining the story, opening up the world, and some of the combat and Crystarium changes were appreciated as well. However, I didn't enjoy the monster training as much as growing a party of defined characters, and the story itself lost me in several places compared to the first game. I also felt like this game was easier than its predecessor, not requiring as much setup with Synergists and Saboteurs. Overall, though, still really enjoyed this one.</t>
  </si>
  <si>
    <t>Puyo Puyo 7</t>
  </si>
  <si>
    <t>Tiny Tina's Wonderlands</t>
  </si>
  <si>
    <t>Forza Horizon 5</t>
  </si>
  <si>
    <t>Dynasty Warriors 9</t>
  </si>
  <si>
    <t>Vader Immortal: Episode I</t>
  </si>
  <si>
    <t>Vader Immortal: Episode II</t>
  </si>
  <si>
    <t>Vader Immortal: Episode III</t>
  </si>
  <si>
    <t>Oculus Quest</t>
  </si>
  <si>
    <t>Disney Electronic Content</t>
  </si>
  <si>
    <t>ILMxLAB</t>
  </si>
  <si>
    <t>Oculus</t>
  </si>
  <si>
    <t>Game Builder Garage</t>
  </si>
  <si>
    <t>Monster Crown</t>
  </si>
  <si>
    <t>Marvel's Guardians of the Galaxy</t>
  </si>
  <si>
    <t>Call of Duty: Vanguard</t>
  </si>
  <si>
    <t>Neptunia x Senran Kagura: Ninja Wars</t>
  </si>
  <si>
    <t>In the running for one of the worst games I've ever played. A port of a PSP game and somehow has frame drops and skips on Switch. The graphics aren't good enough to warrant these drops, truly astounding. The gameplay is absolutely terrible. The controls make it difficult to pull off whatever moves you're trying to do, the camera is impossible to wrangle, fighting multiple enemies is an exercise in frustration. The cherry on top was that the game crashed as soon as I beat the final boss. Horrible horrible game.</t>
  </si>
  <si>
    <t>Banpresoft</t>
  </si>
  <si>
    <t>Super Robot Taisen: Original Generations</t>
  </si>
  <si>
    <t>Eastward</t>
  </si>
  <si>
    <t>Pixpil</t>
  </si>
  <si>
    <t>Gran Turismo 7</t>
  </si>
  <si>
    <t>Alwa's Collection</t>
  </si>
  <si>
    <t>The King of Fighters XV</t>
  </si>
  <si>
    <t>Rune Factory 5</t>
  </si>
  <si>
    <t>Vampire Rain: Altered Species</t>
  </si>
  <si>
    <t>Infected</t>
  </si>
  <si>
    <t>Dread is an excellent game. It definitely revives the 2D Metroid games of yore. The game is fast paced, areas are well designed and packed to the gills with secrets, bosses are just challenging enough, and the game doesn't overstay its welcome. Blast of a game, can't wait to see what this team does next.</t>
  </si>
  <si>
    <t>Danganronpa Decadence</t>
  </si>
  <si>
    <t>SnowRunner</t>
  </si>
  <si>
    <t>Dragon Quest 1+2+3 Collection</t>
  </si>
  <si>
    <t>The Dark Pictures Anthology: Little Hope</t>
  </si>
  <si>
    <t>The Dark Pictures Anthology: Man of Medan</t>
  </si>
  <si>
    <t>The Dark Pictures Anthology: House of Ashes</t>
  </si>
  <si>
    <t>Deathloop</t>
  </si>
  <si>
    <t>Loading Story</t>
  </si>
  <si>
    <t>Potatodog</t>
  </si>
  <si>
    <t>Dagon: by H.P. Lovecraft</t>
  </si>
  <si>
    <t>Bit Golem</t>
  </si>
  <si>
    <t>Back 4 Blood</t>
  </si>
  <si>
    <t>Turtle Rock Studios</t>
  </si>
  <si>
    <t>DARQ</t>
  </si>
  <si>
    <t>Unfold Games</t>
  </si>
  <si>
    <t>Gemini: Heroes Reborn</t>
  </si>
  <si>
    <t>Stardust Galaxy Warriors</t>
  </si>
  <si>
    <t>Cecconoid</t>
  </si>
  <si>
    <t>Copper Odyssey</t>
  </si>
  <si>
    <t>Phosphor Games</t>
  </si>
  <si>
    <t>Dreamloop Games</t>
  </si>
  <si>
    <t>Triple Eh? Ltd</t>
  </si>
  <si>
    <t>CAM</t>
  </si>
  <si>
    <t>Aliens: Fireteam Elite</t>
  </si>
  <si>
    <t>Cold Iron Studios</t>
  </si>
  <si>
    <t>Crystar</t>
  </si>
  <si>
    <t>Astria Ascending</t>
  </si>
  <si>
    <t>Virgo Versus The Zodiac</t>
  </si>
  <si>
    <t>Moonana</t>
  </si>
  <si>
    <t>Smile For Me</t>
  </si>
  <si>
    <t>LimboLane</t>
  </si>
  <si>
    <t>Day Lane, Yugo Limbo</t>
  </si>
  <si>
    <t>Maize</t>
  </si>
  <si>
    <t>NDCube</t>
  </si>
  <si>
    <t>Super Robot Wars 30</t>
  </si>
  <si>
    <t>Demon Gaze Extra</t>
  </si>
  <si>
    <t>Axiom Verge 1 &amp; 2 Double Pack</t>
  </si>
  <si>
    <t>Dusk Diver</t>
  </si>
  <si>
    <t>WANIN Games</t>
  </si>
  <si>
    <t>JFI Games</t>
  </si>
  <si>
    <t>Liberated</t>
  </si>
  <si>
    <t>Walkabout</t>
  </si>
  <si>
    <t>Atomic Wolf</t>
  </si>
  <si>
    <t>LEGO Star Wars: The Skywalker Saga</t>
  </si>
  <si>
    <t>Metallic Child</t>
  </si>
  <si>
    <t>Deathsmiles I &amp; II</t>
  </si>
  <si>
    <t>This iteration didn't justify itself as well as Far Cry 5, in my mind. Far Cry 5 felt more original with its setting &amp; tone, whereas this one brought it back to shooting generic brown people in some nondescript third-world country. The gameplay hasn't evolved too much, but is still enjoyable. Overall, a solid game, but a lifeless game in many senses.</t>
  </si>
  <si>
    <t>Möbius Front '83</t>
  </si>
  <si>
    <t>Wrath: Aeon of Ruin</t>
  </si>
  <si>
    <t>KillPixel</t>
  </si>
  <si>
    <t>Timelie</t>
  </si>
  <si>
    <t>Milk Bottle Studio</t>
  </si>
  <si>
    <t>Urnique Studio</t>
  </si>
  <si>
    <t>BPM: Bullets Per Minute</t>
  </si>
  <si>
    <t>Awe Interactive</t>
  </si>
  <si>
    <t>Project Wingman</t>
  </si>
  <si>
    <t>Sector D2</t>
  </si>
  <si>
    <t>House Flipper</t>
  </si>
  <si>
    <t>Frozen District</t>
  </si>
  <si>
    <t>Empyrean</t>
  </si>
  <si>
    <t>The Persistence</t>
  </si>
  <si>
    <t>Firesprite Ltd</t>
  </si>
  <si>
    <t>Until You Fall</t>
  </si>
  <si>
    <t>Turnip Boy Commits Tax Evasion</t>
  </si>
  <si>
    <t>Snoozy Kazoo</t>
  </si>
  <si>
    <t>The Terminator: Future Shock</t>
  </si>
  <si>
    <t>The Terminator</t>
  </si>
  <si>
    <t>Skynet</t>
  </si>
  <si>
    <t>Symbiocom</t>
  </si>
  <si>
    <t>Istvan Pely Productions</t>
  </si>
  <si>
    <t>Majestic</t>
  </si>
  <si>
    <t>Zero Critical</t>
  </si>
  <si>
    <t>Majestic Part I: Alien Encounter</t>
  </si>
  <si>
    <t>Piranha Interactive Publishing</t>
  </si>
  <si>
    <t>Protector</t>
  </si>
  <si>
    <t>Datastorm</t>
  </si>
  <si>
    <t>Studio Aurum</t>
  </si>
  <si>
    <t>Demon Turf</t>
  </si>
  <si>
    <t>Playtonic Friends</t>
  </si>
  <si>
    <t>Pac-Man Collection</t>
  </si>
  <si>
    <t>Game only</t>
  </si>
  <si>
    <t>Halo Wars: Definitive Edition</t>
  </si>
  <si>
    <t>PlayStation Move Ape Escape</t>
  </si>
  <si>
    <t>PlayStation Move Heroes</t>
  </si>
  <si>
    <t>Sorcery</t>
  </si>
  <si>
    <t>The Workshop</t>
  </si>
  <si>
    <t>Time Crisis: Razing Storm</t>
  </si>
  <si>
    <t>Time Crisis</t>
  </si>
  <si>
    <t>As far as Left 4 Dead clones go, this one is pretty solid. It's a bit generic, with samey environments and characters which are lacking in personality, but the overall gameplay is fun. And playing games with friends makes any game better.</t>
  </si>
  <si>
    <t>Wasteland 3</t>
  </si>
  <si>
    <t>Ary and the Secret of Seasons</t>
  </si>
  <si>
    <t>This one's a tricky one, because the game has so much charm that it _almost_ outweighs its negatives. The characters are absolutely wonderful, the art is amazing, the music is gorgeous, the game has some fun puzzles and great world design. However, the overarching story is lacking. It has a great setup, which is then marred by poor pacing, some nonsensical story beats, and a lack of any sort of conclusion for the majority of the story's setups. Additionally, while the moment to moment gameplay is fairly enjoyable, it does feel unfair when facing groups of enemies. However, despite these flaws, the game was still quite good, and I'm hopeful for what this team tackles next.</t>
  </si>
  <si>
    <t>Puyo Puyo Chronicle</t>
  </si>
  <si>
    <t>Unpacking</t>
  </si>
  <si>
    <t>A cute and short zen puzzle game. It's definitely adorable and it's interesting to see how the story can unfold without any words or characters, simply by unpacking their belongings. I think the experience was a bit short, but it may have worked in its favor as the novelty of the gameplay may have ran stale after a few hours. Overall, an enjoyable and memorable experience.</t>
  </si>
  <si>
    <t>Lost Judgment</t>
  </si>
  <si>
    <t>Demon Slayer: Kimetsu no Yaiba – The Hinokami Chronicles</t>
  </si>
  <si>
    <t>Demon Slayer: Kimetsu no Yaiba</t>
  </si>
  <si>
    <t>Samurai Warriors 5</t>
  </si>
  <si>
    <t>Playground Games</t>
  </si>
  <si>
    <t>Forza</t>
  </si>
  <si>
    <t>Blue Reflection</t>
  </si>
  <si>
    <t>Forza Horizon</t>
  </si>
  <si>
    <t>While it felt a bit stiffer than other Castlevania games I've played (at least of the Metroidvania variety), this one was still solid and definitely holds up well. I can see the roots that became the later Nintendo DS games, and it's clear that they have a winning formula. Had a blast with this one, could hardly put it down!</t>
  </si>
  <si>
    <t>SteamWorld Dig 2</t>
  </si>
  <si>
    <t>Forza Motorsport</t>
  </si>
  <si>
    <t>Forza Motorsport 2</t>
  </si>
  <si>
    <t>Forza Motorsport 3</t>
  </si>
  <si>
    <t>Forza Motorsport 4</t>
  </si>
  <si>
    <t>Turn 10 Studios</t>
  </si>
  <si>
    <t>Aerial_Knight's Never Yield</t>
  </si>
  <si>
    <t>Aerial_Knight</t>
  </si>
  <si>
    <t>Aurion: Legacy of the Kori-Odan</t>
  </si>
  <si>
    <t>Kiro'o Games</t>
  </si>
  <si>
    <t>Chrono Ghost</t>
  </si>
  <si>
    <t>NITETIME Studios</t>
  </si>
  <si>
    <t>Not a terrible RTS. The controls on PC are a bit awkward because it's clear this was developed with a controller in mind, so it would have been nice to have touched that up for PC. Some of the units are pretty obviously overpowered, and the campaign's story wasn't all that interesting, but it was fun as a coop campaign.</t>
  </si>
  <si>
    <t>Hair Nah</t>
  </si>
  <si>
    <t>SweetXHeart</t>
  </si>
  <si>
    <t>Catt Small</t>
  </si>
  <si>
    <t>Momo Pixel</t>
  </si>
  <si>
    <t>Steelbook Edition</t>
  </si>
  <si>
    <t>Heaven's Machine</t>
  </si>
  <si>
    <t>Really feels like Arkane has nailed this formula. Dishonored can feel a little bit like it's forcing you to play in a particular way, so having the time loop as a gameplay concept opens it up to a lot more experimentation. Had a blast looping around and killin' Eternalists. Great game.</t>
  </si>
  <si>
    <t>Short Peace: Ranko Tsukigime's Longest Day</t>
  </si>
  <si>
    <t>Hunter X Hunter: Kindan no Hihou</t>
  </si>
  <si>
    <t>Hunter X Hunter</t>
  </si>
  <si>
    <t>Fighting Fantasy: The Warlock of Firetop Mountain</t>
  </si>
  <si>
    <t>Big Blue Bubble</t>
  </si>
  <si>
    <t>Fighting Fantasy</t>
  </si>
  <si>
    <t>Spy Games: Elevator Mission</t>
  </si>
  <si>
    <t>Dreams Co., Ltd.</t>
  </si>
  <si>
    <t>Soldier of Fortune</t>
  </si>
  <si>
    <t>Soldier of Fortune II: Double Helix</t>
  </si>
  <si>
    <t>Soldier of Fortune: Payback</t>
  </si>
  <si>
    <t>Cauldron HQ</t>
  </si>
  <si>
    <t>Gingiva</t>
  </si>
  <si>
    <t>Middens</t>
  </si>
  <si>
    <t>Takamo</t>
  </si>
  <si>
    <t>Ueki no Hōsoku: Jingi Sakuretsu! Nōryokusha Battle</t>
  </si>
  <si>
    <t>Ueki no Hōsoku</t>
  </si>
  <si>
    <t>Evil Dead: Hail to the King</t>
  </si>
  <si>
    <t>Heavy Iron Studios</t>
  </si>
  <si>
    <t>Evil Dead</t>
  </si>
  <si>
    <t>Evil Dead: A Fistful of Boomstick</t>
  </si>
  <si>
    <t>VIS Entertainment</t>
  </si>
  <si>
    <t>Evil Dead: Regeneration</t>
  </si>
  <si>
    <t>I'd expected the GBA Castlevania games to all feel very similar, but this is not the case. This game is quite different from Circle of the Moon, and really feels much more like a Symphony of the Night inspired game than the former. I enjoyed its departure from the card-based system of its predecessor, and focus on more straightforward whip-slinging gameplay. Its music is a bit weak and the map is challenging to traverse due to its dual castle nature, but otherwise it's a solid Dracula slayin' adventure.</t>
  </si>
  <si>
    <t>Ju-On: The Grudge</t>
  </si>
  <si>
    <t>Ju-On</t>
  </si>
  <si>
    <t>The Forgotten City</t>
  </si>
  <si>
    <t>Dear  Villagers</t>
  </si>
  <si>
    <t>Modern Storyteller</t>
  </si>
  <si>
    <t>BlazBlue: Clone Phantasma</t>
  </si>
  <si>
    <t>Diablo II: Resurrected</t>
  </si>
  <si>
    <t>ILCA</t>
  </si>
  <si>
    <t>Ember Lab</t>
  </si>
  <si>
    <t>Ty the Tasmanian Tiger HD</t>
  </si>
  <si>
    <t>Doki Doki Literature Club Plus!</t>
  </si>
  <si>
    <t>Shadowverse: Champion's Battle</t>
  </si>
  <si>
    <t>Super Monkey Ball: Banana Mania</t>
  </si>
  <si>
    <t>Cruis'n Blast</t>
  </si>
  <si>
    <t>Blood &amp; Truth</t>
  </si>
  <si>
    <t>Marvel's Iron Man VR</t>
  </si>
  <si>
    <t>Inscryption</t>
  </si>
  <si>
    <t>LEGO Star Wars: Castaways</t>
  </si>
  <si>
    <t>Apple</t>
  </si>
  <si>
    <t>Final game in the Castlevania GBA trilogy and it's definitely the best. It's really interesting how different each of the games feels while still retaining the same basic formula. Aria of Sorrow introduces the soul absorption mechanic that Dawn of Sorrow refines, and it's a blast to use here. The game also pumps up the story, introducing a cast of characters that carry on into the sequel. It's nothing particularly special, but improved over the previous two games. Great game!</t>
  </si>
  <si>
    <t>Zanki Zero: Last Beginning</t>
  </si>
  <si>
    <t>Mighty Flip Champs!</t>
  </si>
  <si>
    <t>Mighty Milky Way</t>
  </si>
  <si>
    <t>Hammerin' Hero</t>
  </si>
  <si>
    <t>Biomutant</t>
  </si>
  <si>
    <t>Ghost Parade</t>
  </si>
  <si>
    <t>Spirit Hunter: NG</t>
  </si>
  <si>
    <t>Valthirian Arc: Hero School Story</t>
  </si>
  <si>
    <t>Grimvalor</t>
  </si>
  <si>
    <t>Don't Give Up: A Cynical Tale</t>
  </si>
  <si>
    <t>Lentera Nusantara</t>
  </si>
  <si>
    <t>Agate</t>
  </si>
  <si>
    <t>Direlight</t>
  </si>
  <si>
    <t>Taco Pizza Cats</t>
  </si>
  <si>
    <t>Raw Thrills</t>
  </si>
  <si>
    <t>Cruis'n</t>
  </si>
  <si>
    <t>Werewolf: The Apocalypse - Earthblood</t>
  </si>
  <si>
    <t>Glass Revolver</t>
  </si>
  <si>
    <t>Experiment 101</t>
  </si>
  <si>
    <t>Wildermyth</t>
  </si>
  <si>
    <t>Worldwalker Games</t>
  </si>
  <si>
    <t>Valfaris</t>
  </si>
  <si>
    <t>Big Sugar</t>
  </si>
  <si>
    <t>Steel Mantis</t>
  </si>
  <si>
    <t>20XX</t>
  </si>
  <si>
    <t>Batterystaple Games</t>
  </si>
  <si>
    <t>Fire Hose Games</t>
  </si>
  <si>
    <t>Barotrauma</t>
  </si>
  <si>
    <t>FakeFish</t>
  </si>
  <si>
    <t>Disc Room</t>
  </si>
  <si>
    <t>Terri, Does, Kitty, JW</t>
  </si>
  <si>
    <t>Embr</t>
  </si>
  <si>
    <t>Curve Games</t>
  </si>
  <si>
    <t>Muse Games</t>
  </si>
  <si>
    <t>Cygames</t>
  </si>
  <si>
    <t>Shadowverse</t>
  </si>
  <si>
    <t>Ty the Tasmanian Tiger</t>
  </si>
  <si>
    <t>Werewolf: The Apocalypse</t>
  </si>
  <si>
    <t>Anniversary Edition</t>
  </si>
  <si>
    <t>One of the most curious side stories in the Final Fantasy series, and additionally the most convoluted story I've experienced yet in the series. The game has a lot of unique and interesting ideas, and the execution is all over the place. Not much is explained, and it's my understanding that a lot of plot is left out of the game for subsequent playthroughs. I don't feel as though this lends itself well to this particular game, as a game like Nier is more streamlined &amp; replayable than this mission-based game. However, this one playthrough was still enjoyable, as the core gameplay offers up enough excitement and entertainment to carry the game.</t>
  </si>
  <si>
    <t>Final Fantasy XIV: Endwalker</t>
  </si>
  <si>
    <t>ENCODYA</t>
  </si>
  <si>
    <t>Assemble Entertainment</t>
  </si>
  <si>
    <t>Chaosmonger Studio</t>
  </si>
  <si>
    <t>The Big Con</t>
  </si>
  <si>
    <t>Mighty Yell</t>
  </si>
  <si>
    <t>Trine 4: The Nightmare Prince</t>
  </si>
  <si>
    <t>Fishlabs</t>
  </si>
  <si>
    <t>No Longer Home</t>
  </si>
  <si>
    <t>Humble Grove</t>
  </si>
  <si>
    <t>Signs of the Sojourner</t>
  </si>
  <si>
    <t>Echodog Games</t>
  </si>
  <si>
    <t>What Comes After</t>
  </si>
  <si>
    <t>Rolling Glory Jam</t>
  </si>
  <si>
    <t>Sunlight</t>
  </si>
  <si>
    <t>Wilmot's Warehouse</t>
  </si>
  <si>
    <t>Hollow Ponds</t>
  </si>
  <si>
    <t>This game was cute. Although there's no real failure state and the challenge is largely self-controlled, it makes for a nice zen game. It would've been nice for the gameplay to evolve some more as the game progressed, but the simplistic gameplay was enough to carry it relatively well throughout.</t>
  </si>
  <si>
    <t>Nothing spectacular about this Call of Duty campaign, though I still do enjoy a ~4-6 hour AAA shoot-em-up. The campaign was high production value, bombastic, and obviously expensive, everything I'd expect out of a Call of Duty campaign, but there's not much here that will be memorable down the line, with the exception of Dominic Monaghan and a frustrating flying mission. Pretty much what I've come to expect out of Call of Duty, and I'm not dissatisifed with what this game offered.</t>
  </si>
  <si>
    <t>LEGO DC Super-Villains</t>
  </si>
  <si>
    <t>Acceleration of Suguri 2</t>
  </si>
  <si>
    <t>Suguri</t>
  </si>
  <si>
    <t>Automachef</t>
  </si>
  <si>
    <t>Hermes Interactive</t>
  </si>
  <si>
    <t>Death's Door</t>
  </si>
  <si>
    <t>Loop Hero</t>
  </si>
  <si>
    <t>Gray and gold copies</t>
  </si>
  <si>
    <t>Gold, 5-Screw and Gold, 3-Screw</t>
  </si>
  <si>
    <t>Babylon's Fall</t>
  </si>
  <si>
    <t>At this point in time, if you've played one Pokémon game, you've played pretty much all of them. As a remake, this game was more valuable for nostalgia than gameplay twists, story, or any other real reason. The nostalgia coupled with time-tested gameplay produces an enjoyable entry, though it's not anything particularly special.</t>
  </si>
  <si>
    <t>Cave Story's Secret Santa</t>
  </si>
  <si>
    <t>Metal Max 2: Reloaded</t>
  </si>
  <si>
    <t>Bulk Slash</t>
  </si>
  <si>
    <t>Chicory: A Colorful Tale</t>
  </si>
  <si>
    <t>JETT: The Far Shore</t>
  </si>
  <si>
    <t>F.I.S.T.: Forged In Shadow Torch</t>
  </si>
  <si>
    <t>Bilibili</t>
  </si>
  <si>
    <t>TiGames</t>
  </si>
  <si>
    <t>Saints Row IV: Re-Elected</t>
  </si>
  <si>
    <t>Voice of Cards: The Isle Dragon Roars</t>
  </si>
  <si>
    <t>Alim</t>
  </si>
  <si>
    <t>New World</t>
  </si>
  <si>
    <t>Amazon Games</t>
  </si>
  <si>
    <t>Amazon Games Orange County</t>
  </si>
  <si>
    <t>Neon Abyss</t>
  </si>
  <si>
    <t>Veewo Games</t>
  </si>
  <si>
    <t>Oculus Studios</t>
  </si>
  <si>
    <t>Omega Labyrinth Life</t>
  </si>
  <si>
    <t>Caladrius Blaze</t>
  </si>
  <si>
    <t>Phantasy Star Nova</t>
  </si>
  <si>
    <t>James Bond 007: Agent Under Fire</t>
  </si>
  <si>
    <t>James Bond 007: Nightfire</t>
  </si>
  <si>
    <t>James Bond 007: Everything or Nothing</t>
  </si>
  <si>
    <t>GoldenEye: Rogue Agent</t>
  </si>
  <si>
    <t>James Bond 007: From Russia with Love</t>
  </si>
  <si>
    <t>007: Quantum of Solace</t>
  </si>
  <si>
    <t>James Bond 007: Blood Stone</t>
  </si>
  <si>
    <t>007 Legends</t>
  </si>
  <si>
    <t>007: The World Is Not Enough</t>
  </si>
  <si>
    <t>Everything, and I mean _everything_ comes together in this expansion. It's the pinnacle of Final Fantasy storytelling and the culmination of a decade of world building and storytelling. The writing is stellar, the dungeons and trials and exciting and unique, the music is amazing. Everything comes together perfectly.</t>
  </si>
  <si>
    <t>Dungeon Encounters</t>
  </si>
  <si>
    <t>Ginga Ojōsama Densetsu Yuna</t>
  </si>
  <si>
    <t>RED Entertainment</t>
  </si>
  <si>
    <t>Galaxy Fräulein Yuna</t>
  </si>
  <si>
    <t>Ginga Ojōsama Densetsu Yuna 2: Eien no Princess</t>
  </si>
  <si>
    <t>Mystery Chronicle: One Way Heroics</t>
  </si>
  <si>
    <t>Tormented Souls</t>
  </si>
  <si>
    <t>Dual Effect</t>
  </si>
  <si>
    <t>Reverie: Sweet As Edition</t>
  </si>
  <si>
    <t>Senran Kagura: Reflexions</t>
  </si>
  <si>
    <t>Rainbite</t>
  </si>
  <si>
    <t>This is perhaps the most wholesome game that I've ever played. It has some adorable characters, endearing dialogue, and an incredibly wholesome message. It tackles issues like depression &amp; handles them gracefully. The game itself has some interesting puzzles and fun gameplay bits, but it is a bit shallow and would've been interesting to see the painting concept developed into something with some more depth. Overall, however, a really cute game which I enjoyed a good deal!</t>
  </si>
  <si>
    <t>Sega Interactive</t>
  </si>
  <si>
    <t>Blue Breaker: Egao no Yakusoku</t>
  </si>
  <si>
    <t>HuneX</t>
  </si>
  <si>
    <t>Blue Breaker</t>
  </si>
  <si>
    <t>GeGeGe no Kitarō: Fukkatsu! Tenma Daiō</t>
  </si>
  <si>
    <t>GeGeGe no Kitarō</t>
  </si>
  <si>
    <t>GeGeGe no Kitarō: Gyakushū! Yōma Daikessen</t>
  </si>
  <si>
    <t>Jaseiken Necromancer</t>
  </si>
  <si>
    <t>The Matrix: Path of Neo</t>
  </si>
  <si>
    <t>One of the best open world games I've played in a long time. The gameplay loop is so engaging, as each enemy type is unique and requires different strategies to take down. The story is interesting, with an amazing world and fascinating lore, as well as a likeable main character. Some of the supporting cast is a bit forgetable, but it doesn't detract greatly from the game. Just an excellent game all around.</t>
  </si>
  <si>
    <t>Purikura Daisakusen</t>
  </si>
  <si>
    <t>HyperDot</t>
  </si>
  <si>
    <t>GLITCH</t>
  </si>
  <si>
    <t>Tribe Games</t>
  </si>
  <si>
    <t>Candleman</t>
  </si>
  <si>
    <t>Outcast: Second Contact</t>
  </si>
  <si>
    <t>Morkredd</t>
  </si>
  <si>
    <t>Witcheye</t>
  </si>
  <si>
    <t>Candleman Games</t>
  </si>
  <si>
    <t>Appeal</t>
  </si>
  <si>
    <t>Outcast</t>
  </si>
  <si>
    <t>Hyper Games</t>
  </si>
  <si>
    <t>Moon Kid</t>
  </si>
  <si>
    <t>The Artful Escape</t>
  </si>
  <si>
    <t>Beethoven &amp; Dinosaur</t>
  </si>
  <si>
    <t>While this game is absolutely gorgeous visually (most of the time), it doesn't have much going for it otherwise. The story is pretty obtuse, with the dialogue often coming off as more pretentious than thought-provoking. The gameplay is totally barebones, much more akin to a walking simulator than a platformer or a rhythm game. The art is striking most of the time, but I also didn't particularly like the 2D models for characters and how they animated -- it looked more like an object being manipulated in PhotoShop than an actual animated character model.</t>
  </si>
  <si>
    <t>Cute for a holiday bonus game, but lacking in any real substance and not particularly compelling in any way.</t>
  </si>
  <si>
    <t>Dead or School</t>
  </si>
  <si>
    <t>Studio Nanfushi</t>
  </si>
  <si>
    <t>Telling Lies</t>
  </si>
  <si>
    <t>Clear River Games</t>
  </si>
  <si>
    <t>Elden Pixels</t>
  </si>
  <si>
    <t>Alwa</t>
  </si>
  <si>
    <t>DoDonPachi SaiDaiOuJou</t>
  </si>
  <si>
    <t>Akai Katana</t>
  </si>
  <si>
    <t>Mushihimesama Futari</t>
  </si>
  <si>
    <t>Pink Sweets: Ibara Sorekara</t>
  </si>
  <si>
    <t>Muchi Muchi Pork!</t>
  </si>
  <si>
    <t>E.X. Troopers</t>
  </si>
  <si>
    <t>Kowai Shashin: Shinrei Shashin Kitan</t>
  </si>
  <si>
    <t>Media Entertainment</t>
  </si>
  <si>
    <t>Rapid Angel</t>
  </si>
  <si>
    <t>MoneyPaw Games</t>
  </si>
  <si>
    <t>Techno Soleil</t>
  </si>
  <si>
    <t>Boku no Natsuyasumi</t>
  </si>
  <si>
    <t>Boku no Natsuyasumi 2: Umi no Bouken-Hen</t>
  </si>
  <si>
    <t>Boku no Natsuyasumi 3: Kitaguni Hen: Chiisana Boku no Dai Sougen</t>
  </si>
  <si>
    <t>Vib-Ripple</t>
  </si>
  <si>
    <t>Code Age Commanders: Tsugu Mono Tsugareru Mono</t>
  </si>
  <si>
    <t>Square Enix Product Development Division 2</t>
  </si>
  <si>
    <t>Hokuto no Ken: Shinpan no Sōsōsei Kengō Retsuden</t>
  </si>
  <si>
    <t>Hungry Ghosts</t>
  </si>
  <si>
    <t>Another Century's Episode</t>
  </si>
  <si>
    <t>Another Century's Episode 2</t>
  </si>
  <si>
    <t>Another Century's Episode 3: The Final</t>
  </si>
  <si>
    <t>Another Century's Episode: R</t>
  </si>
  <si>
    <t>Another Century's Episode Portable</t>
  </si>
  <si>
    <t>This DLC holds up to the truly excellent standard set by Final Fantasy VII Remake. The only reason that I would knock it a little lower than the base game is its relative short length, especially considering the $20 price tag, and the fact that it's quite light on story / impact on the overall story.</t>
  </si>
  <si>
    <t>Core gameplay is solid, classic Final Fantasy turn-based battling, and the story does have some interesting twists, but this game suffers in a few respects. Its pacing is way off, with the mid-game largely being a retelling of the same story ad infinitum as you play through each character's perspective. There's some interesting story beats to be had, but it's largely scraps. The encounter rate is also astronomical, which is exacerbated during the game's final (eternal) dungeon, putting Final Fantasy III's final dungeon to shame. Overall a solid, but flawed, entry in the series.</t>
  </si>
  <si>
    <t>I went into this one with pretty low expectations. It's definitely widely considered to be the black sheep of the series. At first, those low expectations were confirmed, with a firehose of nonsense jargon requiring constant Datalog lookups, straight line maps, and barebones gameplay. However, by the end of the game I was in love with its systems and its world. It turns out to be an incredibly tactical system, with a lot reliant on pre-battle setup and actually planning out a strategy, mixed with quick, on-the-fly thinking when things go wrong. The world paints a fascinating picture of humanity at the whims of malevolent gods, and while the story itself is confusing from time to time, it still came together. All in all, this one surprised me and I'm excited for the rest of the Final Fantasy XIII trilogy.</t>
  </si>
  <si>
    <t>The finale to the Final Fantasy XIII trilogy continues the trend of high quality, yet extremely experimental Final Fantasies. This one was particularly dense and I wasn't sure at first if I'd end up enjoyed it, but I'd say it ranks near the first of the trilogy for me on completion. The progression is unique, relying entirely on completing quests for stat boosts, the battle system is dynamic and involved, garbs are a cool way to handle classes &amp; movesets, and the world is actually somewhat intriguing despite its fairly nonsensical nature. Overall, loved this trilogy, and love to see it when Square Enix really experiments.</t>
  </si>
  <si>
    <t>Dragon Slayer: Eiyū Densetsu II</t>
  </si>
  <si>
    <t>I really like these more bite-sized experiences and this one was no exception. It reminds me a lot of the 3DS's Crimson Shroud, which I also really enjoyed. The table top aesthetic is charming, the story and characters are just enough to keep the game moving, and the gameplay is just a classic JRPG delight. Nothing too complex or deep here, but that's not always necessary.</t>
  </si>
  <si>
    <t>Wild Arms Alter Code: F</t>
  </si>
  <si>
    <t>Arc the Lad Collection</t>
  </si>
  <si>
    <t>Grandia Xtreme</t>
  </si>
  <si>
    <t>Lunar: Silver Star Harmony</t>
  </si>
  <si>
    <t>Makai Toushi SaGa</t>
  </si>
  <si>
    <t>SaGa 3 Jikū no Hasha: Shadow or Light</t>
  </si>
  <si>
    <t>Sekaiju to Fushigi no Dungeon 2</t>
  </si>
  <si>
    <t>Aside from being a great _card game_, Inscryption is a deep and interesting experience. I knew I was in for a ride when the game let me stand up from the table and when one of my cards started talking to me. The game's story was satisfying throughout, and even though we were left with a number of questions, it's in such a way that it makes me want to read &amp; explore more about the game's lore rather than feeling disatisfied. The story and experience aside, the core card game is a blast. It's a lot of fun to try and find ways to break the game with clever card combinations.</t>
  </si>
  <si>
    <t>Thousand Land</t>
  </si>
  <si>
    <t>Iratus: Lord of the Dead</t>
  </si>
  <si>
    <t>Unfrozen</t>
  </si>
  <si>
    <t>Total War: Warhammer</t>
  </si>
  <si>
    <t>Nakoruru: Anohito Kara no Okurimono</t>
  </si>
  <si>
    <t>Kool Kizz</t>
  </si>
  <si>
    <t>City Connection</t>
  </si>
  <si>
    <t>Deathsmiles</t>
  </si>
  <si>
    <t>Crest</t>
  </si>
  <si>
    <t>Midnight Mutants</t>
  </si>
  <si>
    <t>Atari 7800</t>
  </si>
  <si>
    <t>Radioactive Software</t>
  </si>
  <si>
    <t>Blue Wing Blitz</t>
  </si>
  <si>
    <t>Wild Card</t>
  </si>
  <si>
    <t>Kishin Dōji Zenki FX: Vajra Fight</t>
  </si>
  <si>
    <t>PC-FX</t>
  </si>
  <si>
    <t>Zenki</t>
  </si>
  <si>
    <t>Chōshin Heiki Zeroigar</t>
  </si>
  <si>
    <t>XZR: Hakai no Gūzō</t>
  </si>
  <si>
    <t>Renovation Games</t>
  </si>
  <si>
    <t>XZR II: Kanketsuhen</t>
  </si>
  <si>
    <t>Exile: Wicked Phenomenon</t>
  </si>
  <si>
    <t>AlfaSystem</t>
  </si>
  <si>
    <t>46 Okunen Monogatari: The Shinka Ron</t>
  </si>
  <si>
    <t>Almanic Corporation</t>
  </si>
  <si>
    <t>Farland Story FX</t>
  </si>
  <si>
    <t>Technical Group Laboratory</t>
  </si>
  <si>
    <t>Farland Story</t>
  </si>
  <si>
    <t>Farland Story 2</t>
  </si>
  <si>
    <t>Farland Story: Daichi no Kizuna</t>
  </si>
  <si>
    <t>Farland Story: Kamigami no Isen</t>
  </si>
  <si>
    <t>Farland Story: Juuou no Akashi</t>
  </si>
  <si>
    <t>Farland Story Denki: Arc Ō no Ensei</t>
  </si>
  <si>
    <t>Farland Story: Tenshi no Namida</t>
  </si>
  <si>
    <t>Farland Story: Shirogane no Tsubasa</t>
  </si>
  <si>
    <t>Giten Megami Tensei: Tokyo Mokushiroku</t>
  </si>
  <si>
    <t>Metajo: Furitsu Metatopology Daigaku Fuzoku Joshi Kōkō SP</t>
  </si>
  <si>
    <t>Anjin</t>
  </si>
  <si>
    <t>R-Force Software</t>
  </si>
  <si>
    <t>Metajo</t>
  </si>
  <si>
    <t>Zai Metajo</t>
  </si>
  <si>
    <t>Rusty</t>
  </si>
  <si>
    <t>C-Lab</t>
  </si>
  <si>
    <t>Totsugeki! Mix</t>
  </si>
  <si>
    <t>Nintendo Pokémon mini</t>
  </si>
  <si>
    <t>Togepi no Daibouken</t>
  </si>
  <si>
    <t>Possessioner</t>
  </si>
  <si>
    <t>Queen Soft</t>
  </si>
  <si>
    <t>Ultimate Shooting Collection</t>
  </si>
  <si>
    <t>Tank Beat</t>
  </si>
  <si>
    <t>Radirgy Noa Wii</t>
  </si>
  <si>
    <t>Radirgy</t>
  </si>
  <si>
    <t>Radirgy de Gojaru!</t>
  </si>
  <si>
    <t>Klon Co., Ltd.</t>
  </si>
  <si>
    <t>RS34</t>
  </si>
  <si>
    <t>Before Your Eyes</t>
  </si>
  <si>
    <t>GoodbyeWorld Games</t>
  </si>
  <si>
    <t>Everhood</t>
  </si>
  <si>
    <t>Foreign Gnomes</t>
  </si>
  <si>
    <t>Chris Nordgren, Jordi Roca</t>
  </si>
  <si>
    <t xml:space="preserve">Rhythm </t>
  </si>
  <si>
    <t>Those Who Remain</t>
  </si>
  <si>
    <t>Omega Labyrinth</t>
  </si>
  <si>
    <t>Caladrius</t>
  </si>
  <si>
    <t>Team Ladybug</t>
  </si>
  <si>
    <t>Dokapon Up! Mugen no Roulette</t>
  </si>
  <si>
    <t>Rayxanber</t>
  </si>
  <si>
    <t>FM Towns</t>
  </si>
  <si>
    <t>Rayxanber II</t>
  </si>
  <si>
    <t>Rayxanber III</t>
  </si>
  <si>
    <t>BoxBoy! + BoxGirl!</t>
  </si>
  <si>
    <t>Mario Hoops 3-on-3</t>
  </si>
  <si>
    <t>Chocobo Racing</t>
  </si>
  <si>
    <t>Chocobo Stallion</t>
  </si>
  <si>
    <t>Dice de Chocobo</t>
  </si>
  <si>
    <t>Denyusha</t>
  </si>
  <si>
    <t>Hataraku Chocobo</t>
  </si>
  <si>
    <t>Dragon Quest &amp; Final Fantasy in Itadaki Street Special</t>
  </si>
  <si>
    <t>Dragon Quest &amp; Final Fantasy in Itadaki Street Portable</t>
  </si>
  <si>
    <t>Think Garage</t>
  </si>
  <si>
    <t>Dead Estate</t>
  </si>
  <si>
    <t>2 Left Thumbs</t>
  </si>
  <si>
    <t>Milkbar Lads</t>
  </si>
  <si>
    <t>White Day: A Labyrinth Named School</t>
  </si>
  <si>
    <t>The Painscreek Killings</t>
  </si>
  <si>
    <t>EQ Studios</t>
  </si>
  <si>
    <t>Daymare: 1998</t>
  </si>
  <si>
    <t>Invader Studios</t>
  </si>
  <si>
    <t>Daymare</t>
  </si>
  <si>
    <t>Star Ocean: The Last Hope - 4K &amp; Full HD Remaster</t>
  </si>
  <si>
    <t>The final game in my main series playthrough of Final Fantasy, at least until Final Fantasy XVI comes out, and I was hoping to enjoy this one contrary to popular opinion just like Final Fantasy XIII. While I definitely enjoyed the game in parts, I can much more easily understand the criticisms for this game than the criticisims levied at Final Fantasy XIII. This game's plot seemed like a rough draft, with a number of supplementary materials required to understand any character's motivations. The gameplay is flashy and cool looking, but lacks any real depth. I'm glad this game exists because it clearly led the way to Final Fantasy VII Remake, but it is the poster child of squandered potential. Not truly bad, but disappointing because it could've been so much more.</t>
  </si>
  <si>
    <t>Maken Shao: Demon Sword</t>
  </si>
  <si>
    <t>Record of Lodoss War: Deedlit in Wonder Labyrinth</t>
  </si>
  <si>
    <t>Glad this was free because it was pretty boring. No strategy, pure button masher. It wasn't offensively bad, but it wasn't good either. The best thing about this game is the gorgeous pixel art for the summons.</t>
  </si>
  <si>
    <t>Region</t>
  </si>
  <si>
    <t>This one was cute, but it didn't hook me as well as it apparently did for reviewers. I enjoyed the puzzle mechanics, but it was pretty straightforward and it didn't feel like the box gimmick was anything particularly special. It's well constructed and straightforward, nothing more than that.</t>
  </si>
  <si>
    <t>Blue Stinger</t>
  </si>
  <si>
    <t>Border Down</t>
  </si>
  <si>
    <t>G.rev</t>
  </si>
  <si>
    <t>Cannon Spike</t>
  </si>
  <si>
    <t>Cyber Troopers Virtual-On Oratorio Tangram</t>
  </si>
  <si>
    <t>Sega AM3</t>
  </si>
  <si>
    <t>Cyber Troopers Virtual-On Force</t>
  </si>
  <si>
    <t>Cyber Troopers Virtual-On MARZ</t>
  </si>
  <si>
    <t>Samba de Amigo</t>
  </si>
  <si>
    <t>Evolution: The World of Sacred Device</t>
  </si>
  <si>
    <t>Evolution</t>
  </si>
  <si>
    <t>Evolution 2: Far Off Promise</t>
  </si>
  <si>
    <t>Mystery Dungeon</t>
  </si>
  <si>
    <t>Gundam Side Story 0079: Rise from the Ashes</t>
  </si>
  <si>
    <t>Mars Matrix: Hyper Solid Shooting</t>
  </si>
  <si>
    <t>Star Gladiator</t>
  </si>
  <si>
    <t>Plasma Sword: Nightmare of Bilstein</t>
  </si>
  <si>
    <t>The Ring: Terror's Realm</t>
  </si>
  <si>
    <t>The Ring</t>
  </si>
  <si>
    <t>Triggerheart Exelica</t>
  </si>
  <si>
    <t>Trizeal</t>
  </si>
  <si>
    <t>Triangle Service</t>
  </si>
  <si>
    <t>Under Defeat</t>
  </si>
  <si>
    <t>Middling Zelda-like with some Earthbound aesthetics and a heavy coat of New Zealand culture. I wanted to enjoy this one, but it wasn't great. Hitboxes were off, causing a lot of seemingly unfair hits. Enemy movements are unpredictable, causing annoyances whenever trying to hit some of the faster moving enemies. Some items should have just been automatically used instead of requiring to be equipped (e.g. the swimming/diving equipment). Cute look, but the feel was way off.</t>
  </si>
  <si>
    <t>7 Blades</t>
  </si>
  <si>
    <t>Konami Computer Entertainment Japan East</t>
  </si>
  <si>
    <t>Blaze Union: Story to Reach the Future</t>
  </si>
  <si>
    <t>Complete &amp; Game only</t>
  </si>
  <si>
    <t>Two copies owned (One complete, one Game only)</t>
  </si>
  <si>
    <t>Game and box only</t>
  </si>
  <si>
    <t>Broken case</t>
  </si>
  <si>
    <t>Water damaged</t>
  </si>
  <si>
    <t>Game, box, and manual</t>
  </si>
  <si>
    <t>The X-Files Game</t>
  </si>
  <si>
    <t>HyperBole Studios</t>
  </si>
  <si>
    <t>The X-Files</t>
  </si>
  <si>
    <t>The X-Files: Resist or Serve</t>
  </si>
  <si>
    <t>Black Ops Entertainment</t>
  </si>
  <si>
    <t>A boring coop shooter. Far too easy, no variety, and way too many long firefight sections where we would stand still and shoot aliens as they came to us. Zero strategy or skill involved, just holding left click. Nothing special here.</t>
  </si>
  <si>
    <t>Ehrgeiz</t>
  </si>
  <si>
    <t>Everybody's Golf</t>
  </si>
  <si>
    <t>Hot Shots Golf 2</t>
  </si>
  <si>
    <t>Hot Shots Golf 3</t>
  </si>
  <si>
    <t>Hot Shots Golf Fore!</t>
  </si>
  <si>
    <t>Hot Shots Golf: Out of Bounds</t>
  </si>
  <si>
    <t>Hot Shots Golf: Open Tee</t>
  </si>
  <si>
    <t>Hot Shots Tennis</t>
  </si>
  <si>
    <t>Hot Shots Golf: Open Tee 2</t>
  </si>
  <si>
    <t>Hot Shots Tennis: Get a Grip</t>
  </si>
  <si>
    <t>Art Data Interactive</t>
  </si>
  <si>
    <t>LogicWare</t>
  </si>
  <si>
    <t>Human Soft</t>
  </si>
  <si>
    <t>Dead Rising 2: Case West</t>
  </si>
  <si>
    <t>Dragon Ball</t>
  </si>
  <si>
    <t>School Girl/Zombie Hunter</t>
  </si>
  <si>
    <t>Grand Theft Auto: The Trilogy – The Definitive Edition</t>
  </si>
  <si>
    <t>Grove Street Games</t>
  </si>
  <si>
    <t>Relicta</t>
  </si>
  <si>
    <t>Ravenscourt</t>
  </si>
  <si>
    <t>Mighty Polygon</t>
  </si>
  <si>
    <t>B.B. Studio</t>
  </si>
  <si>
    <t>Clouded Leopard Entertainment</t>
  </si>
  <si>
    <t>Seven Pirates H</t>
  </si>
  <si>
    <t>Assassin's Creed: The Ezio Collection</t>
  </si>
  <si>
    <t>Martha is Dead</t>
  </si>
  <si>
    <t>Virgin Angel</t>
  </si>
  <si>
    <t>Crystal Soft</t>
  </si>
  <si>
    <t>Psychotoxic</t>
  </si>
  <si>
    <t>NuClearVision Entertainment</t>
  </si>
  <si>
    <t>Fast</t>
  </si>
  <si>
    <t>A technically impressive antigravity racing game, but lacking in some other areas. Feels like the game has some intense rubber banding with how AI racers will blast past you when you're well in the lead. The game is absolutely gorgeous, though, with some impressive effects especially considering how close to the Switch release this game came out.</t>
  </si>
  <si>
    <t>Wild 9</t>
  </si>
  <si>
    <t>The Nightmare Before Christmas: Oogie's Revenge</t>
  </si>
  <si>
    <t>The Nightmare Before Christmas</t>
  </si>
  <si>
    <t>Actually one of the best Final Fantasy games, up there with my favorite in the mainline series. The gameplay is excellent, requiring actual strategy &amp; planning even in the random battles, but without feeling too taxing. The job system is great, and it's fun to find what combinations can work well together. The story is interesting, but this version of the game is marred by a terrible translation that's chock full of awkward wording, typos, and inconsistent names. I'll definitely revisit this on the PSP to see how its newer translation fares.</t>
  </si>
  <si>
    <t>Azurik: Rise of Perathia</t>
  </si>
  <si>
    <t>Adrenium Games</t>
  </si>
  <si>
    <t>Buffy the Vampire Slayer</t>
  </si>
  <si>
    <t>The Collective</t>
  </si>
  <si>
    <t>GameBrains</t>
  </si>
  <si>
    <t>Buffy the Vampire Slayer: Wrath of the Darkhul King</t>
  </si>
  <si>
    <t>Buffy the Vampire Slayer: Chaos Bleeds</t>
  </si>
  <si>
    <t>Eurocom Entertainment Software</t>
  </si>
  <si>
    <t>Dead or Alive 3</t>
  </si>
  <si>
    <t>Dead or Alive 2</t>
  </si>
  <si>
    <t>Dead or Alive 4</t>
  </si>
  <si>
    <t>Dead or Alive 5</t>
  </si>
  <si>
    <t>NightCaster</t>
  </si>
  <si>
    <t>VR1 Entertainment</t>
  </si>
  <si>
    <t>NightCaster: Defeat the Darkness</t>
  </si>
  <si>
    <t>NightCaster II: Equinox</t>
  </si>
  <si>
    <t>Team Schadenfreude</t>
  </si>
  <si>
    <t>Buffy the Vampire Slayer: Sacrifice</t>
  </si>
  <si>
    <t>S.C. Beast Studios</t>
  </si>
  <si>
    <t>Bullet Girls 2</t>
  </si>
  <si>
    <t>Bullet Girls</t>
  </si>
  <si>
    <t>Asphalt: Injection</t>
  </si>
  <si>
    <t>Asphalt</t>
  </si>
  <si>
    <t>Bad Apple Wars</t>
  </si>
  <si>
    <t>Mobile Suit Gundam: Extreme VS Force</t>
  </si>
  <si>
    <t>Asphalt 3D</t>
  </si>
  <si>
    <t>Asphalt: Urban GT</t>
  </si>
  <si>
    <t>Asphalt: Urban GT 2</t>
  </si>
  <si>
    <t>Inazuma Eleven 3: Team Ogre Attacks!</t>
  </si>
  <si>
    <t>Inazuma Eleven Go: Light</t>
  </si>
  <si>
    <t>Inazuma Eleven Strikers</t>
  </si>
  <si>
    <t>Inazuma Eleven 2: Firestorm</t>
  </si>
  <si>
    <t>Inazuma Eleven Go Galaxy: Big Bang</t>
  </si>
  <si>
    <t>Inazuma Eleven Go: Chrono Stones - Wildfire</t>
  </si>
  <si>
    <t>Calico</t>
  </si>
  <si>
    <t>Whitethorn Digital</t>
  </si>
  <si>
    <t>Peachy Keen Games</t>
  </si>
  <si>
    <t>Paradise Lost</t>
  </si>
  <si>
    <t>PolyAmorous</t>
  </si>
  <si>
    <t>Before We Leave</t>
  </si>
  <si>
    <t>Balancing Monkey Games</t>
  </si>
  <si>
    <t>Per Aspera</t>
  </si>
  <si>
    <t>Tlön Industries</t>
  </si>
  <si>
    <t>Black Book</t>
  </si>
  <si>
    <t>Mortreshka</t>
  </si>
  <si>
    <t>As Far As The Eye</t>
  </si>
  <si>
    <t>Unexpected</t>
  </si>
  <si>
    <t>Ashwalkers</t>
  </si>
  <si>
    <t>Nameless XIII</t>
  </si>
  <si>
    <t>Double Kick Heroes</t>
  </si>
  <si>
    <t>Headbang Club</t>
  </si>
  <si>
    <t>Maglam Lord</t>
  </si>
  <si>
    <t>Astalon: Tears of the Earth</t>
  </si>
  <si>
    <t>Valis: The Fantasm Soldier Collection</t>
  </si>
  <si>
    <t>River City Girls Zero</t>
  </si>
  <si>
    <t>Yu Yu Hakusho Makyō Tōitsusen</t>
  </si>
  <si>
    <t>Yu Yu Hakusho</t>
  </si>
  <si>
    <t>Bangai-O Spirits</t>
  </si>
  <si>
    <t>Bangai-O HD: Missile Fury</t>
  </si>
  <si>
    <t>Bleach: Versus Crusade</t>
  </si>
  <si>
    <t>Gaist Crusher</t>
  </si>
  <si>
    <t>Gaist Crusher God</t>
  </si>
  <si>
    <t>Hajime no Ippo: The Fighting!</t>
  </si>
  <si>
    <t>ESP Software</t>
  </si>
  <si>
    <t>Hajime no Ippo</t>
  </si>
  <si>
    <t>Darkened Skye</t>
  </si>
  <si>
    <t>Tokobot</t>
  </si>
  <si>
    <t>Simon &amp; Schuster</t>
  </si>
  <si>
    <t>Boston Animation</t>
  </si>
  <si>
    <t>Tokobot Plus: Mysteries of the Karakuri</t>
  </si>
  <si>
    <t>Sol Cresta</t>
  </si>
  <si>
    <t>Senran Kagura Burst Re:Newal</t>
  </si>
  <si>
    <t>Senran Kagura: Peach Beach Splash</t>
  </si>
  <si>
    <t>This game took me an outrageously long time to finish, not only because of the fact that it was split into two parts but also because it's actually a punishingly difficult RPG. The game expects excellent strategy when it comes to boss fights, along with a combination of preparedness and some improvisation. I enjoyed how the game made grinding somewhat obsolete, encouraging deeper exploration into its systems for success. The Dimengeon is a bit of a double edged sword--it's great to not have random battles interrupting, but the Dimengeon battles do take quite a long time to clear so it somewhat takes away from that advantage. Overall, I enjoyed this one a lot. Awesome music, interesting plot, challenging &amp; engaging battles, and some unique gameplay twists.</t>
  </si>
  <si>
    <t>Voice of Cards</t>
  </si>
  <si>
    <t>Voice of Cards: The Forsaken Maiden</t>
  </si>
  <si>
    <t>Dune 2000</t>
  </si>
  <si>
    <t>Intelligent Games</t>
  </si>
  <si>
    <t>Emperor: Battle for Dune</t>
  </si>
  <si>
    <t>Frank Herbert's Dune</t>
  </si>
  <si>
    <t>WideScreen Games</t>
  </si>
  <si>
    <t>Dragon Ball Z: The Legacy of Goku</t>
  </si>
  <si>
    <t>Dragon Ball Z: The Legacy of Goku II</t>
  </si>
  <si>
    <t>Dragon Ball Z: Buu's Fury</t>
  </si>
  <si>
    <t>Dragon Ball Z: Legendary Super Warriors</t>
  </si>
  <si>
    <t>Dragon Ball: Advanced Adventure</t>
  </si>
  <si>
    <t>Dragon Ball GT: Transformation</t>
  </si>
  <si>
    <t>Dragon Ball: Origins</t>
  </si>
  <si>
    <t>Dragon Ball: Origins 2</t>
  </si>
  <si>
    <t>Dragon Ball Z: Attack of the Saiyans</t>
  </si>
  <si>
    <t>Dragon Ball Fusions</t>
  </si>
  <si>
    <t>Dragon Ball Evolution</t>
  </si>
  <si>
    <t>.hack//Infection</t>
  </si>
  <si>
    <t>.hack//Mutation</t>
  </si>
  <si>
    <t>.hack//Outbreak</t>
  </si>
  <si>
    <t>.hack//Quarantine</t>
  </si>
  <si>
    <t>This was my first experience playing through a relatively text heavy game in a language that I completely do not understand. The fact that the game has so many mechanics, but it was possible for me to basically mash one button throughout the entire story, says a lot about this game. However, I will say that it's an improvement over Utawarerumono: Zan in that it appears to have a lot more interesting concepts introduced, such as side missions, a hub area, a whole swath of mechanics which, if I understood them, would probably make the game more interesting because I could crank up the difficulty slider. I'll be trying this game again if it comes to the west.</t>
  </si>
  <si>
    <t>Chrono Cross: The Radical Dreamers Edition</t>
  </si>
  <si>
    <t>Ghostwire: Tokyo</t>
  </si>
  <si>
    <t>Tokyo Beat Down</t>
  </si>
  <si>
    <t>Necronomicon: The Dawning of Darkness</t>
  </si>
  <si>
    <t>Necronomicon</t>
  </si>
  <si>
    <t>Windbound</t>
  </si>
  <si>
    <t>I actually quite liked this one. Its lighthearted tone paired well with the darker undertones of body horror. I enjoyed the puzzley gameplay, figuring out how to capture each individual creature. The story was actually fairly engaging too, with some cute voice acting and unique side missions. Overall, a pretty enjoyable game!</t>
  </si>
  <si>
    <t>Seaman</t>
  </si>
  <si>
    <t>Magatama</t>
  </si>
  <si>
    <t>Team Breakout</t>
  </si>
  <si>
    <t>Who could've predicted it from just looking at this game, but Game Freak has made one of the best Pokémon games in years. It actually innovates on the formula and delivers on what fans have been asking for since at least the DS era. It's a shame it took so long for this to happen, but it's a joy to play something so fresh in this world. If only they had spent some more time smoothing out the rough edges and this game would have left an even more positive lasting impression.</t>
  </si>
  <si>
    <t>Everybody's Golf VR</t>
  </si>
  <si>
    <t>Interesting that this one received so much praise back on its release. I remember hearing extremely high praise for it, and while it was an enjoyable game I wouldn't place it as highly as the acclaim it initially received. I liked how you could grow your stats through the game, but it's unfortunate that it was exclusively from finding characters, so it's entirely possible to be quite underpowered from not exploring with no way to rectify it. Definitely a higher quality licensed game, but not quite the stellar game I was expecting.</t>
  </si>
  <si>
    <t>Dynasty Warriors 9: Empires</t>
  </si>
  <si>
    <t>Mario Strikers: Battle League</t>
  </si>
  <si>
    <t>Fluidity</t>
  </si>
  <si>
    <t>Chasing Aurora</t>
  </si>
  <si>
    <t>Chocobo GP</t>
  </si>
  <si>
    <t>Sega 3D Classics Collection</t>
  </si>
  <si>
    <t>Andro Dunos 2</t>
  </si>
  <si>
    <t>Death Note: Kira Game</t>
  </si>
  <si>
    <t>Death Note</t>
  </si>
  <si>
    <t>Death Note: L o Tsugu Mono</t>
  </si>
  <si>
    <t>King of Fighters R-1</t>
  </si>
  <si>
    <t>Neo-Geo Pocket</t>
  </si>
  <si>
    <t>King of Fighters R-2</t>
  </si>
  <si>
    <t>The King of Fighters: Maximum Impact</t>
  </si>
  <si>
    <t>SNK Playmore</t>
  </si>
  <si>
    <t>The King of Fighters '94 Re-Bout</t>
  </si>
  <si>
    <t>The King of Fighters Neowave</t>
  </si>
  <si>
    <t>The King of Fighters XI</t>
  </si>
  <si>
    <t>G1M2</t>
  </si>
  <si>
    <t>The King of Fighters '98: Ultimate Match</t>
  </si>
  <si>
    <t>The King of Fighters XII</t>
  </si>
  <si>
    <t>Pokémon Battle Trozei</t>
  </si>
  <si>
    <t>Psychonauts in the Rhombus of Ruin</t>
  </si>
  <si>
    <t>Doulbe Fine Productions</t>
  </si>
  <si>
    <t>Picross 3D</t>
  </si>
  <si>
    <t>Chronos Twins</t>
  </si>
  <si>
    <t>Oxygen Games</t>
  </si>
  <si>
    <t>EnjoyUP Games</t>
  </si>
  <si>
    <t>3D Classics: Kirby's Adventure</t>
  </si>
  <si>
    <t>One of the best Halo campaigns in years, probably since Halo Reach at least. The grappling hook is such a satisfying addition to Halo, and the story is actually interesting with some epic moments. It feels good to have a more grounded campaign after whatever the fuck happened in Halo 5. No coop is sorely missed, but the game still shines in solo. Excited to see what 343 does next because after three games they've finally found what made Halo special in the first place.</t>
  </si>
  <si>
    <t>Cosmic Fantasy 2</t>
  </si>
  <si>
    <t>Nippon Telenet</t>
  </si>
  <si>
    <t>Cosmic Fantasy</t>
  </si>
  <si>
    <t>Cadash</t>
  </si>
  <si>
    <t>Gungriffon</t>
  </si>
  <si>
    <t>Iron Storm</t>
  </si>
  <si>
    <t>Fossil Fighters: Champions</t>
  </si>
  <si>
    <t>Fossil Fighters: Frontier</t>
  </si>
  <si>
    <t>Kirby Battle Royale</t>
  </si>
  <si>
    <t>LBX: Little Battlers eXperience</t>
  </si>
  <si>
    <t>Little Battlers eXperience</t>
  </si>
  <si>
    <t>LEGO City Undercover</t>
  </si>
  <si>
    <t>LEGO City Undercover: The Chase Begins</t>
  </si>
  <si>
    <t>Mario Party: Island Tour</t>
  </si>
  <si>
    <t>Mario Party: Star Rush</t>
  </si>
  <si>
    <t>NDcube</t>
  </si>
  <si>
    <t>Mario Party: The Top 100</t>
  </si>
  <si>
    <t>Pokémon Rumble World</t>
  </si>
  <si>
    <t>Pilotwings Resort</t>
  </si>
  <si>
    <t>Tomodachi Life</t>
  </si>
  <si>
    <t>Tomodachi</t>
  </si>
  <si>
    <t>3D Gunstar Heroes</t>
  </si>
  <si>
    <t>3D Streets of Rage</t>
  </si>
  <si>
    <t>3D Streets of Rage 2</t>
  </si>
  <si>
    <t>Wii Sports Club</t>
  </si>
  <si>
    <t>Dedede's Drum Dash Deluxe</t>
  </si>
  <si>
    <t>The Denpa Men: They Came By Wave</t>
  </si>
  <si>
    <t>The Denpa Men</t>
  </si>
  <si>
    <t>The Denpa Men 2: Beyond the Waves</t>
  </si>
  <si>
    <t>The Denpa Men 3: The Rise of Digitoll</t>
  </si>
  <si>
    <t>Dr. Mario: Miracle Cure</t>
  </si>
  <si>
    <t>Fluidity: Spin Cycle</t>
  </si>
  <si>
    <t>Kirby's Blowout Blast</t>
  </si>
  <si>
    <t>Kirby Fighters Deluxe</t>
  </si>
  <si>
    <t>The Mysterious Murasame Castle</t>
  </si>
  <si>
    <t>Parascientific Escape: Cruise in the Distant Seas</t>
  </si>
  <si>
    <t>Parascientific Escape: Gear Detective</t>
  </si>
  <si>
    <t>Parascientific Escape: Crossing at the Farthest Horizon</t>
  </si>
  <si>
    <t>Picross 3D: Round 2</t>
  </si>
  <si>
    <t>Pocket Card Jockey</t>
  </si>
  <si>
    <t>Rusty's Real Deal Baseball</t>
  </si>
  <si>
    <t>Senran Kagura Burst</t>
  </si>
  <si>
    <t>Art Style: PiCTOBiTS</t>
  </si>
  <si>
    <t>Art Style: ZENGAGE</t>
  </si>
  <si>
    <t>Aura-Aura Climber</t>
  </si>
  <si>
    <t>Castle of Magic</t>
  </si>
  <si>
    <t>Dr. Mario Express</t>
  </si>
  <si>
    <t>Flametail</t>
  </si>
  <si>
    <t>Soul of Darkness</t>
  </si>
  <si>
    <t>WarioWare: Snapped!</t>
  </si>
  <si>
    <t>X-Scape</t>
  </si>
  <si>
    <t>Intense</t>
  </si>
  <si>
    <t>Parascientific Escape</t>
  </si>
  <si>
    <t>Art Style</t>
  </si>
  <si>
    <t>Mindware</t>
  </si>
  <si>
    <t>Steel Diver: Sub Wars</t>
  </si>
  <si>
    <t>Argonaut Games</t>
  </si>
  <si>
    <t>Dr. Luigi</t>
  </si>
  <si>
    <t>Tokyo Crash Mobs</t>
  </si>
  <si>
    <t>Nitnendo</t>
  </si>
  <si>
    <t>Mitchell Corp.</t>
  </si>
  <si>
    <t>Touch Detective Rising 3: Does Funghi Dream of Bananas?</t>
  </si>
  <si>
    <t>Cave Story 3D</t>
  </si>
  <si>
    <t>ThruSpace</t>
  </si>
  <si>
    <t>KeysFactory</t>
  </si>
  <si>
    <t>Ketzal's Corridors</t>
  </si>
  <si>
    <t>Pac-Man &amp; Galaga Dimensions</t>
  </si>
  <si>
    <t>Sonic Boom: Shattered Crystal</t>
  </si>
  <si>
    <t>Sonic Boom: Fire &amp; Ice</t>
  </si>
  <si>
    <t>Sonic Boom: Rise of Lyric</t>
  </si>
  <si>
    <t>Big Red Button</t>
  </si>
  <si>
    <t>Tank Troopers</t>
  </si>
  <si>
    <t>Mario vs. Donkey Kong: Minis March Again!</t>
  </si>
  <si>
    <t>SteamWorld Tower Defense</t>
  </si>
  <si>
    <t>There Is No Game: Wrong Dimension</t>
  </si>
  <si>
    <t>Draw Me A Pixel</t>
  </si>
  <si>
    <t>Shadow Man Remastered</t>
  </si>
  <si>
    <t>Nintendo Switch Sports</t>
  </si>
  <si>
    <t>Fire Emblem Warriors: Three Hopes</t>
  </si>
  <si>
    <t>Splatoon 3</t>
  </si>
  <si>
    <t>Live A Live</t>
  </si>
  <si>
    <t>Art Style: Orbient</t>
  </si>
  <si>
    <t>Art Style: Rotohex</t>
  </si>
  <si>
    <t>Art Style: Rotozoa</t>
  </si>
  <si>
    <t>Art Style: Cubello</t>
  </si>
  <si>
    <t>Art of Balance</t>
  </si>
  <si>
    <t>Art Style: light trax</t>
  </si>
  <si>
    <t>Magnetica</t>
  </si>
  <si>
    <t>Art Style: Aquia</t>
  </si>
  <si>
    <t>Art Style: Base 10</t>
  </si>
  <si>
    <t>Art Style: Boxlife</t>
  </si>
  <si>
    <t>Art Style: Digidrive</t>
  </si>
  <si>
    <t>Art Style: precipice</t>
  </si>
  <si>
    <t>Link 'n' Launch</t>
  </si>
  <si>
    <t>Starship Defense</t>
  </si>
  <si>
    <t>Super Robot Taisen W</t>
  </si>
  <si>
    <t>PoPoLoCrois</t>
  </si>
  <si>
    <t>PoPoLoCrois Monogatari II</t>
  </si>
  <si>
    <t>Rebel Galaxy Outlaw</t>
  </si>
  <si>
    <t>Atmos Games</t>
  </si>
  <si>
    <t>FAR: Lone Sails</t>
  </si>
  <si>
    <t>Mixtvision</t>
  </si>
  <si>
    <t>Okomotive</t>
  </si>
  <si>
    <t>FAR</t>
  </si>
  <si>
    <t>Cobra Kai: The Karate Kid Saga Continues</t>
  </si>
  <si>
    <t>Flux Games</t>
  </si>
  <si>
    <t>The Karate Kid</t>
  </si>
  <si>
    <t>Evan's Remains</t>
  </si>
  <si>
    <t>Whitethorn Games</t>
  </si>
  <si>
    <t>maitan69 (Matías Schmied)</t>
  </si>
  <si>
    <t>Police Stories</t>
  </si>
  <si>
    <t>Mighty Morgan</t>
  </si>
  <si>
    <t>Omori</t>
  </si>
  <si>
    <t>Fangamer</t>
  </si>
  <si>
    <t>Pokémon Scarlet</t>
  </si>
  <si>
    <t>Pocky &amp; Rocky Reshrined</t>
  </si>
  <si>
    <t>Amid Evil</t>
  </si>
  <si>
    <t>Indefatigable</t>
  </si>
  <si>
    <t>DUSK</t>
  </si>
  <si>
    <t>David Szymanski</t>
  </si>
  <si>
    <t>Dread Templar</t>
  </si>
  <si>
    <t>T19 Games</t>
  </si>
  <si>
    <t>HROT</t>
  </si>
  <si>
    <t>Spytihněv</t>
  </si>
  <si>
    <t>Hedon Bloodrite</t>
  </si>
  <si>
    <t>Zan_HedonDev</t>
  </si>
  <si>
    <t>Hellbound</t>
  </si>
  <si>
    <t>Nimble Giant Entertainment</t>
  </si>
  <si>
    <t>Saibot Studio</t>
  </si>
  <si>
    <t>Hedon</t>
  </si>
  <si>
    <t>Tecmo's Deception: Invitation to Darkness</t>
  </si>
  <si>
    <t>Deception</t>
  </si>
  <si>
    <t>Kagero: Deception II</t>
  </si>
  <si>
    <t>Deception III: Dark Delusion</t>
  </si>
  <si>
    <t>Trapt</t>
  </si>
  <si>
    <t>Deception IV: The Nightmare Princess</t>
  </si>
  <si>
    <t>I love the aesthetic of this series, and it's great that Square Enix has a model now where they can release cute stories within this framework, but I do wish that they would smooth out some of the wrinkles that mar the experience. The same complaints from the last game are still around here, and the story is somewhat weaker so it doesn't have that intrigue to carry it as well. Despite that, it's still a fun &amp; classic adventure, and I'll be sure to keep up with this series.</t>
  </si>
  <si>
    <t>A pretty weak Castlevania clone. The movement isn't as clean as the game appears to chug along. It's also ridiculously easy and quite short, with nothing particularly memorable. Far too many auto-scrolling sections with not too much to differentiate from level to level.</t>
  </si>
  <si>
    <t>SkateBIRD</t>
  </si>
  <si>
    <t>Backbone</t>
  </si>
  <si>
    <t>Lucifer Within Us</t>
  </si>
  <si>
    <t>Minit Fun Racer</t>
  </si>
  <si>
    <t>We should talk.</t>
  </si>
  <si>
    <t>Summer in Mara</t>
  </si>
  <si>
    <t>Glass Bottom Games</t>
  </si>
  <si>
    <t>Eggnut</t>
  </si>
  <si>
    <t>Hypnagogia 無限の夢 Boundless Dreams</t>
  </si>
  <si>
    <t>RaptorSoft</t>
  </si>
  <si>
    <t>sodaraptor</t>
  </si>
  <si>
    <t>Whitehorn Games</t>
  </si>
  <si>
    <t>Insatiable Cycle</t>
  </si>
  <si>
    <t>WE ARE DOOMED</t>
  </si>
  <si>
    <t>Chibig</t>
  </si>
  <si>
    <t>Mara</t>
  </si>
  <si>
    <t>Curious Expedition</t>
  </si>
  <si>
    <t>Maschinen-Mensch</t>
  </si>
  <si>
    <t>I'd forgotten how much I love a solid Picross game, and this one definitely scratched that itch. So happy there are seven more Picross games in the Picross e series for me to check out, on top of tons of themed Picross games. Who knows when I'll have enough?</t>
  </si>
  <si>
    <t>Club Nintendo Picross</t>
  </si>
  <si>
    <t>Club Nintendo Picross Plus</t>
  </si>
  <si>
    <t>Sanrio characters Picross</t>
  </si>
  <si>
    <t>Pictlogica Final Fantasy</t>
  </si>
  <si>
    <t>Picross e9</t>
  </si>
  <si>
    <t>Tokimeki Memorial: Densetsu no Ki no Shita de</t>
  </si>
  <si>
    <t>Tokimeki Memorial</t>
  </si>
  <si>
    <t>Chronovolt</t>
  </si>
  <si>
    <t>PlayerThree</t>
  </si>
  <si>
    <t>TxK</t>
  </si>
  <si>
    <t>Llamasoft</t>
  </si>
  <si>
    <t>Metal Unit</t>
  </si>
  <si>
    <t>NEOWIZ</t>
  </si>
  <si>
    <t>JellySnow Studio</t>
  </si>
  <si>
    <t>I wasn't as high on this one coming towards the end as I was the first game due to less intrigue driving the story (you really can't beat uncovering the mystery of what happened to the world), but this still holds up as an excellent game. The satisfying loop of destroying machines is still there to ground the game, and it builds on the lore in some interesting ways that also leave things open for future games. I'm excited to see where they take this world, I'll be on board for any and all sequels.</t>
  </si>
  <si>
    <t>Playing Status</t>
  </si>
  <si>
    <t>It's more Picross. What's not to love? Not much to differentiate this from Picross e other than the addition of Micross, but that's not what I'm expecting out of this series. I'm here for the puzzles.</t>
  </si>
  <si>
    <t>Lost Ark</t>
  </si>
  <si>
    <t>Smilegate</t>
  </si>
  <si>
    <t>Phantom Breaker: Omnia</t>
  </si>
  <si>
    <t>Dawn of the Monsters</t>
  </si>
  <si>
    <t>Ender Lilies: Quietus of the Knights</t>
  </si>
  <si>
    <t>Bloody Vampire</t>
  </si>
  <si>
    <t>Silver Star</t>
  </si>
  <si>
    <t>3D Classics: TwinBee</t>
  </si>
  <si>
    <t>3D Classics: Urban Champion</t>
  </si>
  <si>
    <t>3D Classics: Xevious</t>
  </si>
  <si>
    <t>Brave Dungeon</t>
  </si>
  <si>
    <t>The Legend of Dark Witch 3: Wisdom and Lunacy</t>
  </si>
  <si>
    <t>Moco Moco Friends</t>
  </si>
  <si>
    <t>The Legend of Dark Witch 2</t>
  </si>
  <si>
    <t>SpongeBob's Truth or Square</t>
  </si>
  <si>
    <t>Games with Gold</t>
  </si>
  <si>
    <t>In Sound Mind</t>
  </si>
  <si>
    <t>We Create Stuff</t>
  </si>
  <si>
    <t>The Quarry</t>
  </si>
  <si>
    <t>Silent Hill: Homecoming</t>
  </si>
  <si>
    <t>I'm going to run out of things to say about Picross by the time I get tired of this game. This one was a bit lesser than the Picross e games I've been playing, solely because it doesn't have a lot of the quality of life features which those later games have. This one had some of the more genuinely difficult puzzles I've faced.</t>
  </si>
  <si>
    <t>Shing!</t>
  </si>
  <si>
    <t>Mass Creation</t>
  </si>
  <si>
    <t>West of Dead</t>
  </si>
  <si>
    <t>Upstream Arcade</t>
  </si>
  <si>
    <t>Rustler</t>
  </si>
  <si>
    <t>Jutsu Games</t>
  </si>
  <si>
    <t>Endless Space 2</t>
  </si>
  <si>
    <t>Vagante</t>
  </si>
  <si>
    <t>Nuke Nine</t>
  </si>
  <si>
    <t>Expeditions: Viking</t>
  </si>
  <si>
    <t>Logic Artists</t>
  </si>
  <si>
    <t>Expeditions</t>
  </si>
  <si>
    <t>Ring of Pain</t>
  </si>
  <si>
    <t>Simon Boxer</t>
  </si>
  <si>
    <t>Supraland</t>
  </si>
  <si>
    <t>Supra Games</t>
  </si>
  <si>
    <t>Fable Anniversary</t>
  </si>
  <si>
    <t>Satisfactory</t>
  </si>
  <si>
    <t>Coffee Stain Publishing</t>
  </si>
  <si>
    <t>Mina the Hollower</t>
  </si>
  <si>
    <t>Kickstarter</t>
  </si>
  <si>
    <t>Eiyuden Chronicle: Hundred Heroes</t>
  </si>
  <si>
    <t>Sea of Stars</t>
  </si>
  <si>
    <t>Bittersweet Birthday</t>
  </si>
  <si>
    <t>Indiegogo</t>
  </si>
  <si>
    <t>Nine Sols</t>
  </si>
  <si>
    <t>Red Candle eShop</t>
  </si>
  <si>
    <t>Status</t>
  </si>
  <si>
    <t>Pending</t>
  </si>
  <si>
    <t>Order #</t>
  </si>
  <si>
    <t>6B801792794882314</t>
  </si>
  <si>
    <t>114-0613994-9187428</t>
  </si>
  <si>
    <t>Bayonetta 3</t>
  </si>
  <si>
    <t>Estimated Release</t>
  </si>
  <si>
    <t>N/A</t>
  </si>
  <si>
    <t>Q2 2023</t>
  </si>
  <si>
    <t>Address on Order</t>
  </si>
  <si>
    <t>Say No! More</t>
  </si>
  <si>
    <t>Studio Fizbin</t>
  </si>
  <si>
    <t>Lust from Beyond: M Edition</t>
  </si>
  <si>
    <t>Movie Games Lunarium</t>
  </si>
  <si>
    <t>Dynasty Warriors 3: Xtreme Legends</t>
  </si>
  <si>
    <t>Dynasty Warriors 4: Xtreme Legends</t>
  </si>
  <si>
    <t>Dynasty Warriors 4: Empires</t>
  </si>
  <si>
    <t>Dynasty Warriors 5: Xtreme Legends</t>
  </si>
  <si>
    <t>Dynasty Warriors 5: Empires</t>
  </si>
  <si>
    <t>Dynasty Warriors 6: Empires</t>
  </si>
  <si>
    <t>Dynasty Warriors 7: Xtreme Legends</t>
  </si>
  <si>
    <t>Dynasty Warriors 7: Empires</t>
  </si>
  <si>
    <t>Dynasty Warriors 8: Empires</t>
  </si>
  <si>
    <t>Sengoku Musou Chronicle 2nd</t>
  </si>
  <si>
    <t>Redline</t>
  </si>
  <si>
    <t>Beyond Games</t>
  </si>
  <si>
    <t>Phase Paradox</t>
  </si>
  <si>
    <t>Driving Emotion Type-S</t>
  </si>
  <si>
    <t>Escape</t>
  </si>
  <si>
    <t>Waxworks</t>
  </si>
  <si>
    <t>Horror Soft</t>
  </si>
  <si>
    <t>Ribbit King</t>
  </si>
  <si>
    <t>Kero Kero King</t>
  </si>
  <si>
    <t>Lighthouse: The Dark Being</t>
  </si>
  <si>
    <t>Dragon Shadow Spell</t>
  </si>
  <si>
    <t>Elvandia Story</t>
  </si>
  <si>
    <t>Narita Boy</t>
  </si>
  <si>
    <t>Studio Koba</t>
  </si>
  <si>
    <t>Tunic</t>
  </si>
  <si>
    <t>Andrew Shouldice</t>
  </si>
  <si>
    <t>Touken Ranbu Warriors</t>
  </si>
  <si>
    <t>Gotta Protectors</t>
  </si>
  <si>
    <t>Fox Junction</t>
  </si>
  <si>
    <t>Trips</t>
  </si>
  <si>
    <t>Pretty clear step down from Picross e2. I thought each game would be indistinguishable but this one lacked quality compared to the first two games. First of all, there are fewer normal Picross puzzles, and the added "Mega Picross" isn't anything like Micross from Picross e2. I didn't feel like it added much to the game, and it actually ended up being more frustrating than fun for me. I'll likely be skipping Mega Picross puzzles if they show up in future entries.</t>
  </si>
  <si>
    <t>Hakama</t>
  </si>
  <si>
    <t>Space Jam: A New Legacy - The Game</t>
  </si>
  <si>
    <t>Space Jam</t>
  </si>
  <si>
    <t>Poochy &amp; Yoshi's Woolly World</t>
  </si>
  <si>
    <t>Nano Assault EX</t>
  </si>
  <si>
    <t>Art of Balance TOUCH!</t>
  </si>
  <si>
    <t>Demon's Tilt</t>
  </si>
  <si>
    <t>FLARB</t>
  </si>
  <si>
    <t>WIZNWAR</t>
  </si>
  <si>
    <t>Kakuto Chojin: Back Alley Brutal</t>
  </si>
  <si>
    <t>Dream Publishing</t>
  </si>
  <si>
    <t>Project Gotham Racing</t>
  </si>
  <si>
    <t>Project Gotham Racing 2</t>
  </si>
  <si>
    <t>Project Gotham Racing 3</t>
  </si>
  <si>
    <t>Project Gotham Racing 4</t>
  </si>
  <si>
    <t>Amped: Freestyle Snowboarding</t>
  </si>
  <si>
    <t>Indie Built</t>
  </si>
  <si>
    <t>Amped</t>
  </si>
  <si>
    <t>Amped 2</t>
  </si>
  <si>
    <t>Amped 3</t>
  </si>
  <si>
    <t>Quantum Redshift</t>
  </si>
  <si>
    <t>Curly Monsters</t>
  </si>
  <si>
    <t>Tao Feng: Fist of the Lotus</t>
  </si>
  <si>
    <t>Studio Gigante</t>
  </si>
  <si>
    <t>Voodoo Vince</t>
  </si>
  <si>
    <t>Beep Industries</t>
  </si>
  <si>
    <t>ANNO: Mutationem</t>
  </si>
  <si>
    <t>Gotta Protectors: Cart of Darkness</t>
  </si>
  <si>
    <t>Ghostwire: Tokyo - Prelude</t>
  </si>
  <si>
    <t>Kokuga</t>
  </si>
  <si>
    <t>Wakedas</t>
  </si>
  <si>
    <t>Pokémon Picross</t>
  </si>
  <si>
    <t>Mini Mario &amp; Friends: amiibo Challenge</t>
  </si>
  <si>
    <t>Nintendo Pocket Football Club</t>
  </si>
  <si>
    <t>ParityBit</t>
  </si>
  <si>
    <t>Divergent Shift</t>
  </si>
  <si>
    <t>Intrinsic Games</t>
  </si>
  <si>
    <t>Pro Jumper! Guilty Gear Tangent!?</t>
  </si>
  <si>
    <t>Adventure Time: Hey Ice King! Why'd You Steal Our Garbage?!!</t>
  </si>
  <si>
    <t>Adventure Time</t>
  </si>
  <si>
    <t>Adventure Time: Explore the Dungeon Because I DON'T KNOW!</t>
  </si>
  <si>
    <t>Adventure Time: The Secret of the Nameless Kingdom</t>
  </si>
  <si>
    <t>Little Orbit</t>
  </si>
  <si>
    <t>Adventure Time: Finn &amp; Jake Investigations</t>
  </si>
  <si>
    <t>Narita Boy really should've captured me with its aesthetic and vibes, but the gameplay was just too boring (and at worst frustrating) to keep me interested. Fights were same-y, and not challenging in the right ways mainly coming down to a formulaic "if this enemy, use this skill" type of fighting. This, combined with some wonky controls really marred the cool exterior of this game.</t>
  </si>
  <si>
    <t>Dusk Diver 2</t>
  </si>
  <si>
    <t>Ushio to Tora: Shin'en no Daiyō</t>
  </si>
  <si>
    <t>Ushio to Tora</t>
  </si>
  <si>
    <t>Otaku no Seiza: An Adventure in the Otaku Galaxy</t>
  </si>
  <si>
    <t>M&amp;M</t>
  </si>
  <si>
    <t>Shin SD Gundam Gaiden: Knight Gundam Monogatari</t>
  </si>
  <si>
    <t>Fast &amp; Furious: Crossroads</t>
  </si>
  <si>
    <t>Coming off of Final Fantasy Tactics pretty recently, this game definitely evoked the highs of  Tactics. It's well crafted to encourage strategic gameplay while limiting grinding, often placing you in scenarios that seem insurmountable. The story is interesting with likeable characters, only slightly marred by cheesy voice acting. The only real thing this game is missing is a job system, which feels as though it would fit perfectly in this obviously Tactics inspired game.</t>
  </si>
  <si>
    <t>Damaged case, UAE / Saudi Arabia / Malaysia / Singapore edition</t>
  </si>
  <si>
    <t>Gemdrops</t>
  </si>
  <si>
    <t>Fragrant Story</t>
  </si>
  <si>
    <t>Squire Games</t>
  </si>
  <si>
    <t>50 Cent: Bulletproof G Unit Edition</t>
  </si>
  <si>
    <t>After Burner III</t>
  </si>
  <si>
    <t>CRI Middleware</t>
  </si>
  <si>
    <t>After Burner Climax</t>
  </si>
  <si>
    <t>After Burner: Black Falcon</t>
  </si>
  <si>
    <t>Black Rock Shooter: The Game</t>
  </si>
  <si>
    <t>Black Rock Shooter</t>
  </si>
  <si>
    <t>Bounty Hounds</t>
  </si>
  <si>
    <t>Brandish: The Dark Revenant</t>
  </si>
  <si>
    <t>Brothers in Arms: Road to Hill 30</t>
  </si>
  <si>
    <t>Brothers in Arms: Earned in Blood</t>
  </si>
  <si>
    <t>Brothers in Arms: D-Day</t>
  </si>
  <si>
    <t>Brothers in Arms DS</t>
  </si>
  <si>
    <t>Brothers in Arms: Double Time</t>
  </si>
  <si>
    <t>Cho Aniki Zero</t>
  </si>
  <si>
    <t>extreme Co., Ltd.</t>
  </si>
  <si>
    <t>Cladun: This is an RPG</t>
  </si>
  <si>
    <t>Cladun</t>
  </si>
  <si>
    <t>Coded Arms</t>
  </si>
  <si>
    <t>Coded Arms: Contagion</t>
  </si>
  <si>
    <t>Creat Studios</t>
  </si>
  <si>
    <t>Coded Soul: Uketsugareshi Idea</t>
  </si>
  <si>
    <t>Crazy Taxi: Fare Wars</t>
  </si>
  <si>
    <t>Sniper Studios</t>
  </si>
  <si>
    <t>Crazy Taxi 3: High Roller</t>
  </si>
  <si>
    <t>Crazy Taxi: Catch a Ride</t>
  </si>
  <si>
    <t>Graphic State</t>
  </si>
  <si>
    <t>Dead to Rights</t>
  </si>
  <si>
    <t>Dead to Rights II</t>
  </si>
  <si>
    <t>Widscreen Games</t>
  </si>
  <si>
    <t>Dead to Rights: Retribution</t>
  </si>
  <si>
    <t>Volatile Games</t>
  </si>
  <si>
    <t>Dead to Rights: Reckoning</t>
  </si>
  <si>
    <t>Driver '76</t>
  </si>
  <si>
    <t>Dungeon Maker: Hunting Ground</t>
  </si>
  <si>
    <t>Dungeon Siege: Throne of Agony</t>
  </si>
  <si>
    <t>Dungeons &amp; Dragons Tactics</t>
  </si>
  <si>
    <t>Great Battle Fullblast</t>
  </si>
  <si>
    <t>Compati Hero</t>
  </si>
  <si>
    <t>Guilty Gear Judgment</t>
  </si>
  <si>
    <t>Harvest Moon: Hero of Leaf Valley</t>
  </si>
  <si>
    <t>Jikandia: The Timeless Land</t>
  </si>
  <si>
    <t>Opus Studio</t>
  </si>
  <si>
    <t>Me &amp; My Katamari</t>
  </si>
  <si>
    <t>Neo Geo Heroes: Ultimate Shooting</t>
  </si>
  <si>
    <t>Fast &amp; Furious</t>
  </si>
  <si>
    <t>Another Sight</t>
  </si>
  <si>
    <t>Toplitz Productions</t>
  </si>
  <si>
    <t>Lunar Great Wall Studios</t>
  </si>
  <si>
    <t>Weird West</t>
  </si>
  <si>
    <t>Nanotale: Typing Chronicles</t>
  </si>
  <si>
    <t>Epistory</t>
  </si>
  <si>
    <t>Galaxy of Pen and Paper</t>
  </si>
  <si>
    <t>Darkstalkers Chronicle: The Chaos Tower</t>
  </si>
  <si>
    <t>Capcom Production Studio 5</t>
  </si>
  <si>
    <t>Dungeon Explorer II</t>
  </si>
  <si>
    <t>Dungeon Explorer: Warriors of Ancient Arts</t>
  </si>
  <si>
    <t>Kenka Bancho: Badass Rumble</t>
  </si>
  <si>
    <t>Kenka Bancho</t>
  </si>
  <si>
    <t>KOF: Sky Stage</t>
  </si>
  <si>
    <t>Yggdra Unison</t>
  </si>
  <si>
    <t>Gloria Union: Twin Fates in Blue Ocean</t>
  </si>
  <si>
    <t>SD Gundam Force</t>
  </si>
  <si>
    <t>Mobile Suit Gundam: Crossfire</t>
  </si>
  <si>
    <t>Mobile Suit Gundam: Gundam vs. Zeta Gundam</t>
  </si>
  <si>
    <t>Mobile Suit Gundam: Federation vs. Zeon</t>
  </si>
  <si>
    <t>Mobile Suit Gundam: Zeonic Front</t>
  </si>
  <si>
    <t>Mobile Suit Gundam: Encounters in Space</t>
  </si>
  <si>
    <t>Mobile Suit Gundam: Journey to Jaburo</t>
  </si>
  <si>
    <t>Gundam: Battle Assault</t>
  </si>
  <si>
    <t>Gundam: Battle Assault 2</t>
  </si>
  <si>
    <t>Mobile Suit Gundam Seed: Battle Assault</t>
  </si>
  <si>
    <t>Battle Assault 3: Featuring Gundam Seed</t>
  </si>
  <si>
    <t>Nora to Toki no Koubou: Kiri no Mori no Majo</t>
  </si>
  <si>
    <t>FairyTale</t>
  </si>
  <si>
    <t>Nightmare Collection</t>
  </si>
  <si>
    <t>Demolition Girl</t>
  </si>
  <si>
    <t>Omega Boost</t>
  </si>
  <si>
    <t>Outwars</t>
  </si>
  <si>
    <t>Seems like this is the one where they've settled on all of the core puzzle types that persist throughout the rest of Picross e, so I'm thinking this may end up being the pinnacle. I glanced through the rest of Picross e and they don't seem to add anything new throughout. This one doesn't technically add anything new, but it collects everything the series has done so far and puts it all together in one excellent package. I've also now changed my mind about Mega Picross!</t>
  </si>
  <si>
    <t>Made in Abyss: Binary Star Falling Into Darkness</t>
  </si>
  <si>
    <t>Kamiwaza: Way of the Thief</t>
  </si>
  <si>
    <t>Prinny Presents NIS Classics Volume 3: La Pucelle: Ragnarok / Rhapsody: A Musical Adventure</t>
  </si>
  <si>
    <t>Monster Sanctuary</t>
  </si>
  <si>
    <t>moi rai games</t>
  </si>
  <si>
    <t>Chicken Police: Paint it RED!</t>
  </si>
  <si>
    <t>The Wild Gentlemen</t>
  </si>
  <si>
    <t>Naruto to Boruto: Shinobi Striker</t>
  </si>
  <si>
    <t>Soleil Ltd.</t>
  </si>
  <si>
    <t>Naruto</t>
  </si>
  <si>
    <t>Rengoku</t>
  </si>
  <si>
    <t>Dr. Slump</t>
  </si>
  <si>
    <t>Picross S: Genesis &amp; Master System Edition</t>
  </si>
  <si>
    <t>Puyo Puyo Fever 2</t>
  </si>
  <si>
    <t>Puyo Puyo! 15th Anniversary</t>
  </si>
  <si>
    <t>Puyo Puyo!! 20th Anniversary</t>
  </si>
  <si>
    <t>Puyo Pop</t>
  </si>
  <si>
    <t>Puyo Puyo DA!</t>
  </si>
  <si>
    <t>Puyo Puyo~n</t>
  </si>
  <si>
    <t>Puyo Puyo SUN 64</t>
  </si>
  <si>
    <t>Nazo Puyo</t>
  </si>
  <si>
    <t>Nazo Puyo 2</t>
  </si>
  <si>
    <t>Nazo Puyo: Arle no Roux</t>
  </si>
  <si>
    <t>Super Nazo Puyo: Rulue no Roux</t>
  </si>
  <si>
    <t>Super Nazo Puyo Tsu: Rulue no Tetsuwan Hanjouki</t>
  </si>
  <si>
    <t>Waku Waku Puyo Puyo Dungeon</t>
  </si>
  <si>
    <t>Puyo Puyo Gaiden: Puyo Wars</t>
  </si>
  <si>
    <t>Arle no Bouken: Mahou no Jewel</t>
  </si>
  <si>
    <t>LEGO Marvel Super Heroes: Universe in Peril</t>
  </si>
  <si>
    <t>Evergate</t>
  </si>
  <si>
    <t>Project: Horned Owl</t>
  </si>
  <si>
    <t>Soul Eater: Battle Resonance</t>
  </si>
  <si>
    <t>Bec</t>
  </si>
  <si>
    <t>Soul Eater</t>
  </si>
  <si>
    <t>While I will say that this is one of the best LEGO games in quite some time from my vantage point, it is ultimately "another one of those." I found it enjoyable, but in the same way that I find a fast food meal enjoyable. It's sugary and salty but without much substance. The game is also ravaged by performance issues, bugs, and crashes on Switch which certainly did not make the experience a nicer one.</t>
  </si>
  <si>
    <t>Vanishing Realms: Rite of Steel</t>
  </si>
  <si>
    <t>Indimo Labs</t>
  </si>
  <si>
    <t>Down the Rabbit Hole</t>
  </si>
  <si>
    <t>Cortopia Studios</t>
  </si>
  <si>
    <t>Vacation Simulator</t>
  </si>
  <si>
    <t>Stone Lantern Games</t>
  </si>
  <si>
    <t>Justdan</t>
  </si>
  <si>
    <t>Wanin International</t>
  </si>
  <si>
    <t>Star Wars Racer &amp; Commando Combo</t>
  </si>
  <si>
    <t>LEGO Marvel Super Heroes 2</t>
  </si>
  <si>
    <t>LEGO The Incredibles</t>
  </si>
  <si>
    <t>Outpost Kaloki X</t>
  </si>
  <si>
    <t>The Dark Side of the Moon: An Interactive FMV Thriller</t>
  </si>
  <si>
    <t>Tayanna Studios</t>
  </si>
  <si>
    <t>Driver: Renegade</t>
  </si>
  <si>
    <t>Xenoblade Chronicles 3</t>
  </si>
  <si>
    <t>William Kage</t>
  </si>
  <si>
    <t>A Juggler's Tale</t>
  </si>
  <si>
    <t>kaleidoscube</t>
  </si>
  <si>
    <t>TOEM</t>
  </si>
  <si>
    <t>Something We Made</t>
  </si>
  <si>
    <t>Space Crew: Legendary Edition</t>
  </si>
  <si>
    <t>El Hijo: A Wild West Tale</t>
  </si>
  <si>
    <t>Honig Studios</t>
  </si>
  <si>
    <t>One of the best indie games I've played in quite some time! Though I felt like the later game was a bit bogged down with excessive backtracking and needlessly removing stats, making it a fair bit more difficult and frustrating, the rest of the game was a complete joy in every aspect. Exploration, music, atmosphere, even the combat was fun.</t>
  </si>
  <si>
    <t>Operation Darkness</t>
  </si>
  <si>
    <t>Daikaijū Monogatari</t>
  </si>
  <si>
    <t>Daikaijū Monogatari II</t>
  </si>
  <si>
    <t>AIM</t>
  </si>
  <si>
    <t>Suzumiya Haruhi no Chokuretsu</t>
  </si>
  <si>
    <t>Haruhi Suzumiya</t>
  </si>
  <si>
    <t>64th Street: A Detective Story</t>
  </si>
  <si>
    <t>C.P. Brain</t>
  </si>
  <si>
    <t>The Warriors</t>
  </si>
  <si>
    <t>Rockstar Toronto</t>
  </si>
  <si>
    <t>Final Fantasy Dimensions</t>
  </si>
  <si>
    <t>Final Fantasy Dimensions II</t>
  </si>
  <si>
    <t>Bounty Hunter Sara: Holy Mountain no Teiou</t>
  </si>
  <si>
    <t>Bounty Hunter Sara</t>
  </si>
  <si>
    <t>Critical Bullet: 7th Target</t>
  </si>
  <si>
    <t>Ruined King: A League of Legends Story</t>
  </si>
  <si>
    <t>Riot Forge</t>
  </si>
  <si>
    <t>League of Legends</t>
  </si>
  <si>
    <t>Sword Art Online: Fatal Bullet</t>
  </si>
  <si>
    <t>Leg Strap Edition</t>
  </si>
  <si>
    <t>Nights of Azure</t>
  </si>
  <si>
    <t>Cloning Clyde</t>
  </si>
  <si>
    <t>Clubhouse Games: 51 Worldwide Classics</t>
  </si>
  <si>
    <t>Picorinne Soft</t>
  </si>
  <si>
    <t>PixelHeart</t>
  </si>
  <si>
    <t>Clubhouse Games</t>
  </si>
  <si>
    <t>Prinny Presents NIS Classics Volume 2: Makai Kingdom: Reclaimed &amp; Rebound / Z.H.P. Unlosing Ranger VS Darkdeath Evilman</t>
  </si>
  <si>
    <t>Genesis Noir</t>
  </si>
  <si>
    <t>Feral Cat Den</t>
  </si>
  <si>
    <t>Surviving the Aftermath</t>
  </si>
  <si>
    <t>Iceflake Studios</t>
  </si>
  <si>
    <t>Planet Zoo</t>
  </si>
  <si>
    <t>Sifu</t>
  </si>
  <si>
    <t>Vengeance Edition</t>
  </si>
  <si>
    <t>One Piece Odyssey</t>
  </si>
  <si>
    <t>Pretty much the perfect iteration of the Souls formula, so much so that I'm curious what FromSoftware could even do next. They've absolutely knocked it out of the park, and proven themselves to be the total masters of this style of game. The open world is truly the best open world ever made, and the gameplay is at its peak with incredible build diversity &amp; options galore regardless of the type of player you are. Astounding game.</t>
  </si>
  <si>
    <t>LKA</t>
  </si>
  <si>
    <t>Otomedius Gorgeous!</t>
  </si>
  <si>
    <t>Otomedius</t>
  </si>
  <si>
    <t>Otomedius Excellent</t>
  </si>
  <si>
    <t>Mamorukun Curse!</t>
  </si>
  <si>
    <t>Trouble Witches Neo!</t>
  </si>
  <si>
    <t>Adventure Planning Service</t>
  </si>
  <si>
    <t>Trouble Witches</t>
  </si>
  <si>
    <t>The Inner World: The Last Wind Monk</t>
  </si>
  <si>
    <t>The Inner World</t>
  </si>
  <si>
    <t>TROUBLESHOOTER: Abandoned Children</t>
  </si>
  <si>
    <t>Dandylion</t>
  </si>
  <si>
    <t>Redout: Enhanced Edition</t>
  </si>
  <si>
    <t>34BigThings</t>
  </si>
  <si>
    <t>Redout</t>
  </si>
  <si>
    <t>Whoo boy. There's a lot to get into with this game. It's got an interesting style &amp; setup that ultimately falls flat with overly grindy gameplay, an extremely wordy story that could've done with a few more rounds of editing, and a latter half that completely falls apart. I've had to play games where you need to play the same scenario multiple times to receive different dialogue and eventually unlock the ending, but here it was just boring. The fact that enemies scale between chapters also made grinding necessary to a degree that completely killed any pacing the game had. The gameplay itself is okay, and with some tweaks would probably even be good, but gets boring after playing the same battle for grinding the 100th time. Also the game kept crashing at the worst moments.</t>
  </si>
  <si>
    <t>Cotton Fantasy: Superlative Night Dreams</t>
  </si>
  <si>
    <t>Fantavision</t>
  </si>
  <si>
    <t>Shining Force III Scenario 2: Nerawareta Miko</t>
  </si>
  <si>
    <t>Shining Force III Scenario 3: Hyoheki no Jashingu</t>
  </si>
  <si>
    <t>Digimon Story: Lost Evolution</t>
  </si>
  <si>
    <t>Blue Forest Story: Kaze no Fūin</t>
  </si>
  <si>
    <t>Right Stuff Corporation</t>
  </si>
  <si>
    <t>Abarenbou Princess</t>
  </si>
  <si>
    <t>Velldeselba Senki: Tsubasa no Kunshō</t>
  </si>
  <si>
    <t>Tenky Co. Ltd.</t>
  </si>
  <si>
    <t>Tenshi Doumei</t>
  </si>
  <si>
    <t>TGL</t>
  </si>
  <si>
    <t>Entergram</t>
  </si>
  <si>
    <t>Surging Aura</t>
  </si>
  <si>
    <t>Japan Media Programming</t>
  </si>
  <si>
    <t>Koei Tecmo Games</t>
  </si>
  <si>
    <t>Touken Ranbu</t>
  </si>
  <si>
    <t>SwordQuest: Earthworld</t>
  </si>
  <si>
    <t>SwordQuest</t>
  </si>
  <si>
    <t>SwordQuest: Fireworld</t>
  </si>
  <si>
    <t>SwordQuest: Waterworld</t>
  </si>
  <si>
    <t>Ningyo no Rakuin</t>
  </si>
  <si>
    <t>Germs: Nerawareta Machi</t>
  </si>
  <si>
    <t>KAJ Corporation</t>
  </si>
  <si>
    <t>Iblard: Rapture no Kaeru Machi</t>
  </si>
  <si>
    <t>Xerd no Densetsu</t>
  </si>
  <si>
    <t>Graphic Research</t>
  </si>
  <si>
    <t>Xerd no Densetsu II</t>
  </si>
  <si>
    <t>Asuka 120% Final BURNING Fest.</t>
  </si>
  <si>
    <t>Family Soft</t>
  </si>
  <si>
    <t>Asuka 120%</t>
  </si>
  <si>
    <t>Basted</t>
  </si>
  <si>
    <t>NEC Avenue</t>
  </si>
  <si>
    <t>AIC Spirits</t>
  </si>
  <si>
    <t>Garage: Bad Dream Adventure</t>
  </si>
  <si>
    <t>Kinotrope</t>
  </si>
  <si>
    <t>Götzendiener</t>
  </si>
  <si>
    <t>Hoshi wa Sagashite…</t>
  </si>
  <si>
    <t>Linda³</t>
  </si>
  <si>
    <t>Linda³ Again</t>
  </si>
  <si>
    <t>Nemu Lu Mayu</t>
  </si>
  <si>
    <t>Samurai Kid</t>
  </si>
  <si>
    <t>Sengoku Turb</t>
  </si>
  <si>
    <t>Shadows of the Tusk</t>
  </si>
  <si>
    <t>WarTech: Senko no Ronde</t>
  </si>
  <si>
    <t>Senko no Ronde</t>
  </si>
  <si>
    <t>Addie no Okurimono: To Moze from Addie</t>
  </si>
  <si>
    <t>addie software</t>
  </si>
  <si>
    <t>Sword Art Online: Hollow Realization</t>
  </si>
  <si>
    <t>Hotel Mario</t>
  </si>
  <si>
    <t>Philips Interactive Media</t>
  </si>
  <si>
    <t>Philips Fantasy Factory</t>
  </si>
  <si>
    <t>Metal Max Xeno Reborn</t>
  </si>
  <si>
    <t>Temtem</t>
  </si>
  <si>
    <t>Super Bullet Break</t>
  </si>
  <si>
    <t>The Hardy Boys: The Perfect Crime</t>
  </si>
  <si>
    <t>Dreamcatcher</t>
  </si>
  <si>
    <t>The Hardy Boys: The Hidden Theft</t>
  </si>
  <si>
    <t>Xpec</t>
  </si>
  <si>
    <t>The Hardy Boys: Treasure on the Tracks</t>
  </si>
  <si>
    <t>Her Interactive</t>
  </si>
  <si>
    <t>The Hardy Boys</t>
  </si>
  <si>
    <t>Bug!</t>
  </si>
  <si>
    <t>Realtime Associates</t>
  </si>
  <si>
    <t>Bug Too!</t>
  </si>
  <si>
    <t>Spot Goes to Hollywood</t>
  </si>
  <si>
    <t>Burst Studios</t>
  </si>
  <si>
    <t>Accel World VS. Sword Art Online: Millennium Twilight</t>
  </si>
  <si>
    <t>Asterisk War</t>
  </si>
  <si>
    <t>Adventure Bar Story</t>
  </si>
  <si>
    <t>Rideon</t>
  </si>
  <si>
    <t>Adventure Labyrinth Story</t>
  </si>
  <si>
    <t>Adventures to Go!</t>
  </si>
  <si>
    <t>Natsuma</t>
  </si>
  <si>
    <t>Global A</t>
  </si>
  <si>
    <t>Ayakashi no Shiro</t>
  </si>
  <si>
    <t>Bahamut Senki</t>
  </si>
  <si>
    <t>Beta Bloc</t>
  </si>
  <si>
    <t>Bishōjo Senshi Sailor Moon: Another Story</t>
  </si>
  <si>
    <t>Angel</t>
  </si>
  <si>
    <t>Sailor Moon</t>
  </si>
  <si>
    <t>Bloody Warriors: Shan Go no Gyakushū</t>
  </si>
  <si>
    <t>Toei</t>
  </si>
  <si>
    <t>Chaos Seed: Fuusui Kairouki</t>
  </si>
  <si>
    <t>Columbus: Ougon no Yoake</t>
  </si>
  <si>
    <t>Tomy Corporation</t>
  </si>
  <si>
    <t>Beast Busters</t>
  </si>
  <si>
    <t>Deep Dungeon III: Yuushi e no Tabi</t>
  </si>
  <si>
    <t>Hummingbird Soft</t>
  </si>
  <si>
    <t>Deep Dungeon</t>
  </si>
  <si>
    <t>Dragonseeds</t>
  </si>
  <si>
    <t>Dragon Scroll: Yomigaerishi Maryuu</t>
  </si>
  <si>
    <t>Dragon Valor</t>
  </si>
  <si>
    <t>Drone Tactics</t>
  </si>
  <si>
    <t>Dynasty Warriors: Godseekers</t>
  </si>
  <si>
    <t>Eternal Quest</t>
  </si>
  <si>
    <t>Midas Interactive</t>
  </si>
  <si>
    <t>Faselei!</t>
  </si>
  <si>
    <t>Fishing Fantasy: BuzzRod</t>
  </si>
  <si>
    <t>Starfish</t>
  </si>
  <si>
    <t>Fushigi no Umi no Nadia</t>
  </si>
  <si>
    <t>Nadia: The Secret of the Blue Water</t>
  </si>
  <si>
    <t>Galaxy Robo</t>
  </si>
  <si>
    <t>Copya Systems</t>
  </si>
  <si>
    <t>Ghost Lion</t>
  </si>
  <si>
    <t>Gladiator Begins</t>
  </si>
  <si>
    <t>GOSHOW</t>
  </si>
  <si>
    <t>Grand Master</t>
  </si>
  <si>
    <t>Varie</t>
  </si>
  <si>
    <t>Fullmetal Alchemist: Omoide no Sonata</t>
  </si>
  <si>
    <t>Heracles no Eikō: Ugokidashita Kamigami</t>
  </si>
  <si>
    <t>Heracles no Eikō III: Kamigami no Chinmoku</t>
  </si>
  <si>
    <t>Heracles no Eikō IV: Kamigami-kara no Okurimono</t>
  </si>
  <si>
    <t>Just Breed</t>
  </si>
  <si>
    <t>Random House</t>
  </si>
  <si>
    <t>Kininkou Maroku Oni</t>
  </si>
  <si>
    <t>Legacy of the Wizard</t>
  </si>
  <si>
    <t>Dragon Slayer</t>
  </si>
  <si>
    <t>Little Master: Raikuban no Densetsu</t>
  </si>
  <si>
    <t>Little Ninja Brothers</t>
  </si>
  <si>
    <t>Kung-Fu Heroes</t>
  </si>
  <si>
    <t>Nihon Game</t>
  </si>
  <si>
    <t>Madō Monogatari A: Doki Doki Vacation</t>
  </si>
  <si>
    <t>Madō Monogatari I</t>
  </si>
  <si>
    <t>Madō Monogatari I: Honoo no Sotsuenko</t>
  </si>
  <si>
    <t>Goo!</t>
  </si>
  <si>
    <t>Madō Monogatari II: Arle 16-Sai</t>
  </si>
  <si>
    <t>Madō Monogatari III: Kyuukyoku Joou-Sama</t>
  </si>
  <si>
    <t>Magician's Quest: Mysterious Times</t>
  </si>
  <si>
    <t>Tongari Boushi</t>
  </si>
  <si>
    <t>Mahou Kishi Rayearth</t>
  </si>
  <si>
    <t>Monster Racers</t>
  </si>
  <si>
    <t>Makai Hakkenden: Shada</t>
  </si>
  <si>
    <t>Moldorian: Hikari to Yami no Sister</t>
  </si>
  <si>
    <t>Rit's</t>
  </si>
  <si>
    <t>Monster * Race</t>
  </si>
  <si>
    <t>Monster Rancher 2</t>
  </si>
  <si>
    <t>Monster Rancher 3</t>
  </si>
  <si>
    <t>Monster Rancher 4</t>
  </si>
  <si>
    <t>Monster Rancher EVO</t>
  </si>
  <si>
    <t>Monster Rancher DS</t>
  </si>
  <si>
    <t>Napoleon</t>
  </si>
  <si>
    <t>FR</t>
  </si>
  <si>
    <t>Naruto: Path of the Ninja</t>
  </si>
  <si>
    <t>Naruto: Path of the Ninja 2</t>
  </si>
  <si>
    <t>Nushi Tsuri Adventure: Kite no Bouken</t>
  </si>
  <si>
    <t>One Piece: Romance Dawn</t>
  </si>
  <si>
    <t>Three Rings</t>
  </si>
  <si>
    <t>Out Live</t>
  </si>
  <si>
    <t>Sun Electronics</t>
  </si>
  <si>
    <t>Outlanders</t>
  </si>
  <si>
    <t>Victor Musical Industries</t>
  </si>
  <si>
    <t>Ranma ½: Akanekodan Teki Hihou</t>
  </si>
  <si>
    <t>Ranma ½</t>
  </si>
  <si>
    <t>Rumic Soft</t>
  </si>
  <si>
    <t>River King: Mystic Valley</t>
  </si>
  <si>
    <t>Shepherd's Crossing</t>
  </si>
  <si>
    <t>Valcon Games</t>
  </si>
  <si>
    <t>Shiryō Sensen: War of the Dead</t>
  </si>
  <si>
    <t>Spectral Force Genesis</t>
  </si>
  <si>
    <t>Super Chinese World 2</t>
  </si>
  <si>
    <t>Super Chinese World 3</t>
  </si>
  <si>
    <t>Super Ninja Boy</t>
  </si>
  <si>
    <t>Epoch</t>
  </si>
  <si>
    <t>Sylvanian Families</t>
  </si>
  <si>
    <t>Warriors of the Lost Empire</t>
  </si>
  <si>
    <t>Wizardry: Tale of the Forsaken Land</t>
  </si>
  <si>
    <t>Definitely one of the worst games I've ever played, and not in a fun "I'm going to laugh at this game" way. This one was downright boring and a slog to play. I'm grateful it wasn't any longer than it was because I was honestly not sure if I was going to finish it at this rate. The combat is button mashing at best, most of the design decisions are completely baffling, and the story is total nonsense. PlatinumGames can do better, hopefully their A team is on Bayonetta 3 because if this game is indicative of their future at all then it's looking bleak.</t>
  </si>
  <si>
    <t>Across the Grooves</t>
  </si>
  <si>
    <t>Nova-box</t>
  </si>
  <si>
    <t>Pac-Man and the Ghostly Adventures</t>
  </si>
  <si>
    <t>Monkey Bar Games</t>
  </si>
  <si>
    <t>Pac-Man and the Ghostly Adventures 2</t>
  </si>
  <si>
    <t>Nothing special about this point &amp; click adventure. It had a cute art style but that was about all it had going for it. Puzzles weren't anything spectacular, the walking speed was tremendously slow, and it was all over in about 15 minutes.</t>
  </si>
  <si>
    <t>Risk of Rain 2: Survivors of the Void</t>
  </si>
  <si>
    <t>SUPERHOT: MIND CONTROL DELETE</t>
  </si>
  <si>
    <t>I Am Fish</t>
  </si>
  <si>
    <t>Pumpkin Jack</t>
  </si>
  <si>
    <t>Nicolas Meyssonnier</t>
  </si>
  <si>
    <t>Gamedec</t>
  </si>
  <si>
    <t>Phoenix Point</t>
  </si>
  <si>
    <t>Snapshot Games</t>
  </si>
  <si>
    <t>Cyberdimension Neptunia: 4 Goddesses Online</t>
  </si>
  <si>
    <t>Mercenaries Saga Chronicles</t>
  </si>
  <si>
    <t>There's a good game here, but unfortunately the lack of content mars this one severely for me. The only single player content available is a 10 mission tutorial, which was over as quickly as I could blink. The rest of the content available is multiplayer, which is long dead. Could have been more exciting to experience in its heyday, but entirely missable now.</t>
  </si>
  <si>
    <t>A fairly solid Mega Man clone. It's over pretty quickly, but it's also pretty fun while it lasts. There's definitely some annoying stage design, particularly the mushrooms (?) which seemed oddly difficult to bounce off of, but it was an overall enjoyable romp.</t>
  </si>
  <si>
    <t>Short, but sweet. It has all of the charm of Daisuke Amaya's Cave Story, the only thing I'd say negatively about it is that it's over way too soon &amp; that the movement can be a little annoying. This may be more of a personal preference, but the swimming movement didn't feel nearly as sharp as Cave Story, making it a somewhat lesser experience. Overall, cute and worth playing.</t>
  </si>
  <si>
    <t>Ookami to Koushinryou: Boku to Horo no Ichinen</t>
  </si>
  <si>
    <t>Spice and Wolf</t>
  </si>
  <si>
    <t>Ookami to Koushinryou: Umiowataru Kaze</t>
  </si>
  <si>
    <t>Vampire Knight DS</t>
  </si>
  <si>
    <t>Vampire Knight</t>
  </si>
  <si>
    <t>Soul Eater: Monotone Princess</t>
  </si>
  <si>
    <t>Tengan Toppa Gurren Lagann</t>
  </si>
  <si>
    <t>Soul Eater: Medusa no Inbou</t>
  </si>
  <si>
    <t>Mercenaries Saga</t>
  </si>
  <si>
    <t>Soul Hackers 2</t>
  </si>
  <si>
    <t>1942: Joint Strike</t>
  </si>
  <si>
    <t>auto modellista</t>
  </si>
  <si>
    <t>Dimahoo</t>
  </si>
  <si>
    <t>Raizing</t>
  </si>
  <si>
    <t xml:space="preserve">	Mahō Daisakusen</t>
  </si>
  <si>
    <t>Sorcer Striker</t>
  </si>
  <si>
    <t>Kingdom Grand Prix</t>
  </si>
  <si>
    <t>Armed Police Batrider</t>
  </si>
  <si>
    <t>El Dorado Gate Volume 1</t>
  </si>
  <si>
    <t>El Dorado Gate</t>
  </si>
  <si>
    <t>El Dorado Gate Volume 2</t>
  </si>
  <si>
    <t>El Dorado Gate Volume 3</t>
  </si>
  <si>
    <t>El Dorado Gate Volume 4</t>
  </si>
  <si>
    <t>El Dorado Gate Volume 5</t>
  </si>
  <si>
    <t>El Dorado Gate Volume 6</t>
  </si>
  <si>
    <t>El Dorado Gate Volume 7</t>
  </si>
  <si>
    <t>SOCOM U.S. Navy SEALs</t>
  </si>
  <si>
    <t>SOCOM II U.S. Navy SEALs</t>
  </si>
  <si>
    <t>SOCOM 3 U.S. Navy SEALs</t>
  </si>
  <si>
    <t>SOCOM U.S. Navy SEALs: Fireteam Bravo</t>
  </si>
  <si>
    <t>SOCOM U.S. Navy SEALs: Combined Assault</t>
  </si>
  <si>
    <t>SOCOM U.S. Navy SEALs: Fireteam Bravo 2</t>
  </si>
  <si>
    <t>SOCOM U.S. Navy SEALs: Tactical Strike</t>
  </si>
  <si>
    <t>SOCOM U.S. Navy SEALs: Confrontation</t>
  </si>
  <si>
    <t>SOCOM U.S. Navy SEALs: Fireteam Bravo 3</t>
  </si>
  <si>
    <t>SOCOM 4 U.S. Navy SEALs</t>
  </si>
  <si>
    <t>Everblue</t>
  </si>
  <si>
    <t>Everblue 2</t>
  </si>
  <si>
    <t>Fate/unlimited codes</t>
  </si>
  <si>
    <t>Quiz &amp; Dragons: Capcom Quiz Game</t>
  </si>
  <si>
    <t>Tech Romancer</t>
  </si>
  <si>
    <t>TaleSpin</t>
  </si>
  <si>
    <t>The Little Mermaid</t>
  </si>
  <si>
    <t>Without Warning</t>
  </si>
  <si>
    <t>Circle Studio</t>
  </si>
  <si>
    <t>Tron 2.0</t>
  </si>
  <si>
    <t>Buena Vista Interactive</t>
  </si>
  <si>
    <t>Tron</t>
  </si>
  <si>
    <t>Kwaidan ～Azuma manor story～</t>
  </si>
  <si>
    <t>RAINYFROG</t>
  </si>
  <si>
    <t>Teenage Mutant Ninja Turtles: Shredder's Revenge</t>
  </si>
  <si>
    <t>The Last of Us Part I</t>
  </si>
  <si>
    <t>Dungeons &amp; Dragons: Dark Alliance</t>
  </si>
  <si>
    <t>Nakayama Miho no Tokimeki High School</t>
  </si>
  <si>
    <t>Picross S</t>
  </si>
  <si>
    <t>Picross S2</t>
  </si>
  <si>
    <t>Picross Lord of the Nazarick</t>
  </si>
  <si>
    <t>Kemono Friends Picross</t>
  </si>
  <si>
    <t>Picross S3</t>
  </si>
  <si>
    <t>Picross S4</t>
  </si>
  <si>
    <t>Picross S5</t>
  </si>
  <si>
    <t>Picross S6</t>
  </si>
  <si>
    <t>Picross S7</t>
  </si>
  <si>
    <t>Kao the Kangaroo</t>
  </si>
  <si>
    <t>X-Ray Interactive</t>
  </si>
  <si>
    <t>Kao the Kangaroo: Round 2</t>
  </si>
  <si>
    <t>Tate Interactive</t>
  </si>
  <si>
    <t>Kao the Kangaroo: Mystery of the Volcano</t>
  </si>
  <si>
    <t>Kao Challengers</t>
  </si>
  <si>
    <t>Ganryu</t>
  </si>
  <si>
    <t>Ruff Trigger: The Vanocore Conspiracy</t>
  </si>
  <si>
    <t>Playstos Entertainment</t>
  </si>
  <si>
    <t>Stories of Mara: Chapter One</t>
  </si>
  <si>
    <t>EXCALIBURIAN!!</t>
  </si>
  <si>
    <t>Majd Rouhana</t>
  </si>
  <si>
    <t>tinyBuild</t>
  </si>
  <si>
    <t>Scythe Dev Team</t>
  </si>
  <si>
    <t>Happy's Humble Burger Barn</t>
  </si>
  <si>
    <t>Happy's Humble</t>
  </si>
  <si>
    <t>Vampire: The Masquerade - Heartless Lullaby</t>
  </si>
  <si>
    <t>Entalto Studios</t>
  </si>
  <si>
    <t>Tak: The Great Juju Challenge</t>
  </si>
  <si>
    <t>Avalanche Software</t>
  </si>
  <si>
    <t>Tak</t>
  </si>
  <si>
    <t>Tak and the Power of Juju</t>
  </si>
  <si>
    <t>Tak 2: The Staff of Dreams</t>
  </si>
  <si>
    <t>Tak and the Guardians of Gross</t>
  </si>
  <si>
    <t>Blitz Games</t>
  </si>
  <si>
    <t>BCV: Battle Construction Vehicles</t>
  </si>
  <si>
    <t>ARK: Survival Evolved</t>
  </si>
  <si>
    <t>Studio Wildcard</t>
  </si>
  <si>
    <t>ARK</t>
  </si>
  <si>
    <t>Wizards of the Coast</t>
  </si>
  <si>
    <t>Tuque Games</t>
  </si>
  <si>
    <t>Tales of Phantasia: Narikiri Dungeon X</t>
  </si>
  <si>
    <t>Crystal Beans: From Dungeon Explorer</t>
  </si>
  <si>
    <t>Brandish 2: The Planet Buster</t>
  </si>
  <si>
    <t>Marvelous: Mōhitotsu no Takarajima</t>
  </si>
  <si>
    <t>Tenchi Muyo! Game Hen</t>
  </si>
  <si>
    <t>Tenchi Muyo!</t>
  </si>
  <si>
    <t>Tales of VS.</t>
  </si>
  <si>
    <t>Tales of the World: Narikiri Dungeon 2</t>
  </si>
  <si>
    <t>Tales of the World: Narikiri Dungeon 3</t>
  </si>
  <si>
    <t>Tales of the World: Summoner's Lineage</t>
  </si>
  <si>
    <t>Magical Company</t>
  </si>
  <si>
    <t>Tales of the World: Radiant Mythology 2</t>
  </si>
  <si>
    <t>Tales of the World: Radiant Mythology 3</t>
  </si>
  <si>
    <t>Gaia no Monshou</t>
  </si>
  <si>
    <t>Xenosaga I &amp; II</t>
  </si>
  <si>
    <t>This series never disappoints. Xenoblade Chronicles 2 continues that trend with amazingly satisfying gameplay and a truly unique battle system. Chaining attacks and using timing to cacnel auto-attacks and Blade Arts creates a truly dynamic and engaging system. Combine this with an amazing cast of characters, an epic story, gorgeous music and visuals, and enough systems to please any system-lover. The side quests are vastly improved over Xenoblade Chronicles, offering much more interesting quest lines. The only knock I've got against this one are the attributes that Blades have. Gating world progress behind their attributes can be annoying from time to time. Despite this slight flaw, the game is still stellar and I can't wait for Xenoblade Chronicles 3.</t>
  </si>
  <si>
    <t>Tales of the Tempest</t>
  </si>
  <si>
    <t>Bandai Namco</t>
  </si>
  <si>
    <t>Total garbage. I expected this to be a visual novel with an actual story but instead it's a horny fondling simulator with minimal story. Totally useless as a piece of software, and honestly offensive that they would charge money for this.</t>
  </si>
  <si>
    <t>This game should've been a slam dunk given how much I love Hotel Dusk: Room 215, but it flopped pretty hard for me. I loved the look &amp; presentation of the game, and the lack of real interactivity wouldn't have really even bothered me if the story stood up, but I didn't particularly enjoy any of the characters and the story fell flat, with an inconclusive cliffhanger that has clearly never been resolved.</t>
  </si>
  <si>
    <t>The House of the Dead: Remake</t>
  </si>
  <si>
    <t>MegaPixel Studio</t>
  </si>
  <si>
    <t>TM Network: Live in Power Bowl</t>
  </si>
  <si>
    <t>CBS Sony Group</t>
  </si>
  <si>
    <t>Didn't really have high expectations for this one. It's actually a somewhat decent card battler, though the game is quite simplistic. Strategy seems to boil down to dumping cards in every lane to make it difficult for the opponent to clear out all of your units. Upgrading units is horny AF and also doesn't always result in an upgrade. Ends up being somewhat of a drag. The story is about what you would expect, completely pointless, and the game totally drags in the last chapter, which is nearly as long as the rest of the game combined.</t>
  </si>
  <si>
    <t>Maybe the best Kirby game ever made (though I haven't played all of them, it's at least the best one I've played). It's quite adorable, a lot of fun, and delightful! Yes, it is pretty easy, but the fun still comes with exploring the stages and uncovering secrets.</t>
  </si>
  <si>
    <t>Sword Art Online: Alicization Lycoris</t>
  </si>
  <si>
    <t>Cook, Serve, Delicious! 3?!</t>
  </si>
  <si>
    <t>Morbid: The Seven Acolytes</t>
  </si>
  <si>
    <t>Riot: Civil Unrest</t>
  </si>
  <si>
    <t>Severed Steel</t>
  </si>
  <si>
    <t>Still Running</t>
  </si>
  <si>
    <t>Leonard Menchiari</t>
  </si>
  <si>
    <t>Digerati</t>
  </si>
  <si>
    <t>Greylock Studio</t>
  </si>
  <si>
    <t>Maestro! Jump in Music</t>
  </si>
  <si>
    <t>Eiyuden Chronicle: Rising</t>
  </si>
  <si>
    <t>Eiyuden Chronicle</t>
  </si>
  <si>
    <t>Gem Wizards Tactics</t>
  </si>
  <si>
    <t>RedDeerGames</t>
  </si>
  <si>
    <t>Cool, experimental "conversation" type game. I liked how it's possible to structure your responses piecemeal instead of selecting from a list of canned responses. There wasn't always everything that I would want to say, so sometimes it felt like I was being forced down a certain path, but that additional freedom did still help to increase immersion. It's an interesting art piece, but I didn't feel compelled to dig much deeper beyond the one ending.</t>
  </si>
  <si>
    <t>This is much less a "game" than it is an interactive movie. In fact, there's hardly any interactivity to it. There's actually next to no value to be found here. If you've ever found yourself wanting to simulate the thoughts of a racist, insufferable 27-year old man whine about not being able to have sex with a young Japanese woman, then this is for you, because that's all there is to this. The only merciful thing about this experience is that it's incredibly short.</t>
  </si>
  <si>
    <t>The Crow's Eye</t>
  </si>
  <si>
    <t>3D2 Entertainment</t>
  </si>
  <si>
    <t>8Doors: Arum's Afterlife Adventure</t>
  </si>
  <si>
    <t>Rootless Studio</t>
  </si>
  <si>
    <t>The Darkside Detective: A Fumble in the Dark</t>
  </si>
  <si>
    <t>Xenoblade Chronicles 2: Torna ~ The Golden Country</t>
  </si>
  <si>
    <t>This was awesome to play (almost) immediately after Xenoblade Chronicles 2. It fleshes out the world &amp; history some more while expanding on the concepts introduced in the original game. The combat has been modified to flow much more smoothly, with lots of swapping between Blade and Driver. Being able to use any elements for a Blade Combo is also an extremely welcome addition. Outside of combat, the lack of bonding for blades is nice because the randomness in the main game could get annoying if you were targeting a particular quality. This simplification also allows the Field Arts to be easier to deal with. An absolutely excellent expansion, in almost every sense.</t>
  </si>
  <si>
    <t>Part Time UFO</t>
  </si>
  <si>
    <t>SolSeraph</t>
  </si>
  <si>
    <t>SEGA AGES Phantasy Star</t>
  </si>
  <si>
    <t>Citizens of Space</t>
  </si>
  <si>
    <t>Leenie Boog</t>
  </si>
  <si>
    <t>AB Developer</t>
  </si>
  <si>
    <t>Alexander Bazhenov</t>
  </si>
  <si>
    <t>The Tenth Line</t>
  </si>
  <si>
    <t>Sungazer Software</t>
  </si>
  <si>
    <t>The Lost Legends of Redwall: The Scout Act 1</t>
  </si>
  <si>
    <t>Soma Games</t>
  </si>
  <si>
    <t>Redwall</t>
  </si>
  <si>
    <t>Tiny Bird Garden Deluxe</t>
  </si>
  <si>
    <t>Super Retro Duck</t>
  </si>
  <si>
    <t>Final Exam</t>
  </si>
  <si>
    <t>Mighty Rocket Studio</t>
  </si>
  <si>
    <t>Mighty Flip Champs has all of WayForward's typical charm. The game itself is also an innovative approach to the two DS screens, making me really miss the early days of the DS when developers were still trying to figure out what to do with the both of them. Most of the puzzles are quite fun and reasonably challenging, however I would have liked there to be some better way to represent the stages which contained a large number of screens. It would become difficult to even plan out an approach because my working memory struggled to keep the many different screens in context. Additionally, there were a few stages where some serious repetition was required, as one mistake at the end could send me all the way back to the beginning. Overall, these concerns didn't diminish my experience too much with the game, and I still found it to be enjoyable and unique.</t>
  </si>
  <si>
    <t>I'd heard soaring praise for this game, and it certainly lived up to the hype. I played most of the game in coop, only finishing off the last world solo, and I played the entire game in Funky Mode, just because the box art featuring Funky Mode is hilarious. Playing in coop is the way to go, we were cracking up at the ridiculous ways we would end up dying. The stages are all so unique and interesting, with a number of fresh stages to break up the regular platforming stages. I'll definitely be checking this out on the Wii U as well, I'm curious how the original's challenge will impact my opinion of the game.</t>
  </si>
  <si>
    <t>AI: The Somnium Files – nirvanA Initiative</t>
  </si>
  <si>
    <t>Crisis Core: Final Fantasy VII Reunion</t>
  </si>
  <si>
    <t>Steelrising</t>
  </si>
  <si>
    <t>Labyrinth of Galleria: The Moon Society</t>
  </si>
  <si>
    <t>Chaos;Head Noah / Chaos;Child Double Pack</t>
  </si>
  <si>
    <t>The Longest Five Minutes</t>
  </si>
  <si>
    <t>Senran Kagura: Bon Appétit!</t>
  </si>
  <si>
    <t>Senran Kagura: Shinovi Versus</t>
  </si>
  <si>
    <t>I had higher expectations for this game. It falls short in almost every aspect, but still managed to entertain me reasonably. Sometimes I crave a simpler experience, and in that respect this game satisfied. However, its combat is shallow, its story is nonexistent, and its quest design is literally just fetch quests and repetitive dialogue. There's not much depth here and not much to explore, despite all of its talk of exploration and treasure hunting.</t>
  </si>
  <si>
    <t>At this point, there's really not much to say about each Picross game. It's Picross and it's more puzzles. They haven't added anything new here, but the puzzles are still enjoyable. I would like to see some new takes on the formula, but I'm also happy to continue solving these puzzles as long as they put them out.</t>
  </si>
  <si>
    <t>Pixel Puzzle Makeout League</t>
  </si>
  <si>
    <t>Skymap Games</t>
  </si>
  <si>
    <t>Rude Ghost</t>
  </si>
  <si>
    <t>Piczle Cross Adventure</t>
  </si>
  <si>
    <t>Score Studios</t>
  </si>
  <si>
    <t>Omocat</t>
  </si>
  <si>
    <t>Sucker for Love: First Date</t>
  </si>
  <si>
    <t>DreadXP</t>
  </si>
  <si>
    <t>Akabaka</t>
  </si>
  <si>
    <t>Bloodwash</t>
  </si>
  <si>
    <t>Torture Star Video</t>
  </si>
  <si>
    <t>Black Eyed Priest, Henry Hoare</t>
  </si>
  <si>
    <t>Fishing Vacation</t>
  </si>
  <si>
    <t>Teebowah Games</t>
  </si>
  <si>
    <t>Lost in Vivo</t>
  </si>
  <si>
    <t>KIRA</t>
  </si>
  <si>
    <t>The Enigma Machine</t>
  </si>
  <si>
    <t>Enigma Studio</t>
  </si>
  <si>
    <t>Teocida</t>
  </si>
  <si>
    <t>Vikintor Interactive</t>
  </si>
  <si>
    <t>Sylvio</t>
  </si>
  <si>
    <t>Stroboskop</t>
  </si>
  <si>
    <t>Sylvio 2</t>
  </si>
  <si>
    <t>Project Minerva Professional</t>
  </si>
  <si>
    <t>Flat-Out</t>
  </si>
  <si>
    <t>Running High</t>
  </si>
  <si>
    <t>Mortyr</t>
  </si>
  <si>
    <t>Mortyr 2093-1944</t>
  </si>
  <si>
    <t>Mirage Media</t>
  </si>
  <si>
    <t>Bōken Jidai Katsugeki Goemon</t>
  </si>
  <si>
    <t>Shadow Vault</t>
  </si>
  <si>
    <t>Mayhem Studios</t>
  </si>
  <si>
    <t>The Dark Half</t>
  </si>
  <si>
    <t>Symtus</t>
  </si>
  <si>
    <t>Dark Half</t>
  </si>
  <si>
    <t>Blaster Master 2</t>
  </si>
  <si>
    <t>Blaster Master: Blasting Again</t>
  </si>
  <si>
    <t>Cuphead: The Delicious Last Course</t>
  </si>
  <si>
    <t>Danger Scavenger</t>
  </si>
  <si>
    <t>Piotr Wolk</t>
  </si>
  <si>
    <t>Zenodyne R</t>
  </si>
  <si>
    <t>Team Grybanser Fox</t>
  </si>
  <si>
    <t>Stars Die</t>
  </si>
  <si>
    <t>Eric Juvi</t>
  </si>
  <si>
    <t>J.U.L.I.A.: Among the Stars</t>
  </si>
  <si>
    <t>CBE Software</t>
  </si>
  <si>
    <t>Legend of Hand</t>
  </si>
  <si>
    <t>Cloak and Dagger Games</t>
  </si>
  <si>
    <t>Macbat 64</t>
  </si>
  <si>
    <t>Siactro</t>
  </si>
  <si>
    <t>Dogurai</t>
  </si>
  <si>
    <t>Hungry Bear Games</t>
  </si>
  <si>
    <t>Jimmy and the Pulsating Mass</t>
  </si>
  <si>
    <t>Kasey Ozymy</t>
  </si>
  <si>
    <t>Tamashii</t>
  </si>
  <si>
    <t>Knightmare Tower</t>
  </si>
  <si>
    <t>Juicy Beast</t>
  </si>
  <si>
    <t>Fatum Betula</t>
  </si>
  <si>
    <t>Bryce Bucher</t>
  </si>
  <si>
    <t>Spring Falls</t>
  </si>
  <si>
    <t>SPARSE//GameDev</t>
  </si>
  <si>
    <t>The White Door</t>
  </si>
  <si>
    <t>Second Maze</t>
  </si>
  <si>
    <t>Cloud Gardens</t>
  </si>
  <si>
    <t>ATOM RPG: Trudograd</t>
  </si>
  <si>
    <t>AtomTeam</t>
  </si>
  <si>
    <t>ATOM RPG</t>
  </si>
  <si>
    <t>Lawn Mowing Simulator</t>
  </si>
  <si>
    <t>Skyhook Games</t>
  </si>
  <si>
    <t>Necromunda: Hired Gun</t>
  </si>
  <si>
    <t>Focus Entertainment</t>
  </si>
  <si>
    <t>Izanagi Games</t>
  </si>
  <si>
    <t>Star Ocean: The Divine Force</t>
  </si>
  <si>
    <t>Anonymous;Code</t>
  </si>
  <si>
    <t>Tribes: Vengeance</t>
  </si>
  <si>
    <t>Tribes</t>
  </si>
  <si>
    <t>Sega Superstars Tennis</t>
  </si>
  <si>
    <t>Sega Superstars</t>
  </si>
  <si>
    <t>Dying Light seems to really strike a chord for a lot of people, given how much longevity the game has had after its initial release, but it didn't grip me in that same way. I didn't find the parkour as compelling as I expected, the combat (when necessary) was frustrating because of incredibly tanky enemies, and the plot was fairly generic with no real memorable characters. That said, I still did enjoy my time with it, as it does have some cool ideas (the day/night cycle, actually feeling like a survival game in an apocalypse) and a fairly fun gameplay loop, I just don't see myself diving deep into it like many others have.</t>
  </si>
  <si>
    <t>Valkyrie Elysium</t>
  </si>
  <si>
    <t>Strangers of Paradise: Final Fantasy Origin</t>
  </si>
  <si>
    <t>What a wild ride this one was. The story is totally batshit, even entering "so bad it's good" territory with some of the insane dialogue and cutscenes. It's almost better that it's taking itself so seriously throughout the entire game. The combat is a lot of fun, especially after it clicks how important Soul Shield is on more challenging enemies. Each job feels varied and interesting, with tons of customizablity. I will say that it is pretty easy to just get your NPC companions to tank a boss for you while you keep your distance, but it doesn't trivialize the encounters too much. There were a couple things that I didn't like in this game: the lack of a map with sometimes confusing to navigate areas and the upgrading system on gear, which just felt pointless with how often you're swapping out gear. The game is still amazing despite these flaws, and is absolutely worth playing.</t>
  </si>
  <si>
    <t>Zengeon</t>
  </si>
  <si>
    <t>IndieLeague Studio</t>
  </si>
  <si>
    <t>L'Abbaye des Morts truly evokes an old school Commodore 64 or ZX Spectrum game. I found its style and setup to be interesting, and the game itself is decent. It's cool to get to explore this abbey and uncover its secrets, however it is frustrating that you have to completely start over the game once you run out of lives. I understand this fits with the old school aesthetic, but it would have been appreciated to have a save system or checkpoints rather than lives.</t>
  </si>
  <si>
    <t>Wavetale</t>
  </si>
  <si>
    <t>I discovered this one because Google randomly decided to give me a month of Stadia Pro. I wanted to see if there were any Stadia exclusives, and noticed this one. It surprised me! It's quite charming and plays smoothly. The game is very easy and short, but it was a nice relaxing game to knock out in a few hours. Hopefully this comes to more platforms!</t>
  </si>
  <si>
    <t>Need for Speed Heat</t>
  </si>
  <si>
    <t>Grid Legends</t>
  </si>
  <si>
    <t>A solid Picross game. It doesn't have some of the features of later Picross games (e.g. Mega Picross), but the puzzles are fun, especially because it's featuring Nintendo characters and devices. Some of the puzzles were decently challenging, but this isn't a departure from the formula at all. Enjoyable if you're into Picross, but if it's not for you then you're not going to find anything to like with this one.</t>
  </si>
  <si>
    <t>Star Renegades</t>
  </si>
  <si>
    <t>Massive Damage</t>
  </si>
  <si>
    <t>River City Saga: Three Kingdoms</t>
  </si>
  <si>
    <t>Needy Girl Overdose</t>
  </si>
  <si>
    <t>Love Esquire</t>
  </si>
  <si>
    <t>Star Melody: Yumemi Dreamer</t>
  </si>
  <si>
    <t>Skul: The Hero Slayer</t>
  </si>
  <si>
    <t>Rabbids: Party of Legends</t>
  </si>
  <si>
    <t>Disgaea 5 Complete</t>
  </si>
  <si>
    <t>Bullet Girls Phantasia</t>
  </si>
  <si>
    <t>Klonoa Phantasy Reverie Series</t>
  </si>
  <si>
    <t>Jumanji: The Video Game</t>
  </si>
  <si>
    <t>Funsolve</t>
  </si>
  <si>
    <t>Jumanji</t>
  </si>
  <si>
    <t>Ben 10: Power Trip</t>
  </si>
  <si>
    <t>PHL Collective</t>
  </si>
  <si>
    <t>Ben 10</t>
  </si>
  <si>
    <t>DreamWorks Dragons: Dawn of New Riders</t>
  </si>
  <si>
    <t>DreamWorks Dragons</t>
  </si>
  <si>
    <t>Adventure Time: Pirates of the Enchiridion</t>
  </si>
  <si>
    <t>Crayola Scoot</t>
  </si>
  <si>
    <t>Crayola</t>
  </si>
  <si>
    <t>Ubisoft Chengdu</t>
  </si>
  <si>
    <t>Rabbids</t>
  </si>
  <si>
    <t>Chaos Rings III: Prequel Trilogy</t>
  </si>
  <si>
    <t>Redacted Studios</t>
  </si>
  <si>
    <t>Afro Samurai 2: Revenge of Kuma - Volume One</t>
  </si>
  <si>
    <t>Mistover</t>
  </si>
  <si>
    <t>SD Gundam Battle Alliance</t>
  </si>
  <si>
    <t>I played through the minigames until I reached the end of the story and then stopped, so there were a few minigames that I didn't try out. The ones that were story required were pretty simplistic, albeit largely enjoyable little baseball themed minigames. The real charm in this game is the haggling mechanic, which is totally unique compared to anything else I've ever played, so I'm glad to have gotten to experience that while the eShop is still live. If this were just a straightforward minigame collection, I don't think it would be as interesting. Cool to see Nintendo experiment like this.</t>
  </si>
  <si>
    <t>Buck Bumble</t>
  </si>
  <si>
    <t>The Eye of Judgment: Legends</t>
  </si>
  <si>
    <t>The Eye of Judgment</t>
  </si>
  <si>
    <t>While there's still a strong Borderlands gameplay core, it does feel like the formula is stagnating since Borderlands 2. Gearbox hasn't been able to effectively iterate on the gameplay loop.  I played as the Spore Warden class, which was fairly underwhelming. There was no interactivity with the mushroom pet, instead serving as a distraction for enemies. Skill trees don't really offer much aside bumping up numbers, making progression feel a little weaker than past entries (at least for this class). The spells were a cool introduction, and I enjoyed playing with some of the different types of spells. These felt like a unique replacement to grenades. Overall, the strong gameplay core still carries this game, but I would've liked better depth with the skills.</t>
  </si>
  <si>
    <t>SouthPAW Games</t>
  </si>
  <si>
    <t>Hyde</t>
  </si>
  <si>
    <t>As fun as Picross puzzles are, I do wish that these games offered more than just new puzzles. It was more exciting when they were experimenting with different types of puzzles (e.g. adding Mega Picross and Micross), but they've really settled into this formula. I was also disappointed to see that there were repeated puzzles between the Picross and Mega Picross modes, so playing those two modes concurrently was becoming repetitious when seeing the same puzzles.</t>
  </si>
  <si>
    <t>Final Fantasy XV: Pocket Edition HD</t>
  </si>
  <si>
    <t>451 31st Ave.
San Francisco, CA 94121</t>
  </si>
  <si>
    <t>Live Wire</t>
  </si>
  <si>
    <t>The Almost Gone</t>
  </si>
  <si>
    <t>Playdigious</t>
  </si>
  <si>
    <t>Happy Volcano</t>
  </si>
  <si>
    <t>Agatha Christie</t>
  </si>
  <si>
    <t>Agatha Christie - Hercule Poirot: The First Cases</t>
  </si>
  <si>
    <t>Alfred Hitchcock: Vertigo</t>
  </si>
  <si>
    <t>Alfred Hitchcock</t>
  </si>
  <si>
    <t>Quern: Undying Thoughts</t>
  </si>
  <si>
    <t>Zadbox Entertainment</t>
  </si>
  <si>
    <t>Unavowed</t>
  </si>
  <si>
    <t>Draugen</t>
  </si>
  <si>
    <t>PixelJunk Eden 2</t>
  </si>
  <si>
    <t>Beasts of Maravilla Island</t>
  </si>
  <si>
    <t>Banana Bird Studios</t>
  </si>
  <si>
    <t>Recompile</t>
  </si>
  <si>
    <t>Phigames</t>
  </si>
  <si>
    <t>ScourgeBringer</t>
  </si>
  <si>
    <t>StarCraft: Remastered</t>
  </si>
  <si>
    <t>Kaguya Hime Densetsu</t>
  </si>
  <si>
    <t>Omno</t>
  </si>
  <si>
    <t>Future Friends Games</t>
  </si>
  <si>
    <t>Jonas Manke</t>
  </si>
  <si>
    <t>Emily is Away &lt;3</t>
  </si>
  <si>
    <t>Mind Scanners</t>
  </si>
  <si>
    <t>Brave At Night</t>
  </si>
  <si>
    <t>The Outer Zone</t>
  </si>
  <si>
    <t>Hot Wheels Unleashed</t>
  </si>
  <si>
    <t>Milestone</t>
  </si>
  <si>
    <t>Hot Wheels</t>
  </si>
  <si>
    <t>The Ascent</t>
  </si>
  <si>
    <t>Neon Giant</t>
  </si>
  <si>
    <t>Shaman King</t>
  </si>
  <si>
    <t>Shaman King: Legacy of the Spirits, Soaring Hawk</t>
  </si>
  <si>
    <t>Shaman King: Master of Spirits</t>
  </si>
  <si>
    <t>Shaman King: Master of Spirits 2</t>
  </si>
  <si>
    <t>Shaman King: Power of Spirit</t>
  </si>
  <si>
    <t>WinkySoft</t>
  </si>
  <si>
    <t>Shaman King: Soul Fight</t>
  </si>
  <si>
    <t>Tuning Electronic</t>
  </si>
  <si>
    <t>Soul Fighter</t>
  </si>
  <si>
    <t>Red Orb Entertainment</t>
  </si>
  <si>
    <t>Toka</t>
  </si>
  <si>
    <t>One Piece: Pirate Warriors 4</t>
  </si>
  <si>
    <t>Full Metal Panic! Fight! Who Dares Wins</t>
  </si>
  <si>
    <t>B.B.Studio</t>
  </si>
  <si>
    <t>Full Metal Panic</t>
  </si>
  <si>
    <t>Stray</t>
  </si>
  <si>
    <t>Tactics Ogre: Reborn</t>
  </si>
  <si>
    <t>Mystic Nights</t>
  </si>
  <si>
    <t>N-Log Corporation</t>
  </si>
  <si>
    <t>Sony Computer Entertainment Korea</t>
  </si>
  <si>
    <t>The King of Fighters Kyo</t>
  </si>
  <si>
    <t>Sword and Fairy: Together Forever</t>
  </si>
  <si>
    <t>Towers: Lord Baniff's Deceit</t>
  </si>
  <si>
    <t>JV Enterprises</t>
  </si>
  <si>
    <t>Towers</t>
  </si>
  <si>
    <t>Towers II: Plight of the Stargazer</t>
  </si>
  <si>
    <t>Capcom Fighting Evolution</t>
  </si>
  <si>
    <t>Shogo: Mobile Armor Division</t>
  </si>
  <si>
    <t>Apidya</t>
  </si>
  <si>
    <t>Play Byte</t>
  </si>
  <si>
    <t>Malice</t>
  </si>
  <si>
    <t>Mud Duck Productions</t>
  </si>
  <si>
    <t>Dragon Quest Treasures</t>
  </si>
  <si>
    <t>Relayer</t>
  </si>
  <si>
    <t>Ikai</t>
  </si>
  <si>
    <t>One Piece: World Seeker</t>
  </si>
  <si>
    <t>Kirby's Dream Buffet</t>
  </si>
  <si>
    <t>Neptunia: Sisters vs. Sisters</t>
  </si>
  <si>
    <t>Tuff E Nuff</t>
  </si>
  <si>
    <t>Cross Tantei Monogatari</t>
  </si>
  <si>
    <t>Vampire: Kyuuketsuki Densetsu</t>
  </si>
  <si>
    <t>Nightmare Collection: Dead of the Brain - Shiryō no Sakebi</t>
  </si>
  <si>
    <t>Nightmare Collection: Dead of the Brain 2</t>
  </si>
  <si>
    <t>Blackout</t>
  </si>
  <si>
    <t>Deadline Multimedia</t>
  </si>
  <si>
    <t>Dark Vampires: The Shadows of Dust</t>
  </si>
  <si>
    <t>IncaGold</t>
  </si>
  <si>
    <t>Wolfgroup</t>
  </si>
  <si>
    <t>Kuro no Ken</t>
  </si>
  <si>
    <t>Forest</t>
  </si>
  <si>
    <t>Lagnacure Legend</t>
  </si>
  <si>
    <t>Art System</t>
  </si>
  <si>
    <t>Lagnacure</t>
  </si>
  <si>
    <t>Dead Rising 4</t>
  </si>
  <si>
    <t>Dead Rising 3: Apocalypse Edition</t>
  </si>
  <si>
    <t>Capcom Game Studio Vancouver</t>
  </si>
  <si>
    <t>P.T.</t>
  </si>
  <si>
    <t>Virtua Cop</t>
  </si>
  <si>
    <t>Virtua Cop 2</t>
  </si>
  <si>
    <t>Virtua Cop 3</t>
  </si>
  <si>
    <t>Robotica</t>
  </si>
  <si>
    <t>Ghen War</t>
  </si>
  <si>
    <t>Jumpin' Jack Software</t>
  </si>
  <si>
    <t>The Mansion of Hidden Souls</t>
  </si>
  <si>
    <t>Skeleton Warriors</t>
  </si>
  <si>
    <t>Fighting Vipers</t>
  </si>
  <si>
    <t>Blazing Dragons</t>
  </si>
  <si>
    <t>Illusions Gaming Company</t>
  </si>
  <si>
    <t>Scud: The Disposable Assassin</t>
  </si>
  <si>
    <t>SegaSoft</t>
  </si>
  <si>
    <t>Syrox Developments</t>
  </si>
  <si>
    <t>Die Hard Arcade</t>
  </si>
  <si>
    <t>Die Hard</t>
  </si>
  <si>
    <t>Dynamite Cop</t>
  </si>
  <si>
    <t>Fighters Megamix</t>
  </si>
  <si>
    <t>Fighting Vipers 2</t>
  </si>
  <si>
    <t>It certainly took some adjustment coming from Final Fantasy Tactics to get into this one. Expecting more political intrigue and a heavy story focus is a recipe for disappoinment when it comes to Tactics Advance. The game is much more focused on the battles, with hundreds of missions to complete in a more bite-sized and portable manner. I ended up enjoying this game--it's a little easy but it has that solid strategy core set up in the first Tactics game. The Law system is cool &amp; can force you into different playstyles. Excited to top off this series with Tactics A2 sometime in the near future!</t>
  </si>
  <si>
    <t>Square Product Development Division 4</t>
  </si>
  <si>
    <t>PM Studios</t>
  </si>
  <si>
    <t>Endflame</t>
  </si>
  <si>
    <t>Neon Genesis Evangelion: Battle Orchestra</t>
  </si>
  <si>
    <t>BROCCOLI</t>
  </si>
  <si>
    <t>Zoids Saga DS: Legend of Arcadia</t>
  </si>
  <si>
    <t>Echo Night #1</t>
  </si>
  <si>
    <t>Adventure Player</t>
  </si>
  <si>
    <t>Tetris Plus</t>
  </si>
  <si>
    <t>Tetris Plus 2</t>
  </si>
  <si>
    <t>Wizardry Gaiden I: Joou no Junan</t>
  </si>
  <si>
    <t>Wizardry Gaiden II: Kodai Koutei no Noroi</t>
  </si>
  <si>
    <t>Wizardry Gaiden III: Yami no Seiten</t>
  </si>
  <si>
    <t>Wizardry Gaiden IV: Throb of the Demon's Heart</t>
  </si>
  <si>
    <t>Wizardry Empire</t>
  </si>
  <si>
    <t>Wizardry Empire: Fukkatsu no Tsue</t>
  </si>
  <si>
    <t>Wizardry Chronicle</t>
  </si>
  <si>
    <t>Wizardry Empire II: Oujo no Isan - Legacy of the Princess</t>
  </si>
  <si>
    <t>Wizardry Empire: Inishie no Oujo</t>
  </si>
  <si>
    <t>Wizardry: Seimei no Kusabi</t>
  </si>
  <si>
    <t>Genterprise</t>
  </si>
  <si>
    <t>Famicom Jump: Eiyuu Retsuden</t>
  </si>
  <si>
    <t>Shounen Jump</t>
  </si>
  <si>
    <t>Bakemonogatari Portable</t>
  </si>
  <si>
    <t>Harvestella</t>
  </si>
  <si>
    <t>Dark Witch Music Episode: Rudymical</t>
  </si>
  <si>
    <t>YummyYummyTummy</t>
  </si>
  <si>
    <t>Fallen Legion</t>
  </si>
  <si>
    <t>Marginally better than its predecessor, Gear Detective has a slightly more interesting plot which does completely fall apart by the third act with a whole bunch of absolute nonesense out of the majority of the characters, including the main characters bafflingly doing their best to become friends with the murderer in the murder mystery. Some of the puzzles have some serious moon logic, but those scenes are at least more engaging than the story segments.</t>
  </si>
  <si>
    <t>Fallen Legion: Rise to Glory / Fallen Legion: Revenants</t>
  </si>
  <si>
    <t>Pac-Man World Re-Pac</t>
  </si>
  <si>
    <t>Miss Kobayashi's Dragon Maid: Burst Forth!! Choro-gon ☆ Breath</t>
  </si>
  <si>
    <t>Bushiroad</t>
  </si>
  <si>
    <t>Miss Kobayashi's Dragon Maid</t>
  </si>
  <si>
    <t>Pac-Land</t>
  </si>
  <si>
    <t>Bally Midway</t>
  </si>
  <si>
    <t>Pac-Man 2: The New Adventures</t>
  </si>
  <si>
    <t>Pac-In-Time</t>
  </si>
  <si>
    <t>Pac-Man World 2</t>
  </si>
  <si>
    <t>Pac-Man World 3</t>
  </si>
  <si>
    <t>Pac-Pix</t>
  </si>
  <si>
    <t>Pac-Man Pinball Advance</t>
  </si>
  <si>
    <t>Pac 'n Roll</t>
  </si>
  <si>
    <t>Pac-Man World Rally</t>
  </si>
  <si>
    <t>Smart Bomb Interactive</t>
  </si>
  <si>
    <t>Wind-Up Knight</t>
  </si>
  <si>
    <t>Android</t>
  </si>
  <si>
    <t>Robot Invader</t>
  </si>
  <si>
    <t>Wind-Up Knight 2</t>
  </si>
  <si>
    <t>Unity Games</t>
  </si>
  <si>
    <t>Super Robot Wars OG: The Moon Dwellers</t>
  </si>
  <si>
    <t>Super Robot Wars V</t>
  </si>
  <si>
    <t>Super Robot Wars X</t>
  </si>
  <si>
    <t>Super Robot Wars T</t>
  </si>
  <si>
    <t>Mr. Driller 2</t>
  </si>
  <si>
    <t>Mr. Driller G</t>
  </si>
  <si>
    <t>Project Driller</t>
  </si>
  <si>
    <t>Mr. Driller A</t>
  </si>
  <si>
    <t>Mr. Driller Drill Spirits</t>
  </si>
  <si>
    <t>Mr. Driller: Drill Till You Drop</t>
  </si>
  <si>
    <t>Gintama Rumble</t>
  </si>
  <si>
    <t>Gintama</t>
  </si>
  <si>
    <t>Sora o Kakeru Shoujo Shooting</t>
  </si>
  <si>
    <t>Nintendo 3DS Ambassador Program</t>
  </si>
  <si>
    <t>Magical Drop V</t>
  </si>
  <si>
    <t>Golgoth Studio</t>
  </si>
  <si>
    <t>Evasive Space</t>
  </si>
  <si>
    <t>Sadly nowhere close to the previous games, lifeless is certainly the word for this game. It's buggy, has no likeable characters or even much of a real plot (choosing to meander from loosely connected plot point to the next), weirdly floaty shooting and driving, and a lack of interesting side missions. Never more than marginally fun to play, this one really falls flat, especially in light of its predecessors.</t>
  </si>
  <si>
    <t>Prinny Presents</t>
  </si>
  <si>
    <t>Dioramos</t>
  </si>
  <si>
    <t>Ponos</t>
  </si>
  <si>
    <t>Fuuraiki</t>
  </si>
  <si>
    <t>Fog</t>
  </si>
  <si>
    <t>Dokapon Gaiden: Honoo no Audition</t>
  </si>
  <si>
    <t>Red Faction: Battlegrounds</t>
  </si>
  <si>
    <t>We. The Revolution</t>
  </si>
  <si>
    <t>Klabater</t>
  </si>
  <si>
    <t>Polyslash</t>
  </si>
  <si>
    <t>Submerged: Hidden Depths</t>
  </si>
  <si>
    <t>Marvel's Guardians of the Galaxy: The Telltale Series</t>
  </si>
  <si>
    <t>Illusion Softworks</t>
  </si>
  <si>
    <t>Escape Trick: The Secret of Rock City Prison</t>
  </si>
  <si>
    <t>Escape Trick</t>
  </si>
  <si>
    <t>Go Series: Picdun</t>
  </si>
  <si>
    <t>Gamebridge</t>
  </si>
  <si>
    <t>Picdun</t>
  </si>
  <si>
    <t>Escape Trick: Ninja Castle</t>
  </si>
  <si>
    <t>Escape Trick: Convenience Store</t>
  </si>
  <si>
    <t>Picdun 2: Witch's Curse</t>
  </si>
  <si>
    <t>Played to the end of the main quests, which stop after getting a ship. I didn't find a lot to truly enjoy here. This has been my watching Twitch or YouTube game, totally mindless with not much engagement whatsoever. It hasn't been challenging at all, and the gameplay isn't particularly interesting. Perhaps there's some more fun to uncover as the game opens up more, but I'm not interested in continuing past the main quests.</t>
  </si>
  <si>
    <t>Made in Abyss</t>
  </si>
  <si>
    <t>Snipperclips Plus: Cut it Out, Together!</t>
  </si>
  <si>
    <t>Snipperclips</t>
  </si>
  <si>
    <t>BeXide</t>
  </si>
  <si>
    <t>Armed Fantasia</t>
  </si>
  <si>
    <t>Penny Blood</t>
  </si>
  <si>
    <t>TBD</t>
  </si>
  <si>
    <t>0df31f3dbf4c31b28af88318aabcae01</t>
  </si>
  <si>
    <t>Houkago Shounen</t>
  </si>
  <si>
    <t>Herdy Gerdy</t>
  </si>
  <si>
    <t>Dyger</t>
  </si>
  <si>
    <t>Philko</t>
  </si>
  <si>
    <t>Black Sect</t>
  </si>
  <si>
    <t>Lankhor</t>
  </si>
  <si>
    <t>Kitan Iwanaga</t>
  </si>
  <si>
    <t>uturobune</t>
  </si>
  <si>
    <t>Voice of Cards: The Beasts of Burden</t>
  </si>
  <si>
    <t>This game holds up surprisingly well considering its age. It's certainly lacking modern conveniences like checkpoints, actual enemy AI, and the types of set pieces you'd expect out of a modern FPS, but it's an enjoyable, if basic shooter. The destruction elements are pretty muted here, it would have been nice to see them utilize them more than a few scattered instances, and enemy railguns seem disgustingly overpowered. Fun to see where this series began, as a huge lover of Red Faction: Guerrilla.</t>
  </si>
  <si>
    <t>Pretty Soldier Sailor Moon S</t>
  </si>
  <si>
    <t>Blade Force</t>
  </si>
  <si>
    <t>Studio 3DO</t>
  </si>
  <si>
    <t>Escape from Monster Manor</t>
  </si>
  <si>
    <t>Kurokishi no Kamen</t>
  </si>
  <si>
    <t>Ghost Hunter</t>
  </si>
  <si>
    <t>Way of the Warrior</t>
  </si>
  <si>
    <t>Yū Yū Hakusho</t>
  </si>
  <si>
    <t>Paracelsus no Maken</t>
  </si>
  <si>
    <t>Perceptum Informática</t>
  </si>
  <si>
    <t>Alien Anarchy</t>
  </si>
  <si>
    <t>Battle Blues</t>
  </si>
  <si>
    <t>LG</t>
  </si>
  <si>
    <t>Shin's Entertainment</t>
  </si>
  <si>
    <t>EOE: Eve of Extinction</t>
  </si>
  <si>
    <t>Saint Seiya: Soldiers' Soul</t>
  </si>
  <si>
    <t>Saint Seiya</t>
  </si>
  <si>
    <t>Toaru Majutsu no Virtual-On</t>
  </si>
  <si>
    <t>Ultra Kaiju Monster Rancher</t>
  </si>
  <si>
    <t>Dr. Kawashima's Brain Training for Nintendo Switch</t>
  </si>
  <si>
    <t>Miracle Snack Shop</t>
  </si>
  <si>
    <t>Hexodius</t>
  </si>
  <si>
    <t>Seasons After Fall</t>
  </si>
  <si>
    <t>Masters of Anima</t>
  </si>
  <si>
    <t>Death Crown</t>
  </si>
  <si>
    <t>Brain Slap Studio</t>
  </si>
  <si>
    <t>Passtech Games</t>
  </si>
  <si>
    <t>5WORD Team</t>
  </si>
  <si>
    <t>Prince of Persia Classic</t>
  </si>
  <si>
    <t>Industria</t>
  </si>
  <si>
    <t>Bleakmill</t>
  </si>
  <si>
    <t>Descenders</t>
  </si>
  <si>
    <t>RageSquid</t>
  </si>
  <si>
    <t>Crown Trick</t>
  </si>
  <si>
    <t>NEXT Studios</t>
  </si>
  <si>
    <t>Forgive Me Father</t>
  </si>
  <si>
    <t>Fulqrum Publishing</t>
  </si>
  <si>
    <t>Byte Barrel</t>
  </si>
  <si>
    <t>The Dungeon of Naheulbeuk: The Amulet of Chaos</t>
  </si>
  <si>
    <t>Artefacts Studio</t>
  </si>
  <si>
    <t>Crusader Kings III</t>
  </si>
  <si>
    <t>Granblue Fantasy: Versus</t>
  </si>
  <si>
    <t>Granblue Fantasy</t>
  </si>
  <si>
    <t>PoPoLoCrois Monogatari</t>
  </si>
  <si>
    <t>Soukaigi</t>
  </si>
  <si>
    <t>Last Legion UX</t>
  </si>
  <si>
    <t>Evil Zone</t>
  </si>
  <si>
    <t>Titus Interactive</t>
  </si>
  <si>
    <t>Phantasy Star Portable 2: Infinity</t>
  </si>
  <si>
    <t>Senran Kagura: Peach Ball</t>
  </si>
  <si>
    <t>Hundred Days: Winemaking Simulator</t>
  </si>
  <si>
    <t>Broken Arms Games</t>
  </si>
  <si>
    <t>Krafton</t>
  </si>
  <si>
    <t>Frogun</t>
  </si>
  <si>
    <t>Monster Menu: The Scavenger's Cookbook</t>
  </si>
  <si>
    <t>GrimGrimoire OnceMore</t>
  </si>
  <si>
    <t>Process of Elimination</t>
  </si>
  <si>
    <t>Tokyo Twilight Ghost Hunters Daybreak: Special Gigs</t>
  </si>
  <si>
    <t>Toybox</t>
  </si>
  <si>
    <t>Wizardry: Labyrinth of Lost Souls</t>
  </si>
  <si>
    <t>Honey Parade Games</t>
  </si>
  <si>
    <t>One of the most charming games I've played in a long while! Everything in this game comes together quite nicely to create just a purely comfortable experience. The characters are cute, the music is relaxing, the exploration is fun, there are interesting and unique secrets to find, and even the light plot is heartwarming. It's rare for such short games to leave a lasting impression on me, but I feel like this one will.</t>
  </si>
  <si>
    <t>Aperture Desk Job</t>
  </si>
  <si>
    <t>It's hard to actually "rate" something that's basically just a tech demo, but this one was pretty solid. It definitely really made me miss the days when Valve was frequently releasing new games, because it's clear they still have the talent, knack for humor and storytelling, and ability to create a novel experience. Hopefully they do return, because if this is a teaser then I can't wait for the full return!</t>
  </si>
  <si>
    <t>Steam Deck</t>
  </si>
  <si>
    <t>JoJo's Bizarre Adventure: All Star Battle R</t>
  </si>
  <si>
    <t>Brave Dungeon + Dark Witch's Story:COMBAT</t>
  </si>
  <si>
    <t>There's a lot going for this game and a lot holding it back. It's clear there's a ton of technical talent going into this game, with its stunningly detailed environments and sprawling cityscapes, but it's marred in a few places. Playing this game co-op, we were ravaged by bugs that actually hindered our experience (the map didn't work for me, HUD disappearing, etc). Movement is way too slow and the map is unreadable (when it works), making navigating the game's gorgeous environments more frustrating than it should be. Game balance is also all over the place, with fights that were incredibly easy followed by nail-bitingly difficult brawls. As a huge cyberpunk fan, I still enjoyed my romp through this game's world--even when the technobabble was a bit much for me. Oh, and the music is excellent!</t>
  </si>
  <si>
    <t>Warzone 2100</t>
  </si>
  <si>
    <t>Pumpkin Studios</t>
  </si>
  <si>
    <t>Ty the Tasmanian Tiger 2: Bush Rescue</t>
  </si>
  <si>
    <t>Ty the Tasmanian Tiger 3: Night of the Quinkan</t>
  </si>
  <si>
    <t>Snack World: The Dungeon Crawl – Gold</t>
  </si>
  <si>
    <t>Snack World</t>
  </si>
  <si>
    <t>Sable</t>
  </si>
  <si>
    <t>Shedworks</t>
  </si>
  <si>
    <t>Inferno 2</t>
  </si>
  <si>
    <t>Tales of Symphonia Remastered</t>
  </si>
  <si>
    <t>Octopath Traveler II</t>
  </si>
  <si>
    <t>Theatrhythm Final Bar Line</t>
  </si>
  <si>
    <t>PixelJunk Monsters 2</t>
  </si>
  <si>
    <t>Earth Defense Force 4.1: Wingdiver the Shooter</t>
  </si>
  <si>
    <t>Clouds</t>
  </si>
  <si>
    <t>The Hand of Merlin</t>
  </si>
  <si>
    <t>Room-C Games</t>
  </si>
  <si>
    <t>Mayhem in Single Valley</t>
  </si>
  <si>
    <t>Fluxscopic</t>
  </si>
  <si>
    <t>Pillars of Eternity II: Deadfire</t>
  </si>
  <si>
    <t>Hitchhiker: A Mystery Game</t>
  </si>
  <si>
    <t>Mad About Pandas</t>
  </si>
  <si>
    <t>Wintermoor Tactics Club</t>
  </si>
  <si>
    <t>EVC Games</t>
  </si>
  <si>
    <t>Cardpocalypse</t>
  </si>
  <si>
    <t>Let Them Come</t>
  </si>
  <si>
    <t>Tuatara Games</t>
  </si>
  <si>
    <t>Divinity: Original Sin 2 - Definitive Edition</t>
  </si>
  <si>
    <t>Top Hat Studios</t>
  </si>
  <si>
    <t>Molegato</t>
  </si>
  <si>
    <t>Astoundingly perfect game. This is truly the culmination of this series and it's difficult to even see where Monolith Soft goes from here -- they've absolutely nailed everything here. The combat is the best it's ever been, their characters are as likeable as ever, the plot is beautiful and poignant, they've actually managed to create engaging side content, the soundtrack is unreal, and the game looks and runs gorgeously on the (by now) ancient Switch. The game succeeded at being endlessly breathtaking. This is one that I won't forget anytime soon.</t>
  </si>
  <si>
    <t>A Taste of the Past</t>
  </si>
  <si>
    <t>Save Room</t>
  </si>
  <si>
    <t>Oneiros</t>
  </si>
  <si>
    <t>Sondering Studio</t>
  </si>
  <si>
    <t>Fractal Projects</t>
  </si>
  <si>
    <t>Coal Valley Games</t>
  </si>
  <si>
    <t>I think I'm just too stupid for this game. I enjoyed playing it and the ah-ha moments were definitely the best part, but it felt like I was often getting hopelessly stuck with no crumb of an idea of how to proceed. It definitely takes a certain type of person to be very good at this game, and I didn't have that knack. I would've liked for the game to have some sort of optional in-game hint system because I truly struggled to make progress quickly. That said, this game is amazing -- it is endlessly clever and delightful despite its deviousness.</t>
  </si>
  <si>
    <t>Save Room isn't going to be winning any serious awards, but it's a pleasant time for anyone who enjoyed the inventory management in Resident Evil 4. Its biggest value is the nostalgia factor in that aspect of that one game, which honestly is a pretty strong driver here. It really reminded me of the Flash heyday where games like this would be popping up around the internet. It's well made for what it is, but don't go expecting anything mindblowing.</t>
  </si>
  <si>
    <t>The Powerpuff Girls: Defenders of Townsville</t>
  </si>
  <si>
    <t>Cartoon Network</t>
  </si>
  <si>
    <t>Powerpuff Girls</t>
  </si>
  <si>
    <t>I didn't find Red Faction II as endearing as its predecessor. The setting was less interesting than being part of a mining colony uprising and the gameplay itself felt more awkward. This could be in part due to a pretty shoddy PC port, so I may revisit on console in the future. The parts that weren't port related were the poor AI, too frequent vehicle sections, and odd difficulty spikes. It was still an enjoyable early 2000s shooter, but it hasn't aged as well as the first game.</t>
  </si>
  <si>
    <t>Inferno 2 starts out charming but it rapidly wears thin when you realize that it has little variety to offer beyond its initial few stages. By the final stage, I was bored of the game as it had hardly differentiated itself across the 80 levels I'd just played. It's competently made, and the core gameplay is fun, but there isn't any substance beyond that.</t>
  </si>
  <si>
    <t>Agents of Mayhem</t>
  </si>
  <si>
    <t>The Dishwasher: Vampire Smile</t>
  </si>
  <si>
    <t>Devolver Bootleg</t>
  </si>
  <si>
    <t>Caveblazers</t>
  </si>
  <si>
    <t>Yogscast Games</t>
  </si>
  <si>
    <t>Deadpan Games</t>
  </si>
  <si>
    <t>Loplight</t>
  </si>
  <si>
    <t>Scumhead</t>
  </si>
  <si>
    <t>AquaNox</t>
  </si>
  <si>
    <t>Ravensburger Interactive</t>
  </si>
  <si>
    <t>Massive Development</t>
  </si>
  <si>
    <t>AquaNox 2: Revelation</t>
  </si>
  <si>
    <t>Encore Software</t>
  </si>
  <si>
    <t>A-Tech Cybernetic VR</t>
  </si>
  <si>
    <t>BloodNet</t>
  </si>
  <si>
    <t>Master Reboot</t>
  </si>
  <si>
    <t>Pistol Whip</t>
  </si>
  <si>
    <t>Cloudhead Games</t>
  </si>
  <si>
    <t>Agatha Christie: The ABC Murders</t>
  </si>
  <si>
    <t>AI War: Fleet Command</t>
  </si>
  <si>
    <t>AR-K</t>
  </si>
  <si>
    <t>Gato Studio</t>
  </si>
  <si>
    <t>Aura: Fate of the Ages</t>
  </si>
  <si>
    <t>Streko Graphics</t>
  </si>
  <si>
    <t>Aura</t>
  </si>
  <si>
    <t>Back to Bed</t>
  </si>
  <si>
    <t>Bang-On Balls: Chronicles</t>
  </si>
  <si>
    <t>Untold Tales</t>
  </si>
  <si>
    <t>Exit Plan Games</t>
  </si>
  <si>
    <t>The Battle of Polytopia</t>
  </si>
  <si>
    <t>EarthNight</t>
  </si>
  <si>
    <t>Enclave</t>
  </si>
  <si>
    <t>F1 2020</t>
  </si>
  <si>
    <t>Fallen Enchantress: Legendary Heroes</t>
  </si>
  <si>
    <t>Famaze</t>
  </si>
  <si>
    <t>FUEL</t>
  </si>
  <si>
    <t>Midjiwan</t>
  </si>
  <si>
    <t>Slitherine</t>
  </si>
  <si>
    <t>Black Lab Games</t>
  </si>
  <si>
    <t>Battlestar Galactica</t>
  </si>
  <si>
    <t>Cleaversoft</t>
  </si>
  <si>
    <t>Black Label Games</t>
  </si>
  <si>
    <t>Oryx Design Lab</t>
  </si>
  <si>
    <t>Battlestar Galactica Deadlock</t>
  </si>
  <si>
    <t>Kadokawa Corporation</t>
  </si>
  <si>
    <t>Yume Nikki: Dream Diary</t>
  </si>
  <si>
    <t>Hexcells</t>
  </si>
  <si>
    <t>Matthew Brown</t>
  </si>
  <si>
    <t>Hexcells Infinite</t>
  </si>
  <si>
    <t>Hexcells Plus</t>
  </si>
  <si>
    <t>Hitman: Sniper Challenge</t>
  </si>
  <si>
    <t>Commander Keen in Keen Dreams</t>
  </si>
  <si>
    <t>Softdisk Publishing</t>
  </si>
  <si>
    <t>Kick-Ass 2</t>
  </si>
  <si>
    <t>United Independent Entertainment</t>
  </si>
  <si>
    <t>Freedom Factory</t>
  </si>
  <si>
    <t>Kick-Ass</t>
  </si>
  <si>
    <t>Mini Metro</t>
  </si>
  <si>
    <t>Dinosaur Polo Club</t>
  </si>
  <si>
    <t>Mini Motor Racing EVO</t>
  </si>
  <si>
    <t>The Binary Mill</t>
  </si>
  <si>
    <t>Mini Motor Racing</t>
  </si>
  <si>
    <t>Operation Flashpoint: Dragon Rising</t>
  </si>
  <si>
    <t>Operation Flashpoint</t>
  </si>
  <si>
    <t>Operation Flashpoint: Red River</t>
  </si>
  <si>
    <t>PC Building Simulator</t>
  </si>
  <si>
    <t>Claudiu Kiss</t>
  </si>
  <si>
    <t>Prison Architect</t>
  </si>
  <si>
    <t>Puddle</t>
  </si>
  <si>
    <t>Pushcat</t>
  </si>
  <si>
    <t>Zut Games</t>
  </si>
  <si>
    <t>Rex Nebular and the Cosmic Gender Bender</t>
  </si>
  <si>
    <t>Rise of the Argonauts</t>
  </si>
  <si>
    <t>RWBY: Grimm Eclipse</t>
  </si>
  <si>
    <t>Rooster Teeth Games</t>
  </si>
  <si>
    <t>RWBY</t>
  </si>
  <si>
    <t>shapez</t>
  </si>
  <si>
    <t>Doyoyo Games</t>
  </si>
  <si>
    <t>Tobias Springer</t>
  </si>
  <si>
    <t>Shiness: The Lightning Kingdom</t>
  </si>
  <si>
    <t>Enigami</t>
  </si>
  <si>
    <t>Sid Meier's Covert Action</t>
  </si>
  <si>
    <t>Sid Meier's Pirates!</t>
  </si>
  <si>
    <t>Star Wars: Starfighter</t>
  </si>
  <si>
    <t>Secret Level</t>
  </si>
  <si>
    <t>Star Wars: X-Wing vs. TIE Fighter</t>
  </si>
  <si>
    <t>Stronghold Crusader Extreme</t>
  </si>
  <si>
    <t>Tell Me Why</t>
  </si>
  <si>
    <t>Them's Fightin' Herds</t>
  </si>
  <si>
    <t>Tiny Troopers</t>
  </si>
  <si>
    <t>Urban Trial Tricky</t>
  </si>
  <si>
    <t>Vampire Survivors</t>
  </si>
  <si>
    <t>Vigil: Blood Bitterness</t>
  </si>
  <si>
    <t>The Captain</t>
  </si>
  <si>
    <t>Go! Go! Kokopolo 3D: Space Recipe for Disaster</t>
  </si>
  <si>
    <t>Go! Go! Kokopolo: Harmonious Forest Revenge</t>
  </si>
  <si>
    <t>Viking: Battle for Asgard</t>
  </si>
  <si>
    <t>Mane6</t>
  </si>
  <si>
    <t>Kukouri</t>
  </si>
  <si>
    <t>Urban Trial</t>
  </si>
  <si>
    <t>poncle</t>
  </si>
  <si>
    <t>Freegamer</t>
  </si>
  <si>
    <t>Sysiac Games</t>
  </si>
  <si>
    <t>Tanukii Studios</t>
  </si>
  <si>
    <t>Go! Go! Kokopolo</t>
  </si>
  <si>
    <t>Serious Sam 4</t>
  </si>
  <si>
    <t>Serious Sam: Tormental</t>
  </si>
  <si>
    <t>Gungrounds</t>
  </si>
  <si>
    <t>Serious Sam: Siberian Mayhem</t>
  </si>
  <si>
    <t>Serious Sam's Bogus Detour</t>
  </si>
  <si>
    <t>It goes without saying that Sable is absolutely gorgeous, one of the strongest art styles I've seen in games. This is supplemented with wonderful worldbuilding, great writing, and exciting exploration. It's just unfortunate how much performance problems mar this experience--it would take me completely out of the experience of gliding throughout this alien planet when my framerate would drop or the audio would stutter. It's not often that performance can actually get in the way of my enjoyment of a game, but here the game's strengths were detrimented by the experience. That said, it was a joy to explore this world and I loved every minute, I just wish it was a bit less choppy.</t>
  </si>
  <si>
    <t>Enix Corporation</t>
  </si>
  <si>
    <t>BlueTwelve Studio</t>
  </si>
  <si>
    <t>NinPen Manmaru</t>
  </si>
  <si>
    <t>Always Sometimes Monsters</t>
  </si>
  <si>
    <t>Vagabond Dog</t>
  </si>
  <si>
    <t>Anna: Extended Edition</t>
  </si>
  <si>
    <t>Dreampainters</t>
  </si>
  <si>
    <t>Anna's Quest</t>
  </si>
  <si>
    <t>Cry of Fear</t>
  </si>
  <si>
    <t>Team Psykskallar</t>
  </si>
  <si>
    <t>Curse: The Eye of Isis</t>
  </si>
  <si>
    <t>Asylum Entertainment</t>
  </si>
  <si>
    <t>Distrust</t>
  </si>
  <si>
    <t>Cheerdealers</t>
  </si>
  <si>
    <t>The Forest</t>
  </si>
  <si>
    <t>Endnight Games</t>
  </si>
  <si>
    <t>Lust</t>
  </si>
  <si>
    <t>Lust for Darkness</t>
  </si>
  <si>
    <t>Osiris: New Dawn</t>
  </si>
  <si>
    <t>Fenix Fire Entertainment</t>
  </si>
  <si>
    <t>We Were Here Together</t>
  </si>
  <si>
    <t>Foregone</t>
  </si>
  <si>
    <t>A Game with a Kitty 2: Darkside Adventures</t>
  </si>
  <si>
    <t>Cloudborn</t>
  </si>
  <si>
    <t>Logtown Studios</t>
  </si>
  <si>
    <t>Mini Motor Racing X</t>
  </si>
  <si>
    <t>Nextgen Reality</t>
  </si>
  <si>
    <t>I thought this game was great. It controls tightly, is remarkably charming with a solid sense of humor, and has great level design reminiscient of the Mario greats. My largest gripe with this game would be that the camera can be unreliable in tight areas, but otherwise I had a blast with the game.</t>
  </si>
  <si>
    <t>Dotemu</t>
  </si>
  <si>
    <t>Atelier Ryza 3: Alchemist of the End &amp; the Secret Key</t>
  </si>
  <si>
    <t>Master Detective Archives: RAIN CODE</t>
  </si>
  <si>
    <t>Kirby's Return to Dream Land Deluxe</t>
  </si>
  <si>
    <t>Fire Emblem Engage</t>
  </si>
  <si>
    <t>RavenWeald</t>
  </si>
  <si>
    <t>Turbowizard Studios</t>
  </si>
  <si>
    <t>Dot's Home</t>
  </si>
  <si>
    <t>Rise-Home Stories Project</t>
  </si>
  <si>
    <t>Weathered Sweater, Aerial_Knight, Titan ARX Interactive</t>
  </si>
  <si>
    <t>Stillwater</t>
  </si>
  <si>
    <t>Studio Clump</t>
  </si>
  <si>
    <t>Neoverse</t>
  </si>
  <si>
    <t>Tinogames</t>
  </si>
  <si>
    <t>Slap City</t>
  </si>
  <si>
    <t>Human: Fall Flat</t>
  </si>
  <si>
    <t>No Brakes Games</t>
  </si>
  <si>
    <t>I wanted to like this game given how lovely its aesthetic is, but I found it to be more tedious than enjoyable. The game plays far too clunkily to be a precision platformer, and would have been better as a puzzle platformer. Instead, you're constantly tasked with demanding, well-timed platforming that the game's control scheme doesn't lend well to. You'll find your targeter highlighting objects and then not hitting them, difficult angles which make it frustrating to hit your intended target, and unclear depth making a missed grab feel less like your own mistake and more a design flaw. The game starts out strongly, but it has a case of mistaken identity as it progresses.</t>
  </si>
  <si>
    <t>I wanted to play this one before its servers are inevitably shut down someday, and I'm actually glad that I did experience this game. The story is pretty boring (and ends pretty abruptly) and the environments all blend together, but the core gunplay is so good that it's still an entertaining game. Judging this game solely on its main campaign, I'd say it's worth checking out, if only for the incredibly solid shooting.</t>
  </si>
  <si>
    <t>Tribute Gaems</t>
  </si>
  <si>
    <t>This game truly feels like the sequel that Turtles in Time deserves. It's gorgeous, fluid, has excellent music, and is a blast to play. It's an amazing homage that also improves on its inspiration by adding in new moves, gameplay elements, and amps up the artwork and music. Highly recommended for any fans of the original Turtles in Time, or fans of beat 'em ups in general.</t>
  </si>
  <si>
    <t>Outcore: Desktop Adventure</t>
  </si>
  <si>
    <t>Doctor Shinobi</t>
  </si>
  <si>
    <t>Deiland</t>
  </si>
  <si>
    <t>The Legend of Heroes: Trails from Zero</t>
  </si>
  <si>
    <t>Road 96</t>
  </si>
  <si>
    <t>Digixart</t>
  </si>
  <si>
    <t>Eldest Souls</t>
  </si>
  <si>
    <t>Fallen Flag Studio</t>
  </si>
  <si>
    <t>Dreamscaper</t>
  </si>
  <si>
    <t>Freedom Games</t>
  </si>
  <si>
    <t>Afterburner Studios</t>
  </si>
  <si>
    <t>It's totally fair to critique this game by saying the gameplay is shallow, but I was absolutely suckered by this world. I found myself totally immersed and satisfied exploring this strange robot-filled city and would have love to continue exploring and meeting its denizens. This is a short experience, but it packs a punch and I think will certainly be memorable. But how was that cat understanding everything?</t>
  </si>
  <si>
    <t>Terrain of Magical Expertise</t>
  </si>
  <si>
    <t>NEO-C Productions</t>
  </si>
  <si>
    <t>Freshly-Picked Tingle's Rosy Rupeeland</t>
  </si>
  <si>
    <t>Runbow</t>
  </si>
  <si>
    <t>Demagog Studio</t>
  </si>
  <si>
    <t>Intravenous</t>
  </si>
  <si>
    <t>Explosive Squat Games</t>
  </si>
  <si>
    <t>I'd slept on this one for a while, enjoying it for a few hours and then dropping it, but coming back I was thoroughly thrilled by this game. It strikes that adrenaline chord that Risk of Rain 2 does, making any progression feel hard-fought and well-earned. On top of the extremely satisfying gameplay, this game is chock full of cool lore, amazing set pieces, and secrets galore. I'll definitely be double dipping on this one on PC for some coop action.</t>
  </si>
  <si>
    <t>DeadCore</t>
  </si>
  <si>
    <t>Catmaze</t>
  </si>
  <si>
    <t>Songbird Symphony</t>
  </si>
  <si>
    <t>Hinge</t>
  </si>
  <si>
    <t>5 Bits Games</t>
  </si>
  <si>
    <t>Redblack Spade</t>
  </si>
  <si>
    <t>Joysteak Studios</t>
  </si>
  <si>
    <t>Arcadia</t>
  </si>
  <si>
    <t>Fallout 76</t>
  </si>
  <si>
    <t>Total War: Warhammer II</t>
  </si>
  <si>
    <t>Epic Chef</t>
  </si>
  <si>
    <t>Infinigon Games</t>
  </si>
  <si>
    <t>Maid of Sker</t>
  </si>
  <si>
    <t>Disciples: Liberation</t>
  </si>
  <si>
    <t>Monster Train</t>
  </si>
  <si>
    <t>Shiny Shoe</t>
  </si>
  <si>
    <t>Magna Carta: The Phantom of Avalanche</t>
  </si>
  <si>
    <t>MagnaCarta II</t>
  </si>
  <si>
    <t>Alien Breed 3D</t>
  </si>
  <si>
    <t>Commodore Amiga CD32</t>
  </si>
  <si>
    <t>Alien Breed 3D II: The Killing Grounds</t>
  </si>
  <si>
    <t>Alien Breed: Tower Assault</t>
  </si>
  <si>
    <t>Alien Breed II: The Horror Continues</t>
  </si>
  <si>
    <t>Ambermoon</t>
  </si>
  <si>
    <t>Thalion Software</t>
  </si>
  <si>
    <t>Amberstar</t>
  </si>
  <si>
    <t>Art &amp; Magic</t>
  </si>
  <si>
    <t>Amnios</t>
  </si>
  <si>
    <t>Flying Chicken Software</t>
  </si>
  <si>
    <t>Assassin</t>
  </si>
  <si>
    <t>Psionic Systems</t>
  </si>
  <si>
    <t>Banshee</t>
  </si>
  <si>
    <t>Benefactor</t>
  </si>
  <si>
    <t>Black Crypt</t>
  </si>
  <si>
    <t>Cardiaxx</t>
  </si>
  <si>
    <t>Electronic Zoo</t>
  </si>
  <si>
    <t>Eclipse Design</t>
  </si>
  <si>
    <t>Cyberpunks</t>
  </si>
  <si>
    <t>Mutation</t>
  </si>
  <si>
    <t>Darkmere: The Nightmare's Begun</t>
  </si>
  <si>
    <t>Zero Hour Software</t>
  </si>
  <si>
    <t>HeroQuest</t>
  </si>
  <si>
    <t>221B Software</t>
  </si>
  <si>
    <t>HeroQuest II: Legacy of Sorasil</t>
  </si>
  <si>
    <t>Never Mind</t>
  </si>
  <si>
    <t>M.C. Lothlorien</t>
  </si>
  <si>
    <t>The Oath</t>
  </si>
  <si>
    <t>attic Entertainment Software</t>
  </si>
  <si>
    <t>Perihelion: The Prophecy</t>
  </si>
  <si>
    <t>Morbid Visions</t>
  </si>
  <si>
    <t>Swords of Twilight</t>
  </si>
  <si>
    <t>Free Fall Associates</t>
  </si>
  <si>
    <t>Testament</t>
  </si>
  <si>
    <t>Signum</t>
  </si>
  <si>
    <t>Insanity</t>
  </si>
  <si>
    <t>Walker</t>
  </si>
  <si>
    <t>Zombie Massacre</t>
  </si>
  <si>
    <t>Islona Entertainment</t>
  </si>
  <si>
    <t>Alpha Software</t>
  </si>
  <si>
    <t>Obsidian</t>
  </si>
  <si>
    <t>Amstrad CPC</t>
  </si>
  <si>
    <t>Artic Computing</t>
  </si>
  <si>
    <t>Tony Warriner</t>
  </si>
  <si>
    <t>West of Loathing</t>
  </si>
  <si>
    <t>Asymmetric Publications</t>
  </si>
  <si>
    <t>Kingdom of Loathing</t>
  </si>
  <si>
    <t>One thing is for certain, and that is that this game is oozing with creativity. The levels are wholly distinct and it really is exciting to see what the designers have crafted next. It's just unfortunate that the game is rife with the clunkiness of a mid 2000s 3D platformer. The platforming isn't all that engaging, the combat is pretty boring despite having a plethora of abilities, the abilities themselves are a chore to swap between, and there are some annoying segments of levels where it's irritatingly repetitive to get to the end (looking at you Meat Circus). Glad to have played this game, but it didn't hold up as an all time great for me.</t>
  </si>
  <si>
    <t>Not a whole lot to say here. It's a free visual novel intro for Ghostwire: Tokyo. I figured I'd check it out prior to starting up that game, and this didn't really do anything for me as far as whetting my appetite for the game or  even introducing me to the world in any serious capacity. At least the art is nice.</t>
  </si>
  <si>
    <t>Tenerezza</t>
  </si>
  <si>
    <t>Sega Studios Australia</t>
  </si>
  <si>
    <t>God Wars: The Complete Legend</t>
  </si>
  <si>
    <t>Dragami Games</t>
  </si>
  <si>
    <t>God Wars</t>
  </si>
  <si>
    <t>Rising Hell</t>
  </si>
  <si>
    <t>Tahoe Games</t>
  </si>
  <si>
    <t>Slain: Back from Hell</t>
  </si>
  <si>
    <t>NieR: Automata - The End of YoRHa Edition</t>
  </si>
  <si>
    <t>I love the ambition on display here. Knowing that something like this released back in the 90's on the SNES is wild to me -- it's rare to even see something like Live A Live in today's gaming landscape. The game also backs up its ambition by being pretty damn fun, with a nice take on a classic turn-based system with a lite strategy RPG aspect to it. Not all of the chapters really hit for me, with some feeling like more of a drag, but each chapter being only a few hours at most helped with the pacing. Unfortunately, that short length made it more challenging to connect with any of the characters or tell an in-depth story. It did also take a while for the game to reach its overarching structure, but when it did I was fully on board. I'd love to go back and play the original someday to compare, but this was certainly a solid game.</t>
  </si>
  <si>
    <t>The DioField Chronicle</t>
  </si>
  <si>
    <t>Kōkidō Gensō Gunparade March</t>
  </si>
  <si>
    <t>Ore no Shikabane o Koete Yuke</t>
  </si>
  <si>
    <t>Witch's Wish</t>
  </si>
  <si>
    <t>My Hero One's Justice 2</t>
  </si>
  <si>
    <t>The aesthetics and the style here are so strong that it's unfortunate the game itself is shallow in comparison. There's a serious lack of depth in the combat that makes things feel stiff and limiting. There are skill trees that don't really feel like they contribute much, leaving you with only three main combat abilities that don't evolve at all for the entire game. On top of that, the combat is really lacking movement--if only there were more options for dodging or sliding, and combat were overall slightly faster paced. The story is pretty basic, nothing to write home about here, but the set pieces are so cool and the world is fun to explore for a time. I would love to see a sequel that fleshes out the ideas they've established, all they need to do is iterate on the combat.</t>
  </si>
  <si>
    <t>The Steam Deck has proven perfect for these bite-sized wholesome experiences. I'm certainly a sucker for a game like this. It was cute, full of surprises, and entirely wholesome. It was a blast to figure out what I needed to take photos of and the world was so lovely!</t>
  </si>
  <si>
    <t>Kirby Fighters 2</t>
  </si>
  <si>
    <t>R?MJ: The Mystery Hospital</t>
  </si>
  <si>
    <t>Psychonauts 2</t>
  </si>
  <si>
    <t>Double Fine</t>
  </si>
  <si>
    <t>Motherlobe Edition</t>
  </si>
  <si>
    <t>Steelbook Launch Edition</t>
  </si>
  <si>
    <t>Begins Edition</t>
  </si>
  <si>
    <t>The Looker</t>
  </si>
  <si>
    <t>Subcreation Studio</t>
  </si>
  <si>
    <t>Last Rebellion</t>
  </si>
  <si>
    <t>Magus</t>
  </si>
  <si>
    <t>Black Tower Studios</t>
  </si>
  <si>
    <t>Megazone 23: Aoi Garland</t>
  </si>
  <si>
    <t>Mist of Chaos</t>
  </si>
  <si>
    <t>Untold Legends: Dark Kingdom</t>
  </si>
  <si>
    <t>Untold Legends</t>
  </si>
  <si>
    <t>Untold Legends: Brotherhood of the Blade</t>
  </si>
  <si>
    <t>Untold Legends: The Warrior's Code</t>
  </si>
  <si>
    <t>The DioField Chronicle feels like the definition of a C-tier game. The story is not very interesting and told in a way that makes it even less compelling, often just showing maps and arrows of movement around the map. The gameplay is fun enough, with an RTS-like strategy RPG core, but it's trivially broken such that it's incredibly easy. I was using the same strategy from hour one to the credits, and even the final boss went down in something like 30 seconds. Progression is also weird, with skills being tied to weapons and a skill tree to upgrade said skills -- so there's no point in upgrading any skills that aren't on the best weapons. All in all, not a very compelling game, though it is quite pretty looking.</t>
  </si>
  <si>
    <t>It tells a cute, wordless story with some lite puzzles, what more can I ask for? It can be a little tricky to snap a block to the intended space at times due to the perspective and the touch controls, but that doesn't seriously detract from the experience because quick reaction times aren't demanded. I'd definitely be interested in a lengthier game that builds on this style.</t>
  </si>
  <si>
    <t>Déraciné</t>
  </si>
  <si>
    <t>Resident Evil Village: Winters' Expansion</t>
  </si>
  <si>
    <t>I think I'm just not meant to "get" the Layers of Fear games. Having now played both of them, I just found them utterly boring. I realized with this one that they really are less "games" and more digital haunted houses. I wish that the stories they told could be delivered in a more interesting, less obtuse &amp; flowery way. The story in this one seems like it could be something, but it's told in such a boring way that it falls flat for me. Not to mention, I also didn't once find this game frightful--it abuses jump scares instead of crafting genuine horror. Hopefully they're completely rethinking this series for the sequel, because if it's anything like these two then I will also find it boring.</t>
  </si>
  <si>
    <t>Fallout 3: Game of the Year Edition</t>
  </si>
  <si>
    <t>The Inpatient</t>
  </si>
  <si>
    <t>Spelunky 2</t>
  </si>
  <si>
    <t>Assault Spy</t>
  </si>
  <si>
    <t>Wazen</t>
  </si>
  <si>
    <t>Mercifully short, this game is incredibly dull. When it's not dull, it's annoying due to strangely obtuse puzzles that aren't helped by a straight up bad English localization. This is not even to mention the horrendous voice acting which is frankly to a tier that I haven't seen in decades. The horror aspect of this game is exclusively cheap jump scares. Boring waste of time.</t>
  </si>
  <si>
    <t>RIGS: Mechanized Combat League</t>
  </si>
  <si>
    <t>Mario + Rabbids Sparks of Hope</t>
  </si>
  <si>
    <t>It's hard to say whether this game is actually good or if it's specifically designed in such a way to activate pleasure centers in my brain. The flashing lights, the progression, every run is a blast, and the game is an ease to play. It's just the kind of game that 2022 deserves, when everyone is multitasking media consumption. The game is also deceptively simple--it seems straightforward (and it is) but there is so much content to explore and discover. I loved this game and couldn't put it down.</t>
  </si>
  <si>
    <t>Nykra: Before</t>
  </si>
  <si>
    <t>ENDESGA</t>
  </si>
  <si>
    <t>Bloody Roar</t>
  </si>
  <si>
    <t>Bloody Roar II: The New Breed</t>
  </si>
  <si>
    <t>Bloody Roar 3</t>
  </si>
  <si>
    <t>Bloody Roar 4</t>
  </si>
  <si>
    <t>Bloody Roar: Primal Fury</t>
  </si>
  <si>
    <t>Marvel Nemesis: Rise of the Imperfects</t>
  </si>
  <si>
    <t>Nhilistic Software</t>
  </si>
  <si>
    <t>Tube Slider</t>
  </si>
  <si>
    <t>Go! Go! Hypergrind</t>
  </si>
  <si>
    <t>Poponchi</t>
  </si>
  <si>
    <t>Little Nightmares II</t>
  </si>
  <si>
    <t>BELOW</t>
  </si>
  <si>
    <t>Saturnalia</t>
  </si>
  <si>
    <t>RUN=DIM as Black Soul</t>
  </si>
  <si>
    <t>Digital Dream</t>
  </si>
  <si>
    <t>Call of Duty: Modern Warfare II</t>
  </si>
  <si>
    <t>Trinity Trigger</t>
  </si>
  <si>
    <t>Loop8: Summer of Gods</t>
  </si>
  <si>
    <t>Adventure Academia: The Fractured Continent</t>
  </si>
  <si>
    <t>River City Girls 1 &amp; 2</t>
  </si>
  <si>
    <t>Koumajou Remilia Scarlet Symphony</t>
  </si>
  <si>
    <t>Overlord: Escape from Nazarick</t>
  </si>
  <si>
    <t>The charm that this series had to start out with has really faded with how rapidly they've released these games and with how little they've iterated on the formula. The same issues of sluggish UI and exploration, an obscenely high encounter rate, relative simplicity and ease of combat, and general story shallowness remain. The series has certainly lost me with this one. It started out with some promise of diverging, with a pseudo-monster collection element, but this is beyond half-baked. There isn't a large variety of monster cards to collect, and they're locked behind randomness -- you have a random chance of getting three chests at the end of a battle, some of which contain monster  cards and some of which contain regular items. It turned what could've been an interesting mechanic into something I found annoying. The story is also fairly predictable, with its twists being broadcast since the first hour or so of the game. Hopefully they take some more time before the next one, because they need to work on some of the core aspects of the game which are now grating.</t>
  </si>
  <si>
    <t>Meremanoid</t>
  </si>
  <si>
    <t>Shout! Designworks</t>
  </si>
  <si>
    <t>Grapple Dog</t>
  </si>
  <si>
    <t>Resi</t>
  </si>
  <si>
    <t>I loved Resident Evil Village so it was great to explore this world a little bit more, but this expansion was lacking a bit in terms of brand new content. It was mostly an abridged retread of some of the best areas from the base game with some new twists, so the price of admission feels a bit steep. That said, the gameplay holds up and the new bits that are here are just as quality as the main game. Excited to see where this series goes next.</t>
  </si>
  <si>
    <t>This could've been a cool spin-off title, but it seems like this didn't even reach a quarter ass effort. The floaty vehicle physics of the main Red Faction games simply does not translate well to a twin-stick shooter and the destruction elements that make the core series unique are not nearly as present. The single player that does exist in this game is boring, with a few different basic modes that all blend together. To top it off, even aiming feels wrong--I often struggled to aim at what I was intending.</t>
  </si>
  <si>
    <t>Heavenly Bodies</t>
  </si>
  <si>
    <t>2pt Interactive</t>
  </si>
  <si>
    <t>Last Day of June</t>
  </si>
  <si>
    <t>UnMetal</t>
  </si>
  <si>
    <t>Roboquest</t>
  </si>
  <si>
    <t>RyseUp Studios</t>
  </si>
  <si>
    <t>Kingdoms of Amalur</t>
  </si>
  <si>
    <t>Kingdoms of Amalur: Re-Reckoning</t>
  </si>
  <si>
    <t>Shadow Tactics: Blades of the Shogun</t>
  </si>
  <si>
    <t>Shadow Tactics: Blades of the Shogun - Aiko's Choice</t>
  </si>
  <si>
    <t>Shadow Tactics</t>
  </si>
  <si>
    <t>Deep Fear</t>
  </si>
  <si>
    <t>Sega AM7</t>
  </si>
  <si>
    <t>Brain Breaker</t>
  </si>
  <si>
    <t>Sharp X1</t>
  </si>
  <si>
    <t>Castlevania: The Seal of the Curse</t>
  </si>
  <si>
    <t>Arkhouse Telegraph</t>
  </si>
  <si>
    <t>Dark Dreams RHN</t>
  </si>
  <si>
    <t>Chaos Heat</t>
  </si>
  <si>
    <t>Chaos Break</t>
  </si>
  <si>
    <t>EON Digital Entertainment</t>
  </si>
  <si>
    <t>Classic NES Series: Zelda II: The Adventure of Link</t>
  </si>
  <si>
    <t>I'd been meaning to play this game for a long time and I'm glad that I finally did. The story is engrossing and engaging, with lots of interesting characters and some cool story beats. It's not the most original story, but I'm a sucker for this conspiratorial type of story. I'd come in expecting more of a shooter, so it took some adjustment, but once I was more used to the stealth the game was an absolute blast. Loved sneaking around clearing an entire area and then stealthily exiting. The augmentation tree is also filled with some unique upgrades, many of which I was surprised to realize their usefulness as the game progressed. Excited to check out the rest of this series' history at some point.</t>
  </si>
  <si>
    <t>Deus Ex: Human Revolution - The Missing Link</t>
  </si>
  <si>
    <t>B.L.U.E.: Legend of Water</t>
  </si>
  <si>
    <t>Hudson</t>
  </si>
  <si>
    <t>This is essentially just more of exactly what Human Revolution offered, which isn't a bad thing. It doesn't bring much additional depth to the story, and the missions are pretty backtrack heavy, but it's still that solid gameplay that I loved experiencing in the main game. Having it integrated into the main game with Director's Cut would probably elevate this, due to its exposition on events that happen towards the end of Human Revolution, so I'd be interested in replaying the game to see how well it flows and what other changes they've made. Overall though, this DLC is still really worth playing even as a standalone.</t>
  </si>
  <si>
    <t>The Maid Fuku to Kikanjuu</t>
  </si>
  <si>
    <t>Rideon Japan</t>
  </si>
  <si>
    <t>Alice Gear Aegis CS: Concerto of Simulatrix</t>
  </si>
  <si>
    <t>The Maze of the Kings</t>
  </si>
  <si>
    <t>Filament</t>
  </si>
  <si>
    <t>Beard Envy</t>
  </si>
  <si>
    <t>Kid A Mnesia Exhibition</t>
  </si>
  <si>
    <t>Namethemachine</t>
  </si>
  <si>
    <t>The Matrix Awakens: An Unreal Engine 5 Experience</t>
  </si>
  <si>
    <t>Forza Motorsport 5</t>
  </si>
  <si>
    <t>Forza Motorsport 6</t>
  </si>
  <si>
    <t>Forza Motorsport 7</t>
  </si>
  <si>
    <t>Forza Horizon 2</t>
  </si>
  <si>
    <t>Forza Horizon 3</t>
  </si>
  <si>
    <t>Forza Horizon 4</t>
  </si>
  <si>
    <t>In Nightmare</t>
  </si>
  <si>
    <t>Maximum Games</t>
  </si>
  <si>
    <t>Magicfish Studio</t>
  </si>
  <si>
    <t>Joseph Gribbin</t>
  </si>
  <si>
    <t>God of War Ragnarök</t>
  </si>
  <si>
    <t>This Way Madness Lies</t>
  </si>
  <si>
    <t>Zeboyd Digital Entertainment</t>
  </si>
  <si>
    <t>Sonic 3D Blast</t>
  </si>
  <si>
    <t>Sonic R</t>
  </si>
  <si>
    <t>Sonic Rivals</t>
  </si>
  <si>
    <t>Sonic Rivals 2</t>
  </si>
  <si>
    <t>Sonic the Hedgehog: Genesis</t>
  </si>
  <si>
    <t>Sonic the Hedgehog Spinball</t>
  </si>
  <si>
    <t>Sega Technical Institute</t>
  </si>
  <si>
    <t>Sonic Shuffle</t>
  </si>
  <si>
    <t>Sonic Pinball Party</t>
  </si>
  <si>
    <t>Labs Works</t>
  </si>
  <si>
    <t>COGEN: Sword of Rewind</t>
  </si>
  <si>
    <t>Limited Run Games - Dual Pack with Gunvolt Chronicles: Luminous Avenger iX 2</t>
  </si>
  <si>
    <t>Gunvolt Chronicles: Luminous Avenger iX 2</t>
  </si>
  <si>
    <t>Limited Run Games - Dual Pack with COGEN: Sword of Rewind</t>
  </si>
  <si>
    <t>Headland</t>
  </si>
  <si>
    <t>Northplay</t>
  </si>
  <si>
    <t>Time Crisis II</t>
  </si>
  <si>
    <t>Time Crisis 3</t>
  </si>
  <si>
    <t>Time Crisis 4</t>
  </si>
  <si>
    <t>Time Crisis 5</t>
  </si>
  <si>
    <t>Crisis Zone</t>
  </si>
  <si>
    <t>Time Crisis: Project Titan</t>
  </si>
  <si>
    <t>Flying Tiger Entertainment</t>
  </si>
  <si>
    <t>Area 51</t>
  </si>
  <si>
    <t>Mesa Logic</t>
  </si>
  <si>
    <t>Area 51: Site 4</t>
  </si>
  <si>
    <t>Midway Austin</t>
  </si>
  <si>
    <t>BlackSite: Area 51</t>
  </si>
  <si>
    <t>Point Blank</t>
  </si>
  <si>
    <t>Point Blank 2</t>
  </si>
  <si>
    <t>Point Blank 3</t>
  </si>
  <si>
    <t>Point Blank DS</t>
  </si>
  <si>
    <t>Ghoul Panic</t>
  </si>
  <si>
    <t>Treasures of the Deep</t>
  </si>
  <si>
    <t>I love a good Metroidvania, and this one was certainly satisfying. The art is gorgeous and there's a lot of rewarding stuff to unlock and explore. I found the music to actually be pretty repetitive, causing me to mute the game after playing for a few hours, but that may just have been a few of the areas. I also felt like having to constantly change animal forms did slow the flow of the game. Having to swap would interrupt any action I was in the middle of, it would have been nice to have a cleaner way to swap without breaking my flow. There were also some frustrating segments with checkpoints that were too far apart, but overall the game was a lot of fun. Glad I remembered I'd picked it up on Stadia before the service shuts down.</t>
  </si>
  <si>
    <t>Thymesia</t>
  </si>
  <si>
    <t>OverBorder Studio</t>
  </si>
  <si>
    <t>Aplus</t>
  </si>
  <si>
    <t>Mama Morin</t>
  </si>
  <si>
    <t>TASOMACHI: Behind the Twilight</t>
  </si>
  <si>
    <t>Orbital Express</t>
  </si>
  <si>
    <t>WSS Playground</t>
  </si>
  <si>
    <t>Xemono</t>
  </si>
  <si>
    <t>Sonic Frontiers</t>
  </si>
  <si>
    <t>Mobile Suit Gundam: Operation: Troy</t>
  </si>
  <si>
    <t>Dimps Corporation</t>
  </si>
  <si>
    <t>Monochrome Mobius: Rights and Wrongs Forgotten</t>
  </si>
  <si>
    <t>Shiravune</t>
  </si>
  <si>
    <t>This game improved on basically everything that I found dated and cumbersome about the first game. It was great to see a creative vision that's unrestrained by the technical limitations of its time, and that creativity is truly unparalleled. Just about every single world is packed to the brim with cool details, and the platforming and combat are both so much smoother than its predecessor. I also found myself decently engaged in the story, even moreso than the first game. This game was a joy to play and I'm thrilled to see what this team puts out next!</t>
  </si>
  <si>
    <t>Dead or Alive 5+</t>
  </si>
  <si>
    <t>I don't come to Call of Duty games expecting too much substance -- just a high budget popcorn shooter. This one definitely satisfied in that aspect, and I was impressed at the surprising variety in the campaign. It wasn't 100% running and gunning, there were a number of unique missions to shake up the formula. That said, it doesn't quite hit the highs of 2019's Modern Warfare (and the armored enemies are quite annoying), but it is still one of the better modern era Call of Duty campaigns.</t>
  </si>
  <si>
    <t>Disney Infinity</t>
  </si>
  <si>
    <t>Earth Defense Force: World Brothers</t>
  </si>
  <si>
    <t>Atari 50: The Anniversary Celebration</t>
  </si>
  <si>
    <t>Various Daylife</t>
  </si>
  <si>
    <t>Little Witch Nobeta</t>
  </si>
  <si>
    <t>RPGolf Legends</t>
  </si>
  <si>
    <t>Dungeon Munchies</t>
  </si>
  <si>
    <t>Cult of the Lamb</t>
  </si>
  <si>
    <t>CFK</t>
  </si>
  <si>
    <t>TALESSHOP</t>
  </si>
  <si>
    <t>Disney Infinity 2.0</t>
  </si>
  <si>
    <t>No figures or portal</t>
  </si>
  <si>
    <t>Phantom Breaker</t>
  </si>
  <si>
    <t>Rocket Panda Games</t>
  </si>
  <si>
    <t>GameLoop</t>
  </si>
  <si>
    <t>Binary Haze Interactive</t>
  </si>
  <si>
    <t>Adglobe</t>
  </si>
  <si>
    <t>Root Double: Before Crime * After Days: Xtend Edition</t>
  </si>
  <si>
    <t>Regista</t>
  </si>
  <si>
    <t>New Tales from the Borderlands</t>
  </si>
  <si>
    <t>Gearbox Studio Québec</t>
  </si>
  <si>
    <t>This is definitely improved on the already good Kingdom Battle. It still does start to drag a little bit towards the end, but it's a well-made game with a solid core gameplay loop. I liked the freer movement and how well the game prepared you for each story mission, not requiring any sort of grinding. It seems like they understand what makes this series good, so I'd be excited to checkout the next one!</t>
  </si>
  <si>
    <t>Mato Anomalies</t>
  </si>
  <si>
    <t>Romancing SaGa: Minstrel Song Remastered</t>
  </si>
  <si>
    <t>Samurai Maiden</t>
  </si>
  <si>
    <t>Super Magbot</t>
  </si>
  <si>
    <t>Astral Pixel</t>
  </si>
  <si>
    <t>Blade Assault</t>
  </si>
  <si>
    <t>TeamSuneat</t>
  </si>
  <si>
    <t>GreedFall</t>
  </si>
  <si>
    <t>Fate/Extella Link</t>
  </si>
  <si>
    <t>Edia Co.</t>
  </si>
  <si>
    <t>ENGINES</t>
  </si>
  <si>
    <t>Frontier Aja</t>
  </si>
  <si>
    <t>Monster of the Deep: Final Fantasy XV</t>
  </si>
  <si>
    <t>Vampire Survivors: Legacy of the Moonspell</t>
  </si>
  <si>
    <t>Mega Man Battle Network Legacy Collection</t>
  </si>
  <si>
    <t>Fairy Fencer F: Refrain Chord</t>
  </si>
  <si>
    <t>Labyrinth of Zangetsu</t>
  </si>
  <si>
    <t>Signalis</t>
  </si>
  <si>
    <t>Final Fantasy XVI</t>
  </si>
  <si>
    <t>Super Meat Boy Forever</t>
  </si>
  <si>
    <t>The Witch and the Hundred Knight 2</t>
  </si>
  <si>
    <t>First impressions of this game are certainly rough, but as I progressed I found this to be one of the best Pokémon games in recent memory. There's a ton of useful quality of life features like accessing your box from anywhere, remembering moves, being able to easily hunt Pokémon you want through picnics, outdoor centers, etc. The performance is extremely rough and certainly degrades the experience, and the world itself isn't that interesting to explore for any reason other than catching Pokémon, but I still enjoyed the freeform approach to this game. Hopefully they figure out the performance issues and continue adding more quality of life features, because this was much better than the last one I played (Brilliant Diamond).</t>
  </si>
  <si>
    <t>It's great to have more Vampire Survivors content, but this doesn't really do much to evolve on the formula. One stage, a handful of new weapons and characters, and that's it. I would've liked to see some new relics or some particularly unique weapons--none of them really stand out in comparison to the base game weapons. That said, it was still a lot of fun to return to this game and have a chunk of new achievements to complete. That, and this DLC is outrageously cheap!</t>
  </si>
  <si>
    <t>Lost in Random</t>
  </si>
  <si>
    <t>Zoink</t>
  </si>
  <si>
    <t>Gunman Clive 2</t>
  </si>
  <si>
    <t>Star Shredders</t>
  </si>
  <si>
    <t>Sharkbowl Games</t>
  </si>
  <si>
    <t>Cruelty Squad</t>
  </si>
  <si>
    <t>Consumer Softproducts</t>
  </si>
  <si>
    <t>Prodigal</t>
  </si>
  <si>
    <t>Colorgrave</t>
  </si>
  <si>
    <t>Mirage of Dragon</t>
  </si>
  <si>
    <t>Greak: Memories of Azur</t>
  </si>
  <si>
    <t>Navegante Entertainment</t>
  </si>
  <si>
    <t>Encased: A Sci-Fi Post-Apocalyptic RPG</t>
  </si>
  <si>
    <t>Prime Matter</t>
  </si>
  <si>
    <t>Dark Crystal Games</t>
  </si>
  <si>
    <t>Final Fantasy VII / Final Fantasy VIII Remastered Twin Pack</t>
  </si>
  <si>
    <t>Attack on Titan 2: Final Battle</t>
  </si>
  <si>
    <t>Conception Plus: Maidens of the Twelve Stars</t>
  </si>
  <si>
    <t>Need for Speed Unbound</t>
  </si>
  <si>
    <t>This game has Amanita's classic striking designs and packs some interesting puzzles, but it was a bit slow for my tastes. Several of the puzzles require long periods of waiting for enemies to get into proper position, and it generally felt repetitive despite being somewhat short. I did still find it enjoyable, as many of the puzzles were well-designed, but it's nothing that I'd write home about.</t>
  </si>
  <si>
    <t>This game is absolutely, undeniable an all-time great, and this is a rock-solid port of the game. It has certainly aged, with stiffer controls than more modern beat 'em ups, though it still was a fun &amp; quick romp. The music still absolutely kicks ass and I still absolutely get my ass kicked by nearly every boss.</t>
  </si>
  <si>
    <t>Shovel Knight Dig</t>
  </si>
  <si>
    <t>Nitrome</t>
  </si>
  <si>
    <t>Citizen Sleeper</t>
  </si>
  <si>
    <t>Bughouse</t>
  </si>
  <si>
    <t>Disrate Studios</t>
  </si>
  <si>
    <t>Tinykin</t>
  </si>
  <si>
    <t>Neon White</t>
  </si>
  <si>
    <t>Angel Matrix</t>
  </si>
  <si>
    <t>Katana ZERO</t>
  </si>
  <si>
    <t>Garden Story</t>
  </si>
  <si>
    <t>Picogram</t>
  </si>
  <si>
    <t>ArticNet</t>
  </si>
  <si>
    <t>RPGolf</t>
  </si>
  <si>
    <t>Wipeout Omega Collection</t>
  </si>
  <si>
    <t>XDev</t>
  </si>
  <si>
    <t>Reveal Fantasia</t>
  </si>
  <si>
    <t>Choro Q Wonderful!</t>
  </si>
  <si>
    <t>E-Game</t>
  </si>
  <si>
    <t>Choro Q</t>
  </si>
  <si>
    <t>Space Runaway</t>
  </si>
  <si>
    <t>110 Industries</t>
  </si>
  <si>
    <t>About an Elf</t>
  </si>
  <si>
    <t>Meringue Interactive</t>
  </si>
  <si>
    <t>Theatrhythm Dragon Quest</t>
  </si>
  <si>
    <t>Turok: Escape from Lost Valley</t>
  </si>
  <si>
    <t>Universal Studios Interactive Entertainment</t>
  </si>
  <si>
    <t>Pillow Pig</t>
  </si>
  <si>
    <t>Keitai Denjū Telefang: Power Version</t>
  </si>
  <si>
    <t>Smilesoft</t>
  </si>
  <si>
    <t>Keitai Denjū Telefang</t>
  </si>
  <si>
    <t>Keitai Denjū Telefang 2: Power Version</t>
  </si>
  <si>
    <t>Network Boukenki Bugsite: Alpha</t>
  </si>
  <si>
    <t>KAZe</t>
  </si>
  <si>
    <t>Macross Delta Scramble</t>
  </si>
  <si>
    <t>World Trigger: Borderless Mission</t>
  </si>
  <si>
    <t>Kidō Senshi Gundam SEED Battle Destiny</t>
  </si>
  <si>
    <t>Dragon Fantasy: The Black Tome of Ice</t>
  </si>
  <si>
    <t>Phoenix Wright: Ace Attorney Trilogy</t>
  </si>
  <si>
    <t>Metal Max 4: Gekkō no Diva</t>
  </si>
  <si>
    <t>Yo-kai Sangokushi</t>
  </si>
  <si>
    <t>Time Travelers</t>
  </si>
  <si>
    <t>Yo-kai Watch 4++</t>
  </si>
  <si>
    <t>Yo-kai Watch Jam: Yo-kai Academy Y – Waiwai Gakuen Seikatsu</t>
  </si>
  <si>
    <t>Tales of the World: Reve Unitia</t>
  </si>
  <si>
    <t>The Lord of the Rings: The Fellowship of the Ring</t>
  </si>
  <si>
    <t>The Lord of the Rings: War of the Ring</t>
  </si>
  <si>
    <t>Abandonware</t>
  </si>
  <si>
    <t>The Lord of the Rings: The Battle for Middle-earth</t>
  </si>
  <si>
    <t>The Lord of the Rings: the Battle for Middle-earth II</t>
  </si>
  <si>
    <t>The Lord of the Rings: The Battle for Middle-earth II: The Rise of the Witch-king</t>
  </si>
  <si>
    <t>The Lord of the Rings: Conquest</t>
  </si>
  <si>
    <t>The Lord of the Rings: Aragorn's Quest</t>
  </si>
  <si>
    <t>The Dark Pictures Anthology: The Devil in Me</t>
  </si>
  <si>
    <t>Godzilla</t>
  </si>
  <si>
    <t>Tank! Tank! Tank!</t>
  </si>
  <si>
    <t>Gai Flame</t>
  </si>
  <si>
    <t>Toree 3D</t>
  </si>
  <si>
    <t>Toree</t>
  </si>
  <si>
    <t>Toree 2</t>
  </si>
  <si>
    <t>Toree 3D: Jumbled Jam</t>
  </si>
  <si>
    <t>Toree Genesis</t>
  </si>
  <si>
    <t>Beeny</t>
  </si>
  <si>
    <t>Crash Bash</t>
  </si>
  <si>
    <t>Mom Hid My Game!</t>
  </si>
  <si>
    <t>hap inc.</t>
  </si>
  <si>
    <t>Regalia: Of Men and Monarchs - Royal Edition</t>
  </si>
  <si>
    <t>Crunching Koalas</t>
  </si>
  <si>
    <t>Story of Seasons: A Wonderful Life</t>
  </si>
  <si>
    <t>Digimon World: Next Order</t>
  </si>
  <si>
    <t>Record of Agarest War</t>
  </si>
  <si>
    <t>Dodgeball Academia</t>
  </si>
  <si>
    <t>Little Deviants</t>
  </si>
  <si>
    <t>Bigbig Studios</t>
  </si>
  <si>
    <t>Reality Fighters</t>
  </si>
  <si>
    <t>Novarama</t>
  </si>
  <si>
    <t>Pocket Trap</t>
  </si>
  <si>
    <t>Night Trap</t>
  </si>
  <si>
    <t>Fatal Twelve</t>
  </si>
  <si>
    <t>Foretales</t>
  </si>
  <si>
    <t>Dolmen</t>
  </si>
  <si>
    <t>Not a good visual novel. The translation is pretty rough with multiple typos and awkward translations. It doesn't help that the writing &amp; story itself aren't that engaging to begin with -- it has the problem a lot of these lower budget titles have where it's overly wordy in getting the point across, has stiff exposition-heavy dialogue, and a fairly simple overarching plot. The music is pretty grating and the gameplay itself is standard adventure type fare with easy, generic puzzles. This is basically just a D-tier 999.</t>
  </si>
  <si>
    <t>The Serpent Rogue</t>
  </si>
  <si>
    <t>Sengi Games</t>
  </si>
  <si>
    <t>Hokko Life</t>
  </si>
  <si>
    <t>Wonderscope</t>
  </si>
  <si>
    <t>Grow: Song of the Evertree</t>
  </si>
  <si>
    <t>Prideful Sloth</t>
  </si>
  <si>
    <t>Tribes of Midgard</t>
  </si>
  <si>
    <t>Norsfell</t>
  </si>
  <si>
    <t>OlliOlli World</t>
  </si>
  <si>
    <t>Magic: The Gathering – Battlegrounds</t>
  </si>
  <si>
    <t>Magic: The Gathering</t>
  </si>
  <si>
    <t>The end of my Final Fantasy Tactics journey, and it was a wonderful journey. This game greatly improved on the first Advance game, making the law system less cumbersome and introducing tons of exciting new jobs. The story still doesn't come anywhere close to the original Tactics, but the gameplay holds up solidly. I could hardly put this one down for the entire 50 hours I was playing it. I just wish that enemy turns were a bit brisker!</t>
  </si>
  <si>
    <t>Quite frankly, one of the better shmups I've played. I usually find myself having to enjoy this genre from a distance, because it tends to be extremely unforgiving. Something about them still draw me in, however, and luckily I was able to get through ZeroRanger due to its somewhat forgiving nature (allowing you to start at any stage). The game has excellent pixel art, music, and the gameplay is simple and straightforward while being sharp and dynamic. I also liked how scoring points plays into how many continues you earn, bringing progression to even failed runs. ZeroRanger is definitely a shining example of how to craft a modern shmup.</t>
  </si>
  <si>
    <t>Dragon's Lair: Escape from Singe's Castle</t>
  </si>
  <si>
    <t>Sullivan Bluth Interactive Media</t>
  </si>
  <si>
    <t>Dragon's Lair III: The Curse of Mordread</t>
  </si>
  <si>
    <t>Don Bluth Multimedia</t>
  </si>
  <si>
    <t>I paid fifty cents for this and played it in bed while I was going to sleep, so I'm frankly satisfied with my purchase. Toree 3D controls well and is an adorable, though very short, platformer. I was surprised by the lack of variety between the stages, there were really only about three stage archetypes that were remixed per level. For a quick bedtime game, this satisfied, but it's clear it could've been a lot more.</t>
  </si>
  <si>
    <t>Warborn</t>
  </si>
  <si>
    <t>Raredrop Games</t>
  </si>
  <si>
    <t>Vampire: The Masquerade – Swansong</t>
  </si>
  <si>
    <t>Big Bad Wolf</t>
  </si>
  <si>
    <t>Life is Strange: True Colors</t>
  </si>
  <si>
    <t>Square Enix Europe</t>
  </si>
  <si>
    <t>Edge of Eternity</t>
  </si>
  <si>
    <t>Not much more to say about this one than Toree 3D. I felt like it had slightly more variety, and introducing a boss fight was a welcome treat. If I'd spent more than a dollar I probably would feel worse about this game, but as it is it's an amusing palette cleanser between other games.</t>
  </si>
  <si>
    <t>This felt like a weekend game jam game that the developer decided to charge money for. The art and the music are nice and obviously evocative of Donkey Kong Country, but I didn't find the stage design or gameplay all that compelling. It would've been better to have some nicely crafted side-scrolling stages instead of jumping upwards through nondescript platforms, with not much differentiating levels aside from weather affects and obstacles.</t>
  </si>
  <si>
    <t>Super Kiwi 64</t>
  </si>
  <si>
    <t>Aquales</t>
  </si>
  <si>
    <t>Sharp X68000</t>
  </si>
  <si>
    <t>Die Bahnwelt</t>
  </si>
  <si>
    <t>Glodia</t>
  </si>
  <si>
    <t>Étoile Princesse</t>
  </si>
  <si>
    <t>Geograph Seal</t>
  </si>
  <si>
    <t>Naious</t>
  </si>
  <si>
    <t>Majin and the Forsaken Kingdom</t>
  </si>
  <si>
    <t>Flying Dragon</t>
  </si>
  <si>
    <t>Hiryū no Ken</t>
  </si>
  <si>
    <t>Iggy's Reckin' Balls</t>
  </si>
  <si>
    <t>Rakugakids</t>
  </si>
  <si>
    <t>Super Robot Wars 64</t>
  </si>
  <si>
    <t>Zool: Majū Tsukai Densetsu</t>
  </si>
  <si>
    <t>Homeland</t>
  </si>
  <si>
    <t>Lupin III: Umi ni Kieta Hihou</t>
  </si>
  <si>
    <t>Lupin the Third</t>
  </si>
  <si>
    <t>Kidō Senshi Gundam: Senshitachi no Kiseki</t>
  </si>
  <si>
    <t>Mutsu to Nohohon</t>
  </si>
  <si>
    <t>Bomberman Generation</t>
  </si>
  <si>
    <t>Bomberman Jetters</t>
  </si>
  <si>
    <t>Bomberman Blast</t>
  </si>
  <si>
    <t>Bomberman Land</t>
  </si>
  <si>
    <t>Bomberman Land 3</t>
  </si>
  <si>
    <t>Bomberman Land Touch!</t>
  </si>
  <si>
    <t>Bomberman Land Touch! 2</t>
  </si>
  <si>
    <t>Bomberman Land 2</t>
  </si>
  <si>
    <t>Bomberman Kart</t>
  </si>
  <si>
    <t>Case Closed: The Mirapolis Investigation</t>
  </si>
  <si>
    <t>Detective Conan</t>
  </si>
  <si>
    <t>Just Games Interactive</t>
  </si>
  <si>
    <t>Deadly Creatures</t>
  </si>
  <si>
    <t>Rainbow Studios</t>
  </si>
  <si>
    <t>Dragon Blade: Wrath of Fire</t>
  </si>
  <si>
    <t>Land Ho!</t>
  </si>
  <si>
    <t>Eduardo the Samurai Toaster</t>
  </si>
  <si>
    <t>Semnat Studios</t>
  </si>
  <si>
    <t>Gyrostarr</t>
  </si>
  <si>
    <t>Ikenie no Yoru</t>
  </si>
  <si>
    <t>The Kore Gang: Outvasion from Inner Earth</t>
  </si>
  <si>
    <t>Line Attack Heroes</t>
  </si>
  <si>
    <t>Mobile Suit Gundam: MS Sensen 0079</t>
  </si>
  <si>
    <t>Muscle March</t>
  </si>
  <si>
    <t>SD Gundam: Scad Hammers</t>
  </si>
  <si>
    <t>Super Robot Wars NEO</t>
  </si>
  <si>
    <t>Sazanami</t>
  </si>
  <si>
    <t>Yo-kai Watch Dance: Just Dance Special Version</t>
  </si>
  <si>
    <t>Again</t>
  </si>
  <si>
    <t>The Adventures of Star Saver</t>
  </si>
  <si>
    <t>Rubble Saver</t>
  </si>
  <si>
    <t>After Burst</t>
  </si>
  <si>
    <t>Atomic Punk</t>
  </si>
  <si>
    <t>Battle Unit Zeoth</t>
  </si>
  <si>
    <t>Battle Bull</t>
  </si>
  <si>
    <t>SETA Corporation</t>
  </si>
  <si>
    <t>Cosmo Tank</t>
  </si>
  <si>
    <t>GB Genjin Land: Viva! Chikkun Ōkoku</t>
  </si>
  <si>
    <t>Bonk's Return</t>
  </si>
  <si>
    <t>Mysterium</t>
  </si>
  <si>
    <t>Maxis Software</t>
  </si>
  <si>
    <t>Ninja Taro</t>
  </si>
  <si>
    <t>Ninja Jajamaru</t>
  </si>
  <si>
    <t>Rolan's Curse</t>
  </si>
  <si>
    <t>Rolan's Curse 2</t>
  </si>
  <si>
    <t>Spot: The Cool Adventure</t>
  </si>
  <si>
    <t>Virgin Games</t>
  </si>
  <si>
    <t>Super Chinese Land 3</t>
  </si>
  <si>
    <t>Undercover Cops: Hakaishin Garumaa</t>
  </si>
  <si>
    <t>B-Daman Baku Gaiden: Victory e no Michi</t>
  </si>
  <si>
    <t>Croc</t>
  </si>
  <si>
    <t>Virtucraft</t>
  </si>
  <si>
    <t>Croc: Legend of the Gobbos</t>
  </si>
  <si>
    <t>Croc 2</t>
  </si>
  <si>
    <t>Ganbare Goemon: Mononoke Dōchū Tobidase Nabe-Bugyō!</t>
  </si>
  <si>
    <t>Cruis'n Velocity</t>
  </si>
  <si>
    <t>Columns Crown</t>
  </si>
  <si>
    <t>Columns</t>
  </si>
  <si>
    <t>Dark Arena</t>
  </si>
  <si>
    <t>Ice Nine</t>
  </si>
  <si>
    <t>Yo-kai Watch Busters 2: Secret of the Legendary Treasure Bambalaya</t>
  </si>
  <si>
    <t>Digital Works</t>
  </si>
  <si>
    <t>The Void Rains Upon Her Heart</t>
  </si>
  <si>
    <t>The Hidden Levels</t>
  </si>
  <si>
    <t>Veyeral Games</t>
  </si>
  <si>
    <t>Sizeable</t>
  </si>
  <si>
    <t>Business Goose Studios</t>
  </si>
  <si>
    <t>Path of Giants</t>
  </si>
  <si>
    <t>Journey Bound Games</t>
  </si>
  <si>
    <t>KAMI</t>
  </si>
  <si>
    <t>Refunct</t>
  </si>
  <si>
    <t>Dominique Grieshofer</t>
  </si>
  <si>
    <t>Waves</t>
  </si>
  <si>
    <t>Squid In A Box</t>
  </si>
  <si>
    <t>LYNE</t>
  </si>
  <si>
    <t>Thomas Bowker</t>
  </si>
  <si>
    <t>Lakeview Cabin Collection</t>
  </si>
  <si>
    <t>Roope Tamminen</t>
  </si>
  <si>
    <t>Lakeview Cabin</t>
  </si>
  <si>
    <t>This was a special game! It's oozing with charm and character, is a blast to play, and looks great to boot. This may not appeal to everyone, as the puzzles aren't particularly challenging (the game is more focused on exploration and collection), but I found those aspects to be engaging due to how smooth movement felt and how unique each of the game's levels felt. I would've liked for this game to be longer, so here's hoping there's some DLC or a sequel that expands on what they've established here.</t>
  </si>
  <si>
    <t>Nothing of particular note here. I didn't feel like the longer levels lended well to the style of gameplay here, and my same complaints about the controls and the camera apply.</t>
  </si>
  <si>
    <t>It's a cute homage, but nothing spectacular. I appreciate how this developer is so dedicated to these bite-sized experiences, but it would be great to see them create something a bit longer so that there is more time to marinate in the game.</t>
  </si>
  <si>
    <t>Massive Work Studio</t>
  </si>
  <si>
    <t>The Liar Princess and the Blind Prince</t>
  </si>
  <si>
    <t>Fighting Force</t>
  </si>
  <si>
    <t>Fighting Force 2</t>
  </si>
  <si>
    <t>Creature Shock</t>
  </si>
  <si>
    <t>Town With No Name</t>
  </si>
  <si>
    <t>On-Line Entertainment</t>
  </si>
  <si>
    <t>Delta 4 Interactive</t>
  </si>
  <si>
    <t>Psycho Killer</t>
  </si>
  <si>
    <t>MissionForce: CyberStorm</t>
  </si>
  <si>
    <t>Hunter Hunted</t>
  </si>
  <si>
    <t>K.A.A.</t>
  </si>
  <si>
    <t>Get Medieval</t>
  </si>
  <si>
    <t>Evil Twin: Cyprien's Chronicles</t>
  </si>
  <si>
    <t>In Utero</t>
  </si>
  <si>
    <t>The Daedalus Encounter</t>
  </si>
  <si>
    <t>Lifelike Productions</t>
  </si>
  <si>
    <t>Critical Path</t>
  </si>
  <si>
    <t>Media Vision Technology</t>
  </si>
  <si>
    <t>Mechadeus</t>
  </si>
  <si>
    <t>Claw</t>
  </si>
  <si>
    <t>Black Dahlia</t>
  </si>
  <si>
    <t>Discworld</t>
  </si>
  <si>
    <t>Perfect 10 Productions</t>
  </si>
  <si>
    <t>The Colour of Magic</t>
  </si>
  <si>
    <t>Piranha Software</t>
  </si>
  <si>
    <t>Discworld Noir</t>
  </si>
  <si>
    <t>Perfect Entertainment</t>
  </si>
  <si>
    <t>Aliens Versus Predator 2</t>
  </si>
  <si>
    <t>Hamtaro: Ham-Hams Unite!</t>
  </si>
  <si>
    <t>Pax Softnica</t>
  </si>
  <si>
    <t>Hamtaro</t>
  </si>
  <si>
    <t>Hamtaro: Ham-Ham Heartbreak</t>
  </si>
  <si>
    <t>Hamtaro: Rainbow Rescue</t>
  </si>
  <si>
    <t>Mahou Kishi Rayearth 2: Making of Magic Knight</t>
  </si>
  <si>
    <t>Mahou Kishi Rayearth 2nd: The Missing Colors</t>
  </si>
  <si>
    <t>Reunion has improved over the original game in nearly every way possible. The game feels a lot better to play without constant gameplay interruptions by the DMW actually stopping a battle. There are still some bits that feel dated, but in the interest of being faithful I think I actually prefer it this way. I did feel as though this version was much easier, by the latter third of the game I was absolutely stomping any enemy I encountered. The story in this game is still a whole lot of nonsense but that's just JRPGs for you.</t>
  </si>
  <si>
    <t>Command and Destroy</t>
  </si>
  <si>
    <t>Cypron Studios</t>
  </si>
  <si>
    <t>Cosmos X2</t>
  </si>
  <si>
    <t>Crash Boom Bang!</t>
  </si>
  <si>
    <t>Daigasso! Band Brothers</t>
  </si>
  <si>
    <t>Jam with the Band</t>
  </si>
  <si>
    <t>Daigasso! Band Brothers P</t>
  </si>
  <si>
    <t>Death Jr. and the Science Fair of Doom</t>
  </si>
  <si>
    <t>Devilish</t>
  </si>
  <si>
    <t>Classic Action: Devilish</t>
  </si>
  <si>
    <t>Devilish: The Next Possession</t>
  </si>
  <si>
    <t>Genki Co. Ltd.</t>
  </si>
  <si>
    <t>Dig Dug: Digging Strike</t>
  </si>
  <si>
    <t>Draglade</t>
  </si>
  <si>
    <t>Elite Forces: Unit 77</t>
  </si>
  <si>
    <t>Abylight</t>
  </si>
  <si>
    <t>Feel the Magic: XY/XX</t>
  </si>
  <si>
    <t>The Rub Rabbits!</t>
  </si>
  <si>
    <t>Foto Showdown</t>
  </si>
  <si>
    <t>Nintendo DSi</t>
  </si>
  <si>
    <t>Alpha Unit</t>
  </si>
  <si>
    <t>Freedom Wings</t>
  </si>
  <si>
    <t>Guilty Gear: Dust Strikers</t>
  </si>
  <si>
    <t>AlphaBounce</t>
  </si>
  <si>
    <t>Mad Monkey Studio</t>
  </si>
  <si>
    <t>Arkanoid DS</t>
  </si>
  <si>
    <t>Arkanoid</t>
  </si>
  <si>
    <t>Battles of Prince of Persia</t>
  </si>
  <si>
    <t>Bomberman 2</t>
  </si>
  <si>
    <t>Bomberman Blitz</t>
  </si>
  <si>
    <t>Bomberman Story DS</t>
  </si>
  <si>
    <t>C.O.P. The Recruit</t>
  </si>
  <si>
    <t>C.O.R.E.</t>
  </si>
  <si>
    <t>NoWay Studio</t>
  </si>
  <si>
    <t>The Legend of Kage 2</t>
  </si>
  <si>
    <t>The Legend of Kage</t>
  </si>
  <si>
    <t>LifeSigns: Surgical Unit</t>
  </si>
  <si>
    <t>Lux-Pain</t>
  </si>
  <si>
    <t>Killaware</t>
  </si>
  <si>
    <t>Miami Law</t>
  </si>
  <si>
    <t>Prince of Persia: The Fallen King</t>
  </si>
  <si>
    <t>Steal Princess</t>
  </si>
  <si>
    <t>It's been almost a decade since I played the original Life is Strange and it has still stuck with me as a heart-wrenching experience. In contrast, Before the Storm felt unnecessary and (at times) honestly cringeworthy. It's sad that the rewind mechanic has been replaced with a "talkback" mechanic that feels pointless, and the plot itself wasn't focused enough to be interesting. What made the original so good was the overarching mystery to drive forward the plot, but this game is more focused on the interpersonal relationships of these high schoolers, which personally I didn't find all that engaging.</t>
  </si>
  <si>
    <t>This game definitely surprised me, coming in with zero (ha) expectations. I was anticipating more of a straightforward Ninja Gaiden-like, but what I got was a gripping story and cool time manipulation gameplay. The pixel art on display is astounding and the soundtrack slaps, this game is an all around package. It's just a shame it's so short!</t>
  </si>
  <si>
    <t>Creeping Terror</t>
  </si>
  <si>
    <t>Nikkatsu Corporation</t>
  </si>
  <si>
    <t>Dead Space: Ignition</t>
  </si>
  <si>
    <t>Everything about this game feels lazy. The sprites are hardly updated from Double Dragon II on the NES, if at all. The game is clearly trying to retread that ground, but as a modern game it just doesn't feel good. It's too slow, too easy to get stunlocked, and just generally feels like a bad fan game instead of an official main series sequel. It's just sad because we've seen the potential this series has with Double Dragon Neon, so that makes Double Dragon IV feel like even more of a regression.</t>
  </si>
  <si>
    <t>Exile's End</t>
  </si>
  <si>
    <t>MagneticRealms</t>
  </si>
  <si>
    <t>Strangeland</t>
  </si>
  <si>
    <t>Shardlight</t>
  </si>
  <si>
    <t>This game is absolutely stunning looking. Literally any moment can be a painting. In that respect, Gris is fantastic, but I didn't find the rest of it particularly engaging. I've heard how well Gris represents struggling with mental illness, but personally I wouldn't have made that connection if it hadn't been planted in my brain ahead of time. I think that Gris is more of an interactive poem, and I certainly have a hard time elucidating poem meaning, so it tracks that I would need it spelled out for me. That is to say, Gris is certainly a well-made game and I can understand why many people absolutely love it, but I didn't find the moment to moment game interesting enough--the art completely carries it.</t>
  </si>
  <si>
    <t>Chorus Worldwide</t>
  </si>
  <si>
    <t>maJAJa</t>
  </si>
  <si>
    <t>Blossom Tales</t>
  </si>
  <si>
    <t>Not a terrible Zelda clone, though it definitely falls short of its inspirations in just about every aspect without innovating. It's essentially a straight clone, and that is something that I appreciate because 2D Zelda is a fantastic archetype to emulate, but it mostly just reminded me that 2D Zelda is fantastic instead of leaving a remarkable impression. It controls a little worse, the puzzles aren't as well-designed, the story and humor are a little grating, and the music isn't anywhere close to as catchy as Zelda.</t>
  </si>
  <si>
    <t>Metamor Jupiter</t>
  </si>
  <si>
    <t>Dokapon 3-2-1: Arashi o Yobu Yuujou</t>
  </si>
  <si>
    <t>Treasure Conflix</t>
  </si>
  <si>
    <t>Private Eye Dol</t>
  </si>
  <si>
    <t>Haven Park</t>
  </si>
  <si>
    <t>Mooneye Studios</t>
  </si>
  <si>
    <t>Bubblebird Studios</t>
  </si>
  <si>
    <t>Source of Madness</t>
  </si>
  <si>
    <t>Carry Castle</t>
  </si>
  <si>
    <t>PowerSlave Exhumed</t>
  </si>
  <si>
    <t>Haiku, the Robot</t>
  </si>
  <si>
    <t>Mister Morris Games</t>
  </si>
  <si>
    <t>Supraland Six Inches Under</t>
  </si>
  <si>
    <t>Glad to finally get around to this one. It held up to all the praise I'd heard for it, packing an emotional story with detailed and interesting characters, all with some excellent gameplay. The puzzles aren't all that challenging and can definitely be a critique, but I appreciated them as more of a downtime between battles than something intended to seriously challenge me. Very excited to play Ragnarok!</t>
  </si>
  <si>
    <t>Alkemi Games</t>
  </si>
  <si>
    <t>Dimension Tripper Neptune: TOP NEP</t>
  </si>
  <si>
    <t>Arslan: The Warriors of Legend</t>
  </si>
  <si>
    <t>Arslan</t>
  </si>
  <si>
    <t>Garden Story is charming and adorable in its look, but stale and boring in its feel. The stamina-based combat feels sluggish with attacks doing chip damage and taking multiple stamina cycles to defeat single enemies. This improves as the stamina bar increases, but is never entirely rectified. The loop of completing errands is interesting at first, but repetitive by the end of the game, especially with repeated errands and the resource grinding necessary. Farming elements are barebones, every character talks for way, way too long, and the dungeons are too short to feel memorable. I wanted to enjoy this game, but found it mostly boring instead.</t>
  </si>
  <si>
    <t>Zoids vs. III</t>
  </si>
  <si>
    <t>Adios</t>
  </si>
  <si>
    <t>Mischief</t>
  </si>
  <si>
    <t>Sumire</t>
  </si>
  <si>
    <t>GameTomo</t>
  </si>
  <si>
    <t>A Healer Only Lives Twice</t>
  </si>
  <si>
    <t>Pon Pon Games</t>
  </si>
  <si>
    <t>rymdkapsel</t>
  </si>
  <si>
    <t>grapefrukt games</t>
  </si>
  <si>
    <t>DokiDoki Groove Works</t>
  </si>
  <si>
    <t>Pirated</t>
  </si>
  <si>
    <t>Aiueo Kompany</t>
  </si>
  <si>
    <t>Dariusburst: Chronicle Saviours</t>
  </si>
  <si>
    <t>Forspoken</t>
  </si>
  <si>
    <t>Luminous Productions</t>
  </si>
  <si>
    <t>WolfEye Studios</t>
  </si>
  <si>
    <t>Kaizou Chōjin Schbibinman</t>
  </si>
  <si>
    <t>Shockman</t>
  </si>
  <si>
    <t>Winds</t>
  </si>
  <si>
    <t>Kaizou Chōjin Schbibinman 3: Ikai no Princess</t>
  </si>
  <si>
    <t>Cho Aniki: Seinaru Protein Densetsu</t>
  </si>
  <si>
    <t>Gem Smashers</t>
  </si>
  <si>
    <t>Frame Studios</t>
  </si>
  <si>
    <t>Cho Aniki: Otoko no Tamafuda</t>
  </si>
  <si>
    <t>Cho Aniki: Kyuukyoku Muteki Ginga Saikyou Otoko</t>
  </si>
  <si>
    <t>Pre Stage</t>
  </si>
  <si>
    <t>Ai Cho Aniki</t>
  </si>
  <si>
    <t>It's Mr. Pants</t>
  </si>
  <si>
    <t>An Airport for Aliens Currently Run by Dogs</t>
  </si>
  <si>
    <t>Strange Scaffold</t>
  </si>
  <si>
    <t>Swimsanity!</t>
  </si>
  <si>
    <t>Decoy Games</t>
  </si>
  <si>
    <t>A Walk in the Dark</t>
  </si>
  <si>
    <t>Flying Turtle Software</t>
  </si>
  <si>
    <t>Rabi-Ribi</t>
  </si>
  <si>
    <t>CreSpirit</t>
  </si>
  <si>
    <t>GemaYue</t>
  </si>
  <si>
    <t>void tRrLM(); //Void Terrarium</t>
  </si>
  <si>
    <t>Void Terrarium</t>
  </si>
  <si>
    <t>Onsen Master</t>
  </si>
  <si>
    <t>Waking Oni Games</t>
  </si>
  <si>
    <t>Dying Light 2: Stay Human</t>
  </si>
  <si>
    <t>First-Person Action</t>
  </si>
  <si>
    <t>Kyoei Toshi</t>
  </si>
  <si>
    <t>Yonder: The Cloud Catcher Chronicles</t>
  </si>
  <si>
    <t>Luna's Fishing Garden</t>
  </si>
  <si>
    <t>Coldwild Games</t>
  </si>
  <si>
    <t>illufinch</t>
  </si>
  <si>
    <t>Winkeltje: The Little Shop</t>
  </si>
  <si>
    <t>Sassybot</t>
  </si>
  <si>
    <t>Garden Paws</t>
  </si>
  <si>
    <t>Bitten Toast Games</t>
  </si>
  <si>
    <t>Lake</t>
  </si>
  <si>
    <t>Gamious</t>
  </si>
  <si>
    <t>Aniplex</t>
  </si>
  <si>
    <t>Tsukihime</t>
  </si>
  <si>
    <t>Witch on the Holy Night</t>
  </si>
  <si>
    <t>Limited Edition</t>
  </si>
  <si>
    <t>It's been a long time since I played the first Ittle Dew, but I recall it being charming and lighthearted. The sequel, I found to be more grating. It's more combat focused than its predecessor and that's certainly to its detriment. There aren't any i-frames after getting hit, so it's possible to take a huge chunk of damage with the large number of projectile spammy enemies that show up in the latter dungeons. The dungeon design is also fairly unremarkable due to their choice to allow you to tackle the dungeons in any order -- this means there can't be any assumptions made about what items a player will have. It's a good idea, but the execution makes the dungeons feel pretty samey by the end of the game.</t>
  </si>
  <si>
    <t>Access Denied</t>
  </si>
  <si>
    <t>Stately Snail</t>
  </si>
  <si>
    <t>Reversion: The Escape</t>
  </si>
  <si>
    <t>Master of Monsters: Disciples of Gaia</t>
  </si>
  <si>
    <t>SystemSoft</t>
  </si>
  <si>
    <t>Master of Monsters</t>
  </si>
  <si>
    <t>Yu Yu Hakusho: Tournament Tactics</t>
  </si>
  <si>
    <t>Sensory Sweep Studios</t>
  </si>
  <si>
    <t>Hoshi wo Miru Hito</t>
  </si>
  <si>
    <t>HOT B</t>
  </si>
  <si>
    <t>Another</t>
  </si>
  <si>
    <t>Beyblade: Metal Masters</t>
  </si>
  <si>
    <t>Beyblade</t>
  </si>
  <si>
    <t>House M.D.</t>
  </si>
  <si>
    <t>Legacy Interactive</t>
  </si>
  <si>
    <t>CrossfireX: Operation Catalyst</t>
  </si>
  <si>
    <t>Smilegate Entertainment</t>
  </si>
  <si>
    <t>Operation Catalyst reeks of Remedy collecting a paycheck, though honestly they probably didn't have much of a foundation to work with to begin with. The two hours I spent with this campaign were the longest two hours of my life, I was checking the clock every five minutes. It's one thing for a game to be entertaining and bad, but this was just lifeless. The shooting is bad, the movement is bad, there are glitches, the characters are bland, the story is pointless, there isn't an original bone in this game's body, and I can't even play the other part of this game's campaign because the publisher has locked it three months early.</t>
  </si>
  <si>
    <t>Forest of Frequencies</t>
  </si>
  <si>
    <t>Dapper Pigeon</t>
  </si>
  <si>
    <t>PROTOTYPE原型</t>
  </si>
  <si>
    <t>Nikita Kryukov</t>
  </si>
  <si>
    <t>Veronika Orfeeva</t>
  </si>
  <si>
    <t>Weird and Unfortunate Things Are Happening</t>
  </si>
  <si>
    <t>Sapphire Dream Games</t>
  </si>
  <si>
    <t>Five Dates</t>
  </si>
  <si>
    <t>Good Gate Media</t>
  </si>
  <si>
    <t>Fobia: St. Dinfna Hotel</t>
  </si>
  <si>
    <t>Pulsatrix Studios</t>
  </si>
  <si>
    <t>Shady Part of Me</t>
  </si>
  <si>
    <t>Douze Dixièmes</t>
  </si>
  <si>
    <t>Othercide</t>
  </si>
  <si>
    <t>Lightbulb Crew</t>
  </si>
  <si>
    <t>Pathfinder: Wrath of the Righteous</t>
  </si>
  <si>
    <t>META Publishing</t>
  </si>
  <si>
    <t>Harry Potter and the Sorcerer's Stone</t>
  </si>
  <si>
    <t>Warthog</t>
  </si>
  <si>
    <t>Harry Potter</t>
  </si>
  <si>
    <t>Harry Potter and the Chamber of Secrets</t>
  </si>
  <si>
    <t>Harry Potter and the Prisoner of Azkaban</t>
  </si>
  <si>
    <t>Harry Potter and the Goblet of Fire</t>
  </si>
  <si>
    <t>Harry Potter and the Order of the Phoenix</t>
  </si>
  <si>
    <t>Harry Potter and the Half-Blood Prince</t>
  </si>
  <si>
    <t>EA Bright Light</t>
  </si>
  <si>
    <t>Harry Potter and the Deathly Hallows, Part 1</t>
  </si>
  <si>
    <t>Harry Potter and the Deathly Hallows, Part 2</t>
  </si>
  <si>
    <t>求道庵（gudouan）</t>
  </si>
  <si>
    <t>Vampire: The Masquerade – Redemption</t>
  </si>
  <si>
    <t>Planetfall</t>
  </si>
  <si>
    <t>Zork II: The Wizard of Frobozz</t>
  </si>
  <si>
    <t>Zork III: The Dungeon Master</t>
  </si>
  <si>
    <t>Stationfall</t>
  </si>
  <si>
    <t>Enchanter</t>
  </si>
  <si>
    <t>Sorcerer</t>
  </si>
  <si>
    <t>Spellbreaker</t>
  </si>
  <si>
    <t>Beyond Zork: The Coconut of Quendor</t>
  </si>
  <si>
    <t>Zork Zero: The Revenge of Megaboz</t>
  </si>
  <si>
    <t>Zork: Grand Inquisitor</t>
  </si>
  <si>
    <t>Zork Nemesis</t>
  </si>
  <si>
    <t>Zombie LLC</t>
  </si>
  <si>
    <t>Return to Zork</t>
  </si>
  <si>
    <t>Sparklite</t>
  </si>
  <si>
    <t>Red Blue Games</t>
  </si>
  <si>
    <t>Age of Booty</t>
  </si>
  <si>
    <t>Certain Affinity</t>
  </si>
  <si>
    <t>Nights of Azure 2: Bride of the New Moon</t>
  </si>
  <si>
    <t>Kaichu: The Kaiju Dating Sim</t>
  </si>
  <si>
    <t>A Story Beside</t>
  </si>
  <si>
    <t>Wayward Prophet</t>
  </si>
  <si>
    <t>ValiDate: Struggling Singles in Your Area</t>
  </si>
  <si>
    <t>Veritable Joy Studios</t>
  </si>
  <si>
    <t>When the Past Was Around</t>
  </si>
  <si>
    <t>Mojiken</t>
  </si>
  <si>
    <t>ZX Spectrum</t>
  </si>
  <si>
    <t>Melbourne House</t>
  </si>
  <si>
    <t>The Fellowship of the Ring</t>
  </si>
  <si>
    <t>Addison-Wesley Publishing Company</t>
  </si>
  <si>
    <t>The Shadows of Mordor</t>
  </si>
  <si>
    <t>J.R.R. Tolkien's The Lord of the Rings, Vol. I</t>
  </si>
  <si>
    <t>J.R.R. Tolkien's The Lord of the Rings, Vol. II: The Two Towers</t>
  </si>
  <si>
    <t>J.R.R. Tolkien's Riders of Rohan</t>
  </si>
  <si>
    <t>The Lord of the Rings, Vol I</t>
  </si>
  <si>
    <t>The Hitchhiker's Guide to the Galaxy</t>
  </si>
  <si>
    <t>Starship Titanic</t>
  </si>
  <si>
    <t>Simon &amp; Schuster Interactive</t>
  </si>
  <si>
    <t>The Digital Village</t>
  </si>
  <si>
    <t>There are a ton of flaws in this game which make it clear it's a lower budget experience, but in spite of them I still find the world and lore of Utawarerumono to be fascinating. It has a wholly unique style, and this game's simplistic turn-based gameplay was enough to satisfy me so that I could experience this world. The visuals are rough with some low quality assets and frequent frame dips, the story's pacing is all over the place with some fairly blatant plot holes, and the gimmick to the battle system is mostly pointless and confusing (turn order being based on a wheel, but it's often challenging to tell who comes next in the turn order). There's still a lot to love here in spite of these flaws, though it's not a game I'd wholeheartedly recommend to many people.</t>
  </si>
  <si>
    <t>Best Buy</t>
  </si>
  <si>
    <t>Pikmin 4</t>
  </si>
  <si>
    <t>Teenage Mutant Ninja Turtles: The Cowabunga Collection</t>
  </si>
  <si>
    <t>Samba de Amigo: Party Central</t>
  </si>
  <si>
    <t>Melon Journey Pocket</t>
  </si>
  <si>
    <t>Hime's Quest</t>
  </si>
  <si>
    <t>Metroid Prime Remastered</t>
  </si>
  <si>
    <t>MADiSON</t>
  </si>
  <si>
    <t>Taiko no Tatsujin: Rhythm Festival</t>
  </si>
  <si>
    <t>Hogwarts Legacy</t>
  </si>
  <si>
    <t>Rhapsody: Marl Kingdom Chronicles</t>
  </si>
  <si>
    <t>Dokapon Kingdom: Connect</t>
  </si>
  <si>
    <t>Blossom Tales II: The Minotaur Prince</t>
  </si>
  <si>
    <t>Bayonetta Origins: Cereza and the Lost Demon</t>
  </si>
  <si>
    <t>Eastern Mind: The Lost Souls of Tong Nou</t>
  </si>
  <si>
    <t>OutSide Directors Company</t>
  </si>
  <si>
    <t>The positivity for these games surprises me. It's not that they're bad or even mediocre games, it's just that their sense of humor doesn't hit with me in the same way it seems like it does for the majority of people. I've seen others refer to these games as genuinely laugh-out-loud funny, but they haven't managed to elicit more than a slight chuckle. Don't get me wrong, these games are certainly charming, but they're not experiences that I've felt like are worth going out of your way to enjoy. They're more like cute, enjoyable time-wasters than the all-time-greats that reception make them out to be. This one also felt a little less charming than the previous one to me, I thought the humor felt more original the first time around, and also enjoyed the map, characters, and interactions a bit more. This one felt more contained and the characters were less memorable. That said, will definitely be checking out the sequel, because I do enjoy this series and its bite-sized charm, I'm just not going to be expecting anything groundbreaking.</t>
  </si>
  <si>
    <t>Taiko no Tatsujin</t>
  </si>
  <si>
    <t>Perpetual-Europe</t>
  </si>
  <si>
    <t>BLOODIOUS GAMES</t>
  </si>
  <si>
    <t>Slipstream has the some of the most immaculate vibes of any game I've played in recent memory. The game strongly evokes Sega Genesis games like OutRun and Sonic, while building on their foundations. Graphics are gorgeous, the game has a wonderful sense of speed, its simplicity is to its benefit, and the music is perfect for zoning into racing through these gorgeous and aesthetic landscapes. It could definitely be criticized for that aforementioned simplicity, but I found that to be a strength, allowing me to focus on melting into this zen state as I blasted through each race. My only major complaint would be that I would have liked for the races to have songs specific to their tracks, instead of having the soundtrack play randomly throughout all of the races.</t>
  </si>
  <si>
    <t>A Memoir Blue</t>
  </si>
  <si>
    <t>Cloisters Interactive</t>
  </si>
  <si>
    <t>I've found it challenging for games without any dialogue like this to make an emotional impact on me, but A Memoir Blue did manage to elicit some twinge in my heartstrings. Though I feel like if I were a parent it would've been able to be much more impactful. The interactivity was a teensy bit frustrating in spots. I always hate having to pixel hunt for the object that's interactive, and I felt like I had to do this in a few spots. Other than that, not much to mention about this game, it's a wordless story with some beautiful art and nice music that only takes an hour to experience -- more of a short film than a full-fledged game.</t>
  </si>
  <si>
    <t>Warner Bros. Games</t>
  </si>
  <si>
    <t>Pixel Puzzle Collection</t>
  </si>
  <si>
    <t>Picture Puzzle</t>
  </si>
  <si>
    <t>Dungeon Master</t>
  </si>
  <si>
    <t>Atari ST</t>
  </si>
  <si>
    <t>FTL Games</t>
  </si>
  <si>
    <t>Dungeon Master: Chaos Strikes Back</t>
  </si>
  <si>
    <t>Dungeon Master: Theron's Quest</t>
  </si>
  <si>
    <t>Dungeon Master II: Skullkeep</t>
  </si>
  <si>
    <t>Dungeon Master Nexus</t>
  </si>
  <si>
    <t>Root Letter</t>
  </si>
  <si>
    <t>Kadokawa Mystery Game</t>
  </si>
  <si>
    <t>Hi-Fi Rush</t>
  </si>
  <si>
    <t>Every so often a game comes along that reminds me just how fun video games can be. I came into this one a little bit skeptical, but after a couple of hours the game had sold me on its energy and color. This is a game that is just so damn earnest that you can't help but have a good time. Melding rhythm timing and character action is one of the most intelligent genre mashes I've seen, the characters themselves are likeable and funny, the story is fun with some unique set pieces and gorgeous stage designs, and the graphics look like a modern PlayStation 2 game (in a good way). The two criticisms I'd level at this game are that the original soundtrack songs aren't as catchy as I would have liked for a game so centered around rhythm, and that the traversal segments were somewhat less interesting than the combat. I'm glad to have been genuinely surprised and ultimately won over by this game's charm!</t>
  </si>
  <si>
    <t>Humor is so tough to get right, especially in a game, so I can really respect what the developers were going for in This Way Madness Lies. Unfortunately, it didn't hit for me. The jokes didn't feel particularly clever, relying a bit too much on the zany-ness of the concept and characters for me to find it funny. The gameplay itself is fine enough, however I did take issue with some aspects of the design. The battle system is relatively straightforward, though its systems don't seem to interact smoothly. There's a charge meter that fills up individually per character, increasing strength of abilities, however it's challenging to actually plan out what attacks you'll be able to use given this meter can change the properties of your abilities. The stats for your characters are all associated with traits that you can pick, however the issue is that the latest traits you unlock always have the best stats, so there's no point in equipping traits you like. I was just always equipping the three most recent traits. Lastly, I felt like this game could really have used a map -- the areas were pretty same-y so it was a little annoying to not be able to easily tell where I'd already been.</t>
  </si>
  <si>
    <t>There's no denying this game's influence on gaming as a whole, but man has it aged. It's definitely pretty obtuse and clunky now, though the objective-based campaign is still fun to play through. It's unfortunate that this release hasn't done much to smooth out some of the rough edges that have come with age, such as the frame rate and the graphics in general. Still exciting to revisit this historic game, but disappointing that it wasn't treated with more respect.</t>
  </si>
  <si>
    <t>Reversion: The Return</t>
  </si>
  <si>
    <t>Lunistice</t>
  </si>
  <si>
    <t>A Grumpy Fox</t>
  </si>
  <si>
    <t>Big Brain Academy: Brain vs. Brain</t>
  </si>
  <si>
    <t>Big Brain Academy</t>
  </si>
  <si>
    <t>The Outbound Ghost</t>
  </si>
  <si>
    <t>Conradical's Games</t>
  </si>
  <si>
    <t>Grotto</t>
  </si>
  <si>
    <t>Rainy Season</t>
  </si>
  <si>
    <t>The Corridor</t>
  </si>
  <si>
    <t>Tiny Echo</t>
  </si>
  <si>
    <t>Zodiac XX</t>
  </si>
  <si>
    <t>Brainwash Gang</t>
  </si>
  <si>
    <t>Inasa Fujio</t>
  </si>
  <si>
    <t>Thomas Mackinnon</t>
  </si>
  <si>
    <t>Tales from Off-Peak City Vol. 1</t>
  </si>
  <si>
    <t>Cosmo D Studios</t>
  </si>
  <si>
    <t>Humble Publishing</t>
  </si>
  <si>
    <t>Virtuoso Neomedia</t>
  </si>
  <si>
    <t>One Hand Clapping</t>
  </si>
  <si>
    <t>Bad Dream Games</t>
  </si>
  <si>
    <t>BATS: Bloodsucker Anti-Terror Squad</t>
  </si>
  <si>
    <t>The MIX Games</t>
  </si>
  <si>
    <t>Ritual Games</t>
  </si>
  <si>
    <t>Zill O'll Infinite</t>
  </si>
  <si>
    <t>This game is an absolute treat! It's everything that I want out of a retro-styled platformer. Tight controls, visuals are captivating, the stages themselves are well designed and each area has some unique hooks, and the collectibles are fun to track down. I also enjoyed the "plot" undertones throughout, would be interesting to explore more of the direction the game was going in a sequel.</t>
  </si>
  <si>
    <t>Baldo: The Guardian Owls</t>
  </si>
  <si>
    <t>NAPS team</t>
  </si>
  <si>
    <t>SD Keiji: Blader</t>
  </si>
  <si>
    <t>Blue Submarine No. 6: Saigetsu Fumahito- Time and Tide</t>
  </si>
  <si>
    <t>Rent A Hero</t>
  </si>
  <si>
    <t>This is one of those games that I'm more inclined to admire from afar than actually enjoy myself. Pulling off seamless streams of tricks is just out of my grasp, so while I enjoyed my time with OlliOlli World, it also felt like I was somewhat missing out on the full experience just by nature of being bad at it. The game is oozing with character and is stunningly deep considering it's controlled almost entirely with the left stick, I just wish I was better at it so that I could fully appreciate it!</t>
  </si>
  <si>
    <t>Sidewize</t>
  </si>
  <si>
    <t>Firebird Software</t>
  </si>
  <si>
    <t>Odin Computer Graphics</t>
  </si>
  <si>
    <t>Crosswize</t>
  </si>
  <si>
    <t>Power Shovel</t>
  </si>
  <si>
    <t>High on Life</t>
  </si>
  <si>
    <t>It was almost inevitable that this game would be as divisive as it has been. The style of humor here will only hit if you're someone who's into it, and while I was certainly open to the humor at first, after 8 or so hours it was grating. There are only so many times I can listen to pretty much the same joke. Take away the humor and you're left with a pretty mid first-person shooter that lacks much variety in terms of enemies and environments. Also, despite all of the game's meta-humor about games, it still falls into a number of pitfalls, including some incessant bugging about using different weapon skills--I get it, I can use your alt-fire ability. It's clear the developers had a lot of fun creating this game, so I do think they could output something even higher quality with their next attempt, but High on Life was an overall bland experience.</t>
  </si>
  <si>
    <t>Katakis</t>
  </si>
  <si>
    <t>Honestly, this could've been a cool side story if they had put even an ounce of effort into this. The animated comic segments are frankly embarrassing with how poor quality the art is, and the animation amounts to literally just manipulating the image in PhotoShop. No real "animation" to speak of. The puzzle segments are horrendous, I was literally playing them with one hand while I played with my phone. They're also all uniquely bad, with the "tower defense" minigame being a button masher with next to zero strategy, the "racing" minigame being annoyingly frustrating with enemy and obstacle placement, and the laser guiding minigame being annoying due to being inexplicably timed. Pointless game.</t>
  </si>
  <si>
    <t>The Gunk</t>
  </si>
  <si>
    <t>It may have taken five years for this DLC to release, but that time in the oven really shows with The Delicious Last Course. All of the bosses are just as unique, if not moreso, than the bosses in the main game. I greatly appreciated the removal of the run-and-gun sections, having a focus on the bosses is everything that I want out of Cuphead. The added parry challenges are also welcome, though I'm certainly not skilled enough to clear all of them. Ms. Chalice is also a blast to play as, representing a slightly different playstyle than either Cuphead or Mugman. I'm hopeful that Studio MDHR keeps pumping out awesome games like Cuphead, this DLC proves that the base game wasn't just a fluke.</t>
  </si>
  <si>
    <t>I'd heard somewhat middling things about The Gunk, so I was surprised to find a comfy and relaxing adventure in it. The world is colorful and detailed with a few interesting environments to explore, clearing gunk is cathartic, and the simple story is just what  I wanted out of a chill, two-sitting playthrough. I can see where the game is a bit lacking, as the puzzles, platforming, and combat all don't offer a great challenge, but I also wasn't looking for too much depth out of this experience. It helps to have a comfy game like this every once in a while, and playing this on Game Pass also aided to make my experience a positive one -- this is the perfect Game Pass game.</t>
  </si>
  <si>
    <t>Ultra Age</t>
  </si>
  <si>
    <t>Visual Dart</t>
  </si>
  <si>
    <t>Vengeful Guardian: Moonrider</t>
  </si>
  <si>
    <t>Steel Assault</t>
  </si>
  <si>
    <t>Sword of the Necromancer</t>
  </si>
  <si>
    <t>Atomic Heart</t>
  </si>
  <si>
    <t>Mundfish</t>
  </si>
  <si>
    <t>Like A Dragon: Ishin!</t>
  </si>
  <si>
    <t>Bayonetta 3 is a complicated game that I have several different feelings about. It absolutely delivered with the complete insanity and over-the-top set pieces that I come to this series for, and the core gameplay is just as solid as ever, but it felt like PlatinumGames bit off a bit more than they could chew. Viola's combat felt a little half-baked and disrupted the flow of the game, which was already stilted given the high number of cutscenes and non-combat events in the game. The game is still excellent, I just wish they had focused more on what they're good at instead of trying to experiment too much.</t>
  </si>
  <si>
    <t>Space Warlord Organ Trading Simulator</t>
  </si>
  <si>
    <t>Tunche</t>
  </si>
  <si>
    <t>LEAP Game Studios</t>
  </si>
  <si>
    <t>rose-engine</t>
  </si>
  <si>
    <t>8-4</t>
  </si>
  <si>
    <t>Shenzen Leiting Information Technology Co., Ltd.</t>
  </si>
  <si>
    <t>Touhou</t>
  </si>
  <si>
    <t>I have no experience with Touhou, so this is my first hands-on exposure to the fandom. It's certainly a bad first impression, the game has floaty controls, inconsistent hitboxes, unfair level design, the bosses ramp up outrageously in difficulty, and it's all over in an hour. It definitely seems like the kind of thing that only a hardcore Touhou fan can appreciate, so it's absolutely not for me.</t>
  </si>
  <si>
    <t>WitchSpring3 [Re:Fine]: The Story of Eirudy</t>
  </si>
  <si>
    <t>G Choice</t>
  </si>
  <si>
    <t>Queen's Gate: Spiral Chaos</t>
  </si>
  <si>
    <t>Queen's Blade</t>
  </si>
  <si>
    <t>Queen's Blade: Spiral Chaos</t>
  </si>
  <si>
    <t>I have an insatiable lust for Picross. Pictlogica was a refreshing break after clearing a good amount of the 3DS Picross games for a couple of reasons. First, it adds some variety with the battles, though that variety quickly wanes as the battles get outrageously difficult, perhaps due to the game's free to play roots. Second, the game's puzzles being characters, enemies, and objects from beloved Final Fantasy made it more exciting to see what each puzzle would unlock. There is definitely a lack of puzzle variety given it's just basic Picross, but sometimes that's all I'm looking for. Pictlogica satisfies in that regard!</t>
  </si>
  <si>
    <t>This is a game that has a relatively strong start with striking visuals and some interesting worldbuilding. The idea of a retro futuristic, alternate history USSR is one that's really appealing. Unfortunately, there's not much else backing this eyecatching start. The combat is bland, sluggish, and clunky. Enemies all seem to take far too many hits and stagger too hard when they hit you. Combat abilities are interesting at first, until you realize that these are the abilities you'll have for the entire game, so there's never any real evolution on the combat beyond the first hour of the game. The exploration is stymied by incredibly frequent enemies in the open world, the puzzles are incredibly easy and repetitive, and the story missions themselves often amount to multi-object fetch quests. The story itself is fine, if a little predictable, but it's hindered by horrendous dialogue, both in the minute-to-minute instances and in critical cutscenes. It's unfortunate, but Atomic Heart isn't able to back up its awesome visual style and world with any real substance.</t>
  </si>
  <si>
    <t>Gungrave G.O.R.E</t>
  </si>
  <si>
    <t>Iggymob</t>
  </si>
  <si>
    <t>Akai Katana Shin</t>
  </si>
  <si>
    <t>A Space for the Unbound</t>
  </si>
  <si>
    <t>Eternal Radiance</t>
  </si>
  <si>
    <t>Loopers</t>
  </si>
  <si>
    <t>Front Mission 1st: Remake</t>
  </si>
  <si>
    <t>Windjammers 2</t>
  </si>
  <si>
    <t>It was interesting playing Hi-Fi Rush and this game in such close proximity. Whereas Hi-Fi Rush felt like all of the good things about 2000s video games distilled and modernized into a gorgeous and wonderful package, Gungrave G.O.R.E feels like the bad and boring parts. The game almost plays itself with how easy it is and the tedium is compounded with a lack of variety, bad controls, bad melee combat, and general sluggishness in both the movement and combat pacing, with special moves taking too long and resulting in long, non-interactble segments. The story is complete nonesense, hearkening back to budget PlayStation 2 games. The game is on the brink of becoming "so bad it's good," but its blandness prevents it from achieving that.</t>
  </si>
  <si>
    <t>Frog Detective 3: Corruption at Cowboy County</t>
  </si>
  <si>
    <t>While I'm still not entirely as on board with Frog Detective as the general public, I thought this iteration was the best executed of the bunch. I found setting to be a little bit more enjoyable to explore, especially with the addition of the scooter, and the mystery itself was probably my favorite of the series. I also actually had a few instances where I ended up smirking with this one, where the other games weren't able to elicit anything like that from me. I'm glad that this series exists because it brings a lot of wholesomeness, and I'm glad that the "final" game in the trilogy is also its high point.</t>
  </si>
  <si>
    <t>Atelier Marie Remake: The Alchemist of Salburg</t>
  </si>
  <si>
    <t>Teenage Mutant Ninja Turtles: Mutants in Manhattan</t>
  </si>
  <si>
    <t>The Last of Us definitely holds up since the last time I played this game on PS4. I played this version concurrently alongside the show (though I did get a bit ahead of the show) and this was also my first time playing through Left Behind. The main game is still a powerhouse, but I'm not feeling the necessity of this re-release. The game looked gorgeous back when I played it on PS4, and while it looks even more stunning now this release was nothing more than a facelift as far as I could tell. No complaints about getting to replay this game, though, and experiencing it alongside the show as a comparison helped me to appreciate both versions.</t>
  </si>
  <si>
    <t>Coming from the 2018 God of War reboot, I was surprised how well the original game holds up. It's crusty in spots, with the fixed camera angle and some awkward controls (right stick for dodging?), but it's still a solid game. I found some of the later sections of the game a little annoying in terms of difficulty, with waves and waves of enemies and some frustrating platforming, but it doesn't keep God of War from being a good game. The combat holds up and feels timeless despite its age. Excited to finally play the rest of this series!</t>
  </si>
  <si>
    <t>Cats and the Other Lives</t>
  </si>
  <si>
    <t>Maple Whispering</t>
  </si>
  <si>
    <t>Cultic Games</t>
  </si>
  <si>
    <t>Rym 9000</t>
  </si>
  <si>
    <t>Sonoshee</t>
  </si>
  <si>
    <t>Guilty Gear X2 #Reload</t>
  </si>
  <si>
    <t>Headup Publishing</t>
  </si>
  <si>
    <t>Hyper Gunsport</t>
  </si>
  <si>
    <t>Gunsport</t>
  </si>
  <si>
    <t>Pixross</t>
  </si>
  <si>
    <t>Kenney</t>
  </si>
  <si>
    <t>Secret Mode</t>
  </si>
  <si>
    <t>Firegirl: Hack 'n Splash Rescue DX</t>
  </si>
  <si>
    <t>Dejima</t>
  </si>
  <si>
    <t>Remnants of Naezith</t>
  </si>
  <si>
    <t>Tolga Ay</t>
  </si>
  <si>
    <t>Zombie Driver HD</t>
  </si>
  <si>
    <t>Exor Studios</t>
  </si>
  <si>
    <t>Mount &amp; Blade: Warband</t>
  </si>
  <si>
    <t>TaleWorlds Entertainment</t>
  </si>
  <si>
    <t>Mount &amp; Blade</t>
  </si>
  <si>
    <t>Mount &amp; Blade: With Fire &amp; Sword</t>
  </si>
  <si>
    <t>Harmony's Odyssey</t>
  </si>
  <si>
    <t>Neverland Entertainment</t>
  </si>
  <si>
    <t>MythicOwl</t>
  </si>
  <si>
    <t>Into the Pit</t>
  </si>
  <si>
    <t>Nullpointer Games</t>
  </si>
  <si>
    <t>Flynn: Son of Crimson</t>
  </si>
  <si>
    <t>Studio Thunderhorse</t>
  </si>
  <si>
    <t>Gotham Knights</t>
  </si>
  <si>
    <t>The Letter: Horror Visual Novel</t>
  </si>
  <si>
    <t>Yangyang Mobile</t>
  </si>
  <si>
    <t>Jack Move</t>
  </si>
  <si>
    <t>So Romantic</t>
  </si>
  <si>
    <t>Impostor Factory</t>
  </si>
  <si>
    <t>void* tRrLM2(); //Void Terrarium 2</t>
  </si>
  <si>
    <t>WarioWare D.I.Y.</t>
  </si>
  <si>
    <t>Wario's Woods</t>
  </si>
  <si>
    <t>Wario Blast: Featuring Bomberman!</t>
  </si>
  <si>
    <t>Bomberman GB</t>
  </si>
  <si>
    <t>Bomberman GB 3</t>
  </si>
  <si>
    <t>Kirby's Dream Course</t>
  </si>
  <si>
    <t>Kirby's Avalanche</t>
  </si>
  <si>
    <t>Wo Long: Fallen Dynasty</t>
  </si>
  <si>
    <t>As a lover of Sekiro, this game scratched that itch in a way that not many games are able to. Wo Long has an awesome core combat loop, with some cool mechanics that help to enhance the game. Spirit affecting all actions in different ways starts out as a relatively simple mechanic, but is actually quite complex. After a few hours, I was weaving attacks, deflections, guards, and dodges while keeping an eye on that meter to see when I could unleash spells or special attacks. The elemental system is a little confusing given how many different interactions there are, and I was able to mostly ignore it aside from a few enemies that required exploiting their weaknesses. It's not quite Sekiro with its rhythm-like zen state, but it's still a solid combat experience. Outside of combat, I actually found myself enjoying the mission-based structure versus open world due to open world fatigue, and I found the morale/fortitude system to be a welcome addition which rewards exploration. It was fun trying to fully uncover the flags in each level to ensure myself a better shot at beating the mission's boss. Outside of gameplay, the game's story is pretty obtuse if you're not familiar with the characters they're using (and I'm not) and there were some graphical hitches and crashes, but neither of those aspects detracted from the core experience for me.</t>
  </si>
  <si>
    <t>This one was a real surprise. I didn't expect too much out of it, but the writing was absolutely astounding. The time loop concept is executed beautifully, the dialogue is introspective and illuminating, the mysteries are intriguing, and the characters are likeable and memorable. It's rare to see a game ponder moral quandaries effectively, and The Forgotten City does just that with ease. Greatly enjoyed my time with this one, left completely satisfied!</t>
  </si>
  <si>
    <t>Zenonia</t>
  </si>
  <si>
    <t>Gamevil</t>
  </si>
  <si>
    <t>Picross NP Vol. 1</t>
  </si>
  <si>
    <t>Picross NP Vol. 2</t>
  </si>
  <si>
    <t>Nintendo Power</t>
  </si>
  <si>
    <t>Picross NP Vol. 3</t>
  </si>
  <si>
    <t>Picross NP Vol. 4</t>
  </si>
  <si>
    <t>Picross NP Vol. 5</t>
  </si>
  <si>
    <t>Picross NP Vol. 6</t>
  </si>
  <si>
    <t>Picross NP Vol. 7</t>
  </si>
  <si>
    <t>Picross NP Vol. 8</t>
  </si>
  <si>
    <t>Wrecking Crew '98</t>
  </si>
  <si>
    <t>Pax Softonica</t>
  </si>
  <si>
    <t>Wrecking Crew</t>
  </si>
  <si>
    <t>Kirby adventures have always been the equivalent to gaming dessert for me. Light, fluffy, and not much in terms of nutritional value. Return to Dream Land is certainly a competently made and creative platformer, with some unique level designs and fun copy abilities, but it's not anything groundbreaking. The Magolor Epilogue that this game adds was actually quite cool, I enjoyed having permanent progression on a character. This game isn't changing my mind about Kirby, but that's also not a problem -- everyone loves dessert.</t>
  </si>
  <si>
    <t>Senran Kagura: Estival Versus</t>
  </si>
  <si>
    <t>Milk inside a bag of milk inside a bag of milk</t>
  </si>
  <si>
    <t>Missing Calm</t>
  </si>
  <si>
    <t>The Cruel King and the Great Hero</t>
  </si>
  <si>
    <t>Storybook Edition</t>
  </si>
  <si>
    <t>I haven't played a VR game in a long time and all of the talk of PSVR2 had me hankering for a return to VR. I hadn't played this prior to Psychonauts 2 and the introduction of that game had touched on this one's story, so I figured it would be worth diving in. It was a good return to VR in the sense that it was completely free of any nauseating tendencies, but it also had some annoyances at the same time. I enjoyed the humor and personality that shone through, but it was frustrating how often Raz and other characters would comment on actions as I was doing them with repetitive voice lines. The controls were also a little wonky, with some objects not behaving in the ways I'd expect. Rhombus of Ruin is mostly a movie with some interactivity that's carried by its humor, but doesn't do enough to justify itself otherwise.</t>
  </si>
  <si>
    <t>Grow Home wasn't what I expected. I'd heard about this game years ago when it was first released and had always thought this was a fairly traditional 3D platformer. I was surprised to find it's a bit more than that. It's much more focused on climbing and careful exploration than timed platforming which can result in a trancelike gameplay experience. I wasn't the biggest fan of how this game controlled, though it's clear it was intentionally designed to be this way, but after some wrangling I found myself enjoying climbing along branches and making them grow.</t>
  </si>
  <si>
    <t>Pupuya Games</t>
  </si>
  <si>
    <t>Ghostdream</t>
  </si>
  <si>
    <t>ArkHouse</t>
  </si>
  <si>
    <t>Nintendo Switch Online</t>
  </si>
  <si>
    <t>Going back to the series' roots after just playing Kirby's Return to Dream Land Deluxe was definitely an interesting experience. I'd played this game previously, but didn't remember just how short and basic it was. The roots here are evident but there's not much here to enjoy for a modern player beyond curiosity. It's amazing how many series staples were established here, though!</t>
  </si>
  <si>
    <t>Batora: Lost Haven</t>
  </si>
  <si>
    <t>Praey for the Gods</t>
  </si>
  <si>
    <t>No Matter Studios</t>
  </si>
  <si>
    <t>Syberia: The World Before</t>
  </si>
  <si>
    <t>Microids Studio Paris</t>
  </si>
  <si>
    <t>Keep in Mind: Remastered</t>
  </si>
  <si>
    <t>Little Moth Games</t>
  </si>
  <si>
    <t>Accounting+</t>
  </si>
  <si>
    <t>Attraction</t>
  </si>
  <si>
    <t>Devastator</t>
  </si>
  <si>
    <t>DAthoughts</t>
  </si>
  <si>
    <t>2Awesome Studio</t>
  </si>
  <si>
    <t>Radiangames</t>
  </si>
  <si>
    <t>Gridform</t>
  </si>
  <si>
    <t>Sherbb</t>
  </si>
  <si>
    <t>PLAION</t>
  </si>
  <si>
    <t>Arrowiz</t>
  </si>
  <si>
    <t>It's been fun to explore these Game Boy classics under a new lens through Nintendo Switch Online. Super Mario Land 2 is another game which I've previously played through years ago, and returning it today makes the dust and crust all the more clear. The game has some seriously unique stage designs, perhaps some of the most unique in Mario history. The hitboxes, however, are a bit too funky to fully enjoy these stages, and the last stage is so difficult that I ended up abusing the suspend feature of this version. Evidently, losing all your lives in the final level requires re-fighting all of the game's other bosses!</t>
  </si>
  <si>
    <t>Hatsune Miku Logic Paint</t>
  </si>
  <si>
    <t>Crypton Future Media</t>
  </si>
  <si>
    <t>Hatsune Miku</t>
  </si>
  <si>
    <t>Alliance Digital Media</t>
  </si>
  <si>
    <t>Chenso Club</t>
  </si>
  <si>
    <t>Aurora Punks</t>
  </si>
  <si>
    <t>Pixadome</t>
  </si>
  <si>
    <t>Fatal Frame: Mask of the Lunar Eclipse</t>
  </si>
  <si>
    <t>Etrian Odyssey Origins Collection</t>
  </si>
  <si>
    <t>Baten Kaitos I &amp; II HD Remaster</t>
  </si>
  <si>
    <t>Mercenaries Blaze: Dawn of the Twin Dragons</t>
  </si>
  <si>
    <t>Mercenaries Rebirth: Call of the Wild Lynx</t>
  </si>
  <si>
    <t>Armored Core VI: Fires of Rubicon</t>
  </si>
  <si>
    <t>Gal Guardians: Demon Purge</t>
  </si>
  <si>
    <t>Sylvanian Families: Otogi no Kuni no Pendant</t>
  </si>
  <si>
    <t>Deep Dungeon IV: Kuro no Youjutsushi</t>
  </si>
  <si>
    <t>Until I Have You</t>
  </si>
  <si>
    <t>Digital Tribe</t>
  </si>
  <si>
    <t>Urban Trial Playground</t>
  </si>
  <si>
    <t>Teyon</t>
  </si>
  <si>
    <t>DIVINATION</t>
  </si>
  <si>
    <t>Hellfront: Honeymoon</t>
  </si>
  <si>
    <t>Reigns: Her Majesty</t>
  </si>
  <si>
    <t>A.W.: Phoenix Festa</t>
  </si>
  <si>
    <t>3D After Burner II</t>
  </si>
  <si>
    <t>3D Classics: Excitebike</t>
  </si>
  <si>
    <t>3D Ecco the Dolphin</t>
  </si>
  <si>
    <t>3D Out Run</t>
  </si>
  <si>
    <t>Out Run</t>
  </si>
  <si>
    <t>3D Shinobi III: Return of the Ninja Master</t>
  </si>
  <si>
    <t>3D Sonic the Hedgehog 2</t>
  </si>
  <si>
    <t>3D Space Harrier</t>
  </si>
  <si>
    <t>Space Harrier</t>
  </si>
  <si>
    <t>3D Super Hang-On</t>
  </si>
  <si>
    <t>Hang-On</t>
  </si>
  <si>
    <t>Space Harrier II</t>
  </si>
  <si>
    <t>Space Harrier 3-D</t>
  </si>
  <si>
    <t>Planet Harriers</t>
  </si>
  <si>
    <t>Power Drift</t>
  </si>
  <si>
    <t>Hang-On GP</t>
  </si>
  <si>
    <t>Genki Co., Ltd.</t>
  </si>
  <si>
    <t>Turbo OutRun</t>
  </si>
  <si>
    <t>OutRunners</t>
  </si>
  <si>
    <t>OutRun 2</t>
  </si>
  <si>
    <t>OutRun 2006: Coast 2 Coast</t>
  </si>
  <si>
    <t>Out Run 3-D</t>
  </si>
  <si>
    <t>Battle Out Run</t>
  </si>
  <si>
    <t>Out Run Europa</t>
  </si>
  <si>
    <t>OutRun 2019</t>
  </si>
  <si>
    <t>SIMS Co., Ltd.</t>
  </si>
  <si>
    <t>OutRun Online Arcade</t>
  </si>
  <si>
    <t>Puzzle Labyrinth</t>
  </si>
  <si>
    <t>Automaton Lung</t>
  </si>
  <si>
    <t>Luke Vincent</t>
  </si>
  <si>
    <t>Temple of Yog</t>
  </si>
  <si>
    <t>ChudChud Industries</t>
  </si>
  <si>
    <t>RemiLore: Lost Girl in the Lands of Lore</t>
  </si>
  <si>
    <t>Exstetra</t>
  </si>
  <si>
    <t>Anonymous Notes: Chapter 1 - From the Abyss</t>
  </si>
  <si>
    <t>Anonymous Notes: Chapter 2 - From the Abyss</t>
  </si>
  <si>
    <t>Anonymous Notes: Chapter 3 - From the Abyss</t>
  </si>
  <si>
    <t>Anonymous Notes: Chapter 4 - From the Abyss</t>
  </si>
  <si>
    <t>Necromancer</t>
  </si>
  <si>
    <t>Jaseiken Necromancer: Nightmare Reborn</t>
  </si>
  <si>
    <t>Crystal Monsters</t>
  </si>
  <si>
    <t>Looksley's Line Up</t>
  </si>
  <si>
    <t>Metal Torrent</t>
  </si>
  <si>
    <t>Nintendoji</t>
  </si>
  <si>
    <t>Grounding</t>
  </si>
  <si>
    <t>Snapdots</t>
  </si>
  <si>
    <t>D4 Enterprise</t>
  </si>
  <si>
    <t>NuPa: Numeric Paint Puzzle</t>
  </si>
  <si>
    <t>Glow Artisan</t>
  </si>
  <si>
    <t>Powerhead Games</t>
  </si>
  <si>
    <t>Galacide</t>
  </si>
  <si>
    <t>Puny Human</t>
  </si>
  <si>
    <t>Tachyon Project</t>
  </si>
  <si>
    <t>Eclipse Games</t>
  </si>
  <si>
    <t>The Norwood Suite</t>
  </si>
  <si>
    <t>Alliance</t>
  </si>
  <si>
    <t>Off-Peak</t>
  </si>
  <si>
    <t>80's Overdrive</t>
  </si>
  <si>
    <t>Insane Code</t>
  </si>
  <si>
    <t>Fears to Fathom: Home Alone</t>
  </si>
  <si>
    <t>Rayll</t>
  </si>
  <si>
    <t>Fears to Fathom</t>
  </si>
  <si>
    <t>Playdate</t>
  </si>
  <si>
    <t>Sketch, Share, Solve</t>
  </si>
  <si>
    <t>RDK</t>
  </si>
  <si>
    <t>Reel Steal</t>
  </si>
  <si>
    <t>Sweet Baby</t>
  </si>
  <si>
    <t>Pixellore</t>
  </si>
  <si>
    <t>Tanuki Justice</t>
  </si>
  <si>
    <t>No Gravity Games</t>
  </si>
  <si>
    <t>Wonderboy Bobi</t>
  </si>
  <si>
    <t>Lorelai</t>
  </si>
  <si>
    <t>Devil Came Through Here</t>
  </si>
  <si>
    <t>I haven't played a Fire Emblem since Awakening, so it was amazing to see how far this series has come in terms of quality of life features, gameplay advancements, and even just overall polish. Everything about this game is excellent, from the monastery to deepen relationships with your students and peers to the battle system to the sweeping plot. I do wish that there was more to do in the monastery in the second half of the game, it became a bit more of a chore when there weren't more relationships to build, but it didn't detract from this excellent game.</t>
  </si>
  <si>
    <t>Golden Axe may be a historically significant game, but it's not worth playing from a modern standpoint. The game is brutally unfair with enemies who can easily stunlock you or do flying kicks from across the stage. There's limited variety, with most of the stages blending together. Movesets are equally limited and hitboxes for those moves feel janky. It's an interesting curiosity, but it doesn't hold up like other beat 'em ups of the time.</t>
  </si>
  <si>
    <t>This game does look awesome, evoking Space Harrier really well. Unfortunate that it's almost turn-off-your-brain levels of easy and over in 15 minutes. Cool for what it is, but nothing otherwise notable.</t>
  </si>
  <si>
    <t>I'm continuing to make my way through the Life is Strange series, so I figured I'd play this precursor to Life is Strange 2. I thought that the story was actually quite touching, Dontnod did a great job at making the characters feel realistic within only an hour and a half. There were some genuinely touching moments during the game alongside some fun exploration of what it's like to be a kid again. My understanding is that this game somewhat carries over to Life is Strange 2, but to what degree I'm not 100% sure, so as a standalone its story does end somewhat abruptly. If Life is Strange 2 doesn't explore these characters more, I'll be a little disappointed.</t>
  </si>
  <si>
    <t>It's amazing how much of The Simpsons manages to come through in this game, making it clear to me just why this game was so popular when it was released. The characters actually look like the cartoon, and the game is packed with memorable gags and callbacks. The stages are also quite varied, taking us all over Springfield and pitting us against a variety of enemies. The gameplay itself is pretty simplistic which holds this game back--there's only attack and jump, no real movesets to speak of, but for a 45 minute or so runtime it's enough to just get to explore the world of The Simpsons.</t>
  </si>
  <si>
    <t>Soul Fjord</t>
  </si>
  <si>
    <t>Ouya</t>
  </si>
  <si>
    <t>Colossal Cave Adventure</t>
  </si>
  <si>
    <t>PDP-10</t>
  </si>
  <si>
    <t>William Crowther, Don Woods</t>
  </si>
  <si>
    <t>CyberStorm</t>
  </si>
  <si>
    <t>Krondor</t>
  </si>
  <si>
    <t>Apple II</t>
  </si>
  <si>
    <t>On-Line Systems</t>
  </si>
  <si>
    <t>Hi-Res Adventure</t>
  </si>
  <si>
    <t>Hi-Res Adventure #0: Mission Asteroid</t>
  </si>
  <si>
    <t>Hi-Res Adventure #1: Mystery House</t>
  </si>
  <si>
    <t>Hi-Res Adventure #2: The Wizard and the Princess</t>
  </si>
  <si>
    <t>Hi-Res Adventure #3: Cranston Manor</t>
  </si>
  <si>
    <t>Hi-Res Adventure #4: Ulysses and the Golden Fleece</t>
  </si>
  <si>
    <t>Torin's Passage</t>
  </si>
  <si>
    <t>Freddy Pharkas: Frontier Pharmacist</t>
  </si>
  <si>
    <t>Callahan's Crosstime Saloon</t>
  </si>
  <si>
    <t>The Bizarre Adventures of Woodruff and the Schnibble</t>
  </si>
  <si>
    <t>Coktel Vision</t>
  </si>
  <si>
    <t>Rama</t>
  </si>
  <si>
    <t>CyberGladiators</t>
  </si>
  <si>
    <t>Betrayal in Antara</t>
  </si>
  <si>
    <t>CyberStorm 2: Corporate Wars</t>
  </si>
  <si>
    <t>Return to Krondor</t>
  </si>
  <si>
    <t>PyroTechnix</t>
  </si>
  <si>
    <t>Softporn Adventure</t>
  </si>
  <si>
    <t>Advanced Dungeons &amp; Dragons: DeathKeep</t>
  </si>
  <si>
    <t>King's Field: Additional I</t>
  </si>
  <si>
    <t>King's Field: Additional II</t>
  </si>
  <si>
    <t>Chip-chan Kick!</t>
  </si>
  <si>
    <t>Cybertech Custom</t>
  </si>
  <si>
    <t>Sotsugyou: Graduation</t>
  </si>
  <si>
    <t>Team Innocent: The Point of No Return</t>
  </si>
  <si>
    <t>Ruruli Ra Rura</t>
  </si>
  <si>
    <t>Last Imperial Prince</t>
  </si>
  <si>
    <t>Nihon Application Co.</t>
  </si>
  <si>
    <t>Lair</t>
  </si>
  <si>
    <t>Naughty Bear</t>
  </si>
  <si>
    <t>Artificial Mind and Movement</t>
  </si>
  <si>
    <t>Naughty Bear: Panic in Paradise</t>
  </si>
  <si>
    <t>The Scheme</t>
  </si>
  <si>
    <t>Onion Soft</t>
  </si>
  <si>
    <t>Burning Dragon Plus</t>
  </si>
  <si>
    <t>Wiz</t>
  </si>
  <si>
    <t>Burning Dragon</t>
  </si>
  <si>
    <t>Flame Zapper Kotsujin</t>
  </si>
  <si>
    <t>CO2-PRO</t>
  </si>
  <si>
    <t>Galt-Rio: Maximum Position</t>
  </si>
  <si>
    <t>GGG Soft</t>
  </si>
  <si>
    <t>Last Breakers: Gray Nova Aggression</t>
  </si>
  <si>
    <t>Net Guardian: Dai Kyo Utage</t>
  </si>
  <si>
    <t>Moguraya Soft</t>
  </si>
  <si>
    <t>Usagi na Panic</t>
  </si>
  <si>
    <t>Nihon Softec</t>
  </si>
  <si>
    <t>Usagi na Panic 2</t>
  </si>
  <si>
    <t>Briganty: The Roots of Darkness</t>
  </si>
  <si>
    <t>GIGA</t>
  </si>
  <si>
    <t>Night Slave</t>
  </si>
  <si>
    <t>Melody</t>
  </si>
  <si>
    <t>Steam-Heart's</t>
  </si>
  <si>
    <t>Sei Shōjo Sentai Lakers</t>
  </si>
  <si>
    <t>Apple Pie</t>
  </si>
  <si>
    <t>Sei Shōjo Sentai Lakers II</t>
  </si>
  <si>
    <t>Sei Shōjo Sentai Lakers III</t>
  </si>
  <si>
    <t>The Fool's Errand</t>
  </si>
  <si>
    <t>The Pharaoh's Curse</t>
  </si>
  <si>
    <t>Atari 8-bit</t>
  </si>
  <si>
    <t>Synapse Software</t>
  </si>
  <si>
    <t>Technosoft</t>
  </si>
  <si>
    <t>Thexder</t>
  </si>
  <si>
    <t>Thexder 95</t>
  </si>
  <si>
    <t>Mac OS</t>
  </si>
  <si>
    <t>Miles Computing</t>
  </si>
  <si>
    <t>Cliff Johnson</t>
  </si>
  <si>
    <t>The Fool and His Money</t>
  </si>
  <si>
    <t>Continuum</t>
  </si>
  <si>
    <t>Advanced Dungeons &amp; Dragons: Cloudy Mountain</t>
  </si>
  <si>
    <t>Intellivision</t>
  </si>
  <si>
    <t>Mattel Electronics</t>
  </si>
  <si>
    <t>Advanced Dungeons &amp; Dragons: Treasure of Tarmin</t>
  </si>
  <si>
    <t>APh Technological Consulting</t>
  </si>
  <si>
    <t>Pitfall!</t>
  </si>
  <si>
    <t>Pitfall</t>
  </si>
  <si>
    <t>Pitfall II: Lost Caverns</t>
  </si>
  <si>
    <t>Super Pitfall</t>
  </si>
  <si>
    <t>Pitfall: The Mayan Adventure</t>
  </si>
  <si>
    <t>Pitfall 3D: Beyond the Jungle</t>
  </si>
  <si>
    <t>Pitfall: The Lost Expedition</t>
  </si>
  <si>
    <t>Thunder Castle</t>
  </si>
  <si>
    <t>INTV</t>
  </si>
  <si>
    <t>Tower of Doom</t>
  </si>
  <si>
    <t>Intellivision Productions</t>
  </si>
  <si>
    <t>Illusions</t>
  </si>
  <si>
    <t>ColecoVision</t>
  </si>
  <si>
    <t>Coleco</t>
  </si>
  <si>
    <t>Kagirinaki Tatakai</t>
  </si>
  <si>
    <t>Starquake</t>
  </si>
  <si>
    <t>Bubble Bus Software</t>
  </si>
  <si>
    <t>The Black Onyx</t>
  </si>
  <si>
    <t>Bullet-Proof Software</t>
  </si>
  <si>
    <t>Bugdom</t>
  </si>
  <si>
    <t>Pangea Software</t>
  </si>
  <si>
    <t>Nanosaur</t>
  </si>
  <si>
    <t>Nanosaur Extreme</t>
  </si>
  <si>
    <t>Otto Matic</t>
  </si>
  <si>
    <t>Bugdom 2</t>
  </si>
  <si>
    <t>Nanosaur 2: Hatchling</t>
  </si>
  <si>
    <t>Xenocide</t>
  </si>
  <si>
    <t>SunDog: Frozen Legacy</t>
  </si>
  <si>
    <t>Genetic Species</t>
  </si>
  <si>
    <t>Vulcan Software</t>
  </si>
  <si>
    <t>Marble Eyes Development</t>
  </si>
  <si>
    <t>Shadow of the Beast</t>
  </si>
  <si>
    <t>Reflections Interactive</t>
  </si>
  <si>
    <t>Shadow of the Beast II</t>
  </si>
  <si>
    <t>Shadow of the Beast III</t>
  </si>
  <si>
    <t>AshGuine: Densetsu no Seisenshi</t>
  </si>
  <si>
    <t>Panasoft</t>
  </si>
  <si>
    <t>Bit2</t>
  </si>
  <si>
    <t>AshGuine Story</t>
  </si>
  <si>
    <t>AshGuine Story II: Kokuu no Gajou</t>
  </si>
  <si>
    <t>AshGuine Story III: Fukushuu no Honoo</t>
  </si>
  <si>
    <t>Fire Hawk: Thexder - The Second Contact</t>
  </si>
  <si>
    <t>King Kong 2: Yomigaeru Densetsu</t>
  </si>
  <si>
    <t>Maraya no Hihou</t>
  </si>
  <si>
    <t>Space Manbow</t>
  </si>
  <si>
    <t>The Treasure of Uşas</t>
  </si>
  <si>
    <t>The Journeyman Project</t>
  </si>
  <si>
    <t>Presto Studios</t>
  </si>
  <si>
    <t>The Journeyman Project 2: Buried in Time</t>
  </si>
  <si>
    <t>Sanctuary Woods</t>
  </si>
  <si>
    <t>The Journeyman Project 3: Legacy of Time</t>
  </si>
  <si>
    <t>Thexder Neo</t>
  </si>
  <si>
    <t>Zereo</t>
  </si>
  <si>
    <t>Back when I originally played Metroid Prime, I don't think I appreciated what this game was going for with its more methodical pacing and big focus on deep exploration. I remember being a young lad and actually finding the game boring. I'm glad to have revisited it with Remastered, where I found myself much more appreciative of the game's pacing and structure. The world of Tallon IV is alive, and it opens itself up more and more as you collect more items and abilities. This version is also excellent with revamped graphics and more modern control options. I still do think that the latter portion of the game suffers from a lot of needless backtracking, but it doesn't stifle an excellent game.</t>
  </si>
  <si>
    <t>High Seize</t>
  </si>
  <si>
    <t>Double Dragon II: Wander of the Dragons</t>
  </si>
  <si>
    <t>Barunson Creative Co.</t>
  </si>
  <si>
    <t>Gravity Co., Ltd.</t>
  </si>
  <si>
    <t>Mastertronic</t>
  </si>
  <si>
    <t>Zemina</t>
  </si>
  <si>
    <t>Fushigi no Dungeon: Fūrai no Shiren DS2: Sabaku no Majō</t>
  </si>
  <si>
    <t>Fushigi no Dungeon: Fūrai no Shiren Gaiden: Onna Kenshi Asuka Kenzan!</t>
  </si>
  <si>
    <t>Dramatic Dungeon: Sakura Wars ~Because you are there~</t>
  </si>
  <si>
    <t>Global Entertainment</t>
  </si>
  <si>
    <t>Monster Collection: Kamen no Madoushi</t>
  </si>
  <si>
    <t>Doraemon 3: Makai no Dungeon</t>
  </si>
  <si>
    <t>Kan's</t>
  </si>
  <si>
    <t>Doraemon</t>
  </si>
  <si>
    <t>Monster Gate</t>
  </si>
  <si>
    <t>Monster Gate: Ooinaru Dungeon - Fuuin no Orb</t>
  </si>
  <si>
    <t>Yuuna and the Haunted Hot Springs: Steam Dungeon</t>
  </si>
  <si>
    <t>Toilet in Wonderland</t>
  </si>
  <si>
    <t>Team Nonsense</t>
  </si>
  <si>
    <t>This is a game that should not exist. Konami all but exited the gaming market in the 2010s so for them to release a 100% free ode to their gaming legacy is baffling. This is a classic nonagram game, and it's a good one. At first I felt myself comparing it to Jupiter's Picross games and scoffing at its differences, but after playing it bit by bit for over a year I came to love this game. Its puzzles are genuinely challenging towards the end and it has some deep cuts from Konami lore. The touchscreen did feel a bit inaccurate at times, not registering my taps at the correct spot, the boss puzzles taking three hours to show up is annoying, and the ads are intrusive, but these are minor complaints in an otherwise excellent nonagram game.</t>
  </si>
  <si>
    <t>Grimorio of Games</t>
  </si>
  <si>
    <t>Horror Tales: The Wine</t>
  </si>
  <si>
    <t>Carlos Coronado</t>
  </si>
  <si>
    <t>Horror Tales</t>
  </si>
  <si>
    <t>Nightmare Reaper</t>
  </si>
  <si>
    <t>Blazing Bit Gmaes</t>
  </si>
  <si>
    <t>Blazing Bit Games</t>
  </si>
  <si>
    <t>Deadlink</t>
  </si>
  <si>
    <t>SuperGG.com</t>
  </si>
  <si>
    <t>Gruby Entertainment</t>
  </si>
  <si>
    <t>GRAVEN</t>
  </si>
  <si>
    <t>Slipgate Ironworks</t>
  </si>
  <si>
    <t>The Citadel</t>
  </si>
  <si>
    <t>Top Hot Studios</t>
  </si>
  <si>
    <t>doekuramori</t>
  </si>
  <si>
    <t>Viscerafest</t>
  </si>
  <si>
    <t>Acid Man Games</t>
  </si>
  <si>
    <t>Impaler</t>
  </si>
  <si>
    <t>Retrovibe</t>
  </si>
  <si>
    <t>Apptivus</t>
  </si>
  <si>
    <t>The Murder of Sonic the Hedgehog</t>
  </si>
  <si>
    <t>Repetendium</t>
  </si>
  <si>
    <t>Bearlex Games</t>
  </si>
  <si>
    <t>Neon Sundown</t>
  </si>
  <si>
    <t>Ben Nichols</t>
  </si>
  <si>
    <t>Scarlet Tower</t>
  </si>
  <si>
    <t>Pyxeralia</t>
  </si>
  <si>
    <t>Just King</t>
  </si>
  <si>
    <t>VISH</t>
  </si>
  <si>
    <t>Bounty of One</t>
  </si>
  <si>
    <t>OptizOnion</t>
  </si>
  <si>
    <t>Nomad Survival</t>
  </si>
  <si>
    <t>The Fox Knocks</t>
  </si>
  <si>
    <t>Boneraiser Minions</t>
  </si>
  <si>
    <t>caiys</t>
  </si>
  <si>
    <t>Rogue: Genesia</t>
  </si>
  <si>
    <t>iolaCorp Studio</t>
  </si>
  <si>
    <t>Huard Ouadi</t>
  </si>
  <si>
    <t>I can't believe it took me so long to play this excellent game. I'd really been putting it off, but it's everything that truly speaks to me in a game. Awesome atmosphere, tight combat and platforming, oozing character out of every crack, deep lore, navigation and exploration are excellent, everything about this game was a joy to me. I so infrequently "complete" games, but I actually achieved 100% here. My only "complaint" about this game is that Geo loses its use in the late game, so there isn't much incentive to track down your shade aside from restoring your maximum soul. Now I get the privilege of joining the ranks of players patiently awaiting Silksong!</t>
  </si>
  <si>
    <t>Niji no Silkroad</t>
  </si>
  <si>
    <t>Princess Maker</t>
  </si>
  <si>
    <t>STED: Iseki Wakusei no Yabō</t>
  </si>
  <si>
    <t>K. Amusement Leasing Co.</t>
  </si>
  <si>
    <t>Doraemon: Giga Zombie no Gyakushuu</t>
  </si>
  <si>
    <t>Silviana</t>
  </si>
  <si>
    <t>Shinsenden</t>
  </si>
  <si>
    <t>Mangguk Jeon’gi: Ichyeojin Nara-ui Iyagi</t>
  </si>
  <si>
    <t>Mirinae Entertainment</t>
  </si>
  <si>
    <t>Tao</t>
  </si>
  <si>
    <t>Vap</t>
  </si>
  <si>
    <t>Sansara Naga</t>
  </si>
  <si>
    <t>Ninjara Hoi!</t>
  </si>
  <si>
    <t>Shūjin e no Pert-em-Hru</t>
  </si>
  <si>
    <t>Makoto Serise</t>
  </si>
  <si>
    <t>Generation Xth: Code Realize</t>
  </si>
  <si>
    <t>Generation Xth</t>
  </si>
  <si>
    <t>The Magic Candle</t>
  </si>
  <si>
    <t>Japan Soft Technology</t>
  </si>
  <si>
    <t>Shadow Brain</t>
  </si>
  <si>
    <t>Scitron &amp; Art</t>
  </si>
  <si>
    <t>Lunatic Dawn: The Book of Futures</t>
  </si>
  <si>
    <t>Lunatic Dawn</t>
  </si>
  <si>
    <t>Indora no Hikari</t>
  </si>
  <si>
    <t>Lunatic Dawn: Passage of the Book</t>
  </si>
  <si>
    <t>SWAT: Special Weapons and Tactics</t>
  </si>
  <si>
    <t>Shouei</t>
  </si>
  <si>
    <t>Cleopatra no Mahou</t>
  </si>
  <si>
    <t>RPG Jinsei Game</t>
  </si>
  <si>
    <t>Jinsei Game</t>
  </si>
  <si>
    <t>Medarot R</t>
  </si>
  <si>
    <t>LaSalle Ishii no Child's Quest</t>
  </si>
  <si>
    <t>Double Moon Densetsu</t>
  </si>
  <si>
    <t>Minelvaton Saga: Ragon no Fukkatsu</t>
  </si>
  <si>
    <t>Gage</t>
  </si>
  <si>
    <t>M.N.M. Software</t>
  </si>
  <si>
    <t>Gungage</t>
  </si>
  <si>
    <t>Digimon Adventure 02: Tag Tamers</t>
  </si>
  <si>
    <t>Digimon Adventure 02: D1 Tamers</t>
  </si>
  <si>
    <t>Deadpool</t>
  </si>
  <si>
    <t>Osteoblasts</t>
  </si>
  <si>
    <t>Suits: A Business RPG</t>
  </si>
  <si>
    <t>Technomancy Studios</t>
  </si>
  <si>
    <t>Suits</t>
  </si>
  <si>
    <t>Guildlings</t>
  </si>
  <si>
    <t>Sirvo</t>
  </si>
  <si>
    <t>Revita</t>
  </si>
  <si>
    <t>BenStar</t>
  </si>
  <si>
    <t>The Life and Suffering of Sir Brante</t>
  </si>
  <si>
    <t>101XP</t>
  </si>
  <si>
    <t>Sever</t>
  </si>
  <si>
    <t>Rollerdrome</t>
  </si>
  <si>
    <t>Death Stranding: Director's Cut</t>
  </si>
  <si>
    <t>Tails of Iron</t>
  </si>
  <si>
    <t>Odd Bug Studio</t>
  </si>
  <si>
    <t>Basement Crawl</t>
  </si>
  <si>
    <t>Bound</t>
  </si>
  <si>
    <t>Bravo Team</t>
  </si>
  <si>
    <t>Fat Princess Adventures</t>
  </si>
  <si>
    <t>Fat Princess</t>
  </si>
  <si>
    <t>Titan Studios</t>
  </si>
  <si>
    <t>Fun Bits Interactive</t>
  </si>
  <si>
    <t>Cyber Danganronpa VR: The Class Trial</t>
  </si>
  <si>
    <t>Hakoniwa Company Works</t>
  </si>
  <si>
    <t>Hidden Agenda</t>
  </si>
  <si>
    <t>Heavy Spectrum Entertainment Labs</t>
  </si>
  <si>
    <t>Statik</t>
  </si>
  <si>
    <t>Wayward Sky</t>
  </si>
  <si>
    <t>Uber Entertainment</t>
  </si>
  <si>
    <t>Entwined</t>
  </si>
  <si>
    <t>Strife of Cosmos</t>
  </si>
  <si>
    <t>MythAtelier</t>
  </si>
  <si>
    <t>Lakeview Valley</t>
  </si>
  <si>
    <t>After Hours</t>
  </si>
  <si>
    <t>Aaron Wise</t>
  </si>
  <si>
    <t>Electrogene</t>
  </si>
  <si>
    <t>ElvGames</t>
  </si>
  <si>
    <t>Leggite Luta Livre</t>
  </si>
  <si>
    <t>John Vanderhoef</t>
  </si>
  <si>
    <t>The Immaculate Drag</t>
  </si>
  <si>
    <t>Discrete Infinity</t>
  </si>
  <si>
    <t>Me and my eldritch parasite</t>
  </si>
  <si>
    <t>ApeHardware</t>
  </si>
  <si>
    <t>Down the Oubliette</t>
  </si>
  <si>
    <t>The Glass Staircase</t>
  </si>
  <si>
    <t>Puppet Combo</t>
  </si>
  <si>
    <t>Sagebrush</t>
  </si>
  <si>
    <t>Redact Games</t>
  </si>
  <si>
    <t>The Search</t>
  </si>
  <si>
    <t>Jason Godbey</t>
  </si>
  <si>
    <t>Elephantasy</t>
  </si>
  <si>
    <t>Benjamin Maksym</t>
  </si>
  <si>
    <t>Tôtem</t>
  </si>
  <si>
    <t>Shakles</t>
  </si>
  <si>
    <t>Catlateral Damage: Remeowstered</t>
  </si>
  <si>
    <t>Manekoware</t>
  </si>
  <si>
    <t>Widget Satchel</t>
  </si>
  <si>
    <t>Noble Robot</t>
  </si>
  <si>
    <t>Pigsaw</t>
  </si>
  <si>
    <t>Christopher Yabsley</t>
  </si>
  <si>
    <t>Beglitched</t>
  </si>
  <si>
    <t>Hexecutable</t>
  </si>
  <si>
    <t>The Lost Night</t>
  </si>
  <si>
    <t>Mario Carballo, Amano Games, Joven Paul</t>
  </si>
  <si>
    <t>Schildmaid MX</t>
  </si>
  <si>
    <t>HitP Studio</t>
  </si>
  <si>
    <t>Grapple Force Rena</t>
  </si>
  <si>
    <t>Friend &amp; Fairy</t>
  </si>
  <si>
    <t>Danger Crew</t>
  </si>
  <si>
    <t>Team Danger Crew</t>
  </si>
  <si>
    <t>Drew Conley, Glenn LaBarre</t>
  </si>
  <si>
    <t>Kaiju Big Battel: Fighto Fantasy</t>
  </si>
  <si>
    <t>Super Walrus Games</t>
  </si>
  <si>
    <t>Lizzi Crossing</t>
  </si>
  <si>
    <t>Eva Lee</t>
  </si>
  <si>
    <t>RITE</t>
  </si>
  <si>
    <t>Pond Games Pty Ltd</t>
  </si>
  <si>
    <t>Love 2: kuso</t>
  </si>
  <si>
    <t>Demonizer</t>
  </si>
  <si>
    <t>Iori Branford</t>
  </si>
  <si>
    <t>Gun Rounds</t>
  </si>
  <si>
    <t>blabberf</t>
  </si>
  <si>
    <t>Gunmetal Arcadia Zero</t>
  </si>
  <si>
    <t>Dumpy &amp; Bumpy</t>
  </si>
  <si>
    <t>Retroware</t>
  </si>
  <si>
    <t>Programancer</t>
  </si>
  <si>
    <t>Summer Gems</t>
  </si>
  <si>
    <t>3ofcupsgames</t>
  </si>
  <si>
    <t>Baldi's Basics Plus</t>
  </si>
  <si>
    <t>Basically Games</t>
  </si>
  <si>
    <t>Baldi's Basics</t>
  </si>
  <si>
    <t>Dépanneur Nocturne</t>
  </si>
  <si>
    <t>Lenna's Inception</t>
  </si>
  <si>
    <t>Bytten Studio</t>
  </si>
  <si>
    <t>Fortune-499</t>
  </si>
  <si>
    <t>AP Thomson</t>
  </si>
  <si>
    <t>Sector 781</t>
  </si>
  <si>
    <t>Ben James</t>
  </si>
  <si>
    <t>Ganbare! Super Strikers</t>
  </si>
  <si>
    <t>rese</t>
  </si>
  <si>
    <t>Penance</t>
  </si>
  <si>
    <t>Skale Games</t>
  </si>
  <si>
    <t>Xenogunner</t>
  </si>
  <si>
    <t>Clickteam</t>
  </si>
  <si>
    <t>Happy Frog Games</t>
  </si>
  <si>
    <t>Dullahan Software</t>
  </si>
  <si>
    <t>A Hole New World</t>
  </si>
  <si>
    <t>MadGearGames</t>
  </si>
  <si>
    <t>forma.8</t>
  </si>
  <si>
    <t>MixedBag Srl</t>
  </si>
  <si>
    <t>NO THING</t>
  </si>
  <si>
    <t>Evil Indie Games</t>
  </si>
  <si>
    <t>The Fall of Lazarus</t>
  </si>
  <si>
    <t>No Wand Studios</t>
  </si>
  <si>
    <t>Batbarian: Testament of the Primordials</t>
  </si>
  <si>
    <t>Unspeakable Pixels</t>
  </si>
  <si>
    <t>Button City</t>
  </si>
  <si>
    <t>Subliminal</t>
  </si>
  <si>
    <t>Taimumari: Complete Edition</t>
  </si>
  <si>
    <t>TERNOX</t>
  </si>
  <si>
    <t>Taimumari</t>
  </si>
  <si>
    <t>Pig Eat Ball</t>
  </si>
  <si>
    <t>Regina &amp; Mac</t>
  </si>
  <si>
    <t>Diplodocus Games</t>
  </si>
  <si>
    <t>Lieve Oma</t>
  </si>
  <si>
    <t>Florian Veltman</t>
  </si>
  <si>
    <t>Dap</t>
  </si>
  <si>
    <t>Melting Parrot</t>
  </si>
  <si>
    <t>Catlateral Damage</t>
  </si>
  <si>
    <t>Babysitter Bloodbath</t>
  </si>
  <si>
    <t>Micro Mages</t>
  </si>
  <si>
    <t>Morphcat Games</t>
  </si>
  <si>
    <t>Task Force Kampas</t>
  </si>
  <si>
    <t>casiopea</t>
  </si>
  <si>
    <t>Super Rad Raygun</t>
  </si>
  <si>
    <t>Tiny Dangerous Dungeons</t>
  </si>
  <si>
    <t>Adventure Islands</t>
  </si>
  <si>
    <t>Brave Hero Yuusha EX</t>
  </si>
  <si>
    <t>Torch60</t>
  </si>
  <si>
    <t>Zone of Lacryma</t>
  </si>
  <si>
    <t>oophok</t>
  </si>
  <si>
    <t>Fateful Lore</t>
  </si>
  <si>
    <t>Stonehollow Workshop</t>
  </si>
  <si>
    <t>Aidinia</t>
  </si>
  <si>
    <t>Duck in Town: A Rising Knight</t>
  </si>
  <si>
    <t>Papaya Games</t>
  </si>
  <si>
    <t>Crystal Story: Awakening</t>
  </si>
  <si>
    <t>Bred Frown</t>
  </si>
  <si>
    <t>Crystal Story</t>
  </si>
  <si>
    <t>baku</t>
  </si>
  <si>
    <t>Satan Loves Cake</t>
  </si>
  <si>
    <t>Celeste Classic</t>
  </si>
  <si>
    <t>Maddy Makes Games</t>
  </si>
  <si>
    <t>LaserCat</t>
  </si>
  <si>
    <t>Daniel McFarline</t>
  </si>
  <si>
    <t>Hot Pot Panic</t>
  </si>
  <si>
    <t>keanerie</t>
  </si>
  <si>
    <t>A Wish Upon A Star</t>
  </si>
  <si>
    <t>Fabian Denter</t>
  </si>
  <si>
    <t>Cuckoo Castle</t>
  </si>
  <si>
    <t>Richard Lems</t>
  </si>
  <si>
    <t>Ghost 1.0</t>
  </si>
  <si>
    <t>Mini Ghost</t>
  </si>
  <si>
    <t>franfistro</t>
  </si>
  <si>
    <t>Dusk Child</t>
  </si>
  <si>
    <t>Gabrielle's Ghostly Groove 3D</t>
  </si>
  <si>
    <t>Santa Entertainment</t>
  </si>
  <si>
    <t>Gabrielle's Ghostly Groove</t>
  </si>
  <si>
    <t>Oyaji Hunter Mahjong</t>
  </si>
  <si>
    <t>Illumination</t>
  </si>
  <si>
    <t>Cadin Batrack</t>
  </si>
  <si>
    <t>Nebs 'n Debs</t>
  </si>
  <si>
    <t>Icarus Proudbottom &amp; The Curse of the Chocolate Fountain</t>
  </si>
  <si>
    <t>Ynglet</t>
  </si>
  <si>
    <t>Triple Topping</t>
  </si>
  <si>
    <t>Given that my partner is a woman of color, I'm always interested in exploring media that can offer depth into the daily experiences she faces. I found this game to be insightful into some of the daily intricacies, but it's all fairly surface level. I did definitely have to give more thought into interactions than I do in my actual day-to-day. Having to fend off unwanted compliments from the boss and men on the road is something that I hate that women have to actually experience, but otherwise my playthrough was actually fairly wholesome. Also, the game sports a 2000s Flash game aesthetic which unfortunately takes me out of the experience a bit, but overall it's still worth playing.</t>
  </si>
  <si>
    <t>Mysteries Under Lake Ophelia</t>
  </si>
  <si>
    <t>Windosill</t>
  </si>
  <si>
    <t>Vectorpark</t>
  </si>
  <si>
    <t>Clash Force</t>
  </si>
  <si>
    <t>Shiny Dolphin Games</t>
  </si>
  <si>
    <t>Spicy Gyro Games</t>
  </si>
  <si>
    <t>DERE EVIL .EXE</t>
  </si>
  <si>
    <t>AppSir Games</t>
  </si>
  <si>
    <t>Darius Immanuel D. Guerrero</t>
  </si>
  <si>
    <t>HellStar Squadron</t>
  </si>
  <si>
    <t>CosmicCrystal Games</t>
  </si>
  <si>
    <t>inbento</t>
  </si>
  <si>
    <t>Afterburn</t>
  </si>
  <si>
    <t>KIDS</t>
  </si>
  <si>
    <t>Playables</t>
  </si>
  <si>
    <t>Mario von Rickenbach, Micahel Frei</t>
  </si>
  <si>
    <t>Landlord of the Woods</t>
  </si>
  <si>
    <t>Madison Karrh</t>
  </si>
  <si>
    <t>Magic Trick</t>
  </si>
  <si>
    <t>L8r Sk8rs Studios</t>
  </si>
  <si>
    <t>Kitsune Games</t>
  </si>
  <si>
    <t>Plunge</t>
  </si>
  <si>
    <t>Spooky Buns</t>
  </si>
  <si>
    <t>Polyroll</t>
  </si>
  <si>
    <t>HOF Studios</t>
  </si>
  <si>
    <t>Secret Little Haven</t>
  </si>
  <si>
    <t>Hummingwrap Interactive</t>
  </si>
  <si>
    <t>SJ-19 Learns to Love!</t>
  </si>
  <si>
    <t>Zertuk</t>
  </si>
  <si>
    <t>Summoner's Mess</t>
  </si>
  <si>
    <t>Elendow</t>
  </si>
  <si>
    <t>TowerFall: Dark World</t>
  </si>
  <si>
    <t>Extremely OK Games</t>
  </si>
  <si>
    <t>TowerFall</t>
  </si>
  <si>
    <t>Jet Buster</t>
  </si>
  <si>
    <t>Zeno Archives</t>
  </si>
  <si>
    <t>Zenohell</t>
  </si>
  <si>
    <t>Snake Blocks</t>
  </si>
  <si>
    <t>Spooky Cat</t>
  </si>
  <si>
    <t>Gunmetal Arcadia</t>
  </si>
  <si>
    <t>Water's Fine</t>
  </si>
  <si>
    <t>owch</t>
  </si>
  <si>
    <t>Luminous</t>
  </si>
  <si>
    <t>Kieran Sheldon</t>
  </si>
  <si>
    <t>WitchWay</t>
  </si>
  <si>
    <t>Andrew Gleeson</t>
  </si>
  <si>
    <t>TEOCALLI</t>
  </si>
  <si>
    <t>coldrice</t>
  </si>
  <si>
    <t>Self.destroy()</t>
  </si>
  <si>
    <t>Maxine Red</t>
  </si>
  <si>
    <t>LWMedia</t>
  </si>
  <si>
    <t>Bloodborne PSX</t>
  </si>
  <si>
    <t>Castle Fantasia: Seima Taisen Renewal</t>
  </si>
  <si>
    <t>Studio e-go</t>
  </si>
  <si>
    <t>Castle Fantasia</t>
  </si>
  <si>
    <t>Daisenryaku II: Campaign Version</t>
  </si>
  <si>
    <t>SD Gundam: Dimension War</t>
  </si>
  <si>
    <t>Locomotive</t>
  </si>
  <si>
    <t>Hisou Kihei X-SERD</t>
  </si>
  <si>
    <t>SD Gundam World: Gachapon Senshi - Scramble Wars</t>
  </si>
  <si>
    <t>SD Gundam World: Gachapon Senshi 2 - Capsule Senki</t>
  </si>
  <si>
    <t>Bandai Shinsei</t>
  </si>
  <si>
    <t>SD Gundam World: Gachapon Senshi 4 - New Type Story</t>
  </si>
  <si>
    <t>SD Gundam World: Gachapon Senshi 3 - Eiyuu Senki</t>
  </si>
  <si>
    <t>SD Gundam: Winner's History</t>
  </si>
  <si>
    <t>Godzilla: Kaijuu no Daishingeki</t>
  </si>
  <si>
    <t>Tuned Heart</t>
  </si>
  <si>
    <t>CRW: Metal Jacket</t>
  </si>
  <si>
    <t>WiZ</t>
  </si>
  <si>
    <t>Team Kikai</t>
  </si>
  <si>
    <t>Lord Monarch</t>
  </si>
  <si>
    <t>Gadget Trial</t>
  </si>
  <si>
    <t>Kumasan Team</t>
  </si>
  <si>
    <t>Super Punch Patrol</t>
  </si>
  <si>
    <t>Mechstermination Force</t>
  </si>
  <si>
    <t>It's a shame that such a lovingly crafted Hogwarts is in such a middle of the road modern open world video game. There's a lot about this game that is disappointing. The story itself falls fairly flat, mostly in its delivery. Having a fully custom protagonist makes it challenging to give the player character any real personality, resulting in mostly bland interactions with all of the main characters, who don't bring enough personality themselves to make these conversations all that engaging. The side content is also mediocre, with only the Sebastian Sallow storyline standing out. The open world is lifeless, and it's unfortunate how much of the game's missions take place in boring, repetitive dungeons. The combat that fills these dungeons consisted of me standing in place, casting spells, and pressing triangle or circle depending on whether a parry or block indicator showed up above my character's head--it never evolves past this. Changing spells is cumbersome, making the already boring combat even more tedious if it requires swapping them out more than a couple of times. The rewards for this combat is generic modern RPG loot, of which you're frequently required to annoyingly fiddle with due to a small inventory and another modern game design mainstay--overly pretty menu animations that take forever to swap between different pages. This is a game that is beautifully crafted with amazing attention to detail in its construction, but wholly lacking beyond that surface level.</t>
  </si>
  <si>
    <t>Alpaca Stacka</t>
  </si>
  <si>
    <t>Spookulele Games</t>
  </si>
  <si>
    <t>Sebastian Baracaldo, Michelle Ma</t>
  </si>
  <si>
    <t>I was recently perusing the games that were a part of a number of massive itch.io charity bundles I've purchased and this game caught my eye. From looks alone, it appeared to be something at least somewhat similar to A Short Hike, which was an absolute gem of a game. Unfortunately, Summer Gems isn't much in comparison. The controls are awkward, with just WASD movement and no camera controls and the game isn't much more than clicking on seashells and then choosing emotions to read some canned dialogue. Didn't do much for me, I'll have to continue searching for A Short Hike-likes.</t>
  </si>
  <si>
    <t>Dungeon of Windaria</t>
  </si>
  <si>
    <t>L: The Prologue to Death Note - Rasen no Wana</t>
  </si>
  <si>
    <t>Vampire Survivors: Tides of the Foscari</t>
  </si>
  <si>
    <t>Marvel's Avengers as a live service game is a comically bad failure, but its single player campaign was honestly better than I expected. It's still soured by pointless gear numbers and some live service-y aspects that make the experience less focused, but the core gameplay loop of punching baddies is pretty decent. The story could have been in an MCU film--it's nothing groundbreaking, but it's an entertaining comic book story. Where the game falls flat is with its overwhelming number of skills trees, currencies, systems, stats, and items. Having a smaller, more focused single player campaign helped, but these were still distractions from the core experience.</t>
  </si>
  <si>
    <t>Child of Eden</t>
  </si>
  <si>
    <t>To Heart</t>
  </si>
  <si>
    <t>This is a pretty middle of the road nonogram game. The puzzles are never particularly challenging, so no need for more advanced techniques. The auto-correction and scoring system can be irritating given how easy it is to fat finger a square unintentionally. Losing out on a perfect rating for a puzzle is frustrating when a touch isn't registered where you expect. The game also lacks some of the conveniences of other modern nonogram games, such as greyed numbers when they've been solved for a row or column. The majority of the puzzles also aren't even actually themed around Hatsune Miku, it's not until the special puzzles that they're themed, and these puzzles are poorly designed, not even matching the shapes of the characters they're supposed to be. This one was definitely a disappointment, especially coming off of Konami's excellent Pixel Puzzle Collection.</t>
  </si>
  <si>
    <t>Doctor Who: The Runaway</t>
  </si>
  <si>
    <t>BBC Media Application Technologies Ltd</t>
  </si>
  <si>
    <t>Doctor Who: The Eternity Clock</t>
  </si>
  <si>
    <t>BBC Worldwide</t>
  </si>
  <si>
    <t>Operation Shadow</t>
  </si>
  <si>
    <t>Requiem of Hell</t>
  </si>
  <si>
    <t>Digital Red</t>
  </si>
  <si>
    <t>Rifts: Promise of Power</t>
  </si>
  <si>
    <t>Rifts</t>
  </si>
  <si>
    <t>Pathway to Glory</t>
  </si>
  <si>
    <t>Ubisoft RedLynx</t>
  </si>
  <si>
    <t>Pathway to Glory: Ikusa Islands</t>
  </si>
  <si>
    <t>Metal Gear Solid Mobile</t>
  </si>
  <si>
    <t>N-Gage 2.0</t>
  </si>
  <si>
    <t>Resident Evil: Degeneration</t>
  </si>
  <si>
    <t>System Rush: Evolution</t>
  </si>
  <si>
    <t>Real Sound: Kaze no Regret</t>
  </si>
  <si>
    <t>Trip'd</t>
  </si>
  <si>
    <t>Parallel World</t>
  </si>
  <si>
    <t>Panic Restaurant</t>
  </si>
  <si>
    <t>You, Me, and the Cubes</t>
  </si>
  <si>
    <t>fyto</t>
  </si>
  <si>
    <t>Touhou Rei'iden: The Highly Responsive to Prayers</t>
  </si>
  <si>
    <t>Amusement Makers</t>
  </si>
  <si>
    <t>ZUN</t>
  </si>
  <si>
    <t>Marble Cooking</t>
  </si>
  <si>
    <t>Negative</t>
  </si>
  <si>
    <t>Yugekitai Kakuto Hen: Saikyoushin Fukkatsu no Maki</t>
  </si>
  <si>
    <t>Yugekitai: Saikyou Fakkutasu no Maki</t>
  </si>
  <si>
    <t>TKO Soft</t>
  </si>
  <si>
    <t>Yugekitai</t>
  </si>
  <si>
    <t>Touhou Fumaroku: The Story of Eastern Wonderland</t>
  </si>
  <si>
    <t>Touhou Yumejikuu: The Phantasmagoria of Dim. Dream…</t>
  </si>
  <si>
    <t>Touhou Gensokyo: Lotus Land Story</t>
  </si>
  <si>
    <t>Touhou Kaikidan: Mystic Square</t>
  </si>
  <si>
    <t>The Screamer</t>
  </si>
  <si>
    <t>Magical Zoo</t>
  </si>
  <si>
    <t>Melpool Land</t>
  </si>
  <si>
    <t>The Super Dimension Fortress Macross: Skull Leader Complete Pack</t>
  </si>
  <si>
    <t>Star Cruiser II: The Odysseus Project</t>
  </si>
  <si>
    <t>Shikhondo: Soul Eater</t>
  </si>
  <si>
    <t>DeerFarm</t>
  </si>
  <si>
    <t>Shikhondo</t>
  </si>
  <si>
    <t>Sense: A Cyberpunk Ghost Story</t>
  </si>
  <si>
    <t>Suzaku</t>
  </si>
  <si>
    <t>Katana Kami: A Way of the Samurai Story</t>
  </si>
  <si>
    <t>Disc only</t>
  </si>
  <si>
    <t>Golf Story</t>
  </si>
  <si>
    <t>Sidebar Games</t>
  </si>
  <si>
    <t>Mario &amp; Sonic at the Olympic Games</t>
  </si>
  <si>
    <t>Sega Sports R&amp;D</t>
  </si>
  <si>
    <t>Mario &amp; Sonic</t>
  </si>
  <si>
    <t>Mario &amp; Sonic at the London 2012 Olympic Games</t>
  </si>
  <si>
    <t>Mario &amp; Sonic at the Rio 2016 Olympic Games</t>
  </si>
  <si>
    <t>Mario &amp; Sonic at the Olympic Winter Games</t>
  </si>
  <si>
    <t>Mario &amp; Sonic at the Sochi 2014 Olympic Winter Games</t>
  </si>
  <si>
    <t>Mobile Golf</t>
  </si>
  <si>
    <t>We Love Golf!</t>
  </si>
  <si>
    <t>NES Open Tournament Golf</t>
  </si>
  <si>
    <t>F-1 Race</t>
  </si>
  <si>
    <t>Famicom Grand Prix: F1 Race</t>
  </si>
  <si>
    <t>Famicom Grand Prix II: 3D Hot Rally</t>
  </si>
  <si>
    <t>Blue Angelo: Angels from the Shrine</t>
  </si>
  <si>
    <t>GamePark 32</t>
  </si>
  <si>
    <t>Shibuya Interactive</t>
  </si>
  <si>
    <t>Virtual Spaghetti</t>
  </si>
  <si>
    <t>Mill</t>
  </si>
  <si>
    <t>Gamepark</t>
  </si>
  <si>
    <t>Article Seezak</t>
  </si>
  <si>
    <t>Kimchi-Man</t>
  </si>
  <si>
    <t>Spearhead</t>
  </si>
  <si>
    <t>Shadow Ops: Red Mercury</t>
  </si>
  <si>
    <t>Metacritic Rating</t>
  </si>
  <si>
    <t>Eco Shooter: Plant 530</t>
  </si>
  <si>
    <t>GameFAQs User Rating</t>
  </si>
  <si>
    <t>Wreckateer</t>
  </si>
  <si>
    <t>Minute of Islands</t>
  </si>
  <si>
    <t>Picross S8</t>
  </si>
  <si>
    <t>Picross X: Picbits vs. Uzboross</t>
  </si>
  <si>
    <t>Time Gal</t>
  </si>
  <si>
    <t>Revenge of the Ninja</t>
  </si>
  <si>
    <t>Space Ace II: Borf's Revenge</t>
  </si>
  <si>
    <t>Space Ace</t>
  </si>
  <si>
    <t>Wizards &amp; Warriors III: Kuros: Visions of Power</t>
  </si>
  <si>
    <t>Tork: Prehistoric Punk</t>
  </si>
  <si>
    <t>Tiwak</t>
  </si>
  <si>
    <t>Zeebo</t>
  </si>
  <si>
    <t>BR</t>
  </si>
  <si>
    <t>Satoshi Yoshida</t>
  </si>
  <si>
    <t>Eye of the Beholder III: Assault on Myth Drannor</t>
  </si>
  <si>
    <t>The Chaos Engine 2</t>
  </si>
  <si>
    <t>Silva Saga</t>
  </si>
  <si>
    <t>Pictooi</t>
  </si>
  <si>
    <t>Aliens: Extermination</t>
  </si>
  <si>
    <t>Global VR</t>
  </si>
  <si>
    <t>Play Mechanix</t>
  </si>
  <si>
    <t>The House of the Dead: Scarlet Dawn</t>
  </si>
  <si>
    <t>Ghost Squad: Evolution</t>
  </si>
  <si>
    <t>Initial D</t>
  </si>
  <si>
    <t>Kodansha</t>
  </si>
  <si>
    <t>Initial D: Street Stage</t>
  </si>
  <si>
    <t>Initial D: Extreme Stage</t>
  </si>
  <si>
    <t>Initial D: Special Stage</t>
  </si>
  <si>
    <t>Sega Rosso</t>
  </si>
  <si>
    <t>Initial D: Koudou Saisoku Densetsu</t>
  </si>
  <si>
    <t>Initial D: Another Stage</t>
  </si>
  <si>
    <t>Initial D Gaiden</t>
  </si>
  <si>
    <t>MTO</t>
  </si>
  <si>
    <t>Luigi's Mansion Arcade</t>
  </si>
  <si>
    <t>Operation G.H.O.S.T.</t>
  </si>
  <si>
    <t>Lupin the 3rd: The Shooting</t>
  </si>
  <si>
    <t>Rambo</t>
  </si>
  <si>
    <t>Sega Golden Gun</t>
  </si>
  <si>
    <t>Shining Force Cross Exlesia</t>
  </si>
  <si>
    <t>Ecco: The Tides of Time</t>
  </si>
  <si>
    <t>Global Champion</t>
  </si>
  <si>
    <t>Takahashi Meijin no Bōken Jima IV</t>
  </si>
  <si>
    <t>Mad Stalker: Full Metal Force</t>
  </si>
  <si>
    <t>FEDA 2: White Surge the Platoon</t>
  </si>
  <si>
    <t>Tempo Jr.</t>
  </si>
  <si>
    <t>Super Tempo</t>
  </si>
  <si>
    <t>MediaQuest</t>
  </si>
  <si>
    <t>Crime Crackers 2</t>
  </si>
  <si>
    <t>Charm Studies</t>
  </si>
  <si>
    <t>NomnomNami</t>
  </si>
  <si>
    <t>Picture Cross Towns</t>
  </si>
  <si>
    <t>imwolfgang</t>
  </si>
  <si>
    <t>Picture Cross Towns is a creative application of nonogram puzzles, but it's definitely a flawed prototype. I enjoyed how the puzzles themselves weren't actually images, but instead turned into a flourishing town. I also enjoyed how the game presented nonogram puzzles in some non-standard shapes, which made me have to engage a little bit more deeply with the puzzles. The game is lacking music, is pretty feature bare, and has a couple of puzzles which evidently have multiple solutions (and the game only accepts one) if the itch.io comments are to be believed.</t>
  </si>
  <si>
    <t>Nono Pixie</t>
  </si>
  <si>
    <t>Space Moguls</t>
  </si>
  <si>
    <t>The Firemen 2: Pete &amp; Danny</t>
  </si>
  <si>
    <t>Kid Tripp</t>
  </si>
  <si>
    <t>Four Horses</t>
  </si>
  <si>
    <t>Shovel Knight: Pocket Dungeon</t>
  </si>
  <si>
    <t>Vine</t>
  </si>
  <si>
    <t>Eternal Champions</t>
  </si>
  <si>
    <t>Eternal Champions: Challenge from the Dark Side</t>
  </si>
  <si>
    <t>X-Perts</t>
  </si>
  <si>
    <t>Abalone</t>
  </si>
  <si>
    <t>Chicago Syndicate</t>
  </si>
  <si>
    <t>Tengai</t>
  </si>
  <si>
    <t>The Colonel's Bequest: A Laura Bow Mystery</t>
  </si>
  <si>
    <t>Laura Bow</t>
  </si>
  <si>
    <t>Roberta William's Laura Bow in the Dagger of Amon Ra</t>
  </si>
  <si>
    <t>Ojōsama Sōsamō</t>
  </si>
  <si>
    <t>Kokū Hyōryō Nirgends</t>
  </si>
  <si>
    <t>Discworld II: Mortality Bytes!</t>
  </si>
  <si>
    <t>Soul Blade</t>
  </si>
  <si>
    <t>Bushi Seiryūden: Futari no Yūsha</t>
  </si>
  <si>
    <t>Fever SOS</t>
  </si>
  <si>
    <t>DynamiTracer</t>
  </si>
  <si>
    <t>SquareSoft</t>
  </si>
  <si>
    <t>BS Tantei Club: Yuki ni Kieta Kako</t>
  </si>
  <si>
    <t>Albert Odyssey 2: Jashin no Taidou</t>
  </si>
  <si>
    <t>Otogirisō</t>
  </si>
  <si>
    <t>Kirigiri Sou</t>
  </si>
  <si>
    <t>Monster Party</t>
  </si>
  <si>
    <t>Gunblade NY &amp; L.A. Machineguns Arcade Hits Pack</t>
  </si>
  <si>
    <t>Gunblade NY</t>
  </si>
  <si>
    <t>Final Fantasy I-VI Collection</t>
  </si>
  <si>
    <t>Gaiabreaker</t>
  </si>
  <si>
    <t>Ubiquitous Entertainment</t>
  </si>
  <si>
    <t>Romance of the Three Kingdoms VI: Awakening of the Dragon</t>
  </si>
  <si>
    <t>Romance of the Three Kingdoms VII</t>
  </si>
  <si>
    <t>Romance of the Three Kingdoms VIII</t>
  </si>
  <si>
    <t>Romance of the Three Kingdoms IX</t>
  </si>
  <si>
    <t>Romance of the Three Kingdoms X</t>
  </si>
  <si>
    <t>Romance of the Three Kingdoms XI</t>
  </si>
  <si>
    <t>Bandit Kings of Ancient China</t>
  </si>
  <si>
    <t>Nobunaga's Ambition</t>
  </si>
  <si>
    <t>Nobunaga's Ambition II</t>
  </si>
  <si>
    <t>Lord of Darkness</t>
  </si>
  <si>
    <t>Nobunaga's Ambition: Rise to Power</t>
  </si>
  <si>
    <t>Nobunaga's Ambition: Iron Triangle</t>
  </si>
  <si>
    <t>Jesus</t>
  </si>
  <si>
    <t>Jesus: Kyōfu no Bio Monster</t>
  </si>
  <si>
    <t>King Records</t>
  </si>
  <si>
    <t>Jesus II</t>
  </si>
  <si>
    <t>Bokosuka Wars</t>
  </si>
  <si>
    <t>The Death Trap</t>
  </si>
  <si>
    <t>FM-7</t>
  </si>
  <si>
    <t>The Death Trap II: Will</t>
  </si>
  <si>
    <t>Ginga no Sannin</t>
  </si>
  <si>
    <t>Turrn-Based Strategy</t>
  </si>
  <si>
    <t>Hydlide</t>
  </si>
  <si>
    <t>Hydlide II: Shine of Darkness</t>
  </si>
  <si>
    <t>Super Hydlide</t>
  </si>
  <si>
    <t>Virtual Hydlide</t>
  </si>
  <si>
    <t>Atlus Software</t>
  </si>
  <si>
    <t>Dragonstomper</t>
  </si>
  <si>
    <t>Starpath</t>
  </si>
  <si>
    <t>Cosmic Chasm</t>
  </si>
  <si>
    <t>Vectrex</t>
  </si>
  <si>
    <t>Cinematronics</t>
  </si>
  <si>
    <t>Scramble</t>
  </si>
  <si>
    <t>Stern</t>
  </si>
  <si>
    <t>Super Mario Bros. Special</t>
  </si>
  <si>
    <t>A.M.C.: Astro Marine Corps</t>
  </si>
  <si>
    <t>Dinamic Software</t>
  </si>
  <si>
    <t>Creepsoft</t>
  </si>
  <si>
    <t>Project Firestart</t>
  </si>
  <si>
    <t>The Great Giana Sisters</t>
  </si>
  <si>
    <t>Time Warp Productions</t>
  </si>
  <si>
    <t>Hard 'n' Heavy</t>
  </si>
  <si>
    <t>Epoch Super Cassette Vision</t>
  </si>
  <si>
    <t>Dragon Ball: Dragon Daihikyou</t>
  </si>
  <si>
    <t>Hunter</t>
  </si>
  <si>
    <t>Hi no Tori</t>
  </si>
  <si>
    <t>Hi no Tori Hououhen</t>
  </si>
  <si>
    <t>Ai Senshi Nicol</t>
  </si>
  <si>
    <t>Assault City</t>
  </si>
  <si>
    <t>Sanritsu Denki</t>
  </si>
  <si>
    <t>The Apprentice</t>
  </si>
  <si>
    <t>Philips Media</t>
  </si>
  <si>
    <t>The Vision Factory</t>
  </si>
  <si>
    <t>Fatal Craft</t>
  </si>
  <si>
    <t>Watara SuperVision</t>
  </si>
  <si>
    <t>Watara</t>
  </si>
  <si>
    <t>Bon Treasure</t>
  </si>
  <si>
    <t>Flink</t>
  </si>
  <si>
    <t>The Adventures of Lomax</t>
  </si>
  <si>
    <t>Strahl</t>
  </si>
  <si>
    <t>Vajra</t>
  </si>
  <si>
    <t>Pioneer LaserActive</t>
  </si>
  <si>
    <t>Pioneer</t>
  </si>
  <si>
    <t>Vajra 2</t>
  </si>
  <si>
    <t>Dive Alert: Becky's Version</t>
  </si>
  <si>
    <t>Kikou Seiki Unitron</t>
  </si>
  <si>
    <t>F-Zero X: Expansion Kit</t>
  </si>
  <si>
    <t>Nintendo 64DD</t>
  </si>
  <si>
    <t>J.B. Harold</t>
  </si>
  <si>
    <t>J.B. Harold: Blue Chicago Blues</t>
  </si>
  <si>
    <t>Sonic Jam</t>
  </si>
  <si>
    <t>Game.com</t>
  </si>
  <si>
    <t>Tiger</t>
  </si>
  <si>
    <t>Yūyami Dōri Tankentai</t>
  </si>
  <si>
    <t>Octopath Traveler definitely felt as though it was on the precipice of greatness when I played it back in 2018, so to play this second game which achieves exactly that feels like the most delicious treat. I never felt bored with this game, it's truly a love letter to the SNES-era RPG with a whole handful of modern tweaks to make the game more accessible and less annoying. They also do a much better job at blending the travelers' stories and bringing it together with an overarching plot. Square Enix's HD-2D games have been some of the best things to happen to JRPGs in recent memory so I'm stoked to play whatever comes next in this style.</t>
  </si>
  <si>
    <t>Dark Arms: Beast Buster 1999</t>
  </si>
  <si>
    <t>Pictopix</t>
  </si>
  <si>
    <t>Tomlab Games</t>
  </si>
  <si>
    <t>Square Enix AI Tech Preview: The Portopia Serial Murder Case</t>
  </si>
  <si>
    <t>The Portopia Serial Murder Case</t>
  </si>
  <si>
    <t>Poibos Part 1: Dasshutsu</t>
  </si>
  <si>
    <t>Daimyo Microcomputer Academy</t>
  </si>
  <si>
    <t>ZAT-SOFT</t>
  </si>
  <si>
    <t>Terra Cresta</t>
  </si>
  <si>
    <t>Moon Cresta</t>
  </si>
  <si>
    <t>Gremlin Industries</t>
  </si>
  <si>
    <t>Nichibutsu</t>
  </si>
  <si>
    <t>Terra Cresta II</t>
  </si>
  <si>
    <t>Terra Cresta 3D</t>
  </si>
  <si>
    <t>Mario Kart Arcade GP</t>
  </si>
  <si>
    <t>Mario Kart Arcade GP 2</t>
  </si>
  <si>
    <t xml:space="preserve">Mario Kart Arcade GP DX </t>
  </si>
  <si>
    <t>The creativity on display here is next-level. It's amazing how well Media Molecule has implemented every single feature of the Vita into this game. That said, beyond these fun features, the game isn't terribly interesting. The platforming is quite simple and the combat is equally trivial. This is a game that wholly stands on its charm and set design, but beyond the spectacle doesn't carry much substance.</t>
  </si>
  <si>
    <t>Gungriffon II</t>
  </si>
  <si>
    <t>Gungriffon: Allied Strike</t>
  </si>
  <si>
    <t>Dead or Alive Xtreme Beach Volleyball</t>
  </si>
  <si>
    <t>Dead or Alive Xtreme 2</t>
  </si>
  <si>
    <t>Dead or Alive Paradise</t>
  </si>
  <si>
    <t>Project Venus</t>
  </si>
  <si>
    <t>vib-ribbon</t>
  </si>
  <si>
    <t>DNF Duel</t>
  </si>
  <si>
    <t>Nexon</t>
  </si>
  <si>
    <t>Dungeon Fighter</t>
  </si>
  <si>
    <t>Blackwater</t>
  </si>
  <si>
    <t>Dragon Ball Z: For Kinect</t>
  </si>
  <si>
    <t>Fable: The Journey</t>
  </si>
  <si>
    <t>The Gunstringer</t>
  </si>
  <si>
    <t>Haunt</t>
  </si>
  <si>
    <t>Rise of Nightmares</t>
  </si>
  <si>
    <t>Sonic Free Riders</t>
  </si>
  <si>
    <t>Steel Battalion: Heavy Armor</t>
  </si>
  <si>
    <t>Steel Battalion</t>
  </si>
  <si>
    <t>Steel Battalion: Line of Contact</t>
  </si>
  <si>
    <t>DIGITAL EXORCIST case_(0);</t>
  </si>
  <si>
    <t>Cool Beans Productions</t>
  </si>
  <si>
    <t>My biggest criticism of the previous DLC, Moonspell, was that it was lacking some of the more unique content and was essentially just new characters, a new map, and new items. Foscari does rectify that at least a little bit with some light progression and a unique boss with more interesting unlock conditions. Beyond this, Foscari is exactly as advertised--more Vampire Survivors, and there's not much wrong with that.</t>
  </si>
  <si>
    <t>R-Type Final 3: Evolved</t>
  </si>
  <si>
    <t>Gran Turismo Concept: 2002 Tokyo-Geneva</t>
  </si>
  <si>
    <t>Paranormasight: The Seven Mysteries of Honjo</t>
  </si>
  <si>
    <t>Collection of SaGa: Final Fantasy Legend</t>
  </si>
  <si>
    <t>John William Evelyn</t>
  </si>
  <si>
    <t>The Collage Atlas is beautiful but boring. I was literally falling asleep playing this game. Its animations are too long, the poems that you're collecting were too abstract for my tastes, and the gameplay variety sections feel shoehorned and awkward (golfing? platforming?). This may be art to some people, but to me it was a sleep aid.</t>
  </si>
  <si>
    <t>Rent-A-Hero No. 1</t>
  </si>
  <si>
    <t>Innocent Tears</t>
  </si>
  <si>
    <t>Hiromi</t>
  </si>
  <si>
    <t>Kobi</t>
  </si>
  <si>
    <t>Alter Echo</t>
  </si>
  <si>
    <t>Outrage Games</t>
  </si>
  <si>
    <t>American McGee Presents: Scrapland</t>
  </si>
  <si>
    <t>Enlight Software</t>
  </si>
  <si>
    <t>American McGee Presents: Bad Day L.A.</t>
  </si>
  <si>
    <t>The Mauretania Import Export Company</t>
  </si>
  <si>
    <t>This is a cute one. The environments are pleasant to explore with some neat little puzzles to solve. The camera can be a bit of a struggle and I do think that it could've used some slightly faster movement, but it's still an enjoyable game. It's all over remarkably fast, but Spyder is fun while it lasts!</t>
  </si>
  <si>
    <t>Zuma Deluxe</t>
  </si>
  <si>
    <t>The Get Out Kids</t>
  </si>
  <si>
    <t>Frosty Pop Games</t>
  </si>
  <si>
    <t>I initially found The Get Out Kids to be a charming experience, evoking a more conservative Stephen King, but by the end of the hour and a half or so adventure I was disappointed. The characters are likeable and the game is pleasant to look at, but the story itself ends abruptly and unsatisfactorily. The interactivity is also fairly limited, which can be fine but needs to be backed with stronger writing.</t>
  </si>
  <si>
    <t>Shovel Knight Dig seems like a case of mistaken identity. All of the things that make Shovel Knight great don't lend well to a roguelite and all of the things that modern indie roguelites have done well haven't seemed to make their way into this game. Shovel Knight worked because its difficulty was complemented by hand-crafted level design, with all of a screen's hazards visible at all times. Dig's procedural generation can result in frustrating enemy and trap placement that often feels unfair rather than fun. Getting hit by an offscreen obstacle or having a gem or cog destroyed right as the screen transitions is never a pleasant experience. The roguelite elements also become grating--the items seem to do mostly nothing useful, and hardly complement one another, making runs blend together instead of each being distinct. Having a large number of items that are either actively harmful or useless pollutes the already dismal loot pool, making only health upgrades useful to me personally. On top of all this, I just spectacularly sucked at this game--I don't think I'm terrible at roguelites, I've breezed through a decent number of them, but I actually had to turn on some of the accessibility options to make this one winnable for me.</t>
  </si>
  <si>
    <t>The Callisto Protocol</t>
  </si>
  <si>
    <t>Striking Distance Studios</t>
  </si>
  <si>
    <t>Metal Gear Solid: The Twin Snakes</t>
  </si>
  <si>
    <t>Palette</t>
  </si>
  <si>
    <t>Nishida Yoshitaka</t>
  </si>
  <si>
    <t>Space Funeral</t>
  </si>
  <si>
    <t>thecatamites</t>
  </si>
  <si>
    <t>One Night: Full Circle</t>
  </si>
  <si>
    <t>One Night</t>
  </si>
  <si>
    <t>Dark Gaia Studios</t>
  </si>
  <si>
    <t>One Night 2: The Beyond</t>
  </si>
  <si>
    <t>Rengoku: The Tower of Purgatory</t>
  </si>
  <si>
    <t>GRIME</t>
  </si>
  <si>
    <t>Clover Bite</t>
  </si>
  <si>
    <t>Mojib-Ribbon</t>
  </si>
  <si>
    <t>Motive Studio</t>
  </si>
  <si>
    <t>It's been over 10 years since I played the original Dead Space, so my memory of its intricacies is certainly hazy, but the fact that this remake is able to exceed my remembrance of that original experience is telling. Everything done here is lovingly reflective of the original game and the parts that are different are welcome additions. Having Isaac speak is done thoughtfully, without overwhelming the player with dialogue, and the side missions are interesting exposition into the series' awesome lore. This remake does still have a couple issues that the original game did as well, such as unoriginal boss fights and some disorienting zero gravity combat, but nothing there takes away from this otherwise excellent experience.</t>
  </si>
  <si>
    <t>Steambot Chronicles: Battle Tournament</t>
  </si>
  <si>
    <t>Gibbon: Beyond the Trees</t>
  </si>
  <si>
    <t>It's not common that a game communicates a genuinely important message, especially one so conservation focused. Games are more often about disconnecting from reality than reminding us of our failures as a species. Gibbon does a great job at illustrating the struggle that gibbons have undergone as a species thanks to human development and it does so wordlessly. Cutscenes demonstrate what happens to our pink gibbon and their partner, but the real illustration is in the gameplay--it becomes harder and harder to string along moves when you're traversing buildings instead of trees. To use gameplay to demonstrate habitat destruction was something wholly unique. It's just unfortunate that this free-flowing swinging and sliding relies heavily on player skill, so I found myself often falling to the ground or slowing significantly with missed leaps. This made the gameplay more unsatisfying for me personally, so I concede that this game may be more interesting to someone a bit more talented. The last thing I'll mention on Gibbon is that it is totally gorgeous, but should also not be played on a phone. A bigger screen is almost a necessity to help appreciate the large landscapes.</t>
  </si>
  <si>
    <t>Valiant Hearts</t>
  </si>
  <si>
    <t>Teacup</t>
  </si>
  <si>
    <t>Smarto Club</t>
  </si>
  <si>
    <t>Wytchwood</t>
  </si>
  <si>
    <t>Princess Farmer</t>
  </si>
  <si>
    <t>Samobee Games</t>
  </si>
  <si>
    <t>RE:CALL</t>
  </si>
  <si>
    <t>maitan69</t>
  </si>
  <si>
    <t>The Forest Cathedral</t>
  </si>
  <si>
    <t>Brian Wilson</t>
  </si>
  <si>
    <t>APICO</t>
  </si>
  <si>
    <t>Wht</t>
  </si>
  <si>
    <t>ellraiser, Tngineers</t>
  </si>
  <si>
    <t>Boku no Natsuyasumi Portable: Mushimushi Hakase to Teppenyama no Himitsu!!</t>
  </si>
  <si>
    <t>Rengoku II: The Stairway to H.E.A.V.E.N.</t>
  </si>
  <si>
    <t>The King of Fighters 2006</t>
  </si>
  <si>
    <t>Lucky Luna</t>
  </si>
  <si>
    <t>Netflix</t>
  </si>
  <si>
    <t>Snowman</t>
  </si>
  <si>
    <t>Netflix Games</t>
  </si>
  <si>
    <t>Future Tactics: The Uprising</t>
  </si>
  <si>
    <t>Zed Two</t>
  </si>
  <si>
    <t>BlowOut</t>
  </si>
  <si>
    <t>Kabuki Warriors</t>
  </si>
  <si>
    <t>Phantom Crash</t>
  </si>
  <si>
    <t>Phantagram</t>
  </si>
  <si>
    <t>Blood Wake</t>
  </si>
  <si>
    <t>Bruce Lee: Quest of the Dragon</t>
  </si>
  <si>
    <t>Ronin Entertainment</t>
  </si>
  <si>
    <t>Bruce Lee</t>
  </si>
  <si>
    <t>Classified: The Sentinel Crisis</t>
  </si>
  <si>
    <t>Global Star Software</t>
  </si>
  <si>
    <t>Galleon</t>
  </si>
  <si>
    <t>Confounding Factor</t>
  </si>
  <si>
    <t>Maximum Chase</t>
  </si>
  <si>
    <t>Raze's Hell</t>
  </si>
  <si>
    <t>Artech Digital Entertainment</t>
  </si>
  <si>
    <t>SeaBlade</t>
  </si>
  <si>
    <t>Vision Scape Interactive</t>
  </si>
  <si>
    <t>Stake: Fortune Fighters</t>
  </si>
  <si>
    <t>Gameness Art</t>
  </si>
  <si>
    <t>SpikeOut</t>
  </si>
  <si>
    <t>Gazelle</t>
  </si>
  <si>
    <t>SpikeOut: Battle Street</t>
  </si>
  <si>
    <t>SlashOut</t>
  </si>
  <si>
    <t>Toxic Grind</t>
  </si>
  <si>
    <t>Blue Shift</t>
  </si>
  <si>
    <t>Lucky Luna comes the closest I've ever seen to having a satisfying mobile control scheme for a precision platformer, but the game is so half-baked that it feels unfulfilled. Having swipes control both speed and distance of your horizontal positioning is fairly novel, and seems challenging to recreate using another control input than touch. This allows the game to have obstacles where you're required to swipe at specific speeds to control both position and velocity. However, the game is only something like 8 short levels so it felt like the game ended before it got to fully realize this design. I also had two specific complaints about the gameplay itself--the level design often requires leaps of faith given the viewport is so zoomed in on the character and there was one particular side area where the controls felt frustrating due to adding the dimension of needing to tap to gain upwards momentum. This clashed with the need to swipe, because swipes would activate the tapping. It's a cute game, but in its current form it feels unrealized and unfinished.</t>
  </si>
  <si>
    <t>Hazelnut Hex</t>
  </si>
  <si>
    <t>Chunderfins</t>
  </si>
  <si>
    <t>Star Wars: Jedi Survivor</t>
  </si>
  <si>
    <t>Omori is a difficult game to describe without spoiling what makes the experience so special. I was initially a little underwhelmed with Omori, not realizing until I'd started the game that it was an RPG Maker game, but I was quickly swept into its unrelentingly charming world. All of the characters, no matter how big or small, ooze personality and the ovearching story that drives Omori is stunningly well-written. The actual battle system is a little simplistic, but lends itself well to a game of this style where the focus is more on the world, characters, and story. I'd come into this with fairly high expectations after all the buzz I'd heard, and Omori certainly lived up to those expectations and then some.</t>
  </si>
  <si>
    <t>Gun Buster</t>
  </si>
  <si>
    <t>Haven: Call of the King</t>
  </si>
  <si>
    <t>Heavy Metal Thunder</t>
  </si>
  <si>
    <t>Hidden Invasion</t>
  </si>
  <si>
    <t>Conspiracy Games</t>
  </si>
  <si>
    <t>Demon Chaos</t>
  </si>
  <si>
    <t>InuYasha: The Secret of the Cursed Mask</t>
  </si>
  <si>
    <t>The Legend of Alon D'ar</t>
  </si>
  <si>
    <t>Legion: The Legend of Excalibur</t>
  </si>
  <si>
    <t>7 Studios</t>
  </si>
  <si>
    <t>Lifeline</t>
  </si>
  <si>
    <t>Lupin the 3rd: Treasure of the Sorcerer King</t>
  </si>
  <si>
    <t>McFarlane's Evil Prophecy</t>
  </si>
  <si>
    <t>Neopets: The Darkest Faerie</t>
  </si>
  <si>
    <t>Idol Minds</t>
  </si>
  <si>
    <t>Neopets</t>
  </si>
  <si>
    <t>Robot Warlords</t>
  </si>
  <si>
    <t>RTX Red Rock</t>
  </si>
  <si>
    <t>Sacred Blaze</t>
  </si>
  <si>
    <t>Saru! Get You! Million Monkeys</t>
  </si>
  <si>
    <t>Smarties: Meltdown</t>
  </si>
  <si>
    <t>EM Studios</t>
  </si>
  <si>
    <t>Ape Escape: Pumped &amp; Primed</t>
  </si>
  <si>
    <t>Amplitude</t>
  </si>
  <si>
    <t>Harmonix</t>
  </si>
  <si>
    <t>Bomberman Hardball</t>
  </si>
  <si>
    <t>Brave: A Warrior's Tale</t>
  </si>
  <si>
    <t>Collision Studios</t>
  </si>
  <si>
    <t>Dark Angel: Vampire Apocalypse</t>
  </si>
  <si>
    <t>Spectral Gene</t>
  </si>
  <si>
    <t>State of Emergency</t>
  </si>
  <si>
    <t>State of Emergency 2</t>
  </si>
  <si>
    <t>DC Studios</t>
  </si>
  <si>
    <t>X-Squad</t>
  </si>
  <si>
    <t>Electronic Arts Square</t>
  </si>
  <si>
    <t>Yoshitsune Eiyūden: The Story of Hero Yoshitsune</t>
  </si>
  <si>
    <t>Firefighter F.D.18</t>
  </si>
  <si>
    <t>Frequency</t>
  </si>
  <si>
    <t>Ghosthunter</t>
  </si>
  <si>
    <t>Global Defense Force Tactics</t>
  </si>
  <si>
    <t>thinkArts</t>
  </si>
  <si>
    <t>GoDai: Elemental Force</t>
  </si>
  <si>
    <t>Gunfighter II: Revenge of Jesse James</t>
  </si>
  <si>
    <t>Gunfighter</t>
  </si>
  <si>
    <t>Gunfighter: The Legend of Jesse James</t>
  </si>
  <si>
    <t>Airforce Delta Strike</t>
  </si>
  <si>
    <t>Airforce Delta</t>
  </si>
  <si>
    <t>Airforce Delta Storm</t>
  </si>
  <si>
    <t>Akira Psycho Ball</t>
  </si>
  <si>
    <t>FlingSmash</t>
  </si>
  <si>
    <t>Octomania</t>
  </si>
  <si>
    <t>Chindōchū!! Pōru no Daibōken</t>
  </si>
  <si>
    <t>Marvel's Midnight Suns</t>
  </si>
  <si>
    <t>Enhanced Edition</t>
  </si>
  <si>
    <t>Wanted: Dead</t>
  </si>
  <si>
    <t>Games like Limbo and Inside succeed because of the intrigue that they build in combination with stellar set design. Stela is a pale imitator of Limbo, Inside, and other Another World inspired platformers. It has an interesting opening, introducing us to our nameless and silent heroine and a world inhabitated with threatening creatures, but it has too many segments where nothing is happening and same-y environments. The puzzles lean towards frustrating because it can be difficult to distinguish background and foreground elements and there were also multiple instances where I encountered bugs that prevented progress. Stela does have some beauty, but it's a forgettable experience otherwise.</t>
  </si>
  <si>
    <t>Crimson Dragon</t>
  </si>
  <si>
    <t>Takeshi and Hiroshi attempts to tell an adorable story of brotherly bonding but falls entirely flat on its face thanks to abysmal gameplay elements. The story segments are cute enough, made with some wonderful puppetry, and oozing charm. Though the story it tells isn't anything all that interesting, it's nice enough. It's the gameplay segments between the story bits that drag this game down significantly. It's somewhat of a "reverse RPG," where instead of controlling a player character's actions, you only choose what enemies to send against a knight, who then auto-battles with them. As the game progresses, you gain a few abilities that you can use in these battles, but only once per round. The goal is to balance how much fun your younger brother is having with how much thrill he's experiencing, rendering the enemy selection into more of a puzzle game. The frustration in this stems from the randomness -- attacks don't deal consistent amounts of damage and it's possible for attacks to even miss. This makes strategy almost impossible and boils rounds down to almost entirely luck. This becomes especially frustrating in later rounds, with longer lasting battles requiring replay if an important attack misses or does slightly less damage than expected. Personally, I think this shouldn't be a game and instead the story segments should be a short film, it does not lend itself well to an interactive experience.</t>
  </si>
  <si>
    <t>Rune Factory 3 Special</t>
  </si>
  <si>
    <t>Trine 5: A Clockwork Conspiracy</t>
  </si>
  <si>
    <t>Double Dragon Gaiden: Rise of the Dragons</t>
  </si>
  <si>
    <t>The Legend of Tianding</t>
  </si>
  <si>
    <t>GetsuFumaDen: Undying Moon</t>
  </si>
  <si>
    <t>Senren * Banka</t>
  </si>
  <si>
    <t>Dead or Alive Xtreme 3: Scarlet</t>
  </si>
  <si>
    <t>Tristia Legacy &amp; Restore Bundle Pack</t>
  </si>
  <si>
    <t>Metaloid: Origin</t>
  </si>
  <si>
    <t>Video Games Plus</t>
  </si>
  <si>
    <t>Puzzle Quest: Challenge of the Warlords</t>
  </si>
  <si>
    <t>Heavy Armor Brigade</t>
  </si>
  <si>
    <t>Dragon Sisters</t>
  </si>
  <si>
    <t>Keep Me Posted</t>
  </si>
  <si>
    <t>Blue Monarch Games</t>
  </si>
  <si>
    <t>The Shrouded Isle</t>
  </si>
  <si>
    <t>Jongwoo Kim</t>
  </si>
  <si>
    <t>Finally, an Apple Arcade game that is legitimately good. I've been playing a bunch of these recently to get my money's worth out of the $5 subscription I've been paying for lord knows how long, and Bleak Sword is one of the few that I'd actually classify as good. Its controls still suffer from being a touchscreen based game (I felt like inputs were sometimes missed or misinterpreted), but they're about as good as you can get on mobile for an action based game. It's well-structured to be a mobile game, packing levels that last only a couple of minutes making pick up and play gameplay extremely easy. I would've liked to see a little bit more variety in item pickups and perhaps a few more levels, but otherwise this game is one of a handful that makes those $5/mo bills worth it.</t>
  </si>
  <si>
    <t>Wild Hearts</t>
  </si>
  <si>
    <t>Paranormasight was a delight. Its characters are all wonderfully detailed and distinct, the story itself is provoking and enrapturing, and the gameplay tweaks that Paranormasight adds on top of the classic adventure / detective formula make each scene feel unique to play through. I love this kind of tight, well-written mystery story, so I was on the edge of my seat the entire playthrough. My only major criticism would be that the final act feels a little rushed in comparison to previous acts and that there are some confusing character motivations, but every story is bound to have some detractions of this nature.</t>
  </si>
  <si>
    <t>Hazelnut Hex is a cute game with a nice art style and an amusing sense of humor. It's also certainly welcome to beginners, with infinite continues allowing me to pick right back up anywhere that I died. Beyond this, it's not terribly original, pretty short, and has some elements that blend with the backgrounds.</t>
  </si>
  <si>
    <t>I beat the entire game as Lizard Man on one credit by holding right and mashing a single button. This worked great for being in a barcade so I could continue drinking while playing and my friends all found it hysterical that my strategy kept working.</t>
  </si>
  <si>
    <t>Cat Quest II: The Lupus Empire</t>
  </si>
  <si>
    <t>Having never played the original Cat Quest, I'm sure that I missed out on the deep lore of this franchise, but I saw that this was getting removed from Apple Arcade soon so I figured it would be worth playing through. I found the game to be charming, with its incredibly unique perspective which made it feel like the entire game was played on a map. Enemies, characters, and environments are all gorgeous, and the core gameplay itself is fairly enjoyable. The game does drag a bit due to a lack of combat variety, but its charm certainly carries it. I'm sure it's better in co-op!</t>
  </si>
  <si>
    <t>It's probably been almost 15 years since I played through Portal on The Orange Box on Xbox 360, so it's amazing to see just how well this game holds up in all aspects. Even the graphics still look great thanks to a sharp visual design. Puzzles are clever, the dialogue &amp; humor are just as amazing as ever, and the core concept of portals has yet to be properly replicated (aside from Portal 2). I was surprised at just how short this game was. I felt like I was taking my time and came in well under 2.5 hours. That doesn't detract all that much from the game, and Portal 2 certainly rectifies this.</t>
  </si>
  <si>
    <t>For a Vast Future</t>
  </si>
  <si>
    <t>From Space</t>
  </si>
  <si>
    <t>Triangle Studios</t>
  </si>
  <si>
    <t>Devil's Kiss</t>
  </si>
  <si>
    <t>Patch Quest</t>
  </si>
  <si>
    <t>Lychee Game Labs</t>
  </si>
  <si>
    <t>There is No Light</t>
  </si>
  <si>
    <t>Zelart</t>
  </si>
  <si>
    <t>Wild Guns Reloaded</t>
  </si>
  <si>
    <t>Beneath Oresa</t>
  </si>
  <si>
    <t>Broken Spear</t>
  </si>
  <si>
    <t>Fights in Tight Spaces</t>
  </si>
  <si>
    <t>Mode 7</t>
  </si>
  <si>
    <t>Ground Shatter</t>
  </si>
  <si>
    <t>Tainted Grail: Conquest</t>
  </si>
  <si>
    <t>Awaken Realms</t>
  </si>
  <si>
    <t>Questline</t>
  </si>
  <si>
    <t>Tainted Grail</t>
  </si>
  <si>
    <t>Chrono Ark</t>
  </si>
  <si>
    <t>Al Fine</t>
  </si>
  <si>
    <t>Alina of the Arena</t>
  </si>
  <si>
    <t>IndieArk</t>
  </si>
  <si>
    <t>PINIX</t>
  </si>
  <si>
    <t>Luck be a Landlord</t>
  </si>
  <si>
    <t>TrampolineTales</t>
  </si>
  <si>
    <t>Ashina: The Red Witch</t>
  </si>
  <si>
    <t>GrabTheGames</t>
  </si>
  <si>
    <t>Stranga</t>
  </si>
  <si>
    <t>Light Fairytale Episode 1</t>
  </si>
  <si>
    <t>neko.works</t>
  </si>
  <si>
    <t>Light Fairytale</t>
  </si>
  <si>
    <t>Red Tape</t>
  </si>
  <si>
    <t>Pollaris Studios</t>
  </si>
  <si>
    <t>Undetected</t>
  </si>
  <si>
    <t>Antonio Freyre</t>
  </si>
  <si>
    <t>Void Scrappers</t>
  </si>
  <si>
    <t>8BitSkull</t>
  </si>
  <si>
    <t>SegaSonic the Hedgehog</t>
  </si>
  <si>
    <t>SegaSonic Cosmo Fighter Galaxy Patrol</t>
  </si>
  <si>
    <t>Sonic the Fighters</t>
  </si>
  <si>
    <t>Black Belt</t>
  </si>
  <si>
    <t>Ginga Ojōsama Densetsu Yuna: Final Edition</t>
  </si>
  <si>
    <t>The Legend of Zelda: Tears of the Kingdom</t>
  </si>
  <si>
    <t>A Knight's Quest</t>
  </si>
  <si>
    <t>Sky9</t>
  </si>
  <si>
    <t>Boku no Natsuyasumi 4: Setouchi Shōnen Tanteidan, Boku to Himitsu no Chizu</t>
  </si>
  <si>
    <t>Capcom has been absolutely killing it with Resident Evil the past several years, so it's a good thing they're at their peak when attempting to remake such a legendary game. I was pleased to find the game to be both faithful to the original while putting a new spin on both the gameplay and the story. The new additions and changes are all welcome, including some quality of life features which help to make the game more welcoming. I had a blast playing through Resident Evil 4 again, trying to spot all of the changes and tweaks. I'm excited and hopeful for potential remakes of both Resident Evil 5 and 6, I think revisiting the black sheep of the series with Capcom's modern flair could be quite good!</t>
  </si>
  <si>
    <t>Mosaic</t>
  </si>
  <si>
    <t>Mosaic attempts to construct a critique of modern society, conformity, and capitalism, but it's executed so unsubtly that the message fails to land. The game depicts a dreary and boring world in a way that's incredibly dreary and boring to experience. It's ironic that the game's most engaging segments are the ones intended to emulate your work at the office.</t>
  </si>
  <si>
    <t>Kardboard Kings: Card Shop Simulator</t>
  </si>
  <si>
    <t>Henry's House</t>
  </si>
  <si>
    <t>Tandem: A Tale of Shadows</t>
  </si>
  <si>
    <t>Hatinh Interactive</t>
  </si>
  <si>
    <t>Monochrome Paris</t>
  </si>
  <si>
    <t>Shattered: Tale of the Forgotten King</t>
  </si>
  <si>
    <t>Redlock Studio</t>
  </si>
  <si>
    <t>Endling: Extinction is Forever</t>
  </si>
  <si>
    <t>Herobeat Studios</t>
  </si>
  <si>
    <t>Story of Seasons: Pioneers of Olive Town</t>
  </si>
  <si>
    <t>Trespasser</t>
  </si>
  <si>
    <t>DreamWorks Interactive</t>
  </si>
  <si>
    <t>Overlord: Fellowship of Evil</t>
  </si>
  <si>
    <t>1bitHeart</t>
  </si>
  <si>
    <t>Fuse</t>
  </si>
  <si>
    <t>Turning Point: Fall of Liberty</t>
  </si>
  <si>
    <t>War Front: Turning Point</t>
  </si>
  <si>
    <t>CDV</t>
  </si>
  <si>
    <t>Frontlines: Fuel of War</t>
  </si>
  <si>
    <t>Kaos Studios</t>
  </si>
  <si>
    <t>Star Wars Battlefront: Renegade Squadron</t>
  </si>
  <si>
    <t>Star Wars Battlefront: Elite Squadron</t>
  </si>
  <si>
    <t>Dissidia 012: Duodecim Final Fantasy</t>
  </si>
  <si>
    <t>Sega Bass Fishing 2</t>
  </si>
  <si>
    <t>Blood Bowl</t>
  </si>
  <si>
    <t>MicroLeague</t>
  </si>
  <si>
    <t>Destiny Software Productions</t>
  </si>
  <si>
    <t>Warhammer: Shadow of the Horned Rat</t>
  </si>
  <si>
    <t>Warhammer: Dark Omen</t>
  </si>
  <si>
    <t>Warhammer: Battle for Atluma</t>
  </si>
  <si>
    <t>JV Games</t>
  </si>
  <si>
    <t>Warhammer: Mark of Chaos</t>
  </si>
  <si>
    <t>Black Hole Entertainment</t>
  </si>
  <si>
    <t>Focus Home Interactie</t>
  </si>
  <si>
    <t>Space Crusade</t>
  </si>
  <si>
    <t>Final Liberation: Warhammer Epic 40,000</t>
  </si>
  <si>
    <t>Holistic Design</t>
  </si>
  <si>
    <t>Warhammer 40,000: Chaos Gate</t>
  </si>
  <si>
    <t>Random Games</t>
  </si>
  <si>
    <t>Warhammer 40,000: Rites of War</t>
  </si>
  <si>
    <t>DreamForge</t>
  </si>
  <si>
    <t>Warhammer 40,000: Fire Warrior</t>
  </si>
  <si>
    <t>Warhammer 40,000: Glory in Death</t>
  </si>
  <si>
    <t>Razorback Developments</t>
  </si>
  <si>
    <t>Warhammer 40,000: Squad Command</t>
  </si>
  <si>
    <t>Warhammer 40,000: Kill Team</t>
  </si>
  <si>
    <t>THQ Digital Studios UK</t>
  </si>
  <si>
    <t>Space Hulk: Ascension</t>
  </si>
  <si>
    <t>Narnia</t>
  </si>
  <si>
    <t>Word Publishing</t>
  </si>
  <si>
    <t>Lifeware</t>
  </si>
  <si>
    <t>The Chronicles of Narnia</t>
  </si>
  <si>
    <t>The Chronicles of Narnia: The Lion, The Witch and The Wardrobe</t>
  </si>
  <si>
    <t>The Chronicles of Narnia: Prince Caspian</t>
  </si>
  <si>
    <t>Fox Video Games</t>
  </si>
  <si>
    <t>Argus Press Software</t>
  </si>
  <si>
    <t>Concept Software</t>
  </si>
  <si>
    <t>Aliens: The Computer Game</t>
  </si>
  <si>
    <t>Electric Dreams Software</t>
  </si>
  <si>
    <t>Software Studios</t>
  </si>
  <si>
    <t>Aliens: Alien 2</t>
  </si>
  <si>
    <t>Predator 2</t>
  </si>
  <si>
    <t>Arc Developments</t>
  </si>
  <si>
    <t>Arena</t>
  </si>
  <si>
    <t>Teeny Weeny Games</t>
  </si>
  <si>
    <t>Probe Entertainment</t>
  </si>
  <si>
    <t>Avalon Hill</t>
  </si>
  <si>
    <t>Alien 3: The Gun</t>
  </si>
  <si>
    <t>Aliens: A Comic Book Adventure</t>
  </si>
  <si>
    <t>Alien Trilogy</t>
  </si>
  <si>
    <t>Alien Resurrection</t>
  </si>
  <si>
    <t>Aliens vs. Predator: Requiem</t>
  </si>
  <si>
    <t>CarnEvil</t>
  </si>
  <si>
    <t>Chiller</t>
  </si>
  <si>
    <t>Exidy</t>
  </si>
  <si>
    <t>Confidential Mission</t>
  </si>
  <si>
    <t>Cops</t>
  </si>
  <si>
    <t>Crime Patrol</t>
  </si>
  <si>
    <t>American Laser Games</t>
  </si>
  <si>
    <t>Crime Patrol 2: Drug Wars</t>
  </si>
  <si>
    <t>Crossbow</t>
  </si>
  <si>
    <t>Crypt Killer</t>
  </si>
  <si>
    <t>Mechanized Attack</t>
  </si>
  <si>
    <t>Mad Dog McCree</t>
  </si>
  <si>
    <t>Mad Dog McCree: Gunslinger Pack</t>
  </si>
  <si>
    <t>Ninja Assault</t>
  </si>
  <si>
    <t>Police 911</t>
  </si>
  <si>
    <t>Police 24/7</t>
  </si>
  <si>
    <t>Police 24/7 2</t>
  </si>
  <si>
    <t>Silent Scope</t>
  </si>
  <si>
    <t>Silent Scope 2: Dark Silhouette</t>
  </si>
  <si>
    <t>Silent Scope 3</t>
  </si>
  <si>
    <t>Space Pirates</t>
  </si>
  <si>
    <t>Steel Gunner</t>
  </si>
  <si>
    <t>Target: Terror</t>
  </si>
  <si>
    <t>Leviathan Games</t>
  </si>
  <si>
    <t>Teraburst</t>
  </si>
  <si>
    <t>Terminator 2: Judgment Day</t>
  </si>
  <si>
    <t>The Lost World: Jurassic Park</t>
  </si>
  <si>
    <t>Jurassic Park III</t>
  </si>
  <si>
    <t>The Ocean Hunter</t>
  </si>
  <si>
    <t>Under Fire</t>
  </si>
  <si>
    <t>Vampire Night</t>
  </si>
  <si>
    <t>Go! Go! Cosmo Cops!</t>
  </si>
  <si>
    <t>F-Zero: GP Legend</t>
  </si>
  <si>
    <t>F-Zero Climax</t>
  </si>
  <si>
    <t>F-Zero: Maximum Velocity</t>
  </si>
  <si>
    <t>Dōbutsu no Mori</t>
  </si>
  <si>
    <t>Battle Clash</t>
  </si>
  <si>
    <t>TEC</t>
  </si>
  <si>
    <t>Metal Combat: Falcon's Revenge</t>
  </si>
  <si>
    <t>Operation Thunderbolt</t>
  </si>
  <si>
    <t>Operation Wolf</t>
  </si>
  <si>
    <t>Lethal Enforcers</t>
  </si>
  <si>
    <t>Lethal Enforcers II: Gun Fighters</t>
  </si>
  <si>
    <t>Lethal Enforcers 3</t>
  </si>
  <si>
    <t>Tin Star</t>
  </si>
  <si>
    <t>X-Zone</t>
  </si>
  <si>
    <t>Yoshi's Safari</t>
  </si>
  <si>
    <t>Polarium</t>
  </si>
  <si>
    <t>Sutte Hakkun</t>
  </si>
  <si>
    <t>How We Know We're Alive</t>
  </si>
  <si>
    <t>Motvind Studios</t>
  </si>
  <si>
    <t>Wretched Depths</t>
  </si>
  <si>
    <t>Wretched Devs</t>
  </si>
  <si>
    <t>Void Pyramid</t>
  </si>
  <si>
    <t>A. Hagen</t>
  </si>
  <si>
    <t>A. Hagen, Shea Kennedy</t>
  </si>
  <si>
    <t>Kowloon's Curse: Lost Report</t>
  </si>
  <si>
    <t>Studio [notes.]</t>
  </si>
  <si>
    <t>Kowloon's Curse</t>
  </si>
  <si>
    <t>Machine Heart</t>
  </si>
  <si>
    <t>USC Games</t>
  </si>
  <si>
    <t>Machine Heart Team</t>
  </si>
  <si>
    <t>illum</t>
  </si>
  <si>
    <t>Elsa Liu, Tianyue Gu</t>
  </si>
  <si>
    <t>Regenesis</t>
  </si>
  <si>
    <t>U-tad</t>
  </si>
  <si>
    <t>Klopsy</t>
  </si>
  <si>
    <t>The Wailer</t>
  </si>
  <si>
    <t>Vultive Entertainment</t>
  </si>
  <si>
    <t>Ethan Robichaux</t>
  </si>
  <si>
    <t>Re:|THM - once upon a time</t>
  </si>
  <si>
    <t>Boyagers Games</t>
  </si>
  <si>
    <t>Bubsy in: Claws Encounters of the Furred Kind</t>
  </si>
  <si>
    <t>Bubsy</t>
  </si>
  <si>
    <t>Bubsy II</t>
  </si>
  <si>
    <t>Bubsy in Fractured Furry Tales</t>
  </si>
  <si>
    <t>Imagitec Design</t>
  </si>
  <si>
    <t>Bubsy 3D</t>
  </si>
  <si>
    <t>Scaler</t>
  </si>
  <si>
    <t>Artificial Mind &amp; Movement</t>
  </si>
  <si>
    <t>Punky Skunk</t>
  </si>
  <si>
    <t>Wild Woody</t>
  </si>
  <si>
    <t>Socket</t>
  </si>
  <si>
    <t>Jersey Devil</t>
  </si>
  <si>
    <t>Megatoon Studios</t>
  </si>
  <si>
    <t>Titus the Fox</t>
  </si>
  <si>
    <t>After playing most of the Resident Evil series, it was so fascinating to come back to the game that started it all (or rather, the remaster of the game that started it all). I was pleasantly surprised at how this game holds up. Yes, there are some dated design decisions that maybe don't lend to a smooth gameplay experience such as the tiny inventory size, frequent backtracking, and often awkward camera angles, but these all ended up lending to the game's charm in my experience. I'm now even more interested in playing the game in its truly original form, tank controls and all.</t>
  </si>
  <si>
    <t>Resident Evil: Dead Aim</t>
  </si>
  <si>
    <t>HackyZack</t>
  </si>
  <si>
    <t>Spaceboy Games</t>
  </si>
  <si>
    <t>Contraption Zack</t>
  </si>
  <si>
    <t>Zac to Ombra: Maboroshi no Yuuenchi</t>
  </si>
  <si>
    <t>Studio Fake</t>
  </si>
  <si>
    <t>Zacross</t>
  </si>
  <si>
    <t>Mechanic Arms</t>
  </si>
  <si>
    <t>Zakuro no Aji</t>
  </si>
  <si>
    <t>Zaku</t>
  </si>
  <si>
    <t>PengiNet</t>
  </si>
  <si>
    <t>There's so much to this game is staggering. First of all, it's unreal that it's been six years since Breath of the Wild, so to play this game made me personally reflective of all that's happened in my life in the past six years. Then, this game just blows Breath of the Wild out of the water, making it look like a demo. It's incredible what they've done with this engine, and the story is one of the best they've told in a Zelda game. 50 or so hours in this world just absolutely flew by. Yes, there are criticisms that could reasonably be levied at this game in terms of story structure, dungeon design, and awkward Sage ability usage, but I'm also biased in my undying love for Zelda. This game is a masterpiece.</t>
  </si>
  <si>
    <t>A Mind Forever Voyaging</t>
  </si>
  <si>
    <t>LEGO Pirates of the Caribbean: The Video Game</t>
  </si>
  <si>
    <t>LEGO Island</t>
  </si>
  <si>
    <t>LEGO Racers</t>
  </si>
  <si>
    <t>Lego Media</t>
  </si>
  <si>
    <t>LEGO Rock Raiders</t>
  </si>
  <si>
    <t>Data Design Interactive</t>
  </si>
  <si>
    <t>LEGO Alpha Team</t>
  </si>
  <si>
    <t>Digital Domain</t>
  </si>
  <si>
    <t>LEGO Island 2: The Brickster's Revenge</t>
  </si>
  <si>
    <t>Lego Software</t>
  </si>
  <si>
    <t>Silicon Dreams Studio</t>
  </si>
  <si>
    <t>LEGO Racers 2</t>
  </si>
  <si>
    <t>Attention to Detail</t>
  </si>
  <si>
    <t>LEGO Bionicle: Quest for the Toa</t>
  </si>
  <si>
    <t>Saffire</t>
  </si>
  <si>
    <t>Bionicle</t>
  </si>
  <si>
    <t>Island Xtreme Stunts</t>
  </si>
  <si>
    <t>Drome Racers</t>
  </si>
  <si>
    <t>Bionicle: Matoran Adventures</t>
  </si>
  <si>
    <t>LEGO Knights' Kingdom</t>
  </si>
  <si>
    <t>Bionicle: Maze of Shadows</t>
  </si>
  <si>
    <t>Bionicle Heroes</t>
  </si>
  <si>
    <t>LEGO Battles</t>
  </si>
  <si>
    <t>LEGO Battles: Ninjago</t>
  </si>
  <si>
    <t>LEGO Ninjago: Nindroids</t>
  </si>
  <si>
    <t>LEGO Ninjago: Shadow of Ronin</t>
  </si>
  <si>
    <t>Galidor: Defenders of the Outer Dimension</t>
  </si>
  <si>
    <t>Tiertex Design Studios</t>
  </si>
  <si>
    <t>It's hard for me to be objective about Risk of Rain 2 because it's so closely tied to spending time with my brother and my friends. This game has become a regular occurrence, and for the first time today we actually bothered to clear the new Voidling ending in this DLC. The additions of the DLC are amazing, adding new twists to known items and creating a number of new and exciting ways to play the game. The new characters are also awesome, with one adding an interesting stance switching aspect. I'm bummed that Hopoo is moving on from Risk of Rain, but I'm also thrilled to see what they do next.</t>
  </si>
  <si>
    <t>Dragon Ball Z: Kakarot</t>
  </si>
  <si>
    <t>Once upon a time I was extremely engaged with Xbox Live Indie Games, a short-lived and mostly forgotten service for "not big enough for Xbox Live Arcade" indie games. A number of these have since made it to other platforms, with Steam Heroes being one of them. This was a reminder of the dredges of the Xbox Live Indie Games service. Steam Heroes is extremely amateurish in all its aspects, looking and playing like a mid 2000s Flash game. This was a nostalgic look at a service I used to deeply engage with, but also a reminder of just how much cruft was on Xbox Live Indie Games.</t>
  </si>
  <si>
    <t>Sherlock Holmes: Crimes &amp; Punishments</t>
  </si>
  <si>
    <t>Street Fighter 6</t>
  </si>
  <si>
    <t>Darker Skies</t>
  </si>
  <si>
    <t>Steel Arts Software</t>
  </si>
  <si>
    <t>I have some mixed feelings about Bayonetta Origins. The game is gorgeous and tells perhaps the most coherent story in the Bayonetta series. The gameplay itself did not hook me as much as the main series. Exploration is hindered by a slightly too slow walking speed and combat is pretty same-y, probably in part to the split character control scheme. That said, the game still was enjoyable throughout and I'm pleased to see PlatinumGames experimenting somewhat with their Umbra Witch.</t>
  </si>
  <si>
    <t>Decay: The Mare</t>
  </si>
  <si>
    <t>This is just another basic shmup with little to differentiate it from hundreds of other competitors. It didn't do anything wrong (aside from the default settings having the sound effects louder than God himself), but it didn't do anything to make it stand out either. I won't remember this game in just a few months.</t>
  </si>
  <si>
    <t>VectorCell</t>
  </si>
  <si>
    <t>We Love Katamari Reroll + Royal Reverie</t>
  </si>
  <si>
    <t>MonkeyCraft</t>
  </si>
  <si>
    <t>I had a great time exploring the world of Haiku, the Robot. The game is definitely a tight, nifty little Metroidvania, though it's painfully clear where its inspiration comes from. Just about every design decision seems sourced from Hollow Knight, from the repair mechanic, to the NPC name cards, to the art style on the achievements. It's brave to be such a direct reflection of its inspiration, because it's clearly going to draw comparison, but Haiku still succeeds at being a great game. The game does suffer from some unforgettable and frankly quite easy boss battles and I did find myself thinking about what Hollow Knight did better (music, atmosphere, upgrades, etc), but that doesn't make it any less worthwhile, especially for someone patiently awaiting Silksong.</t>
  </si>
  <si>
    <t>Jurassic World Evolution 2</t>
  </si>
  <si>
    <t>Trek to Yomi</t>
  </si>
  <si>
    <t>Roundguard</t>
  </si>
  <si>
    <t>Wonderbelly Games</t>
  </si>
  <si>
    <t>Broken Pieces</t>
  </si>
  <si>
    <t>Elsewhere Experience</t>
  </si>
  <si>
    <t>Dark Deity</t>
  </si>
  <si>
    <t>Sword &amp; Axe LLC</t>
  </si>
  <si>
    <t>Bound By Blades</t>
  </si>
  <si>
    <t>Zeth</t>
  </si>
  <si>
    <t>Godstrike</t>
  </si>
  <si>
    <t>OverPowered Team</t>
  </si>
  <si>
    <t>SIEG Games</t>
  </si>
  <si>
    <t>Super Lesbian Animal RPG</t>
  </si>
  <si>
    <t>ponett</t>
  </si>
  <si>
    <t>Boyfriend Dungeon</t>
  </si>
  <si>
    <t>Bad End Theater</t>
  </si>
  <si>
    <t>Later Alligator</t>
  </si>
  <si>
    <t>SmallBü, Pillow Fight</t>
  </si>
  <si>
    <t>Another bite-sized Metroidvania that I started on a whim, Gato Roboto is certainly satisfying considering its length. The game is packed with personality and has some fun upgrades that helps to make exploring the handful of areas in the game interesting. I found a few sections a little bit frustrating, didn't like how boss text couldn't be skipped when I was retrying after dying, and found the controls a little slide-y, but otherwise enjoyed this one.</t>
  </si>
  <si>
    <t>Yes, this is a student game, and yes it's adorable, but it's otherwise not very good. The controls are inverted on the Y axis by default with no option to change, movement is sluggish, and the game is over in seven minutes. It's fine for a student project, but not worth anyone else's time.</t>
  </si>
  <si>
    <t>Grindstone</t>
  </si>
  <si>
    <t>Capy Games</t>
  </si>
  <si>
    <t>Grindstone is a reasonably unique take on the typical gemstone matching puzzle game, where instead of dragging gems around to form pairs, you need to create a path through colored enemies. This simple concept is built on quite satisfactorily with a number of unique, fun, and interesting concepts, such as needing to kill a certain amount of stronger enemies, collect Grindstones, move blocks, and much more. The boss battles are also standout, each with a specific gimmick (some of which are repeated, but never boring). The randomness of the enemies does cause some frustration, requiring special items to solve some of the game's 200 stages, and lengthy animations sometimes seem to slow the pace of the game. Regardless of these flaws, I still had a blast playing Grindstone the past several weeks anytime I had to burn a little bit of time on my phone.</t>
  </si>
  <si>
    <t>Covert Ops: Nuclear Dawn</t>
  </si>
  <si>
    <t>Sugar &amp; Rockets</t>
  </si>
  <si>
    <t>EVE: Burst Error</t>
  </si>
  <si>
    <t>Himeya</t>
  </si>
  <si>
    <t>C's Ware</t>
  </si>
  <si>
    <t>EVE</t>
  </si>
  <si>
    <t>Mercenaries Wings: The False Phoenix</t>
  </si>
  <si>
    <t>RideonJapan</t>
  </si>
  <si>
    <t>Firework</t>
  </si>
  <si>
    <t>I've been playing the roots of the God of War series alongside playing both the 2018 reboot and Ragnarok, so it's been fascinating to see how this series has evolved. God of War II holds up even better than its predecessor, with fewer annoying combat scenarios, a plethora of new tools to play with, and well-designed puzzles. The game also is perhaps the best looking PlayStation 2 game, at times looking like an early PlayStation 3 game. It's not perfect, as parts of its game design have dated (instant death rooms, the right control stick dodging), but it holds up remarkably well.</t>
  </si>
  <si>
    <t>In my exploration of the God of War series, I just had to experience this historical oddity. The era of pre-smartphone mobile games has always intrigued me and the fact that such a headliner franchise as God of War got one is fascinating. The game itself is not good--it's sluggish, repetitive, difficult to control, and buggy (though perhaps this could be my emulator). Honestly, though, considering technical limitations, it's actually impressive what this game is. It looks pretty great and the gameplay is recognizable as God of War, in spite of the simplification. Beyond historical curiosity, it's not worth playing, but it's certainly curious.</t>
  </si>
  <si>
    <t>Orcs &amp; Elves II</t>
  </si>
  <si>
    <t>Fountainhead Entertainment</t>
  </si>
  <si>
    <t>Guacamelee holds up as a unique take on a Metroidvania game. Its theme and gameplay both are different than what I've come to expect out of the genre, so in that respect it was certainly refreshing. The core gameplay loop is satisfying, if a bit repetitive, with some reasonably challenging combat encounters and traversal segments by the endgame. Its also got a good sense of humor, with several jokes that do actually land (and many that don't, but are appreciated nonetheless). However, I didn't feel the same urge that I feel with other Metroidvanias to complete as much of the map as possible &amp; uncover all of the secrets that I could, because the map feels less interconnected than most other games of this ilk. Maybe that's a nitpick, because this is still a great game.</t>
  </si>
  <si>
    <t>Scars Above</t>
  </si>
  <si>
    <t>Grimace's Birthday</t>
  </si>
  <si>
    <t>McDonald's Corporation</t>
  </si>
  <si>
    <t>Krool Toys Limited</t>
  </si>
  <si>
    <t>Time on Frog Island</t>
  </si>
  <si>
    <t>Half Past Yellow</t>
  </si>
  <si>
    <t>Asterigos: Curse of the Stars</t>
  </si>
  <si>
    <t>Acme Gamestudio</t>
  </si>
  <si>
    <t>The Knight Witch</t>
  </si>
  <si>
    <t>Super Awesome Hyper Dimensional Mega Team</t>
  </si>
  <si>
    <t>Gekibo: Gekisha Boy</t>
  </si>
  <si>
    <t>Tomcat System</t>
  </si>
  <si>
    <t>Gekibo 2</t>
  </si>
  <si>
    <t>The Amazing Spider-Man: Lethal Foes</t>
  </si>
  <si>
    <t>Argent</t>
  </si>
  <si>
    <t>The Amazing Spider-Man: Web of Fire</t>
  </si>
  <si>
    <t>Spider-Man 3</t>
  </si>
  <si>
    <t>Spider-Man: Battle for New York</t>
  </si>
  <si>
    <t>Spider-Man: Edge of Time</t>
  </si>
  <si>
    <t>Spider-Man: Friend or Foe</t>
  </si>
  <si>
    <t>Spider-Man: Shattered Dimensions</t>
  </si>
  <si>
    <t>Spider-Man: The Video Game</t>
  </si>
  <si>
    <t>Spider-Man: Web of Shadows</t>
  </si>
  <si>
    <t>Avengers in Galactic Storm</t>
  </si>
  <si>
    <t>Marvel Avengers: Battle for Earth</t>
  </si>
  <si>
    <t>Captain America: Super Soldier</t>
  </si>
  <si>
    <t>Fantastic Four</t>
  </si>
  <si>
    <t>Iron Man 2</t>
  </si>
  <si>
    <t>The Punisher: No Mercy</t>
  </si>
  <si>
    <t>Zen Studios</t>
  </si>
  <si>
    <t>The Punisher: The Ultimate Payback!</t>
  </si>
  <si>
    <t>Daredevil</t>
  </si>
  <si>
    <t>Ghost Rider</t>
  </si>
  <si>
    <t>2K</t>
  </si>
  <si>
    <t>X-Men: Destiny</t>
  </si>
  <si>
    <t>X-Men: Children of the Atom</t>
  </si>
  <si>
    <t>X-Men: Mutant Wars</t>
  </si>
  <si>
    <t>Avit</t>
  </si>
  <si>
    <t>X-Men: Reign of Apocalypse</t>
  </si>
  <si>
    <t>X-Men: The Ravages of Apocalypse</t>
  </si>
  <si>
    <t>Zero Gravity Entertainment</t>
  </si>
  <si>
    <t>Wolverine: Adamantium Rage</t>
  </si>
  <si>
    <t>X-Men: Mutant Academy</t>
  </si>
  <si>
    <t>Paradox Development</t>
  </si>
  <si>
    <t>X-Men: Mutant Academy 2</t>
  </si>
  <si>
    <t>X-Men: Next Dimension</t>
  </si>
  <si>
    <t>Exakt Entertainment</t>
  </si>
  <si>
    <t>Castlevania: The Arcade</t>
  </si>
  <si>
    <t>Castlevania Puzzle: Encore of the Night</t>
  </si>
  <si>
    <t>32-bit iOS</t>
  </si>
  <si>
    <t>DreamMix TV World Fighters</t>
  </si>
  <si>
    <t>Bitstep</t>
  </si>
  <si>
    <t>Castlevania: Order of Shadows</t>
  </si>
  <si>
    <t>Death Trap</t>
  </si>
  <si>
    <t>Funmobile Limited</t>
  </si>
  <si>
    <t>Death Trap 2: The Unlocked Code</t>
  </si>
  <si>
    <t>Silent Hill: Orphan</t>
  </si>
  <si>
    <t>Gamefederation Studio</t>
  </si>
  <si>
    <t>Silent Hill: Orphan 2</t>
  </si>
  <si>
    <t>Silent Hill: Orphan 3</t>
  </si>
  <si>
    <t>Playsoft</t>
  </si>
  <si>
    <t>Chuck Norris: Bring on the Pain</t>
  </si>
  <si>
    <t>Chuck Norris</t>
  </si>
  <si>
    <t>Resident Evil: The Missions</t>
  </si>
  <si>
    <t>Resident Evil: Confidential Report File 1</t>
  </si>
  <si>
    <t>Resident Evil: Confidential Report File 2</t>
  </si>
  <si>
    <t>Resident Evil: Confidential Report File 3</t>
  </si>
  <si>
    <t>Resident Evil: Confidential Report File 4</t>
  </si>
  <si>
    <t>Dredge</t>
  </si>
  <si>
    <t>Fireshrine Games</t>
  </si>
  <si>
    <t>Black Salt Games</t>
  </si>
  <si>
    <t>Mortal Shell: Enhanced Edition</t>
  </si>
  <si>
    <t>I vaguely enjoyed the first Condemned, but this game was a total mess. The combat system is a good idea, but it's poorly executed and feels as though it's in the wrong game. Why does a survival horror game have massive COMBO text popping up? There's also a lot more guns in this game, and the gunplay is horrendous even for the era. Beyond gameplay, the story goes totally off the rails, and seems to miss the point of the first game. It would be so cool to see these ideas revived with some more modern game design, but as is the game is not worth playing (aside from the bear sequence, which I concede is great).</t>
  </si>
  <si>
    <t>Contract J.A.C.K.</t>
  </si>
  <si>
    <t>Order of Ecclesia was the only one of the DS Castlevanias which I hadn't completed yet, and in it I found an interesting but flawed game. The core gameplay of whipping and slashing is as good as ever, and genuinely the most challenging of the GBA and DS Castlevania games. The glyph mechanic allows for a lot of creative options without getting caught up on item stats. The structure of the game itself isn't what I'd want out of a Castlevania game--its stages are distinct and linear instead of being an interconnected map. This is somewhat rectified by the end, but half the game is walking through nearly straight transitionary stages. Additionally, the aformentioned difficulty may be a tad bit too high, though I could see others taking that as a positive. Altogether a good entry into the series, but not quite the highs of previous entries.</t>
  </si>
  <si>
    <t>Another Metroid 2 Remake</t>
  </si>
  <si>
    <t>Milton Guasti</t>
  </si>
  <si>
    <t>Desta: The Memories Between</t>
  </si>
  <si>
    <t>Combining ustwo games's striking visual design with dodgeball with XCOM seems like a winning strategy, and it certainly at least in part does succeed, but there are some confusing game design decisions which hinder this game from fully winning me over. The core turn-based tactics gameplay is satisfying and fun, but the roguelite elements are completely pointless. It's a purely story focused game, meaning each run will trigger the same story cutscenes and dialogue, giving no purpose to repeated runs. The attributes also aren't different enough to make different loadouts feel materially different aside from small tweaks to playstyle. To top it all off, the one time I died it just let me take a shortcut to the chapter I died in... so why even have the roguelite elements? It seems like these elements may have constrained the stage design, and that ustwo games would have been better served to focus on creating more interesting and bespoke stage-specific challenges. Additionally, the game is quite short, running at only about two and a half hours. There's a good amount to love here, but these things do hold back the game from greatness.</t>
  </si>
  <si>
    <t>The Divide: Enemies Within</t>
  </si>
  <si>
    <t>Viacom New Media</t>
  </si>
  <si>
    <t>The Nightmare Before Christmas: The Pumpkin King</t>
  </si>
  <si>
    <t>Palace of Magic</t>
  </si>
  <si>
    <t>Acorn Electron</t>
  </si>
  <si>
    <t>Superior Software</t>
  </si>
  <si>
    <t>Martyn R Howard</t>
  </si>
  <si>
    <t>Samurai Jack: The Amulet of Time</t>
  </si>
  <si>
    <t>Virtucraft Studios</t>
  </si>
  <si>
    <t>The Goonies II</t>
  </si>
  <si>
    <t>The Goonies</t>
  </si>
  <si>
    <t>Hero of the Golden Talisman</t>
  </si>
  <si>
    <t>Mastetronic</t>
  </si>
  <si>
    <t>Mr Chip Software</t>
  </si>
  <si>
    <t>A Journey to the Centre of the Earth</t>
  </si>
  <si>
    <t>OziSoft</t>
  </si>
  <si>
    <t>Mike Davis</t>
  </si>
  <si>
    <t>Knight 'n' Grail</t>
  </si>
  <si>
    <t>Psytronik Software</t>
  </si>
  <si>
    <t>Wide Pixel Games</t>
  </si>
  <si>
    <t>Lord of the Sword</t>
  </si>
  <si>
    <t>Montezuma's Revenge</t>
  </si>
  <si>
    <t>Parker Brothers</t>
  </si>
  <si>
    <t>Montezuma's Return</t>
  </si>
  <si>
    <t>Utopia Technologies</t>
  </si>
  <si>
    <t>Phantom of the Asteroids</t>
  </si>
  <si>
    <t>QuackShot Starring Donald Duck</t>
  </si>
  <si>
    <t>Rex</t>
  </si>
  <si>
    <t>Martech</t>
  </si>
  <si>
    <t>The Light</t>
  </si>
  <si>
    <t>Robox</t>
  </si>
  <si>
    <t>Dreambox Games</t>
  </si>
  <si>
    <t>Rush'n Attack: Ex-Patriot</t>
  </si>
  <si>
    <t>Rush'n Attack</t>
  </si>
  <si>
    <t>Rad Warrior</t>
  </si>
  <si>
    <t>Palace Software</t>
  </si>
  <si>
    <t>Stryker's Run</t>
  </si>
  <si>
    <t>BBC Micro</t>
  </si>
  <si>
    <t>Codename Droid: Stryker's Run - Part 2</t>
  </si>
  <si>
    <t>The Castle</t>
  </si>
  <si>
    <t>Sega SG-1000</t>
  </si>
  <si>
    <t>Castle Quest</t>
  </si>
  <si>
    <t>Micro Power</t>
  </si>
  <si>
    <t>Castlequest</t>
  </si>
  <si>
    <t>Cyborg Hunter</t>
  </si>
  <si>
    <t>Doriath</t>
  </si>
  <si>
    <t>Rabbit Software</t>
  </si>
  <si>
    <t>Dr. Franken</t>
  </si>
  <si>
    <t>If Chains of Olympus looks and plays anything like this on the PSP, then this game is a technical marvel. The fact that Ready at Dawn managed to essentially recreate the PS2 games on a handheld is impressive. It's just unfortunate that the focus was entirely on recreating that experience--this feels exactly the same as the two console games. That's not an entirely bad thing, but I found myself wondering why I needed to upgrade my Blades of Chaos a third time to unlock the same combos I'd already been using for two games. It's still God of War, so it's still a good time, but it could've forged more of an identity for itself rather than simply aping its console big brothers.</t>
  </si>
  <si>
    <t>The Adventures of Dr. Franken</t>
  </si>
  <si>
    <t>DTMC</t>
  </si>
  <si>
    <t>MotiveTime</t>
  </si>
  <si>
    <t>Dr. Franken II</t>
  </si>
  <si>
    <t>Draconus</t>
  </si>
  <si>
    <t>Zeppelin Games</t>
  </si>
  <si>
    <t>Draconus: Cult of the Wyrm</t>
  </si>
  <si>
    <t>Spiderbot</t>
  </si>
  <si>
    <t>Addictive Games</t>
  </si>
  <si>
    <t>Zeit²</t>
  </si>
  <si>
    <t>Brightside Games</t>
  </si>
  <si>
    <t>A Knight in the Attic</t>
  </si>
  <si>
    <t>Elderand</t>
  </si>
  <si>
    <t>Sinergia Games</t>
  </si>
  <si>
    <t>Roadwarden</t>
  </si>
  <si>
    <t>Moral Anxiety Studio</t>
  </si>
  <si>
    <t>Shadowgate VR: The Mines of Mythrok</t>
  </si>
  <si>
    <t>Azure Drop Studios</t>
  </si>
  <si>
    <t>Soundfall</t>
  </si>
  <si>
    <t>Noodlecake</t>
  </si>
  <si>
    <t>Drastic Games</t>
  </si>
  <si>
    <t>The Walking Dead Onslaught</t>
  </si>
  <si>
    <t>Warcraft III: Reforged</t>
  </si>
  <si>
    <t>Mortal Shell is basically the "we have Dark Souls at home" of Soulslikes. Its combat feels like the store brand of the traditional Souls combat we've all come to know and love. It's more cludgy feeling, with strange parry timing and an extremely overpowered harden mechanic, but it's still recognizable in spite of these adjustments. The game's worldbuilding and design also pales in comparison to Souls, with large and empty areas and confusing lore filled with jargon. I also wasn't the biggest fan of the need to run all the way through a dungeon after beating the boss--it felt like artifical lengthening. Despite these flaws, I still did find myself enjoying Mortal Shell. It's store brand, but that can still be a good time.</t>
  </si>
  <si>
    <t>Tristia</t>
  </si>
  <si>
    <t>Clockwork Aquario</t>
  </si>
  <si>
    <t>Ghost Giant</t>
  </si>
  <si>
    <t>Zoink!</t>
  </si>
  <si>
    <t>Possessions.</t>
  </si>
  <si>
    <t>Lucid Labs</t>
  </si>
  <si>
    <t>While I like the concept of a perspective based puzzle game, this game fails at connecting its core concept with its "story" mode while also lacking any real interesting puzzles. The story is wordless and confusing, leaving me wondering both what was happening and how the hell this family has a massive pool, a movie theatre, and chandeliers in every room. Unpacking did a much better job at telling a wordless story with the objects being placed in the room, this game does nothing with the actual.. er... possessions. The game is fine for what it is, it just feels altogether pointless.</t>
  </si>
  <si>
    <t>Dead Cells: Return to Castlevania Edition</t>
  </si>
  <si>
    <t>Shadows Over Loathing</t>
  </si>
  <si>
    <t>VGP474301</t>
  </si>
  <si>
    <t>Alien: Isolation - The Collection</t>
  </si>
  <si>
    <t>The Good Life</t>
  </si>
  <si>
    <t>Sword and Fairy Inn 2</t>
  </si>
  <si>
    <t>Drainus</t>
  </si>
  <si>
    <t>Goblin Slayer Another Adventurer: Nightmare Feast</t>
  </si>
  <si>
    <t>WarioWare: Move It!</t>
  </si>
  <si>
    <t>Detective Pikachu Returns</t>
  </si>
  <si>
    <t>Pikmin 1+2</t>
  </si>
  <si>
    <t>Super Mario RPG</t>
  </si>
  <si>
    <t>Super Mario Bros. Wonder</t>
  </si>
  <si>
    <t>Dragon Quest Monsters: The Dark Prince</t>
  </si>
  <si>
    <t>Curse of the Dead Gods</t>
  </si>
  <si>
    <t>Persona 5 Tactica</t>
  </si>
  <si>
    <t>Fae Farm</t>
  </si>
  <si>
    <t>Disney Illusion Island</t>
  </si>
  <si>
    <t>Starfield</t>
  </si>
  <si>
    <t>Ghost Song</t>
  </si>
  <si>
    <t>Return to Monkey Island</t>
  </si>
  <si>
    <t>Assassin's Creed Mirage</t>
  </si>
  <si>
    <t>theHunter: Call of the Wild</t>
  </si>
  <si>
    <t>Expansive Worlds</t>
  </si>
  <si>
    <t>theHunter</t>
  </si>
  <si>
    <t>Ratchet &amp; Clank: Going Mobile</t>
  </si>
  <si>
    <t>Sony Pictures Mobile</t>
  </si>
  <si>
    <t>Handheld Games</t>
  </si>
  <si>
    <t>Resistance: Retribution</t>
  </si>
  <si>
    <t>Bend Studio</t>
  </si>
  <si>
    <t>Medieval Moves: Deadmund's Quest</t>
  </si>
  <si>
    <t>San Diego Studio</t>
  </si>
  <si>
    <t>Downhill Domination</t>
  </si>
  <si>
    <t>War of the Monsters</t>
  </si>
  <si>
    <t>The Con</t>
  </si>
  <si>
    <t>Blast Factor</t>
  </si>
  <si>
    <t>Escape Plan</t>
  </si>
  <si>
    <t>Datura</t>
  </si>
  <si>
    <t>Plastic</t>
  </si>
  <si>
    <t>Fired Up</t>
  </si>
  <si>
    <t>Numblast</t>
  </si>
  <si>
    <t>Kung Fu Rider</t>
  </si>
  <si>
    <t>C-12: Final Resistance</t>
  </si>
  <si>
    <t>Unsighted</t>
  </si>
  <si>
    <t>Studio Pixel Punk</t>
  </si>
  <si>
    <t>Lil Gator Game</t>
  </si>
  <si>
    <t>Scott Slucher</t>
  </si>
  <si>
    <t>Unsouled</t>
  </si>
  <si>
    <t>Neowiz</t>
  </si>
  <si>
    <t>MeGusta Game</t>
  </si>
  <si>
    <t>I remember when this game first came out and I wrote it off as a Metroid Fusion clone. That's not entirely untrue, though the cloned aspects are largely in story and setting. Jenosa Arma, an infectious parasite, bounty hunter, and a blaster arm are the extent of the similarities, the gameplay itself is entirely different. Scurge: Hive is an isometric Metroidvania, an angle almost entirely unseen in the genre, and apparently for good reason. This makes perspective and depth challenging to gauge, creating frustrating platforming and combat moments. The combat is also frustrating beyond the view due to enemy weapon weaknesses requiring constant swapping between weapons, which stilts the flow of the combat. Not that there's a solid pace in the game to begin with--there is an infection mechanic which requires going to save room before infection reaches 100% otherwise you'll start taking tick damage. In practice, this wasn't a major threat, but it ended up marring the exploration. In combination with too frequent enemies, it makes getting through the game's areas more annoying than engaging. It's too bad, because there is a core here that's interesting and unique, but it feels like they focused on the wrong elements instead of playing into the strengths of this alternate angle.</t>
  </si>
  <si>
    <t>Juka and the Monophonic Menace</t>
  </si>
  <si>
    <t>Chained Echoes</t>
  </si>
  <si>
    <t>Matthias Linda</t>
  </si>
  <si>
    <t>Ghost of Sparta feels to Chains of Olympus as God of War II feels to God of War. The games all function relatively the same, which at this point into the franchise feels almost more a curse than a blessing, though they also build and riff on each other in slight ways. I found Ghost of Sparta to be a more cinematic experience than Chains of Olympus, feeling even less like a handheld title than its predecessor, but it also contained some of the most annoying enemies in the series to date along with the most forgettable arsenal. That said, this is still a definite improvement over Chains of Olympus, and well worth playing, it's just that playing these games in such quick succession makes it clear how unwilling the developers were to diverge from this formula.</t>
  </si>
  <si>
    <t>Lil Gator Game is an awesome blend of Breath of the Wild and A Short Hike, crafting a nostalgic childhood experience. It certainly had me fondly remembering playing in playgrounds as a child, acting out the latest and greatest  video game, all wrapped in charming dialogue and characters. Adventuring throughout the island to discover its inhabitants and secrets is a joy, as there's lots of cute things to uncover. I'm absolutely a sucker for this type of wholesome game, inject the saccharine vibes right into my veins.</t>
  </si>
  <si>
    <t>Terminator 3: Rise of the Machines</t>
  </si>
  <si>
    <t>Terminator 3: War of the Machines</t>
  </si>
  <si>
    <t>Clever's Games</t>
  </si>
  <si>
    <t>Terminator 3: The Redemption</t>
  </si>
  <si>
    <t>Terminator Salvation</t>
  </si>
  <si>
    <t>Equity Games</t>
  </si>
  <si>
    <t>The Terminator 2029</t>
  </si>
  <si>
    <t>The Terminator: Rampage</t>
  </si>
  <si>
    <t>The Terminator: Dawn of Fate</t>
  </si>
  <si>
    <t>Super Bomberman R</t>
  </si>
  <si>
    <t>Valthirian Arc: Hero School Story 2</t>
  </si>
  <si>
    <t>Valthirian Arc</t>
  </si>
  <si>
    <t>Bazooka Cat: First Episode</t>
  </si>
  <si>
    <t>VictoryCraftStudio</t>
  </si>
  <si>
    <t>Omega Agent</t>
  </si>
  <si>
    <t>One Dog Story</t>
  </si>
  <si>
    <t>Big Way Games</t>
  </si>
  <si>
    <t>Dream</t>
  </si>
  <si>
    <t>HyperSloth</t>
  </si>
  <si>
    <t>Wanderlust Adventures</t>
  </si>
  <si>
    <t>Wanderlust</t>
  </si>
  <si>
    <t>Pepper's Puzzles</t>
  </si>
  <si>
    <t>Emad</t>
  </si>
  <si>
    <t>Pizza Tower</t>
  </si>
  <si>
    <t>Tour De Pizza</t>
  </si>
  <si>
    <t>Feudal Alloy</t>
  </si>
  <si>
    <t>Attu Games</t>
  </si>
  <si>
    <t>McPixel 3</t>
  </si>
  <si>
    <t>Puppy Cross</t>
  </si>
  <si>
    <t>Dimanche Corp.</t>
  </si>
  <si>
    <t>Roguebook</t>
  </si>
  <si>
    <t>Abrakam</t>
  </si>
  <si>
    <t>Once Upon A Jester</t>
  </si>
  <si>
    <t>Bonte Avond</t>
  </si>
  <si>
    <t>There's a good game buried in this, but it's absolutely riddled with bugs and is just an overall highly unpolished experience. Dialogue abruptly skips from line to line with almost no delay, with lines in the same sentence sounding like they were recorded in different sessions. Characters teleport, glitch, disappear. The game skips between scenes in ways I wasn't sure was intentional. I had to restart the app multiple times due to bugs causing it to be impossible to progress. An entire area of the game appeared to be skipped, because I left off at the area and when I reloaded the game I was in the next area. The story itself is OK, but it's pretty basic, mostly being about the characters. They're cute, but the game fails to trigger an emotional connection in its short run time. Additionally, the game has some extremely boring flight segments in between the story bits which I found to be tedious.</t>
  </si>
  <si>
    <t>RetroRevolution</t>
  </si>
  <si>
    <t>Meta</t>
  </si>
  <si>
    <t>Solar Ash</t>
  </si>
  <si>
    <t>Castle on the Coast</t>
  </si>
  <si>
    <t>Big Heart Productions</t>
  </si>
  <si>
    <t>Lost Egg</t>
  </si>
  <si>
    <t>Kimidori Soft</t>
  </si>
  <si>
    <t>Re:Fresh</t>
  </si>
  <si>
    <t>Merge Conflict</t>
  </si>
  <si>
    <t>Metagal</t>
  </si>
  <si>
    <t>Legend of Himari</t>
  </si>
  <si>
    <t>Ternox</t>
  </si>
  <si>
    <t>The Council</t>
  </si>
  <si>
    <t>I think that short Metroidvanias are interesting because it can be a game design challenge to make the elements that are core to the genre work within a small time constraint. Sector 781 is certainly short, clocking at just about a half an hour, but it doesn't do anything to help itself stand out. The map and powerups are nice, but traversal can be annoying due to how rapidly your jump height decreases. The boss fights are also plainly repetitive, simply doing the same back and forth pattern while spitting out identical bullets. Not the worst way to burn a half hour, but nothing standout.</t>
  </si>
  <si>
    <t>This is my favorite game that I've played by Siactro so far. His style lends itself much better to a slower paced and relaxed collectathon platformer instead of incentivizing speediness like Toree (which was not for me). I greatly enjoyed exploring this game's eight levels, though I will say that I would've liked for some more unique secrets to be scattered through the levels. Exploring was fun, but the rewards for doing so were predictable after the first level. I don't mind the shortness of Siactro's games, but it would definitely be awesome to see a longer exploration of his concepts.</t>
  </si>
  <si>
    <t>Meteos: Disney Magic</t>
  </si>
  <si>
    <t>Meteos Wars</t>
  </si>
  <si>
    <t>Project Overkill</t>
  </si>
  <si>
    <t>Broken Helix</t>
  </si>
  <si>
    <t>Paro Wars</t>
  </si>
  <si>
    <t>Deadly Arts</t>
  </si>
  <si>
    <t>Soul of the Samurai</t>
  </si>
  <si>
    <t>Ninety-Nine Nights</t>
  </si>
  <si>
    <t>N3II: Ninety-Nine Nights</t>
  </si>
  <si>
    <t>Super Robot Wars XO</t>
  </si>
  <si>
    <t>I'm constantly on the hunt for new games that evoke the same feelings that I had when playing A Short Hike, so I had to pick up this "Very Positive" Steam reviewed platformer which seemed to be of that ilk. I continue to be baffled by some games' reception on Steam, because this game is nothing but a mess. Its cutesy exterior is all it has going for it. The game performs horribly, causing my Steam Deck to run at full steam and cutting its battery life down to an hour. It's chock full of bugs, from object pop-in directly in front of you to broken menus. The platforming itself felt like I was permanently in a moon gravity level from a better platformer, with a far too slow jumping arc. Movement overall is also sluggish, with turns feeling too slow. Exploration isn't properly rewarded, especially since collectible objects aren't visible until you're directly next to them. Those objects are also the only things to find, as all of the NPCs are clustered in each of the game's areas. Re:Fresh would have been an admirable student project, but as a paid product it's embarrassing.</t>
  </si>
  <si>
    <t>Alan Wake Remastered</t>
  </si>
  <si>
    <t>Just like The Simpsons Arcade Game, the game itself is basic with  limited movesets and a short run time, but the charm is here. The game is gorgeous with some big, detailed sprites, and it certainly has all the character you'd expect out of X-Men. The voice lines are the cherry on top, with the Magneto fight actually causing me to laugh out loud. If I ever see this one in an arcade, I'm sure I'll be wrangling my friends to check it out.</t>
  </si>
  <si>
    <t>Everybody 1-2-Switch!</t>
  </si>
  <si>
    <t>1-2-Switch!</t>
  </si>
  <si>
    <t>Clive 'N' Wrench</t>
  </si>
  <si>
    <t>Numskull Games</t>
  </si>
  <si>
    <t>Dinosaur Bytes Studio</t>
  </si>
  <si>
    <t>What a relaxing and adorable puzzle game that's hiding some serious complexity underneath its simple exterior. These puzzles are genuinely well-designed, especially considering how open the world is instead of having self-contained levels. Ensuring that things like rafts and tree layouts would work from multiple directions had to have taken some serious work. Anytime I realized a new interaction, it felt as though I'd discovered fire for the first time. I will say that some interactions felt a little less intuitive, but overall quite enjoyed my time with this one.</t>
  </si>
  <si>
    <t>Odin Sphere Leifthrasir</t>
  </si>
  <si>
    <t>Awesome Possum… Kicks Dr. Machino's Butt</t>
  </si>
  <si>
    <t>Sun Wukong VS Robot</t>
  </si>
  <si>
    <t>Bitca</t>
  </si>
  <si>
    <t>After playing so many Metroidvania games in recent months, playing Metroid: Samus Returns is like coming home. Everything in this game clicks so well. The exploration is rewarding, the Aeion powerups add some excellent depth to the original game, and aiming a full 360 degrees is perfectly satisfying. Fighting similar bosses 40 times does get a little bit repetitive, but the areas are varied enough for this to not be a major detraction. This was the last game in the main Metroid series that I hadn't played, and it certainly holds up well amongst the best games in the series.</t>
  </si>
  <si>
    <t>Hexen II</t>
  </si>
  <si>
    <t>Hexen: Deathkings of the Dark Citadel</t>
  </si>
  <si>
    <t>Sanity: Aiken's Artifact</t>
  </si>
  <si>
    <t>Kiss: Psycho Circus: The Nightmare Child</t>
  </si>
  <si>
    <t>Tremor Entertainment</t>
  </si>
  <si>
    <t>Kiss</t>
  </si>
  <si>
    <t>Die Hard: Nakatomi Plaza</t>
  </si>
  <si>
    <t>Piranha Games</t>
  </si>
  <si>
    <t>Schizm: Mysterious Journey</t>
  </si>
  <si>
    <t>LK Avalon</t>
  </si>
  <si>
    <t>Schizm</t>
  </si>
  <si>
    <t>Mysterious Journey II</t>
  </si>
  <si>
    <t>Detalion</t>
  </si>
  <si>
    <t>Reah: Face the Unknown</t>
  </si>
  <si>
    <t>Realms of Illusion</t>
  </si>
  <si>
    <t>Final Fantasy is a series that I personally hold in extremely high regard. I spent the past few years playing through every game in the main series, along with a huge chunk of the side games, so I was coming into XVI with lofty expectations. Initially, I found the game to be a little bit of a drag, but with each passing hour the game was more and more endearing. The characters are likable and well-written, the gameplay has such depth beyond the first few hours of the game, and the overarching story (while flawed) kept me intrigued &amp; invested throughout. There are valid criticisms to be made about this game, such as the sidequests being boring and the lack of any real RPG mechanics, but it's a game that has such heart that it was impossible for me to dislike it. It's clear that the XIV writing team has upped the ante because this game has some of the best writing in the series along with the voice acting chops to back up the script. It also has some of the highest highs of the entire franchise, with some absolutely bombastic fights and emotional moments. The future of the Final Fantasy series is extremely bright with Yoshi-P on board.</t>
  </si>
  <si>
    <t>Doctor Who: The Edge of Reality + The Lonely Assassins</t>
  </si>
  <si>
    <t>Maze Theory</t>
  </si>
  <si>
    <t>There's something cathartic about an arcade beat 'em up. They're all simple and straightforward, but the journey of the game's stage, enemy, and boss designs can be a treat regardless. Night Slashers didn't do anything that made it particularly stand out to me, aside from its classic monster theming. It's as generic as they come otherwise. Simple movesets, quick stages, and you're home before dinner. I felt like Night Slashers relied a bit too heavily on absolutely mobbing you with enemies in later stages rather than introducing new enemy designs, but still enjoyed the 40 or so minutes it took to clear the game. I just wouldn't be going out of my way to play this in the arcade.</t>
  </si>
  <si>
    <t>Airoheart</t>
  </si>
  <si>
    <t>Pixel Heart Studio</t>
  </si>
  <si>
    <t>Afterimage</t>
  </si>
  <si>
    <t>Aurogon Shanghai</t>
  </si>
  <si>
    <t>Super Stardust Ultra VR</t>
  </si>
  <si>
    <t>d3t Ltd.</t>
  </si>
  <si>
    <t>Minecraft Legends</t>
  </si>
  <si>
    <t>Given how much of Minecraft is centered around building things, it seems like a real-time strategy base building game should be a perfect fit for adapting the series to, but I felt like this one seriously missed the mark. Controlling units never feels right, even with the game's more in-depth command menu. It's not exactly clear which units are being issued a given command and pathing often causes units to get stuck on geometry. The pacing of the game is also pretty whacky with an open world whereas I feel like a mission structure would be a better fit. I love to see Minecraft experiment with other styles and genres, I just wish this one had been structured differently.</t>
  </si>
  <si>
    <t>Light Fantasy</t>
  </si>
  <si>
    <t>Super Ninja-Kun</t>
  </si>
  <si>
    <t>It's a cute "microvania," but it's not substantive or unique enough to be significantly memorable. This was my first PICO-8 game, so I did enjoy experiencing its aesthetic, but it would've been nice to see this as a longer and more fleshed out game. As is, it's a simple distraction but not much more.</t>
  </si>
  <si>
    <t>Amnesia: The Bunker</t>
  </si>
  <si>
    <t>I have a long history with Frictional Games and have enjoyed nearly every single one of their titles, and The Bunker isn't breaking that trend. They've done well to tweak their formulaic survival horror experience into something even more refreshing than their usual fare. The game has a strong sense of atmosphere and dread with some interesting new game mechanics. I would've enjoyed some deeper lore, as this one felt a little bit light on that aspect compared to other Amnesia titles, but it was otherwise a very strong entry into the series.</t>
  </si>
  <si>
    <t>I'm not vehemently opposed to the Ubisoft open world formula like many others on the Internet. I find a lot of the aspects of their design to be relaxing and see them akin to popcorn flicks. Watch Dogs is just an unfortunate distillation of the most bland aspects of Ubisoft's design, culminating in a truly lifeless and corporatized husk. Ironic, considering its subject matter. The hacking is barebones, the stealth, driving, gunplay are all varying degrees of annoying and frustrating. Aiden Pearce himself is completely unlikeable and the story is boring. I'm surprised with how much I enjoyed Watch Dogs: Legion a few years ago, it truly did not have much of a positive foundation to work with.</t>
  </si>
  <si>
    <t>Bloodborne: The Old Hunters</t>
  </si>
  <si>
    <t>Tchia</t>
  </si>
  <si>
    <t>Kepler Interactive</t>
  </si>
  <si>
    <t>Awaceb</t>
  </si>
  <si>
    <t>Oléti Edition</t>
  </si>
  <si>
    <t>Outrigger</t>
  </si>
  <si>
    <t>Potion Permit</t>
  </si>
  <si>
    <t>MassHive Media</t>
  </si>
  <si>
    <t>Returnal stays great. Everything I loved about this game on PlayStation 5 absolutely holds up and it was a blast playing through this game again. It's just unfortunate that this PC port appears to have added some bugs which I never experienced on the original version. I have a high tolerance for most bugs, but when progression is concerned, I have zero tolerance. This game has a nasty habit of going to a black screen and killing your run entirely. I also personally experienced some performance issues which made certain fights more challenging than they should've been. In spite of these issues, I still had a great time revisiting Returnal and I'm excited to see what Housemarque does next.</t>
  </si>
  <si>
    <t>Myst</t>
  </si>
  <si>
    <t>Cosmic Osmo and the Worlds Beyond the Mackerel</t>
  </si>
  <si>
    <t>GameTap</t>
  </si>
  <si>
    <t>Cosmic Osmo</t>
  </si>
  <si>
    <t>Spelunx and the Caves of Mr. Seudo</t>
  </si>
  <si>
    <t>Myst: Masterpiece Edition</t>
  </si>
  <si>
    <t>The Manhole: Masterpiece Edition</t>
  </si>
  <si>
    <t>Myst V: End of Ages</t>
  </si>
  <si>
    <t>Myst: Uru Complete Chronicles</t>
  </si>
  <si>
    <t>Riven: The Sequel to Myst</t>
  </si>
  <si>
    <t>Myst IV: Revelation</t>
  </si>
  <si>
    <t>Myst III: Exile</t>
  </si>
  <si>
    <t>realMyst: Masterpiece Edition</t>
  </si>
  <si>
    <t>Here Comes Niko!</t>
  </si>
  <si>
    <t>Frog Vibes</t>
  </si>
  <si>
    <t>Witchy Life Story</t>
  </si>
  <si>
    <t>Sundew Studios</t>
  </si>
  <si>
    <t>Cat Café Manager</t>
  </si>
  <si>
    <t>Roost Games</t>
  </si>
  <si>
    <t>Lemon Cake</t>
  </si>
  <si>
    <t>Cozy Bee Games</t>
  </si>
  <si>
    <t>BackTrack</t>
  </si>
  <si>
    <t>Ecks vs. Sever</t>
  </si>
  <si>
    <t>Bam Entertainment</t>
  </si>
  <si>
    <t>Ballistic: Ecks vs. Sever II</t>
  </si>
  <si>
    <t>Serious Sam Advance</t>
  </si>
  <si>
    <t>When sorting my Steam library by Steam reviews, I always forget to account for the fact that any sort of anime girl aesthetic results in significant ratings inflation. It's not that Rabi-Ribi is a bad game, it's just an eyebrow raise to see such universal acclaim. The character designs are skeevy and the dialogue and plot are childish resulting in me feeling like I needed to take a shower after playing this game. The gameplay itself also wasn't for me, I don't find bullet hell too engaging and I didn't like the combat mechanics. I will say that it's impressive how non-linear this game is, it may be the most open Metroidvania I've ever played.</t>
  </si>
  <si>
    <t>Aeterna Noctis</t>
  </si>
  <si>
    <t>Aeternum Game Studios</t>
  </si>
  <si>
    <t>BlazBlue: Cross Tag Battle</t>
  </si>
  <si>
    <t>Final Vendetta</t>
  </si>
  <si>
    <t>Bitmap Bureau</t>
  </si>
  <si>
    <t>Terrible Toybox</t>
  </si>
  <si>
    <t>As far as basic brawlers go, Final Vendetta is a well-crafted and well-executed one. It's not particularly standout and doesn't really do anything which differentiates it from others in the genre, but it makes for an amusing enough hour or so. It's quite obvious where its inspirations come from, but it doesn't do those inspirations a disservice. Boy do I suck at brawlers though, I was struggling.</t>
  </si>
  <si>
    <t>Card of Darkness</t>
  </si>
  <si>
    <t>Zach Gage</t>
  </si>
  <si>
    <t>When this game works well it's addictive, strategic, and entertaining, but when it doesn't it induces hair-pulling frustration. Card of Darkness is just ruthlessly balanced when it comes to randomness -- there's no guarantee that a given board is even solvable. Compounded with some challenging to keep track of enemy effects, I often found myself in no-win, frustrating beyond belief levels. The game still has a lot going for it in terms of charm and interestingly strategic gameplay, I just wish the randomness felt a little bit more fair.</t>
  </si>
  <si>
    <t>Mojiken Studio</t>
  </si>
  <si>
    <t>Visualnoveler</t>
  </si>
  <si>
    <t>Key</t>
  </si>
  <si>
    <t>RPG Time: The Legend of Wright</t>
  </si>
  <si>
    <t>Deskworks</t>
  </si>
  <si>
    <t>Terminator: Resistance Enhanced</t>
  </si>
  <si>
    <t>Reef Entertainment</t>
  </si>
  <si>
    <t>Terminator</t>
  </si>
  <si>
    <t>Old Moon</t>
  </si>
  <si>
    <t>Adventures in the Magic Kingdom</t>
  </si>
  <si>
    <t>Bonkers</t>
  </si>
  <si>
    <t>Magical Tetris Challenge</t>
  </si>
  <si>
    <t>Avengers</t>
  </si>
  <si>
    <t>Code Name: Viper</t>
  </si>
  <si>
    <t>Exed Exes</t>
  </si>
  <si>
    <t>Memetron</t>
  </si>
  <si>
    <t>Fox Hunt</t>
  </si>
  <si>
    <t>3Vision Gamers</t>
  </si>
  <si>
    <t>G.I. Joe: The Atlantis Factor</t>
  </si>
  <si>
    <t>G.I. Joe</t>
  </si>
  <si>
    <t>Group S Challenge</t>
  </si>
  <si>
    <t>DigitalStudio</t>
  </si>
  <si>
    <t>Gun.Smoke</t>
  </si>
  <si>
    <t>Last Duel: Inter Planet War 2012</t>
  </si>
  <si>
    <t>Nemo</t>
  </si>
  <si>
    <t>One Piece Mansion</t>
  </si>
  <si>
    <t>Pocket Fighter</t>
  </si>
  <si>
    <t>A.C.R.O.N.Y.M. Games</t>
  </si>
  <si>
    <t>Trouballs</t>
  </si>
  <si>
    <t>Wolf of the Battlefield: Commando 3</t>
  </si>
  <si>
    <t>World Gone Sour</t>
  </si>
  <si>
    <t>Rocketmen: Axis of Evil</t>
  </si>
  <si>
    <t>I understand now why this was such a killer app for the PlayStation VR. It's absolutely oozing with charm and uses VR to a highly effective and accessible degree. Each stage is sharply designed and the level design is highly varied. It's a joy to actually have to look around the world to find hidden bots and the various "powerups" with the controller were all enjoyable additions. It's impossible to not be charmed by Astro Bot, I'm glad to have picked up a PlayStation VR even if it's just to experience this lovely treat.</t>
  </si>
  <si>
    <t>Cool Cool Toon</t>
  </si>
  <si>
    <t>Yooka-Laylee should have been a return to classic form, but it's nothing more than mediocre. The core platforming is enjoyable, but it's marred by the need to constantly wrangle a camera that feels like it's working against you. The game's worlds are inconsistently designed, with unclear direction and unnecessarily large &amp; empty areas. These areas are stuffed with bad minigames and side content that distract from the platforming which should take focus. There is some charm to this game when it comes to the look &amp; the characters, but it's otherwise a poorly designed mess.</t>
  </si>
  <si>
    <t>It's strange feeling a sense of nostalgia for the early smartphone days of weird, experimental apps, where no developer knew what to do with the device yet. In a sense, EPOCH. reminds me of those days. This is a game that came out while I was still in high school and at the time I would have been trawling the iOS app store for games to play during class. Under a modern lens, EPOCH. is just not good at all. It's crammed with in-app purchases despite being a paid app. Its gameplay consists of barely interacting, mostly just watching as your robot shoots at other robots. It feels like a weird attempt to adapt a lightgun shooter to mobile. The game also forces you to play on Easy difficulty prior to Normal, Normal prior to Hard, and so forth. I was bored during this game, but it was fun to reminisce on those early app store days.</t>
  </si>
  <si>
    <t>Ultra Street Fighter IV</t>
  </si>
  <si>
    <t>QLOC</t>
  </si>
  <si>
    <t>The Rusty Sword: Vanguard Island</t>
  </si>
  <si>
    <t>Plow Games</t>
  </si>
  <si>
    <t>There are some games where it's obvious that the developers had fun creating their game, and Pizza Tower is the prime example of this. Every ounce of this game oozes creativity and character. The animations, sound effects, music, the art, the powerups, the movement, and the stage design are all top notch. Pizza Tower is truly something special.</t>
  </si>
  <si>
    <t>I'd have some forgiveness if it was actually a good 15 minute long game, but The Rusty Sword is nothing more than a pale imitation of classic Zelda. It's got grating music, poor hitboxes, some pointless items, and it's over in under 15 minutes. The bombs are in the game for some reason, but don't appear to have any real use. The one room I found with bombs was completely empty. I could've seen this garnering some small fanbase as a full-fledged game, but considering its length it's not even remotely memorable.</t>
  </si>
  <si>
    <t>Spinfrog: All Aboard the Frogcopter</t>
  </si>
  <si>
    <t>Studio Somewhere</t>
  </si>
  <si>
    <t>Street Fighter II: Champion Edition</t>
  </si>
  <si>
    <t>Street Fighter II Turbo: Hyper Fighting</t>
  </si>
  <si>
    <t>Super Street Fighter II: The New Challengers</t>
  </si>
  <si>
    <t>Street Fighter: The Movie</t>
  </si>
  <si>
    <t>Incredible Technologies</t>
  </si>
  <si>
    <t>Street Fighter EX Plus α</t>
  </si>
  <si>
    <t>Street Fighter EX2 Plus</t>
  </si>
  <si>
    <t>Street Fighter EX3</t>
  </si>
  <si>
    <t>Street Fighter Anniversary Collection</t>
  </si>
  <si>
    <t>Super Street Fighter II Turbo HD Remix</t>
  </si>
  <si>
    <t>Deluxe Edition, two copies owned</t>
  </si>
  <si>
    <t>Growlanser VI: Precarious World</t>
  </si>
  <si>
    <t>Doom Eternal: The Ancient Gods - Part One</t>
  </si>
  <si>
    <t>Doom Eternal: The Ancient Gods - Part Two</t>
  </si>
  <si>
    <t>Stuffed Wombat</t>
  </si>
  <si>
    <t>PRODUCER (2021)</t>
  </si>
  <si>
    <t>Hatoful Boyfriend: Holiday Star</t>
  </si>
  <si>
    <t>Little Red Lie</t>
  </si>
  <si>
    <t>WZOGI</t>
  </si>
  <si>
    <t>In many ways this is a lovely send-off for Atelier Ryza, but it overall feels as though the ambition in this game served to distract from what it's done well in past entries. Opening up the world made the game less focused &amp; exploration less rewarding. The new key system is needlessly confusing and poorly explained. The number of different effects a single key could have bogged down the entire system and resulted in me fully disengaging with it. The translation is also frankly abysmal, rife with strange grammar and typos. This makes the dialogue seem robotic, making the late-game, jargon heavy text more of a slog than its predecessors. I still enjoyed the battle system and the core alchemy systems, but the added aspects and botched translation dragged this one down in my eyes.</t>
  </si>
  <si>
    <t>Rambo: The Video Game</t>
  </si>
  <si>
    <t xml:space="preserve"> </t>
  </si>
  <si>
    <t>Softstar Technology</t>
  </si>
  <si>
    <t>Sword and Fairy</t>
  </si>
  <si>
    <t>This is one of a few games which evoked similar feelings to A Short Hike or Toem, which is a welcome treat. Having 2D characters in a 3D world allows for excellent expressiveness that might be more challenging to capture on an indie budget with 3D models. Bright colors and charming characters, with some decent platforming all make this game a wholesome and relaxing playthrough. There is some repetition in the tasks as the game continues, and some jankiness pervades (especially with camera control in the hamster wheel), but this didn't strongly detract from the game's charm.</t>
  </si>
  <si>
    <t>Siactro has really found their niche with Nintendo 64 style platformers. With Macbat 64, I've played everything in their catalog, so I can confidently say this was one of my favorites. Their strength is definitely in the collectathon inspired games, and Macbat 64 shone for its level and gameplay variety. Each stage had some unique quirks and gameplay elements to make them individually endearing, and the overall package is satisfying as a result. I'd still love to see Siactro take on a larger project, but these smaller games do make for cute palette cleansers between longer games.</t>
  </si>
  <si>
    <t>428: Shibuya Scramble</t>
  </si>
  <si>
    <t>Chico and the Magic Orchards DX</t>
  </si>
  <si>
    <t>Daikon Games</t>
  </si>
  <si>
    <t>Seal of Evil</t>
  </si>
  <si>
    <t>Object</t>
  </si>
  <si>
    <t>Tecmo Bowl</t>
  </si>
  <si>
    <t>Tecmo Super Bowl</t>
  </si>
  <si>
    <t>Tecmo Super Bowl II: Special Edition</t>
  </si>
  <si>
    <t>Tecmo Super Bowl III: Final Edition</t>
  </si>
  <si>
    <t>Tecmo Bowl: Kickoff</t>
  </si>
  <si>
    <t>Tecmo Bowl Throwback</t>
  </si>
  <si>
    <t>Refunct has surprisingly strong mechanics and some awesome chill vibes, so I definitely found myself enjoying this more than I even expected, it's just that with its length in mind it feels more like a single level or a prototype than a full-fledged product. It would have been nice to see the ideas here more fleshed out.</t>
  </si>
  <si>
    <t>BlazBlue: Chrono Phantasma Extend</t>
  </si>
  <si>
    <t>Chronos: Before the Ashes</t>
  </si>
  <si>
    <t>Remnant</t>
  </si>
  <si>
    <t>Atom☭grad</t>
  </si>
  <si>
    <t>Petter Malmehed</t>
  </si>
  <si>
    <t>Wattam</t>
  </si>
  <si>
    <t>Azure Striker Gunvolt 2</t>
  </si>
  <si>
    <t>Sphinx and the Cursed Mummy</t>
  </si>
  <si>
    <t>Blasphemous is great in a way that I'm excited for its sequel to iron out the wrinkles. The game has an awesome sense of style with amazing art direction and an intricately crafted world. The gameplay largely feels tight and it's satisfying to counter enemy attacks. There are rewarding secrets, memorable bosses, and some fascinating characters. The combat and exploration does feel a little clunky at times, such as when crouch attacking or blocking attacks which go right past you. The relic system seems somewhat pointless--I wish that they were permanently equipped instead of requiring you to choose three, there seemed to be no good reason for this. Aside from these complaints, I had a great time with Blasphemous and I'm excited to play its recently released sequel.</t>
  </si>
  <si>
    <t>Daikaijyu Deburasu</t>
  </si>
  <si>
    <t>Sol</t>
  </si>
  <si>
    <t>Call me crazy, but God of War III is the pinnacle of the original God of War series. It impressively iterates on the foundation created by the PlayStation 2 God of War games and elevates the series stylistically and in a game design sense. I'd been feeling like both the PS2 games and the PSP games were too similar, perhaps from fear of deviating from a winning formula, but God of War III manages to take the series in some new directions. Tweaks like making certain enemies less frustrating by adding new moves for countering them, tying magic to weapons, and having a host of items all aid to make the combat feel fluid and free-flowing. The game's story is still a little juvenile with its treatment of women and its dialogue, but there are hints of the maturity seen in 2018's reboot. This was a wonderful conclusion to the original trilogy, and I think it will remain my favorite as Ascension's reception appears to be more mixed.</t>
  </si>
  <si>
    <t>As I was playing God of War Ragnarok, I kept thinking to myself how intentional everything in the game felt. The acceleration of your turns in combat, the aim assist when firing arrows, the ambient dialogue. It's a game which has had a huge amount of time devoted to making everything feel just "right," and that devotion has really paid off. Ragnarok feels like an even better version of 2018's God of War and the places it goes are bigger and even more exciting. I do find it frustrating how much handholding there is in the puzzle segments, but this is the only real flaw to me in an otherwise excellent game.</t>
  </si>
  <si>
    <t>Here They Lie</t>
  </si>
  <si>
    <t>Bound by Flame</t>
  </si>
  <si>
    <t>The Tangentlemen</t>
  </si>
  <si>
    <t>Rocketbirds 2: Evolution</t>
  </si>
  <si>
    <t>Steins;Gate 0</t>
  </si>
  <si>
    <t>Pumpkin Jack is a game which does a lot of things competently but fails to excel in any of them. It's the epitome of a PlayStation 2 era platformer, complete with all the dust and jank that brings along. The game is repetitive, has some boring minigames, same-y weapons, and floaty platforming. It does have some good style choices and it's also a pretty game, but beyond that it's a basic platformer. If that's what you're in the mood for, you can't really go wrong, but I didn't find any depth beyond that.</t>
  </si>
  <si>
    <t>This is the most Igavania-like indie game that I've ever played and that's a double edged sword. The fact it reminded me so strongly of Symphony of the Night and the GBA and DS Igavanias had me thinking of superior games, but it also executed on these concepts fairly well. The sprite work is gorgeous, weapons and spells are satisfying, and there are some neat enemy designs. The map felt strictly horizontal instead of being a more intertwined world, which hindered exploration slightly. I also found it to be pretty easy, with only a couple of accidental deaths when I wasn't paying close attention to my health. Last thing that stuck out to me was the story, which was all over the place and crammed with jargon--I didn't feel as though it executed well on its strong premise.</t>
  </si>
  <si>
    <t>The Wonderful One: After School Hero</t>
  </si>
  <si>
    <t>The Last Friend</t>
  </si>
  <si>
    <t>Skystone Games</t>
  </si>
  <si>
    <t>The Stonebot Studio</t>
  </si>
  <si>
    <t>Teslagrad 2</t>
  </si>
  <si>
    <t>Backfirewall_</t>
  </si>
  <si>
    <t>Naraven Games</t>
  </si>
  <si>
    <t>City of Beats</t>
  </si>
  <si>
    <t>Torched Hill</t>
  </si>
  <si>
    <t>Fall of Porcupine</t>
  </si>
  <si>
    <t>Critical Rabbit</t>
  </si>
  <si>
    <t>Gunlocked</t>
  </si>
  <si>
    <t>FromLefcourt</t>
  </si>
  <si>
    <t>Lamentum</t>
  </si>
  <si>
    <t>Neon Doctrine</t>
  </si>
  <si>
    <t>Obscure Tales</t>
  </si>
  <si>
    <t>Monstrum II</t>
  </si>
  <si>
    <t>Override 2: Super Mech League</t>
  </si>
  <si>
    <t>Override</t>
  </si>
  <si>
    <t>Modus Studios Brazil</t>
  </si>
  <si>
    <t>Spidersaurs</t>
  </si>
  <si>
    <t>WayForward</t>
  </si>
  <si>
    <t>Summer of '58</t>
  </si>
  <si>
    <t>EMIKA_GAMES</t>
  </si>
  <si>
    <t>Songs of Conquest</t>
  </si>
  <si>
    <t>Lavapotion</t>
  </si>
  <si>
    <t>Coromon</t>
  </si>
  <si>
    <t>TRAGsoft</t>
  </si>
  <si>
    <t>The Banner Saga 3</t>
  </si>
  <si>
    <t>Jupiter Hell</t>
  </si>
  <si>
    <t>Hyperstrange</t>
  </si>
  <si>
    <t>ChaosForge</t>
  </si>
  <si>
    <t>Starpoint Gemini Warlords</t>
  </si>
  <si>
    <t>Little Green Men Games</t>
  </si>
  <si>
    <t>Starpoint Gemini</t>
  </si>
  <si>
    <t>Behind the Frame: The Finest Scenery</t>
  </si>
  <si>
    <t>Silver Lining Studio</t>
  </si>
  <si>
    <t>Arise: A Simple Story</t>
  </si>
  <si>
    <t>Piccolo Studio</t>
  </si>
  <si>
    <t>The Spirit and the Mouse</t>
  </si>
  <si>
    <t>Armor Games Studio</t>
  </si>
  <si>
    <t>Alblune</t>
  </si>
  <si>
    <t>Hell Pie</t>
  </si>
  <si>
    <t>Sluggerfly</t>
  </si>
  <si>
    <t>New Super Lucky's Tale</t>
  </si>
  <si>
    <t>Lucky's Tale</t>
  </si>
  <si>
    <t>Gothic II</t>
  </si>
  <si>
    <t>Gothic 3</t>
  </si>
  <si>
    <t>Homeworld: Deserts of Kharak</t>
  </si>
  <si>
    <t>Blackbird Interactive</t>
  </si>
  <si>
    <t>FEWAR-DVD</t>
  </si>
  <si>
    <t>dev_dwarf, HIS, Lewmoth, nickmuse</t>
  </si>
  <si>
    <t>Life After Magic</t>
  </si>
  <si>
    <t>Chirashi Games</t>
  </si>
  <si>
    <t>Team Starlight</t>
  </si>
  <si>
    <t>Vigil: The Longest Night</t>
  </si>
  <si>
    <t>Glass Heart Games</t>
  </si>
  <si>
    <t>Quake 4</t>
  </si>
  <si>
    <t>The Rescue of Princess Blobette</t>
  </si>
  <si>
    <t>Pretty Soldier Sailor Moon</t>
  </si>
  <si>
    <t>Steel Gunner 2</t>
  </si>
  <si>
    <t>WrestleQuest</t>
  </si>
  <si>
    <t>Sybound Games</t>
  </si>
  <si>
    <t>Mega Cat Studios</t>
  </si>
  <si>
    <t>Alpha</t>
  </si>
  <si>
    <t>The Tales of Bearsworth Manor: Puzzling Pages</t>
  </si>
  <si>
    <t>The Tales of Bearsworth Manor</t>
  </si>
  <si>
    <t>The Tales of Bearsworth Manor: Chaotic Conflicts</t>
  </si>
  <si>
    <t>Dragon Quest Monsters: Battle Road Victory</t>
  </si>
  <si>
    <t>Moon Diver</t>
  </si>
  <si>
    <t>Islands of Wakfu</t>
  </si>
  <si>
    <t>Ankama Play</t>
  </si>
  <si>
    <t>Dofus</t>
  </si>
  <si>
    <t>Chousoku Henkei Gyrozetter: Albatross no Tsubasa</t>
  </si>
  <si>
    <t>Noise Inc.</t>
  </si>
  <si>
    <t>Chousoku Henkei Gyrozetter</t>
  </si>
  <si>
    <t>0 Day Attack on Earth</t>
  </si>
  <si>
    <t>Gulti</t>
  </si>
  <si>
    <t>Death by Cube</t>
  </si>
  <si>
    <t>Premium Agency</t>
  </si>
  <si>
    <t>King Arthur &amp; the Knights of Justice</t>
  </si>
  <si>
    <t>Manley &amp; Associates</t>
  </si>
  <si>
    <t>Nanatsu Kaze no Shima Monogatari</t>
  </si>
  <si>
    <t>Givro Corporation</t>
  </si>
  <si>
    <t>Eggs of Steel: Charlie's Eggcellent Adventure</t>
  </si>
  <si>
    <t>Rhythm and Hues Studios</t>
  </si>
  <si>
    <t>Astronōka</t>
  </si>
  <si>
    <t>MuuMuu</t>
  </si>
  <si>
    <t>Murder on the Eurasia Express</t>
  </si>
  <si>
    <t>Pop'n Tanks!</t>
  </si>
  <si>
    <t>Symbio Systems</t>
  </si>
  <si>
    <t>Ø Story</t>
  </si>
  <si>
    <t>General Entertainment</t>
  </si>
  <si>
    <t>Another Mind</t>
  </si>
  <si>
    <t>Cyber Org</t>
  </si>
  <si>
    <t>FuzzBox</t>
  </si>
  <si>
    <t>Kenshin Dragon Quest: Yomigaerishi Densetsu no Ken</t>
  </si>
  <si>
    <t>Dedicated Console</t>
  </si>
  <si>
    <t>SSD Company</t>
  </si>
  <si>
    <t>Cruise Chaser Blassty</t>
  </si>
  <si>
    <t>King's Knight</t>
  </si>
  <si>
    <t>Suishō no Dragon</t>
  </si>
  <si>
    <t>3-D WorldRunner</t>
  </si>
  <si>
    <t>JJ: Tobidase Daisakusen Part II</t>
  </si>
  <si>
    <t>Mystery Quest</t>
  </si>
  <si>
    <t>Carry Lab</t>
  </si>
  <si>
    <t>Rad Racer</t>
  </si>
  <si>
    <t>Rad Racer II</t>
  </si>
  <si>
    <t>Square's Tom Sawyer</t>
  </si>
  <si>
    <t>Tobal No. 1</t>
  </si>
  <si>
    <t>Tobal 2</t>
  </si>
  <si>
    <t>Tobal</t>
  </si>
  <si>
    <t>Cross Treasures</t>
  </si>
  <si>
    <t>syn Sophia</t>
  </si>
  <si>
    <t>Power Instinct 2</t>
  </si>
  <si>
    <t>Gogetsuji Legends</t>
  </si>
  <si>
    <t>Matrimelee</t>
  </si>
  <si>
    <t>Playmore</t>
  </si>
  <si>
    <t>Gōketsuji Ichizoku: Senzo Kuyō</t>
  </si>
  <si>
    <t>Yusha: Heaven's Gate</t>
  </si>
  <si>
    <t>Imadoki no Vampire: Bloody Bride</t>
  </si>
  <si>
    <t>Peak Performance</t>
  </si>
  <si>
    <t>Super Dodge Ball Advance</t>
  </si>
  <si>
    <t>Nijiiro Dodge Ball: Otome Tachi no Seishun</t>
  </si>
  <si>
    <t>Target: Renegade</t>
  </si>
  <si>
    <t>Renegade III: The Final Chapter</t>
  </si>
  <si>
    <t>Imagine Studios</t>
  </si>
  <si>
    <t>Super Mad Champ</t>
  </si>
  <si>
    <t>Tsukada Original</t>
  </si>
  <si>
    <t>River City Soccer Hooligans</t>
  </si>
  <si>
    <t>Super Dodgeball Brawlers</t>
  </si>
  <si>
    <t>Nekketsu Fighting Legend</t>
  </si>
  <si>
    <t>Voltage Fighter Gowcaizer</t>
  </si>
  <si>
    <t>Like any game, The Forest is better with friends. Exploring caves, building a base, and fighting enemies is a lot more fun with a group and helps add a lot to this game which otherwise feels slightly half-baked at times. The combat is awkward, critical items aren't telegraphed making them easy to miss, and the overall experience is filled with jank. The need to constantly open up your inventory in order to swap or craft items and the incessant babysitting of survival meters felt more a hindrance than thoughtful game design, but that could also be my general bias against survival crafting games. That said, it was a lot of fun to uncover this game's secrets with my friends and I will definitely be checking out the sequel at some time.</t>
  </si>
  <si>
    <t>King's Bounty: Dark Side</t>
  </si>
  <si>
    <t>Hard West</t>
  </si>
  <si>
    <t>Umurangi Generation</t>
  </si>
  <si>
    <t>Heart Chain Kitty</t>
  </si>
  <si>
    <t>Omega Strike</t>
  </si>
  <si>
    <t>Live by the Sword: Tactics</t>
  </si>
  <si>
    <t>Save Room: The Merchant</t>
  </si>
  <si>
    <t>Arkanoid: Eternal Battle</t>
  </si>
  <si>
    <t>The Lost Legends of Redwall: The Scout Act 2</t>
  </si>
  <si>
    <t>Good Shephred Entertainment</t>
  </si>
  <si>
    <t>Origame Digital</t>
  </si>
  <si>
    <t>origamihero games</t>
  </si>
  <si>
    <t>Woblyware</t>
  </si>
  <si>
    <t>Ash of Gods: Redemption</t>
  </si>
  <si>
    <t>WhisperGames</t>
  </si>
  <si>
    <t>AurumDust</t>
  </si>
  <si>
    <t>Ash of Gods</t>
  </si>
  <si>
    <t>Labrador Studios</t>
  </si>
  <si>
    <t>Fairune Collection</t>
  </si>
  <si>
    <t>Fairune</t>
  </si>
  <si>
    <t>Doctor Who: The Edge of Time</t>
  </si>
  <si>
    <t>Karnage Chronicles</t>
  </si>
  <si>
    <t>Nordic Trolls</t>
  </si>
  <si>
    <t>Sprint Vector</t>
  </si>
  <si>
    <t>Summertime Madness</t>
  </si>
  <si>
    <t>aNc Studios</t>
  </si>
  <si>
    <t>DP Games</t>
  </si>
  <si>
    <t>The Bunker</t>
  </si>
  <si>
    <t>Spendy Interactive</t>
  </si>
  <si>
    <t>The Complex</t>
  </si>
  <si>
    <t>Mia and the Dragon Princess</t>
  </si>
  <si>
    <t>Bloodshore</t>
  </si>
  <si>
    <t>Legacy Games</t>
  </si>
  <si>
    <t>Diablo IV</t>
  </si>
  <si>
    <t>Demon Turf: Neon Splash</t>
  </si>
  <si>
    <t>Dungeons of Dreadrock</t>
  </si>
  <si>
    <t>Prof. Dr. Christoph Minnameier</t>
  </si>
  <si>
    <t>The Princess Guide</t>
  </si>
  <si>
    <t>Mr. Driller: Drill Land</t>
  </si>
  <si>
    <t>Requiem: Avenging Angel</t>
  </si>
  <si>
    <t>Spelldrifter</t>
  </si>
  <si>
    <t>Free Range Games</t>
  </si>
  <si>
    <t>Time Killers</t>
  </si>
  <si>
    <t>Strata</t>
  </si>
  <si>
    <t>BloodStorm</t>
  </si>
  <si>
    <t>Blood Warrior</t>
  </si>
  <si>
    <t>Atop</t>
  </si>
  <si>
    <t>The Kung-Fu Master Jackie Chan</t>
  </si>
  <si>
    <t>Shadow: War of Succession</t>
  </si>
  <si>
    <t>Tribeca Digital Studios</t>
  </si>
  <si>
    <t>Phoenix Labs</t>
  </si>
  <si>
    <t>Kasumi Ninja</t>
  </si>
  <si>
    <t>Hand Made Software</t>
  </si>
  <si>
    <t>Ultra Vortek</t>
  </si>
  <si>
    <t>Catfight</t>
  </si>
  <si>
    <t>Atlantean Interactive Games</t>
  </si>
  <si>
    <t>Phantom Card</t>
  </si>
  <si>
    <t>Expect No Mercy</t>
  </si>
  <si>
    <t>Microforum</t>
  </si>
  <si>
    <t>Mace: The Dark Age</t>
  </si>
  <si>
    <t>Bio F.R.E.A.K.S.</t>
  </si>
  <si>
    <t>War Gods</t>
  </si>
  <si>
    <t>Iron &amp; Blood: Warriors of Ravenloft</t>
  </si>
  <si>
    <t>Cardinal Syn</t>
  </si>
  <si>
    <t>Criticom</t>
  </si>
  <si>
    <t>Meat Puppet</t>
  </si>
  <si>
    <t>Dark Rift</t>
  </si>
  <si>
    <t>Curse of the Azure Bonds</t>
  </si>
  <si>
    <t>Pools of Darkness</t>
  </si>
  <si>
    <t>Treasures of the Savage Frontier</t>
  </si>
  <si>
    <t>Beyond Software</t>
  </si>
  <si>
    <t>Spelljammer: Pirates of Realmspace</t>
  </si>
  <si>
    <t>Cybertech</t>
  </si>
  <si>
    <t>Dungeon Hack</t>
  </si>
  <si>
    <t>Menzoberranzan</t>
  </si>
  <si>
    <t>Blood &amp; Magic</t>
  </si>
  <si>
    <t>Tachyon Studios</t>
  </si>
  <si>
    <t>Descent to Undermountain</t>
  </si>
  <si>
    <t>Pool of Radiance: Ruins of Myth Drannor</t>
  </si>
  <si>
    <t>Dungeons &amp; Dragons: Daggerdale</t>
  </si>
  <si>
    <t>Bedlam Games</t>
  </si>
  <si>
    <t>Advanced Dungeons &amp; Dragons: Heroes of the Lance</t>
  </si>
  <si>
    <t>Dragons of Flame</t>
  </si>
  <si>
    <t>Westwood Associates</t>
  </si>
  <si>
    <t>Death Knights of Krynn</t>
  </si>
  <si>
    <t>The Dark Queen of Krynn</t>
  </si>
  <si>
    <t>MicroMagic</t>
  </si>
  <si>
    <t>Dark Sun: Shattered Lands</t>
  </si>
  <si>
    <t>Dark Sun: Wake of the Ravager</t>
  </si>
  <si>
    <t>Ravenloft: Strahd's Possession</t>
  </si>
  <si>
    <t>Ravenloft: Stone Prophet</t>
  </si>
  <si>
    <t>Al-Qadim: The Genie's Curse</t>
  </si>
  <si>
    <t>Cyberlore Studios</t>
  </si>
  <si>
    <t>Birthright: The Gorgon's Alliance</t>
  </si>
  <si>
    <t>ClayFighter</t>
  </si>
  <si>
    <t>ClayFighter 2: Judgment Clay</t>
  </si>
  <si>
    <t>ClayFighter 63⅓</t>
  </si>
  <si>
    <t>Dual Heroes</t>
  </si>
  <si>
    <t>Produce!</t>
  </si>
  <si>
    <t>Extreme-G</t>
  </si>
  <si>
    <t>Extreme-G 2</t>
  </si>
  <si>
    <t>Extreme-G 3</t>
  </si>
  <si>
    <t>Acclaim Studios Cheltenham</t>
  </si>
  <si>
    <t>XGRA: Extreme G Racing Association</t>
  </si>
  <si>
    <t>Knife Edge: Nose Gunner</t>
  </si>
  <si>
    <t>Lode Runner 3-D</t>
  </si>
  <si>
    <t>Big Bang</t>
  </si>
  <si>
    <t>Lode Runner</t>
  </si>
  <si>
    <t>Mickey's Speedway USA</t>
  </si>
  <si>
    <t>Mickey's Racing Adventure</t>
  </si>
  <si>
    <t>Mission: Impossible</t>
  </si>
  <si>
    <t>Mission: Impossible - Operation Surma</t>
  </si>
  <si>
    <t>Pardigm Entertainment</t>
  </si>
  <si>
    <t>The New Tetris</t>
  </si>
  <si>
    <t>Tetrisphere</t>
  </si>
  <si>
    <t>Robot Ponkottsu 64: Nanatsu no Umi no Caramel</t>
  </si>
  <si>
    <t>Starshot: Space Circus Fever</t>
  </si>
  <si>
    <t>Super Robot Spirits</t>
  </si>
  <si>
    <t>Tonic Trouble</t>
  </si>
  <si>
    <t>Xena: Warrior Princess: The Talisman of Fate</t>
  </si>
  <si>
    <t>Xena: Warrior Princess</t>
  </si>
  <si>
    <t>Aero Fighters Assault</t>
  </si>
  <si>
    <t>AeroGauge</t>
  </si>
  <si>
    <t>Locomotive Co.</t>
  </si>
  <si>
    <t>Air Boarder 64</t>
  </si>
  <si>
    <t>Gaga Interactive Media</t>
  </si>
  <si>
    <t>Armorines: Project S.W.A.R.M.</t>
  </si>
  <si>
    <t>Acclaim Studios London</t>
  </si>
  <si>
    <t>A Bug's Life</t>
  </si>
  <si>
    <t>Toy Story</t>
  </si>
  <si>
    <t>Buzz Lightyear of Star Command</t>
  </si>
  <si>
    <t>Toy Story 2: Buzz Lightyear to the Rescue</t>
  </si>
  <si>
    <t>Toy Story 3</t>
  </si>
  <si>
    <t>It's been great to be back into the Fire Emblem series after missing nearly every game since the GBA entries. Engage is another excellent entry, with refined and streamlined gameplay that's just as addictive as any other in the series. I love all the small tweaks that Intelligent Systems has made, such as the direct control of units when moving them around the map, and not having weapon degradation was quite welcome. The story criticisms are on point, as this game's plot is pretty basic fantasy fare but I didn't come in with high expectations on that aspect so it didn't undermine the experience for me.</t>
  </si>
  <si>
    <t>Ara Fell: Enhanced Edition /  Rise of the Third Power</t>
  </si>
  <si>
    <t>Crunchyroll Games</t>
  </si>
  <si>
    <t>Poppy Works</t>
  </si>
  <si>
    <t>Froach Club</t>
  </si>
  <si>
    <t>Melon Journey</t>
  </si>
  <si>
    <t>Clash: Artifacts of Chaos</t>
  </si>
  <si>
    <t>Zeno Edition</t>
  </si>
  <si>
    <t>Goat Simulator 3</t>
  </si>
  <si>
    <t>Coffee Stain North</t>
  </si>
  <si>
    <t>5pb</t>
  </si>
  <si>
    <t>Astronite</t>
  </si>
  <si>
    <t>Funstock</t>
  </si>
  <si>
    <t>Dume Games Studio</t>
  </si>
  <si>
    <t>Golf Club Nostalgia</t>
  </si>
  <si>
    <t>Star of Providence</t>
  </si>
  <si>
    <t>Flame Keeper</t>
  </si>
  <si>
    <t>Kautki Cave</t>
  </si>
  <si>
    <t>ATONE: Heart of the Elder Tree</t>
  </si>
  <si>
    <t>Wildboy Studios</t>
  </si>
  <si>
    <t>What Lies in the Multiverse</t>
  </si>
  <si>
    <t>Studio Voyager</t>
  </si>
  <si>
    <t>Mythic Ocean</t>
  </si>
  <si>
    <t>Paralune</t>
  </si>
  <si>
    <t>Aspire: Ina's Tale</t>
  </si>
  <si>
    <t>Wondernaut Studio</t>
  </si>
  <si>
    <t>Samudra</t>
  </si>
  <si>
    <t>Khayalan Arts</t>
  </si>
  <si>
    <t>The Tarnishing of Juxtia</t>
  </si>
  <si>
    <t>Actual Nerds</t>
  </si>
  <si>
    <t>Super Catboy</t>
  </si>
  <si>
    <t>Pixelpogo</t>
  </si>
  <si>
    <t>Iron Lung</t>
  </si>
  <si>
    <t>Dreams in the Witch House</t>
  </si>
  <si>
    <t>Bonus Stage Publishing</t>
  </si>
  <si>
    <t>Atom Brain Games</t>
  </si>
  <si>
    <t>Chop Goblins</t>
  </si>
  <si>
    <t>It's another basic indie shmup without much to differentiate it from its peers. Being able to combine with other ships is a decent enough gimmick but it's ultimately just another way of granting powerups. I enjoyed the old school anime style of this one but beyond that I didn't find it memorable.</t>
  </si>
  <si>
    <t>Blasphemous 2</t>
  </si>
  <si>
    <t>Duke Nukem Mobile: Bikini Project</t>
  </si>
  <si>
    <t>Knights of Pen and Paper +1 Edition</t>
  </si>
  <si>
    <t>Hagane no Renkinjutsushi: Meisou no Rinbukyoku</t>
  </si>
  <si>
    <t>Ozymandias: Bronze Age Empire Sim</t>
  </si>
  <si>
    <t>The Secret Games Company</t>
  </si>
  <si>
    <t>Absolute Tactics: Daughters of Mercy</t>
  </si>
  <si>
    <t>Curious Fate</t>
  </si>
  <si>
    <t>Shotgun King: The Final Checkmate</t>
  </si>
  <si>
    <t>Punkcake Delicieux</t>
  </si>
  <si>
    <t>Dexter Stardust: Adventures in Outer Space</t>
  </si>
  <si>
    <t>Dexter Team Games</t>
  </si>
  <si>
    <t>Out of Line</t>
  </si>
  <si>
    <t>The Forest Quartet</t>
  </si>
  <si>
    <t>Mads &amp; Friends</t>
  </si>
  <si>
    <t>I didn't realize that this is essentially just a demo for this same developer's longer project The Botanist, so this ended up being about the shortest "game" I've ever played. An interactive comic does seem well-suited to a device like the Playdate, but this being so short made it less interesting than it could've been.</t>
  </si>
  <si>
    <t>Casual Birder</t>
  </si>
  <si>
    <t>Diego Garcia and Max Coburn</t>
  </si>
  <si>
    <t>Shrine</t>
  </si>
  <si>
    <t>Shrine II</t>
  </si>
  <si>
    <t>Lycanthorn II: Rain of Beasts</t>
  </si>
  <si>
    <t>Lycanthorn</t>
  </si>
  <si>
    <t>Moonlaw</t>
  </si>
  <si>
    <t>Franzen</t>
  </si>
  <si>
    <t>Dizzy</t>
  </si>
  <si>
    <t>Treasure Island Dizzy</t>
  </si>
  <si>
    <t>Fast Food</t>
  </si>
  <si>
    <t>Fantastic World Dizzy</t>
  </si>
  <si>
    <t>Oliver Twins</t>
  </si>
  <si>
    <t>Kwik Snax</t>
  </si>
  <si>
    <t>Dizzy 3 and a Half</t>
  </si>
  <si>
    <t>Crash</t>
  </si>
  <si>
    <t>Magicland Dizzy</t>
  </si>
  <si>
    <t>Big Red Software</t>
  </si>
  <si>
    <t>Dizzy Panic</t>
  </si>
  <si>
    <t>Bubble Dizzy</t>
  </si>
  <si>
    <t>Spellbound Dizzy</t>
  </si>
  <si>
    <t>Dizzy: Prince of the Yolkfolk</t>
  </si>
  <si>
    <t>Dizzy Down the Rapids</t>
  </si>
  <si>
    <t>Fantastic Dizzy</t>
  </si>
  <si>
    <t>Crystal Kingdom Dizzy</t>
  </si>
  <si>
    <t>Reflective Designs</t>
  </si>
  <si>
    <t>Wonderland Dizzy</t>
  </si>
  <si>
    <t>Dizzy Enterprises</t>
  </si>
  <si>
    <t>Dreamworld Pogie</t>
  </si>
  <si>
    <t>Team Yolkfolk</t>
  </si>
  <si>
    <t>Mystery World Dizzy</t>
  </si>
  <si>
    <t>Wonderful Dizzy</t>
  </si>
  <si>
    <t>Evgeniy Barskiy</t>
  </si>
  <si>
    <t>Kotobuki Systems</t>
  </si>
  <si>
    <t>Batman: Return of the Joker</t>
  </si>
  <si>
    <t>The Flash</t>
  </si>
  <si>
    <t>Batman: The Animated Series</t>
  </si>
  <si>
    <t>Batman Forever</t>
  </si>
  <si>
    <t>Justice League Task Force</t>
  </si>
  <si>
    <t>Justice League</t>
  </si>
  <si>
    <t>Batman Forever: The Arcade Game</t>
  </si>
  <si>
    <t>Batman &amp; Robin</t>
  </si>
  <si>
    <t>Superman: The New Superman Adventures</t>
  </si>
  <si>
    <t>Batman Beyond: Return of the Joker</t>
  </si>
  <si>
    <t>Batman: Vengeance</t>
  </si>
  <si>
    <t>Justice League: Injustice for All</t>
  </si>
  <si>
    <t>Superman: Shadow of Apokolips</t>
  </si>
  <si>
    <t>Infogrames Sheffield House</t>
  </si>
  <si>
    <t>Superman: The Man of Steel</t>
  </si>
  <si>
    <t>Circus Freak</t>
  </si>
  <si>
    <t>Batman: Dark Tomorrow</t>
  </si>
  <si>
    <t>Superman: Countdown to Apokolips</t>
  </si>
  <si>
    <t>Mistic Software</t>
  </si>
  <si>
    <t>Aquaman: Battle for Atlantis</t>
  </si>
  <si>
    <t>Aquaman</t>
  </si>
  <si>
    <t>Batman: Rise of Sin Tzu</t>
  </si>
  <si>
    <t>Justice League: Chronicles</t>
  </si>
  <si>
    <t>Full Fat</t>
  </si>
  <si>
    <t>Justice League Heroes</t>
  </si>
  <si>
    <t>Justice League Heroes: The Flash</t>
  </si>
  <si>
    <t>Teen Titans</t>
  </si>
  <si>
    <t>Batman: Chaos in Gotham</t>
  </si>
  <si>
    <t>Panic Museum</t>
  </si>
  <si>
    <t>Haunted Museum</t>
  </si>
  <si>
    <t>Shh…! Welcome to Frightfearland</t>
  </si>
  <si>
    <t>MorphX</t>
  </si>
  <si>
    <t>Justice League Heroes United</t>
  </si>
  <si>
    <t>Logicalbeat</t>
  </si>
  <si>
    <t>Aleste Gaiden</t>
  </si>
  <si>
    <t>Power Strike II</t>
  </si>
  <si>
    <t>Aleste 2</t>
  </si>
  <si>
    <t>GG Aleste</t>
  </si>
  <si>
    <t>Zanac</t>
  </si>
  <si>
    <t>Gun-Nac</t>
  </si>
  <si>
    <t>Sylphia</t>
  </si>
  <si>
    <t>Gauntlet IV</t>
  </si>
  <si>
    <t>Dandy</t>
  </si>
  <si>
    <t>Time Bandit</t>
  </si>
  <si>
    <t>TRS-80 Color Computer</t>
  </si>
  <si>
    <t>MichTron</t>
  </si>
  <si>
    <t>Tutankham</t>
  </si>
  <si>
    <t>Gauntlet II</t>
  </si>
  <si>
    <t>Gauntlet: The Third Encounter</t>
  </si>
  <si>
    <t>Gauntlet III: The Final Quest</t>
  </si>
  <si>
    <t>Gauntlet: Seven Sorrows</t>
  </si>
  <si>
    <t>Midway Studios San Diego</t>
  </si>
  <si>
    <t>Crankin's Time Travel Adventure</t>
  </si>
  <si>
    <t>uvula</t>
  </si>
  <si>
    <t>Lost Your Marbles</t>
  </si>
  <si>
    <t>Sweet Baby Inc.</t>
  </si>
  <si>
    <t>Pick Pack Pup</t>
  </si>
  <si>
    <t>Nic Magnier, Arthur Hamer, Logan Gabriel</t>
  </si>
  <si>
    <t>Echoic Memory</t>
  </si>
  <si>
    <t>Samantha Zero</t>
  </si>
  <si>
    <t>Demon Quest '85</t>
  </si>
  <si>
    <t>Crooked Park</t>
  </si>
  <si>
    <t>Zipper</t>
  </si>
  <si>
    <t>Bennett Foddy</t>
  </si>
  <si>
    <t>Questy Chess</t>
  </si>
  <si>
    <t>Dadako</t>
  </si>
  <si>
    <t>Executive Golf DX</t>
  </si>
  <si>
    <t>davemakes</t>
  </si>
  <si>
    <t>Saturday Edition</t>
  </si>
  <si>
    <t>Wild Rose</t>
  </si>
  <si>
    <t>Star Sled</t>
  </si>
  <si>
    <t>Spellcorked!</t>
  </si>
  <si>
    <t>Jada Gibbs, Nick Splendorr, Ryan Splendorr</t>
  </si>
  <si>
    <t>Inventory Hero</t>
  </si>
  <si>
    <t>Sasquatchers</t>
  </si>
  <si>
    <t>Chuck Jordan</t>
  </si>
  <si>
    <t>Forrest Byrnes: Up in Smoke</t>
  </si>
  <si>
    <t>Nels Anderson</t>
  </si>
  <si>
    <t>Ratcheteer</t>
  </si>
  <si>
    <t>Shaun Inman, Matthew Grimm, Charlie Davis</t>
  </si>
  <si>
    <t>Horizon Forbidden West: Burning Shores</t>
  </si>
  <si>
    <t>Resident Evil 4: Separate Ways</t>
  </si>
  <si>
    <t>This is a lovely introduction to the Playdate. It's just the sort of small, charming thing I'd expect out of a small, charming device. This game has the personality of games like Toem, all about chill exploration of a small town. I enjoyed figuring out how to track down each one of the game's 27 birds while getting to know the town's characters. Focusing the camera with the crank wasn't the most engaging of gameplay quirks given it felt laggy when focusing and moving simultaneously, but this didn't greatly detract from such a chill game where precision isn't important.</t>
  </si>
  <si>
    <t>Moonscars</t>
  </si>
  <si>
    <t>Black Mermaid</t>
  </si>
  <si>
    <t>The Wild at Heart</t>
  </si>
  <si>
    <t>Moonlight Kids</t>
  </si>
  <si>
    <t>Archvale</t>
  </si>
  <si>
    <t>idoz &amp; phops</t>
  </si>
  <si>
    <t>Cute concept with not the best execution. I like the idea of using the crank as a fishing hook to get a thief all the way to some sort of treasure, but I wasn't on board with how horizontal movement was automatic versus just using the directional pad. It's also a bit odd how you're ranked for each level, but are unable to replay levels without restarting the game. The game is charming, but mostly boring to play.</t>
  </si>
  <si>
    <t>Galactic Pinball</t>
  </si>
  <si>
    <t>Bomberman: Panic Bomber</t>
  </si>
  <si>
    <t>Teleroboxer</t>
  </si>
  <si>
    <t>Virtual Lab</t>
  </si>
  <si>
    <t>Nacoty</t>
  </si>
  <si>
    <t>3D Tetris</t>
  </si>
  <si>
    <t>Tetris Worlds</t>
  </si>
  <si>
    <t>Blind Fate: Edo no Yami</t>
  </si>
  <si>
    <t>Troglobytes Games</t>
  </si>
  <si>
    <t>Ephemeral Tale</t>
  </si>
  <si>
    <t>Dawdling Dog</t>
  </si>
  <si>
    <t>Itorah</t>
  </si>
  <si>
    <t>Grimbart Tales</t>
  </si>
  <si>
    <t>Soulstice</t>
  </si>
  <si>
    <t>Reply Game Studios</t>
  </si>
  <si>
    <t>Chocobo Land: A Game of Dice</t>
  </si>
  <si>
    <t>Dragon Knight</t>
  </si>
  <si>
    <t>Dragon Knight II</t>
  </si>
  <si>
    <t>ELF Corporation</t>
  </si>
  <si>
    <t>Knights of Xentar</t>
  </si>
  <si>
    <t>Megatech Software</t>
  </si>
  <si>
    <t>Dragon Knight 4</t>
  </si>
  <si>
    <t>I enjoyed playing through this game but didn't find it to be anything exceptional. It's obviously expensive and meticulously designed, but it feels like a not insignificant amount of that design has been devoted to trying to make the game into as much of a treadmill as possible. Playing through the story was entertaining, but by the end of it I was finding the gameplay to be mindless and repetitive. This makes Diablo IV a great game to play for media multitasking but not something that I'd want to focus on completely. It's a good game, but its game design feels sanitized in order to maximize its appeal and money-making potential.</t>
  </si>
  <si>
    <t>Zenovia</t>
  </si>
  <si>
    <t>This one definitely gets points for creativity, and in a way its jankiness lends to its charm. The golfing itself isn't actually that good and the game has some bugs, but in spite of that I still enjoyed what this one had to offer. I'm betting the game is an even more enjoyable speedrun than a casual playthrough, but I'm not about to devote the time to figuring out if that's true.</t>
  </si>
  <si>
    <t>Shin-chan: Me and the Professor on Summer Vacation -The Endless Seven-Day Journey-</t>
  </si>
  <si>
    <t>Neos</t>
  </si>
  <si>
    <t>Crayon Shin-chan</t>
  </si>
  <si>
    <t>Castle on the Coast is not the most engaging and innovative with its floaty controls and wonky physics. I found the jetpack early on and found it to trivialize most of the game, to the point where I almost wished that they hadn't included it as a part of the main game (it could have made for an awesome easy mode). The level design and characters are cute, however, and I did enjoy tracking down all of the game's "stars," so it definitely succeeded in evoking an old-school collectathon. It just could have done with a bit of polish!</t>
  </si>
  <si>
    <t>GRUNND</t>
  </si>
  <si>
    <t>SEKTAHOUSE</t>
  </si>
  <si>
    <t>About as simple as a side-scrolling platformer can get. It's got some neat levels but nothing that stuck out to me as particularly memorable. I also felt like the fall speed from jumps was perhaps a touch too quick, but the game was over in 20 minutes so it wasn't a major annoyance. Would've been interesting to see the game attempt some more unique twists with the stage design, and it felt like it was getting there in the later levels, but it didn't go far enough for me.</t>
  </si>
  <si>
    <t>I haven't played a game that truly made me feel like I was good at games in a long time, which is a testament to how sharply Neon White's gameplay is designed. Executing perfectly on a level feels amazing and is totally achievable thanks to smart level design, tight controls, and how easy repetition is in Neon White. Being able to smack one button and instantly restart the level with no downtime was such a boon and takes all of the bite out of failure, instead pushing me to aim for quicker and quicker level times. The biggest downside, as I'm sure is the consensus, is this game's writing. I didn't hate the overarching plot or the characters, but the dialogue is often grating and immature. The backstory is particularly juvenile--I found myself mostly tuning it out. Aside from this, the game is sharp and focused so it didn't greatly detract, but it's an area where the game could have been better.</t>
  </si>
  <si>
    <t>This is my first exposure to David Szymanski's games and it makes a solid first impression. The concept is just ridiculous enough to be awesome, the gameplay is solid, and there are some unique weapons and stages. There's not much else I could ask for in a boomer shooter. I would've loved to see this be a bit longer than it was, but I'm not opposed to a bite-sized experience.</t>
  </si>
  <si>
    <t>Ubisoft Bordeaux</t>
  </si>
  <si>
    <t>It's unfortunate how poorly this series translated into the third dimension. There's certainly a good game buried here, but it's underneath a plethora of technical issues and poor design. The game is riddled with bugs--I experienced everything from the game refusing to accept any sort of control (keyboard &amp; mouse or controller), physics wackiness that would launch me across the stage, and crashes. On top of this, the game does a poor job at communicating depth with its stage design so I would often misinterpret object placement causing a number of missed jumps. Trine 3 also abruptly finishes in what appears to be the first third of the game--the characters literally say they've gotten the first of three fragments and then the credits immediately roll. I hear that Trine 4 and 5 are much better, so I'm still excited to play those, but this was just a flat out disappointment coming from a decent fan of the first two games.</t>
  </si>
  <si>
    <t>Cute puzzle game. There's a good sense of humor even if the satire is sometimes a bit on the nose. The classic block matching gameplay also has some nice variety across its 30 levels, with some delightfully unique challenges. It's not the most original or most intricate game, but it's well-suited to the Playdate.</t>
  </si>
  <si>
    <t xml:space="preserve">Gaming's strength is interactivity so when an experience is almost totally devoid of interactivity I wonder what was the purpose of even making it a game. Sunlight is like this, it's visually and auditorily gorgeous, but the "game" can be completed by standing entirely still while dialogue plays, and then picking up a flower to progress the dialogue. This dialogue was a poetic monologue that I found to be pretentious and dull. This could have been an interesting short film for some, but as a game it feels pointless. </t>
  </si>
  <si>
    <t>This is an excellent expansion to an already excellent remake. I'd never played the original Separate Ways given I initially played Resident Evil 4 on the GameCube, so it was a treat to see how Ada was able to show up at the times she did in the base game. I also enjoyed the addition of the grapple, which helped to freshen the already stellar gameplay. The fact that this DLC is fairly priced compared to Village's expansion makes this an even sweeter package!</t>
  </si>
  <si>
    <t>I've spent the past several months playing through Divinity 2 with a good friend and it has been one of my favorite gaming experiences in my life. The entire world is remarkably interactive and responsive, with so much freedom to play through its story. We had an absolute blast trying to solve quests and win combat encounters with off the wall strategies. Building our characters was also a rewarding experience, especially since it was so easy to reset any of our attributes. The combat itself is an absolute blast. I loved how strategic the encounters were, requiring genuine thought and some creative play to win. I know I'm several years late to this game, but this holds up as an all time great.</t>
  </si>
  <si>
    <t>Combined Rating</t>
  </si>
  <si>
    <t>Insurmountable</t>
  </si>
  <si>
    <t>ByteRockers' Games</t>
  </si>
  <si>
    <t>Love Potion</t>
  </si>
  <si>
    <t>Fatal Relations</t>
  </si>
  <si>
    <t>Psycho Dream</t>
  </si>
  <si>
    <t>Watch Dogs 2 is improved over its predecessor but it still falls short of its potential. I enjoyed the story and characters more than the first game, especially because the main protagonist was not wholly unlikeable, but it also mainly consisted of tired and weak criticisms of big data. Considering its parent company, it comes of as a neutered critique. That said, it was enjoyable to see my home city represented, and it was actually recognizable for the most part. The gameplay seems to also have been improved, less frequently devolving into shootouts, but the "hack anything" concept has still failed to come to fruition as it largely devolves into "hack an enemy's phone to buzz and distract them." This concept could still be implemented much more creatively than this series has achieved.</t>
  </si>
  <si>
    <t>I'm a believer in Doom Eternal's superiority to 2016's Doom and this DLC reinforced that belief. I hadn't played the game since its original release so there was a slight learning curve, but once I was back in the swing of demon slaying it felt like coming home. This DLC is an amped up version of the challenges that I encountered in the base game along with some new twists. I wasn't the biggest fan of the spirit mechanic given it requires a specific weapon loadout but other than that I had a blast with part one. Also, found the concept of a Doom slayer intern absolutely hilarious.</t>
  </si>
  <si>
    <t>Not as good as Part One, but still great. I liked the new enemies and tools a lot more in this one, but they felt less well utilized. The final boss of this episode is also underwhelming compared to the absolute nailbiter of a boss in Part One. It's still worthy of the Doom Eternal name with some excellent ripping and tearing, but doesn't quite reach the highs this game has previously established.</t>
  </si>
  <si>
    <t>The Moon Sliver</t>
  </si>
  <si>
    <t>Fingerbones</t>
  </si>
  <si>
    <t>Lemmings</t>
  </si>
  <si>
    <t>Oh No! More Lemmings</t>
  </si>
  <si>
    <t>Lemmings 2: The Tribes</t>
  </si>
  <si>
    <t>The Lemmings Chronicles</t>
  </si>
  <si>
    <t>3D Lemmings</t>
  </si>
  <si>
    <t>Clockwork Games</t>
  </si>
  <si>
    <t>Lemmings Revolution</t>
  </si>
  <si>
    <t>Psygnosis Leeds</t>
  </si>
  <si>
    <t>Lemmings Paintball</t>
  </si>
  <si>
    <t>Visual Science</t>
  </si>
  <si>
    <t>Gourmet Warriors</t>
  </si>
  <si>
    <t>Water Margin: A Tale of Clouds and Winds</t>
  </si>
  <si>
    <t>Never Ending Soft Team</t>
  </si>
  <si>
    <t>First Samurai</t>
  </si>
  <si>
    <t>Blender Bros.</t>
  </si>
  <si>
    <t>Inforames</t>
  </si>
  <si>
    <t>Second Samurai</t>
  </si>
  <si>
    <t>O.D.T.: Escape… Or Die Trying</t>
  </si>
  <si>
    <t>FDI</t>
  </si>
  <si>
    <t>Tinhead</t>
  </si>
  <si>
    <t>8 Eyes</t>
  </si>
  <si>
    <t>Stone Protectors</t>
  </si>
  <si>
    <t>Zero Tolerance</t>
  </si>
  <si>
    <t>Risky Woods</t>
  </si>
  <si>
    <t>Canon: Legends of the New Gods</t>
  </si>
  <si>
    <t>Switchblade</t>
  </si>
  <si>
    <t>Switchblade II</t>
  </si>
  <si>
    <t>Jim Power in Mutant Planet</t>
  </si>
  <si>
    <t>Loriciel</t>
  </si>
  <si>
    <t>Digital Concept</t>
  </si>
  <si>
    <t>Jim Power</t>
  </si>
  <si>
    <t>Jim Power: The Lost Dimension in 3-D</t>
  </si>
  <si>
    <t>Gadget Twins</t>
  </si>
  <si>
    <t>Legends</t>
  </si>
  <si>
    <t>Guildhall Leisure Services</t>
  </si>
  <si>
    <t>Krisalis Software</t>
  </si>
  <si>
    <t>This is an awesome realization of the classic SNES RPG. It's been modernized in all the right ways with stunning art and sweeping music. Its gameplay has the hooks of a classic RPG with some modern tweaks to make it enjoyable no matter the enemy. The timing attacks really encouraged me to stay engaged with combat, it never devolved into simply mashing the attack button. All of its other small mechanics, like revives happening after a number of turns and the option to enhance any move both help to make combat a breeze and add additional strategic layers. All that said, I found the story and main characters to be a bit corny. It felt like pacing was all over the place and I was left with a number of unanswered questions. The main characters were almost lifeless with how little characterization they had, but the supporting cast often made up for this flaw. Sea of Stars is the closest any game has come to Chrono Trigger, even in spite of its weaker elements, so it will certainly be a game that I remember fondly.</t>
  </si>
  <si>
    <t>FromSoftware is in a class of their own. They've released nothing but banger after banger for over a decade and Armored Core VI is no exception. The game is fast and exciting with industrial audio design and gorgeous environments. Almost every mission feels like a spectacle making it clear that this team did their best to ensure zero filler. I will say that it did not hook me as deeply as the Souls games, but that may just be my personal preference. I also found the game to be somewhat easy--I kept mostly the same build with some small tweaks throughout the entire game and my strategy mostly consisted of firing my weapons literally nonstop while dashing frenetically. However, the game kept my playstyle interesting with a number of unique enemies to take down, so I'm not sure if that's necessarily a fault with the game or with my playstyle. Armored Core VI holds up FromSoftware's hot streak and has also piqued my interest in exploring even more of this company's back catalog.</t>
  </si>
  <si>
    <t>Eternal Threads</t>
  </si>
  <si>
    <t>Cosmonaut Studios</t>
  </si>
  <si>
    <t>Cryptark</t>
  </si>
  <si>
    <t>The Textorcist: The Story of Ray Bibbia</t>
  </si>
  <si>
    <t>MorbidWare</t>
  </si>
  <si>
    <t>Lair of the Clockwork God</t>
  </si>
  <si>
    <t>I love the huge, colorful sprites this game has got but not much else about it. The game is designed with enemy placements that often seem to require foreknowledge. Either hitboxes or the game's control also felt a little odd--I would sometimes feel like I should have hit an enemy before they hit me. It feels like it's a little too easy to get hit by enemies especially considering you can only take two hits before taking a death. The stage design itself isn't anything special either, with one of the game's five stages even being an auto-scroller. I love that these developers have done the work to resurrect this game, but it's not something that's really worth my time outside of historical curiosity.</t>
  </si>
  <si>
    <t>Lost Your Marbles has some great art and is packed with good humor. The lighthearted story it tells is perfect for a low-stakes palette cleanser. Making choices in this game requires using the crank to roll a marble around, which is a blast for one playthrough, but I can't imagine attempting to get specific choices with how tricky it is to precisely control the marble.</t>
  </si>
  <si>
    <t>I feel like the first step of making a VR fishing game is making sure the casting actually works. Apparently, Square Enix didn't get that memo with Monster of the Deep because its motion-controlled casting mechanics are barely functional. In fact, most of this game is barely functional, with its often abysmally low resolution and barebones fishing mechanics. The only good parts are that it's funny how the player arms just streeeeetch as you reach out and that some of the boss fights are actually kind of cool.</t>
  </si>
  <si>
    <t>It's an adorable game and certainly one of the better wholesome, relaxing games I've played. Tracking down all of the wildlife was a joyful experience and it paid off with a decently cute story. I don't think the characters were as memorable as A Short Hike or Lil Gator Game--they didn't have much personality to differentiate from one another--but the vibes were all here. I also did find it amusing that an unsupervised child was running around constructing all sorts of structures.</t>
  </si>
  <si>
    <t>My primary complaint with older God of War games has been their lack of evolution, so it's ironic that I find Ascension, the largest departure from series' staples, to be the weakest entry. Everything about this game feels unnecessary, from its very existence telling a story that doesn't need to be told to changes such as modifying counter mechanics. It's certainly the best looking PlayStation 3 game I've ever seen and the spectacle is all there, but the gameplay is weaker due to a lack of variety and gameplay design changes which only serve to stifle the flow of combat.</t>
  </si>
  <si>
    <t>A Wolf in Autumn</t>
  </si>
  <si>
    <t>Aliens Versus Predator Classic 2000</t>
  </si>
  <si>
    <t>Summer Catchers</t>
  </si>
  <si>
    <t>FaceIT</t>
  </si>
  <si>
    <t>Search</t>
  </si>
  <si>
    <t>ParsonsGames</t>
  </si>
  <si>
    <t>Devm Games</t>
  </si>
  <si>
    <t>I've played so many games inspired by Diablo so coming back to the game that invoked those comparisons was partially an archeological exploration and mostly an enjoyable experience. I hadn't realized just how faithful Diablo II: Resurrected is to the original game, so wrestling with some of the dated game design elements did initially put me off from the game, but by the end of the campaign I found myself quite enjoying the loop. Diablo II felt so good whenever I was exploring a new area or dungeon, with a solid sense of genuine discovery. It does lack several modern day conveniences, like the ability to respec your character more than a single time (meaning I was stuck with some bad choices I made early on). This hindered my ability to experiment more with my build which certainly felt constricting. As dated as this game is, it definitely still holds up and I can see why it's been such an inspiration to so many games.</t>
  </si>
  <si>
    <t>Alan Wake II</t>
  </si>
  <si>
    <t>Epic Games Publishing</t>
  </si>
  <si>
    <t>Super Adventure Hand</t>
  </si>
  <si>
    <t>It's easy to forget just how groundbreaking Call of Duty 4 was given the oversaturation of modern military shooters in the past 15 or so years, and Modern Warfare 2 only served to build and improve on that formula. This game felt like Modern Warfare 2.1, only piggybacking on its predecessors successes. Both Call of Duty 4 and Modern Warfare 2 have a number of memorable missions, but I could not tell you a single mission from this game. There's just an extreme lack of restraint, with every single mission devolving into everything exploding with a threadbare plot that's mostly just an excuse to blow more shit up. It's a game that feels soulless, more of an explosive shooting gallery than a genuine campaign.</t>
  </si>
  <si>
    <t>Disruptor</t>
  </si>
  <si>
    <t>Dream Zone</t>
  </si>
  <si>
    <t>Baudville</t>
  </si>
  <si>
    <t>JAM Software</t>
  </si>
  <si>
    <t>I appreciate that Ubisoft has returned Assassin's Creed to a more condensed adventure and I overall felt that this was a solid entry into the series, but I did feel a lack of evolution and polish with this soft gameplay reboot. It feels like the series has a number of small issues which have simply never been corrected culminating in a rougher overall experience. Boring tailing missions, finnicky parkour, and middling combat all among those issues. Mirage in particular also struggles in the story department, with an uninteresting plot and largely forgettable characters. In spite of these issues, I enjoy the core sneaking and assassinating to be had here, so I still had a good time playing through this one.</t>
  </si>
  <si>
    <t>Effective humor in video games is so rare making it such a pleasant treat when something hits just right. West of Loathing is packed with smart comedy (along with some lowbrow) and the majority of it is quality. It's oozing with creativity and its art style honestly works in its favor, hearkening to XKCD or simpler days of internet comics. I wasn't the largest fan of the battle system, as it was a little bit basic and wasn't really what I was interested in, but it was still fun enough to break up the more adventure game elements.</t>
  </si>
  <si>
    <t>Visage</t>
  </si>
  <si>
    <t>SadSquare Studio</t>
  </si>
  <si>
    <t>Nintendo proving once again why they're in another class when it comes to raw creativity. Super Mario Bros. Wonder is definitely the best side-scrolling Mario game in over a decade, absolutely oozing with one-off ideas which could make up an entire indie game. It's a joy to uncover what each Wonder Seed will do to the stage in question. The sound design and control have also been greatly improved over the New Super Mario Bros. series. I love how iconic sound effects have been reimagined, breathing a ton of new life into a formula which had been growing stale. The art direction is also fantastic making it clear how much attention the developers have given to every small detail. I'd say I do have some small complaints with the game. The boss designs are repetitive, which is uncharacteristic with the rest of the game. The new powerups, while fun to use, also don't seem to serve specific purposes--especially the elephant powerup. I also have the same issue with the badges, I feel like there could have been a lot more done with this concept. These small complaints aside, this is a fantastic Mario game.</t>
  </si>
  <si>
    <t>Remedy is proving that they have a handle on storytelling in games like no other. The way in which this developer weaves storytelling with gameplay is innovative in ways I haven't seen. This is backed with extremely impressive technical wizardry (The Mind Place, the lamp) and massively improved core gameplay over the original game. Enemies are genuinely threatening, while combat encounters are just sparse enough to remain interesting. This is the kind of game that had me googling "story discussion reddit" immediately after finishing it meaning it's one I'll be thinking about for some time.</t>
  </si>
  <si>
    <t>The Lord of the Rings: Gollum</t>
  </si>
  <si>
    <t>Redfall</t>
  </si>
  <si>
    <t>Arkane Austin</t>
  </si>
  <si>
    <t>The randomness of this game's obstacles often placed me in scenarios that felt no-win. I would have preferred more predictable, learnable patterns versus boulders that take a frustratingly long time to surpass. Potatoman is overall a basic platformer which doesn't do enough to differentiate itself. It doesn't even do a good job of injecting humor, which seems like it could've been the game's strongest point.</t>
  </si>
  <si>
    <t>This was just not an interesting gameplay loop nor an interesting concept for a game. It seems forced to try and call this a horror game. A flooded forest, like, okay? I'm really not seeing what there is to find remotely unsettling about that. It also felt like playing this game entailed swimming in circles for thirty minutes, which rapidly felt stale within five.</t>
  </si>
  <si>
    <t>Souldiers</t>
  </si>
  <si>
    <t>Retro Forge</t>
  </si>
  <si>
    <t>SCP: Secret Files</t>
  </si>
  <si>
    <t>Pixmain</t>
  </si>
  <si>
    <t>GameZoo Studio</t>
  </si>
  <si>
    <t>SCP</t>
  </si>
  <si>
    <t>Creative Games Computer Graphics Corporation</t>
  </si>
  <si>
    <t>Prodeus</t>
  </si>
  <si>
    <t>Bounding Box Software</t>
  </si>
  <si>
    <t>WWE 2K23</t>
  </si>
  <si>
    <t>WWE</t>
  </si>
  <si>
    <t>Hardspace: Shipbreaker</t>
  </si>
  <si>
    <t>Abyss of the Sacrifice</t>
  </si>
  <si>
    <t>Infinity Strash: Dragon Quest - The Adventure of Dai</t>
  </si>
  <si>
    <t>Touhou Luna Nights</t>
  </si>
  <si>
    <t>The Centennial Case: A Shijima Story</t>
  </si>
  <si>
    <t>Apollo Justice: Ace Attorney Trilogy</t>
  </si>
  <si>
    <t>Star Ocean: The Second Story R</t>
  </si>
  <si>
    <t>Spirit Hunter: Death Mark II</t>
  </si>
  <si>
    <t>111-4264583-5573862</t>
  </si>
  <si>
    <t>Shiren the Wanderer: The Mystery Dungeon of Serpentcoil Island</t>
  </si>
  <si>
    <t>Neptunia Game Maker R:Evolution</t>
  </si>
  <si>
    <t>Fitness Boxing: Fist of the North Star</t>
  </si>
  <si>
    <t>Touch Detective 3 + The Complete Case Files</t>
  </si>
  <si>
    <t>111-5383875-7048233</t>
  </si>
  <si>
    <t>The Legend of Heroes: Trails through Daybreak</t>
  </si>
  <si>
    <t>111-7615078-6508203</t>
  </si>
  <si>
    <t>Unicorn Overlord</t>
  </si>
  <si>
    <t>Another Code: Recollection</t>
  </si>
  <si>
    <t>114-7025635-1628267</t>
  </si>
  <si>
    <t>112-9847239-3829819</t>
  </si>
  <si>
    <t>Princess Peach: Showtime!</t>
  </si>
  <si>
    <t>112-4307319-8361048</t>
  </si>
  <si>
    <t>112-6087598-0413821</t>
  </si>
  <si>
    <t>Final Fantasy VII Rebirth</t>
  </si>
  <si>
    <t>112-9985330-0461028</t>
  </si>
  <si>
    <t>Persona 3 Reload</t>
  </si>
  <si>
    <t>111-6993249-6501030</t>
  </si>
  <si>
    <t>114-6267393-5243455</t>
  </si>
  <si>
    <t>Lost Ruins</t>
  </si>
  <si>
    <t>VGP507310</t>
  </si>
  <si>
    <t>Aokana: Four Rhythms Across the Blue</t>
  </si>
  <si>
    <t>Raging Loop</t>
  </si>
  <si>
    <t>World of Horror</t>
  </si>
  <si>
    <t>Bomb Rush Cyberfunk</t>
  </si>
  <si>
    <t>BBY01-806795039659</t>
  </si>
  <si>
    <t>I'm not usually the target audience for hardcore, nearly kaizo level platformers, so that Celeste was so enjoyable speaks to its appeal. I don't think I'll ever be able to unlock everything this game has to offer, but its main story was endearing and it was chock full of lovely challenges that felt difficult without being frustrating. I did occasionally feel like the Switch's joystick was the wrong input for this type of game, especially when I'd unintentionally dash in the wrong direction, but with how easy it was to quickly retry a segment, this didn't detract greatly from the experience.</t>
  </si>
  <si>
    <t>Centipede: Recharged</t>
  </si>
  <si>
    <t>Adamvision Studios</t>
  </si>
  <si>
    <t>Centipede</t>
  </si>
  <si>
    <t>Centipede: Infestation</t>
  </si>
  <si>
    <t>Insomniac's Spider-Man games are top tier blockbuster video games, there's no denying that. This game has everything dialed up even greater than the previous two games, with larger spectacle and an enormous amount of technical prowess on display. I did find the story to be a little bit weaker than the first game, but after a slower start it leveled out and strengthened. The combat and exploration are definitely better than ever, with an astounding amount of options for dispatching foes and vastly improved web-slinging. The Web Wings also make exploring New York a treat, truly the best open world traversal out of any game I've played. Insomniac definitely "gets" Spider-Man, so I'm hopeful they'll get to continue using this property for some time.</t>
  </si>
  <si>
    <t>Invincible Presents: Atom Eve</t>
  </si>
  <si>
    <t>I liked Forbidden West and this is more of that. It's also one of the most visually stunning showpieces that I've played this year, with some jaw-dropping gorgeous landscapes, clouds, water, and of course the machines. It's obvious that Guerrilla is unburdened by the PlayStation 4 with this DLC. I enjoyed all of the new additions and found the story to be engaging, as I always appreciate more backstory and worldbuilding when it comes to Horizon. The story quests have some incredible environments and set-pieces as well. Despite my positivity, it does seem like the main plot could have used some more time as it feels quite brisk, but I otherwise loved revisiting Horizon.</t>
  </si>
  <si>
    <t>After playing Sea of Stars, I had to play the game that put Sabotage Studio on the map, and I'm glad that I did for a number of reasons. First of all, it's an excellent take on a retro Ninja Gaiden inspired game. It executes well on what made those classics so great and also modernizes it in all the right ways. The game is also filled with clever surprises which really help to maximize the experience. It's also filled with gorgeous pixel art and ear worm tier tunes. To top this all off, The Messenger helped me to appreciate Sea of Stars even more. I'd almost call this game necessary to play in order to full understand some of what happens in that game. It's clear that Sabotage Studio has creativity and passion meaning I'm thrilled to see what retro revival they tackle next.</t>
  </si>
  <si>
    <t>Super Mario RPG is a well-executed remake, preserving what made the original game so wonderful while adding small touches to make the experience a bit smoother and more pleasant. All of the charm and character of the original game is here and it is honestly somewhat refreshing how simple and straightforward this game is. You're not going to find serious depth and complexity and certainlly won't find any real challenge, but the game is packed with an earnestness that's rare to find.</t>
  </si>
  <si>
    <t>Making my way through Ōkami, I kept wondering to myself what caused this game to have such widespread acclaim. Is it just that it's a solid Zelda clone where most Zelda clones have failed to capture the essence of what makes that series so successful? It's not that I found this game to be uninteresting, but I didn't find it to be "best game of all time" status that seems to be the general consensus. It's paced poorly in a number of ways, with its extremely slow dialogue, shifting story focus, and repetitive encounters (why did I need to fight Orochi three times?). The combat isn't all that exciting, mostly lacking in strategy--I didn't die a single time in my playthrough. That said, the game is still beautiful and quite an enjoyable playthrough, I'm just confused by its revered status in gaming culture.</t>
  </si>
  <si>
    <t>Feral Interactive</t>
  </si>
  <si>
    <t>The Companion</t>
  </si>
  <si>
    <t>Studio 46</t>
  </si>
  <si>
    <t>David Fazzio</t>
  </si>
  <si>
    <t>Darxanadon</t>
  </si>
  <si>
    <t>The Dead Are Not Dead</t>
  </si>
  <si>
    <t>616 GAMES</t>
  </si>
  <si>
    <t>Inexistence Rebirth</t>
  </si>
  <si>
    <t>Jonathan Brassaud</t>
  </si>
  <si>
    <t>Inexistence</t>
  </si>
  <si>
    <t>Gal Metal</t>
  </si>
  <si>
    <t>Bleed 2 is fun, but no deeper than a puddle. Its mechanics are an interesting twist on traditional run and gun games but they weren't uniquely utilized in the boss fights beyond offering different projectiles to counter. It's also fairly short, clocking in even briefer than the first game. It's a game that's pure popcorn and there's nothing wrong with that, but it also means it's not anything remarkable.</t>
  </si>
  <si>
    <t>Inventory Hero has a unique concept and some great looking art but the game isn't engaging enough to inspire repeat plays. I managed to get through what appeared to be the final boss because the game began looping the final stage endlessly before losing to some bad RNG, and it never built enough depth to require more than minimal brain power. If you've played this for five minutes, you've experienced all of the gameplay that this game has to offer. It also doesn't do anything special with the Playdate's special features, making it a poor representative of the system itself.</t>
  </si>
  <si>
    <t>It's got some flaws but damnit if it isn't a blast to play. I'm a big fan of Contra and Metal Slug so seeing those inspirations come through in Blazing Chrome was a real treat. It's not doing anything revolutionary, but it's executing extremely well on the foundation established by those heavy hitters. There are some unfair feeling enemy placements and stage designs, but the checkpoints and unlimited continues made these less frustrating than they could have been.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</si>
</sst>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409]m/d/yyyy"/>
  </numFmts>
  <fonts count="15">
    <font>
      <sz val="11"/>
      <color theme="1"/>
      <name val="Calibri"/>
      <family val="2"/>
      <scheme val="minor"/>
    </font>
    <font>
      <sz val="11"/>
      <color theme="1"/>
      <name val="Calibri"/>
      <family val="2"/>
      <scheme val="minor"/>
    </font>
    <font>
      <b/>
      <sz val="11"/>
      <color theme="1"/>
      <name val="Calibri"/>
      <family val="2"/>
      <scheme val="minor"/>
    </font>
    <font>
      <b/>
      <sz val="10"/>
      <color rgb="FF000000"/>
      <name val="Helvetica Neue"/>
    </font>
    <font>
      <b/>
      <sz val="10"/>
      <color theme="1"/>
      <name val="Helvetica Neue"/>
    </font>
    <font>
      <i/>
      <sz val="11"/>
      <color theme="1"/>
      <name val="Calibri"/>
      <family val="2"/>
      <scheme val="minor"/>
    </font>
    <font>
      <u/>
      <sz val="11"/>
      <color theme="10"/>
      <name val="Calibri"/>
      <family val="2"/>
      <scheme val="minor"/>
    </font>
    <font>
      <sz val="8"/>
      <name val="Calibri"/>
      <family val="2"/>
      <scheme val="minor"/>
    </font>
    <font>
      <b/>
      <i/>
      <sz val="11"/>
      <color theme="1"/>
      <name val="Calibri"/>
      <family val="2"/>
      <scheme val="minor"/>
    </font>
    <font>
      <sz val="10"/>
      <color theme="1"/>
      <name val="Helvetica Neue"/>
    </font>
    <font>
      <sz val="11"/>
      <color rgb="FF000000"/>
      <name val="Calibri"/>
      <family val="2"/>
      <scheme val="minor"/>
    </font>
    <font>
      <i/>
      <sz val="11"/>
      <color rgb="FF000000"/>
      <name val="Calibri"/>
      <family val="2"/>
      <scheme val="minor"/>
    </font>
    <font>
      <b/>
      <i/>
      <sz val="11"/>
      <color rgb="FF000000"/>
      <name val="Calibri"/>
      <family val="2"/>
      <scheme val="minor"/>
    </font>
    <font>
      <sz val="11"/>
      <color rgb="FF9C0006"/>
      <name val="Calibri"/>
      <family val="2"/>
      <scheme val="minor"/>
    </font>
    <font>
      <sz val="11"/>
      <color rgb="FF9C5700"/>
      <name val="Calibri"/>
      <family val="2"/>
      <scheme val="minor"/>
    </font>
  </fonts>
  <fills count="9">
    <fill>
      <patternFill patternType="none"/>
    </fill>
    <fill>
      <patternFill patternType="gray125"/>
    </fill>
    <fill>
      <patternFill patternType="solid">
        <fgColor theme="2" tint="-9.9978637043366805E-2"/>
        <bgColor indexed="64"/>
      </patternFill>
    </fill>
    <fill>
      <patternFill patternType="solid">
        <fgColor theme="2" tint="-9.9978637043366805E-2"/>
        <bgColor rgb="FFE6E6E6"/>
      </patternFill>
    </fill>
    <fill>
      <patternFill patternType="solid">
        <fgColor rgb="FFE6E6E6"/>
        <bgColor rgb="FFE6E6E6"/>
      </patternFill>
    </fill>
    <fill>
      <patternFill patternType="solid">
        <fgColor rgb="FFFFFFFF"/>
        <bgColor rgb="FFFFFFFF"/>
      </patternFill>
    </fill>
    <fill>
      <patternFill patternType="solid">
        <fgColor theme="0"/>
        <bgColor rgb="FFFFFFFF"/>
      </patternFill>
    </fill>
    <fill>
      <patternFill patternType="solid">
        <fgColor rgb="FFFFC7CE"/>
      </patternFill>
    </fill>
    <fill>
      <patternFill patternType="solid">
        <fgColor rgb="FFFFEB9C"/>
      </patternFill>
    </fill>
  </fills>
  <borders count="4">
    <border>
      <left/>
      <right/>
      <top/>
      <bottom/>
      <diagonal/>
    </border>
    <border>
      <left style="thin">
        <color theme="6"/>
      </left>
      <right style="thin">
        <color theme="6"/>
      </right>
      <top style="thin">
        <color theme="6"/>
      </top>
      <bottom style="thin">
        <color theme="6"/>
      </bottom>
      <diagonal/>
    </border>
    <border>
      <left style="thin">
        <color theme="6"/>
      </left>
      <right style="thin">
        <color theme="6"/>
      </right>
      <top/>
      <bottom style="thin">
        <color theme="6"/>
      </bottom>
      <diagonal/>
    </border>
    <border>
      <left style="thin">
        <color rgb="FFCDCDCD"/>
      </left>
      <right style="thin">
        <color rgb="FFCDCDCD"/>
      </right>
      <top style="thin">
        <color rgb="FFCDCDCD"/>
      </top>
      <bottom style="thin">
        <color rgb="FFCDCDCD"/>
      </bottom>
      <diagonal/>
    </border>
  </borders>
  <cellStyleXfs count="6">
    <xf numFmtId="0" fontId="0" fillId="0" borderId="0"/>
    <xf numFmtId="9" fontId="1" fillId="0" borderId="0" applyFont="0" applyFill="0" applyBorder="0" applyAlignment="0" applyProtection="0"/>
    <xf numFmtId="0" fontId="6" fillId="0" borderId="0" applyNumberFormat="0" applyFill="0" applyBorder="0" applyAlignment="0" applyProtection="0"/>
    <xf numFmtId="44" fontId="1" fillId="0" borderId="0" applyFont="0" applyFill="0" applyBorder="0" applyAlignment="0" applyProtection="0"/>
    <xf numFmtId="0" fontId="13" fillId="7" borderId="0" applyNumberFormat="0" applyBorder="0" applyAlignment="0" applyProtection="0"/>
    <xf numFmtId="0" fontId="14" fillId="8" borderId="0" applyNumberFormat="0" applyBorder="0" applyAlignment="0" applyProtection="0"/>
  </cellStyleXfs>
  <cellXfs count="79">
    <xf numFmtId="0" fontId="0" fillId="0" borderId="0" xfId="0"/>
    <xf numFmtId="0" fontId="0" fillId="0" borderId="0" xfId="0" applyAlignment="1">
      <alignment horizontal="center"/>
    </xf>
    <xf numFmtId="0" fontId="0" fillId="0" borderId="0" xfId="0" applyAlignment="1">
      <alignment vertical="center"/>
    </xf>
    <xf numFmtId="0" fontId="2" fillId="0" borderId="0" xfId="0" applyFont="1" applyAlignment="1">
      <alignment horizontal="center" vertical="center"/>
    </xf>
    <xf numFmtId="0" fontId="4" fillId="2" borderId="1" xfId="0" applyFont="1" applyFill="1" applyBorder="1" applyAlignment="1">
      <alignment horizontal="center" vertical="center"/>
    </xf>
    <xf numFmtId="0" fontId="3" fillId="3" borderId="1" xfId="0" applyFont="1" applyFill="1" applyBorder="1" applyAlignment="1">
      <alignment horizontal="center" vertical="center"/>
    </xf>
    <xf numFmtId="14" fontId="4" fillId="2" borderId="1" xfId="0" applyNumberFormat="1" applyFont="1" applyFill="1" applyBorder="1" applyAlignment="1">
      <alignment horizontal="center" vertical="center"/>
    </xf>
    <xf numFmtId="9" fontId="4" fillId="2" borderId="1" xfId="1" applyFont="1" applyFill="1" applyBorder="1" applyAlignment="1">
      <alignment horizontal="center" vertical="center"/>
    </xf>
    <xf numFmtId="0" fontId="4" fillId="2" borderId="1"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0" fillId="0" borderId="0" xfId="0" applyAlignment="1">
      <alignment horizontal="center" vertical="center" wrapText="1"/>
    </xf>
    <xf numFmtId="0" fontId="5" fillId="0" borderId="0" xfId="0" applyFont="1" applyAlignment="1">
      <alignment horizontal="center" vertical="center" wrapText="1"/>
    </xf>
    <xf numFmtId="14" fontId="5" fillId="0" borderId="0" xfId="0" applyNumberFormat="1" applyFont="1" applyAlignment="1">
      <alignment horizontal="center" vertical="center"/>
    </xf>
    <xf numFmtId="14" fontId="0" fillId="0" borderId="0" xfId="0" applyNumberFormat="1" applyAlignment="1">
      <alignment horizontal="center" vertical="center"/>
    </xf>
    <xf numFmtId="0" fontId="2" fillId="0" borderId="0" xfId="0" applyFont="1" applyAlignment="1">
      <alignment horizontal="center" vertical="center" wrapText="1"/>
    </xf>
    <xf numFmtId="0" fontId="6" fillId="0" borderId="0" xfId="2" applyAlignment="1">
      <alignment horizontal="center" vertical="center"/>
    </xf>
    <xf numFmtId="2" fontId="4"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0" fontId="0" fillId="0" borderId="0" xfId="0" applyAlignment="1">
      <alignment horizontal="center" vertical="center"/>
    </xf>
    <xf numFmtId="14" fontId="4" fillId="2" borderId="1" xfId="0" applyNumberFormat="1" applyFont="1" applyFill="1" applyBorder="1" applyAlignment="1">
      <alignment horizontal="center" vertical="center" wrapText="1"/>
    </xf>
    <xf numFmtId="14" fontId="0" fillId="0" borderId="0" xfId="0" quotePrefix="1" applyNumberFormat="1" applyAlignment="1">
      <alignment horizontal="center" vertical="center" wrapText="1"/>
    </xf>
    <xf numFmtId="2" fontId="0" fillId="0" borderId="0" xfId="0" applyNumberFormat="1" applyAlignment="1">
      <alignment horizontal="center" vertical="center"/>
    </xf>
    <xf numFmtId="9" fontId="0" fillId="0" borderId="0" xfId="1" applyFont="1" applyAlignment="1">
      <alignment horizontal="center" vertical="center"/>
    </xf>
    <xf numFmtId="2" fontId="2" fillId="0" borderId="0" xfId="0" applyNumberFormat="1" applyFont="1" applyAlignment="1">
      <alignment horizontal="center" vertical="center"/>
    </xf>
    <xf numFmtId="14" fontId="8" fillId="0" borderId="0" xfId="0" applyNumberFormat="1" applyFont="1" applyAlignment="1">
      <alignment horizontal="center" vertical="center"/>
    </xf>
    <xf numFmtId="0" fontId="3" fillId="3" borderId="1" xfId="0" applyFont="1" applyFill="1" applyBorder="1" applyAlignment="1">
      <alignment horizontal="center" vertical="center" wrapText="1"/>
    </xf>
    <xf numFmtId="0" fontId="2" fillId="0" borderId="0" xfId="0" applyFont="1" applyAlignment="1">
      <alignment horizontal="center" wrapText="1"/>
    </xf>
    <xf numFmtId="0" fontId="0" fillId="0" borderId="0" xfId="0" quotePrefix="1" applyAlignment="1">
      <alignment horizontal="center" vertical="center" wrapText="1"/>
    </xf>
    <xf numFmtId="44" fontId="4" fillId="2" borderId="1" xfId="3" applyFont="1" applyFill="1" applyBorder="1" applyAlignment="1">
      <alignment horizontal="center" vertical="center"/>
    </xf>
    <xf numFmtId="44" fontId="0" fillId="0" borderId="0" xfId="3" applyFont="1" applyAlignment="1">
      <alignment horizontal="center" vertical="center"/>
    </xf>
    <xf numFmtId="2" fontId="8" fillId="0" borderId="0" xfId="0" applyNumberFormat="1" applyFont="1" applyAlignment="1">
      <alignment horizontal="center" vertical="center"/>
    </xf>
    <xf numFmtId="44" fontId="4" fillId="2" borderId="1" xfId="1" applyNumberFormat="1" applyFont="1" applyFill="1" applyBorder="1" applyAlignment="1">
      <alignment horizontal="center" vertical="center"/>
    </xf>
    <xf numFmtId="44" fontId="0" fillId="0" borderId="0" xfId="0" applyNumberFormat="1" applyAlignment="1">
      <alignment vertical="center"/>
    </xf>
    <xf numFmtId="0" fontId="3" fillId="4" borderId="3" xfId="0" applyFont="1" applyFill="1" applyBorder="1" applyAlignment="1">
      <alignment horizontal="center" vertical="center" wrapText="1"/>
    </xf>
    <xf numFmtId="2" fontId="3" fillId="4" borderId="3" xfId="0" applyNumberFormat="1" applyFont="1" applyFill="1" applyBorder="1" applyAlignment="1">
      <alignment horizontal="center" vertical="center" wrapText="1"/>
    </xf>
    <xf numFmtId="9" fontId="3" fillId="4" borderId="3" xfId="1" applyFont="1" applyFill="1" applyBorder="1" applyAlignment="1">
      <alignment horizontal="center" vertical="center" wrapText="1"/>
    </xf>
    <xf numFmtId="49" fontId="3" fillId="4" borderId="3" xfId="0" quotePrefix="1" applyNumberFormat="1" applyFont="1" applyFill="1" applyBorder="1" applyAlignment="1">
      <alignment horizontal="center" vertical="center" wrapText="1"/>
    </xf>
    <xf numFmtId="14" fontId="3" fillId="4" borderId="3" xfId="0" applyNumberFormat="1" applyFont="1" applyFill="1" applyBorder="1" applyAlignment="1">
      <alignment horizontal="center" vertical="center" wrapText="1"/>
    </xf>
    <xf numFmtId="14" fontId="9" fillId="0" borderId="0" xfId="0" applyNumberFormat="1" applyFont="1" applyAlignment="1">
      <alignment horizontal="center" vertical="center"/>
    </xf>
    <xf numFmtId="0" fontId="9" fillId="0" borderId="0" xfId="0" applyFont="1"/>
    <xf numFmtId="0" fontId="10" fillId="5" borderId="3" xfId="0" applyFont="1" applyFill="1" applyBorder="1" applyAlignment="1">
      <alignment horizontal="center" vertical="center" wrapText="1"/>
    </xf>
    <xf numFmtId="164" fontId="11" fillId="5" borderId="3" xfId="0" applyNumberFormat="1" applyFont="1" applyFill="1" applyBorder="1" applyAlignment="1">
      <alignment horizontal="center" vertical="center" wrapText="1"/>
    </xf>
    <xf numFmtId="0" fontId="11" fillId="5" borderId="3" xfId="0" applyFont="1" applyFill="1" applyBorder="1" applyAlignment="1">
      <alignment horizontal="center" vertical="center" wrapText="1"/>
    </xf>
    <xf numFmtId="0" fontId="10" fillId="0" borderId="0" xfId="0" applyFont="1" applyAlignment="1">
      <alignment horizontal="center" vertical="center" wrapText="1"/>
    </xf>
    <xf numFmtId="14" fontId="10" fillId="5" borderId="3" xfId="0" applyNumberFormat="1" applyFont="1" applyFill="1" applyBorder="1" applyAlignment="1">
      <alignment horizontal="center" vertical="center" wrapText="1"/>
    </xf>
    <xf numFmtId="2" fontId="10" fillId="5" borderId="3" xfId="0" applyNumberFormat="1" applyFont="1" applyFill="1" applyBorder="1" applyAlignment="1">
      <alignment horizontal="center" vertical="center" wrapText="1"/>
    </xf>
    <xf numFmtId="0" fontId="10" fillId="0" borderId="0" xfId="0" applyFont="1" applyAlignment="1">
      <alignment vertical="top" wrapText="1"/>
    </xf>
    <xf numFmtId="164" fontId="10" fillId="5" borderId="3" xfId="0" applyNumberFormat="1" applyFont="1" applyFill="1" applyBorder="1" applyAlignment="1">
      <alignment horizontal="center" vertical="center" wrapText="1"/>
    </xf>
    <xf numFmtId="49" fontId="11" fillId="5" borderId="3" xfId="0" quotePrefix="1" applyNumberFormat="1" applyFont="1" applyFill="1" applyBorder="1" applyAlignment="1">
      <alignment horizontal="center" vertical="center" wrapText="1"/>
    </xf>
    <xf numFmtId="164" fontId="12" fillId="5" borderId="3" xfId="0" applyNumberFormat="1" applyFont="1" applyFill="1" applyBorder="1" applyAlignment="1">
      <alignment horizontal="center" vertical="center" wrapText="1"/>
    </xf>
    <xf numFmtId="14" fontId="11" fillId="5" borderId="3" xfId="0" applyNumberFormat="1" applyFont="1" applyFill="1" applyBorder="1" applyAlignment="1">
      <alignment horizontal="center" vertical="center" wrapText="1"/>
    </xf>
    <xf numFmtId="0" fontId="10" fillId="6" borderId="3"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11" fillId="5" borderId="3" xfId="0" quotePrefix="1" applyFont="1" applyFill="1" applyBorder="1" applyAlignment="1">
      <alignment horizontal="center" vertical="center" wrapText="1"/>
    </xf>
    <xf numFmtId="0" fontId="10" fillId="5" borderId="3" xfId="0" applyFont="1" applyFill="1" applyBorder="1" applyAlignment="1">
      <alignment horizontal="center" vertical="center"/>
    </xf>
    <xf numFmtId="14" fontId="10" fillId="5" borderId="3" xfId="0" applyNumberFormat="1" applyFont="1" applyFill="1" applyBorder="1" applyAlignment="1">
      <alignment horizontal="center" vertical="center"/>
    </xf>
    <xf numFmtId="0" fontId="11" fillId="5" borderId="3" xfId="0" applyFont="1" applyFill="1" applyBorder="1" applyAlignment="1">
      <alignment horizontal="center" vertical="center"/>
    </xf>
    <xf numFmtId="2" fontId="10" fillId="5" borderId="3" xfId="0" applyNumberFormat="1" applyFont="1" applyFill="1" applyBorder="1" applyAlignment="1">
      <alignment horizontal="center" vertical="center"/>
    </xf>
    <xf numFmtId="14" fontId="11" fillId="5" borderId="3" xfId="0" applyNumberFormat="1" applyFont="1" applyFill="1" applyBorder="1" applyAlignment="1">
      <alignment horizontal="center" vertical="center"/>
    </xf>
    <xf numFmtId="0" fontId="5" fillId="0" borderId="0" xfId="0" applyFont="1" applyAlignment="1">
      <alignment horizontal="center" vertical="center"/>
    </xf>
    <xf numFmtId="9" fontId="0" fillId="0" borderId="0" xfId="0" applyNumberFormat="1" applyAlignment="1">
      <alignment horizontal="center" vertical="center"/>
    </xf>
    <xf numFmtId="9" fontId="10" fillId="5" borderId="3" xfId="1" applyFont="1" applyFill="1" applyBorder="1" applyAlignment="1">
      <alignment horizontal="center" vertical="center" wrapText="1"/>
    </xf>
    <xf numFmtId="9" fontId="10" fillId="6" borderId="3" xfId="1" applyFont="1" applyFill="1" applyBorder="1" applyAlignment="1">
      <alignment horizontal="center" vertical="center" wrapText="1"/>
    </xf>
    <xf numFmtId="9" fontId="10" fillId="5" borderId="3" xfId="1" applyFont="1" applyFill="1" applyBorder="1" applyAlignment="1">
      <alignment horizontal="center" vertical="center"/>
    </xf>
    <xf numFmtId="0" fontId="3" fillId="4" borderId="3" xfId="0" applyFont="1" applyFill="1" applyBorder="1" applyAlignment="1">
      <alignment horizontal="left" vertical="center" wrapText="1"/>
    </xf>
    <xf numFmtId="0" fontId="10" fillId="5" borderId="3" xfId="0" applyFont="1" applyFill="1" applyBorder="1" applyAlignment="1">
      <alignment horizontal="left" vertical="center" wrapText="1"/>
    </xf>
    <xf numFmtId="0" fontId="10" fillId="6" borderId="3" xfId="0" applyFont="1" applyFill="1" applyBorder="1" applyAlignment="1">
      <alignment horizontal="left" vertical="center" wrapText="1"/>
    </xf>
    <xf numFmtId="0" fontId="10" fillId="5" borderId="3" xfId="0" applyFont="1" applyFill="1" applyBorder="1" applyAlignment="1">
      <alignment horizontal="left" vertical="center"/>
    </xf>
    <xf numFmtId="0" fontId="0" fillId="0" borderId="0" xfId="0" applyAlignment="1">
      <alignment horizontal="left" vertical="center"/>
    </xf>
    <xf numFmtId="9" fontId="0" fillId="0" borderId="0" xfId="1" applyFont="1" applyBorder="1" applyAlignment="1">
      <alignment horizontal="center" vertical="center"/>
    </xf>
    <xf numFmtId="3" fontId="6" fillId="0" borderId="0" xfId="2" applyNumberFormat="1" applyAlignment="1">
      <alignment horizontal="center" vertical="center"/>
    </xf>
    <xf numFmtId="14" fontId="14" fillId="8" borderId="0" xfId="5" applyNumberFormat="1" applyAlignment="1">
      <alignment horizontal="center" vertical="center"/>
    </xf>
    <xf numFmtId="17" fontId="13" fillId="7" borderId="0" xfId="4" applyNumberFormat="1" applyAlignment="1">
      <alignment horizontal="center" vertical="center"/>
    </xf>
    <xf numFmtId="17" fontId="14" fillId="8" borderId="0" xfId="5" applyNumberFormat="1" applyAlignment="1">
      <alignment horizontal="center" vertical="center"/>
    </xf>
    <xf numFmtId="0" fontId="14" fillId="8" borderId="0" xfId="5" applyAlignment="1">
      <alignment horizontal="center" vertical="center"/>
    </xf>
    <xf numFmtId="0" fontId="5" fillId="0" borderId="0" xfId="0" applyFont="1" applyAlignment="1">
      <alignment horizontal="left" vertical="center" wrapText="1"/>
    </xf>
    <xf numFmtId="9" fontId="4" fillId="2" borderId="1" xfId="1" applyFont="1" applyFill="1" applyBorder="1" applyAlignment="1">
      <alignment horizontal="center" vertical="center" wrapText="1"/>
    </xf>
    <xf numFmtId="14" fontId="0" fillId="0" borderId="0" xfId="0" applyNumberFormat="1" applyAlignment="1">
      <alignment vertical="center"/>
    </xf>
    <xf numFmtId="9" fontId="3" fillId="3" borderId="1" xfId="1" applyFont="1" applyFill="1" applyBorder="1" applyAlignment="1">
      <alignment horizontal="center" vertical="center"/>
    </xf>
  </cellXfs>
  <cellStyles count="6">
    <cellStyle name="Bad" xfId="4" builtinId="27"/>
    <cellStyle name="Currency" xfId="3" builtinId="4"/>
    <cellStyle name="Hyperlink" xfId="2" builtinId="8"/>
    <cellStyle name="Neutral" xfId="5" builtinId="28"/>
    <cellStyle name="Normal" xfId="0" builtinId="0"/>
    <cellStyle name="Percent" xfId="1" builtinId="5"/>
  </cellStyles>
  <dxfs count="8">
    <dxf>
      <font>
        <color rgb="FF006100"/>
      </font>
      <fill>
        <patternFill>
          <bgColor rgb="FFC6EFCE"/>
        </patternFill>
      </fill>
    </dxf>
    <dxf>
      <font>
        <color rgb="FF9C5700"/>
      </font>
      <fill>
        <patternFill>
          <bgColor rgb="FFFFEB9C"/>
        </patternFill>
      </fill>
    </dxf>
    <dxf>
      <font>
        <color rgb="FF006100"/>
      </font>
      <fill>
        <gradientFill degree="45">
          <stop position="0">
            <color rgb="FFEBEB9C"/>
          </stop>
          <stop position="1">
            <color rgb="FFC6EFCE"/>
          </stop>
        </gradient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006100"/>
      </font>
      <fill>
        <gradientFill degree="45">
          <stop position="0">
            <color rgb="FFEBEB9C"/>
          </stop>
          <stop position="1">
            <color rgb="FFC6EFCE"/>
          </stop>
        </gradientFill>
      </fill>
    </dxf>
  </dxfs>
  <tableStyles count="0" defaultTableStyle="TableStyleMedium2" defaultPivotStyle="PivotStyleLight16"/>
  <colors>
    <mruColors>
      <color rgb="FFFFC7CE"/>
      <color rgb="FFFF5050"/>
      <color rgb="FFFF7979"/>
      <color rgb="FF006100"/>
      <color rgb="FF66D47B"/>
      <color rgb="FFC6EFCE"/>
      <color rgb="FFEBEB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www.play-asia.com/order-info/svfxf" TargetMode="External"/><Relationship Id="rId18" Type="http://schemas.openxmlformats.org/officeDocument/2006/relationships/hyperlink" Target="https://www.play-asia.com/order-info/u0t0j" TargetMode="External"/><Relationship Id="rId26" Type="http://schemas.openxmlformats.org/officeDocument/2006/relationships/hyperlink" Target="https://www.amazon.com/gp/your-account/order-details/ref=ppx_yo_dt_b_order_details_o02?ie=UTF8&amp;orderID=111-5383875-7048233" TargetMode="External"/><Relationship Id="rId39" Type="http://schemas.openxmlformats.org/officeDocument/2006/relationships/hyperlink" Target="https://www.bestbuy.com/profile/ss/orders/order-details/BBY01-806795039659/view" TargetMode="External"/><Relationship Id="rId21" Type="http://schemas.openxmlformats.org/officeDocument/2006/relationships/hyperlink" Target="https://www.play-asia.com/order-info/t5t69" TargetMode="External"/><Relationship Id="rId34" Type="http://schemas.openxmlformats.org/officeDocument/2006/relationships/hyperlink" Target="https://www.amazon.com/gp/your-account/order-details/ref=ppx_yo_dt_b_order_details_o00?ie=UTF8&amp;orderID=114-6267393-5243455" TargetMode="External"/><Relationship Id="rId7" Type="http://schemas.openxmlformats.org/officeDocument/2006/relationships/hyperlink" Target="https://www.kickstarter.com/projects/doublekickstarter/armed-fantasia-and-penny-blood/pledge?ref=manage_pledge" TargetMode="External"/><Relationship Id="rId12" Type="http://schemas.openxmlformats.org/officeDocument/2006/relationships/hyperlink" Target="https://videogamesplus.ca/55758684333/orders/a9c4a54cd53d298a1e67137973626ddc" TargetMode="External"/><Relationship Id="rId17" Type="http://schemas.openxmlformats.org/officeDocument/2006/relationships/hyperlink" Target="https://www.play-asia.com/order-info/u0t0j" TargetMode="External"/><Relationship Id="rId25" Type="http://schemas.openxmlformats.org/officeDocument/2006/relationships/hyperlink" Target="https://www.amazon.com/gp/your-account/order-details/ref=ppx_yo_dt_b_order_details_o01?ie=UTF8&amp;orderID=111-4264583-5573862" TargetMode="External"/><Relationship Id="rId33" Type="http://schemas.openxmlformats.org/officeDocument/2006/relationships/hyperlink" Target="https://www.amazon.com/gp/your-account/order-details/ref=ppx_yo_dt_b_order_details_o09?ie=UTF8&amp;orderID=111-6993249-6501030" TargetMode="External"/><Relationship Id="rId38" Type="http://schemas.openxmlformats.org/officeDocument/2006/relationships/hyperlink" Target="https://www.fangamer.com/_t/c/A1020004-1776667E98138807-962AA018?l=AADQ228%2FrH%2Feu2lPUDlmpGJ7EdcGppop4pMXivs2sVFOljPB0SWEV4J%2FKDeRqvzXrZ%2BNAJKHzQjfUYo46QR4Ryjr0yX3UwBULsKqWlRdf4R20O84li7cDMQG3OsWuxYq7ijiuUSSWKPg9foI6C63Lia300E%2FNRHxzYVrqRJCgcCm0Lc3IjeIRTYOscU03wKPw6Mn%2BatjiNIC4hnEIv283aziLuYycB6fnWEy8%2BFlGS735PqfgAzct6SMFsK52Yg2Vg7lYcFueT2mJTAuJfQlI8lyTEDGJW1EpnjCjwREOIZZa72tSzvhmNYVdENzZNkZBoN7%2BYTydn23F0L4hYOu9Qs%2FA4vLnZcSfg%3D%3D&amp;c=AABoK4H2ZDKiwSsKCn2bRW%2Fxcjd94IwywfBlNYB3stTXbczG2wzfS2bQAA2pK2YOHCpmIkrUKo8jawonTfLmmyl8jhQ%2FmWOw2Kd69Dw3hJ1c0GJPuQJ2vwsIQ1jYNjpBW8xqUQZp18w9idb3FgL3ntdJzcNUOciWqqRA0nAD80A%2FivKmE3k00FXbtCRii5PViVO3jCOS%2FDTz%2F7EUkW%2FrBS5Ds04WiOKSFVgbITl3L9dDHyq1PCSfwPnwCCXxuSp65mlbqp4uRgL5cYyyZWzx5vSOIA8mL2DPqDumTISbghaDCUOuEpncThekOZu6puAf5FvuOpGcOqibt7lTNxfUANDKgfJjuMaVEy8YT5GoLudsDajSctogDD5XeVSPCkjtFWg6phNKnRI9VbRxtp2judFDPdaU8dvIHRAy%2BawIuYS2KTyloWXrzKhyurB%2FfftnIo4vrtiHhTRpoUmlpYxm%2BA%3D%3D" TargetMode="External"/><Relationship Id="rId2" Type="http://schemas.openxmlformats.org/officeDocument/2006/relationships/hyperlink" Target="https://www.kickstarter.com/projects/yachtclubgames/mina-the-hollower" TargetMode="External"/><Relationship Id="rId16" Type="http://schemas.openxmlformats.org/officeDocument/2006/relationships/hyperlink" Target="https://www.play-asia.com/order-info/u0t0j" TargetMode="External"/><Relationship Id="rId20" Type="http://schemas.openxmlformats.org/officeDocument/2006/relationships/hyperlink" Target="https://www.play-asia.com/order-info/t5t69" TargetMode="External"/><Relationship Id="rId29" Type="http://schemas.openxmlformats.org/officeDocument/2006/relationships/hyperlink" Target="https://www.amazon.com/gp/your-account/order-details/ref=ppx_yo_dt_b_order_details_o05?ie=UTF8&amp;orderID=112-9847239-3829819" TargetMode="External"/><Relationship Id="rId1" Type="http://schemas.openxmlformats.org/officeDocument/2006/relationships/hyperlink" Target="https://www.kickstarter.com/projects/rabbitandbearstudios/eiyuden-chronicle-hundred-heroes" TargetMode="External"/><Relationship Id="rId6" Type="http://schemas.openxmlformats.org/officeDocument/2006/relationships/hyperlink" Target="https://www.kickstarter.com/projects/doublekickstarter/armed-fantasia-and-penny-blood/pledge?ref=manage_pledge" TargetMode="External"/><Relationship Id="rId11" Type="http://schemas.openxmlformats.org/officeDocument/2006/relationships/hyperlink" Target="https://videogamesplus.ca/55758684333/orders/a9c4a54cd53d298a1e67137973626ddc" TargetMode="External"/><Relationship Id="rId24" Type="http://schemas.openxmlformats.org/officeDocument/2006/relationships/hyperlink" Target="https://www.amazon.com/gp/your-account/order-details/ref=ppx_yo_dt_b_order_details_o01?ie=UTF8&amp;orderID=111-4264583-5573862" TargetMode="External"/><Relationship Id="rId32" Type="http://schemas.openxmlformats.org/officeDocument/2006/relationships/hyperlink" Target="https://www.amazon.com/gp/your-account/order-details/ref=ppx_yo_dt_b_order_details_o08?ie=UTF8&amp;orderID=112-9985330-0461028" TargetMode="External"/><Relationship Id="rId37" Type="http://schemas.openxmlformats.org/officeDocument/2006/relationships/hyperlink" Target="https://videogamesplus.ca/_t/c/A1030004-1789E7FF499E715E-CA0AD82E?l=AADNoMofjYblsxDj9zhFUdLl9gGgoRWIa%2FNfvwLcBskOngEjPVrCsQh%2BUFsFnqqgm92uYDPG0e7pPTrrSYjEYmeG5t5EO%2BAONktCoj1OX3%2BXcXQ%2FlrSKvH90kvlitPchxw4pL%2BKuOe6mtUJg6o4XIOitDPvCkL5t2WM9DS3EdKvN8k8%2FtQ1EdSbEUOB3b3cuQjEluDTa4JazjWbKN28KQWf9Sid6SkV8eKJlkFy3n0G23qKazxTdLgMwLZq9ldaSer9Y3juGX5B%2FxjhmO9JutnwMbHx4vPYcekpvT%2BkkQik2rzjD6JfAd44649L71OBkUMaUaLWVUOvr225Nka1wis2iQRexV9Q0FjpqV3O5Dw%3D%3D&amp;c=AACX2kkiffz624vyu8qAAV4PBhesOx2KbzSXMIfQTtvWgjhdt9lsdJbPvYHco8KzbulC%2FRpZkx8S8zFWflgqFVDCtDjITSRq0Uw0rpCL72foF%2Bk3ZKNR6wSpr%2FEXpLFojoFAUhoyYVJiFMO0ssOL9uOVZSBj4K1X0X28LnGd7H%2BvxVccaBXfK8BojbsZSV06AK8SGQd0Q3KHB2lew%2BSvL66mGlO%2F%2BFx8p29o7pAYpJ2HhdjXUE9MGEpx%2BB7Lb2N11XxGyGTzom5cEKnfqWfeqB4WlpsCb6dYWYpOG7uUbgDc%2ByDcFqDFyRE0unQ3HHy7D7%2FmJkv7OoAOBve%2F1iuNigsimj%2FKPLRfMzRinj%2F2%2FKrOUvxIFi1G0eDprye4rN3iGx0DyccMcVSR4%2BZ%2BtOSSX3Sd8ZHdmfCGJzeNsrXOcnX5DKhKGeVUcXugjjAzzSYMjLhIoGLUaUK8kQ8Tf%2B3WX463ER0EUwI%3D" TargetMode="External"/><Relationship Id="rId40" Type="http://schemas.openxmlformats.org/officeDocument/2006/relationships/printerSettings" Target="../printerSettings/printerSettings4.bin"/><Relationship Id="rId5" Type="http://schemas.openxmlformats.org/officeDocument/2006/relationships/hyperlink" Target="https://www.amazon.com/gp/your-account/order-details/ref=ppx_yo_dt_b_order_details_o08?ie=UTF8&amp;orderID=114-0613994-9187428" TargetMode="External"/><Relationship Id="rId15" Type="http://schemas.openxmlformats.org/officeDocument/2006/relationships/hyperlink" Target="https://www.play-asia.com/order-info/svfxf" TargetMode="External"/><Relationship Id="rId23" Type="http://schemas.openxmlformats.org/officeDocument/2006/relationships/hyperlink" Target="https://www.amazon.com/gp/your-account/order-details/ref=ppx_yo_dt_b_order_details_o01?ie=UTF8&amp;orderID=111-4264583-5573862" TargetMode="External"/><Relationship Id="rId28" Type="http://schemas.openxmlformats.org/officeDocument/2006/relationships/hyperlink" Target="https://www.amazon.com/gp/your-account/order-details/ref=ppx_yo_dt_b_order_details_o04?ie=UTF8&amp;orderID=114-7025635-1628267" TargetMode="External"/><Relationship Id="rId36" Type="http://schemas.openxmlformats.org/officeDocument/2006/relationships/hyperlink" Target="https://videogamesplus.ca/_t/c/A1030004-1789E7FF499E715E-CA0AD82E?l=AADNoMofjYblsxDj9zhFUdLl9gGgoRWIa%2FNfvwLcBskOngEjPVrCsQh%2BUFsFnqqgm92uYDPG0e7pPTrrSYjEYmeG5t5EO%2BAONktCoj1OX3%2BXcXQ%2FlrSKvH90kvlitPchxw4pL%2BKuOe6mtUJg6o4XIOitDPvCkL5t2WM9DS3EdKvN8k8%2FtQ1EdSbEUOB3b3cuQjEluDTa4JazjWbKN28KQWf9Sid6SkV8eKJlkFy3n0G23qKazxTdLgMwLZq9ldaSer9Y3juGX5B%2FxjhmO9JutnwMbHx4vPYcekpvT%2BkkQik2rzjD6JfAd44649L71OBkUMaUaLWVUOvr225Nka1wis2iQRexV9Q0FjpqV3O5Dw%3D%3D&amp;c=AACX2kkiffz624vyu8qAAV4PBhesOx2KbzSXMIfQTtvWgjhdt9lsdJbPvYHco8KzbulC%2FRpZkx8S8zFWflgqFVDCtDjITSRq0Uw0rpCL72foF%2Bk3ZKNR6wSpr%2FEXpLFojoFAUhoyYVJiFMO0ssOL9uOVZSBj4K1X0X28LnGd7H%2BvxVccaBXfK8BojbsZSV06AK8SGQd0Q3KHB2lew%2BSvL66mGlO%2F%2BFx8p29o7pAYpJ2HhdjXUE9MGEpx%2BB7Lb2N11XxGyGTzom5cEKnfqWfeqB4WlpsCb6dYWYpOG7uUbgDc%2ByDcFqDFyRE0unQ3HHy7D7%2FmJkv7OoAOBve%2F1iuNigsimj%2FKPLRfMzRinj%2F2%2FKrOUvxIFi1G0eDprye4rN3iGx0DyccMcVSR4%2BZ%2BtOSSX3Sd8ZHdmfCGJzeNsrXOcnX5DKhKGeVUcXugjjAzzSYMjLhIoGLUaUK8kQ8Tf%2B3WX463ER0EUwI%3D" TargetMode="External"/><Relationship Id="rId10" Type="http://schemas.openxmlformats.org/officeDocument/2006/relationships/hyperlink" Target="https://limitedrungames.com/account/orders/974984fff80cb7357d8e26ddc7f3f008" TargetMode="External"/><Relationship Id="rId19" Type="http://schemas.openxmlformats.org/officeDocument/2006/relationships/hyperlink" Target="https://www.play-asia.com/order-info/t5t69" TargetMode="External"/><Relationship Id="rId31" Type="http://schemas.openxmlformats.org/officeDocument/2006/relationships/hyperlink" Target="https://www.amazon.com/gp/your-account/order-details/ref=ppx_yo_dt_b_order_details_o07?ie=UTF8&amp;orderID=112-6087598-0413821" TargetMode="External"/><Relationship Id="rId4" Type="http://schemas.openxmlformats.org/officeDocument/2006/relationships/hyperlink" Target="https://shop.redcandlegames.com/account/history" TargetMode="External"/><Relationship Id="rId9" Type="http://schemas.openxmlformats.org/officeDocument/2006/relationships/hyperlink" Target="https://limitedrungames.com/account/orders/974984fff80cb7357d8e26ddc7f3f008" TargetMode="External"/><Relationship Id="rId14" Type="http://schemas.openxmlformats.org/officeDocument/2006/relationships/hyperlink" Target="https://www.play-asia.com/order-info/svfxf" TargetMode="External"/><Relationship Id="rId22" Type="http://schemas.openxmlformats.org/officeDocument/2006/relationships/hyperlink" Target="https://www.amazon.com/gp/your-account/order-details/ref=ppx_yo_dt_b_order_details_o01?ie=UTF8&amp;orderID=111-4264583-5573862" TargetMode="External"/><Relationship Id="rId27" Type="http://schemas.openxmlformats.org/officeDocument/2006/relationships/hyperlink" Target="https://www.amazon.com/gp/your-account/order-details/ref=ppx_yo_dt_b_order_details_o03?ie=UTF8&amp;orderID=111-7615078-6508203" TargetMode="External"/><Relationship Id="rId30" Type="http://schemas.openxmlformats.org/officeDocument/2006/relationships/hyperlink" Target="https://www.amazon.com/gp/your-account/order-details/ref=ppx_yo_dt_b_order_details_o06?ie=UTF8&amp;orderID=112-4307319-8361048" TargetMode="External"/><Relationship Id="rId35" Type="http://schemas.openxmlformats.org/officeDocument/2006/relationships/hyperlink" Target="https://videogamesplus.ca/_t/c/A1030004-1789E7FF499E715E-CA0AD82E?l=AADNoMofjYblsxDj9zhFUdLl9gGgoRWIa%2FNfvwLcBskOngEjPVrCsQh%2BUFsFnqqgm92uYDPG0e7pPTrrSYjEYmeG5t5EO%2BAONktCoj1OX3%2BXcXQ%2FlrSKvH90kvlitPchxw4pL%2BKuOe6mtUJg6o4XIOitDPvCkL5t2WM9DS3EdKvN8k8%2FtQ1EdSbEUOB3b3cuQjEluDTa4JazjWbKN28KQWf9Sid6SkV8eKJlkFy3n0G23qKazxTdLgMwLZq9ldaSer9Y3juGX5B%2FxjhmO9JutnwMbHx4vPYcekpvT%2BkkQik2rzjD6JfAd44649L71OBkUMaUaLWVUOvr225Nka1wis2iQRexV9Q0FjpqV3O5Dw%3D%3D&amp;c=AACX2kkiffz624vyu8qAAV4PBhesOx2KbzSXMIfQTtvWgjhdt9lsdJbPvYHco8KzbulC%2FRpZkx8S8zFWflgqFVDCtDjITSRq0Uw0rpCL72foF%2Bk3ZKNR6wSpr%2FEXpLFojoFAUhoyYVJiFMO0ssOL9uOVZSBj4K1X0X28LnGd7H%2BvxVccaBXfK8BojbsZSV06AK8SGQd0Q3KHB2lew%2BSvL66mGlO%2F%2BFx8p29o7pAYpJ2HhdjXUE9MGEpx%2BB7Lb2N11XxGyGTzom5cEKnfqWfeqB4WlpsCb6dYWYpOG7uUbgDc%2ByDcFqDFyRE0unQ3HHy7D7%2FmJkv7OoAOBve%2F1iuNigsimj%2FKPLRfMzRinj%2F2%2FKrOUvxIFi1G0eDprye4rN3iGx0DyccMcVSR4%2BZ%2BtOSSX3Sd8ZHdmfCGJzeNsrXOcnX5DKhKGeVUcXugjjAzzSYMjLhIoGLUaUK8kQ8Tf%2B3WX463ER0EUwI%3D" TargetMode="External"/><Relationship Id="rId8" Type="http://schemas.openxmlformats.org/officeDocument/2006/relationships/hyperlink" Target="https://limitedrungames.com/account/orders/974984fff80cb7357d8e26ddc7f3f008" TargetMode="External"/><Relationship Id="rId3" Type="http://schemas.openxmlformats.org/officeDocument/2006/relationships/hyperlink" Target="https://www.indiegogo.com/projects/bittersweet-birthday-a-game-of-heart-horror--2/x/18098791"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84E9-C344-4153-A0DE-BE2AC03D8567}">
  <sheetPr codeName="Sheet1"/>
  <dimension ref="A1:AC10632"/>
  <sheetViews>
    <sheetView tabSelected="1" zoomScale="90" zoomScaleNormal="90" workbookViewId="0">
      <pane xSplit="1" ySplit="1" topLeftCell="B1409" activePane="bottomRight" state="frozen"/>
      <selection pane="topRight" activeCell="B1" sqref="B1"/>
      <selection pane="bottomLeft" activeCell="A2" sqref="A2"/>
      <selection pane="bottomRight" activeCell="B1423" sqref="B1423"/>
    </sheetView>
  </sheetViews>
  <sheetFormatPr defaultColWidth="9.140625" defaultRowHeight="15"/>
  <cols>
    <col min="1" max="1" width="22.7109375" style="8" customWidth="1"/>
    <col min="2" max="2" width="16.28515625" style="17" bestFit="1" customWidth="1"/>
    <col min="3" max="3" width="13.140625" style="13" customWidth="1"/>
    <col min="4" max="4" width="8.28515625" style="13" customWidth="1"/>
    <col min="5" max="6" width="22.7109375" style="10" customWidth="1"/>
    <col min="7" max="7" width="22.7109375" style="11" customWidth="1"/>
    <col min="8" max="8" width="23.5703125" style="2" customWidth="1"/>
    <col min="9" max="9" width="3.5703125" style="18" customWidth="1"/>
    <col min="10" max="10" width="5.28515625" style="18" customWidth="1"/>
    <col min="11" max="11" width="12.140625" style="18" customWidth="1"/>
    <col min="12" max="12" width="7.42578125" style="18" customWidth="1"/>
    <col min="13" max="13" width="14.5703125" style="14" customWidth="1"/>
    <col min="14" max="14" width="15.42578125" style="13" customWidth="1"/>
    <col min="15" max="15" width="14.5703125" style="29" customWidth="1"/>
    <col min="16" max="16" width="8.140625" style="18" customWidth="1"/>
    <col min="17" max="17" width="10.7109375" style="18" customWidth="1"/>
    <col min="18" max="18" width="15.7109375" style="18" customWidth="1"/>
    <col min="19" max="19" width="16.7109375" style="21" customWidth="1"/>
    <col min="20" max="20" width="6.85546875" style="22" customWidth="1"/>
    <col min="21" max="21" width="12.140625" style="22" customWidth="1"/>
    <col min="22" max="22" width="11.85546875" style="22" customWidth="1"/>
    <col min="23" max="23" width="18" style="14" customWidth="1"/>
    <col min="24" max="24" width="7.5703125" style="3" customWidth="1"/>
    <col min="25" max="25" width="10.28515625" style="18" customWidth="1"/>
    <col min="26" max="26" width="15.140625" style="23" bestFit="1" customWidth="1"/>
    <col min="27" max="27" width="17" style="18" bestFit="1" customWidth="1"/>
    <col min="28" max="28" width="13.7109375" style="18" bestFit="1" customWidth="1"/>
    <col min="29" max="29" width="16.28515625" style="22" bestFit="1" customWidth="1"/>
  </cols>
  <sheetData>
    <row r="1" spans="1:29" ht="25.5">
      <c r="A1" s="8" t="s">
        <v>0</v>
      </c>
      <c r="B1" s="19" t="s">
        <v>7730</v>
      </c>
      <c r="C1" s="6" t="s">
        <v>1</v>
      </c>
      <c r="D1" s="19" t="s">
        <v>8459</v>
      </c>
      <c r="E1" s="8" t="s">
        <v>2</v>
      </c>
      <c r="F1" s="8" t="s">
        <v>3</v>
      </c>
      <c r="G1" s="8" t="s">
        <v>4</v>
      </c>
      <c r="H1" s="4" t="s">
        <v>5</v>
      </c>
      <c r="I1" s="5" t="s">
        <v>8548</v>
      </c>
      <c r="J1" s="5" t="s">
        <v>10184</v>
      </c>
      <c r="K1" s="5" t="s">
        <v>10386</v>
      </c>
      <c r="L1" s="5" t="s">
        <v>6</v>
      </c>
      <c r="M1" s="25" t="s">
        <v>8460</v>
      </c>
      <c r="N1" s="6" t="s">
        <v>7</v>
      </c>
      <c r="O1" s="28" t="s">
        <v>8846</v>
      </c>
      <c r="P1" s="5" t="s">
        <v>12</v>
      </c>
      <c r="Q1" s="5" t="s">
        <v>8</v>
      </c>
      <c r="R1" s="4" t="s">
        <v>9</v>
      </c>
      <c r="S1" s="16" t="s">
        <v>10</v>
      </c>
      <c r="T1" s="7" t="s">
        <v>11</v>
      </c>
      <c r="U1" s="76" t="s">
        <v>14385</v>
      </c>
      <c r="V1" s="76" t="s">
        <v>14387</v>
      </c>
      <c r="W1" s="8" t="s">
        <v>13</v>
      </c>
      <c r="X1" s="4" t="s">
        <v>22</v>
      </c>
      <c r="Y1" s="5" t="s">
        <v>52</v>
      </c>
      <c r="Z1" s="16" t="s">
        <v>7644</v>
      </c>
      <c r="AA1" s="5" t="s">
        <v>11376</v>
      </c>
      <c r="AB1" s="5" t="s">
        <v>8577</v>
      </c>
      <c r="AC1" s="78" t="s">
        <v>16024</v>
      </c>
    </row>
    <row r="2" spans="1:29">
      <c r="A2" s="9" t="s">
        <v>16092</v>
      </c>
      <c r="B2" s="17" t="s">
        <v>7800</v>
      </c>
      <c r="C2" s="13">
        <v>45226</v>
      </c>
      <c r="D2" s="13" t="s">
        <v>8465</v>
      </c>
      <c r="E2" s="10" t="s">
        <v>16093</v>
      </c>
      <c r="F2" s="10" t="s">
        <v>3130</v>
      </c>
      <c r="G2" s="11" t="s">
        <v>3131</v>
      </c>
      <c r="H2" s="2" t="s">
        <v>1061</v>
      </c>
      <c r="L2" s="18">
        <v>1</v>
      </c>
      <c r="N2" s="13">
        <v>45070</v>
      </c>
      <c r="O2" s="29">
        <v>49.99</v>
      </c>
      <c r="P2" s="18" t="s">
        <v>1107</v>
      </c>
      <c r="Q2" s="18">
        <v>1</v>
      </c>
      <c r="R2" s="13">
        <v>45234</v>
      </c>
      <c r="S2" s="21">
        <f>20+11/60</f>
        <v>20.183333333333334</v>
      </c>
      <c r="T2" s="22">
        <v>0.9</v>
      </c>
      <c r="U2" s="22">
        <v>0.92</v>
      </c>
      <c r="W2" s="14" t="s">
        <v>7097</v>
      </c>
      <c r="AB2" s="18">
        <f t="shared" ref="AB2:AB65" si="0">IFERROR(YEAR(C2), "Early Access")</f>
        <v>2023</v>
      </c>
      <c r="AC2" s="22">
        <f t="shared" ref="AC2:AC65" si="1">AVERAGE(T2, U2, V2, IF(ISBLANK(X2), X2, X2/5))</f>
        <v>0.91</v>
      </c>
    </row>
    <row r="3" spans="1:29" ht="25.5">
      <c r="A3" s="8" t="s">
        <v>15240</v>
      </c>
      <c r="B3" s="17" t="s">
        <v>7744</v>
      </c>
      <c r="C3" s="13">
        <v>45219</v>
      </c>
      <c r="D3" s="13" t="s">
        <v>8465</v>
      </c>
      <c r="E3" s="10" t="s">
        <v>86</v>
      </c>
      <c r="F3" s="10" t="s">
        <v>1138</v>
      </c>
      <c r="G3" s="11" t="s">
        <v>137</v>
      </c>
      <c r="H3" s="2" t="s">
        <v>64</v>
      </c>
      <c r="L3" s="18">
        <v>1</v>
      </c>
      <c r="M3" s="14" t="s">
        <v>8462</v>
      </c>
      <c r="N3" s="13">
        <v>45098</v>
      </c>
      <c r="O3" s="29">
        <v>63.97</v>
      </c>
      <c r="P3" s="18" t="s">
        <v>14</v>
      </c>
      <c r="Q3" s="18">
        <v>1</v>
      </c>
      <c r="R3" s="13">
        <v>45232</v>
      </c>
      <c r="S3" s="21">
        <v>10</v>
      </c>
      <c r="T3" s="22">
        <v>0.8</v>
      </c>
      <c r="U3" s="22">
        <v>0.92</v>
      </c>
      <c r="V3" s="22">
        <f>4.25/5</f>
        <v>0.85</v>
      </c>
      <c r="AB3" s="18">
        <f t="shared" si="0"/>
        <v>2023</v>
      </c>
      <c r="AC3" s="22">
        <f t="shared" si="1"/>
        <v>0.8566666666666668</v>
      </c>
    </row>
    <row r="4" spans="1:29" ht="30">
      <c r="A4" s="8" t="s">
        <v>903</v>
      </c>
      <c r="B4" s="17" t="s">
        <v>9431</v>
      </c>
      <c r="C4" s="13">
        <v>45219</v>
      </c>
      <c r="D4" s="13" t="s">
        <v>8465</v>
      </c>
      <c r="E4" s="10" t="s">
        <v>6107</v>
      </c>
      <c r="F4" s="10" t="s">
        <v>3039</v>
      </c>
      <c r="G4" s="11" t="s">
        <v>1264</v>
      </c>
      <c r="H4" s="2" t="s">
        <v>80</v>
      </c>
      <c r="L4" s="18">
        <v>1</v>
      </c>
      <c r="M4" s="14" t="s">
        <v>8462</v>
      </c>
      <c r="N4" s="13">
        <v>45093</v>
      </c>
      <c r="O4" s="29">
        <v>76.03</v>
      </c>
      <c r="P4" s="18" t="s">
        <v>14</v>
      </c>
      <c r="Q4" s="18">
        <v>1</v>
      </c>
      <c r="R4" s="13">
        <v>45242</v>
      </c>
      <c r="S4" s="21">
        <v>17</v>
      </c>
      <c r="T4" s="22">
        <v>0.9</v>
      </c>
      <c r="U4" s="22">
        <v>0.9</v>
      </c>
      <c r="V4" s="22">
        <f>3.98/5</f>
        <v>0.79600000000000004</v>
      </c>
      <c r="AB4" s="18">
        <f t="shared" si="0"/>
        <v>2023</v>
      </c>
      <c r="AC4" s="22">
        <f t="shared" si="1"/>
        <v>0.8653333333333334</v>
      </c>
    </row>
    <row r="5" spans="1:29" ht="25.5">
      <c r="A5" s="8" t="s">
        <v>15946</v>
      </c>
      <c r="B5" s="17" t="s">
        <v>13799</v>
      </c>
      <c r="C5" s="13">
        <v>44454</v>
      </c>
      <c r="D5" s="13" t="s">
        <v>8465</v>
      </c>
      <c r="E5" s="10" t="s">
        <v>15947</v>
      </c>
      <c r="F5" s="10" t="s">
        <v>15947</v>
      </c>
      <c r="H5" s="2" t="s">
        <v>143</v>
      </c>
      <c r="L5" s="18">
        <v>1</v>
      </c>
      <c r="O5" s="29">
        <v>0</v>
      </c>
      <c r="P5" s="18" t="s">
        <v>1107</v>
      </c>
      <c r="Q5" s="18">
        <v>0</v>
      </c>
      <c r="V5" s="22">
        <f>3.5/5</f>
        <v>0.7</v>
      </c>
      <c r="X5" s="3">
        <v>3</v>
      </c>
      <c r="Z5" s="23">
        <v>3</v>
      </c>
      <c r="AA5" s="18">
        <v>1</v>
      </c>
      <c r="AB5" s="18">
        <f t="shared" si="0"/>
        <v>2021</v>
      </c>
      <c r="AC5" s="22">
        <f t="shared" si="1"/>
        <v>0.64999999999999991</v>
      </c>
    </row>
    <row r="6" spans="1:29" ht="30">
      <c r="A6" s="8" t="s">
        <v>7647</v>
      </c>
      <c r="B6" s="17" t="s">
        <v>7744</v>
      </c>
      <c r="C6" s="13">
        <v>43124</v>
      </c>
      <c r="D6" s="13" t="s">
        <v>8465</v>
      </c>
      <c r="E6" s="10" t="s">
        <v>5458</v>
      </c>
      <c r="F6" s="10" t="s">
        <v>5458</v>
      </c>
      <c r="G6" s="11" t="s">
        <v>7647</v>
      </c>
      <c r="H6" s="2" t="s">
        <v>64</v>
      </c>
      <c r="L6" s="18">
        <v>1</v>
      </c>
      <c r="M6" s="14" t="s">
        <v>8462</v>
      </c>
      <c r="N6" s="13">
        <v>43756</v>
      </c>
      <c r="O6" s="29">
        <v>40.49</v>
      </c>
      <c r="P6" s="18" t="s">
        <v>14</v>
      </c>
      <c r="Q6" s="18">
        <v>1</v>
      </c>
      <c r="R6" s="13">
        <v>45240</v>
      </c>
      <c r="S6" s="21">
        <f>6+11/60</f>
        <v>6.1833333333333336</v>
      </c>
      <c r="T6" s="22">
        <v>0.8</v>
      </c>
      <c r="U6" s="22">
        <v>0.92359999999999998</v>
      </c>
      <c r="V6" s="22">
        <f>4.27/5</f>
        <v>0.85399999999999987</v>
      </c>
      <c r="W6" s="14" t="s">
        <v>1134</v>
      </c>
      <c r="AB6" s="18">
        <f t="shared" si="0"/>
        <v>2018</v>
      </c>
      <c r="AC6" s="22">
        <f t="shared" si="1"/>
        <v>0.85919999999999996</v>
      </c>
    </row>
    <row r="7" spans="1:29" ht="30">
      <c r="A7" s="8" t="s">
        <v>12779</v>
      </c>
      <c r="B7" s="17" t="s">
        <v>7800</v>
      </c>
      <c r="C7" s="13">
        <v>42957</v>
      </c>
      <c r="D7" s="13" t="s">
        <v>8465</v>
      </c>
      <c r="E7" s="10" t="s">
        <v>12780</v>
      </c>
      <c r="F7" s="10" t="s">
        <v>12780</v>
      </c>
      <c r="G7" s="11" t="s">
        <v>12781</v>
      </c>
      <c r="H7" s="2" t="s">
        <v>149</v>
      </c>
      <c r="L7" s="18">
        <v>1</v>
      </c>
      <c r="N7" s="13">
        <v>44839</v>
      </c>
      <c r="O7" s="29">
        <v>5.49</v>
      </c>
      <c r="P7" s="18" t="s">
        <v>1107</v>
      </c>
      <c r="Q7" s="18">
        <v>1</v>
      </c>
      <c r="R7" s="13">
        <v>45229</v>
      </c>
      <c r="S7" s="21">
        <f>7+14/60</f>
        <v>7.2333333333333334</v>
      </c>
      <c r="T7" s="22">
        <v>0.75</v>
      </c>
      <c r="U7" s="22">
        <v>0.87</v>
      </c>
      <c r="V7" s="22">
        <f>4.09/5</f>
        <v>0.81799999999999995</v>
      </c>
      <c r="W7" s="14" t="s">
        <v>7777</v>
      </c>
      <c r="AB7" s="18">
        <f t="shared" si="0"/>
        <v>2017</v>
      </c>
      <c r="AC7" s="22">
        <f t="shared" si="1"/>
        <v>0.81266666666666676</v>
      </c>
    </row>
    <row r="8" spans="1:29">
      <c r="A8" s="8" t="s">
        <v>10266</v>
      </c>
      <c r="B8" s="17" t="s">
        <v>7749</v>
      </c>
      <c r="C8" s="13">
        <v>42709</v>
      </c>
      <c r="D8" s="13" t="s">
        <v>8465</v>
      </c>
      <c r="E8" s="10" t="s">
        <v>1794</v>
      </c>
      <c r="F8" s="10" t="s">
        <v>1794</v>
      </c>
      <c r="G8" s="11" t="s">
        <v>10286</v>
      </c>
      <c r="H8" s="2" t="s">
        <v>78</v>
      </c>
      <c r="L8" s="18">
        <v>1</v>
      </c>
      <c r="N8" s="13">
        <v>44625</v>
      </c>
      <c r="O8" s="29">
        <v>5.99</v>
      </c>
      <c r="P8" s="18" t="s">
        <v>1107</v>
      </c>
      <c r="Q8" s="18">
        <v>0</v>
      </c>
      <c r="V8" s="22">
        <f>3.96/5</f>
        <v>0.79200000000000004</v>
      </c>
      <c r="X8" s="3">
        <v>3</v>
      </c>
      <c r="Z8" s="23">
        <v>9.5</v>
      </c>
      <c r="AA8" s="18">
        <v>1</v>
      </c>
      <c r="AB8" s="18">
        <f t="shared" si="0"/>
        <v>2016</v>
      </c>
      <c r="AC8" s="22">
        <f t="shared" si="1"/>
        <v>0.69599999999999995</v>
      </c>
    </row>
    <row r="9" spans="1:29" ht="25.5">
      <c r="A9" s="8" t="s">
        <v>10159</v>
      </c>
      <c r="B9" s="17" t="s">
        <v>7760</v>
      </c>
      <c r="C9" s="13">
        <v>44330</v>
      </c>
      <c r="D9" s="13" t="s">
        <v>8465</v>
      </c>
      <c r="E9" s="10" t="s">
        <v>231</v>
      </c>
      <c r="F9" s="10" t="s">
        <v>1161</v>
      </c>
      <c r="G9" s="11" t="s">
        <v>1162</v>
      </c>
      <c r="H9" s="2" t="s">
        <v>171</v>
      </c>
      <c r="L9" s="18">
        <v>1</v>
      </c>
      <c r="M9" s="14" t="s">
        <v>8462</v>
      </c>
      <c r="N9" s="13">
        <v>44231</v>
      </c>
      <c r="O9" s="29">
        <v>50.94</v>
      </c>
      <c r="P9" s="18" t="s">
        <v>14</v>
      </c>
      <c r="Q9" s="18">
        <v>0</v>
      </c>
      <c r="U9" s="22">
        <v>0.89</v>
      </c>
      <c r="V9" s="22">
        <f>4.2/5</f>
        <v>0.84000000000000008</v>
      </c>
      <c r="X9" s="3">
        <v>2</v>
      </c>
      <c r="Z9" s="23">
        <v>67.5</v>
      </c>
      <c r="AA9" s="18">
        <v>0</v>
      </c>
      <c r="AB9" s="18">
        <f t="shared" si="0"/>
        <v>2021</v>
      </c>
      <c r="AC9" s="22">
        <f t="shared" si="1"/>
        <v>0.71</v>
      </c>
    </row>
    <row r="10" spans="1:29" ht="25.5">
      <c r="A10" s="8" t="s">
        <v>8560</v>
      </c>
      <c r="B10" s="17" t="s">
        <v>7800</v>
      </c>
      <c r="C10" s="13">
        <v>43987</v>
      </c>
      <c r="D10" s="13" t="s">
        <v>8465</v>
      </c>
      <c r="E10" s="10" t="s">
        <v>231</v>
      </c>
      <c r="F10" s="10" t="s">
        <v>8561</v>
      </c>
      <c r="G10" s="11" t="s">
        <v>3043</v>
      </c>
      <c r="H10" s="2" t="s">
        <v>1143</v>
      </c>
      <c r="L10" s="18">
        <v>1</v>
      </c>
      <c r="N10" s="13">
        <v>43987</v>
      </c>
      <c r="O10" s="29">
        <v>17.59</v>
      </c>
      <c r="P10" s="18" t="s">
        <v>1107</v>
      </c>
      <c r="Q10" s="18">
        <v>0</v>
      </c>
      <c r="S10" s="21">
        <v>9</v>
      </c>
      <c r="T10" s="22">
        <v>0.6</v>
      </c>
      <c r="U10" s="22">
        <v>0.83</v>
      </c>
      <c r="V10" s="22">
        <f>3.96/5</f>
        <v>0.79200000000000004</v>
      </c>
      <c r="W10" s="14" t="s">
        <v>7796</v>
      </c>
      <c r="X10" s="3">
        <v>3</v>
      </c>
      <c r="Z10" s="23">
        <v>28</v>
      </c>
      <c r="AA10" s="18">
        <v>0</v>
      </c>
      <c r="AB10" s="18">
        <f t="shared" si="0"/>
        <v>2020</v>
      </c>
      <c r="AC10" s="22">
        <f t="shared" si="1"/>
        <v>0.70550000000000002</v>
      </c>
    </row>
    <row r="11" spans="1:29" ht="25.5">
      <c r="A11" s="8" t="s">
        <v>8725</v>
      </c>
      <c r="B11" s="17" t="s">
        <v>7744</v>
      </c>
      <c r="C11" s="13">
        <v>43980</v>
      </c>
      <c r="D11" s="13" t="s">
        <v>8465</v>
      </c>
      <c r="E11" s="10" t="s">
        <v>3310</v>
      </c>
      <c r="F11" s="10" t="s">
        <v>3154</v>
      </c>
      <c r="G11" s="11" t="s">
        <v>3356</v>
      </c>
      <c r="H11" s="2" t="s">
        <v>1050</v>
      </c>
      <c r="L11" s="18">
        <v>1</v>
      </c>
      <c r="M11" s="14" t="s">
        <v>8462</v>
      </c>
      <c r="N11" s="13">
        <v>43980</v>
      </c>
      <c r="O11" s="29">
        <v>54.18</v>
      </c>
      <c r="P11" s="18" t="s">
        <v>14</v>
      </c>
      <c r="Q11" s="18">
        <v>0</v>
      </c>
      <c r="S11" s="21">
        <f>11+8/60+35/3600</f>
        <v>11.143055555555556</v>
      </c>
      <c r="T11" s="22">
        <v>0.7</v>
      </c>
      <c r="U11" s="22">
        <v>0.82</v>
      </c>
      <c r="V11" s="22">
        <f>3.96/5</f>
        <v>0.79200000000000004</v>
      </c>
      <c r="X11" s="3">
        <v>2</v>
      </c>
      <c r="Z11" s="23">
        <f>23+30.5+18</f>
        <v>71.5</v>
      </c>
      <c r="AA11" s="18">
        <v>0</v>
      </c>
      <c r="AB11" s="18">
        <f t="shared" si="0"/>
        <v>2020</v>
      </c>
      <c r="AC11" s="22">
        <f t="shared" si="1"/>
        <v>0.67800000000000005</v>
      </c>
    </row>
    <row r="12" spans="1:29" ht="25.5">
      <c r="A12" s="8" t="s">
        <v>9029</v>
      </c>
      <c r="B12" s="17" t="s">
        <v>7800</v>
      </c>
      <c r="C12" s="13">
        <v>43853</v>
      </c>
      <c r="D12" s="13" t="s">
        <v>8465</v>
      </c>
      <c r="E12" s="10" t="s">
        <v>9030</v>
      </c>
      <c r="F12" s="10" t="s">
        <v>9030</v>
      </c>
      <c r="G12" s="11" t="s">
        <v>5388</v>
      </c>
      <c r="H12" s="2" t="s">
        <v>1050</v>
      </c>
      <c r="I12" s="18">
        <v>1</v>
      </c>
      <c r="L12" s="18">
        <v>1</v>
      </c>
      <c r="N12" s="13">
        <v>44026</v>
      </c>
      <c r="O12" s="29">
        <v>31.99</v>
      </c>
      <c r="P12" s="18" t="s">
        <v>1107</v>
      </c>
      <c r="Q12" s="18">
        <v>0</v>
      </c>
      <c r="U12" s="22">
        <v>0.81</v>
      </c>
      <c r="V12" s="22">
        <f>4.17/5</f>
        <v>0.83399999999999996</v>
      </c>
      <c r="W12" s="14" t="s">
        <v>7777</v>
      </c>
      <c r="X12" s="3">
        <v>4</v>
      </c>
      <c r="Z12" s="23">
        <v>12</v>
      </c>
      <c r="AA12" s="18">
        <v>0</v>
      </c>
      <c r="AB12" s="18">
        <f t="shared" si="0"/>
        <v>2020</v>
      </c>
      <c r="AC12" s="22">
        <f t="shared" si="1"/>
        <v>0.81466666666666665</v>
      </c>
    </row>
    <row r="13" spans="1:29" ht="25.5">
      <c r="A13" s="8" t="s">
        <v>2373</v>
      </c>
      <c r="B13" s="17" t="s">
        <v>7749</v>
      </c>
      <c r="C13" s="13">
        <v>42419</v>
      </c>
      <c r="D13" s="13" t="s">
        <v>8465</v>
      </c>
      <c r="E13" s="10" t="s">
        <v>86</v>
      </c>
      <c r="F13" s="10" t="s">
        <v>1069</v>
      </c>
      <c r="G13" s="11" t="s">
        <v>305</v>
      </c>
      <c r="H13" s="2" t="s">
        <v>75</v>
      </c>
      <c r="L13" s="18">
        <v>1</v>
      </c>
      <c r="M13" s="14" t="s">
        <v>8462</v>
      </c>
      <c r="N13" s="13">
        <v>42419</v>
      </c>
      <c r="O13" s="29">
        <v>42.96</v>
      </c>
      <c r="P13" s="18" t="s">
        <v>14</v>
      </c>
      <c r="Q13" s="18">
        <v>0</v>
      </c>
      <c r="U13" s="22">
        <v>0.85</v>
      </c>
      <c r="V13" s="22">
        <f>4.12/5</f>
        <v>0.82400000000000007</v>
      </c>
      <c r="X13" s="3">
        <v>4</v>
      </c>
      <c r="Z13" s="23">
        <v>26.5</v>
      </c>
      <c r="AA13" s="18">
        <v>0</v>
      </c>
      <c r="AB13" s="18">
        <f t="shared" si="0"/>
        <v>2016</v>
      </c>
      <c r="AC13" s="22">
        <f t="shared" si="1"/>
        <v>0.82466666666666677</v>
      </c>
    </row>
    <row r="14" spans="1:29" ht="30">
      <c r="A14" s="8" t="s">
        <v>4104</v>
      </c>
      <c r="B14" s="17" t="s">
        <v>7800</v>
      </c>
      <c r="C14" s="13">
        <v>42345</v>
      </c>
      <c r="D14" s="13" t="s">
        <v>8465</v>
      </c>
      <c r="E14" s="10" t="s">
        <v>2908</v>
      </c>
      <c r="F14" s="10" t="s">
        <v>3968</v>
      </c>
      <c r="H14" s="2" t="s">
        <v>2138</v>
      </c>
      <c r="L14" s="18">
        <v>1</v>
      </c>
      <c r="N14" s="13">
        <v>42726</v>
      </c>
      <c r="O14" s="29">
        <v>7.99</v>
      </c>
      <c r="P14" s="18" t="s">
        <v>1107</v>
      </c>
      <c r="Q14" s="18">
        <v>0</v>
      </c>
      <c r="U14" s="22">
        <v>0.85</v>
      </c>
      <c r="V14" s="22">
        <f>3.39/5</f>
        <v>0.67800000000000005</v>
      </c>
      <c r="W14" s="14" t="s">
        <v>7777</v>
      </c>
      <c r="X14" s="3">
        <v>3</v>
      </c>
      <c r="Z14" s="23">
        <v>9.5</v>
      </c>
      <c r="AA14" s="18">
        <v>0</v>
      </c>
      <c r="AB14" s="18">
        <f t="shared" si="0"/>
        <v>2015</v>
      </c>
      <c r="AC14" s="22">
        <f t="shared" si="1"/>
        <v>0.70933333333333337</v>
      </c>
    </row>
    <row r="15" spans="1:29">
      <c r="A15" s="8" t="s">
        <v>3150</v>
      </c>
      <c r="B15" s="17" t="s">
        <v>7800</v>
      </c>
      <c r="C15" s="13">
        <v>41919</v>
      </c>
      <c r="D15" s="13" t="s">
        <v>8465</v>
      </c>
      <c r="E15" s="10" t="s">
        <v>455</v>
      </c>
      <c r="F15" s="10" t="s">
        <v>3151</v>
      </c>
      <c r="G15" s="11" t="s">
        <v>442</v>
      </c>
      <c r="H15" s="2" t="s">
        <v>1061</v>
      </c>
      <c r="L15" s="18">
        <v>1</v>
      </c>
      <c r="N15" s="13">
        <v>43425</v>
      </c>
      <c r="O15" s="29">
        <v>9.99</v>
      </c>
      <c r="P15" s="18" t="s">
        <v>1107</v>
      </c>
      <c r="Q15" s="18">
        <v>0</v>
      </c>
      <c r="U15" s="22">
        <v>0.83</v>
      </c>
      <c r="V15" s="22">
        <f>3.92/5</f>
        <v>0.78400000000000003</v>
      </c>
      <c r="W15" s="14" t="s">
        <v>7777</v>
      </c>
      <c r="X15" s="3">
        <v>4</v>
      </c>
      <c r="Z15" s="23">
        <v>19</v>
      </c>
      <c r="AA15" s="18">
        <v>0</v>
      </c>
      <c r="AB15" s="18">
        <f t="shared" si="0"/>
        <v>2014</v>
      </c>
      <c r="AC15" s="22">
        <f t="shared" si="1"/>
        <v>0.80466666666666653</v>
      </c>
    </row>
    <row r="16" spans="1:29">
      <c r="A16" s="8" t="s">
        <v>4431</v>
      </c>
      <c r="B16" s="17" t="s">
        <v>7800</v>
      </c>
      <c r="C16" s="13">
        <v>41723</v>
      </c>
      <c r="D16" s="13" t="s">
        <v>8465</v>
      </c>
      <c r="E16" s="10" t="s">
        <v>4432</v>
      </c>
      <c r="F16" s="10" t="s">
        <v>4432</v>
      </c>
      <c r="H16" s="2" t="s">
        <v>2138</v>
      </c>
      <c r="L16" s="18">
        <v>1</v>
      </c>
      <c r="N16" s="13">
        <v>42002</v>
      </c>
      <c r="O16" s="29">
        <v>6.79</v>
      </c>
      <c r="P16" s="18" t="s">
        <v>1107</v>
      </c>
      <c r="Q16" s="18">
        <v>0</v>
      </c>
      <c r="U16" s="22">
        <v>0.76</v>
      </c>
      <c r="V16" s="22">
        <f>3.75/5</f>
        <v>0.75</v>
      </c>
      <c r="W16" s="14" t="s">
        <v>7777</v>
      </c>
      <c r="X16" s="3">
        <v>3</v>
      </c>
      <c r="Z16" s="23">
        <v>19</v>
      </c>
      <c r="AA16" s="18">
        <v>0</v>
      </c>
      <c r="AB16" s="18">
        <f t="shared" si="0"/>
        <v>2014</v>
      </c>
      <c r="AC16" s="22">
        <f t="shared" si="1"/>
        <v>0.70333333333333325</v>
      </c>
    </row>
    <row r="17" spans="1:29">
      <c r="A17" s="8" t="s">
        <v>2405</v>
      </c>
      <c r="B17" s="17" t="s">
        <v>7749</v>
      </c>
      <c r="C17" s="13">
        <v>41471</v>
      </c>
      <c r="D17" s="13" t="s">
        <v>8465</v>
      </c>
      <c r="E17" s="10" t="s">
        <v>2461</v>
      </c>
      <c r="F17" s="10" t="s">
        <v>228</v>
      </c>
      <c r="G17" s="11" t="s">
        <v>1171</v>
      </c>
      <c r="H17" s="2" t="s">
        <v>149</v>
      </c>
      <c r="L17" s="18">
        <v>1</v>
      </c>
      <c r="M17" s="14" t="s">
        <v>8462</v>
      </c>
      <c r="N17" s="13">
        <v>41814</v>
      </c>
      <c r="O17" s="29">
        <v>21.49</v>
      </c>
      <c r="P17" s="18" t="s">
        <v>14</v>
      </c>
      <c r="Q17" s="18">
        <v>0</v>
      </c>
      <c r="U17" s="22">
        <v>0.84</v>
      </c>
      <c r="V17" s="22">
        <f>4.23/5</f>
        <v>0.84600000000000009</v>
      </c>
      <c r="X17" s="3">
        <v>4</v>
      </c>
      <c r="Z17" s="23">
        <v>44</v>
      </c>
      <c r="AA17" s="18">
        <v>0</v>
      </c>
      <c r="AB17" s="18">
        <f t="shared" si="0"/>
        <v>2013</v>
      </c>
      <c r="AC17" s="22">
        <f t="shared" si="1"/>
        <v>0.82866666666666655</v>
      </c>
    </row>
    <row r="18" spans="1:29">
      <c r="A18" s="8" t="s">
        <v>11500</v>
      </c>
      <c r="B18" s="17" t="s">
        <v>7749</v>
      </c>
      <c r="C18" s="13">
        <v>41452</v>
      </c>
      <c r="D18" s="13" t="s">
        <v>8465</v>
      </c>
      <c r="E18" s="10" t="s">
        <v>10991</v>
      </c>
      <c r="F18" s="10" t="s">
        <v>10991</v>
      </c>
      <c r="H18" s="2" t="s">
        <v>1054</v>
      </c>
      <c r="L18" s="18">
        <v>1</v>
      </c>
      <c r="N18" s="13">
        <v>44649</v>
      </c>
      <c r="O18" s="29">
        <v>14.99</v>
      </c>
      <c r="P18" s="18" t="s">
        <v>1107</v>
      </c>
      <c r="Q18" s="18">
        <v>0</v>
      </c>
      <c r="U18" s="22">
        <v>0.77</v>
      </c>
      <c r="V18" s="22">
        <f>3.9/5</f>
        <v>0.78</v>
      </c>
      <c r="X18" s="3">
        <v>3</v>
      </c>
      <c r="AA18" s="18">
        <v>0</v>
      </c>
      <c r="AB18" s="18">
        <f t="shared" si="0"/>
        <v>2013</v>
      </c>
      <c r="AC18" s="22">
        <f t="shared" si="1"/>
        <v>0.71666666666666667</v>
      </c>
    </row>
    <row r="19" spans="1:29">
      <c r="A19" s="8" t="s">
        <v>5204</v>
      </c>
      <c r="B19" s="17" t="s">
        <v>7765</v>
      </c>
      <c r="C19" s="13">
        <v>40471</v>
      </c>
      <c r="D19" s="13" t="s">
        <v>8465</v>
      </c>
      <c r="E19" s="10" t="s">
        <v>5205</v>
      </c>
      <c r="F19" s="10" t="s">
        <v>5205</v>
      </c>
      <c r="G19" s="11" t="s">
        <v>5206</v>
      </c>
      <c r="H19" s="2" t="s">
        <v>64</v>
      </c>
      <c r="L19" s="18">
        <v>1</v>
      </c>
      <c r="P19" s="18" t="s">
        <v>1107</v>
      </c>
      <c r="Q19" s="18">
        <v>0</v>
      </c>
      <c r="U19" s="22">
        <v>0.91</v>
      </c>
      <c r="V19" s="22">
        <f>4.2/5</f>
        <v>0.84000000000000008</v>
      </c>
      <c r="X19" s="3">
        <v>3</v>
      </c>
      <c r="Z19" s="23">
        <v>10</v>
      </c>
      <c r="AA19" s="18">
        <v>0</v>
      </c>
      <c r="AB19" s="18">
        <f t="shared" si="0"/>
        <v>2010</v>
      </c>
      <c r="AC19" s="22">
        <f t="shared" si="1"/>
        <v>0.78333333333333333</v>
      </c>
    </row>
    <row r="20" spans="1:29">
      <c r="A20" s="8" t="s">
        <v>15021</v>
      </c>
      <c r="B20" s="17" t="s">
        <v>9431</v>
      </c>
      <c r="C20" s="13">
        <v>45079</v>
      </c>
      <c r="D20" s="13" t="s">
        <v>8465</v>
      </c>
      <c r="E20" s="10" t="s">
        <v>73</v>
      </c>
      <c r="F20" s="10" t="s">
        <v>73</v>
      </c>
      <c r="G20" s="11" t="s">
        <v>227</v>
      </c>
      <c r="H20" s="2" t="s">
        <v>459</v>
      </c>
      <c r="L20" s="18">
        <v>1</v>
      </c>
      <c r="M20" s="14" t="s">
        <v>8462</v>
      </c>
      <c r="N20" s="13">
        <v>45076</v>
      </c>
      <c r="O20" s="29">
        <v>65.16</v>
      </c>
      <c r="P20" s="18" t="s">
        <v>14</v>
      </c>
      <c r="Q20" s="18">
        <v>0</v>
      </c>
      <c r="U20" s="22">
        <v>0.92</v>
      </c>
      <c r="V20" s="22">
        <f>4.23/5</f>
        <v>0.84600000000000009</v>
      </c>
      <c r="X20" s="3">
        <v>4</v>
      </c>
      <c r="Z20" s="23">
        <v>17</v>
      </c>
      <c r="AA20" s="18">
        <v>1</v>
      </c>
      <c r="AB20" s="18">
        <f t="shared" si="0"/>
        <v>2023</v>
      </c>
      <c r="AC20" s="22">
        <f t="shared" si="1"/>
        <v>0.85533333333333328</v>
      </c>
    </row>
    <row r="21" spans="1:29" ht="25.5">
      <c r="A21" s="8" t="s">
        <v>14683</v>
      </c>
      <c r="B21" s="17" t="s">
        <v>9431</v>
      </c>
      <c r="C21" s="13">
        <v>45044</v>
      </c>
      <c r="D21" s="13" t="s">
        <v>8465</v>
      </c>
      <c r="E21" s="10" t="s">
        <v>231</v>
      </c>
      <c r="F21" s="10" t="s">
        <v>6559</v>
      </c>
      <c r="G21" s="11" t="s">
        <v>1481</v>
      </c>
      <c r="H21" s="2" t="s">
        <v>171</v>
      </c>
      <c r="L21" s="18">
        <v>1</v>
      </c>
      <c r="M21" s="14" t="s">
        <v>8462</v>
      </c>
      <c r="N21" s="13">
        <v>45051</v>
      </c>
      <c r="O21" s="29">
        <v>76.03</v>
      </c>
      <c r="P21" s="18" t="s">
        <v>14</v>
      </c>
      <c r="Q21" s="18">
        <v>0</v>
      </c>
      <c r="U21" s="22">
        <v>0.86</v>
      </c>
      <c r="V21" s="22">
        <f>3.58/5</f>
        <v>0.71599999999999997</v>
      </c>
      <c r="X21" s="3">
        <v>4</v>
      </c>
      <c r="Z21" s="23">
        <v>18.5</v>
      </c>
      <c r="AA21" s="18">
        <v>-1</v>
      </c>
      <c r="AB21" s="18">
        <f t="shared" si="0"/>
        <v>2023</v>
      </c>
      <c r="AC21" s="22">
        <f t="shared" si="1"/>
        <v>0.79200000000000015</v>
      </c>
    </row>
    <row r="22" spans="1:29" ht="25.5">
      <c r="A22" s="8" t="s">
        <v>12150</v>
      </c>
      <c r="B22" s="17" t="s">
        <v>9431</v>
      </c>
      <c r="C22" s="13">
        <v>44861</v>
      </c>
      <c r="D22" s="13" t="s">
        <v>8465</v>
      </c>
      <c r="E22" s="10" t="s">
        <v>1082</v>
      </c>
      <c r="F22" s="10" t="s">
        <v>1423</v>
      </c>
      <c r="G22" s="11" t="s">
        <v>840</v>
      </c>
      <c r="H22" s="2" t="s">
        <v>171</v>
      </c>
      <c r="L22" s="18">
        <v>1</v>
      </c>
      <c r="M22" s="14" t="s">
        <v>8462</v>
      </c>
      <c r="N22" s="13">
        <v>44745</v>
      </c>
      <c r="O22" s="29">
        <v>65.16</v>
      </c>
      <c r="P22" s="18" t="s">
        <v>14</v>
      </c>
      <c r="Q22" s="18">
        <v>0</v>
      </c>
      <c r="U22" s="22">
        <v>0.73</v>
      </c>
      <c r="V22" s="22">
        <f>4.21/5</f>
        <v>0.84199999999999997</v>
      </c>
      <c r="X22" s="3">
        <v>4</v>
      </c>
      <c r="Z22" s="23">
        <v>33</v>
      </c>
      <c r="AA22" s="18">
        <v>-1</v>
      </c>
      <c r="AB22" s="18">
        <f t="shared" si="0"/>
        <v>2022</v>
      </c>
      <c r="AC22" s="22">
        <f t="shared" si="1"/>
        <v>0.79066666666666663</v>
      </c>
    </row>
    <row r="23" spans="1:29" ht="38.25">
      <c r="A23" s="8" t="s">
        <v>11161</v>
      </c>
      <c r="B23" s="17" t="s">
        <v>7744</v>
      </c>
      <c r="C23" s="13">
        <v>44658</v>
      </c>
      <c r="D23" s="13" t="s">
        <v>9335</v>
      </c>
      <c r="E23" s="10" t="s">
        <v>1082</v>
      </c>
      <c r="F23" s="10" t="s">
        <v>1082</v>
      </c>
      <c r="G23" s="11" t="s">
        <v>1251</v>
      </c>
      <c r="H23" s="2" t="s">
        <v>149</v>
      </c>
      <c r="K23" s="18">
        <v>2</v>
      </c>
      <c r="L23" s="18">
        <v>1</v>
      </c>
      <c r="M23" s="14" t="s">
        <v>8462</v>
      </c>
      <c r="N23" s="13">
        <v>44647</v>
      </c>
      <c r="O23" s="29">
        <v>43.89</v>
      </c>
      <c r="P23" s="18" t="s">
        <v>14</v>
      </c>
      <c r="Q23" s="18">
        <v>0</v>
      </c>
      <c r="U23" s="22">
        <v>0.8</v>
      </c>
      <c r="V23" s="22">
        <f>3.74/5</f>
        <v>0.748</v>
      </c>
      <c r="X23" s="3">
        <v>4</v>
      </c>
      <c r="Z23" s="23">
        <v>37</v>
      </c>
      <c r="AA23" s="18">
        <v>-1</v>
      </c>
      <c r="AB23" s="18">
        <f t="shared" si="0"/>
        <v>2022</v>
      </c>
      <c r="AC23" s="22">
        <f t="shared" si="1"/>
        <v>0.78266666666666662</v>
      </c>
    </row>
    <row r="24" spans="1:29">
      <c r="A24" s="8" t="s">
        <v>11700</v>
      </c>
      <c r="B24" s="17" t="s">
        <v>9431</v>
      </c>
      <c r="C24" s="13">
        <v>44600</v>
      </c>
      <c r="D24" s="13" t="s">
        <v>8465</v>
      </c>
      <c r="E24" s="10" t="s">
        <v>3092</v>
      </c>
      <c r="F24" s="10" t="s">
        <v>3092</v>
      </c>
      <c r="H24" s="2" t="s">
        <v>153</v>
      </c>
      <c r="L24" s="18">
        <v>1</v>
      </c>
      <c r="M24" s="14" t="s">
        <v>8462</v>
      </c>
      <c r="N24" s="13">
        <v>44606</v>
      </c>
      <c r="O24" s="29">
        <v>54.3</v>
      </c>
      <c r="P24" s="18" t="s">
        <v>14</v>
      </c>
      <c r="Q24" s="18">
        <v>0</v>
      </c>
      <c r="U24" s="22">
        <v>0.8</v>
      </c>
      <c r="V24" s="22">
        <f>3.68/5</f>
        <v>0.73599999999999999</v>
      </c>
      <c r="W24" s="14" t="s">
        <v>11701</v>
      </c>
      <c r="X24" s="3">
        <v>4</v>
      </c>
      <c r="Z24" s="23">
        <v>10</v>
      </c>
      <c r="AA24" s="18">
        <v>-1</v>
      </c>
      <c r="AB24" s="18">
        <f t="shared" si="0"/>
        <v>2022</v>
      </c>
      <c r="AC24" s="22">
        <f t="shared" si="1"/>
        <v>0.77866666666666673</v>
      </c>
    </row>
    <row r="25" spans="1:29" ht="25.5">
      <c r="A25" s="8" t="s">
        <v>14594</v>
      </c>
      <c r="B25" s="17" t="s">
        <v>7800</v>
      </c>
      <c r="C25" s="13">
        <v>44490</v>
      </c>
      <c r="D25" s="13" t="s">
        <v>8465</v>
      </c>
      <c r="E25" s="10" t="s">
        <v>1082</v>
      </c>
      <c r="F25" s="10" t="s">
        <v>1082</v>
      </c>
      <c r="G25" s="11" t="s">
        <v>9517</v>
      </c>
      <c r="H25" s="2" t="s">
        <v>149</v>
      </c>
      <c r="L25" s="18">
        <v>1</v>
      </c>
      <c r="N25" s="13">
        <v>45045</v>
      </c>
      <c r="O25" s="29">
        <v>11.99</v>
      </c>
      <c r="P25" s="18" t="s">
        <v>1107</v>
      </c>
      <c r="Q25" s="18">
        <v>0</v>
      </c>
      <c r="V25" s="22">
        <f>3.2/5</f>
        <v>0.64</v>
      </c>
      <c r="W25" s="14" t="s">
        <v>7777</v>
      </c>
      <c r="X25" s="3">
        <v>4</v>
      </c>
      <c r="Z25" s="23">
        <f>10.5+15+14.5</f>
        <v>40</v>
      </c>
      <c r="AA25" s="18">
        <v>-1</v>
      </c>
      <c r="AB25" s="18">
        <f t="shared" si="0"/>
        <v>2021</v>
      </c>
      <c r="AC25" s="22">
        <f t="shared" si="1"/>
        <v>0.72</v>
      </c>
    </row>
    <row r="26" spans="1:29" ht="30">
      <c r="A26" s="8" t="s">
        <v>9102</v>
      </c>
      <c r="B26" s="17" t="s">
        <v>7800</v>
      </c>
      <c r="C26" s="13">
        <v>42963</v>
      </c>
      <c r="D26" s="13" t="s">
        <v>8465</v>
      </c>
      <c r="E26" s="10" t="s">
        <v>1680</v>
      </c>
      <c r="F26" s="10" t="s">
        <v>3861</v>
      </c>
      <c r="G26" s="11" t="s">
        <v>9103</v>
      </c>
      <c r="H26" s="2" t="s">
        <v>1377</v>
      </c>
      <c r="L26" s="18">
        <v>1</v>
      </c>
      <c r="N26" s="13">
        <v>43761</v>
      </c>
      <c r="P26" s="18" t="s">
        <v>1107</v>
      </c>
      <c r="Q26" s="18">
        <v>0</v>
      </c>
      <c r="U26" s="22">
        <v>0.64</v>
      </c>
      <c r="V26" s="22">
        <f>3.69/5</f>
        <v>0.73799999999999999</v>
      </c>
      <c r="W26" s="14" t="s">
        <v>7777</v>
      </c>
      <c r="X26" s="3">
        <v>3</v>
      </c>
      <c r="Z26" s="23">
        <v>21.5</v>
      </c>
      <c r="AA26" s="18">
        <v>-1</v>
      </c>
      <c r="AB26" s="18">
        <f t="shared" si="0"/>
        <v>2017</v>
      </c>
      <c r="AC26" s="22">
        <f t="shared" si="1"/>
        <v>0.65933333333333344</v>
      </c>
    </row>
    <row r="27" spans="1:29" ht="30">
      <c r="A27" s="8" t="s">
        <v>6033</v>
      </c>
      <c r="B27" s="17" t="s">
        <v>7759</v>
      </c>
      <c r="C27" s="13">
        <v>40813</v>
      </c>
      <c r="D27" s="13" t="s">
        <v>8465</v>
      </c>
      <c r="E27" s="10" t="s">
        <v>2908</v>
      </c>
      <c r="F27" s="10" t="s">
        <v>6034</v>
      </c>
      <c r="H27" s="2" t="s">
        <v>80</v>
      </c>
      <c r="L27" s="18">
        <v>1</v>
      </c>
      <c r="M27" s="14" t="s">
        <v>8462</v>
      </c>
      <c r="N27" s="13">
        <v>43458</v>
      </c>
      <c r="O27" s="29">
        <v>11.99</v>
      </c>
      <c r="P27" s="18" t="s">
        <v>14</v>
      </c>
      <c r="Q27" s="18">
        <v>0</v>
      </c>
      <c r="U27" s="22">
        <v>0.92</v>
      </c>
      <c r="V27" s="22">
        <f>4.42/5</f>
        <v>0.88400000000000001</v>
      </c>
      <c r="W27" s="14" t="s">
        <v>11019</v>
      </c>
      <c r="X27" s="3">
        <v>5</v>
      </c>
      <c r="Z27" s="23">
        <v>15.5</v>
      </c>
      <c r="AA27" s="18">
        <v>-1</v>
      </c>
      <c r="AB27" s="18">
        <f t="shared" si="0"/>
        <v>2011</v>
      </c>
      <c r="AC27" s="22">
        <f t="shared" si="1"/>
        <v>0.93466666666666676</v>
      </c>
    </row>
    <row r="28" spans="1:29" ht="25.5">
      <c r="A28" s="8" t="s">
        <v>5855</v>
      </c>
      <c r="B28" s="17" t="s">
        <v>7758</v>
      </c>
      <c r="C28" s="13">
        <v>39560</v>
      </c>
      <c r="D28" s="13" t="s">
        <v>8465</v>
      </c>
      <c r="E28" s="10" t="s">
        <v>228</v>
      </c>
      <c r="F28" s="10" t="s">
        <v>228</v>
      </c>
      <c r="G28" s="11" t="s">
        <v>1171</v>
      </c>
      <c r="H28" s="2" t="s">
        <v>149</v>
      </c>
      <c r="L28" s="18">
        <v>0</v>
      </c>
      <c r="Q28" s="18">
        <v>0</v>
      </c>
      <c r="U28" s="22">
        <v>0.88</v>
      </c>
      <c r="V28" s="22">
        <f>4.44/5</f>
        <v>0.88800000000000012</v>
      </c>
      <c r="X28" s="3">
        <v>5</v>
      </c>
      <c r="Z28" s="23">
        <v>81</v>
      </c>
      <c r="AA28" s="18">
        <v>-1</v>
      </c>
      <c r="AB28" s="18">
        <f t="shared" si="0"/>
        <v>2008</v>
      </c>
      <c r="AC28" s="22">
        <f t="shared" si="1"/>
        <v>0.92266666666666675</v>
      </c>
    </row>
    <row r="29" spans="1:29" ht="25.5">
      <c r="A29" s="8" t="s">
        <v>5849</v>
      </c>
      <c r="B29" s="17" t="s">
        <v>7758</v>
      </c>
      <c r="C29" s="13">
        <v>37677</v>
      </c>
      <c r="D29" s="13" t="s">
        <v>8465</v>
      </c>
      <c r="E29" s="10" t="s">
        <v>158</v>
      </c>
      <c r="F29" s="10" t="s">
        <v>1145</v>
      </c>
      <c r="G29" s="11" t="s">
        <v>1146</v>
      </c>
      <c r="H29" s="2" t="s">
        <v>149</v>
      </c>
      <c r="L29" s="18">
        <v>0</v>
      </c>
      <c r="Q29" s="18">
        <v>0</v>
      </c>
      <c r="U29" s="22">
        <v>0.84</v>
      </c>
      <c r="V29" s="22">
        <f>3.97/5</f>
        <v>0.79400000000000004</v>
      </c>
      <c r="X29" s="3">
        <v>4</v>
      </c>
      <c r="Z29" s="23">
        <v>40</v>
      </c>
      <c r="AA29" s="18">
        <v>-1</v>
      </c>
      <c r="AB29" s="18">
        <f t="shared" si="0"/>
        <v>2003</v>
      </c>
      <c r="AC29" s="22">
        <f t="shared" si="1"/>
        <v>0.81133333333333335</v>
      </c>
    </row>
    <row r="30" spans="1:29" ht="30">
      <c r="A30" s="8" t="s">
        <v>1982</v>
      </c>
      <c r="B30" s="17" t="s">
        <v>7747</v>
      </c>
      <c r="C30" s="13">
        <v>37207</v>
      </c>
      <c r="D30" s="13" t="s">
        <v>8465</v>
      </c>
      <c r="E30" s="10" t="s">
        <v>86</v>
      </c>
      <c r="F30" s="10" t="s">
        <v>1160</v>
      </c>
      <c r="G30" s="11" t="s">
        <v>1982</v>
      </c>
      <c r="H30" s="2" t="s">
        <v>149</v>
      </c>
      <c r="L30" s="18">
        <v>0</v>
      </c>
      <c r="Q30" s="18">
        <v>0</v>
      </c>
      <c r="U30" s="22">
        <v>0.89</v>
      </c>
      <c r="V30" s="22">
        <f>4.25/5</f>
        <v>0.85</v>
      </c>
      <c r="X30" s="3">
        <v>5</v>
      </c>
      <c r="Z30" s="23">
        <v>22</v>
      </c>
      <c r="AA30" s="18">
        <v>-1</v>
      </c>
      <c r="AB30" s="18">
        <f t="shared" si="0"/>
        <v>2001</v>
      </c>
      <c r="AC30" s="22">
        <f t="shared" si="1"/>
        <v>0.91333333333333344</v>
      </c>
    </row>
    <row r="31" spans="1:29">
      <c r="A31" s="8" t="s">
        <v>14138</v>
      </c>
      <c r="B31" s="17" t="s">
        <v>7800</v>
      </c>
      <c r="C31" s="13" t="s">
        <v>5695</v>
      </c>
      <c r="D31" s="13" t="s">
        <v>8465</v>
      </c>
      <c r="E31" s="10" t="s">
        <v>14139</v>
      </c>
      <c r="F31" s="10" t="s">
        <v>14139</v>
      </c>
      <c r="G31" s="11" t="s">
        <v>14140</v>
      </c>
      <c r="H31" s="2" t="s">
        <v>1061</v>
      </c>
      <c r="L31" s="18">
        <v>1</v>
      </c>
      <c r="O31" s="29">
        <v>0</v>
      </c>
      <c r="P31" s="18" t="s">
        <v>1107</v>
      </c>
      <c r="Q31" s="18">
        <v>0</v>
      </c>
      <c r="W31" s="14" t="s">
        <v>8765</v>
      </c>
      <c r="X31" s="3">
        <v>3</v>
      </c>
      <c r="AB31" s="18" t="str">
        <f t="shared" si="0"/>
        <v>Early Access</v>
      </c>
      <c r="AC31" s="22">
        <f t="shared" si="1"/>
        <v>0.6</v>
      </c>
    </row>
    <row r="32" spans="1:29">
      <c r="A32" s="8" t="s">
        <v>11416</v>
      </c>
      <c r="B32" s="17" t="s">
        <v>7800</v>
      </c>
      <c r="C32" s="13" t="s">
        <v>5695</v>
      </c>
      <c r="D32" s="13" t="s">
        <v>8465</v>
      </c>
      <c r="E32" s="10" t="s">
        <v>11417</v>
      </c>
      <c r="F32" s="10" t="s">
        <v>3077</v>
      </c>
      <c r="H32" s="2" t="s">
        <v>1334</v>
      </c>
      <c r="L32" s="18">
        <v>1</v>
      </c>
      <c r="N32" s="13">
        <v>44638</v>
      </c>
      <c r="O32" s="29">
        <v>0</v>
      </c>
      <c r="P32" s="18" t="s">
        <v>1107</v>
      </c>
      <c r="Q32" s="18">
        <v>0</v>
      </c>
      <c r="W32" s="14" t="s">
        <v>7777</v>
      </c>
      <c r="X32" s="3">
        <v>3</v>
      </c>
      <c r="AB32" s="18" t="str">
        <f t="shared" si="0"/>
        <v>Early Access</v>
      </c>
      <c r="AC32" s="22">
        <f t="shared" si="1"/>
        <v>0.6</v>
      </c>
    </row>
    <row r="33" spans="1:29">
      <c r="A33" s="8" t="s">
        <v>13998</v>
      </c>
      <c r="B33" s="17" t="s">
        <v>7800</v>
      </c>
      <c r="C33" s="13" t="s">
        <v>5695</v>
      </c>
      <c r="D33" s="13" t="s">
        <v>8465</v>
      </c>
      <c r="E33" s="10" t="s">
        <v>13999</v>
      </c>
      <c r="F33" s="10" t="s">
        <v>13999</v>
      </c>
      <c r="H33" s="2" t="s">
        <v>1518</v>
      </c>
      <c r="L33" s="18">
        <v>1</v>
      </c>
      <c r="N33" s="13">
        <v>45016</v>
      </c>
      <c r="O33" s="29">
        <v>0</v>
      </c>
      <c r="P33" s="18" t="s">
        <v>1107</v>
      </c>
      <c r="Q33" s="18">
        <v>0</v>
      </c>
      <c r="W33" s="14" t="s">
        <v>7777</v>
      </c>
      <c r="X33" s="3">
        <v>2</v>
      </c>
      <c r="AB33" s="18" t="str">
        <f t="shared" si="0"/>
        <v>Early Access</v>
      </c>
      <c r="AC33" s="22">
        <f t="shared" si="1"/>
        <v>0.4</v>
      </c>
    </row>
    <row r="34" spans="1:29">
      <c r="A34" s="8" t="s">
        <v>13992</v>
      </c>
      <c r="B34" s="17" t="s">
        <v>7800</v>
      </c>
      <c r="C34" s="13" t="s">
        <v>5695</v>
      </c>
      <c r="D34" s="13" t="s">
        <v>8465</v>
      </c>
      <c r="E34" s="10" t="s">
        <v>13993</v>
      </c>
      <c r="F34" s="10" t="s">
        <v>13993</v>
      </c>
      <c r="H34" s="2" t="s">
        <v>1518</v>
      </c>
      <c r="L34" s="18">
        <v>1</v>
      </c>
      <c r="N34" s="13">
        <v>45016</v>
      </c>
      <c r="O34" s="29">
        <v>8</v>
      </c>
      <c r="P34" s="18" t="s">
        <v>1107</v>
      </c>
      <c r="Q34" s="18">
        <v>0</v>
      </c>
      <c r="W34" s="14" t="s">
        <v>7777</v>
      </c>
      <c r="X34" s="3">
        <v>2</v>
      </c>
      <c r="AB34" s="18" t="str">
        <f t="shared" si="0"/>
        <v>Early Access</v>
      </c>
      <c r="AC34" s="22">
        <f t="shared" si="1"/>
        <v>0.4</v>
      </c>
    </row>
    <row r="35" spans="1:29">
      <c r="A35" s="8" t="s">
        <v>14006</v>
      </c>
      <c r="B35" s="17" t="s">
        <v>7800</v>
      </c>
      <c r="C35" s="13" t="s">
        <v>5695</v>
      </c>
      <c r="D35" s="13" t="s">
        <v>8465</v>
      </c>
      <c r="E35" s="10" t="s">
        <v>14007</v>
      </c>
      <c r="F35" s="10" t="s">
        <v>14008</v>
      </c>
      <c r="H35" s="2" t="s">
        <v>1518</v>
      </c>
      <c r="L35" s="18">
        <v>1</v>
      </c>
      <c r="N35" s="13">
        <v>45016</v>
      </c>
      <c r="O35" s="29">
        <v>0</v>
      </c>
      <c r="P35" s="18" t="s">
        <v>1107</v>
      </c>
      <c r="Q35" s="18">
        <v>0</v>
      </c>
      <c r="W35" s="14" t="s">
        <v>7777</v>
      </c>
      <c r="X35" s="3">
        <v>2</v>
      </c>
      <c r="AB35" s="18" t="str">
        <f t="shared" si="0"/>
        <v>Early Access</v>
      </c>
      <c r="AC35" s="22">
        <f t="shared" si="1"/>
        <v>0.4</v>
      </c>
    </row>
    <row r="36" spans="1:29">
      <c r="A36" s="8" t="s">
        <v>13996</v>
      </c>
      <c r="B36" s="17" t="s">
        <v>7800</v>
      </c>
      <c r="C36" s="13" t="s">
        <v>5695</v>
      </c>
      <c r="D36" s="13" t="s">
        <v>8465</v>
      </c>
      <c r="E36" s="10" t="s">
        <v>13997</v>
      </c>
      <c r="F36" s="10" t="s">
        <v>13997</v>
      </c>
      <c r="H36" s="2" t="s">
        <v>1518</v>
      </c>
      <c r="L36" s="18">
        <v>1</v>
      </c>
      <c r="N36" s="13">
        <v>45016</v>
      </c>
      <c r="O36" s="29">
        <v>0</v>
      </c>
      <c r="P36" s="18" t="s">
        <v>1107</v>
      </c>
      <c r="Q36" s="18">
        <v>0</v>
      </c>
      <c r="W36" s="14" t="s">
        <v>7777</v>
      </c>
      <c r="X36" s="3">
        <v>2</v>
      </c>
      <c r="AB36" s="18" t="str">
        <f t="shared" si="0"/>
        <v>Early Access</v>
      </c>
      <c r="AC36" s="22">
        <f t="shared" si="1"/>
        <v>0.4</v>
      </c>
    </row>
    <row r="37" spans="1:29">
      <c r="A37" s="8" t="s">
        <v>5007</v>
      </c>
      <c r="B37" s="17" t="s">
        <v>7800</v>
      </c>
      <c r="C37" s="13" t="s">
        <v>5695</v>
      </c>
      <c r="D37" s="13" t="s">
        <v>8465</v>
      </c>
      <c r="E37" s="10" t="s">
        <v>5008</v>
      </c>
      <c r="F37" s="10" t="s">
        <v>5008</v>
      </c>
      <c r="H37" s="2" t="s">
        <v>1377</v>
      </c>
      <c r="L37" s="18">
        <v>1</v>
      </c>
      <c r="N37" s="13">
        <v>42038</v>
      </c>
      <c r="P37" s="18" t="s">
        <v>1107</v>
      </c>
      <c r="Q37" s="18">
        <v>0</v>
      </c>
      <c r="U37" s="69"/>
      <c r="V37" s="69"/>
      <c r="W37" s="14" t="s">
        <v>7777</v>
      </c>
      <c r="X37" s="3">
        <v>2</v>
      </c>
      <c r="AB37" s="18" t="str">
        <f t="shared" si="0"/>
        <v>Early Access</v>
      </c>
      <c r="AC37" s="22">
        <f t="shared" si="1"/>
        <v>0.4</v>
      </c>
    </row>
    <row r="38" spans="1:29">
      <c r="A38" s="8" t="s">
        <v>13012</v>
      </c>
      <c r="B38" s="17" t="s">
        <v>7800</v>
      </c>
      <c r="C38" s="13" t="s">
        <v>5695</v>
      </c>
      <c r="D38" s="13" t="s">
        <v>8465</v>
      </c>
      <c r="E38" s="10" t="s">
        <v>13013</v>
      </c>
      <c r="F38" s="10" t="s">
        <v>13013</v>
      </c>
      <c r="H38" s="2" t="s">
        <v>21</v>
      </c>
      <c r="L38" s="18">
        <v>1</v>
      </c>
      <c r="N38" s="13">
        <v>44917</v>
      </c>
      <c r="O38" s="29">
        <v>0.49</v>
      </c>
      <c r="P38" s="18" t="s">
        <v>1107</v>
      </c>
      <c r="Q38" s="18">
        <v>0</v>
      </c>
      <c r="W38" s="14" t="s">
        <v>7777</v>
      </c>
      <c r="X38" s="3">
        <v>2</v>
      </c>
      <c r="AB38" s="18" t="str">
        <f t="shared" si="0"/>
        <v>Early Access</v>
      </c>
      <c r="AC38" s="22">
        <f t="shared" si="1"/>
        <v>0.4</v>
      </c>
    </row>
    <row r="39" spans="1:29" ht="25.5">
      <c r="A39" s="8" t="s">
        <v>13220</v>
      </c>
      <c r="B39" s="17" t="s">
        <v>7800</v>
      </c>
      <c r="C39" s="13" t="s">
        <v>5695</v>
      </c>
      <c r="D39" s="13" t="s">
        <v>8465</v>
      </c>
      <c r="E39" s="10" t="s">
        <v>13221</v>
      </c>
      <c r="F39" s="10" t="s">
        <v>13222</v>
      </c>
      <c r="H39" s="2" t="s">
        <v>21</v>
      </c>
      <c r="L39" s="18">
        <v>1</v>
      </c>
      <c r="P39" s="18" t="s">
        <v>1107</v>
      </c>
      <c r="Q39" s="18">
        <v>0</v>
      </c>
      <c r="W39" s="14" t="s">
        <v>7777</v>
      </c>
      <c r="X39" s="3">
        <v>2</v>
      </c>
      <c r="AB39" s="18" t="str">
        <f t="shared" si="0"/>
        <v>Early Access</v>
      </c>
      <c r="AC39" s="22">
        <f t="shared" si="1"/>
        <v>0.4</v>
      </c>
    </row>
    <row r="40" spans="1:29">
      <c r="A40" s="8" t="s">
        <v>5657</v>
      </c>
      <c r="B40" s="17" t="s">
        <v>7800</v>
      </c>
      <c r="C40" s="13" t="s">
        <v>5695</v>
      </c>
      <c r="D40" s="13" t="s">
        <v>8465</v>
      </c>
      <c r="E40" s="10" t="s">
        <v>5693</v>
      </c>
      <c r="F40" s="10" t="s">
        <v>5693</v>
      </c>
      <c r="H40" s="2" t="s">
        <v>2138</v>
      </c>
      <c r="L40" s="18">
        <v>1</v>
      </c>
      <c r="N40" s="13">
        <v>40856</v>
      </c>
      <c r="P40" s="18" t="s">
        <v>1107</v>
      </c>
      <c r="Q40" s="18">
        <v>0</v>
      </c>
      <c r="W40" s="14" t="s">
        <v>3069</v>
      </c>
      <c r="X40" s="3">
        <v>2</v>
      </c>
      <c r="AB40" s="18" t="str">
        <f t="shared" si="0"/>
        <v>Early Access</v>
      </c>
      <c r="AC40" s="22">
        <f t="shared" si="1"/>
        <v>0.4</v>
      </c>
    </row>
    <row r="41" spans="1:29">
      <c r="A41" s="8" t="s">
        <v>14786</v>
      </c>
      <c r="B41" s="17" t="s">
        <v>7800</v>
      </c>
      <c r="C41" s="13" t="s">
        <v>5695</v>
      </c>
      <c r="D41" s="13" t="s">
        <v>8465</v>
      </c>
      <c r="E41" s="10" t="s">
        <v>14787</v>
      </c>
      <c r="F41" s="10" t="s">
        <v>14787</v>
      </c>
      <c r="H41" s="2" t="s">
        <v>3411</v>
      </c>
      <c r="L41" s="18">
        <v>1</v>
      </c>
      <c r="N41" s="13">
        <v>45065</v>
      </c>
      <c r="O41" s="29">
        <v>0</v>
      </c>
      <c r="P41" s="18" t="s">
        <v>1107</v>
      </c>
      <c r="Q41" s="18">
        <v>0</v>
      </c>
      <c r="W41" s="14" t="s">
        <v>7777</v>
      </c>
      <c r="X41" s="3">
        <v>2</v>
      </c>
      <c r="AB41" s="18" t="str">
        <f t="shared" si="0"/>
        <v>Early Access</v>
      </c>
      <c r="AC41" s="22">
        <f t="shared" si="1"/>
        <v>0.4</v>
      </c>
    </row>
    <row r="42" spans="1:29" ht="25.5">
      <c r="A42" s="8" t="s">
        <v>14959</v>
      </c>
      <c r="B42" s="17" t="s">
        <v>7800</v>
      </c>
      <c r="C42" s="13" t="s">
        <v>5695</v>
      </c>
      <c r="D42" s="13" t="s">
        <v>8465</v>
      </c>
      <c r="E42" s="10" t="s">
        <v>14960</v>
      </c>
      <c r="F42" s="10" t="s">
        <v>14960</v>
      </c>
      <c r="H42" s="2" t="s">
        <v>1220</v>
      </c>
      <c r="L42" s="18">
        <v>1</v>
      </c>
      <c r="N42" s="13">
        <v>45073</v>
      </c>
      <c r="O42" s="29">
        <v>0</v>
      </c>
      <c r="P42" s="18" t="s">
        <v>1107</v>
      </c>
      <c r="Q42" s="18">
        <v>0</v>
      </c>
      <c r="W42" s="14" t="s">
        <v>7777</v>
      </c>
      <c r="X42" s="3">
        <v>2</v>
      </c>
      <c r="AB42" s="18" t="str">
        <f t="shared" si="0"/>
        <v>Early Access</v>
      </c>
      <c r="AC42" s="22">
        <f t="shared" si="1"/>
        <v>0.4</v>
      </c>
    </row>
    <row r="43" spans="1:29">
      <c r="A43" s="8" t="s">
        <v>13981</v>
      </c>
      <c r="B43" s="17" t="s">
        <v>7800</v>
      </c>
      <c r="C43" s="13" t="s">
        <v>5695</v>
      </c>
      <c r="D43" s="13" t="s">
        <v>8465</v>
      </c>
      <c r="E43" s="10" t="s">
        <v>6505</v>
      </c>
      <c r="F43" s="10" t="s">
        <v>13982</v>
      </c>
      <c r="H43" s="2" t="s">
        <v>1050</v>
      </c>
      <c r="L43" s="18">
        <v>1</v>
      </c>
      <c r="N43" s="13">
        <v>45014</v>
      </c>
      <c r="O43" s="29">
        <v>0</v>
      </c>
      <c r="P43" s="18" t="s">
        <v>1107</v>
      </c>
      <c r="Q43" s="18">
        <v>0</v>
      </c>
      <c r="W43" s="14" t="s">
        <v>7777</v>
      </c>
      <c r="X43" s="3">
        <v>2</v>
      </c>
      <c r="AB43" s="18" t="str">
        <f t="shared" si="0"/>
        <v>Early Access</v>
      </c>
      <c r="AC43" s="22">
        <f t="shared" si="1"/>
        <v>0.4</v>
      </c>
    </row>
    <row r="44" spans="1:29">
      <c r="A44" s="8" t="s">
        <v>12868</v>
      </c>
      <c r="B44" s="17" t="s">
        <v>7800</v>
      </c>
      <c r="C44" s="13" t="s">
        <v>5695</v>
      </c>
      <c r="D44" s="13" t="s">
        <v>8465</v>
      </c>
      <c r="E44" s="10" t="s">
        <v>12869</v>
      </c>
      <c r="F44" s="10" t="s">
        <v>12869</v>
      </c>
      <c r="H44" s="2" t="s">
        <v>1050</v>
      </c>
      <c r="L44" s="18">
        <v>1</v>
      </c>
      <c r="N44" s="13">
        <v>44866</v>
      </c>
      <c r="O44" s="29">
        <v>0</v>
      </c>
      <c r="P44" s="18" t="s">
        <v>1107</v>
      </c>
      <c r="Q44" s="18">
        <v>0</v>
      </c>
      <c r="W44" s="14" t="s">
        <v>7777</v>
      </c>
      <c r="X44" s="3">
        <v>2</v>
      </c>
      <c r="AB44" s="18" t="str">
        <f t="shared" si="0"/>
        <v>Early Access</v>
      </c>
      <c r="AC44" s="22">
        <f t="shared" si="1"/>
        <v>0.4</v>
      </c>
    </row>
    <row r="45" spans="1:29">
      <c r="A45" s="8" t="s">
        <v>13986</v>
      </c>
      <c r="B45" s="17" t="s">
        <v>7800</v>
      </c>
      <c r="C45" s="13" t="s">
        <v>5695</v>
      </c>
      <c r="D45" s="13" t="s">
        <v>8465</v>
      </c>
      <c r="E45" s="10" t="s">
        <v>12460</v>
      </c>
      <c r="F45" s="10" t="s">
        <v>13987</v>
      </c>
      <c r="H45" s="2" t="s">
        <v>1050</v>
      </c>
      <c r="L45" s="18">
        <v>1</v>
      </c>
      <c r="N45" s="13">
        <v>45014</v>
      </c>
      <c r="O45" s="29">
        <v>0</v>
      </c>
      <c r="P45" s="18" t="s">
        <v>1107</v>
      </c>
      <c r="Q45" s="18">
        <v>0</v>
      </c>
      <c r="W45" s="14" t="s">
        <v>7777</v>
      </c>
      <c r="X45" s="3">
        <v>2</v>
      </c>
      <c r="AB45" s="18" t="str">
        <f t="shared" si="0"/>
        <v>Early Access</v>
      </c>
      <c r="AC45" s="22">
        <f t="shared" si="1"/>
        <v>0.4</v>
      </c>
    </row>
    <row r="46" spans="1:29">
      <c r="A46" s="8" t="s">
        <v>10590</v>
      </c>
      <c r="B46" s="17" t="s">
        <v>7800</v>
      </c>
      <c r="C46" s="13" t="s">
        <v>5695</v>
      </c>
      <c r="D46" s="13" t="s">
        <v>8465</v>
      </c>
      <c r="E46" s="10" t="s">
        <v>6505</v>
      </c>
      <c r="F46" s="10" t="s">
        <v>10591</v>
      </c>
      <c r="H46" s="2" t="s">
        <v>1050</v>
      </c>
      <c r="L46" s="18">
        <v>1</v>
      </c>
      <c r="N46" s="13">
        <v>44502</v>
      </c>
      <c r="O46" s="29">
        <v>0</v>
      </c>
      <c r="P46" s="18" t="s">
        <v>1107</v>
      </c>
      <c r="Q46" s="18">
        <v>0</v>
      </c>
      <c r="W46" s="14" t="s">
        <v>7777</v>
      </c>
      <c r="X46" s="3">
        <v>3</v>
      </c>
      <c r="AB46" s="18" t="str">
        <f t="shared" si="0"/>
        <v>Early Access</v>
      </c>
      <c r="AC46" s="22">
        <f t="shared" si="1"/>
        <v>0.6</v>
      </c>
    </row>
    <row r="47" spans="1:29">
      <c r="A47" s="8" t="s">
        <v>15563</v>
      </c>
      <c r="B47" s="17" t="s">
        <v>7800</v>
      </c>
      <c r="C47" s="13" t="s">
        <v>5695</v>
      </c>
      <c r="D47" s="13" t="s">
        <v>8465</v>
      </c>
      <c r="E47" s="10" t="s">
        <v>11417</v>
      </c>
      <c r="F47" s="10" t="s">
        <v>15564</v>
      </c>
      <c r="H47" s="2" t="s">
        <v>75</v>
      </c>
      <c r="L47" s="18">
        <v>1</v>
      </c>
      <c r="N47" s="13">
        <v>45159</v>
      </c>
      <c r="O47" s="29">
        <v>20</v>
      </c>
      <c r="P47" s="18" t="s">
        <v>1107</v>
      </c>
      <c r="Q47" s="18">
        <v>0</v>
      </c>
      <c r="W47" s="14" t="s">
        <v>7777</v>
      </c>
      <c r="X47" s="3">
        <v>4</v>
      </c>
      <c r="AB47" s="18" t="str">
        <f t="shared" si="0"/>
        <v>Early Access</v>
      </c>
      <c r="AC47" s="22">
        <f t="shared" si="1"/>
        <v>0.8</v>
      </c>
    </row>
    <row r="48" spans="1:29">
      <c r="A48" s="8" t="s">
        <v>15822</v>
      </c>
      <c r="B48" s="17" t="s">
        <v>7800</v>
      </c>
      <c r="C48" s="13" t="s">
        <v>5695</v>
      </c>
      <c r="D48" s="13" t="s">
        <v>8465</v>
      </c>
      <c r="E48" s="17" t="s">
        <v>12563</v>
      </c>
      <c r="F48" s="10" t="s">
        <v>15823</v>
      </c>
      <c r="H48" s="2" t="s">
        <v>1518</v>
      </c>
      <c r="L48" s="18">
        <v>1</v>
      </c>
      <c r="N48" s="13">
        <v>45185</v>
      </c>
      <c r="O48" s="29">
        <v>10</v>
      </c>
      <c r="P48" s="18" t="s">
        <v>1107</v>
      </c>
      <c r="Q48" s="18">
        <v>0</v>
      </c>
      <c r="W48" s="14" t="s">
        <v>7777</v>
      </c>
      <c r="X48" s="3">
        <v>2</v>
      </c>
      <c r="AB48" s="18" t="str">
        <f t="shared" si="0"/>
        <v>Early Access</v>
      </c>
      <c r="AC48" s="22">
        <f t="shared" si="1"/>
        <v>0.4</v>
      </c>
    </row>
    <row r="49" spans="1:29">
      <c r="A49" s="8" t="s">
        <v>8864</v>
      </c>
      <c r="B49" s="17" t="s">
        <v>7800</v>
      </c>
      <c r="C49" s="13">
        <v>45209</v>
      </c>
      <c r="D49" s="13" t="s">
        <v>8465</v>
      </c>
      <c r="E49" s="10" t="s">
        <v>8865</v>
      </c>
      <c r="F49" s="10" t="s">
        <v>8865</v>
      </c>
      <c r="H49" s="2" t="s">
        <v>149</v>
      </c>
      <c r="L49" s="18">
        <v>1</v>
      </c>
      <c r="N49" s="13">
        <v>43987</v>
      </c>
      <c r="O49" s="29">
        <v>0</v>
      </c>
      <c r="P49" s="18" t="s">
        <v>1107</v>
      </c>
      <c r="Q49" s="18">
        <v>0</v>
      </c>
      <c r="U49" s="22">
        <v>0.73</v>
      </c>
      <c r="V49" s="22">
        <f>3/5</f>
        <v>0.6</v>
      </c>
      <c r="W49" s="14" t="s">
        <v>8765</v>
      </c>
      <c r="X49" s="3">
        <v>3</v>
      </c>
      <c r="AB49" s="18">
        <f t="shared" si="0"/>
        <v>2023</v>
      </c>
      <c r="AC49" s="22">
        <f t="shared" si="1"/>
        <v>0.64333333333333342</v>
      </c>
    </row>
    <row r="50" spans="1:29" ht="25.5">
      <c r="A50" s="8" t="s">
        <v>15237</v>
      </c>
      <c r="B50" s="17" t="s">
        <v>7744</v>
      </c>
      <c r="C50" s="13">
        <v>45205</v>
      </c>
      <c r="D50" s="13" t="s">
        <v>8465</v>
      </c>
      <c r="E50" s="10" t="s">
        <v>86</v>
      </c>
      <c r="F50" s="10" t="s">
        <v>2451</v>
      </c>
      <c r="G50" s="11" t="s">
        <v>1470</v>
      </c>
      <c r="H50" s="2" t="s">
        <v>67</v>
      </c>
      <c r="L50" s="18">
        <v>1</v>
      </c>
      <c r="M50" s="14" t="s">
        <v>8462</v>
      </c>
      <c r="N50" s="13">
        <v>45098</v>
      </c>
      <c r="O50" s="29">
        <v>53.3</v>
      </c>
      <c r="P50" s="18" t="s">
        <v>14</v>
      </c>
      <c r="Q50" s="18">
        <v>0</v>
      </c>
      <c r="U50" s="22">
        <v>0.68</v>
      </c>
      <c r="V50" s="22">
        <f>3.31/5</f>
        <v>0.66200000000000003</v>
      </c>
      <c r="X50" s="3">
        <v>3</v>
      </c>
      <c r="AB50" s="18">
        <f t="shared" si="0"/>
        <v>2023</v>
      </c>
      <c r="AC50" s="22">
        <f t="shared" si="1"/>
        <v>0.64733333333333343</v>
      </c>
    </row>
    <row r="51" spans="1:29" ht="25.5">
      <c r="A51" s="8" t="s">
        <v>12562</v>
      </c>
      <c r="B51" s="17" t="s">
        <v>7800</v>
      </c>
      <c r="C51" s="13">
        <v>45204</v>
      </c>
      <c r="D51" s="13" t="s">
        <v>8465</v>
      </c>
      <c r="E51" s="10" t="s">
        <v>12563</v>
      </c>
      <c r="F51" s="10" t="s">
        <v>12564</v>
      </c>
      <c r="H51" s="2" t="s">
        <v>1040</v>
      </c>
      <c r="L51" s="18">
        <v>1</v>
      </c>
      <c r="P51" s="18" t="s">
        <v>1107</v>
      </c>
      <c r="Q51" s="18">
        <v>0</v>
      </c>
      <c r="W51" s="14" t="s">
        <v>7777</v>
      </c>
      <c r="X51" s="3">
        <v>2</v>
      </c>
      <c r="AB51" s="18">
        <f t="shared" si="0"/>
        <v>2023</v>
      </c>
      <c r="AC51" s="22">
        <f t="shared" si="1"/>
        <v>0.4</v>
      </c>
    </row>
    <row r="52" spans="1:29">
      <c r="A52" s="8" t="s">
        <v>14777</v>
      </c>
      <c r="B52" s="17" t="s">
        <v>7800</v>
      </c>
      <c r="C52" s="13">
        <v>45196</v>
      </c>
      <c r="D52" s="13" t="s">
        <v>8465</v>
      </c>
      <c r="E52" s="10" t="s">
        <v>14778</v>
      </c>
      <c r="F52" s="10" t="s">
        <v>14778</v>
      </c>
      <c r="H52" s="2" t="s">
        <v>3411</v>
      </c>
      <c r="L52" s="18">
        <v>1</v>
      </c>
      <c r="N52" s="13">
        <v>45065</v>
      </c>
      <c r="O52" s="29">
        <v>20</v>
      </c>
      <c r="P52" s="18" t="s">
        <v>1107</v>
      </c>
      <c r="Q52" s="18">
        <v>0</v>
      </c>
      <c r="W52" s="14" t="s">
        <v>7777</v>
      </c>
      <c r="X52" s="3">
        <v>2</v>
      </c>
      <c r="AB52" s="18">
        <f t="shared" si="0"/>
        <v>2023</v>
      </c>
      <c r="AC52" s="22">
        <f t="shared" si="1"/>
        <v>0.4</v>
      </c>
    </row>
    <row r="53" spans="1:29">
      <c r="A53" s="8" t="s">
        <v>16094</v>
      </c>
      <c r="B53" s="17" t="s">
        <v>7800</v>
      </c>
      <c r="C53" s="13">
        <v>45190</v>
      </c>
      <c r="D53" s="13" t="s">
        <v>8465</v>
      </c>
      <c r="E53" s="10" t="s">
        <v>16090</v>
      </c>
      <c r="F53" s="10" t="s">
        <v>16090</v>
      </c>
      <c r="H53" s="2" t="s">
        <v>1040</v>
      </c>
      <c r="L53" s="18">
        <v>1</v>
      </c>
      <c r="N53" s="13">
        <v>45225</v>
      </c>
      <c r="O53" s="29">
        <v>0</v>
      </c>
      <c r="P53" s="18" t="s">
        <v>1107</v>
      </c>
      <c r="Q53" s="18">
        <v>0</v>
      </c>
      <c r="W53" s="14" t="s">
        <v>7799</v>
      </c>
      <c r="X53" s="3">
        <v>2</v>
      </c>
      <c r="AB53" s="18">
        <f t="shared" si="0"/>
        <v>2023</v>
      </c>
      <c r="AC53" s="22">
        <f t="shared" si="1"/>
        <v>0.4</v>
      </c>
    </row>
    <row r="54" spans="1:29" ht="25.5">
      <c r="A54" s="8" t="s">
        <v>10362</v>
      </c>
      <c r="B54" s="17" t="s">
        <v>7744</v>
      </c>
      <c r="C54" s="13">
        <v>45188</v>
      </c>
      <c r="D54" s="13" t="s">
        <v>8465</v>
      </c>
      <c r="E54" s="10" t="s">
        <v>1062</v>
      </c>
      <c r="F54" s="10" t="s">
        <v>1245</v>
      </c>
      <c r="G54" s="11" t="s">
        <v>2892</v>
      </c>
      <c r="H54" s="2" t="s">
        <v>171</v>
      </c>
      <c r="L54" s="18">
        <v>1</v>
      </c>
      <c r="M54" s="14" t="s">
        <v>8462</v>
      </c>
      <c r="N54" s="13">
        <v>44473</v>
      </c>
      <c r="O54" s="29">
        <v>54.3</v>
      </c>
      <c r="P54" s="18" t="s">
        <v>14</v>
      </c>
      <c r="Q54" s="18">
        <v>0</v>
      </c>
      <c r="U54" s="22">
        <v>0.84</v>
      </c>
      <c r="W54" s="14" t="s">
        <v>10168</v>
      </c>
      <c r="X54" s="3">
        <v>4</v>
      </c>
      <c r="Z54" s="23">
        <v>19</v>
      </c>
      <c r="AB54" s="18">
        <f t="shared" si="0"/>
        <v>2023</v>
      </c>
      <c r="AC54" s="22">
        <f t="shared" si="1"/>
        <v>0.82000000000000006</v>
      </c>
    </row>
    <row r="55" spans="1:29" ht="25.5">
      <c r="A55" s="8" t="s">
        <v>13722</v>
      </c>
      <c r="B55" s="17" t="s">
        <v>7744</v>
      </c>
      <c r="C55" s="13">
        <v>45183</v>
      </c>
      <c r="D55" s="13" t="s">
        <v>9335</v>
      </c>
      <c r="E55" s="10" t="s">
        <v>3568</v>
      </c>
      <c r="F55" s="10" t="s">
        <v>15927</v>
      </c>
      <c r="G55" s="11" t="s">
        <v>8673</v>
      </c>
      <c r="H55" s="2" t="s">
        <v>6510</v>
      </c>
      <c r="K55" s="18">
        <v>2</v>
      </c>
      <c r="L55" s="18">
        <v>1</v>
      </c>
      <c r="M55" s="14" t="s">
        <v>8462</v>
      </c>
      <c r="N55" s="13">
        <v>44999</v>
      </c>
      <c r="O55" s="29">
        <v>59.99</v>
      </c>
      <c r="P55" s="18" t="s">
        <v>14</v>
      </c>
      <c r="Q55" s="18">
        <v>0</v>
      </c>
      <c r="U55" s="22">
        <v>0.8</v>
      </c>
      <c r="V55" s="22">
        <f>4.08/5</f>
        <v>0.81600000000000006</v>
      </c>
      <c r="X55" s="3">
        <v>4</v>
      </c>
      <c r="Z55" s="23">
        <f>52+43</f>
        <v>95</v>
      </c>
      <c r="AB55" s="18">
        <f t="shared" si="0"/>
        <v>2023</v>
      </c>
      <c r="AC55" s="22">
        <f t="shared" si="1"/>
        <v>0.80533333333333346</v>
      </c>
    </row>
    <row r="56" spans="1:29">
      <c r="A56" s="8" t="s">
        <v>15867</v>
      </c>
      <c r="B56" s="17" t="s">
        <v>7800</v>
      </c>
      <c r="C56" s="13">
        <v>45182</v>
      </c>
      <c r="D56" s="13" t="s">
        <v>8465</v>
      </c>
      <c r="E56" s="10" t="s">
        <v>12543</v>
      </c>
      <c r="F56" s="10" t="s">
        <v>12543</v>
      </c>
      <c r="H56" s="2" t="s">
        <v>149</v>
      </c>
      <c r="L56" s="18">
        <v>1</v>
      </c>
      <c r="N56" s="13">
        <v>45193</v>
      </c>
      <c r="O56" s="29">
        <v>0</v>
      </c>
      <c r="P56" s="18" t="s">
        <v>1107</v>
      </c>
      <c r="Q56" s="18">
        <v>0</v>
      </c>
      <c r="W56" s="14" t="s">
        <v>7777</v>
      </c>
      <c r="X56" s="3">
        <v>2</v>
      </c>
      <c r="AB56" s="18">
        <f t="shared" si="0"/>
        <v>2023</v>
      </c>
      <c r="AC56" s="22">
        <f t="shared" si="1"/>
        <v>0.4</v>
      </c>
    </row>
    <row r="57" spans="1:29">
      <c r="A57" s="8" t="s">
        <v>14000</v>
      </c>
      <c r="B57" s="17" t="s">
        <v>7800</v>
      </c>
      <c r="C57" s="13">
        <v>45177</v>
      </c>
      <c r="D57" s="13" t="s">
        <v>8465</v>
      </c>
      <c r="E57" s="10" t="s">
        <v>14001</v>
      </c>
      <c r="F57" s="10" t="s">
        <v>14001</v>
      </c>
      <c r="H57" s="2" t="s">
        <v>1518</v>
      </c>
      <c r="L57" s="18">
        <v>1</v>
      </c>
      <c r="N57" s="13">
        <v>45016</v>
      </c>
      <c r="O57" s="29">
        <v>0</v>
      </c>
      <c r="P57" s="18" t="s">
        <v>1107</v>
      </c>
      <c r="Q57" s="18">
        <v>0</v>
      </c>
      <c r="V57" s="22">
        <f>2.67/5</f>
        <v>0.53400000000000003</v>
      </c>
      <c r="W57" s="14" t="s">
        <v>7777</v>
      </c>
      <c r="X57" s="3">
        <v>2</v>
      </c>
      <c r="AB57" s="18">
        <f t="shared" si="0"/>
        <v>2023</v>
      </c>
      <c r="AC57" s="22">
        <f t="shared" si="1"/>
        <v>0.46700000000000003</v>
      </c>
    </row>
    <row r="58" spans="1:29">
      <c r="A58" s="8" t="s">
        <v>15244</v>
      </c>
      <c r="B58" s="17" t="s">
        <v>7744</v>
      </c>
      <c r="C58" s="13">
        <v>45177</v>
      </c>
      <c r="D58" s="13" t="s">
        <v>8465</v>
      </c>
      <c r="E58" s="10" t="s">
        <v>15723</v>
      </c>
      <c r="F58" s="10" t="s">
        <v>15723</v>
      </c>
      <c r="H58" s="2" t="s">
        <v>1334</v>
      </c>
      <c r="L58" s="18">
        <v>1</v>
      </c>
      <c r="M58" s="14" t="s">
        <v>8462</v>
      </c>
      <c r="N58" s="13">
        <v>45092</v>
      </c>
      <c r="O58" s="29">
        <v>65.16</v>
      </c>
      <c r="P58" s="18" t="s">
        <v>14</v>
      </c>
      <c r="Q58" s="18">
        <v>0</v>
      </c>
      <c r="U58" s="22">
        <v>0.78</v>
      </c>
      <c r="X58" s="3">
        <v>3</v>
      </c>
      <c r="AB58" s="18">
        <f t="shared" si="0"/>
        <v>2023</v>
      </c>
      <c r="AC58" s="22">
        <f t="shared" si="1"/>
        <v>0.69</v>
      </c>
    </row>
    <row r="59" spans="1:29" ht="30">
      <c r="A59" s="8" t="s">
        <v>12151</v>
      </c>
      <c r="B59" s="17" t="s">
        <v>7744</v>
      </c>
      <c r="C59" s="13">
        <v>45177</v>
      </c>
      <c r="D59" s="13" t="s">
        <v>8465</v>
      </c>
      <c r="E59" s="10" t="s">
        <v>2452</v>
      </c>
      <c r="F59" s="10" t="s">
        <v>15816</v>
      </c>
      <c r="G59" s="11" t="s">
        <v>9368</v>
      </c>
      <c r="H59" s="2" t="s">
        <v>1057</v>
      </c>
      <c r="L59" s="18">
        <v>1</v>
      </c>
      <c r="M59" s="14" t="s">
        <v>8462</v>
      </c>
      <c r="N59" s="13">
        <v>44747</v>
      </c>
      <c r="O59" s="29">
        <v>65.16</v>
      </c>
      <c r="P59" s="18" t="s">
        <v>14</v>
      </c>
      <c r="Q59" s="18">
        <v>0</v>
      </c>
      <c r="U59" s="22">
        <v>0.85</v>
      </c>
      <c r="W59" s="14" t="s">
        <v>12806</v>
      </c>
      <c r="X59" s="3">
        <v>3</v>
      </c>
      <c r="Z59" s="23">
        <v>14</v>
      </c>
      <c r="AB59" s="18">
        <f t="shared" si="0"/>
        <v>2023</v>
      </c>
      <c r="AC59" s="22">
        <f t="shared" si="1"/>
        <v>0.72499999999999998</v>
      </c>
    </row>
    <row r="60" spans="1:29">
      <c r="A60" s="8" t="s">
        <v>15246</v>
      </c>
      <c r="B60" s="17" t="s">
        <v>9440</v>
      </c>
      <c r="C60" s="13">
        <v>45175</v>
      </c>
      <c r="D60" s="13" t="s">
        <v>8465</v>
      </c>
      <c r="E60" s="10" t="s">
        <v>1690</v>
      </c>
      <c r="F60" s="10" t="s">
        <v>1691</v>
      </c>
      <c r="H60" s="2" t="s">
        <v>171</v>
      </c>
      <c r="L60" s="18">
        <v>1</v>
      </c>
      <c r="M60" s="14" t="s">
        <v>8462</v>
      </c>
      <c r="N60" s="13">
        <v>45092</v>
      </c>
      <c r="O60" s="29">
        <v>76.03</v>
      </c>
      <c r="P60" s="18" t="s">
        <v>14</v>
      </c>
      <c r="Q60" s="18">
        <v>0</v>
      </c>
      <c r="U60" s="22">
        <v>0.85</v>
      </c>
      <c r="V60" s="22">
        <f>3.54/5</f>
        <v>0.70799999999999996</v>
      </c>
      <c r="X60" s="3">
        <v>4</v>
      </c>
      <c r="Z60" s="23">
        <v>17.5</v>
      </c>
      <c r="AB60" s="18">
        <f t="shared" si="0"/>
        <v>2023</v>
      </c>
      <c r="AC60" s="22">
        <f t="shared" si="1"/>
        <v>0.78599999999999992</v>
      </c>
    </row>
    <row r="61" spans="1:29">
      <c r="A61" s="8" t="s">
        <v>14743</v>
      </c>
      <c r="B61" s="17" t="s">
        <v>7744</v>
      </c>
      <c r="C61" s="13">
        <v>45174</v>
      </c>
      <c r="D61" s="13" t="s">
        <v>8465</v>
      </c>
      <c r="E61" s="10" t="s">
        <v>1534</v>
      </c>
      <c r="F61" s="10" t="s">
        <v>5025</v>
      </c>
      <c r="G61" s="11" t="s">
        <v>1540</v>
      </c>
      <c r="H61" s="2" t="s">
        <v>1334</v>
      </c>
      <c r="L61" s="18">
        <v>1</v>
      </c>
      <c r="M61" s="14" t="s">
        <v>8462</v>
      </c>
      <c r="N61" s="13">
        <v>45019</v>
      </c>
      <c r="O61" s="29">
        <v>43.44</v>
      </c>
      <c r="P61" s="18" t="s">
        <v>14</v>
      </c>
      <c r="Q61" s="18">
        <v>0</v>
      </c>
      <c r="U61" s="22">
        <v>0.75</v>
      </c>
      <c r="X61" s="3">
        <v>3</v>
      </c>
      <c r="AB61" s="18">
        <f t="shared" si="0"/>
        <v>2023</v>
      </c>
      <c r="AC61" s="22">
        <f t="shared" si="1"/>
        <v>0.67500000000000004</v>
      </c>
    </row>
    <row r="62" spans="1:29" ht="25.5">
      <c r="A62" s="8" t="s">
        <v>14744</v>
      </c>
      <c r="B62" s="17" t="s">
        <v>7744</v>
      </c>
      <c r="C62" s="13">
        <v>45169</v>
      </c>
      <c r="D62" s="13" t="s">
        <v>8465</v>
      </c>
      <c r="E62" s="10" t="s">
        <v>1583</v>
      </c>
      <c r="F62" s="10" t="s">
        <v>4544</v>
      </c>
      <c r="G62" s="11" t="s">
        <v>5469</v>
      </c>
      <c r="H62" s="2" t="s">
        <v>27</v>
      </c>
      <c r="L62" s="18">
        <v>1</v>
      </c>
      <c r="M62" s="14" t="s">
        <v>8462</v>
      </c>
      <c r="N62" s="13">
        <v>45028</v>
      </c>
      <c r="O62" s="29">
        <v>32.58</v>
      </c>
      <c r="P62" s="18" t="s">
        <v>14</v>
      </c>
      <c r="Q62" s="18">
        <v>0</v>
      </c>
      <c r="U62" s="22">
        <v>0.79</v>
      </c>
      <c r="X62" s="3">
        <v>3</v>
      </c>
      <c r="AB62" s="18">
        <f t="shared" si="0"/>
        <v>2023</v>
      </c>
      <c r="AC62" s="22">
        <f t="shared" si="1"/>
        <v>0.69500000000000006</v>
      </c>
    </row>
    <row r="63" spans="1:29" ht="25.5">
      <c r="A63" s="8" t="s">
        <v>13502</v>
      </c>
      <c r="B63" s="17" t="s">
        <v>7744</v>
      </c>
      <c r="C63" s="13">
        <v>45167</v>
      </c>
      <c r="D63" s="13" t="s">
        <v>8465</v>
      </c>
      <c r="E63" s="10" t="s">
        <v>455</v>
      </c>
      <c r="F63" s="10" t="s">
        <v>455</v>
      </c>
      <c r="G63" s="11" t="s">
        <v>10997</v>
      </c>
      <c r="H63" s="2" t="s">
        <v>1220</v>
      </c>
      <c r="L63" s="18">
        <v>1</v>
      </c>
      <c r="M63" s="14" t="s">
        <v>8462</v>
      </c>
      <c r="N63" s="13">
        <v>44966</v>
      </c>
      <c r="O63" s="29">
        <v>32.58</v>
      </c>
      <c r="P63" s="18" t="s">
        <v>14</v>
      </c>
      <c r="Q63" s="18">
        <v>0</v>
      </c>
      <c r="U63" s="22">
        <v>0.73</v>
      </c>
      <c r="V63" s="22">
        <f>4.33/5</f>
        <v>0.86599999999999999</v>
      </c>
      <c r="X63" s="3">
        <v>2</v>
      </c>
      <c r="AB63" s="18">
        <f t="shared" si="0"/>
        <v>2023</v>
      </c>
      <c r="AC63" s="22">
        <f t="shared" si="1"/>
        <v>0.66533333333333333</v>
      </c>
    </row>
    <row r="64" spans="1:29" ht="25.5">
      <c r="A64" s="8" t="s">
        <v>13509</v>
      </c>
      <c r="B64" s="17" t="s">
        <v>7744</v>
      </c>
      <c r="C64" s="13">
        <v>45167</v>
      </c>
      <c r="D64" s="13" t="s">
        <v>8465</v>
      </c>
      <c r="E64" s="10" t="s">
        <v>1062</v>
      </c>
      <c r="F64" s="10" t="s">
        <v>2285</v>
      </c>
      <c r="G64" s="11" t="s">
        <v>2907</v>
      </c>
      <c r="H64" s="2" t="s">
        <v>149</v>
      </c>
      <c r="L64" s="18">
        <v>1</v>
      </c>
      <c r="M64" s="14" t="s">
        <v>8462</v>
      </c>
      <c r="N64" s="13">
        <v>44959</v>
      </c>
      <c r="O64" s="29">
        <v>54.3</v>
      </c>
      <c r="P64" s="18" t="s">
        <v>14</v>
      </c>
      <c r="Q64" s="18">
        <v>0</v>
      </c>
      <c r="W64" s="14" t="s">
        <v>7777</v>
      </c>
      <c r="X64" s="3">
        <v>3</v>
      </c>
      <c r="AB64" s="18">
        <f t="shared" si="0"/>
        <v>2023</v>
      </c>
      <c r="AC64" s="22">
        <f t="shared" si="1"/>
        <v>0.6</v>
      </c>
    </row>
    <row r="65" spans="1:29">
      <c r="A65" s="8" t="s">
        <v>15844</v>
      </c>
      <c r="B65" s="17" t="s">
        <v>7744</v>
      </c>
      <c r="C65" s="13">
        <v>45162</v>
      </c>
      <c r="D65" s="13" t="s">
        <v>8465</v>
      </c>
      <c r="E65" s="10" t="s">
        <v>1634</v>
      </c>
      <c r="F65" s="10" t="s">
        <v>5331</v>
      </c>
      <c r="G65" s="11" t="s">
        <v>8223</v>
      </c>
      <c r="H65" s="2" t="s">
        <v>151</v>
      </c>
      <c r="L65" s="18">
        <v>1</v>
      </c>
      <c r="M65" s="14" t="s">
        <v>8462</v>
      </c>
      <c r="N65" s="13">
        <v>45108</v>
      </c>
      <c r="O65" s="29">
        <v>38.01</v>
      </c>
      <c r="P65" s="18" t="s">
        <v>14</v>
      </c>
      <c r="Q65" s="18">
        <v>0</v>
      </c>
      <c r="U65" s="22">
        <v>0.84</v>
      </c>
      <c r="V65" s="22">
        <f>3.94/5</f>
        <v>0.78800000000000003</v>
      </c>
      <c r="X65" s="3">
        <v>4</v>
      </c>
      <c r="Z65" s="23">
        <v>14.5</v>
      </c>
      <c r="AB65" s="18">
        <f t="shared" si="0"/>
        <v>2023</v>
      </c>
      <c r="AC65" s="22">
        <f t="shared" si="1"/>
        <v>0.80933333333333335</v>
      </c>
    </row>
    <row r="66" spans="1:29">
      <c r="A66" s="8" t="s">
        <v>15600</v>
      </c>
      <c r="B66" s="17" t="s">
        <v>7800</v>
      </c>
      <c r="C66" s="13">
        <v>45160</v>
      </c>
      <c r="D66" s="13" t="s">
        <v>8465</v>
      </c>
      <c r="E66" s="10" t="s">
        <v>15601</v>
      </c>
      <c r="F66" s="10" t="s">
        <v>15602</v>
      </c>
      <c r="H66" s="2" t="s">
        <v>149</v>
      </c>
      <c r="L66" s="18">
        <v>1</v>
      </c>
      <c r="N66" s="13">
        <v>45162</v>
      </c>
      <c r="O66" s="29">
        <v>0</v>
      </c>
      <c r="P66" s="18" t="s">
        <v>1107</v>
      </c>
      <c r="Q66" s="18">
        <v>0</v>
      </c>
      <c r="U66" s="22">
        <v>0.7</v>
      </c>
      <c r="W66" s="14" t="s">
        <v>7777</v>
      </c>
      <c r="X66" s="3">
        <v>3</v>
      </c>
      <c r="AB66" s="18">
        <f t="shared" ref="AB66:AB129" si="2">IFERROR(YEAR(C66), "Early Access")</f>
        <v>2023</v>
      </c>
      <c r="AC66" s="22">
        <f t="shared" ref="AC66:AC129" si="3">AVERAGE(T66, U66, V66, IF(ISBLANK(X66), X66, X66/5))</f>
        <v>0.64999999999999991</v>
      </c>
    </row>
    <row r="67" spans="1:29">
      <c r="A67" s="8" t="s">
        <v>9425</v>
      </c>
      <c r="B67" s="17" t="s">
        <v>7800</v>
      </c>
      <c r="C67" s="13">
        <v>45138</v>
      </c>
      <c r="D67" s="13" t="s">
        <v>8465</v>
      </c>
      <c r="E67" s="10" t="s">
        <v>9426</v>
      </c>
      <c r="F67" s="10" t="s">
        <v>9426</v>
      </c>
      <c r="H67" s="2" t="s">
        <v>1050</v>
      </c>
      <c r="I67" s="18">
        <v>1</v>
      </c>
      <c r="L67" s="18">
        <v>1</v>
      </c>
      <c r="N67" s="13">
        <v>44145</v>
      </c>
      <c r="O67" s="29">
        <v>0</v>
      </c>
      <c r="P67" s="18" t="s">
        <v>1107</v>
      </c>
      <c r="Q67" s="18">
        <v>0</v>
      </c>
      <c r="V67" s="22">
        <f>4.25/5</f>
        <v>0.85</v>
      </c>
      <c r="W67" s="14" t="s">
        <v>7777</v>
      </c>
      <c r="X67" s="3">
        <v>2</v>
      </c>
      <c r="Z67" s="23">
        <v>4</v>
      </c>
      <c r="AB67" s="18">
        <f t="shared" si="2"/>
        <v>2023</v>
      </c>
      <c r="AC67" s="22">
        <f t="shared" si="3"/>
        <v>0.625</v>
      </c>
    </row>
    <row r="68" spans="1:29">
      <c r="A68" s="8" t="s">
        <v>15245</v>
      </c>
      <c r="B68" s="17" t="s">
        <v>7744</v>
      </c>
      <c r="C68" s="13">
        <v>45135</v>
      </c>
      <c r="D68" s="13" t="s">
        <v>8465</v>
      </c>
      <c r="E68" s="10" t="s">
        <v>1532</v>
      </c>
      <c r="F68" s="10" t="s">
        <v>9566</v>
      </c>
      <c r="G68" s="11" t="s">
        <v>1286</v>
      </c>
      <c r="H68" s="2" t="s">
        <v>151</v>
      </c>
      <c r="L68" s="18">
        <v>1</v>
      </c>
      <c r="M68" s="14" t="s">
        <v>8462</v>
      </c>
      <c r="N68" s="13">
        <v>45092</v>
      </c>
      <c r="O68" s="29">
        <v>43.44</v>
      </c>
      <c r="P68" s="18" t="s">
        <v>14</v>
      </c>
      <c r="Q68" s="18">
        <v>0</v>
      </c>
      <c r="U68" s="22">
        <v>0.73</v>
      </c>
      <c r="X68" s="3">
        <v>3</v>
      </c>
      <c r="Z68" s="23">
        <v>6</v>
      </c>
      <c r="AB68" s="18">
        <f t="shared" si="2"/>
        <v>2023</v>
      </c>
      <c r="AC68" s="22">
        <f t="shared" si="3"/>
        <v>0.66500000000000004</v>
      </c>
    </row>
    <row r="69" spans="1:29">
      <c r="A69" s="8" t="s">
        <v>13978</v>
      </c>
      <c r="B69" s="17" t="s">
        <v>7800</v>
      </c>
      <c r="C69" s="13">
        <v>45134</v>
      </c>
      <c r="D69" s="13" t="s">
        <v>8465</v>
      </c>
      <c r="E69" s="10" t="s">
        <v>13979</v>
      </c>
      <c r="F69" s="10" t="s">
        <v>13980</v>
      </c>
      <c r="H69" s="2" t="s">
        <v>1050</v>
      </c>
      <c r="L69" s="18">
        <v>1</v>
      </c>
      <c r="N69" s="13">
        <v>45014</v>
      </c>
      <c r="O69" s="29">
        <v>0</v>
      </c>
      <c r="P69" s="18" t="s">
        <v>1107</v>
      </c>
      <c r="Q69" s="18">
        <v>0</v>
      </c>
      <c r="W69" s="14" t="s">
        <v>7777</v>
      </c>
      <c r="X69" s="3">
        <v>3</v>
      </c>
      <c r="Z69" s="23">
        <v>8</v>
      </c>
      <c r="AB69" s="18">
        <f t="shared" si="2"/>
        <v>2023</v>
      </c>
      <c r="AC69" s="22">
        <f t="shared" si="3"/>
        <v>0.6</v>
      </c>
    </row>
    <row r="70" spans="1:29" ht="25.5">
      <c r="A70" s="8" t="s">
        <v>14745</v>
      </c>
      <c r="B70" s="17" t="s">
        <v>7744</v>
      </c>
      <c r="C70" s="13">
        <v>45134</v>
      </c>
      <c r="D70" s="13" t="s">
        <v>8465</v>
      </c>
      <c r="E70" s="10" t="s">
        <v>7894</v>
      </c>
      <c r="F70" s="10" t="s">
        <v>5419</v>
      </c>
      <c r="G70" s="11" t="s">
        <v>111</v>
      </c>
      <c r="H70" s="2" t="s">
        <v>153</v>
      </c>
      <c r="L70" s="18">
        <v>1</v>
      </c>
      <c r="M70" s="14" t="s">
        <v>8462</v>
      </c>
      <c r="N70" s="13">
        <v>45050</v>
      </c>
      <c r="O70" s="29">
        <v>32.58</v>
      </c>
      <c r="P70" s="18" t="s">
        <v>14</v>
      </c>
      <c r="Q70" s="18">
        <v>0</v>
      </c>
      <c r="U70" s="22">
        <v>0.64</v>
      </c>
      <c r="X70" s="3">
        <v>4</v>
      </c>
      <c r="Z70" s="23">
        <v>1.5</v>
      </c>
      <c r="AB70" s="18">
        <f t="shared" si="2"/>
        <v>2023</v>
      </c>
      <c r="AC70" s="22">
        <f t="shared" si="3"/>
        <v>0.72</v>
      </c>
    </row>
    <row r="71" spans="1:29" ht="30">
      <c r="A71" s="8" t="s">
        <v>15836</v>
      </c>
      <c r="B71" s="17" t="s">
        <v>7800</v>
      </c>
      <c r="C71" s="13">
        <v>45131</v>
      </c>
      <c r="D71" s="13" t="s">
        <v>8465</v>
      </c>
      <c r="E71" s="10" t="s">
        <v>10752</v>
      </c>
      <c r="F71" s="10" t="s">
        <v>15837</v>
      </c>
      <c r="H71" s="2" t="s">
        <v>56</v>
      </c>
      <c r="L71" s="18">
        <v>1</v>
      </c>
      <c r="N71" s="13">
        <v>45185</v>
      </c>
      <c r="O71" s="29">
        <v>0</v>
      </c>
      <c r="P71" s="18" t="s">
        <v>1107</v>
      </c>
      <c r="Q71" s="18">
        <v>0</v>
      </c>
      <c r="W71" s="14" t="s">
        <v>7777</v>
      </c>
      <c r="X71" s="3">
        <v>2</v>
      </c>
      <c r="Z71" s="23">
        <v>3</v>
      </c>
      <c r="AB71" s="18">
        <f t="shared" si="2"/>
        <v>2023</v>
      </c>
      <c r="AC71" s="22">
        <f t="shared" si="3"/>
        <v>0.4</v>
      </c>
    </row>
    <row r="72" spans="1:29">
      <c r="A72" s="8" t="s">
        <v>13500</v>
      </c>
      <c r="B72" s="17" t="s">
        <v>7744</v>
      </c>
      <c r="C72" s="13">
        <v>45128</v>
      </c>
      <c r="D72" s="13" t="s">
        <v>8465</v>
      </c>
      <c r="E72" s="10" t="s">
        <v>86</v>
      </c>
      <c r="F72" s="10" t="s">
        <v>86</v>
      </c>
      <c r="G72" s="11" t="s">
        <v>953</v>
      </c>
      <c r="H72" s="2" t="s">
        <v>1143</v>
      </c>
      <c r="L72" s="18">
        <v>1</v>
      </c>
      <c r="M72" s="14" t="s">
        <v>8462</v>
      </c>
      <c r="N72" s="13">
        <v>44966</v>
      </c>
      <c r="O72" s="29">
        <v>65.16</v>
      </c>
      <c r="P72" s="18" t="s">
        <v>14</v>
      </c>
      <c r="Q72" s="18">
        <v>0</v>
      </c>
      <c r="U72" s="22">
        <v>0.87</v>
      </c>
      <c r="V72" s="22">
        <f>4.25/5</f>
        <v>0.85</v>
      </c>
      <c r="X72" s="3">
        <v>4</v>
      </c>
      <c r="Z72" s="23">
        <v>14.5</v>
      </c>
      <c r="AB72" s="18">
        <f t="shared" si="2"/>
        <v>2023</v>
      </c>
      <c r="AC72" s="22">
        <f t="shared" si="3"/>
        <v>0.84</v>
      </c>
    </row>
    <row r="73" spans="1:29" ht="25.5">
      <c r="A73" s="8" t="s">
        <v>15679</v>
      </c>
      <c r="B73" s="17" t="s">
        <v>7800</v>
      </c>
      <c r="C73" s="13">
        <v>45121</v>
      </c>
      <c r="D73" s="13" t="s">
        <v>8465</v>
      </c>
      <c r="E73" s="10" t="s">
        <v>12527</v>
      </c>
      <c r="F73" s="10" t="s">
        <v>12527</v>
      </c>
      <c r="G73" s="11" t="s">
        <v>12524</v>
      </c>
      <c r="H73" s="2" t="s">
        <v>78</v>
      </c>
      <c r="L73" s="18">
        <v>1</v>
      </c>
      <c r="N73" s="13">
        <v>45167</v>
      </c>
      <c r="O73" s="29">
        <v>2.39</v>
      </c>
      <c r="P73" s="18" t="s">
        <v>1107</v>
      </c>
      <c r="Q73" s="18">
        <v>0</v>
      </c>
      <c r="W73" s="14" t="s">
        <v>7777</v>
      </c>
      <c r="X73" s="3">
        <v>3</v>
      </c>
      <c r="AB73" s="18">
        <f t="shared" si="2"/>
        <v>2023</v>
      </c>
      <c r="AC73" s="22">
        <f t="shared" si="3"/>
        <v>0.6</v>
      </c>
    </row>
    <row r="74" spans="1:29" ht="38.25">
      <c r="A74" s="8" t="s">
        <v>13618</v>
      </c>
      <c r="B74" s="17" t="s">
        <v>7744</v>
      </c>
      <c r="C74" s="13">
        <v>45120</v>
      </c>
      <c r="D74" s="13" t="s">
        <v>9335</v>
      </c>
      <c r="E74" s="10" t="s">
        <v>11735</v>
      </c>
      <c r="F74" s="10" t="s">
        <v>1566</v>
      </c>
      <c r="G74" s="11" t="s">
        <v>1567</v>
      </c>
      <c r="H74" s="2" t="s">
        <v>149</v>
      </c>
      <c r="K74" s="18">
        <v>2</v>
      </c>
      <c r="L74" s="18">
        <v>1</v>
      </c>
      <c r="M74" s="14" t="s">
        <v>8462</v>
      </c>
      <c r="N74" s="13">
        <v>44982</v>
      </c>
      <c r="O74" s="29">
        <v>49.99</v>
      </c>
      <c r="P74" s="18" t="s">
        <v>14</v>
      </c>
      <c r="Q74" s="18">
        <v>0</v>
      </c>
      <c r="U74" s="22">
        <v>0.77</v>
      </c>
      <c r="X74" s="3">
        <v>3</v>
      </c>
      <c r="Z74" s="23">
        <v>5.5</v>
      </c>
      <c r="AB74" s="18">
        <f t="shared" si="2"/>
        <v>2023</v>
      </c>
      <c r="AC74" s="22">
        <f t="shared" si="3"/>
        <v>0.68500000000000005</v>
      </c>
    </row>
    <row r="75" spans="1:29" ht="25.5">
      <c r="A75" s="8" t="s">
        <v>10363</v>
      </c>
      <c r="B75" s="17" t="s">
        <v>7744</v>
      </c>
      <c r="C75" s="13">
        <v>45114</v>
      </c>
      <c r="D75" s="13" t="s">
        <v>8465</v>
      </c>
      <c r="E75" s="10" t="s">
        <v>1062</v>
      </c>
      <c r="F75" s="10" t="s">
        <v>1245</v>
      </c>
      <c r="G75" s="11" t="s">
        <v>2892</v>
      </c>
      <c r="H75" s="2" t="s">
        <v>149</v>
      </c>
      <c r="L75" s="18">
        <v>1</v>
      </c>
      <c r="M75" s="14" t="s">
        <v>8462</v>
      </c>
      <c r="N75" s="13">
        <v>44473</v>
      </c>
      <c r="O75" s="29">
        <v>65.16</v>
      </c>
      <c r="P75" s="18" t="s">
        <v>14</v>
      </c>
      <c r="Q75" s="18">
        <v>0</v>
      </c>
      <c r="U75" s="22">
        <v>0.79</v>
      </c>
      <c r="V75" s="22">
        <f>3.5/5</f>
        <v>0.7</v>
      </c>
      <c r="X75" s="3">
        <v>4</v>
      </c>
      <c r="Z75" s="23">
        <v>46</v>
      </c>
      <c r="AB75" s="18">
        <f t="shared" si="2"/>
        <v>2023</v>
      </c>
      <c r="AC75" s="22">
        <f t="shared" si="3"/>
        <v>0.76333333333333331</v>
      </c>
    </row>
    <row r="76" spans="1:29">
      <c r="A76" s="8" t="s">
        <v>15347</v>
      </c>
      <c r="B76" s="17" t="s">
        <v>7744</v>
      </c>
      <c r="C76" s="13">
        <v>45107</v>
      </c>
      <c r="D76" s="13" t="s">
        <v>8465</v>
      </c>
      <c r="E76" s="10" t="s">
        <v>86</v>
      </c>
      <c r="F76" s="10" t="s">
        <v>86</v>
      </c>
      <c r="G76" s="11" t="s">
        <v>15348</v>
      </c>
      <c r="H76" s="2" t="s">
        <v>1142</v>
      </c>
      <c r="L76" s="18">
        <v>1</v>
      </c>
      <c r="M76" s="14" t="s">
        <v>8462</v>
      </c>
      <c r="N76" s="13">
        <v>45079</v>
      </c>
      <c r="O76" s="29">
        <v>29.99</v>
      </c>
      <c r="P76" s="18" t="s">
        <v>14</v>
      </c>
      <c r="Q76" s="18">
        <v>0</v>
      </c>
      <c r="U76" s="22">
        <v>0.54</v>
      </c>
      <c r="V76" s="22">
        <f>3.73/5</f>
        <v>0.746</v>
      </c>
      <c r="X76" s="3">
        <v>1</v>
      </c>
      <c r="AB76" s="18">
        <f t="shared" si="2"/>
        <v>2023</v>
      </c>
      <c r="AC76" s="22">
        <f t="shared" si="3"/>
        <v>0.49533333333333335</v>
      </c>
    </row>
    <row r="77" spans="1:29" ht="25.5">
      <c r="A77" s="8" t="s">
        <v>12677</v>
      </c>
      <c r="B77" s="17" t="s">
        <v>7744</v>
      </c>
      <c r="C77" s="13">
        <v>45107</v>
      </c>
      <c r="D77" s="13" t="s">
        <v>8465</v>
      </c>
      <c r="E77" s="10" t="s">
        <v>2452</v>
      </c>
      <c r="F77" s="10" t="s">
        <v>10166</v>
      </c>
      <c r="H77" s="2" t="s">
        <v>80</v>
      </c>
      <c r="L77" s="18">
        <v>1</v>
      </c>
      <c r="M77" s="14" t="s">
        <v>8462</v>
      </c>
      <c r="N77" s="13">
        <v>44824</v>
      </c>
      <c r="O77" s="29">
        <v>65.16</v>
      </c>
      <c r="P77" s="18" t="s">
        <v>14</v>
      </c>
      <c r="Q77" s="18">
        <v>0</v>
      </c>
      <c r="U77" s="22">
        <v>0.77</v>
      </c>
      <c r="V77" s="22">
        <f>3.63/5</f>
        <v>0.72599999999999998</v>
      </c>
      <c r="X77" s="3">
        <v>4</v>
      </c>
      <c r="Z77" s="23">
        <v>31</v>
      </c>
      <c r="AB77" s="18">
        <f t="shared" si="2"/>
        <v>2023</v>
      </c>
      <c r="AC77" s="22">
        <f t="shared" si="3"/>
        <v>0.76533333333333342</v>
      </c>
    </row>
    <row r="78" spans="1:29" ht="25.5">
      <c r="A78" s="8" t="s">
        <v>2245</v>
      </c>
      <c r="B78" s="17" t="s">
        <v>7744</v>
      </c>
      <c r="C78" s="13">
        <v>45107</v>
      </c>
      <c r="D78" s="13" t="s">
        <v>8463</v>
      </c>
      <c r="E78" s="10" t="s">
        <v>73</v>
      </c>
      <c r="F78" s="10" t="s">
        <v>73</v>
      </c>
      <c r="G78" s="11" t="s">
        <v>2354</v>
      </c>
      <c r="H78" s="2" t="s">
        <v>67</v>
      </c>
      <c r="K78" s="18">
        <v>2</v>
      </c>
      <c r="L78" s="18">
        <v>1</v>
      </c>
      <c r="M78" s="14" t="s">
        <v>8462</v>
      </c>
      <c r="N78" s="13">
        <v>44999</v>
      </c>
      <c r="O78" s="29">
        <v>29.99</v>
      </c>
      <c r="P78" s="18" t="s">
        <v>14</v>
      </c>
      <c r="Q78" s="18">
        <v>0</v>
      </c>
      <c r="U78" s="22">
        <v>0.73</v>
      </c>
      <c r="V78" s="22">
        <f>3.41/5</f>
        <v>0.68200000000000005</v>
      </c>
      <c r="X78" s="3">
        <v>2</v>
      </c>
      <c r="Z78" s="23">
        <f>12</f>
        <v>12</v>
      </c>
      <c r="AB78" s="18">
        <f t="shared" si="2"/>
        <v>2023</v>
      </c>
      <c r="AC78" s="22">
        <f t="shared" si="3"/>
        <v>0.60399999999999998</v>
      </c>
    </row>
    <row r="79" spans="1:29" ht="25.5">
      <c r="A79" s="8" t="s">
        <v>13097</v>
      </c>
      <c r="B79" s="17" t="s">
        <v>7744</v>
      </c>
      <c r="C79" s="13">
        <v>45104</v>
      </c>
      <c r="D79" s="13" t="s">
        <v>8465</v>
      </c>
      <c r="E79" s="10" t="s">
        <v>1534</v>
      </c>
      <c r="F79" s="10" t="s">
        <v>5025</v>
      </c>
      <c r="G79" s="11" t="s">
        <v>2463</v>
      </c>
      <c r="H79" s="2" t="s">
        <v>1334</v>
      </c>
      <c r="L79" s="18">
        <v>1</v>
      </c>
      <c r="M79" s="14" t="s">
        <v>8462</v>
      </c>
      <c r="N79" s="13">
        <v>44915</v>
      </c>
      <c r="O79" s="29">
        <v>54.3</v>
      </c>
      <c r="P79" s="18" t="s">
        <v>14</v>
      </c>
      <c r="Q79" s="18">
        <v>0</v>
      </c>
      <c r="U79" s="22">
        <v>0.75</v>
      </c>
      <c r="V79" s="22">
        <f>4.4/5</f>
        <v>0.88000000000000012</v>
      </c>
      <c r="X79" s="3">
        <v>2</v>
      </c>
      <c r="Z79" s="23">
        <v>18.5</v>
      </c>
      <c r="AB79" s="18">
        <f t="shared" si="2"/>
        <v>2023</v>
      </c>
      <c r="AC79" s="22">
        <f t="shared" si="3"/>
        <v>0.67666666666666675</v>
      </c>
    </row>
    <row r="80" spans="1:29" ht="25.5">
      <c r="A80" s="8" t="s">
        <v>15294</v>
      </c>
      <c r="B80" s="17" t="s">
        <v>7744</v>
      </c>
      <c r="C80" s="13">
        <v>45099</v>
      </c>
      <c r="D80" s="13" t="s">
        <v>8465</v>
      </c>
      <c r="E80" s="10" t="s">
        <v>7877</v>
      </c>
      <c r="F80" s="10" t="s">
        <v>10721</v>
      </c>
      <c r="G80" s="11" t="s">
        <v>15295</v>
      </c>
      <c r="H80" s="2" t="s">
        <v>1334</v>
      </c>
      <c r="L80" s="18">
        <v>1</v>
      </c>
      <c r="M80" s="14" t="s">
        <v>8462</v>
      </c>
      <c r="N80" s="13">
        <v>45104</v>
      </c>
      <c r="O80" s="29">
        <v>38.01</v>
      </c>
      <c r="P80" s="18" t="s">
        <v>14</v>
      </c>
      <c r="Q80" s="18">
        <v>0</v>
      </c>
      <c r="X80" s="3">
        <v>2</v>
      </c>
      <c r="AB80" s="18">
        <f t="shared" si="2"/>
        <v>2023</v>
      </c>
      <c r="AC80" s="22">
        <f t="shared" si="3"/>
        <v>0.4</v>
      </c>
    </row>
    <row r="81" spans="1:29" ht="25.5">
      <c r="A81" s="8" t="s">
        <v>15539</v>
      </c>
      <c r="B81" s="17" t="s">
        <v>7800</v>
      </c>
      <c r="C81" s="13">
        <v>45098</v>
      </c>
      <c r="D81" s="13" t="s">
        <v>8465</v>
      </c>
      <c r="E81" s="10" t="s">
        <v>1058</v>
      </c>
      <c r="F81" s="10" t="s">
        <v>1058</v>
      </c>
      <c r="G81" s="11" t="s">
        <v>1099</v>
      </c>
      <c r="H81" s="2" t="s">
        <v>1059</v>
      </c>
      <c r="J81" s="18">
        <v>1</v>
      </c>
      <c r="L81" s="18">
        <v>1</v>
      </c>
      <c r="O81" s="29">
        <v>0</v>
      </c>
      <c r="P81" s="18" t="s">
        <v>1107</v>
      </c>
      <c r="Q81" s="18">
        <v>0</v>
      </c>
      <c r="W81" s="14" t="s">
        <v>7777</v>
      </c>
      <c r="X81" s="3">
        <v>3</v>
      </c>
      <c r="Z81" s="23">
        <v>2</v>
      </c>
      <c r="AB81" s="18">
        <f t="shared" si="2"/>
        <v>2023</v>
      </c>
      <c r="AC81" s="22">
        <f t="shared" si="3"/>
        <v>0.6</v>
      </c>
    </row>
    <row r="82" spans="1:29">
      <c r="A82" s="8" t="s">
        <v>15238</v>
      </c>
      <c r="B82" s="17" t="s">
        <v>7744</v>
      </c>
      <c r="C82" s="13">
        <v>45098</v>
      </c>
      <c r="D82" s="13" t="s">
        <v>8465</v>
      </c>
      <c r="E82" s="10" t="s">
        <v>86</v>
      </c>
      <c r="F82" s="10" t="s">
        <v>86</v>
      </c>
      <c r="G82" s="11" t="s">
        <v>953</v>
      </c>
      <c r="H82" s="2" t="s">
        <v>1143</v>
      </c>
      <c r="L82" s="18">
        <v>1</v>
      </c>
      <c r="M82" s="14" t="s">
        <v>8462</v>
      </c>
      <c r="N82" s="13">
        <v>45098</v>
      </c>
      <c r="O82" s="29">
        <v>53.29</v>
      </c>
      <c r="P82" s="18" t="s">
        <v>1107</v>
      </c>
      <c r="Q82" s="18">
        <v>0</v>
      </c>
      <c r="U82" s="22">
        <v>0.8</v>
      </c>
      <c r="V82" s="22">
        <f>4.07/5</f>
        <v>0.81400000000000006</v>
      </c>
      <c r="X82" s="3">
        <v>4</v>
      </c>
      <c r="Z82" s="23">
        <f>8+11.5</f>
        <v>19.5</v>
      </c>
      <c r="AB82" s="18">
        <f t="shared" si="2"/>
        <v>2023</v>
      </c>
      <c r="AC82" s="22">
        <f t="shared" si="3"/>
        <v>0.80466666666666675</v>
      </c>
    </row>
    <row r="83" spans="1:29" ht="30">
      <c r="A83" s="8" t="s">
        <v>15548</v>
      </c>
      <c r="B83" s="17" t="s">
        <v>7800</v>
      </c>
      <c r="C83" s="13">
        <v>45092</v>
      </c>
      <c r="D83" s="13" t="s">
        <v>8465</v>
      </c>
      <c r="E83" s="10" t="s">
        <v>10752</v>
      </c>
      <c r="F83" s="10" t="s">
        <v>15549</v>
      </c>
      <c r="H83" s="2" t="s">
        <v>67</v>
      </c>
      <c r="L83" s="18">
        <v>1</v>
      </c>
      <c r="N83" s="13">
        <v>45159</v>
      </c>
      <c r="O83" s="29">
        <v>2.2000000000000002</v>
      </c>
      <c r="P83" s="18" t="s">
        <v>1107</v>
      </c>
      <c r="Q83" s="18">
        <v>0</v>
      </c>
      <c r="U83" s="22">
        <v>0.71</v>
      </c>
      <c r="W83" s="14" t="s">
        <v>7777</v>
      </c>
      <c r="X83" s="3">
        <v>2</v>
      </c>
      <c r="Z83" s="23">
        <v>8.5</v>
      </c>
      <c r="AB83" s="18">
        <f t="shared" si="2"/>
        <v>2023</v>
      </c>
      <c r="AC83" s="22">
        <f t="shared" si="3"/>
        <v>0.55499999999999994</v>
      </c>
    </row>
    <row r="84" spans="1:29">
      <c r="A84" s="8" t="s">
        <v>15070</v>
      </c>
      <c r="B84" s="17" t="s">
        <v>7746</v>
      </c>
      <c r="C84" s="13">
        <v>45089</v>
      </c>
      <c r="D84" s="13" t="s">
        <v>8465</v>
      </c>
      <c r="E84" s="10" t="s">
        <v>15071</v>
      </c>
      <c r="F84" s="10" t="s">
        <v>15072</v>
      </c>
      <c r="G84" s="11" t="s">
        <v>8064</v>
      </c>
      <c r="H84" s="2" t="s">
        <v>64</v>
      </c>
      <c r="L84" s="18">
        <v>0</v>
      </c>
      <c r="Q84" s="18">
        <v>0</v>
      </c>
      <c r="X84" s="3">
        <v>3</v>
      </c>
      <c r="Z84" s="23">
        <f>19/60</f>
        <v>0.31666666666666665</v>
      </c>
      <c r="AB84" s="18">
        <f t="shared" si="2"/>
        <v>2023</v>
      </c>
      <c r="AC84" s="22">
        <f t="shared" si="3"/>
        <v>0.6</v>
      </c>
    </row>
    <row r="85" spans="1:29" ht="25.5">
      <c r="A85" s="8" t="s">
        <v>12852</v>
      </c>
      <c r="B85" s="17" t="s">
        <v>7744</v>
      </c>
      <c r="C85" s="13">
        <v>45083</v>
      </c>
      <c r="D85" s="13" t="s">
        <v>8465</v>
      </c>
      <c r="E85" s="10" t="s">
        <v>1534</v>
      </c>
      <c r="F85" s="10" t="s">
        <v>15043</v>
      </c>
      <c r="H85" s="2" t="s">
        <v>149</v>
      </c>
      <c r="L85" s="18">
        <v>1</v>
      </c>
      <c r="M85" s="14" t="s">
        <v>8462</v>
      </c>
      <c r="N85" s="13">
        <v>44844</v>
      </c>
      <c r="O85" s="29">
        <v>54.3</v>
      </c>
      <c r="P85" s="18" t="s">
        <v>14</v>
      </c>
      <c r="Q85" s="18">
        <v>0</v>
      </c>
      <c r="U85" s="22">
        <v>0.48</v>
      </c>
      <c r="V85" s="22">
        <f>2.33/5</f>
        <v>0.46600000000000003</v>
      </c>
      <c r="X85" s="3">
        <v>2</v>
      </c>
      <c r="Z85" s="23">
        <v>10</v>
      </c>
      <c r="AB85" s="18">
        <f t="shared" si="2"/>
        <v>2023</v>
      </c>
      <c r="AC85" s="22">
        <f t="shared" si="3"/>
        <v>0.44866666666666671</v>
      </c>
    </row>
    <row r="86" spans="1:29" ht="25.5">
      <c r="A86" s="8" t="s">
        <v>15028</v>
      </c>
      <c r="B86" s="17" t="s">
        <v>7744</v>
      </c>
      <c r="C86" s="13">
        <v>45079</v>
      </c>
      <c r="D86" s="13" t="s">
        <v>8465</v>
      </c>
      <c r="E86" s="10" t="s">
        <v>3568</v>
      </c>
      <c r="F86" s="10" t="s">
        <v>15029</v>
      </c>
      <c r="G86" s="11" t="s">
        <v>1615</v>
      </c>
      <c r="H86" s="2" t="s">
        <v>31</v>
      </c>
      <c r="L86" s="18">
        <v>1</v>
      </c>
      <c r="M86" s="14" t="s">
        <v>8462</v>
      </c>
      <c r="N86" s="13">
        <v>44966</v>
      </c>
      <c r="O86" s="29">
        <v>32.58</v>
      </c>
      <c r="P86" s="18" t="s">
        <v>14</v>
      </c>
      <c r="Q86" s="18">
        <v>0</v>
      </c>
      <c r="V86" s="22">
        <f>3.62/5</f>
        <v>0.72399999999999998</v>
      </c>
      <c r="X86" s="3">
        <v>3</v>
      </c>
      <c r="Z86" s="23">
        <v>5.5</v>
      </c>
      <c r="AB86" s="18">
        <f t="shared" si="2"/>
        <v>2023</v>
      </c>
      <c r="AC86" s="22">
        <f t="shared" si="3"/>
        <v>0.66199999999999992</v>
      </c>
    </row>
    <row r="87" spans="1:29" ht="25.5">
      <c r="A87" s="8" t="s">
        <v>13721</v>
      </c>
      <c r="B87" s="17" t="s">
        <v>7744</v>
      </c>
      <c r="C87" s="13">
        <v>45078</v>
      </c>
      <c r="D87" s="13" t="s">
        <v>8463</v>
      </c>
      <c r="E87" s="10" t="s">
        <v>455</v>
      </c>
      <c r="F87" s="10" t="s">
        <v>228</v>
      </c>
      <c r="G87" s="11" t="s">
        <v>2239</v>
      </c>
      <c r="H87" s="2" t="s">
        <v>1377</v>
      </c>
      <c r="K87" s="18">
        <v>2</v>
      </c>
      <c r="L87" s="18">
        <v>1</v>
      </c>
      <c r="M87" s="14" t="s">
        <v>8462</v>
      </c>
      <c r="N87" s="13">
        <v>44999</v>
      </c>
      <c r="O87" s="29">
        <v>69.989999999999995</v>
      </c>
      <c r="P87" s="18" t="s">
        <v>14</v>
      </c>
      <c r="Q87" s="18">
        <v>0</v>
      </c>
      <c r="U87" s="22">
        <v>0.77</v>
      </c>
      <c r="V87" s="22">
        <f>4.05/5</f>
        <v>0.80999999999999994</v>
      </c>
      <c r="X87" s="3">
        <v>4</v>
      </c>
      <c r="Z87" s="23">
        <f>48+50.5+49</f>
        <v>147.5</v>
      </c>
      <c r="AB87" s="18">
        <f t="shared" si="2"/>
        <v>2023</v>
      </c>
      <c r="AC87" s="22">
        <f t="shared" si="3"/>
        <v>0.79333333333333333</v>
      </c>
    </row>
    <row r="88" spans="1:29">
      <c r="A88" s="8" t="s">
        <v>16088</v>
      </c>
      <c r="B88" s="17" t="s">
        <v>7800</v>
      </c>
      <c r="C88" s="13">
        <v>45078</v>
      </c>
      <c r="D88" s="13" t="s">
        <v>8465</v>
      </c>
      <c r="E88" s="10" t="s">
        <v>16089</v>
      </c>
      <c r="F88" s="10" t="s">
        <v>16089</v>
      </c>
      <c r="H88" s="2" t="s">
        <v>67</v>
      </c>
      <c r="L88" s="18">
        <v>1</v>
      </c>
      <c r="N88" s="13">
        <v>45225</v>
      </c>
      <c r="O88" s="29">
        <v>0.49</v>
      </c>
      <c r="P88" s="18" t="s">
        <v>1107</v>
      </c>
      <c r="Q88" s="18">
        <v>0</v>
      </c>
      <c r="W88" s="14" t="s">
        <v>7777</v>
      </c>
      <c r="X88" s="3">
        <v>2</v>
      </c>
      <c r="AB88" s="18">
        <f t="shared" si="2"/>
        <v>2023</v>
      </c>
      <c r="AC88" s="22">
        <f t="shared" si="3"/>
        <v>0.4</v>
      </c>
    </row>
    <row r="89" spans="1:29">
      <c r="A89" s="8" t="s">
        <v>15960</v>
      </c>
      <c r="B89" s="17" t="s">
        <v>13799</v>
      </c>
      <c r="C89" s="13">
        <v>45076</v>
      </c>
      <c r="D89" s="13" t="s">
        <v>8465</v>
      </c>
      <c r="E89" s="10" t="s">
        <v>15961</v>
      </c>
      <c r="F89" s="10" t="s">
        <v>15961</v>
      </c>
      <c r="H89" s="2" t="s">
        <v>255</v>
      </c>
      <c r="L89" s="18">
        <v>1</v>
      </c>
      <c r="O89" s="29">
        <v>0</v>
      </c>
      <c r="P89" s="18" t="s">
        <v>1107</v>
      </c>
      <c r="Q89" s="18">
        <v>0</v>
      </c>
      <c r="X89" s="3">
        <v>2</v>
      </c>
      <c r="Z89" s="23">
        <f>35/60</f>
        <v>0.58333333333333337</v>
      </c>
      <c r="AB89" s="18">
        <f t="shared" si="2"/>
        <v>2023</v>
      </c>
      <c r="AC89" s="22">
        <f t="shared" si="3"/>
        <v>0.4</v>
      </c>
    </row>
    <row r="90" spans="1:29">
      <c r="A90" s="8" t="s">
        <v>15522</v>
      </c>
      <c r="B90" s="17" t="s">
        <v>7800</v>
      </c>
      <c r="C90" s="13">
        <v>45071</v>
      </c>
      <c r="D90" s="13" t="s">
        <v>8465</v>
      </c>
      <c r="E90" s="10" t="s">
        <v>15523</v>
      </c>
      <c r="F90" s="10" t="s">
        <v>15523</v>
      </c>
      <c r="H90" s="2" t="s">
        <v>67</v>
      </c>
      <c r="L90" s="18">
        <v>1</v>
      </c>
      <c r="N90" s="13">
        <v>45153</v>
      </c>
      <c r="O90" s="29">
        <v>1.97</v>
      </c>
      <c r="P90" s="18" t="s">
        <v>1107</v>
      </c>
      <c r="Q90" s="18">
        <v>0</v>
      </c>
      <c r="W90" s="14" t="s">
        <v>7777</v>
      </c>
      <c r="X90" s="3">
        <v>2</v>
      </c>
      <c r="AB90" s="18">
        <f t="shared" si="2"/>
        <v>2023</v>
      </c>
      <c r="AC90" s="22">
        <f t="shared" si="3"/>
        <v>0.4</v>
      </c>
    </row>
    <row r="91" spans="1:29" ht="30">
      <c r="A91" s="8" t="s">
        <v>12478</v>
      </c>
      <c r="B91" s="17" t="s">
        <v>7744</v>
      </c>
      <c r="C91" s="13">
        <v>45069</v>
      </c>
      <c r="D91" s="13" t="s">
        <v>8465</v>
      </c>
      <c r="E91" s="10" t="s">
        <v>1062</v>
      </c>
      <c r="F91" s="10" t="s">
        <v>2285</v>
      </c>
      <c r="H91" s="2" t="s">
        <v>149</v>
      </c>
      <c r="L91" s="18">
        <v>1</v>
      </c>
      <c r="M91" s="14" t="s">
        <v>8462</v>
      </c>
      <c r="N91" s="13">
        <v>44812</v>
      </c>
      <c r="O91" s="29">
        <v>49.99</v>
      </c>
      <c r="P91" s="18" t="s">
        <v>1107</v>
      </c>
      <c r="Q91" s="18">
        <v>0</v>
      </c>
      <c r="U91" s="22">
        <v>0.71</v>
      </c>
      <c r="V91" s="22">
        <f>4.25/5</f>
        <v>0.85</v>
      </c>
      <c r="W91" s="14" t="s">
        <v>15491</v>
      </c>
      <c r="X91" s="3">
        <v>2</v>
      </c>
      <c r="Z91" s="23">
        <v>44.5</v>
      </c>
      <c r="AB91" s="18">
        <f t="shared" si="2"/>
        <v>2023</v>
      </c>
      <c r="AC91" s="22">
        <f t="shared" si="3"/>
        <v>0.65333333333333332</v>
      </c>
    </row>
    <row r="92" spans="1:29">
      <c r="A92" s="8" t="s">
        <v>14953</v>
      </c>
      <c r="B92" s="17" t="s">
        <v>7800</v>
      </c>
      <c r="C92" s="13">
        <v>45068</v>
      </c>
      <c r="D92" s="13" t="s">
        <v>8465</v>
      </c>
      <c r="E92" s="10" t="s">
        <v>14954</v>
      </c>
      <c r="F92" s="10" t="s">
        <v>14955</v>
      </c>
      <c r="H92" s="2" t="s">
        <v>3937</v>
      </c>
      <c r="L92" s="18">
        <v>1</v>
      </c>
      <c r="N92" s="13">
        <v>45073</v>
      </c>
      <c r="O92" s="29">
        <v>0</v>
      </c>
      <c r="P92" s="18" t="s">
        <v>1107</v>
      </c>
      <c r="Q92" s="18">
        <v>0</v>
      </c>
      <c r="W92" s="14" t="s">
        <v>7777</v>
      </c>
      <c r="X92" s="3">
        <v>2</v>
      </c>
      <c r="AB92" s="18">
        <f t="shared" si="2"/>
        <v>2023</v>
      </c>
      <c r="AC92" s="22">
        <f t="shared" si="3"/>
        <v>0.4</v>
      </c>
    </row>
    <row r="93" spans="1:29">
      <c r="A93" s="8" t="s">
        <v>14956</v>
      </c>
      <c r="B93" s="17" t="s">
        <v>7800</v>
      </c>
      <c r="C93" s="13">
        <v>45065</v>
      </c>
      <c r="D93" s="13" t="s">
        <v>8465</v>
      </c>
      <c r="E93" s="10" t="s">
        <v>14957</v>
      </c>
      <c r="F93" s="10" t="s">
        <v>14958</v>
      </c>
      <c r="H93" s="2" t="s">
        <v>1377</v>
      </c>
      <c r="L93" s="18">
        <v>1</v>
      </c>
      <c r="N93" s="13">
        <v>45073</v>
      </c>
      <c r="O93" s="29">
        <v>0</v>
      </c>
      <c r="P93" s="18" t="s">
        <v>1107</v>
      </c>
      <c r="Q93" s="18">
        <v>0</v>
      </c>
      <c r="W93" s="14" t="s">
        <v>7777</v>
      </c>
      <c r="X93" s="3">
        <v>2</v>
      </c>
      <c r="AB93" s="18">
        <f t="shared" si="2"/>
        <v>2023</v>
      </c>
      <c r="AC93" s="22">
        <f t="shared" si="3"/>
        <v>0.4</v>
      </c>
    </row>
    <row r="94" spans="1:29">
      <c r="A94" s="8" t="s">
        <v>11326</v>
      </c>
      <c r="B94" s="17" t="s">
        <v>7800</v>
      </c>
      <c r="C94" s="13">
        <v>45062</v>
      </c>
      <c r="D94" s="13" t="s">
        <v>8465</v>
      </c>
      <c r="E94" s="10" t="s">
        <v>11327</v>
      </c>
      <c r="F94" s="10" t="s">
        <v>11327</v>
      </c>
      <c r="H94" s="2" t="s">
        <v>1050</v>
      </c>
      <c r="L94" s="18">
        <v>1</v>
      </c>
      <c r="N94" s="13">
        <v>44624</v>
      </c>
      <c r="O94" s="29">
        <v>0</v>
      </c>
      <c r="P94" s="18" t="s">
        <v>1107</v>
      </c>
      <c r="Q94" s="18">
        <v>0</v>
      </c>
      <c r="U94" s="22">
        <v>0.81</v>
      </c>
      <c r="V94" s="22">
        <f>4/5</f>
        <v>0.8</v>
      </c>
      <c r="W94" s="14" t="s">
        <v>7777</v>
      </c>
      <c r="X94" s="3">
        <v>4</v>
      </c>
      <c r="Z94" s="23">
        <v>5</v>
      </c>
      <c r="AB94" s="18">
        <f t="shared" si="2"/>
        <v>2023</v>
      </c>
      <c r="AC94" s="22">
        <f t="shared" si="3"/>
        <v>0.80333333333333334</v>
      </c>
    </row>
    <row r="95" spans="1:29">
      <c r="A95" s="8" t="s">
        <v>14768</v>
      </c>
      <c r="B95" s="17" t="s">
        <v>7744</v>
      </c>
      <c r="C95" s="13">
        <v>45058</v>
      </c>
      <c r="D95" s="13" t="s">
        <v>8465</v>
      </c>
      <c r="E95" s="10" t="s">
        <v>12040</v>
      </c>
      <c r="F95" s="10" t="s">
        <v>8976</v>
      </c>
      <c r="H95" s="2" t="s">
        <v>75</v>
      </c>
      <c r="L95" s="18">
        <v>1</v>
      </c>
      <c r="N95" s="13">
        <v>45062</v>
      </c>
      <c r="O95" s="29">
        <v>1.99</v>
      </c>
      <c r="P95" s="18" t="s">
        <v>1107</v>
      </c>
      <c r="Q95" s="18">
        <v>0</v>
      </c>
      <c r="X95" s="3">
        <v>2</v>
      </c>
      <c r="Z95" s="23">
        <v>7.5</v>
      </c>
      <c r="AB95" s="18">
        <f t="shared" si="2"/>
        <v>2023</v>
      </c>
      <c r="AC95" s="22">
        <f t="shared" si="3"/>
        <v>0.4</v>
      </c>
    </row>
    <row r="96" spans="1:29">
      <c r="A96" s="8" t="s">
        <v>14948</v>
      </c>
      <c r="B96" s="17" t="s">
        <v>7800</v>
      </c>
      <c r="C96" s="13">
        <v>45056</v>
      </c>
      <c r="D96" s="13" t="s">
        <v>8465</v>
      </c>
      <c r="E96" s="10" t="s">
        <v>14949</v>
      </c>
      <c r="F96" s="10" t="s">
        <v>14950</v>
      </c>
      <c r="H96" s="2" t="s">
        <v>31</v>
      </c>
      <c r="L96" s="18">
        <v>1</v>
      </c>
      <c r="N96" s="13">
        <v>45073</v>
      </c>
      <c r="O96" s="29">
        <v>0</v>
      </c>
      <c r="P96" s="18" t="s">
        <v>1107</v>
      </c>
      <c r="Q96" s="18">
        <v>0</v>
      </c>
      <c r="W96" s="14" t="s">
        <v>7777</v>
      </c>
      <c r="X96" s="3">
        <v>2</v>
      </c>
      <c r="AB96" s="18">
        <f t="shared" si="2"/>
        <v>2023</v>
      </c>
      <c r="AC96" s="22">
        <f t="shared" si="3"/>
        <v>0.4</v>
      </c>
    </row>
    <row r="97" spans="1:29" ht="25.5">
      <c r="A97" s="8" t="s">
        <v>13510</v>
      </c>
      <c r="B97" s="17" t="s">
        <v>7744</v>
      </c>
      <c r="C97" s="13">
        <v>45055</v>
      </c>
      <c r="D97" s="13" t="s">
        <v>8465</v>
      </c>
      <c r="E97" s="10" t="s">
        <v>3113</v>
      </c>
      <c r="F97" s="10" t="s">
        <v>1416</v>
      </c>
      <c r="G97" s="11" t="s">
        <v>7405</v>
      </c>
      <c r="H97" s="2" t="s">
        <v>1469</v>
      </c>
      <c r="L97" s="18">
        <v>1</v>
      </c>
      <c r="M97" s="14" t="s">
        <v>8462</v>
      </c>
      <c r="N97" s="13">
        <v>44949</v>
      </c>
      <c r="O97" s="29">
        <v>54.3</v>
      </c>
      <c r="P97" s="18" t="s">
        <v>14</v>
      </c>
      <c r="Q97" s="18">
        <v>0</v>
      </c>
      <c r="U97" s="22">
        <v>0.65</v>
      </c>
      <c r="X97" s="3">
        <v>2</v>
      </c>
      <c r="Z97" s="23">
        <v>22.5</v>
      </c>
      <c r="AB97" s="18">
        <f t="shared" si="2"/>
        <v>2023</v>
      </c>
      <c r="AC97" s="22">
        <f t="shared" si="3"/>
        <v>0.52500000000000002</v>
      </c>
    </row>
    <row r="98" spans="1:29">
      <c r="A98" s="8" t="s">
        <v>14951</v>
      </c>
      <c r="B98" s="17" t="s">
        <v>7800</v>
      </c>
      <c r="C98" s="13">
        <v>45051</v>
      </c>
      <c r="D98" s="13" t="s">
        <v>8465</v>
      </c>
      <c r="E98" s="10" t="s">
        <v>14949</v>
      </c>
      <c r="F98" s="10" t="s">
        <v>14952</v>
      </c>
      <c r="H98" s="2" t="s">
        <v>31</v>
      </c>
      <c r="L98" s="18">
        <v>1</v>
      </c>
      <c r="N98" s="13">
        <v>45073</v>
      </c>
      <c r="O98" s="29">
        <v>0</v>
      </c>
      <c r="P98" s="18" t="s">
        <v>1107</v>
      </c>
      <c r="Q98" s="18">
        <v>0</v>
      </c>
      <c r="W98" s="14" t="s">
        <v>7777</v>
      </c>
      <c r="X98" s="3">
        <v>2</v>
      </c>
      <c r="Z98" s="23">
        <f>15/60</f>
        <v>0.25</v>
      </c>
      <c r="AB98" s="18">
        <f t="shared" si="2"/>
        <v>2023</v>
      </c>
      <c r="AC98" s="22">
        <f t="shared" si="3"/>
        <v>0.4</v>
      </c>
    </row>
    <row r="99" spans="1:29" ht="25.5">
      <c r="A99" s="8" t="s">
        <v>15703</v>
      </c>
      <c r="B99" s="17" t="s">
        <v>7800</v>
      </c>
      <c r="C99" s="13">
        <v>45049</v>
      </c>
      <c r="D99" s="13" t="s">
        <v>8465</v>
      </c>
      <c r="E99" s="10" t="s">
        <v>4281</v>
      </c>
      <c r="F99" s="10" t="s">
        <v>4281</v>
      </c>
      <c r="H99" s="2" t="s">
        <v>1194</v>
      </c>
      <c r="L99" s="18">
        <v>1</v>
      </c>
      <c r="N99" s="13">
        <v>45170</v>
      </c>
      <c r="O99" s="29">
        <v>0</v>
      </c>
      <c r="P99" s="18" t="s">
        <v>1107</v>
      </c>
      <c r="Q99" s="18">
        <v>0</v>
      </c>
      <c r="U99" s="22">
        <v>0.51</v>
      </c>
      <c r="W99" s="14" t="s">
        <v>7777</v>
      </c>
      <c r="X99" s="3">
        <v>2</v>
      </c>
      <c r="Z99" s="23">
        <v>1</v>
      </c>
      <c r="AB99" s="18">
        <f t="shared" si="2"/>
        <v>2023</v>
      </c>
      <c r="AC99" s="22">
        <f t="shared" si="3"/>
        <v>0.45500000000000002</v>
      </c>
    </row>
    <row r="100" spans="1:29">
      <c r="A100" s="8" t="s">
        <v>15546</v>
      </c>
      <c r="B100" s="17" t="s">
        <v>7800</v>
      </c>
      <c r="C100" s="13">
        <v>45047</v>
      </c>
      <c r="D100" s="13" t="s">
        <v>8465</v>
      </c>
      <c r="E100" s="10" t="s">
        <v>12705</v>
      </c>
      <c r="F100" s="10" t="s">
        <v>15547</v>
      </c>
      <c r="H100" s="2" t="s">
        <v>1518</v>
      </c>
      <c r="L100" s="18">
        <v>1</v>
      </c>
      <c r="N100" s="13">
        <v>45159</v>
      </c>
      <c r="O100" s="29">
        <v>2.2000000000000002</v>
      </c>
      <c r="P100" s="18" t="s">
        <v>1107</v>
      </c>
      <c r="Q100" s="18">
        <v>0</v>
      </c>
      <c r="U100" s="22">
        <v>0.79</v>
      </c>
      <c r="W100" s="14" t="s">
        <v>7777</v>
      </c>
      <c r="X100" s="3">
        <v>2</v>
      </c>
      <c r="AB100" s="18">
        <f t="shared" si="2"/>
        <v>2023</v>
      </c>
      <c r="AC100" s="22">
        <f t="shared" si="3"/>
        <v>0.59499999999999997</v>
      </c>
    </row>
    <row r="101" spans="1:29" ht="38.25">
      <c r="A101" s="8" t="s">
        <v>15807</v>
      </c>
      <c r="B101" s="17" t="s">
        <v>7744</v>
      </c>
      <c r="C101" s="12">
        <v>45047</v>
      </c>
      <c r="D101" s="13" t="s">
        <v>8465</v>
      </c>
      <c r="E101" s="10" t="s">
        <v>1134</v>
      </c>
      <c r="F101" s="10" t="s">
        <v>3199</v>
      </c>
      <c r="H101" s="2" t="s">
        <v>6510</v>
      </c>
      <c r="L101" s="18">
        <v>1</v>
      </c>
      <c r="M101" s="14" t="s">
        <v>8462</v>
      </c>
      <c r="N101" s="13">
        <v>44954</v>
      </c>
      <c r="O101" s="29">
        <v>45.34</v>
      </c>
      <c r="P101" s="18" t="s">
        <v>14</v>
      </c>
      <c r="Q101" s="18">
        <v>0</v>
      </c>
      <c r="X101" s="3">
        <v>3</v>
      </c>
      <c r="Z101" s="23">
        <f>15.5+29.5</f>
        <v>45</v>
      </c>
      <c r="AB101" s="18">
        <f t="shared" si="2"/>
        <v>2023</v>
      </c>
      <c r="AC101" s="22">
        <f t="shared" si="3"/>
        <v>0.6</v>
      </c>
    </row>
    <row r="102" spans="1:29">
      <c r="A102" s="8" t="s">
        <v>13504</v>
      </c>
      <c r="B102" s="17" t="s">
        <v>7746</v>
      </c>
      <c r="C102" s="12">
        <v>45047</v>
      </c>
      <c r="D102" s="13" t="s">
        <v>8465</v>
      </c>
      <c r="E102" s="10" t="s">
        <v>1134</v>
      </c>
      <c r="F102" s="10" t="s">
        <v>15808</v>
      </c>
      <c r="H102" s="2" t="s">
        <v>80</v>
      </c>
      <c r="L102" s="18">
        <v>1</v>
      </c>
      <c r="M102" s="14" t="s">
        <v>8462</v>
      </c>
      <c r="N102" s="13">
        <v>44954</v>
      </c>
      <c r="O102" s="29">
        <v>51.01</v>
      </c>
      <c r="P102" s="18" t="s">
        <v>14</v>
      </c>
      <c r="Q102" s="18">
        <v>0</v>
      </c>
      <c r="X102" s="3">
        <v>2</v>
      </c>
      <c r="Z102" s="23">
        <v>2</v>
      </c>
      <c r="AB102" s="18">
        <f t="shared" si="2"/>
        <v>2023</v>
      </c>
      <c r="AC102" s="22">
        <f t="shared" si="3"/>
        <v>0.4</v>
      </c>
    </row>
    <row r="103" spans="1:29">
      <c r="A103" s="8" t="s">
        <v>10104</v>
      </c>
      <c r="B103" s="17" t="s">
        <v>7744</v>
      </c>
      <c r="C103" s="13">
        <v>45043</v>
      </c>
      <c r="D103" s="13" t="s">
        <v>9335</v>
      </c>
      <c r="E103" s="10" t="s">
        <v>7523</v>
      </c>
      <c r="F103" s="10" t="s">
        <v>3861</v>
      </c>
      <c r="G103" s="11" t="s">
        <v>10104</v>
      </c>
      <c r="H103" s="2" t="s">
        <v>149</v>
      </c>
      <c r="K103" s="18">
        <v>2</v>
      </c>
      <c r="L103" s="18">
        <v>1</v>
      </c>
      <c r="M103" s="14" t="s">
        <v>8462</v>
      </c>
      <c r="N103" s="13">
        <v>44899</v>
      </c>
      <c r="O103" s="29">
        <v>39.99</v>
      </c>
      <c r="P103" s="18" t="s">
        <v>14</v>
      </c>
      <c r="Q103" s="18">
        <v>0</v>
      </c>
      <c r="X103" s="3">
        <v>3</v>
      </c>
      <c r="Z103" s="23">
        <v>22.5</v>
      </c>
      <c r="AB103" s="18">
        <f t="shared" si="2"/>
        <v>2023</v>
      </c>
      <c r="AC103" s="22">
        <f t="shared" si="3"/>
        <v>0.6</v>
      </c>
    </row>
    <row r="104" spans="1:29" ht="25.5">
      <c r="A104" s="8" t="s">
        <v>14588</v>
      </c>
      <c r="B104" s="17" t="s">
        <v>7800</v>
      </c>
      <c r="C104" s="13">
        <v>45043</v>
      </c>
      <c r="D104" s="13" t="s">
        <v>8465</v>
      </c>
      <c r="E104" s="10" t="s">
        <v>14589</v>
      </c>
      <c r="F104" s="10" t="s">
        <v>14589</v>
      </c>
      <c r="H104" s="2" t="s">
        <v>67</v>
      </c>
      <c r="L104" s="18">
        <v>1</v>
      </c>
      <c r="N104" s="13">
        <v>45044</v>
      </c>
      <c r="O104" s="29">
        <v>0</v>
      </c>
      <c r="P104" s="18" t="s">
        <v>1107</v>
      </c>
      <c r="Q104" s="18">
        <v>0</v>
      </c>
      <c r="W104" s="14" t="s">
        <v>7777</v>
      </c>
      <c r="X104" s="3">
        <v>3</v>
      </c>
      <c r="Z104" s="23">
        <f>44/60</f>
        <v>0.73333333333333328</v>
      </c>
      <c r="AB104" s="18">
        <f t="shared" si="2"/>
        <v>2023</v>
      </c>
      <c r="AC104" s="22">
        <f t="shared" si="3"/>
        <v>0.6</v>
      </c>
    </row>
    <row r="105" spans="1:29">
      <c r="A105" s="8" t="s">
        <v>14940</v>
      </c>
      <c r="B105" s="17" t="s">
        <v>7800</v>
      </c>
      <c r="C105" s="13">
        <v>45042</v>
      </c>
      <c r="D105" s="13" t="s">
        <v>8465</v>
      </c>
      <c r="E105" s="10" t="s">
        <v>14941</v>
      </c>
      <c r="F105" s="10" t="s">
        <v>14941</v>
      </c>
      <c r="H105" s="2" t="s">
        <v>1061</v>
      </c>
      <c r="L105" s="18">
        <v>1</v>
      </c>
      <c r="N105" s="13">
        <v>45073</v>
      </c>
      <c r="O105" s="29">
        <v>0</v>
      </c>
      <c r="P105" s="18" t="s">
        <v>1107</v>
      </c>
      <c r="Q105" s="18">
        <v>0</v>
      </c>
      <c r="V105" s="22">
        <f>5/5</f>
        <v>1</v>
      </c>
      <c r="W105" s="14" t="s">
        <v>7777</v>
      </c>
      <c r="X105" s="3">
        <v>2</v>
      </c>
      <c r="Z105" s="23">
        <v>1.5</v>
      </c>
      <c r="AB105" s="18">
        <f t="shared" si="2"/>
        <v>2023</v>
      </c>
      <c r="AC105" s="22">
        <f t="shared" si="3"/>
        <v>0.7</v>
      </c>
    </row>
    <row r="106" spans="1:29">
      <c r="A106" s="8" t="s">
        <v>12851</v>
      </c>
      <c r="B106" s="17" t="s">
        <v>7744</v>
      </c>
      <c r="C106" s="13">
        <v>45041</v>
      </c>
      <c r="D106" s="13" t="s">
        <v>8465</v>
      </c>
      <c r="E106" s="10" t="s">
        <v>1534</v>
      </c>
      <c r="F106" s="10" t="s">
        <v>11867</v>
      </c>
      <c r="H106" s="2" t="s">
        <v>171</v>
      </c>
      <c r="L106" s="18">
        <v>1</v>
      </c>
      <c r="M106" s="14" t="s">
        <v>8462</v>
      </c>
      <c r="N106" s="13">
        <v>44846</v>
      </c>
      <c r="O106" s="29">
        <v>65.16</v>
      </c>
      <c r="P106" s="18" t="s">
        <v>14</v>
      </c>
      <c r="Q106" s="18">
        <v>0</v>
      </c>
      <c r="U106" s="22">
        <v>0.75</v>
      </c>
      <c r="W106" s="14" t="s">
        <v>9173</v>
      </c>
      <c r="X106" s="3">
        <v>3</v>
      </c>
      <c r="Z106" s="23">
        <v>15</v>
      </c>
      <c r="AB106" s="18">
        <f t="shared" si="2"/>
        <v>2023</v>
      </c>
      <c r="AC106" s="22">
        <f t="shared" si="3"/>
        <v>0.67500000000000004</v>
      </c>
    </row>
    <row r="107" spans="1:29">
      <c r="A107" s="8" t="s">
        <v>14591</v>
      </c>
      <c r="B107" s="17" t="s">
        <v>9431</v>
      </c>
      <c r="C107" s="13">
        <v>45041</v>
      </c>
      <c r="D107" s="13" t="s">
        <v>8465</v>
      </c>
      <c r="E107" s="10" t="s">
        <v>1062</v>
      </c>
      <c r="F107" s="10" t="s">
        <v>8689</v>
      </c>
      <c r="G107" s="11" t="s">
        <v>404</v>
      </c>
      <c r="H107" s="2" t="s">
        <v>21</v>
      </c>
      <c r="L107" s="18">
        <v>1</v>
      </c>
      <c r="M107" s="14" t="s">
        <v>8462</v>
      </c>
      <c r="N107" s="13">
        <v>44874</v>
      </c>
      <c r="O107" s="29">
        <v>39</v>
      </c>
      <c r="P107" s="18" t="s">
        <v>14</v>
      </c>
      <c r="Q107" s="18">
        <v>0</v>
      </c>
      <c r="U107" s="22">
        <v>0.73</v>
      </c>
      <c r="V107" s="22">
        <f>4.33/5</f>
        <v>0.86599999999999999</v>
      </c>
      <c r="W107" s="14" t="s">
        <v>10168</v>
      </c>
      <c r="X107" s="3">
        <v>2</v>
      </c>
      <c r="AB107" s="18">
        <f t="shared" si="2"/>
        <v>2023</v>
      </c>
      <c r="AC107" s="22">
        <f t="shared" si="3"/>
        <v>0.66533333333333333</v>
      </c>
    </row>
    <row r="108" spans="1:29" ht="25.5">
      <c r="A108" s="8" t="s">
        <v>13001</v>
      </c>
      <c r="B108" s="17" t="s">
        <v>7744</v>
      </c>
      <c r="C108" s="13">
        <v>45041</v>
      </c>
      <c r="D108" s="13" t="s">
        <v>8465</v>
      </c>
      <c r="E108" s="10" t="s">
        <v>3113</v>
      </c>
      <c r="F108" s="10" t="s">
        <v>1416</v>
      </c>
      <c r="G108" s="11" t="s">
        <v>3862</v>
      </c>
      <c r="H108" s="2" t="s">
        <v>149</v>
      </c>
      <c r="L108" s="18">
        <v>1</v>
      </c>
      <c r="M108" s="14" t="s">
        <v>8462</v>
      </c>
      <c r="N108" s="13">
        <v>44908</v>
      </c>
      <c r="O108" s="29">
        <v>54.3</v>
      </c>
      <c r="P108" s="18" t="s">
        <v>14</v>
      </c>
      <c r="Q108" s="18">
        <v>0</v>
      </c>
      <c r="X108" s="3">
        <v>2</v>
      </c>
      <c r="Z108" s="23">
        <v>38.5</v>
      </c>
      <c r="AB108" s="18">
        <f t="shared" si="2"/>
        <v>2023</v>
      </c>
      <c r="AC108" s="22">
        <f t="shared" si="3"/>
        <v>0.4</v>
      </c>
    </row>
    <row r="109" spans="1:29">
      <c r="A109" s="8" t="s">
        <v>15379</v>
      </c>
      <c r="B109" s="17" t="s">
        <v>7744</v>
      </c>
      <c r="C109" s="13">
        <v>45041</v>
      </c>
      <c r="D109" s="13" t="s">
        <v>8465</v>
      </c>
      <c r="E109" s="10" t="s">
        <v>7894</v>
      </c>
      <c r="F109" s="10" t="s">
        <v>15380</v>
      </c>
      <c r="H109" s="2" t="s">
        <v>151</v>
      </c>
      <c r="L109" s="18">
        <v>1</v>
      </c>
      <c r="M109" s="14" t="s">
        <v>8462</v>
      </c>
      <c r="N109" s="13">
        <v>45119</v>
      </c>
      <c r="O109" s="29">
        <v>27.15</v>
      </c>
      <c r="P109" s="18" t="s">
        <v>14</v>
      </c>
      <c r="Q109" s="18">
        <v>0</v>
      </c>
      <c r="U109" s="22">
        <v>0.63</v>
      </c>
      <c r="X109" s="3">
        <v>3</v>
      </c>
      <c r="Z109" s="23">
        <v>29</v>
      </c>
      <c r="AB109" s="18">
        <f t="shared" si="2"/>
        <v>2023</v>
      </c>
      <c r="AC109" s="22">
        <f t="shared" si="3"/>
        <v>0.61499999999999999</v>
      </c>
    </row>
    <row r="110" spans="1:29" ht="38.25">
      <c r="A110" s="8" t="s">
        <v>14553</v>
      </c>
      <c r="B110" s="17" t="s">
        <v>7800</v>
      </c>
      <c r="C110" s="13">
        <v>45039</v>
      </c>
      <c r="D110" s="13" t="s">
        <v>8465</v>
      </c>
      <c r="E110" s="10" t="s">
        <v>1082</v>
      </c>
      <c r="F110" s="10" t="s">
        <v>1082</v>
      </c>
      <c r="G110" s="11" t="s">
        <v>14554</v>
      </c>
      <c r="H110" s="2" t="s">
        <v>67</v>
      </c>
      <c r="L110" s="18">
        <v>1</v>
      </c>
      <c r="N110" s="13">
        <v>45042</v>
      </c>
      <c r="O110" s="29">
        <v>0</v>
      </c>
      <c r="P110" s="18" t="s">
        <v>1107</v>
      </c>
      <c r="Q110" s="18">
        <v>0</v>
      </c>
      <c r="X110" s="3">
        <v>2</v>
      </c>
      <c r="Z110" s="23">
        <v>2.5</v>
      </c>
      <c r="AB110" s="18">
        <f t="shared" si="2"/>
        <v>2023</v>
      </c>
      <c r="AC110" s="22">
        <f t="shared" si="3"/>
        <v>0.4</v>
      </c>
    </row>
    <row r="111" spans="1:29" ht="30">
      <c r="A111" s="8" t="s">
        <v>10196</v>
      </c>
      <c r="B111" s="17" t="s">
        <v>7744</v>
      </c>
      <c r="C111" s="13">
        <v>45037</v>
      </c>
      <c r="D111" s="13" t="s">
        <v>8465</v>
      </c>
      <c r="E111" s="10" t="s">
        <v>86</v>
      </c>
      <c r="F111" s="10" t="s">
        <v>1084</v>
      </c>
      <c r="G111" s="11" t="s">
        <v>301</v>
      </c>
      <c r="H111" s="2" t="s">
        <v>75</v>
      </c>
      <c r="L111" s="18">
        <v>1</v>
      </c>
      <c r="M111" s="14" t="s">
        <v>8462</v>
      </c>
      <c r="N111" s="13">
        <v>44362</v>
      </c>
      <c r="O111" s="29">
        <v>65.09</v>
      </c>
      <c r="P111" s="18" t="s">
        <v>14</v>
      </c>
      <c r="Q111" s="18">
        <v>0</v>
      </c>
      <c r="U111" s="22">
        <v>0.83</v>
      </c>
      <c r="X111" s="3">
        <v>4</v>
      </c>
      <c r="Z111" s="23">
        <v>40</v>
      </c>
      <c r="AB111" s="18">
        <f t="shared" si="2"/>
        <v>2023</v>
      </c>
      <c r="AC111" s="22">
        <f t="shared" si="3"/>
        <v>0.81499999999999995</v>
      </c>
    </row>
    <row r="112" spans="1:29">
      <c r="A112" s="8" t="s">
        <v>13002</v>
      </c>
      <c r="B112" s="17" t="s">
        <v>7744</v>
      </c>
      <c r="C112" s="13">
        <v>45036</v>
      </c>
      <c r="D112" s="13" t="s">
        <v>8465</v>
      </c>
      <c r="E112" s="10" t="s">
        <v>7877</v>
      </c>
      <c r="F112" s="10" t="s">
        <v>3029</v>
      </c>
      <c r="H112" s="2" t="s">
        <v>1377</v>
      </c>
      <c r="L112" s="18">
        <v>1</v>
      </c>
      <c r="M112" s="14" t="s">
        <v>8462</v>
      </c>
      <c r="N112" s="13">
        <v>44907</v>
      </c>
      <c r="O112" s="29">
        <v>39.99</v>
      </c>
      <c r="P112" s="18" t="s">
        <v>14</v>
      </c>
      <c r="Q112" s="18">
        <v>0</v>
      </c>
      <c r="U112" s="22">
        <v>0.75</v>
      </c>
      <c r="X112" s="3">
        <v>2</v>
      </c>
      <c r="Z112" s="23">
        <v>24</v>
      </c>
      <c r="AB112" s="18">
        <f t="shared" si="2"/>
        <v>2023</v>
      </c>
      <c r="AC112" s="22">
        <f t="shared" si="3"/>
        <v>0.57499999999999996</v>
      </c>
    </row>
    <row r="113" spans="1:29" ht="30">
      <c r="A113" s="8" t="s">
        <v>14472</v>
      </c>
      <c r="B113" s="17" t="s">
        <v>7744</v>
      </c>
      <c r="C113" s="13">
        <v>45035</v>
      </c>
      <c r="D113" s="13" t="s">
        <v>8465</v>
      </c>
      <c r="E113" s="10" t="s">
        <v>1082</v>
      </c>
      <c r="F113" s="10" t="s">
        <v>1082</v>
      </c>
      <c r="G113" s="11" t="s">
        <v>126</v>
      </c>
      <c r="H113" s="2" t="s">
        <v>149</v>
      </c>
      <c r="L113" s="18">
        <v>1</v>
      </c>
      <c r="M113" s="14" t="s">
        <v>8462</v>
      </c>
      <c r="N113" s="13">
        <v>44913</v>
      </c>
      <c r="O113" s="29">
        <v>299.77999999999997</v>
      </c>
      <c r="P113" s="18" t="s">
        <v>14</v>
      </c>
      <c r="Q113" s="18">
        <v>0</v>
      </c>
      <c r="W113" s="14" t="s">
        <v>10748</v>
      </c>
      <c r="X113" s="3">
        <v>4</v>
      </c>
      <c r="Z113" s="23">
        <f>16.5+23.5+18.5+22+32+35</f>
        <v>147.5</v>
      </c>
      <c r="AB113" s="18">
        <f t="shared" si="2"/>
        <v>2023</v>
      </c>
      <c r="AC113" s="22">
        <f t="shared" si="3"/>
        <v>0.8</v>
      </c>
    </row>
    <row r="114" spans="1:29">
      <c r="A114" s="8" t="s">
        <v>15543</v>
      </c>
      <c r="B114" s="17" t="s">
        <v>7800</v>
      </c>
      <c r="C114" s="13">
        <v>45035</v>
      </c>
      <c r="D114" s="13" t="s">
        <v>8465</v>
      </c>
      <c r="E114" s="10" t="s">
        <v>7894</v>
      </c>
      <c r="F114" s="10" t="s">
        <v>5256</v>
      </c>
      <c r="G114" s="11" t="s">
        <v>5255</v>
      </c>
      <c r="H114" s="2" t="s">
        <v>27</v>
      </c>
      <c r="L114" s="18">
        <v>1</v>
      </c>
      <c r="N114" s="13">
        <v>45159</v>
      </c>
      <c r="O114" s="29">
        <v>2.2000000000000002</v>
      </c>
      <c r="P114" s="18" t="s">
        <v>1107</v>
      </c>
      <c r="Q114" s="18">
        <v>0</v>
      </c>
      <c r="U114" s="22">
        <v>0.71</v>
      </c>
      <c r="V114" s="22">
        <f>3.75/5</f>
        <v>0.75</v>
      </c>
      <c r="W114" s="14" t="s">
        <v>7777</v>
      </c>
      <c r="X114" s="3">
        <v>3</v>
      </c>
      <c r="Z114" s="23">
        <v>2.5</v>
      </c>
      <c r="AB114" s="18">
        <f t="shared" si="2"/>
        <v>2023</v>
      </c>
      <c r="AC114" s="22">
        <f t="shared" si="3"/>
        <v>0.68666666666666665</v>
      </c>
    </row>
    <row r="115" spans="1:29" ht="30">
      <c r="A115" s="8" t="s">
        <v>15974</v>
      </c>
      <c r="B115" s="17" t="s">
        <v>9431</v>
      </c>
      <c r="C115" s="13">
        <v>45035</v>
      </c>
      <c r="D115" s="13" t="s">
        <v>8465</v>
      </c>
      <c r="E115" s="10" t="s">
        <v>6107</v>
      </c>
      <c r="F115" s="10" t="s">
        <v>5882</v>
      </c>
      <c r="G115" s="11" t="s">
        <v>6134</v>
      </c>
      <c r="H115" s="2" t="s">
        <v>80</v>
      </c>
      <c r="J115" s="18">
        <v>1</v>
      </c>
      <c r="L115" s="18">
        <v>1</v>
      </c>
      <c r="N115" s="13">
        <v>45196</v>
      </c>
      <c r="O115" s="29">
        <v>14.99</v>
      </c>
      <c r="P115" s="18" t="s">
        <v>1107</v>
      </c>
      <c r="Q115" s="18">
        <v>1</v>
      </c>
      <c r="R115" s="13">
        <v>45244</v>
      </c>
      <c r="S115" s="21">
        <f>7+33/60</f>
        <v>7.55</v>
      </c>
      <c r="T115" s="22">
        <v>0.8</v>
      </c>
      <c r="U115" s="22">
        <v>0.82</v>
      </c>
      <c r="V115" s="22">
        <f>4.04/5</f>
        <v>0.80800000000000005</v>
      </c>
      <c r="AB115" s="18">
        <f t="shared" si="2"/>
        <v>2023</v>
      </c>
      <c r="AC115" s="22">
        <f t="shared" si="3"/>
        <v>0.80933333333333335</v>
      </c>
    </row>
    <row r="116" spans="1:29" ht="38.25">
      <c r="A116" s="8" t="s">
        <v>13000</v>
      </c>
      <c r="B116" s="17" t="s">
        <v>7744</v>
      </c>
      <c r="C116" s="13">
        <v>45030</v>
      </c>
      <c r="D116" s="13" t="s">
        <v>8465</v>
      </c>
      <c r="E116" s="10" t="s">
        <v>73</v>
      </c>
      <c r="F116" s="10" t="s">
        <v>73</v>
      </c>
      <c r="G116" s="11" t="s">
        <v>1904</v>
      </c>
      <c r="H116" s="2" t="s">
        <v>75</v>
      </c>
      <c r="L116" s="18">
        <v>1</v>
      </c>
      <c r="M116" s="14" t="s">
        <v>8462</v>
      </c>
      <c r="N116" s="13">
        <v>44908</v>
      </c>
      <c r="O116" s="29">
        <v>65.16</v>
      </c>
      <c r="P116" s="18" t="s">
        <v>14</v>
      </c>
      <c r="Q116" s="18">
        <v>0</v>
      </c>
      <c r="U116" s="22">
        <v>0.77</v>
      </c>
      <c r="V116" s="22">
        <f>4.34/5</f>
        <v>0.86799999999999999</v>
      </c>
      <c r="X116" s="3">
        <v>4</v>
      </c>
      <c r="Z116" s="23">
        <f>14+20.5+24.5+21.5+27.5+22</f>
        <v>130</v>
      </c>
      <c r="AB116" s="18">
        <f t="shared" si="2"/>
        <v>2023</v>
      </c>
      <c r="AC116" s="22">
        <f t="shared" si="3"/>
        <v>0.81266666666666654</v>
      </c>
    </row>
    <row r="117" spans="1:29">
      <c r="A117" s="8" t="s">
        <v>15208</v>
      </c>
      <c r="B117" s="17" t="s">
        <v>7800</v>
      </c>
      <c r="C117" s="13">
        <v>45029</v>
      </c>
      <c r="D117" s="13" t="s">
        <v>8465</v>
      </c>
      <c r="E117" s="10" t="s">
        <v>10755</v>
      </c>
      <c r="F117" s="10" t="s">
        <v>10755</v>
      </c>
      <c r="H117" s="2" t="s">
        <v>67</v>
      </c>
      <c r="I117" s="18">
        <v>1</v>
      </c>
      <c r="L117" s="18">
        <v>1</v>
      </c>
      <c r="N117" s="13">
        <v>45097</v>
      </c>
      <c r="O117" s="29">
        <v>9.9</v>
      </c>
      <c r="P117" s="18" t="s">
        <v>1107</v>
      </c>
      <c r="Q117" s="18">
        <v>0</v>
      </c>
      <c r="W117" s="14" t="s">
        <v>7777</v>
      </c>
      <c r="X117" s="3">
        <v>2</v>
      </c>
      <c r="AB117" s="18">
        <f t="shared" si="2"/>
        <v>2023</v>
      </c>
      <c r="AC117" s="22">
        <f t="shared" si="3"/>
        <v>0.4</v>
      </c>
    </row>
    <row r="118" spans="1:29">
      <c r="A118" s="8" t="s">
        <v>12480</v>
      </c>
      <c r="B118" s="17" t="s">
        <v>7744</v>
      </c>
      <c r="C118" s="13">
        <v>45027</v>
      </c>
      <c r="D118" s="13" t="s">
        <v>8465</v>
      </c>
      <c r="E118" s="10" t="s">
        <v>1062</v>
      </c>
      <c r="F118" s="10" t="s">
        <v>2285</v>
      </c>
      <c r="H118" s="2" t="s">
        <v>1057</v>
      </c>
      <c r="L118" s="18">
        <v>1</v>
      </c>
      <c r="M118" s="14" t="s">
        <v>8462</v>
      </c>
      <c r="N118" s="13">
        <v>44812</v>
      </c>
      <c r="O118" s="29">
        <v>49.99</v>
      </c>
      <c r="P118" s="18" t="s">
        <v>14</v>
      </c>
      <c r="Q118" s="18">
        <v>0</v>
      </c>
      <c r="U118" s="22">
        <v>0.7</v>
      </c>
      <c r="V118" s="22">
        <f>3.75/5</f>
        <v>0.75</v>
      </c>
      <c r="W118" s="14" t="s">
        <v>10168</v>
      </c>
      <c r="X118" s="3">
        <v>2</v>
      </c>
      <c r="Z118" s="23">
        <v>22</v>
      </c>
      <c r="AB118" s="18">
        <f t="shared" si="2"/>
        <v>2023</v>
      </c>
      <c r="AC118" s="22">
        <f t="shared" si="3"/>
        <v>0.6166666666666667</v>
      </c>
    </row>
    <row r="119" spans="1:29" ht="25.5">
      <c r="A119" s="8" t="s">
        <v>12479</v>
      </c>
      <c r="B119" s="17" t="s">
        <v>7744</v>
      </c>
      <c r="C119" s="13">
        <v>45020</v>
      </c>
      <c r="D119" s="13" t="s">
        <v>8465</v>
      </c>
      <c r="E119" s="10" t="s">
        <v>1062</v>
      </c>
      <c r="F119" s="10" t="s">
        <v>1553</v>
      </c>
      <c r="G119" s="11" t="s">
        <v>5813</v>
      </c>
      <c r="H119" s="2" t="s">
        <v>1143</v>
      </c>
      <c r="L119" s="18">
        <v>1</v>
      </c>
      <c r="M119" s="14" t="s">
        <v>8462</v>
      </c>
      <c r="N119" s="13">
        <v>44812</v>
      </c>
      <c r="O119" s="29">
        <v>49.99</v>
      </c>
      <c r="P119" s="18" t="s">
        <v>14</v>
      </c>
      <c r="Q119" s="18">
        <v>0</v>
      </c>
      <c r="U119" s="22">
        <v>0.78</v>
      </c>
      <c r="V119" s="22">
        <f>4.38/5</f>
        <v>0.876</v>
      </c>
      <c r="W119" s="14" t="s">
        <v>10168</v>
      </c>
      <c r="X119" s="3">
        <v>4</v>
      </c>
      <c r="Z119" s="23">
        <v>14.5</v>
      </c>
      <c r="AB119" s="18">
        <f t="shared" si="2"/>
        <v>2023</v>
      </c>
      <c r="AC119" s="22">
        <f t="shared" si="3"/>
        <v>0.81866666666666676</v>
      </c>
    </row>
    <row r="120" spans="1:29" ht="25.5">
      <c r="A120" s="8" t="s">
        <v>13991</v>
      </c>
      <c r="B120" s="17" t="s">
        <v>7800</v>
      </c>
      <c r="C120" s="13">
        <v>45016</v>
      </c>
      <c r="D120" s="13" t="s">
        <v>8465</v>
      </c>
      <c r="E120" s="10" t="s">
        <v>455</v>
      </c>
      <c r="F120" s="10" t="s">
        <v>455</v>
      </c>
      <c r="G120" s="11" t="s">
        <v>1688</v>
      </c>
      <c r="H120" s="2" t="s">
        <v>1057</v>
      </c>
      <c r="L120" s="18">
        <v>1</v>
      </c>
      <c r="N120" s="13">
        <v>45016</v>
      </c>
      <c r="O120" s="29">
        <v>0</v>
      </c>
      <c r="P120" s="18" t="s">
        <v>1107</v>
      </c>
      <c r="Q120" s="18">
        <v>0</v>
      </c>
      <c r="U120" s="22">
        <v>0.86</v>
      </c>
      <c r="V120" s="22">
        <f>3.64/5</f>
        <v>0.72799999999999998</v>
      </c>
      <c r="W120" s="14" t="s">
        <v>7777</v>
      </c>
      <c r="X120" s="3">
        <v>4</v>
      </c>
      <c r="Z120" s="23">
        <v>2</v>
      </c>
      <c r="AB120" s="18">
        <f t="shared" si="2"/>
        <v>2023</v>
      </c>
      <c r="AC120" s="22">
        <f t="shared" si="3"/>
        <v>0.79599999999999993</v>
      </c>
    </row>
    <row r="121" spans="1:29">
      <c r="A121" s="8" t="s">
        <v>14436</v>
      </c>
      <c r="B121" s="17" t="s">
        <v>7800</v>
      </c>
      <c r="C121" s="13">
        <v>45016</v>
      </c>
      <c r="D121" s="13" t="s">
        <v>8465</v>
      </c>
      <c r="E121" s="10" t="s">
        <v>14437</v>
      </c>
      <c r="F121" s="10" t="s">
        <v>14437</v>
      </c>
      <c r="H121" s="2" t="s">
        <v>78</v>
      </c>
      <c r="L121" s="18">
        <v>1</v>
      </c>
      <c r="N121" s="13">
        <v>45039</v>
      </c>
      <c r="O121" s="29">
        <v>0</v>
      </c>
      <c r="P121" s="18" t="s">
        <v>1107</v>
      </c>
      <c r="Q121" s="18">
        <v>0</v>
      </c>
      <c r="W121" s="14" t="s">
        <v>8765</v>
      </c>
      <c r="X121" s="3">
        <v>2</v>
      </c>
      <c r="AB121" s="18">
        <f t="shared" si="2"/>
        <v>2023</v>
      </c>
      <c r="AC121" s="22">
        <f t="shared" si="3"/>
        <v>0.4</v>
      </c>
    </row>
    <row r="122" spans="1:29">
      <c r="A122" s="8" t="s">
        <v>15137</v>
      </c>
      <c r="B122" s="17" t="s">
        <v>7760</v>
      </c>
      <c r="C122" s="13">
        <v>45015</v>
      </c>
      <c r="D122" s="13" t="s">
        <v>8465</v>
      </c>
      <c r="E122" s="10" t="s">
        <v>15138</v>
      </c>
      <c r="F122" s="10" t="s">
        <v>15139</v>
      </c>
      <c r="H122" s="2" t="s">
        <v>80</v>
      </c>
      <c r="L122" s="18">
        <v>1</v>
      </c>
      <c r="M122" s="14" t="s">
        <v>8462</v>
      </c>
      <c r="N122" s="13">
        <v>45091</v>
      </c>
      <c r="O122" s="29">
        <v>23.27</v>
      </c>
      <c r="P122" s="18" t="s">
        <v>14</v>
      </c>
      <c r="Q122" s="18">
        <v>0</v>
      </c>
      <c r="U122" s="22">
        <v>0.81</v>
      </c>
      <c r="V122" s="22">
        <f>3.95/5</f>
        <v>0.79</v>
      </c>
      <c r="X122" s="3">
        <v>4</v>
      </c>
      <c r="Z122" s="23">
        <v>9</v>
      </c>
      <c r="AB122" s="18">
        <f t="shared" si="2"/>
        <v>2023</v>
      </c>
      <c r="AC122" s="22">
        <f t="shared" si="3"/>
        <v>0.80000000000000016</v>
      </c>
    </row>
    <row r="123" spans="1:29">
      <c r="A123" s="8" t="s">
        <v>14114</v>
      </c>
      <c r="B123" s="17" t="s">
        <v>7800</v>
      </c>
      <c r="C123" s="13">
        <v>45009</v>
      </c>
      <c r="D123" s="13" t="s">
        <v>8465</v>
      </c>
      <c r="E123" s="10" t="s">
        <v>14115</v>
      </c>
      <c r="F123" s="10" t="s">
        <v>14115</v>
      </c>
      <c r="H123" s="2" t="s">
        <v>21</v>
      </c>
      <c r="L123" s="18">
        <v>1</v>
      </c>
      <c r="O123" s="29">
        <v>0</v>
      </c>
      <c r="P123" s="18" t="s">
        <v>1107</v>
      </c>
      <c r="Q123" s="18">
        <v>0</v>
      </c>
      <c r="W123" s="14" t="s">
        <v>8765</v>
      </c>
      <c r="X123" s="3">
        <v>2</v>
      </c>
      <c r="AB123" s="18">
        <f t="shared" si="2"/>
        <v>2023</v>
      </c>
      <c r="AC123" s="22">
        <f t="shared" si="3"/>
        <v>0.4</v>
      </c>
    </row>
    <row r="124" spans="1:29">
      <c r="A124" s="8" t="s">
        <v>15591</v>
      </c>
      <c r="B124" s="17" t="s">
        <v>7800</v>
      </c>
      <c r="C124" s="13">
        <v>45008</v>
      </c>
      <c r="D124" s="13" t="s">
        <v>8465</v>
      </c>
      <c r="E124" s="10" t="s">
        <v>15592</v>
      </c>
      <c r="F124" s="10" t="s">
        <v>15593</v>
      </c>
      <c r="H124" s="2" t="s">
        <v>1057</v>
      </c>
      <c r="L124" s="18">
        <v>1</v>
      </c>
      <c r="N124" s="13">
        <v>45162</v>
      </c>
      <c r="O124" s="29">
        <v>0</v>
      </c>
      <c r="P124" s="18" t="s">
        <v>1107</v>
      </c>
      <c r="Q124" s="18">
        <v>0</v>
      </c>
      <c r="W124" s="14" t="s">
        <v>7777</v>
      </c>
      <c r="X124" s="3">
        <v>2</v>
      </c>
      <c r="AB124" s="18">
        <f t="shared" si="2"/>
        <v>2023</v>
      </c>
      <c r="AC124" s="22">
        <f t="shared" si="3"/>
        <v>0.4</v>
      </c>
    </row>
    <row r="125" spans="1:29" ht="25.5">
      <c r="A125" s="8" t="s">
        <v>14945</v>
      </c>
      <c r="B125" s="17" t="s">
        <v>7800</v>
      </c>
      <c r="C125" s="13">
        <v>45007</v>
      </c>
      <c r="D125" s="13" t="s">
        <v>8465</v>
      </c>
      <c r="E125" s="10" t="s">
        <v>14946</v>
      </c>
      <c r="F125" s="10" t="s">
        <v>14946</v>
      </c>
      <c r="G125" s="11" t="s">
        <v>14947</v>
      </c>
      <c r="H125" s="2" t="s">
        <v>1377</v>
      </c>
      <c r="L125" s="18">
        <v>1</v>
      </c>
      <c r="N125" s="13">
        <v>45073</v>
      </c>
      <c r="O125" s="29">
        <v>0</v>
      </c>
      <c r="P125" s="18" t="s">
        <v>1107</v>
      </c>
      <c r="Q125" s="18">
        <v>0</v>
      </c>
      <c r="W125" s="14" t="s">
        <v>7777</v>
      </c>
      <c r="X125" s="3">
        <v>2</v>
      </c>
      <c r="Z125" s="23">
        <v>1.5</v>
      </c>
      <c r="AB125" s="18">
        <f t="shared" si="2"/>
        <v>2023</v>
      </c>
      <c r="AC125" s="22">
        <f t="shared" si="3"/>
        <v>0.4</v>
      </c>
    </row>
    <row r="126" spans="1:29">
      <c r="A126" s="8" t="s">
        <v>15392</v>
      </c>
      <c r="B126" s="17" t="s">
        <v>9431</v>
      </c>
      <c r="C126" s="13">
        <v>45006</v>
      </c>
      <c r="D126" s="13" t="s">
        <v>8465</v>
      </c>
      <c r="E126" s="10" t="s">
        <v>15393</v>
      </c>
      <c r="F126" s="10" t="s">
        <v>15394</v>
      </c>
      <c r="H126" s="2" t="s">
        <v>80</v>
      </c>
      <c r="L126" s="18">
        <v>1</v>
      </c>
      <c r="M126" s="14" t="s">
        <v>8462</v>
      </c>
      <c r="N126" s="13">
        <v>45070</v>
      </c>
      <c r="O126" s="29">
        <v>38.01</v>
      </c>
      <c r="P126" s="18" t="s">
        <v>14</v>
      </c>
      <c r="Q126" s="18">
        <v>0</v>
      </c>
      <c r="U126" s="22">
        <v>0.77</v>
      </c>
      <c r="V126" s="22">
        <f>3.32/5</f>
        <v>0.66399999999999992</v>
      </c>
      <c r="W126" s="14" t="s">
        <v>15395</v>
      </c>
      <c r="X126" s="3">
        <v>4</v>
      </c>
      <c r="Z126" s="23">
        <v>7</v>
      </c>
      <c r="AB126" s="18">
        <f t="shared" si="2"/>
        <v>2023</v>
      </c>
      <c r="AC126" s="22">
        <f t="shared" si="3"/>
        <v>0.7446666666666667</v>
      </c>
    </row>
    <row r="127" spans="1:29" ht="25.5">
      <c r="A127" s="8" t="s">
        <v>12893</v>
      </c>
      <c r="B127" s="17" t="s">
        <v>7744</v>
      </c>
      <c r="C127" s="13">
        <v>45001</v>
      </c>
      <c r="D127" s="13" t="s">
        <v>8465</v>
      </c>
      <c r="E127" s="10" t="s">
        <v>7877</v>
      </c>
      <c r="F127" s="10" t="s">
        <v>6261</v>
      </c>
      <c r="H127" s="2" t="s">
        <v>1168</v>
      </c>
      <c r="L127" s="18">
        <v>1</v>
      </c>
      <c r="M127" s="14" t="s">
        <v>8462</v>
      </c>
      <c r="N127" s="13">
        <v>44869</v>
      </c>
      <c r="O127" s="29">
        <v>43.44</v>
      </c>
      <c r="P127" s="18" t="s">
        <v>14</v>
      </c>
      <c r="Q127" s="18">
        <v>0</v>
      </c>
      <c r="V127" s="22">
        <f>4/5</f>
        <v>0.8</v>
      </c>
      <c r="X127" s="3">
        <v>2</v>
      </c>
      <c r="Z127" s="23">
        <v>1</v>
      </c>
      <c r="AB127" s="18">
        <f t="shared" si="2"/>
        <v>2023</v>
      </c>
      <c r="AC127" s="22">
        <f t="shared" si="3"/>
        <v>0.60000000000000009</v>
      </c>
    </row>
    <row r="128" spans="1:29" ht="25.5">
      <c r="A128" s="8" t="s">
        <v>10501</v>
      </c>
      <c r="B128" s="17" t="s">
        <v>7744</v>
      </c>
      <c r="C128" s="13">
        <v>44999</v>
      </c>
      <c r="D128" s="13" t="s">
        <v>8465</v>
      </c>
      <c r="E128" s="10" t="s">
        <v>1062</v>
      </c>
      <c r="F128" s="10" t="s">
        <v>1245</v>
      </c>
      <c r="G128" s="11" t="s">
        <v>2892</v>
      </c>
      <c r="H128" s="2" t="s">
        <v>149</v>
      </c>
      <c r="L128" s="18">
        <v>1</v>
      </c>
      <c r="M128" s="14" t="s">
        <v>8462</v>
      </c>
      <c r="N128" s="13">
        <v>44473</v>
      </c>
      <c r="O128" s="29">
        <v>54.3</v>
      </c>
      <c r="P128" s="18" t="s">
        <v>14</v>
      </c>
      <c r="Q128" s="18">
        <v>0</v>
      </c>
      <c r="U128" s="22">
        <v>0.86</v>
      </c>
      <c r="V128" s="22">
        <f>3.68/5</f>
        <v>0.73599999999999999</v>
      </c>
      <c r="X128" s="3">
        <v>4</v>
      </c>
      <c r="Z128" s="23">
        <v>45.5</v>
      </c>
      <c r="AB128" s="18">
        <f t="shared" si="2"/>
        <v>2023</v>
      </c>
      <c r="AC128" s="22">
        <f t="shared" si="3"/>
        <v>0.79866666666666664</v>
      </c>
    </row>
    <row r="129" spans="1:29">
      <c r="A129" s="8" t="s">
        <v>14641</v>
      </c>
      <c r="B129" s="17" t="s">
        <v>7800</v>
      </c>
      <c r="C129" s="13">
        <v>44999</v>
      </c>
      <c r="D129" s="13" t="s">
        <v>8465</v>
      </c>
      <c r="E129" s="10" t="s">
        <v>11312</v>
      </c>
      <c r="F129" s="10" t="s">
        <v>14642</v>
      </c>
      <c r="H129" s="2" t="s">
        <v>67</v>
      </c>
      <c r="L129" s="18">
        <v>1</v>
      </c>
      <c r="N129" s="13">
        <v>45051</v>
      </c>
      <c r="O129" s="29">
        <v>0</v>
      </c>
      <c r="P129" s="18" t="s">
        <v>1107</v>
      </c>
      <c r="Q129" s="18">
        <v>0</v>
      </c>
      <c r="W129" s="14" t="s">
        <v>7777</v>
      </c>
      <c r="X129" s="3">
        <v>2</v>
      </c>
      <c r="AB129" s="18">
        <f t="shared" si="2"/>
        <v>2023</v>
      </c>
      <c r="AC129" s="22">
        <f t="shared" si="3"/>
        <v>0.4</v>
      </c>
    </row>
    <row r="130" spans="1:29">
      <c r="A130" s="8" t="s">
        <v>10737</v>
      </c>
      <c r="B130" s="17" t="s">
        <v>7800</v>
      </c>
      <c r="C130" s="13">
        <v>44998</v>
      </c>
      <c r="D130" s="13" t="s">
        <v>8465</v>
      </c>
      <c r="E130" s="10" t="s">
        <v>3072</v>
      </c>
      <c r="F130" s="10" t="s">
        <v>10738</v>
      </c>
      <c r="H130" s="2" t="s">
        <v>1061</v>
      </c>
      <c r="L130" s="18">
        <v>1</v>
      </c>
      <c r="N130" s="13">
        <v>44531</v>
      </c>
      <c r="O130" s="29">
        <v>0</v>
      </c>
      <c r="P130" s="18" t="s">
        <v>1107</v>
      </c>
      <c r="Q130" s="18">
        <v>0</v>
      </c>
      <c r="U130" s="22">
        <v>0.81</v>
      </c>
      <c r="V130" s="22">
        <f>3.79/5</f>
        <v>0.75800000000000001</v>
      </c>
      <c r="W130" s="14" t="s">
        <v>7777</v>
      </c>
      <c r="X130" s="3">
        <v>3</v>
      </c>
      <c r="Z130" s="23">
        <v>38.5</v>
      </c>
      <c r="AB130" s="18">
        <f t="shared" ref="AB130:AB193" si="4">IFERROR(YEAR(C130), "Early Access")</f>
        <v>2023</v>
      </c>
      <c r="AC130" s="22">
        <f t="shared" ref="AC130:AC193" si="5">AVERAGE(T130, U130, V130, IF(ISBLANK(X130), X130, X130/5))</f>
        <v>0.72266666666666668</v>
      </c>
    </row>
    <row r="131" spans="1:29">
      <c r="A131" s="8" t="s">
        <v>12986</v>
      </c>
      <c r="B131" s="17" t="s">
        <v>7744</v>
      </c>
      <c r="C131" s="13">
        <v>44995</v>
      </c>
      <c r="D131" s="13" t="s">
        <v>8465</v>
      </c>
      <c r="E131" s="10" t="s">
        <v>13710</v>
      </c>
      <c r="F131" s="10" t="s">
        <v>13711</v>
      </c>
      <c r="H131" s="2" t="s">
        <v>149</v>
      </c>
      <c r="L131" s="18">
        <v>1</v>
      </c>
      <c r="M131" s="14" t="s">
        <v>8462</v>
      </c>
      <c r="N131" s="13">
        <v>44896</v>
      </c>
      <c r="O131" s="29">
        <v>43.44</v>
      </c>
      <c r="P131" s="18" t="s">
        <v>14</v>
      </c>
      <c r="Q131" s="18">
        <v>0</v>
      </c>
      <c r="U131" s="22">
        <v>0.6</v>
      </c>
      <c r="V131" s="22">
        <f>2.17/5</f>
        <v>0.434</v>
      </c>
      <c r="X131" s="3">
        <v>2</v>
      </c>
      <c r="Z131" s="23">
        <v>26</v>
      </c>
      <c r="AB131" s="18">
        <f t="shared" si="4"/>
        <v>2023</v>
      </c>
      <c r="AC131" s="22">
        <f t="shared" si="5"/>
        <v>0.47800000000000004</v>
      </c>
    </row>
    <row r="132" spans="1:29">
      <c r="A132" s="8" t="s">
        <v>13099</v>
      </c>
      <c r="B132" s="17" t="s">
        <v>7744</v>
      </c>
      <c r="C132" s="13">
        <v>44994</v>
      </c>
      <c r="D132" s="13" t="s">
        <v>8465</v>
      </c>
      <c r="E132" s="10" t="s">
        <v>1519</v>
      </c>
      <c r="F132" s="10" t="s">
        <v>3861</v>
      </c>
      <c r="G132" s="11" t="s">
        <v>3114</v>
      </c>
      <c r="H132" s="2" t="s">
        <v>75</v>
      </c>
      <c r="L132" s="18">
        <v>1</v>
      </c>
      <c r="M132" s="14" t="s">
        <v>8462</v>
      </c>
      <c r="N132" s="13">
        <v>44922</v>
      </c>
      <c r="O132" s="29">
        <v>43.44</v>
      </c>
      <c r="P132" s="18" t="s">
        <v>14</v>
      </c>
      <c r="Q132" s="18">
        <v>0</v>
      </c>
      <c r="V132" s="22">
        <f>4.5/5</f>
        <v>0.9</v>
      </c>
      <c r="X132" s="3">
        <v>3</v>
      </c>
      <c r="Z132" s="23">
        <v>75.5</v>
      </c>
      <c r="AB132" s="18">
        <f t="shared" si="4"/>
        <v>2023</v>
      </c>
      <c r="AC132" s="22">
        <f t="shared" si="5"/>
        <v>0.75</v>
      </c>
    </row>
    <row r="133" spans="1:29">
      <c r="A133" s="8" t="s">
        <v>14004</v>
      </c>
      <c r="B133" s="17" t="s">
        <v>7800</v>
      </c>
      <c r="C133" s="13">
        <v>44994</v>
      </c>
      <c r="D133" s="13" t="s">
        <v>8465</v>
      </c>
      <c r="E133" s="10" t="s">
        <v>14005</v>
      </c>
      <c r="F133" s="10" t="s">
        <v>14005</v>
      </c>
      <c r="H133" s="2" t="s">
        <v>1518</v>
      </c>
      <c r="L133" s="18">
        <v>1</v>
      </c>
      <c r="N133" s="13">
        <v>45016</v>
      </c>
      <c r="O133" s="29">
        <v>0</v>
      </c>
      <c r="P133" s="18" t="s">
        <v>1107</v>
      </c>
      <c r="Q133" s="18">
        <v>0</v>
      </c>
      <c r="V133" s="22">
        <f>3.25/5</f>
        <v>0.65</v>
      </c>
      <c r="W133" s="14" t="s">
        <v>7777</v>
      </c>
      <c r="X133" s="3">
        <v>3</v>
      </c>
      <c r="Z133" s="23">
        <v>5.5</v>
      </c>
      <c r="AB133" s="18">
        <f t="shared" si="4"/>
        <v>2023</v>
      </c>
      <c r="AC133" s="22">
        <f t="shared" si="5"/>
        <v>0.625</v>
      </c>
    </row>
    <row r="134" spans="1:29" ht="25.5">
      <c r="A134" s="8" t="s">
        <v>15812</v>
      </c>
      <c r="B134" s="17" t="s">
        <v>7760</v>
      </c>
      <c r="C134" s="13">
        <v>44994</v>
      </c>
      <c r="D134" s="13" t="s">
        <v>8465</v>
      </c>
      <c r="E134" s="10" t="s">
        <v>9552</v>
      </c>
      <c r="F134" s="10" t="s">
        <v>3094</v>
      </c>
      <c r="G134" s="11" t="s">
        <v>5626</v>
      </c>
      <c r="H134" s="2" t="s">
        <v>80</v>
      </c>
      <c r="L134" s="18">
        <v>1</v>
      </c>
      <c r="M134" s="14" t="s">
        <v>8462</v>
      </c>
      <c r="N134" s="13">
        <v>45178</v>
      </c>
      <c r="O134" s="29">
        <v>10.85</v>
      </c>
      <c r="P134" s="18" t="s">
        <v>14</v>
      </c>
      <c r="Q134" s="18">
        <v>0</v>
      </c>
      <c r="W134" s="14" t="s">
        <v>15813</v>
      </c>
      <c r="X134" s="3">
        <v>3</v>
      </c>
      <c r="Z134" s="23">
        <v>14</v>
      </c>
      <c r="AB134" s="18">
        <f t="shared" si="4"/>
        <v>2023</v>
      </c>
      <c r="AC134" s="22">
        <f t="shared" si="5"/>
        <v>0.6</v>
      </c>
    </row>
    <row r="135" spans="1:29" ht="25.5">
      <c r="A135" s="8" t="s">
        <v>13720</v>
      </c>
      <c r="B135" s="17" t="s">
        <v>7744</v>
      </c>
      <c r="C135" s="13">
        <v>44994</v>
      </c>
      <c r="D135" s="13" t="s">
        <v>9335</v>
      </c>
      <c r="E135" s="10" t="s">
        <v>11735</v>
      </c>
      <c r="F135" s="10" t="s">
        <v>11735</v>
      </c>
      <c r="G135" s="11" t="s">
        <v>1550</v>
      </c>
      <c r="H135" s="2" t="s">
        <v>1061</v>
      </c>
      <c r="K135" s="18">
        <v>2</v>
      </c>
      <c r="L135" s="18">
        <v>1</v>
      </c>
      <c r="M135" s="14" t="s">
        <v>8462</v>
      </c>
      <c r="N135" s="13">
        <v>44999</v>
      </c>
      <c r="O135" s="29">
        <v>49.99</v>
      </c>
      <c r="P135" s="18" t="s">
        <v>14</v>
      </c>
      <c r="Q135" s="18">
        <v>0</v>
      </c>
      <c r="U135" s="22">
        <v>0.86</v>
      </c>
      <c r="V135" s="22">
        <f>4.38/5</f>
        <v>0.876</v>
      </c>
      <c r="X135" s="3">
        <v>4</v>
      </c>
      <c r="Z135" s="23">
        <f>12.5</f>
        <v>12.5</v>
      </c>
      <c r="AB135" s="18">
        <f t="shared" si="4"/>
        <v>2023</v>
      </c>
      <c r="AC135" s="22">
        <f t="shared" si="5"/>
        <v>0.84533333333333338</v>
      </c>
    </row>
    <row r="136" spans="1:29" ht="30">
      <c r="A136" s="8" t="s">
        <v>12968</v>
      </c>
      <c r="B136" s="17" t="s">
        <v>7744</v>
      </c>
      <c r="C136" s="13">
        <v>44992</v>
      </c>
      <c r="D136" s="13" t="s">
        <v>8465</v>
      </c>
      <c r="E136" s="10" t="s">
        <v>1680</v>
      </c>
      <c r="F136" s="10" t="s">
        <v>13690</v>
      </c>
      <c r="H136" s="2" t="s">
        <v>171</v>
      </c>
      <c r="L136" s="18">
        <v>1</v>
      </c>
      <c r="M136" s="14" t="s">
        <v>8462</v>
      </c>
      <c r="N136" s="13">
        <v>44876</v>
      </c>
      <c r="O136" s="29">
        <v>54.3</v>
      </c>
      <c r="P136" s="18" t="s">
        <v>14</v>
      </c>
      <c r="Q136" s="18">
        <v>0</v>
      </c>
      <c r="U136" s="22">
        <v>0.76</v>
      </c>
      <c r="V136" s="22">
        <f>4.1/5</f>
        <v>0.82</v>
      </c>
      <c r="X136" s="3">
        <v>3</v>
      </c>
      <c r="Z136" s="23">
        <v>5.5</v>
      </c>
      <c r="AB136" s="18">
        <f t="shared" si="4"/>
        <v>2023</v>
      </c>
      <c r="AC136" s="22">
        <f t="shared" si="5"/>
        <v>0.72666666666666668</v>
      </c>
    </row>
    <row r="137" spans="1:29">
      <c r="A137" s="8" t="s">
        <v>14772</v>
      </c>
      <c r="B137" s="17" t="s">
        <v>7800</v>
      </c>
      <c r="C137" s="13">
        <v>44987</v>
      </c>
      <c r="D137" s="13" t="s">
        <v>8465</v>
      </c>
      <c r="E137" s="10" t="s">
        <v>10742</v>
      </c>
      <c r="F137" s="10" t="s">
        <v>14773</v>
      </c>
      <c r="H137" s="2" t="s">
        <v>1518</v>
      </c>
      <c r="L137" s="18">
        <v>1</v>
      </c>
      <c r="N137" s="13">
        <v>45062</v>
      </c>
      <c r="O137" s="29">
        <v>0</v>
      </c>
      <c r="P137" s="18" t="s">
        <v>1107</v>
      </c>
      <c r="Q137" s="18">
        <v>0</v>
      </c>
      <c r="U137" s="22">
        <v>0.8</v>
      </c>
      <c r="V137" s="22">
        <f>3.88/5</f>
        <v>0.77600000000000002</v>
      </c>
      <c r="W137" s="14" t="s">
        <v>7777</v>
      </c>
      <c r="X137" s="3">
        <v>3</v>
      </c>
      <c r="Z137" s="23">
        <v>9</v>
      </c>
      <c r="AB137" s="18">
        <f t="shared" si="4"/>
        <v>2023</v>
      </c>
      <c r="AC137" s="22">
        <f t="shared" si="5"/>
        <v>0.72533333333333339</v>
      </c>
    </row>
    <row r="138" spans="1:29" ht="25.5">
      <c r="A138" s="8" t="s">
        <v>13657</v>
      </c>
      <c r="B138" s="17" t="s">
        <v>7744</v>
      </c>
      <c r="C138" s="13">
        <v>44985</v>
      </c>
      <c r="D138" s="13" t="s">
        <v>8465</v>
      </c>
      <c r="E138" s="10" t="s">
        <v>1062</v>
      </c>
      <c r="F138" s="10" t="s">
        <v>2285</v>
      </c>
      <c r="G138" s="11" t="s">
        <v>13391</v>
      </c>
      <c r="H138" s="2" t="s">
        <v>1518</v>
      </c>
      <c r="L138" s="18">
        <v>1</v>
      </c>
      <c r="M138" s="14" t="s">
        <v>8462</v>
      </c>
      <c r="N138" s="13">
        <v>44907</v>
      </c>
      <c r="O138" s="29">
        <v>49.99</v>
      </c>
      <c r="P138" s="18" t="s">
        <v>14</v>
      </c>
      <c r="Q138" s="18">
        <v>0</v>
      </c>
      <c r="U138" s="22">
        <v>0.78</v>
      </c>
      <c r="V138" s="22">
        <f>4/5</f>
        <v>0.8</v>
      </c>
      <c r="W138" s="14" t="s">
        <v>10168</v>
      </c>
      <c r="X138" s="3">
        <v>2</v>
      </c>
      <c r="Z138" s="23">
        <v>13.5</v>
      </c>
      <c r="AB138" s="18">
        <f t="shared" si="4"/>
        <v>2023</v>
      </c>
      <c r="AC138" s="22">
        <f t="shared" si="5"/>
        <v>0.66</v>
      </c>
    </row>
    <row r="139" spans="1:29">
      <c r="A139" s="8" t="s">
        <v>15069</v>
      </c>
      <c r="B139" s="17" t="s">
        <v>9431</v>
      </c>
      <c r="C139" s="13">
        <v>44985</v>
      </c>
      <c r="D139" s="13" t="s">
        <v>8465</v>
      </c>
      <c r="E139" s="10" t="s">
        <v>13022</v>
      </c>
      <c r="F139" s="10" t="s">
        <v>7886</v>
      </c>
      <c r="H139" s="2" t="s">
        <v>80</v>
      </c>
      <c r="L139" s="18">
        <v>1</v>
      </c>
      <c r="M139" s="14" t="s">
        <v>8462</v>
      </c>
      <c r="N139" s="13">
        <v>45088</v>
      </c>
      <c r="O139" s="29">
        <v>21.71</v>
      </c>
      <c r="P139" s="18" t="s">
        <v>14</v>
      </c>
      <c r="Q139" s="18">
        <v>0</v>
      </c>
      <c r="U139" s="22">
        <v>0.64</v>
      </c>
      <c r="V139" s="22">
        <f>3.88/5</f>
        <v>0.77600000000000002</v>
      </c>
      <c r="X139" s="3">
        <v>2</v>
      </c>
      <c r="Z139" s="23">
        <v>6.5</v>
      </c>
      <c r="AB139" s="18">
        <f t="shared" si="4"/>
        <v>2023</v>
      </c>
      <c r="AC139" s="22">
        <f t="shared" si="5"/>
        <v>0.60533333333333328</v>
      </c>
    </row>
    <row r="140" spans="1:29">
      <c r="A140" s="8" t="s">
        <v>15349</v>
      </c>
      <c r="B140" s="17" t="s">
        <v>7744</v>
      </c>
      <c r="C140" s="13">
        <v>44981</v>
      </c>
      <c r="D140" s="13" t="s">
        <v>8465</v>
      </c>
      <c r="E140" s="10" t="s">
        <v>15350</v>
      </c>
      <c r="F140" s="10" t="s">
        <v>15351</v>
      </c>
      <c r="H140" s="2" t="s">
        <v>1040</v>
      </c>
      <c r="L140" s="18">
        <v>1</v>
      </c>
      <c r="M140" s="14" t="s">
        <v>8462</v>
      </c>
      <c r="N140" s="13">
        <v>45105</v>
      </c>
      <c r="O140" s="29">
        <v>24.69</v>
      </c>
      <c r="P140" s="18" t="s">
        <v>14</v>
      </c>
      <c r="Q140" s="18">
        <v>0</v>
      </c>
      <c r="U140" s="22">
        <v>0.5</v>
      </c>
      <c r="V140" s="22">
        <f>3.05/5</f>
        <v>0.61</v>
      </c>
      <c r="X140" s="3">
        <v>4</v>
      </c>
      <c r="Z140" s="23">
        <v>7</v>
      </c>
      <c r="AB140" s="18">
        <f t="shared" si="4"/>
        <v>2023</v>
      </c>
      <c r="AC140" s="22">
        <f t="shared" si="5"/>
        <v>0.6366666666666666</v>
      </c>
    </row>
    <row r="141" spans="1:29" ht="25.5">
      <c r="A141" s="8" t="s">
        <v>13726</v>
      </c>
      <c r="B141" s="17" t="s">
        <v>7744</v>
      </c>
      <c r="C141" s="13">
        <v>44980</v>
      </c>
      <c r="D141" s="13" t="s">
        <v>8465</v>
      </c>
      <c r="E141" s="10" t="s">
        <v>1070</v>
      </c>
      <c r="F141" s="10" t="s">
        <v>1070</v>
      </c>
      <c r="G141" s="11" t="s">
        <v>9294</v>
      </c>
      <c r="H141" s="2" t="s">
        <v>151</v>
      </c>
      <c r="L141" s="18">
        <v>1</v>
      </c>
      <c r="M141" s="14" t="s">
        <v>8462</v>
      </c>
      <c r="N141" s="13">
        <v>44966</v>
      </c>
      <c r="O141" s="29">
        <v>43.44</v>
      </c>
      <c r="P141" s="18" t="s">
        <v>14</v>
      </c>
      <c r="Q141" s="18">
        <v>0</v>
      </c>
      <c r="U141" s="22">
        <v>0.76</v>
      </c>
      <c r="V141" s="22">
        <f>3.88/5</f>
        <v>0.77600000000000002</v>
      </c>
      <c r="X141" s="3">
        <v>4</v>
      </c>
      <c r="Z141" s="23">
        <v>5.5</v>
      </c>
      <c r="AB141" s="18">
        <f t="shared" si="4"/>
        <v>2023</v>
      </c>
      <c r="AC141" s="22">
        <f t="shared" si="5"/>
        <v>0.77866666666666673</v>
      </c>
    </row>
    <row r="142" spans="1:29" ht="25.5">
      <c r="A142" s="8" t="s">
        <v>13098</v>
      </c>
      <c r="B142" s="17" t="s">
        <v>7744</v>
      </c>
      <c r="C142" s="13">
        <v>44979</v>
      </c>
      <c r="D142" s="13" t="s">
        <v>8465</v>
      </c>
      <c r="E142" s="10" t="s">
        <v>3568</v>
      </c>
      <c r="F142" s="10" t="s">
        <v>12203</v>
      </c>
      <c r="G142" s="11" t="s">
        <v>8877</v>
      </c>
      <c r="H142" s="2" t="s">
        <v>149</v>
      </c>
      <c r="L142" s="18">
        <v>1</v>
      </c>
      <c r="M142" s="14" t="s">
        <v>8462</v>
      </c>
      <c r="N142" s="13">
        <v>44916</v>
      </c>
      <c r="O142" s="29">
        <v>65.16</v>
      </c>
      <c r="P142" s="18" t="s">
        <v>14</v>
      </c>
      <c r="Q142" s="18">
        <v>0</v>
      </c>
      <c r="U142" s="22">
        <v>0.62</v>
      </c>
      <c r="V142" s="22">
        <f>3.83/5</f>
        <v>0.76600000000000001</v>
      </c>
      <c r="X142" s="3">
        <v>2</v>
      </c>
      <c r="Z142" s="23">
        <v>47.5</v>
      </c>
      <c r="AB142" s="18">
        <f t="shared" si="4"/>
        <v>2023</v>
      </c>
      <c r="AC142" s="22">
        <f t="shared" si="5"/>
        <v>0.59533333333333338</v>
      </c>
    </row>
    <row r="143" spans="1:29">
      <c r="A143" s="8" t="s">
        <v>13590</v>
      </c>
      <c r="B143" s="17" t="s">
        <v>9431</v>
      </c>
      <c r="C143" s="13">
        <v>44978</v>
      </c>
      <c r="D143" s="13" t="s">
        <v>8465</v>
      </c>
      <c r="E143" s="10" t="s">
        <v>455</v>
      </c>
      <c r="F143" s="10" t="s">
        <v>6137</v>
      </c>
      <c r="G143" s="11" t="s">
        <v>5600</v>
      </c>
      <c r="H143" s="2" t="s">
        <v>80</v>
      </c>
      <c r="L143" s="18">
        <v>1</v>
      </c>
      <c r="M143" s="14" t="s">
        <v>8462</v>
      </c>
      <c r="N143" s="13">
        <v>44819</v>
      </c>
      <c r="O143" s="29">
        <v>65.16</v>
      </c>
      <c r="P143" s="18" t="s">
        <v>14</v>
      </c>
      <c r="Q143" s="18">
        <v>0</v>
      </c>
      <c r="U143" s="22">
        <v>0.81</v>
      </c>
      <c r="V143" s="22">
        <f>4.11/5</f>
        <v>0.82200000000000006</v>
      </c>
      <c r="X143" s="3">
        <v>4</v>
      </c>
      <c r="Z143" s="23">
        <v>23</v>
      </c>
      <c r="AB143" s="18">
        <f t="shared" si="4"/>
        <v>2023</v>
      </c>
      <c r="AC143" s="22">
        <f t="shared" si="5"/>
        <v>0.81066666666666676</v>
      </c>
    </row>
    <row r="144" spans="1:29">
      <c r="A144" s="8" t="s">
        <v>14761</v>
      </c>
      <c r="B144" s="17" t="s">
        <v>9440</v>
      </c>
      <c r="C144" s="13">
        <v>44974</v>
      </c>
      <c r="D144" s="13" t="s">
        <v>8465</v>
      </c>
      <c r="E144" s="10" t="s">
        <v>231</v>
      </c>
      <c r="F144" s="10" t="s">
        <v>1471</v>
      </c>
      <c r="H144" s="2" t="s">
        <v>171</v>
      </c>
      <c r="L144" s="18">
        <v>1</v>
      </c>
      <c r="M144" s="14" t="s">
        <v>8462</v>
      </c>
      <c r="N144" s="13">
        <v>45056</v>
      </c>
      <c r="O144" s="29">
        <v>32.58</v>
      </c>
      <c r="P144" s="18" t="s">
        <v>14</v>
      </c>
      <c r="Q144" s="18">
        <v>0</v>
      </c>
      <c r="U144" s="22">
        <v>0.76</v>
      </c>
      <c r="V144" s="22">
        <f>4/5</f>
        <v>0.8</v>
      </c>
      <c r="X144" s="3">
        <v>3</v>
      </c>
      <c r="Z144" s="23">
        <v>41.5</v>
      </c>
      <c r="AB144" s="18">
        <f t="shared" si="4"/>
        <v>2023</v>
      </c>
      <c r="AC144" s="22">
        <f t="shared" si="5"/>
        <v>0.72000000000000008</v>
      </c>
    </row>
    <row r="145" spans="1:29" ht="30">
      <c r="A145" s="8" t="s">
        <v>12501</v>
      </c>
      <c r="B145" s="17" t="s">
        <v>7744</v>
      </c>
      <c r="C145" s="13">
        <v>44974</v>
      </c>
      <c r="D145" s="13" t="s">
        <v>8465</v>
      </c>
      <c r="E145" s="10" t="s">
        <v>1604</v>
      </c>
      <c r="F145" s="10" t="s">
        <v>1500</v>
      </c>
      <c r="G145" s="11" t="s">
        <v>1422</v>
      </c>
      <c r="H145" s="2" t="s">
        <v>171</v>
      </c>
      <c r="L145" s="18">
        <v>1</v>
      </c>
      <c r="M145" s="14" t="s">
        <v>8462</v>
      </c>
      <c r="N145" s="13">
        <v>44817</v>
      </c>
      <c r="O145" s="29">
        <v>39.99</v>
      </c>
      <c r="P145" s="18" t="s">
        <v>14</v>
      </c>
      <c r="Q145" s="18">
        <v>0</v>
      </c>
      <c r="U145" s="22">
        <v>0.68</v>
      </c>
      <c r="V145" s="22">
        <f>3.59/5</f>
        <v>0.71799999999999997</v>
      </c>
      <c r="X145" s="3">
        <v>3</v>
      </c>
      <c r="Z145" s="23">
        <v>47.5</v>
      </c>
      <c r="AB145" s="18">
        <f t="shared" si="4"/>
        <v>2023</v>
      </c>
      <c r="AC145" s="22">
        <f t="shared" si="5"/>
        <v>0.66600000000000004</v>
      </c>
    </row>
    <row r="146" spans="1:29" ht="25.5">
      <c r="A146" s="8" t="s">
        <v>12503</v>
      </c>
      <c r="B146" s="17" t="s">
        <v>7744</v>
      </c>
      <c r="C146" s="13">
        <v>44973</v>
      </c>
      <c r="D146" s="13" t="s">
        <v>8465</v>
      </c>
      <c r="E146" s="10" t="s">
        <v>1082</v>
      </c>
      <c r="F146" s="10" t="s">
        <v>1165</v>
      </c>
      <c r="G146" s="11" t="s">
        <v>126</v>
      </c>
      <c r="H146" s="2" t="s">
        <v>1220</v>
      </c>
      <c r="L146" s="18">
        <v>1</v>
      </c>
      <c r="M146" s="14" t="s">
        <v>8462</v>
      </c>
      <c r="N146" s="13">
        <v>44817</v>
      </c>
      <c r="O146" s="29">
        <v>54.3</v>
      </c>
      <c r="P146" s="18" t="s">
        <v>14</v>
      </c>
      <c r="Q146" s="18">
        <v>0</v>
      </c>
      <c r="U146" s="22">
        <v>0.87</v>
      </c>
      <c r="V146" s="22">
        <f>4.26/5</f>
        <v>0.85199999999999998</v>
      </c>
      <c r="X146" s="3">
        <v>3</v>
      </c>
      <c r="Z146" s="23">
        <v>11.5</v>
      </c>
      <c r="AB146" s="18">
        <f t="shared" si="4"/>
        <v>2023</v>
      </c>
      <c r="AC146" s="22">
        <f t="shared" si="5"/>
        <v>0.77400000000000002</v>
      </c>
    </row>
    <row r="147" spans="1:29">
      <c r="A147" s="8" t="s">
        <v>15209</v>
      </c>
      <c r="B147" s="17" t="s">
        <v>7800</v>
      </c>
      <c r="C147" s="13">
        <v>44973</v>
      </c>
      <c r="D147" s="13" t="s">
        <v>8465</v>
      </c>
      <c r="E147" s="10" t="s">
        <v>7039</v>
      </c>
      <c r="F147" s="10" t="s">
        <v>15210</v>
      </c>
      <c r="H147" s="2" t="s">
        <v>151</v>
      </c>
      <c r="L147" s="18">
        <v>1</v>
      </c>
      <c r="N147" s="13">
        <v>45097</v>
      </c>
      <c r="O147" s="29">
        <v>14.99</v>
      </c>
      <c r="P147" s="18" t="s">
        <v>1107</v>
      </c>
      <c r="Q147" s="18">
        <v>0</v>
      </c>
      <c r="U147" s="22">
        <v>0.7</v>
      </c>
      <c r="V147" s="22">
        <f>3.4/5</f>
        <v>0.67999999999999994</v>
      </c>
      <c r="W147" s="14" t="s">
        <v>7777</v>
      </c>
      <c r="X147" s="3">
        <v>3</v>
      </c>
      <c r="Z147" s="23">
        <v>5</v>
      </c>
      <c r="AB147" s="18">
        <f t="shared" si="4"/>
        <v>2023</v>
      </c>
      <c r="AC147" s="22">
        <f t="shared" si="5"/>
        <v>0.66</v>
      </c>
    </row>
    <row r="148" spans="1:29" ht="25.5">
      <c r="A148" s="8" t="s">
        <v>15839</v>
      </c>
      <c r="B148" s="17" t="s">
        <v>7800</v>
      </c>
      <c r="C148" s="13">
        <v>44973</v>
      </c>
      <c r="D148" s="13" t="s">
        <v>8465</v>
      </c>
      <c r="E148" s="10" t="s">
        <v>15840</v>
      </c>
      <c r="F148" s="10" t="s">
        <v>15841</v>
      </c>
      <c r="H148" s="2" t="s">
        <v>67</v>
      </c>
      <c r="L148" s="18">
        <v>1</v>
      </c>
      <c r="N148" s="13">
        <v>45185</v>
      </c>
      <c r="O148" s="29">
        <v>0</v>
      </c>
      <c r="P148" s="18" t="s">
        <v>1107</v>
      </c>
      <c r="Q148" s="18">
        <v>0</v>
      </c>
      <c r="W148" s="14" t="s">
        <v>7777</v>
      </c>
      <c r="X148" s="3">
        <v>2</v>
      </c>
      <c r="Z148" s="23">
        <v>5.5</v>
      </c>
      <c r="AB148" s="18">
        <f t="shared" si="4"/>
        <v>2023</v>
      </c>
      <c r="AC148" s="22">
        <f t="shared" si="5"/>
        <v>0.4</v>
      </c>
    </row>
    <row r="149" spans="1:29" ht="30">
      <c r="A149" s="8" t="s">
        <v>12071</v>
      </c>
      <c r="B149" s="17" t="s">
        <v>7744</v>
      </c>
      <c r="C149" s="13">
        <v>44971</v>
      </c>
      <c r="D149" s="13" t="s">
        <v>8465</v>
      </c>
      <c r="E149" s="10" t="s">
        <v>1062</v>
      </c>
      <c r="F149" s="10" t="s">
        <v>2285</v>
      </c>
      <c r="G149" s="11" t="s">
        <v>10394</v>
      </c>
      <c r="H149" s="2" t="s">
        <v>1377</v>
      </c>
      <c r="L149" s="18">
        <v>1</v>
      </c>
      <c r="M149" s="14" t="s">
        <v>8462</v>
      </c>
      <c r="N149" s="13">
        <v>44734</v>
      </c>
      <c r="O149" s="29">
        <v>54.3</v>
      </c>
      <c r="P149" s="18" t="s">
        <v>14</v>
      </c>
      <c r="Q149" s="18">
        <v>0</v>
      </c>
      <c r="U149" s="22">
        <v>0.84</v>
      </c>
      <c r="V149" s="22">
        <f>4.08/5</f>
        <v>0.81600000000000006</v>
      </c>
      <c r="X149" s="3">
        <v>3</v>
      </c>
      <c r="Z149" s="23">
        <v>75.5</v>
      </c>
      <c r="AB149" s="18">
        <f t="shared" si="4"/>
        <v>2023</v>
      </c>
      <c r="AC149" s="22">
        <f t="shared" si="5"/>
        <v>0.75200000000000011</v>
      </c>
    </row>
    <row r="150" spans="1:29">
      <c r="A150" s="8" t="s">
        <v>14799</v>
      </c>
      <c r="B150" s="17" t="s">
        <v>7800</v>
      </c>
      <c r="C150" s="13">
        <v>44971</v>
      </c>
      <c r="D150" s="13" t="s">
        <v>8465</v>
      </c>
      <c r="E150" s="10" t="s">
        <v>12085</v>
      </c>
      <c r="F150" s="10" t="s">
        <v>14800</v>
      </c>
      <c r="H150" s="2" t="s">
        <v>67</v>
      </c>
      <c r="L150" s="18">
        <v>1</v>
      </c>
      <c r="N150" s="13">
        <v>45065</v>
      </c>
      <c r="O150" s="29">
        <v>0</v>
      </c>
      <c r="P150" s="18" t="s">
        <v>1107</v>
      </c>
      <c r="Q150" s="18">
        <v>0</v>
      </c>
      <c r="W150" s="14" t="s">
        <v>7777</v>
      </c>
      <c r="X150" s="3">
        <v>3</v>
      </c>
      <c r="Z150" s="23">
        <v>1</v>
      </c>
      <c r="AB150" s="18">
        <f t="shared" si="4"/>
        <v>2023</v>
      </c>
      <c r="AC150" s="22">
        <f t="shared" si="5"/>
        <v>0.6</v>
      </c>
    </row>
    <row r="151" spans="1:29">
      <c r="A151" s="8" t="s">
        <v>14739</v>
      </c>
      <c r="B151" s="17" t="s">
        <v>9431</v>
      </c>
      <c r="C151" s="13">
        <v>44971</v>
      </c>
      <c r="D151" s="13" t="s">
        <v>8465</v>
      </c>
      <c r="E151" s="10" t="s">
        <v>13050</v>
      </c>
      <c r="F151" s="10" t="s">
        <v>11616</v>
      </c>
      <c r="H151" s="2" t="s">
        <v>80</v>
      </c>
      <c r="L151" s="18">
        <v>1</v>
      </c>
      <c r="M151" s="14" t="s">
        <v>8462</v>
      </c>
      <c r="N151" s="13">
        <v>45048</v>
      </c>
      <c r="O151" s="29">
        <v>27.15</v>
      </c>
      <c r="P151" s="18" t="s">
        <v>14</v>
      </c>
      <c r="Q151" s="18">
        <v>0</v>
      </c>
      <c r="U151" s="22">
        <v>0.56999999999999995</v>
      </c>
      <c r="V151" s="22">
        <f>1.75/5</f>
        <v>0.35</v>
      </c>
      <c r="X151" s="3">
        <v>3</v>
      </c>
      <c r="Z151" s="23">
        <v>8</v>
      </c>
      <c r="AB151" s="18">
        <f t="shared" si="4"/>
        <v>2023</v>
      </c>
      <c r="AC151" s="22">
        <f t="shared" si="5"/>
        <v>0.50666666666666671</v>
      </c>
    </row>
    <row r="152" spans="1:29" ht="25.5">
      <c r="A152" s="8" t="s">
        <v>15296</v>
      </c>
      <c r="B152" s="17" t="s">
        <v>7800</v>
      </c>
      <c r="C152" s="13">
        <v>44971</v>
      </c>
      <c r="D152" s="13" t="s">
        <v>8465</v>
      </c>
      <c r="E152" s="10" t="s">
        <v>15297</v>
      </c>
      <c r="F152" s="10" t="s">
        <v>15297</v>
      </c>
      <c r="H152" s="2" t="s">
        <v>56</v>
      </c>
      <c r="L152" s="18">
        <v>1</v>
      </c>
      <c r="N152" s="13">
        <v>45106</v>
      </c>
      <c r="O152" s="29">
        <v>0.39</v>
      </c>
      <c r="P152" s="18" t="s">
        <v>1107</v>
      </c>
      <c r="Q152" s="18">
        <v>0</v>
      </c>
      <c r="W152" s="14" t="s">
        <v>7777</v>
      </c>
      <c r="X152" s="3">
        <v>2</v>
      </c>
      <c r="AB152" s="18">
        <f t="shared" si="4"/>
        <v>2023</v>
      </c>
      <c r="AC152" s="22">
        <f t="shared" si="5"/>
        <v>0.4</v>
      </c>
    </row>
    <row r="153" spans="1:29" ht="25.5">
      <c r="A153" s="8" t="s">
        <v>13435</v>
      </c>
      <c r="B153" s="17" t="s">
        <v>7800</v>
      </c>
      <c r="C153" s="13">
        <v>44963</v>
      </c>
      <c r="D153" s="13" t="s">
        <v>8465</v>
      </c>
      <c r="E153" s="10" t="s">
        <v>13436</v>
      </c>
      <c r="F153" s="10" t="s">
        <v>13436</v>
      </c>
      <c r="H153" s="2" t="s">
        <v>149</v>
      </c>
      <c r="L153" s="18">
        <v>1</v>
      </c>
      <c r="N153" s="13">
        <v>44964</v>
      </c>
      <c r="O153" s="29">
        <v>0</v>
      </c>
      <c r="P153" s="18" t="s">
        <v>1107</v>
      </c>
      <c r="Q153" s="18">
        <v>0</v>
      </c>
      <c r="W153" s="14" t="s">
        <v>7777</v>
      </c>
      <c r="X153" s="3">
        <v>2</v>
      </c>
      <c r="AB153" s="18">
        <f t="shared" si="4"/>
        <v>2023</v>
      </c>
      <c r="AC153" s="22">
        <f t="shared" si="5"/>
        <v>0.4</v>
      </c>
    </row>
    <row r="154" spans="1:29">
      <c r="A154" s="8" t="s">
        <v>13432</v>
      </c>
      <c r="B154" s="17" t="s">
        <v>7800</v>
      </c>
      <c r="C154" s="13">
        <v>44961</v>
      </c>
      <c r="D154" s="13" t="s">
        <v>8465</v>
      </c>
      <c r="E154" s="10" t="s">
        <v>13433</v>
      </c>
      <c r="F154" s="10" t="s">
        <v>13434</v>
      </c>
      <c r="H154" s="2" t="s">
        <v>1057</v>
      </c>
      <c r="L154" s="18">
        <v>1</v>
      </c>
      <c r="N154" s="13">
        <v>44964</v>
      </c>
      <c r="O154" s="29">
        <v>0</v>
      </c>
      <c r="P154" s="18" t="s">
        <v>1107</v>
      </c>
      <c r="Q154" s="18">
        <v>0</v>
      </c>
      <c r="W154" s="14" t="s">
        <v>7777</v>
      </c>
      <c r="X154" s="3">
        <v>2</v>
      </c>
      <c r="AB154" s="18">
        <f t="shared" si="4"/>
        <v>2023</v>
      </c>
      <c r="AC154" s="22">
        <f t="shared" si="5"/>
        <v>0.4</v>
      </c>
    </row>
    <row r="155" spans="1:29">
      <c r="A155" s="8" t="s">
        <v>13430</v>
      </c>
      <c r="B155" s="17" t="s">
        <v>7800</v>
      </c>
      <c r="C155" s="13">
        <v>44957</v>
      </c>
      <c r="D155" s="13" t="s">
        <v>8465</v>
      </c>
      <c r="E155" s="10" t="s">
        <v>13431</v>
      </c>
      <c r="F155" s="10" t="s">
        <v>13431</v>
      </c>
      <c r="H155" s="2" t="s">
        <v>1220</v>
      </c>
      <c r="L155" s="18">
        <v>1</v>
      </c>
      <c r="N155" s="13">
        <v>44964</v>
      </c>
      <c r="O155" s="29">
        <v>0</v>
      </c>
      <c r="P155" s="18" t="s">
        <v>1107</v>
      </c>
      <c r="Q155" s="18">
        <v>0</v>
      </c>
      <c r="W155" s="14" t="s">
        <v>7777</v>
      </c>
      <c r="X155" s="3">
        <v>2</v>
      </c>
      <c r="AB155" s="18">
        <f t="shared" si="4"/>
        <v>2023</v>
      </c>
      <c r="AC155" s="22">
        <f t="shared" si="5"/>
        <v>0.4</v>
      </c>
    </row>
    <row r="156" spans="1:29">
      <c r="A156" s="8" t="s">
        <v>15544</v>
      </c>
      <c r="B156" s="17" t="s">
        <v>7800</v>
      </c>
      <c r="C156" s="13">
        <v>44956</v>
      </c>
      <c r="D156" s="13" t="s">
        <v>8465</v>
      </c>
      <c r="E156" s="10" t="s">
        <v>10384</v>
      </c>
      <c r="F156" s="10" t="s">
        <v>15545</v>
      </c>
      <c r="H156" s="2" t="s">
        <v>67</v>
      </c>
      <c r="L156" s="18">
        <v>1</v>
      </c>
      <c r="N156" s="13">
        <v>45159</v>
      </c>
      <c r="O156" s="29">
        <v>2.2000000000000002</v>
      </c>
      <c r="P156" s="18" t="s">
        <v>1107</v>
      </c>
      <c r="Q156" s="18">
        <v>0</v>
      </c>
      <c r="U156" s="22">
        <v>0.83</v>
      </c>
      <c r="W156" s="14" t="s">
        <v>7777</v>
      </c>
      <c r="X156" s="3">
        <v>3</v>
      </c>
      <c r="Z156" s="23">
        <v>4.5</v>
      </c>
      <c r="AB156" s="18">
        <f t="shared" si="4"/>
        <v>2023</v>
      </c>
      <c r="AC156" s="22">
        <f t="shared" si="5"/>
        <v>0.71499999999999997</v>
      </c>
    </row>
    <row r="157" spans="1:29" ht="25.5">
      <c r="A157" s="8" t="s">
        <v>15824</v>
      </c>
      <c r="B157" s="17" t="s">
        <v>7800</v>
      </c>
      <c r="C157" s="13">
        <v>44953</v>
      </c>
      <c r="D157" s="13" t="s">
        <v>8465</v>
      </c>
      <c r="E157" s="10" t="s">
        <v>12563</v>
      </c>
      <c r="F157" s="10" t="s">
        <v>15825</v>
      </c>
      <c r="H157" s="2" t="s">
        <v>1220</v>
      </c>
      <c r="L157" s="18">
        <v>1</v>
      </c>
      <c r="N157" s="13">
        <v>45185</v>
      </c>
      <c r="O157" s="29">
        <v>0</v>
      </c>
      <c r="P157" s="18" t="s">
        <v>1107</v>
      </c>
      <c r="Q157" s="18">
        <v>0</v>
      </c>
      <c r="U157" s="22">
        <v>0.71</v>
      </c>
      <c r="W157" s="14" t="s">
        <v>7777</v>
      </c>
      <c r="X157" s="3">
        <v>3</v>
      </c>
      <c r="Z157" s="23">
        <v>5</v>
      </c>
      <c r="AB157" s="18">
        <f t="shared" si="4"/>
        <v>2023</v>
      </c>
      <c r="AC157" s="22">
        <f t="shared" si="5"/>
        <v>0.65500000000000003</v>
      </c>
    </row>
    <row r="158" spans="1:29">
      <c r="A158" s="8" t="s">
        <v>11324</v>
      </c>
      <c r="B158" s="17" t="s">
        <v>7800</v>
      </c>
      <c r="C158" s="13">
        <v>44952</v>
      </c>
      <c r="D158" s="13" t="s">
        <v>8465</v>
      </c>
      <c r="E158" s="10" t="s">
        <v>4514</v>
      </c>
      <c r="F158" s="10" t="s">
        <v>11325</v>
      </c>
      <c r="H158" s="2" t="s">
        <v>1050</v>
      </c>
      <c r="L158" s="18">
        <v>1</v>
      </c>
      <c r="N158" s="13">
        <v>44624</v>
      </c>
      <c r="O158" s="29">
        <v>0</v>
      </c>
      <c r="P158" s="18" t="s">
        <v>1107</v>
      </c>
      <c r="Q158" s="18">
        <v>0</v>
      </c>
      <c r="V158" s="22">
        <f>3.2/5</f>
        <v>0.64</v>
      </c>
      <c r="W158" s="14" t="s">
        <v>7777</v>
      </c>
      <c r="X158" s="3">
        <v>3</v>
      </c>
      <c r="Z158" s="23">
        <v>6.5</v>
      </c>
      <c r="AB158" s="18">
        <f t="shared" si="4"/>
        <v>2023</v>
      </c>
      <c r="AC158" s="22">
        <f t="shared" si="5"/>
        <v>0.62</v>
      </c>
    </row>
    <row r="159" spans="1:29">
      <c r="A159" s="8" t="s">
        <v>16013</v>
      </c>
      <c r="B159" s="17" t="s">
        <v>7800</v>
      </c>
      <c r="C159" s="13">
        <v>44952</v>
      </c>
      <c r="D159" s="13" t="s">
        <v>8465</v>
      </c>
      <c r="E159" s="10" t="s">
        <v>16014</v>
      </c>
      <c r="F159" s="10" t="s">
        <v>16014</v>
      </c>
      <c r="H159" s="2" t="s">
        <v>67</v>
      </c>
      <c r="L159" s="18">
        <v>1</v>
      </c>
      <c r="N159" s="13">
        <v>45205</v>
      </c>
      <c r="O159" s="29">
        <v>0</v>
      </c>
      <c r="P159" s="18" t="s">
        <v>1107</v>
      </c>
      <c r="Q159" s="18">
        <v>0</v>
      </c>
      <c r="W159" s="14" t="s">
        <v>7799</v>
      </c>
      <c r="X159" s="3">
        <v>2</v>
      </c>
      <c r="Z159" s="23">
        <v>3</v>
      </c>
      <c r="AB159" s="18">
        <f t="shared" si="4"/>
        <v>2023</v>
      </c>
      <c r="AC159" s="22">
        <f t="shared" si="5"/>
        <v>0.4</v>
      </c>
    </row>
    <row r="160" spans="1:29" ht="30">
      <c r="A160" s="8" t="s">
        <v>12276</v>
      </c>
      <c r="B160" s="17" t="s">
        <v>9431</v>
      </c>
      <c r="C160" s="13">
        <v>44950</v>
      </c>
      <c r="D160" s="13" t="s">
        <v>8465</v>
      </c>
      <c r="E160" s="10" t="s">
        <v>1680</v>
      </c>
      <c r="F160" s="10" t="s">
        <v>3861</v>
      </c>
      <c r="G160" s="11" t="s">
        <v>1682</v>
      </c>
      <c r="H160" s="2" t="s">
        <v>149</v>
      </c>
      <c r="L160" s="18">
        <v>1</v>
      </c>
      <c r="M160" s="14" t="s">
        <v>8462</v>
      </c>
      <c r="N160" s="13">
        <v>44784</v>
      </c>
      <c r="O160" s="29">
        <v>54.3</v>
      </c>
      <c r="P160" s="18" t="s">
        <v>14</v>
      </c>
      <c r="Q160" s="18">
        <v>0</v>
      </c>
      <c r="U160" s="22">
        <v>0.68</v>
      </c>
      <c r="V160" s="22">
        <f>3.25/5</f>
        <v>0.65</v>
      </c>
      <c r="X160" s="3">
        <v>3</v>
      </c>
      <c r="Z160" s="23">
        <v>19</v>
      </c>
      <c r="AB160" s="18">
        <f t="shared" si="4"/>
        <v>2023</v>
      </c>
      <c r="AC160" s="22">
        <f t="shared" si="5"/>
        <v>0.64333333333333342</v>
      </c>
    </row>
    <row r="161" spans="1:29">
      <c r="A161" s="8" t="s">
        <v>13366</v>
      </c>
      <c r="B161" s="17" t="s">
        <v>9431</v>
      </c>
      <c r="C161" s="13">
        <v>44950</v>
      </c>
      <c r="D161" s="13" t="s">
        <v>8465</v>
      </c>
      <c r="E161" s="10" t="s">
        <v>1082</v>
      </c>
      <c r="F161" s="10" t="s">
        <v>13367</v>
      </c>
      <c r="H161" s="2" t="s">
        <v>80</v>
      </c>
      <c r="L161" s="18">
        <v>1</v>
      </c>
      <c r="M161" s="14" t="s">
        <v>8462</v>
      </c>
      <c r="N161" s="13">
        <v>44952</v>
      </c>
      <c r="O161" s="29">
        <v>66.02</v>
      </c>
      <c r="P161" s="18" t="s">
        <v>14</v>
      </c>
      <c r="Q161" s="18">
        <v>0</v>
      </c>
      <c r="U161" s="22">
        <v>0.66</v>
      </c>
      <c r="V161" s="22">
        <f>2.2/5</f>
        <v>0.44000000000000006</v>
      </c>
      <c r="X161" s="3">
        <v>3</v>
      </c>
      <c r="Z161" s="23">
        <v>14.5</v>
      </c>
      <c r="AB161" s="18">
        <f t="shared" si="4"/>
        <v>2023</v>
      </c>
      <c r="AC161" s="22">
        <f t="shared" si="5"/>
        <v>0.56666666666666676</v>
      </c>
    </row>
    <row r="162" spans="1:29" ht="25.5">
      <c r="A162" s="8" t="s">
        <v>14750</v>
      </c>
      <c r="B162" s="17" t="s">
        <v>7744</v>
      </c>
      <c r="C162" s="13">
        <v>44945</v>
      </c>
      <c r="D162" s="13" t="s">
        <v>8463</v>
      </c>
      <c r="E162" s="10" t="s">
        <v>1457</v>
      </c>
      <c r="F162" s="10" t="s">
        <v>1457</v>
      </c>
      <c r="G162" s="11" t="s">
        <v>15221</v>
      </c>
      <c r="H162" s="2" t="s">
        <v>1334</v>
      </c>
      <c r="K162" s="18">
        <v>2</v>
      </c>
      <c r="L162" s="18">
        <v>1</v>
      </c>
      <c r="M162" s="14" t="s">
        <v>8462</v>
      </c>
      <c r="N162" s="13">
        <v>45052</v>
      </c>
      <c r="O162" s="29">
        <v>62.99</v>
      </c>
      <c r="P162" s="18" t="s">
        <v>14</v>
      </c>
      <c r="Q162" s="18">
        <v>0</v>
      </c>
      <c r="X162" s="3">
        <v>2</v>
      </c>
      <c r="AB162" s="18">
        <f t="shared" si="4"/>
        <v>2023</v>
      </c>
      <c r="AC162" s="22">
        <f t="shared" si="5"/>
        <v>0.4</v>
      </c>
    </row>
    <row r="163" spans="1:29" ht="25.5">
      <c r="A163" s="8" t="s">
        <v>13610</v>
      </c>
      <c r="B163" s="17" t="s">
        <v>7744</v>
      </c>
      <c r="C163" s="13">
        <v>44945</v>
      </c>
      <c r="D163" s="13" t="s">
        <v>9335</v>
      </c>
      <c r="E163" s="10" t="s">
        <v>13330</v>
      </c>
      <c r="F163" s="10" t="s">
        <v>15437</v>
      </c>
      <c r="H163" s="2" t="s">
        <v>67</v>
      </c>
      <c r="K163" s="18">
        <v>2</v>
      </c>
      <c r="L163" s="18">
        <v>1</v>
      </c>
      <c r="M163" s="14" t="s">
        <v>8462</v>
      </c>
      <c r="N163" s="13">
        <v>44982</v>
      </c>
      <c r="O163" s="29">
        <v>32.99</v>
      </c>
      <c r="P163" s="18" t="s">
        <v>14</v>
      </c>
      <c r="Q163" s="18">
        <v>0</v>
      </c>
      <c r="U163" s="22">
        <v>0.85</v>
      </c>
      <c r="X163" s="3">
        <v>4</v>
      </c>
      <c r="Z163" s="23">
        <v>10</v>
      </c>
      <c r="AB163" s="18">
        <f t="shared" si="4"/>
        <v>2023</v>
      </c>
      <c r="AC163" s="22">
        <f t="shared" si="5"/>
        <v>0.82499999999999996</v>
      </c>
    </row>
    <row r="164" spans="1:29" ht="30">
      <c r="A164" s="8" t="s">
        <v>12665</v>
      </c>
      <c r="B164" s="17" t="s">
        <v>7800</v>
      </c>
      <c r="C164" s="13">
        <v>44944</v>
      </c>
      <c r="D164" s="13" t="s">
        <v>8465</v>
      </c>
      <c r="E164" s="10" t="s">
        <v>12666</v>
      </c>
      <c r="F164" s="10" t="s">
        <v>12666</v>
      </c>
      <c r="H164" s="2" t="s">
        <v>1699</v>
      </c>
      <c r="L164" s="18">
        <v>1</v>
      </c>
      <c r="P164" s="18" t="s">
        <v>1107</v>
      </c>
      <c r="Q164" s="18">
        <v>0</v>
      </c>
      <c r="V164" s="22">
        <f>2.5/5</f>
        <v>0.5</v>
      </c>
      <c r="W164" s="14" t="s">
        <v>7777</v>
      </c>
      <c r="X164" s="3">
        <v>2</v>
      </c>
      <c r="Z164" s="23">
        <v>6.5</v>
      </c>
      <c r="AB164" s="18">
        <f t="shared" si="4"/>
        <v>2023</v>
      </c>
      <c r="AC164" s="22">
        <f t="shared" si="5"/>
        <v>0.45</v>
      </c>
    </row>
    <row r="165" spans="1:29">
      <c r="A165" s="8" t="s">
        <v>14639</v>
      </c>
      <c r="B165" s="17" t="s">
        <v>7800</v>
      </c>
      <c r="C165" s="13">
        <v>44943</v>
      </c>
      <c r="D165" s="13" t="s">
        <v>8465</v>
      </c>
      <c r="E165" s="10" t="s">
        <v>11312</v>
      </c>
      <c r="F165" s="10" t="s">
        <v>14640</v>
      </c>
      <c r="H165" s="2" t="s">
        <v>67</v>
      </c>
      <c r="L165" s="18">
        <v>1</v>
      </c>
      <c r="N165" s="13">
        <v>45051</v>
      </c>
      <c r="O165" s="29">
        <v>0</v>
      </c>
      <c r="P165" s="18" t="s">
        <v>1107</v>
      </c>
      <c r="Q165" s="18">
        <v>0</v>
      </c>
      <c r="U165" s="22">
        <v>0.74</v>
      </c>
      <c r="W165" s="14" t="s">
        <v>7777</v>
      </c>
      <c r="X165" s="3">
        <v>2</v>
      </c>
      <c r="Z165" s="23">
        <v>6</v>
      </c>
      <c r="AB165" s="18">
        <f t="shared" si="4"/>
        <v>2023</v>
      </c>
      <c r="AC165" s="22">
        <f t="shared" si="5"/>
        <v>0.57000000000000006</v>
      </c>
    </row>
    <row r="166" spans="1:29" ht="30">
      <c r="A166" s="8" t="s">
        <v>11702</v>
      </c>
      <c r="B166" s="17" t="s">
        <v>9431</v>
      </c>
      <c r="C166" s="13">
        <v>44939</v>
      </c>
      <c r="D166" s="13" t="s">
        <v>8465</v>
      </c>
      <c r="E166" s="10" t="s">
        <v>1604</v>
      </c>
      <c r="F166" s="10" t="s">
        <v>10697</v>
      </c>
      <c r="G166" s="11" t="s">
        <v>9669</v>
      </c>
      <c r="H166" s="2" t="s">
        <v>149</v>
      </c>
      <c r="L166" s="18">
        <v>1</v>
      </c>
      <c r="M166" s="14" t="s">
        <v>8462</v>
      </c>
      <c r="N166" s="13">
        <v>44692</v>
      </c>
      <c r="O166" s="29">
        <v>65.16</v>
      </c>
      <c r="P166" s="18" t="s">
        <v>14</v>
      </c>
      <c r="Q166" s="18">
        <v>0</v>
      </c>
      <c r="U166" s="22">
        <v>0.75</v>
      </c>
      <c r="V166" s="22">
        <f>3.19/5</f>
        <v>0.63800000000000001</v>
      </c>
      <c r="X166" s="3">
        <v>3</v>
      </c>
      <c r="Z166" s="23">
        <v>28</v>
      </c>
      <c r="AB166" s="18">
        <f t="shared" si="4"/>
        <v>2023</v>
      </c>
      <c r="AC166" s="22">
        <f t="shared" si="5"/>
        <v>0.66266666666666663</v>
      </c>
    </row>
    <row r="167" spans="1:29" ht="25.5">
      <c r="A167" s="8" t="s">
        <v>13585</v>
      </c>
      <c r="B167" s="17" t="s">
        <v>7744</v>
      </c>
      <c r="C167" s="13">
        <v>44938</v>
      </c>
      <c r="D167" s="13" t="s">
        <v>8465</v>
      </c>
      <c r="E167" s="10" t="s">
        <v>8982</v>
      </c>
      <c r="F167" s="10" t="s">
        <v>4574</v>
      </c>
      <c r="H167" s="2" t="s">
        <v>56</v>
      </c>
      <c r="L167" s="18">
        <v>1</v>
      </c>
      <c r="M167" s="14" t="s">
        <v>8462</v>
      </c>
      <c r="N167" s="13">
        <v>44978</v>
      </c>
      <c r="O167" s="29">
        <v>41.99</v>
      </c>
      <c r="P167" s="18" t="s">
        <v>14</v>
      </c>
      <c r="Q167" s="18">
        <v>0</v>
      </c>
      <c r="U167" s="22">
        <v>0.78</v>
      </c>
      <c r="V167" s="22">
        <f>3.25/5</f>
        <v>0.65</v>
      </c>
      <c r="X167" s="3">
        <v>3</v>
      </c>
      <c r="Z167" s="23">
        <v>2.5</v>
      </c>
      <c r="AB167" s="18">
        <f t="shared" si="4"/>
        <v>2023</v>
      </c>
      <c r="AC167" s="22">
        <f t="shared" si="5"/>
        <v>0.67666666666666675</v>
      </c>
    </row>
    <row r="168" spans="1:29">
      <c r="A168" s="8" t="s">
        <v>14791</v>
      </c>
      <c r="B168" s="17" t="s">
        <v>7800</v>
      </c>
      <c r="C168" s="13">
        <v>44932</v>
      </c>
      <c r="D168" s="13" t="s">
        <v>8465</v>
      </c>
      <c r="E168" s="10" t="s">
        <v>14792</v>
      </c>
      <c r="F168" s="10" t="s">
        <v>14792</v>
      </c>
      <c r="H168" s="2" t="s">
        <v>1518</v>
      </c>
      <c r="L168" s="18">
        <v>1</v>
      </c>
      <c r="N168" s="13">
        <v>45065</v>
      </c>
      <c r="O168" s="29">
        <v>0</v>
      </c>
      <c r="P168" s="18" t="s">
        <v>1107</v>
      </c>
      <c r="Q168" s="18">
        <v>0</v>
      </c>
      <c r="V168" s="22">
        <f>3.7/5</f>
        <v>0.74</v>
      </c>
      <c r="W168" s="14" t="s">
        <v>7777</v>
      </c>
      <c r="X168" s="3">
        <v>4</v>
      </c>
      <c r="Z168" s="23">
        <v>3</v>
      </c>
      <c r="AB168" s="18">
        <f t="shared" si="4"/>
        <v>2023</v>
      </c>
      <c r="AC168" s="22">
        <f t="shared" si="5"/>
        <v>0.77</v>
      </c>
    </row>
    <row r="169" spans="1:29" ht="25.5">
      <c r="A169" s="8" t="s">
        <v>15249</v>
      </c>
      <c r="B169" s="17" t="s">
        <v>9431</v>
      </c>
      <c r="C169" s="13">
        <v>45204</v>
      </c>
      <c r="D169" s="13" t="s">
        <v>8465</v>
      </c>
      <c r="E169" s="10" t="s">
        <v>1047</v>
      </c>
      <c r="F169" s="10" t="s">
        <v>16018</v>
      </c>
      <c r="G169" s="11" t="s">
        <v>1563</v>
      </c>
      <c r="H169" s="2" t="s">
        <v>80</v>
      </c>
      <c r="L169" s="18">
        <v>1</v>
      </c>
      <c r="M169" s="14" t="s">
        <v>8462</v>
      </c>
      <c r="N169" s="13">
        <v>45070</v>
      </c>
      <c r="O169" s="29">
        <v>54.3</v>
      </c>
      <c r="P169" s="18" t="s">
        <v>14</v>
      </c>
      <c r="Q169" s="18">
        <v>1</v>
      </c>
      <c r="R169" s="13">
        <v>45228</v>
      </c>
      <c r="S169" s="21">
        <f>15+44/60</f>
        <v>15.733333333333333</v>
      </c>
      <c r="T169" s="22">
        <v>0.6</v>
      </c>
      <c r="U169" s="22">
        <v>0.77</v>
      </c>
      <c r="V169" s="22">
        <f>3.92/5</f>
        <v>0.78400000000000003</v>
      </c>
      <c r="W169" s="14" t="s">
        <v>8840</v>
      </c>
      <c r="AB169" s="18">
        <f t="shared" si="4"/>
        <v>2023</v>
      </c>
      <c r="AC169" s="22">
        <f t="shared" si="5"/>
        <v>0.71799999999999997</v>
      </c>
    </row>
    <row r="170" spans="1:29" ht="25.5">
      <c r="A170" s="8" t="s">
        <v>15975</v>
      </c>
      <c r="B170" s="17" t="s">
        <v>7800</v>
      </c>
      <c r="C170" s="13">
        <v>45189</v>
      </c>
      <c r="D170" s="13" t="s">
        <v>8465</v>
      </c>
      <c r="E170" s="10" t="s">
        <v>73</v>
      </c>
      <c r="F170" s="10" t="s">
        <v>73</v>
      </c>
      <c r="G170" s="11" t="s">
        <v>943</v>
      </c>
      <c r="H170" s="2" t="s">
        <v>1061</v>
      </c>
      <c r="J170" s="18">
        <v>1</v>
      </c>
      <c r="L170" s="18">
        <v>1</v>
      </c>
      <c r="N170" s="13">
        <v>45196</v>
      </c>
      <c r="O170" s="29">
        <v>8.99</v>
      </c>
      <c r="P170" s="18" t="s">
        <v>1107</v>
      </c>
      <c r="Q170" s="18">
        <v>1</v>
      </c>
      <c r="R170" s="13">
        <v>45209</v>
      </c>
      <c r="S170" s="21">
        <f>3+47/60+10/3600</f>
        <v>3.786111111111111</v>
      </c>
      <c r="T170" s="22">
        <v>0.8</v>
      </c>
      <c r="U170" s="22">
        <v>0.91</v>
      </c>
      <c r="W170" s="14" t="s">
        <v>7777</v>
      </c>
      <c r="AB170" s="18">
        <f t="shared" si="4"/>
        <v>2023</v>
      </c>
      <c r="AC170" s="22">
        <f t="shared" si="5"/>
        <v>0.85499999999999998</v>
      </c>
    </row>
    <row r="171" spans="1:29">
      <c r="A171" s="8" t="s">
        <v>11421</v>
      </c>
      <c r="B171" s="17" t="s">
        <v>7744</v>
      </c>
      <c r="C171" s="13">
        <v>45167</v>
      </c>
      <c r="D171" s="13" t="s">
        <v>8465</v>
      </c>
      <c r="E171" s="10" t="s">
        <v>7078</v>
      </c>
      <c r="F171" s="10" t="s">
        <v>7078</v>
      </c>
      <c r="H171" s="2" t="s">
        <v>149</v>
      </c>
      <c r="L171" s="18">
        <v>1</v>
      </c>
      <c r="N171" s="13">
        <v>43909</v>
      </c>
      <c r="O171" s="29">
        <v>25.01</v>
      </c>
      <c r="P171" s="18" t="s">
        <v>1107</v>
      </c>
      <c r="Q171" s="18">
        <v>1</v>
      </c>
      <c r="R171" s="13">
        <v>45217</v>
      </c>
      <c r="S171" s="21">
        <f>23+46/60</f>
        <v>23.766666666666666</v>
      </c>
      <c r="T171" s="22">
        <v>0.8</v>
      </c>
      <c r="U171" s="22">
        <v>0.91</v>
      </c>
      <c r="V171" s="22">
        <f>4.27/5</f>
        <v>0.85399999999999987</v>
      </c>
      <c r="AB171" s="18">
        <f t="shared" si="4"/>
        <v>2023</v>
      </c>
      <c r="AC171" s="22">
        <f t="shared" si="5"/>
        <v>0.85466666666666669</v>
      </c>
    </row>
    <row r="172" spans="1:29" ht="30">
      <c r="A172" s="8" t="s">
        <v>13725</v>
      </c>
      <c r="B172" s="17" t="s">
        <v>9431</v>
      </c>
      <c r="C172" s="13">
        <v>45163</v>
      </c>
      <c r="D172" s="13" t="s">
        <v>8465</v>
      </c>
      <c r="E172" s="10" t="s">
        <v>1604</v>
      </c>
      <c r="F172" s="10" t="s">
        <v>1580</v>
      </c>
      <c r="G172" s="11" t="s">
        <v>5915</v>
      </c>
      <c r="H172" s="2" t="s">
        <v>1204</v>
      </c>
      <c r="L172" s="18">
        <v>1</v>
      </c>
      <c r="M172" s="14" t="s">
        <v>8462</v>
      </c>
      <c r="N172" s="13">
        <v>44988</v>
      </c>
      <c r="O172" s="29">
        <v>65.040000000000006</v>
      </c>
      <c r="P172" s="18" t="s">
        <v>14</v>
      </c>
      <c r="Q172" s="18">
        <v>1</v>
      </c>
      <c r="R172" s="13">
        <v>45217</v>
      </c>
      <c r="S172" s="21">
        <v>11</v>
      </c>
      <c r="T172" s="22">
        <v>0.8</v>
      </c>
      <c r="U172" s="22">
        <v>0.87</v>
      </c>
      <c r="V172" s="22">
        <f>4.5/5</f>
        <v>0.9</v>
      </c>
      <c r="AB172" s="18">
        <f t="shared" si="4"/>
        <v>2023</v>
      </c>
      <c r="AC172" s="22">
        <f t="shared" si="5"/>
        <v>0.85666666666666658</v>
      </c>
    </row>
    <row r="173" spans="1:29" ht="30">
      <c r="A173" s="8" t="s">
        <v>13004</v>
      </c>
      <c r="B173" s="17" t="s">
        <v>9431</v>
      </c>
      <c r="C173" s="13">
        <v>45099</v>
      </c>
      <c r="D173" s="13" t="s">
        <v>8465</v>
      </c>
      <c r="E173" s="10" t="s">
        <v>1082</v>
      </c>
      <c r="F173" s="10" t="s">
        <v>9752</v>
      </c>
      <c r="G173" s="11" t="s">
        <v>126</v>
      </c>
      <c r="H173" s="2" t="s">
        <v>171</v>
      </c>
      <c r="L173" s="18">
        <v>1</v>
      </c>
      <c r="M173" s="14" t="s">
        <v>8462</v>
      </c>
      <c r="N173" s="13">
        <v>44904</v>
      </c>
      <c r="O173" s="29">
        <v>76.03</v>
      </c>
      <c r="P173" s="18" t="s">
        <v>14</v>
      </c>
      <c r="Q173" s="18">
        <v>1</v>
      </c>
      <c r="R173" s="13">
        <v>45117</v>
      </c>
      <c r="S173" s="21">
        <v>49</v>
      </c>
      <c r="T173" s="22">
        <v>0.9</v>
      </c>
      <c r="U173" s="22">
        <v>0.88</v>
      </c>
      <c r="V173" s="22">
        <f>4.05/5</f>
        <v>0.80999999999999994</v>
      </c>
      <c r="AB173" s="18">
        <f t="shared" si="4"/>
        <v>2023</v>
      </c>
      <c r="AC173" s="22">
        <f t="shared" si="5"/>
        <v>0.86333333333333329</v>
      </c>
    </row>
    <row r="174" spans="1:29">
      <c r="A174" s="8" t="s">
        <v>15388</v>
      </c>
      <c r="B174" s="17" t="s">
        <v>7800</v>
      </c>
      <c r="C174" s="13">
        <v>45083</v>
      </c>
      <c r="D174" s="13" t="s">
        <v>8465</v>
      </c>
      <c r="E174" s="10" t="s">
        <v>3171</v>
      </c>
      <c r="F174" s="10" t="s">
        <v>3171</v>
      </c>
      <c r="G174" s="11" t="s">
        <v>3173</v>
      </c>
      <c r="H174" s="2" t="s">
        <v>1061</v>
      </c>
      <c r="L174" s="18">
        <v>0</v>
      </c>
      <c r="Q174" s="18">
        <v>1</v>
      </c>
      <c r="R174" s="13">
        <v>45124</v>
      </c>
      <c r="S174" s="21">
        <f>2+50/60+42/3600</f>
        <v>2.8450000000000002</v>
      </c>
      <c r="T174" s="22">
        <v>0.8</v>
      </c>
      <c r="U174" s="22">
        <v>0.77</v>
      </c>
      <c r="V174" s="22">
        <f>3.75/5</f>
        <v>0.75</v>
      </c>
      <c r="W174" s="14" t="s">
        <v>8280</v>
      </c>
      <c r="AB174" s="18">
        <f t="shared" si="4"/>
        <v>2023</v>
      </c>
      <c r="AC174" s="22">
        <f t="shared" si="5"/>
        <v>0.77333333333333343</v>
      </c>
    </row>
    <row r="175" spans="1:29">
      <c r="A175" s="8" t="s">
        <v>15706</v>
      </c>
      <c r="B175" s="17" t="s">
        <v>7800</v>
      </c>
      <c r="C175" s="13">
        <v>45082</v>
      </c>
      <c r="D175" s="13" t="s">
        <v>8465</v>
      </c>
      <c r="E175" s="10" t="s">
        <v>1296</v>
      </c>
      <c r="F175" s="10" t="s">
        <v>1296</v>
      </c>
      <c r="G175" s="11" t="s">
        <v>1589</v>
      </c>
      <c r="H175" s="2" t="s">
        <v>171</v>
      </c>
      <c r="L175" s="18">
        <v>1</v>
      </c>
      <c r="N175" s="13">
        <v>45170</v>
      </c>
      <c r="O175" s="29">
        <v>54.59</v>
      </c>
      <c r="P175" s="18" t="s">
        <v>1107</v>
      </c>
      <c r="Q175" s="18">
        <v>1</v>
      </c>
      <c r="R175" s="13">
        <v>45199</v>
      </c>
      <c r="S175" s="21">
        <f>28+34/60</f>
        <v>28.566666666666666</v>
      </c>
      <c r="T175" s="22">
        <v>0.75</v>
      </c>
      <c r="U175" s="22">
        <v>0.86</v>
      </c>
      <c r="V175" s="22">
        <f>3.58/5</f>
        <v>0.71599999999999997</v>
      </c>
      <c r="W175" s="14" t="s">
        <v>7797</v>
      </c>
      <c r="AB175" s="18">
        <f t="shared" si="4"/>
        <v>2023</v>
      </c>
      <c r="AC175" s="22">
        <f t="shared" si="5"/>
        <v>0.77533333333333321</v>
      </c>
    </row>
    <row r="176" spans="1:29" ht="25.5">
      <c r="A176" s="8" t="s">
        <v>14810</v>
      </c>
      <c r="B176" s="17" t="s">
        <v>7744</v>
      </c>
      <c r="C176" s="13">
        <v>45058</v>
      </c>
      <c r="D176" s="13" t="s">
        <v>8465</v>
      </c>
      <c r="E176" s="10" t="s">
        <v>86</v>
      </c>
      <c r="F176" s="10" t="s">
        <v>1138</v>
      </c>
      <c r="G176" s="11" t="s">
        <v>85</v>
      </c>
      <c r="H176" s="2" t="s">
        <v>80</v>
      </c>
      <c r="L176" s="18">
        <v>1</v>
      </c>
      <c r="M176" s="14" t="s">
        <v>8462</v>
      </c>
      <c r="N176" s="13">
        <v>44362</v>
      </c>
      <c r="O176" s="29">
        <v>65.09</v>
      </c>
      <c r="P176" s="18" t="s">
        <v>14</v>
      </c>
      <c r="Q176" s="18">
        <v>1</v>
      </c>
      <c r="R176" s="13">
        <v>45077</v>
      </c>
      <c r="S176" s="21">
        <v>50</v>
      </c>
      <c r="T176" s="22">
        <v>1</v>
      </c>
      <c r="U176" s="22">
        <v>0.96</v>
      </c>
      <c r="V176" s="22">
        <f>4.2/5</f>
        <v>0.84000000000000008</v>
      </c>
      <c r="AB176" s="18">
        <f t="shared" si="4"/>
        <v>2023</v>
      </c>
      <c r="AC176" s="22">
        <f t="shared" si="5"/>
        <v>0.93333333333333324</v>
      </c>
    </row>
    <row r="177" spans="1:29">
      <c r="A177" s="8" t="s">
        <v>15326</v>
      </c>
      <c r="B177" s="17" t="s">
        <v>7800</v>
      </c>
      <c r="C177" s="13">
        <v>45040</v>
      </c>
      <c r="D177" s="13" t="s">
        <v>8465</v>
      </c>
      <c r="E177" s="10" t="s">
        <v>15327</v>
      </c>
      <c r="F177" s="10" t="s">
        <v>15327</v>
      </c>
      <c r="H177" s="2" t="s">
        <v>1040</v>
      </c>
      <c r="L177" s="18">
        <v>1</v>
      </c>
      <c r="N177" s="13">
        <v>45108</v>
      </c>
      <c r="O177" s="29">
        <v>2.4900000000000002</v>
      </c>
      <c r="P177" s="18" t="s">
        <v>1107</v>
      </c>
      <c r="Q177" s="18">
        <v>1</v>
      </c>
      <c r="R177" s="13">
        <v>45111</v>
      </c>
      <c r="S177" s="21">
        <f>61/60</f>
        <v>1.0166666666666666</v>
      </c>
      <c r="T177" s="22">
        <v>0.2</v>
      </c>
      <c r="W177" s="14" t="s">
        <v>7777</v>
      </c>
      <c r="AB177" s="18">
        <f t="shared" si="4"/>
        <v>2023</v>
      </c>
      <c r="AC177" s="22">
        <f t="shared" si="5"/>
        <v>0.2</v>
      </c>
    </row>
    <row r="178" spans="1:29">
      <c r="A178" s="8" t="s">
        <v>15383</v>
      </c>
      <c r="B178" s="17" t="s">
        <v>7800</v>
      </c>
      <c r="C178" s="13">
        <v>45034</v>
      </c>
      <c r="D178" s="13" t="s">
        <v>8465</v>
      </c>
      <c r="E178" s="10" t="s">
        <v>6517</v>
      </c>
      <c r="F178" s="10" t="s">
        <v>8711</v>
      </c>
      <c r="G178" s="11" t="s">
        <v>5660</v>
      </c>
      <c r="H178" s="2" t="s">
        <v>1143</v>
      </c>
      <c r="L178" s="18">
        <v>0</v>
      </c>
      <c r="Q178" s="18">
        <v>1</v>
      </c>
      <c r="R178" s="13">
        <v>45124</v>
      </c>
      <c r="S178" s="21">
        <f>9+26/60+15/3600</f>
        <v>9.4375</v>
      </c>
      <c r="T178" s="22">
        <v>0.4</v>
      </c>
      <c r="U178" s="22">
        <v>0.65</v>
      </c>
      <c r="V178" s="22">
        <f>3.25/5</f>
        <v>0.65</v>
      </c>
      <c r="W178" s="14" t="s">
        <v>8280</v>
      </c>
      <c r="AB178" s="18">
        <f t="shared" si="4"/>
        <v>2023</v>
      </c>
      <c r="AC178" s="22">
        <f t="shared" si="5"/>
        <v>0.56666666666666676</v>
      </c>
    </row>
    <row r="179" spans="1:29" ht="25.5">
      <c r="A179" s="8" t="s">
        <v>14308</v>
      </c>
      <c r="B179" s="17" t="s">
        <v>7800</v>
      </c>
      <c r="C179" s="13">
        <v>45029</v>
      </c>
      <c r="D179" s="13" t="s">
        <v>8465</v>
      </c>
      <c r="E179" s="10" t="s">
        <v>12636</v>
      </c>
      <c r="F179" s="10" t="s">
        <v>12636</v>
      </c>
      <c r="G179" s="11" t="s">
        <v>12627</v>
      </c>
      <c r="H179" s="2" t="s">
        <v>1518</v>
      </c>
      <c r="J179" s="18">
        <v>1</v>
      </c>
      <c r="L179" s="18">
        <v>1</v>
      </c>
      <c r="N179" s="13">
        <v>45029</v>
      </c>
      <c r="O179" s="29">
        <v>1.52</v>
      </c>
      <c r="P179" s="18" t="s">
        <v>1107</v>
      </c>
      <c r="Q179" s="18">
        <v>1</v>
      </c>
      <c r="R179" s="13">
        <v>45046</v>
      </c>
      <c r="S179" s="21">
        <f>8+18/60</f>
        <v>8.3000000000000007</v>
      </c>
      <c r="T179" s="22">
        <v>0.7</v>
      </c>
      <c r="AB179" s="18">
        <f t="shared" si="4"/>
        <v>2023</v>
      </c>
      <c r="AC179" s="22">
        <f t="shared" si="5"/>
        <v>0.7</v>
      </c>
    </row>
    <row r="180" spans="1:29" ht="38.25">
      <c r="A180" s="8" t="s">
        <v>12676</v>
      </c>
      <c r="B180" s="17" t="s">
        <v>7744</v>
      </c>
      <c r="C180" s="13">
        <v>45009</v>
      </c>
      <c r="D180" s="13" t="s">
        <v>8465</v>
      </c>
      <c r="E180" s="10" t="s">
        <v>11735</v>
      </c>
      <c r="F180" s="10" t="s">
        <v>1566</v>
      </c>
      <c r="G180" s="11" t="s">
        <v>1567</v>
      </c>
      <c r="H180" s="2" t="s">
        <v>149</v>
      </c>
      <c r="L180" s="18">
        <v>1</v>
      </c>
      <c r="M180" s="14" t="s">
        <v>8462</v>
      </c>
      <c r="N180" s="13">
        <v>44824</v>
      </c>
      <c r="O180" s="29">
        <v>65.16</v>
      </c>
      <c r="P180" s="18" t="s">
        <v>14</v>
      </c>
      <c r="Q180" s="18">
        <v>1</v>
      </c>
      <c r="R180" s="13">
        <v>45145</v>
      </c>
      <c r="S180" s="21">
        <f>34+50/60+23/3600</f>
        <v>34.839722222222221</v>
      </c>
      <c r="T180" s="22">
        <v>0.6</v>
      </c>
      <c r="U180" s="22">
        <v>0.84</v>
      </c>
      <c r="V180" s="22">
        <f>3.54/5</f>
        <v>0.70799999999999996</v>
      </c>
      <c r="AB180" s="18">
        <f t="shared" si="4"/>
        <v>2023</v>
      </c>
      <c r="AC180" s="22">
        <f t="shared" si="5"/>
        <v>0.71599999999999986</v>
      </c>
    </row>
    <row r="181" spans="1:29">
      <c r="A181" s="8" t="s">
        <v>920</v>
      </c>
      <c r="B181" s="17" t="s">
        <v>7800</v>
      </c>
      <c r="C181" s="13">
        <v>45009</v>
      </c>
      <c r="D181" s="13" t="s">
        <v>8465</v>
      </c>
      <c r="E181" s="10" t="s">
        <v>73</v>
      </c>
      <c r="F181" s="10" t="s">
        <v>73</v>
      </c>
      <c r="G181" s="11" t="s">
        <v>943</v>
      </c>
      <c r="H181" s="2" t="s">
        <v>1061</v>
      </c>
      <c r="L181" s="18">
        <v>1</v>
      </c>
      <c r="N181" s="13">
        <v>44935</v>
      </c>
      <c r="O181" s="29">
        <v>49.19</v>
      </c>
      <c r="P181" s="18" t="s">
        <v>1107</v>
      </c>
      <c r="Q181" s="18">
        <v>1</v>
      </c>
      <c r="R181" s="13">
        <v>45066</v>
      </c>
      <c r="S181" s="21">
        <f>15+1/60</f>
        <v>15.016666666666667</v>
      </c>
      <c r="T181" s="22">
        <v>0.9</v>
      </c>
      <c r="U181" s="22">
        <v>0.92</v>
      </c>
      <c r="V181" s="22">
        <f>4.34/5</f>
        <v>0.86799999999999999</v>
      </c>
      <c r="W181" s="14" t="s">
        <v>7777</v>
      </c>
      <c r="AB181" s="18">
        <f t="shared" si="4"/>
        <v>2023</v>
      </c>
      <c r="AC181" s="22">
        <f t="shared" si="5"/>
        <v>0.89600000000000002</v>
      </c>
    </row>
    <row r="182" spans="1:29" ht="38.25">
      <c r="A182" s="8" t="s">
        <v>13512</v>
      </c>
      <c r="B182" s="17" t="s">
        <v>7744</v>
      </c>
      <c r="C182" s="13">
        <v>45002</v>
      </c>
      <c r="D182" s="13" t="s">
        <v>8465</v>
      </c>
      <c r="E182" s="10" t="s">
        <v>86</v>
      </c>
      <c r="F182" s="10" t="s">
        <v>1058</v>
      </c>
      <c r="G182" s="11" t="s">
        <v>1090</v>
      </c>
      <c r="H182" s="2" t="s">
        <v>80</v>
      </c>
      <c r="L182" s="18">
        <v>1</v>
      </c>
      <c r="M182" s="14" t="s">
        <v>8462</v>
      </c>
      <c r="N182" s="13">
        <v>44940</v>
      </c>
      <c r="O182" s="29">
        <v>65.16</v>
      </c>
      <c r="P182" s="18" t="s">
        <v>14</v>
      </c>
      <c r="Q182" s="18">
        <v>1</v>
      </c>
      <c r="R182" s="13">
        <v>45080</v>
      </c>
      <c r="S182" s="21">
        <v>10</v>
      </c>
      <c r="T182" s="22">
        <v>0.75</v>
      </c>
      <c r="U182" s="22">
        <v>0.8</v>
      </c>
      <c r="V182" s="22">
        <f>3.91/5</f>
        <v>0.78200000000000003</v>
      </c>
      <c r="AB182" s="18">
        <f t="shared" si="4"/>
        <v>2023</v>
      </c>
      <c r="AC182" s="22">
        <f t="shared" si="5"/>
        <v>0.77733333333333332</v>
      </c>
    </row>
    <row r="183" spans="1:29" ht="38.25">
      <c r="A183" s="8" t="s">
        <v>14593</v>
      </c>
      <c r="B183" s="17" t="s">
        <v>7800</v>
      </c>
      <c r="C183" s="13">
        <v>44993</v>
      </c>
      <c r="D183" s="13" t="s">
        <v>8465</v>
      </c>
      <c r="E183" s="10" t="s">
        <v>1082</v>
      </c>
      <c r="F183" s="10" t="s">
        <v>8609</v>
      </c>
      <c r="H183" s="2" t="s">
        <v>1057</v>
      </c>
      <c r="L183" s="18">
        <v>1</v>
      </c>
      <c r="N183" s="13">
        <v>45045</v>
      </c>
      <c r="O183" s="29">
        <v>15.99</v>
      </c>
      <c r="P183" s="18" t="s">
        <v>1107</v>
      </c>
      <c r="Q183" s="18">
        <v>1</v>
      </c>
      <c r="R183" s="13">
        <v>45058</v>
      </c>
      <c r="S183" s="21">
        <f>11+20/60</f>
        <v>11.333333333333334</v>
      </c>
      <c r="T183" s="22">
        <v>0.85</v>
      </c>
      <c r="U183" s="22">
        <v>0.82</v>
      </c>
      <c r="V183" s="22">
        <f>4.25/5</f>
        <v>0.85</v>
      </c>
      <c r="W183" s="14" t="s">
        <v>7777</v>
      </c>
      <c r="AB183" s="18">
        <f t="shared" si="4"/>
        <v>2023</v>
      </c>
      <c r="AC183" s="22">
        <f t="shared" si="5"/>
        <v>0.84</v>
      </c>
    </row>
    <row r="184" spans="1:29" ht="25.5">
      <c r="A184" s="8" t="s">
        <v>13665</v>
      </c>
      <c r="B184" s="17" t="s">
        <v>9440</v>
      </c>
      <c r="C184" s="13">
        <v>44988</v>
      </c>
      <c r="D184" s="13" t="s">
        <v>8465</v>
      </c>
      <c r="E184" s="10" t="s">
        <v>1565</v>
      </c>
      <c r="F184" s="10" t="s">
        <v>1136</v>
      </c>
      <c r="H184" s="2" t="s">
        <v>171</v>
      </c>
      <c r="L184" s="18">
        <v>0</v>
      </c>
      <c r="Q184" s="18">
        <v>1</v>
      </c>
      <c r="R184" s="13">
        <v>44990</v>
      </c>
      <c r="S184" s="21">
        <f>23+10/60</f>
        <v>23.166666666666668</v>
      </c>
      <c r="T184" s="22">
        <v>0.85</v>
      </c>
      <c r="U184" s="22">
        <v>0.81</v>
      </c>
      <c r="V184" s="22">
        <f>3.83/5</f>
        <v>0.76600000000000001</v>
      </c>
      <c r="W184" s="14" t="s">
        <v>8280</v>
      </c>
      <c r="AB184" s="18">
        <f t="shared" si="4"/>
        <v>2023</v>
      </c>
      <c r="AC184" s="22">
        <f t="shared" si="5"/>
        <v>0.80866666666666676</v>
      </c>
    </row>
    <row r="185" spans="1:29">
      <c r="A185" s="8" t="s">
        <v>12502</v>
      </c>
      <c r="B185" s="17" t="s">
        <v>7744</v>
      </c>
      <c r="C185" s="13">
        <v>44981</v>
      </c>
      <c r="D185" s="13" t="s">
        <v>8465</v>
      </c>
      <c r="E185" s="10" t="s">
        <v>1082</v>
      </c>
      <c r="F185" s="10" t="s">
        <v>1082</v>
      </c>
      <c r="G185" s="11" t="s">
        <v>1637</v>
      </c>
      <c r="H185" s="2" t="s">
        <v>149</v>
      </c>
      <c r="L185" s="18">
        <v>1</v>
      </c>
      <c r="M185" s="14" t="s">
        <v>8462</v>
      </c>
      <c r="N185" s="13">
        <v>44817</v>
      </c>
      <c r="O185" s="29">
        <v>59.99</v>
      </c>
      <c r="P185" s="18" t="s">
        <v>14</v>
      </c>
      <c r="Q185" s="18">
        <v>1</v>
      </c>
      <c r="R185" s="13">
        <v>45041</v>
      </c>
      <c r="S185" s="21">
        <f>63+20/60</f>
        <v>63.333333333333336</v>
      </c>
      <c r="T185" s="22">
        <v>0.9</v>
      </c>
      <c r="U185" s="22">
        <v>0.84</v>
      </c>
      <c r="V185" s="22">
        <f>4.13/5</f>
        <v>0.82599999999999996</v>
      </c>
      <c r="AB185" s="18">
        <f t="shared" si="4"/>
        <v>2023</v>
      </c>
      <c r="AC185" s="22">
        <f t="shared" si="5"/>
        <v>0.85533333333333328</v>
      </c>
    </row>
    <row r="186" spans="1:29" ht="25.5">
      <c r="A186" s="8" t="s">
        <v>12678</v>
      </c>
      <c r="B186" s="17" t="s">
        <v>7744</v>
      </c>
      <c r="C186" s="13">
        <v>44981</v>
      </c>
      <c r="D186" s="13" t="s">
        <v>8465</v>
      </c>
      <c r="E186" s="10" t="s">
        <v>86</v>
      </c>
      <c r="F186" s="10" t="s">
        <v>30</v>
      </c>
      <c r="G186" s="11" t="s">
        <v>223</v>
      </c>
      <c r="H186" s="2" t="s">
        <v>64</v>
      </c>
      <c r="L186" s="18">
        <v>1</v>
      </c>
      <c r="M186" s="14" t="s">
        <v>8462</v>
      </c>
      <c r="N186" s="13">
        <v>44825</v>
      </c>
      <c r="O186" s="29">
        <v>65.16</v>
      </c>
      <c r="P186" s="18" t="s">
        <v>14</v>
      </c>
      <c r="Q186" s="18">
        <v>1</v>
      </c>
      <c r="R186" s="13">
        <v>44991</v>
      </c>
      <c r="S186" s="21">
        <v>5</v>
      </c>
      <c r="T186" s="22">
        <v>0.7</v>
      </c>
      <c r="U186" s="22">
        <v>0.8</v>
      </c>
      <c r="V186" s="22">
        <f>4.09/5</f>
        <v>0.81799999999999995</v>
      </c>
      <c r="AB186" s="18">
        <f t="shared" si="4"/>
        <v>2023</v>
      </c>
      <c r="AC186" s="22">
        <f t="shared" si="5"/>
        <v>0.77266666666666672</v>
      </c>
    </row>
    <row r="187" spans="1:29">
      <c r="A187" s="8" t="s">
        <v>13588</v>
      </c>
      <c r="B187" s="17" t="s">
        <v>7800</v>
      </c>
      <c r="C187" s="13">
        <v>44978</v>
      </c>
      <c r="D187" s="13" t="s">
        <v>8465</v>
      </c>
      <c r="E187" s="10" t="s">
        <v>12148</v>
      </c>
      <c r="F187" s="10" t="s">
        <v>13589</v>
      </c>
      <c r="H187" s="2" t="s">
        <v>1050</v>
      </c>
      <c r="L187" s="18">
        <v>0</v>
      </c>
      <c r="Q187" s="18">
        <v>1</v>
      </c>
      <c r="R187" s="13">
        <v>44981</v>
      </c>
      <c r="S187" s="21">
        <f>13+24/60</f>
        <v>13.4</v>
      </c>
      <c r="T187" s="22">
        <v>0.5</v>
      </c>
      <c r="U187" s="22">
        <v>0.77</v>
      </c>
      <c r="V187" s="22">
        <f>3.4/5</f>
        <v>0.67999999999999994</v>
      </c>
      <c r="W187" s="14" t="s">
        <v>8280</v>
      </c>
      <c r="AB187" s="18">
        <f t="shared" si="4"/>
        <v>2023</v>
      </c>
      <c r="AC187" s="22">
        <f t="shared" si="5"/>
        <v>0.65</v>
      </c>
    </row>
    <row r="188" spans="1:29" ht="30">
      <c r="A188" s="8" t="s">
        <v>9930</v>
      </c>
      <c r="B188" s="17" t="s">
        <v>7800</v>
      </c>
      <c r="C188" s="13">
        <v>44972</v>
      </c>
      <c r="D188" s="13" t="s">
        <v>8465</v>
      </c>
      <c r="E188" s="10" t="s">
        <v>6107</v>
      </c>
      <c r="F188" s="10" t="s">
        <v>4535</v>
      </c>
      <c r="H188" s="2" t="s">
        <v>1518</v>
      </c>
      <c r="L188" s="18">
        <v>1</v>
      </c>
      <c r="N188" s="13">
        <v>44950</v>
      </c>
      <c r="O188" s="29">
        <v>49.19</v>
      </c>
      <c r="P188" s="18" t="s">
        <v>1107</v>
      </c>
      <c r="Q188" s="18">
        <v>1</v>
      </c>
      <c r="R188" s="13">
        <v>45127</v>
      </c>
      <c r="S188" s="21">
        <f>10+40/60+28/3600</f>
        <v>10.674444444444443</v>
      </c>
      <c r="T188" s="22">
        <v>0.85</v>
      </c>
      <c r="U188" s="22">
        <v>0.86</v>
      </c>
      <c r="V188" s="22">
        <f>3/5</f>
        <v>0.6</v>
      </c>
      <c r="W188" s="14" t="s">
        <v>7777</v>
      </c>
      <c r="AB188" s="18">
        <f t="shared" si="4"/>
        <v>2023</v>
      </c>
      <c r="AC188" s="22">
        <f t="shared" si="5"/>
        <v>0.77</v>
      </c>
    </row>
    <row r="189" spans="1:29">
      <c r="A189" s="8" t="s">
        <v>13508</v>
      </c>
      <c r="B189" s="17" t="s">
        <v>9431</v>
      </c>
      <c r="C189" s="13">
        <v>44967</v>
      </c>
      <c r="D189" s="13" t="s">
        <v>8465</v>
      </c>
      <c r="E189" s="10" t="s">
        <v>13523</v>
      </c>
      <c r="F189" s="10" t="s">
        <v>11989</v>
      </c>
      <c r="G189" s="11" t="s">
        <v>13449</v>
      </c>
      <c r="H189" s="2" t="s">
        <v>171</v>
      </c>
      <c r="L189" s="18">
        <v>1</v>
      </c>
      <c r="N189" s="13">
        <v>44968</v>
      </c>
      <c r="O189" s="29">
        <v>69.989999999999995</v>
      </c>
      <c r="P189" s="18" t="s">
        <v>1107</v>
      </c>
      <c r="Q189" s="18">
        <v>1</v>
      </c>
      <c r="R189" s="13">
        <v>45026</v>
      </c>
      <c r="S189" s="21">
        <v>21</v>
      </c>
      <c r="T189" s="22">
        <v>0.5</v>
      </c>
      <c r="U189" s="22">
        <v>0.85</v>
      </c>
      <c r="V189" s="22">
        <f>4/5</f>
        <v>0.8</v>
      </c>
      <c r="AB189" s="18">
        <f t="shared" si="4"/>
        <v>2023</v>
      </c>
      <c r="AC189" s="22">
        <f t="shared" si="5"/>
        <v>0.71666666666666679</v>
      </c>
    </row>
    <row r="190" spans="1:29" ht="25.5">
      <c r="A190" s="8" t="s">
        <v>13505</v>
      </c>
      <c r="B190" s="17" t="s">
        <v>7744</v>
      </c>
      <c r="C190" s="13">
        <v>44965</v>
      </c>
      <c r="D190" s="13" t="s">
        <v>8465</v>
      </c>
      <c r="E190" s="10" t="s">
        <v>86</v>
      </c>
      <c r="F190" s="10" t="s">
        <v>1139</v>
      </c>
      <c r="G190" s="11" t="s">
        <v>109</v>
      </c>
      <c r="H190" s="2" t="s">
        <v>1050</v>
      </c>
      <c r="L190" s="18">
        <v>1</v>
      </c>
      <c r="M190" s="14" t="s">
        <v>8462</v>
      </c>
      <c r="N190" s="13">
        <v>44966</v>
      </c>
      <c r="O190" s="29">
        <v>43.44</v>
      </c>
      <c r="P190" s="18" t="s">
        <v>14</v>
      </c>
      <c r="Q190" s="18">
        <v>1</v>
      </c>
      <c r="R190" s="13">
        <v>45011</v>
      </c>
      <c r="S190" s="21">
        <f>10+55/60</f>
        <v>10.916666666666666</v>
      </c>
      <c r="T190" s="22">
        <v>0.8</v>
      </c>
      <c r="U190" s="22">
        <v>0.95</v>
      </c>
      <c r="V190" s="22">
        <f>4.1/5</f>
        <v>0.82</v>
      </c>
      <c r="AB190" s="18">
        <f t="shared" si="4"/>
        <v>2023</v>
      </c>
      <c r="AC190" s="22">
        <f t="shared" si="5"/>
        <v>0.85666666666666658</v>
      </c>
    </row>
    <row r="191" spans="1:29" ht="30">
      <c r="A191" s="8" t="s">
        <v>1766</v>
      </c>
      <c r="B191" s="17" t="s">
        <v>7744</v>
      </c>
      <c r="C191" s="13">
        <v>44965</v>
      </c>
      <c r="D191" s="13" t="s">
        <v>8465</v>
      </c>
      <c r="E191" s="10" t="s">
        <v>86</v>
      </c>
      <c r="F191" s="10" t="s">
        <v>86</v>
      </c>
      <c r="G191" s="11" t="s">
        <v>137</v>
      </c>
      <c r="H191" s="2" t="s">
        <v>64</v>
      </c>
      <c r="L191" s="18">
        <v>0</v>
      </c>
      <c r="Q191" s="18">
        <v>1</v>
      </c>
      <c r="R191" s="13">
        <v>45000</v>
      </c>
      <c r="S191" s="21">
        <f>1+41/60</f>
        <v>1.6833333333333333</v>
      </c>
      <c r="T191" s="22">
        <v>0.6</v>
      </c>
      <c r="V191" s="22">
        <f>4.03/5</f>
        <v>0.80600000000000005</v>
      </c>
      <c r="W191" s="14" t="s">
        <v>13693</v>
      </c>
      <c r="AB191" s="18">
        <f t="shared" si="4"/>
        <v>2023</v>
      </c>
      <c r="AC191" s="22">
        <f t="shared" si="5"/>
        <v>0.70300000000000007</v>
      </c>
    </row>
    <row r="192" spans="1:29" ht="30">
      <c r="A192" s="8" t="s">
        <v>1767</v>
      </c>
      <c r="B192" s="17" t="s">
        <v>7744</v>
      </c>
      <c r="C192" s="13">
        <v>44965</v>
      </c>
      <c r="D192" s="13" t="s">
        <v>8465</v>
      </c>
      <c r="E192" s="10" t="s">
        <v>86</v>
      </c>
      <c r="F192" s="10" t="s">
        <v>30</v>
      </c>
      <c r="G192" s="11" t="s">
        <v>223</v>
      </c>
      <c r="H192" s="2" t="s">
        <v>64</v>
      </c>
      <c r="L192" s="18">
        <v>0</v>
      </c>
      <c r="Q192" s="18">
        <v>1</v>
      </c>
      <c r="R192" s="13">
        <v>44993</v>
      </c>
      <c r="S192" s="21">
        <f>34/60</f>
        <v>0.56666666666666665</v>
      </c>
      <c r="T192" s="22">
        <v>0.6</v>
      </c>
      <c r="V192" s="22">
        <f>3.72/5</f>
        <v>0.74399999999999999</v>
      </c>
      <c r="W192" s="14" t="s">
        <v>13693</v>
      </c>
      <c r="AB192" s="18">
        <f t="shared" si="4"/>
        <v>2023</v>
      </c>
      <c r="AC192" s="22">
        <f t="shared" si="5"/>
        <v>0.67199999999999993</v>
      </c>
    </row>
    <row r="193" spans="1:29">
      <c r="A193" s="8" t="s">
        <v>1544</v>
      </c>
      <c r="B193" s="17" t="s">
        <v>7800</v>
      </c>
      <c r="C193" s="13">
        <v>44953</v>
      </c>
      <c r="D193" s="13" t="s">
        <v>8465</v>
      </c>
      <c r="E193" s="10" t="s">
        <v>231</v>
      </c>
      <c r="F193" s="10" t="s">
        <v>14628</v>
      </c>
      <c r="G193" s="11" t="s">
        <v>1544</v>
      </c>
      <c r="H193" s="2" t="s">
        <v>1061</v>
      </c>
      <c r="L193" s="18">
        <v>1</v>
      </c>
      <c r="N193" s="13">
        <v>44935</v>
      </c>
      <c r="O193" s="29">
        <v>59.99</v>
      </c>
      <c r="P193" s="18" t="s">
        <v>1107</v>
      </c>
      <c r="Q193" s="18">
        <v>1</v>
      </c>
      <c r="R193" s="13">
        <v>45049</v>
      </c>
      <c r="S193" s="21">
        <f>11+26/60</f>
        <v>11.433333333333334</v>
      </c>
      <c r="T193" s="22">
        <v>0.8</v>
      </c>
      <c r="U193" s="22">
        <v>0.87</v>
      </c>
      <c r="V193" s="22">
        <f>3.9/5</f>
        <v>0.78</v>
      </c>
      <c r="W193" s="14" t="s">
        <v>7777</v>
      </c>
      <c r="AB193" s="18">
        <f t="shared" si="4"/>
        <v>2023</v>
      </c>
      <c r="AC193" s="22">
        <f t="shared" si="5"/>
        <v>0.81666666666666676</v>
      </c>
    </row>
    <row r="194" spans="1:29">
      <c r="A194" s="8" t="s">
        <v>897</v>
      </c>
      <c r="B194" s="17" t="s">
        <v>9440</v>
      </c>
      <c r="C194" s="13">
        <v>44953</v>
      </c>
      <c r="D194" s="13" t="s">
        <v>8465</v>
      </c>
      <c r="E194" s="10" t="s">
        <v>163</v>
      </c>
      <c r="F194" s="10" t="s">
        <v>8356</v>
      </c>
      <c r="G194" s="11" t="s">
        <v>1482</v>
      </c>
      <c r="H194" s="2" t="s">
        <v>1050</v>
      </c>
      <c r="L194" s="18">
        <v>0</v>
      </c>
      <c r="Q194" s="18">
        <v>1</v>
      </c>
      <c r="R194" s="13">
        <v>44970</v>
      </c>
      <c r="S194" s="21">
        <f>7+39/60</f>
        <v>7.65</v>
      </c>
      <c r="T194" s="22">
        <v>0.6</v>
      </c>
      <c r="V194" s="22">
        <f>3.21/5</f>
        <v>0.64200000000000002</v>
      </c>
      <c r="W194" s="14" t="s">
        <v>8280</v>
      </c>
      <c r="AB194" s="18">
        <f t="shared" ref="AB194:AB257" si="6">IFERROR(YEAR(C194), "Early Access")</f>
        <v>2023</v>
      </c>
      <c r="AC194" s="22">
        <f t="shared" ref="AC194:AC257" si="7">AVERAGE(T194, U194, V194, IF(ISBLANK(X194), X194, X194/5))</f>
        <v>0.621</v>
      </c>
    </row>
    <row r="195" spans="1:29">
      <c r="A195" s="8" t="s">
        <v>15307</v>
      </c>
      <c r="B195" s="17" t="s">
        <v>7800</v>
      </c>
      <c r="C195" s="13">
        <v>44952</v>
      </c>
      <c r="D195" s="13" t="s">
        <v>8465</v>
      </c>
      <c r="E195" s="10" t="s">
        <v>15308</v>
      </c>
      <c r="F195" s="10" t="s">
        <v>15308</v>
      </c>
      <c r="H195" s="2" t="s">
        <v>64</v>
      </c>
      <c r="L195" s="18">
        <v>1</v>
      </c>
      <c r="N195" s="13">
        <v>45106</v>
      </c>
      <c r="O195" s="29">
        <v>14.99</v>
      </c>
      <c r="P195" s="18" t="s">
        <v>1107</v>
      </c>
      <c r="Q195" s="18">
        <v>1</v>
      </c>
      <c r="R195" s="13">
        <v>45139</v>
      </c>
      <c r="S195" s="21">
        <f>5+1/60</f>
        <v>5.0166666666666666</v>
      </c>
      <c r="T195" s="22">
        <v>0.85</v>
      </c>
      <c r="U195" s="22">
        <v>0.89</v>
      </c>
      <c r="V195" s="22">
        <f>4.09/5</f>
        <v>0.81799999999999995</v>
      </c>
      <c r="W195" s="14" t="s">
        <v>7777</v>
      </c>
      <c r="AB195" s="18">
        <f t="shared" si="6"/>
        <v>2023</v>
      </c>
      <c r="AC195" s="22">
        <f t="shared" si="7"/>
        <v>0.85266666666666657</v>
      </c>
    </row>
    <row r="196" spans="1:29">
      <c r="A196" s="8" t="s">
        <v>13535</v>
      </c>
      <c r="B196" s="17" t="s">
        <v>9440</v>
      </c>
      <c r="C196" s="13">
        <v>44951</v>
      </c>
      <c r="D196" s="13" t="s">
        <v>8465</v>
      </c>
      <c r="E196" s="10" t="s">
        <v>1690</v>
      </c>
      <c r="F196" s="10" t="s">
        <v>5306</v>
      </c>
      <c r="H196" s="2" t="s">
        <v>1059</v>
      </c>
      <c r="L196" s="18">
        <v>0</v>
      </c>
      <c r="Q196" s="18">
        <v>1</v>
      </c>
      <c r="R196" s="13">
        <v>44969</v>
      </c>
      <c r="S196" s="21">
        <f>9+33/60</f>
        <v>9.5500000000000007</v>
      </c>
      <c r="T196" s="22">
        <v>0.8</v>
      </c>
      <c r="U196" s="22">
        <v>0.88</v>
      </c>
      <c r="V196" s="22">
        <f>3.79/5</f>
        <v>0.75800000000000001</v>
      </c>
      <c r="W196" s="14" t="s">
        <v>8280</v>
      </c>
      <c r="AB196" s="18">
        <f t="shared" si="6"/>
        <v>2023</v>
      </c>
      <c r="AC196" s="22">
        <f t="shared" si="7"/>
        <v>0.81266666666666676</v>
      </c>
    </row>
    <row r="197" spans="1:29">
      <c r="A197" s="8" t="s">
        <v>12679</v>
      </c>
      <c r="B197" s="17" t="s">
        <v>7744</v>
      </c>
      <c r="C197" s="13">
        <v>44946</v>
      </c>
      <c r="D197" s="13" t="s">
        <v>8465</v>
      </c>
      <c r="E197" s="10" t="s">
        <v>86</v>
      </c>
      <c r="F197" s="10" t="s">
        <v>1069</v>
      </c>
      <c r="G197" s="11" t="s">
        <v>305</v>
      </c>
      <c r="H197" s="2" t="s">
        <v>75</v>
      </c>
      <c r="L197" s="18">
        <v>1</v>
      </c>
      <c r="M197" s="14" t="s">
        <v>8462</v>
      </c>
      <c r="N197" s="13">
        <v>45191</v>
      </c>
      <c r="O197" s="29">
        <v>65.16</v>
      </c>
      <c r="P197" s="18" t="s">
        <v>14</v>
      </c>
      <c r="Q197" s="18">
        <v>1</v>
      </c>
      <c r="R197" s="13">
        <v>45180</v>
      </c>
      <c r="S197" s="21">
        <f>39+30/60</f>
        <v>39.5</v>
      </c>
      <c r="T197" s="22">
        <v>0.9</v>
      </c>
      <c r="U197" s="22">
        <v>0.82</v>
      </c>
      <c r="V197" s="22">
        <f>3.97/5</f>
        <v>0.79400000000000004</v>
      </c>
      <c r="AB197" s="18">
        <f t="shared" si="6"/>
        <v>2023</v>
      </c>
      <c r="AC197" s="22">
        <f t="shared" si="7"/>
        <v>0.83800000000000008</v>
      </c>
    </row>
    <row r="198" spans="1:29">
      <c r="A198" s="8" t="s">
        <v>13802</v>
      </c>
      <c r="B198" s="17" t="s">
        <v>13799</v>
      </c>
      <c r="C198" s="13">
        <v>44941</v>
      </c>
      <c r="D198" s="13" t="s">
        <v>8465</v>
      </c>
      <c r="E198" s="10" t="s">
        <v>13803</v>
      </c>
      <c r="F198" s="10" t="s">
        <v>13803</v>
      </c>
      <c r="H198" s="2" t="s">
        <v>143</v>
      </c>
      <c r="L198" s="18">
        <v>1</v>
      </c>
      <c r="N198" s="13">
        <v>45004</v>
      </c>
      <c r="O198" s="29">
        <v>0</v>
      </c>
      <c r="P198" s="18" t="s">
        <v>1107</v>
      </c>
      <c r="Q198" s="18">
        <v>1</v>
      </c>
      <c r="R198" s="13">
        <v>45196</v>
      </c>
      <c r="T198" s="22">
        <v>0.3</v>
      </c>
      <c r="W198" s="14" t="s">
        <v>13799</v>
      </c>
      <c r="AB198" s="18">
        <f t="shared" si="6"/>
        <v>2023</v>
      </c>
      <c r="AC198" s="22">
        <f t="shared" si="7"/>
        <v>0.3</v>
      </c>
    </row>
    <row r="199" spans="1:29">
      <c r="A199" s="8" t="s">
        <v>13629</v>
      </c>
      <c r="B199" s="17" t="s">
        <v>7800</v>
      </c>
      <c r="C199" s="13">
        <v>44917</v>
      </c>
      <c r="D199" s="13" t="s">
        <v>8465</v>
      </c>
      <c r="E199" s="10" t="s">
        <v>8781</v>
      </c>
      <c r="F199" s="10" t="s">
        <v>8781</v>
      </c>
      <c r="G199" s="11" t="s">
        <v>13630</v>
      </c>
      <c r="H199" s="2" t="s">
        <v>255</v>
      </c>
      <c r="L199" s="18">
        <v>1</v>
      </c>
      <c r="N199" s="13">
        <v>44986</v>
      </c>
      <c r="O199" s="29">
        <v>0</v>
      </c>
      <c r="P199" s="18" t="s">
        <v>1107</v>
      </c>
      <c r="Q199" s="18">
        <v>0</v>
      </c>
      <c r="W199" s="14" t="s">
        <v>7777</v>
      </c>
      <c r="X199" s="3">
        <v>2</v>
      </c>
      <c r="AB199" s="18">
        <f t="shared" si="6"/>
        <v>2022</v>
      </c>
      <c r="AC199" s="22">
        <f t="shared" si="7"/>
        <v>0.4</v>
      </c>
    </row>
    <row r="200" spans="1:29">
      <c r="A200" s="8" t="s">
        <v>13049</v>
      </c>
      <c r="B200" s="17" t="s">
        <v>7800</v>
      </c>
      <c r="C200" s="13">
        <v>44917</v>
      </c>
      <c r="D200" s="13" t="s">
        <v>8465</v>
      </c>
      <c r="E200" s="10" t="s">
        <v>13050</v>
      </c>
      <c r="F200" s="10" t="s">
        <v>10089</v>
      </c>
      <c r="H200" s="2" t="s">
        <v>21</v>
      </c>
      <c r="L200" s="18">
        <v>1</v>
      </c>
      <c r="N200" s="13">
        <v>44922</v>
      </c>
      <c r="O200" s="29">
        <v>0</v>
      </c>
      <c r="P200" s="18" t="s">
        <v>1107</v>
      </c>
      <c r="Q200" s="18">
        <v>0</v>
      </c>
      <c r="W200" s="14" t="s">
        <v>7777</v>
      </c>
      <c r="X200" s="3">
        <v>2</v>
      </c>
      <c r="AB200" s="18">
        <f t="shared" si="6"/>
        <v>2022</v>
      </c>
      <c r="AC200" s="22">
        <f t="shared" si="7"/>
        <v>0.4</v>
      </c>
    </row>
    <row r="201" spans="1:29" ht="25.5">
      <c r="A201" s="8" t="s">
        <v>15044</v>
      </c>
      <c r="B201" s="17" t="s">
        <v>7800</v>
      </c>
      <c r="C201" s="13">
        <v>44915</v>
      </c>
      <c r="D201" s="13" t="s">
        <v>8465</v>
      </c>
      <c r="E201" s="10" t="s">
        <v>15045</v>
      </c>
      <c r="F201" s="10" t="s">
        <v>15045</v>
      </c>
      <c r="H201" s="2" t="s">
        <v>149</v>
      </c>
      <c r="L201" s="18">
        <v>1</v>
      </c>
      <c r="N201" s="13">
        <v>45084</v>
      </c>
      <c r="O201" s="29">
        <v>12</v>
      </c>
      <c r="P201" s="18" t="s">
        <v>1107</v>
      </c>
      <c r="Q201" s="18">
        <v>0</v>
      </c>
      <c r="V201" s="22">
        <f>4.67/5</f>
        <v>0.93399999999999994</v>
      </c>
      <c r="W201" s="14" t="s">
        <v>7777</v>
      </c>
      <c r="X201" s="3">
        <v>3</v>
      </c>
      <c r="Z201" s="23">
        <v>17.5</v>
      </c>
      <c r="AB201" s="18">
        <f t="shared" si="6"/>
        <v>2022</v>
      </c>
      <c r="AC201" s="22">
        <f t="shared" si="7"/>
        <v>0.7669999999999999</v>
      </c>
    </row>
    <row r="202" spans="1:29" ht="25.5">
      <c r="A202" s="8" t="s">
        <v>14391</v>
      </c>
      <c r="B202" s="17" t="s">
        <v>7744</v>
      </c>
      <c r="C202" s="13">
        <v>44914</v>
      </c>
      <c r="D202" s="13" t="s">
        <v>8465</v>
      </c>
      <c r="E202" s="10" t="s">
        <v>1794</v>
      </c>
      <c r="F202" s="10" t="s">
        <v>1794</v>
      </c>
      <c r="G202" s="11" t="s">
        <v>10286</v>
      </c>
      <c r="H202" s="2" t="s">
        <v>78</v>
      </c>
      <c r="L202" s="18">
        <v>1</v>
      </c>
      <c r="N202" s="13">
        <v>45037</v>
      </c>
      <c r="O202" s="29">
        <v>15.99</v>
      </c>
      <c r="P202" s="18" t="s">
        <v>1107</v>
      </c>
      <c r="Q202" s="18">
        <v>0</v>
      </c>
      <c r="V202" s="22">
        <f>2/5</f>
        <v>0.4</v>
      </c>
      <c r="X202" s="3">
        <v>3</v>
      </c>
      <c r="AB202" s="18">
        <f t="shared" si="6"/>
        <v>2022</v>
      </c>
      <c r="AC202" s="22">
        <f t="shared" si="7"/>
        <v>0.5</v>
      </c>
    </row>
    <row r="203" spans="1:29">
      <c r="A203" s="8" t="s">
        <v>15814</v>
      </c>
      <c r="B203" s="17" t="s">
        <v>9440</v>
      </c>
      <c r="C203" s="13">
        <v>44912</v>
      </c>
      <c r="D203" s="13" t="s">
        <v>8465</v>
      </c>
      <c r="E203" s="10" t="s">
        <v>1163</v>
      </c>
      <c r="F203" s="10" t="s">
        <v>15815</v>
      </c>
      <c r="G203" s="11" t="s">
        <v>4000</v>
      </c>
      <c r="H203" s="2" t="s">
        <v>80</v>
      </c>
      <c r="L203" s="18">
        <v>1</v>
      </c>
      <c r="M203" s="14" t="s">
        <v>8462</v>
      </c>
      <c r="N203" s="13">
        <v>45172</v>
      </c>
      <c r="O203" s="29">
        <v>10.86</v>
      </c>
      <c r="P203" s="18" t="s">
        <v>14</v>
      </c>
      <c r="Q203" s="18">
        <v>0</v>
      </c>
      <c r="U203" s="22">
        <v>0.78</v>
      </c>
      <c r="V203" s="22">
        <f>4/5</f>
        <v>0.8</v>
      </c>
      <c r="X203" s="3">
        <v>3</v>
      </c>
      <c r="Z203" s="23">
        <v>7</v>
      </c>
      <c r="AB203" s="18">
        <f t="shared" si="6"/>
        <v>2022</v>
      </c>
      <c r="AC203" s="22">
        <f t="shared" si="7"/>
        <v>0.72666666666666668</v>
      </c>
    </row>
    <row r="204" spans="1:29">
      <c r="A204" s="8" t="s">
        <v>13609</v>
      </c>
      <c r="B204" s="17" t="s">
        <v>7744</v>
      </c>
      <c r="C204" s="13">
        <v>44910</v>
      </c>
      <c r="D204" s="13" t="s">
        <v>8463</v>
      </c>
      <c r="E204" s="10" t="s">
        <v>467</v>
      </c>
      <c r="F204" s="10" t="s">
        <v>467</v>
      </c>
      <c r="H204" s="2" t="s">
        <v>21</v>
      </c>
      <c r="K204" s="18">
        <v>2</v>
      </c>
      <c r="L204" s="18">
        <v>1</v>
      </c>
      <c r="M204" s="14" t="s">
        <v>8462</v>
      </c>
      <c r="N204" s="13">
        <v>44973</v>
      </c>
      <c r="O204" s="29">
        <v>16.89</v>
      </c>
      <c r="P204" s="18" t="s">
        <v>14</v>
      </c>
      <c r="Q204" s="18">
        <v>0</v>
      </c>
      <c r="X204" s="3">
        <v>2</v>
      </c>
      <c r="Z204" s="23">
        <f>41/60</f>
        <v>0.68333333333333335</v>
      </c>
      <c r="AB204" s="18">
        <f t="shared" si="6"/>
        <v>2022</v>
      </c>
      <c r="AC204" s="22">
        <f t="shared" si="7"/>
        <v>0.4</v>
      </c>
    </row>
    <row r="205" spans="1:29" ht="38.25">
      <c r="A205" s="8" t="s">
        <v>15374</v>
      </c>
      <c r="B205" s="17" t="s">
        <v>7744</v>
      </c>
      <c r="C205" s="13">
        <v>44908</v>
      </c>
      <c r="D205" s="13" t="s">
        <v>8465</v>
      </c>
      <c r="E205" s="10" t="s">
        <v>12907</v>
      </c>
      <c r="F205" s="10" t="s">
        <v>15375</v>
      </c>
      <c r="G205" s="11" t="s">
        <v>3692</v>
      </c>
      <c r="H205" s="2" t="s">
        <v>6510</v>
      </c>
      <c r="L205" s="18">
        <v>1</v>
      </c>
      <c r="M205" s="14" t="s">
        <v>8462</v>
      </c>
      <c r="N205" s="13">
        <v>45116</v>
      </c>
      <c r="O205" s="29">
        <v>16.28</v>
      </c>
      <c r="P205" s="18" t="s">
        <v>14</v>
      </c>
      <c r="Q205" s="18">
        <v>0</v>
      </c>
      <c r="X205" s="3">
        <v>2</v>
      </c>
      <c r="Z205" s="23">
        <f>4+2.5</f>
        <v>6.5</v>
      </c>
      <c r="AB205" s="18">
        <f t="shared" si="6"/>
        <v>2022</v>
      </c>
      <c r="AC205" s="22">
        <f t="shared" si="7"/>
        <v>0.4</v>
      </c>
    </row>
    <row r="206" spans="1:29" ht="25.5">
      <c r="A206" s="8" t="s">
        <v>12271</v>
      </c>
      <c r="B206" s="17" t="s">
        <v>7744</v>
      </c>
      <c r="C206" s="13">
        <v>44904</v>
      </c>
      <c r="D206" s="13" t="s">
        <v>8465</v>
      </c>
      <c r="E206" s="10" t="s">
        <v>1082</v>
      </c>
      <c r="F206" s="10" t="s">
        <v>7406</v>
      </c>
      <c r="G206" s="11" t="s">
        <v>140</v>
      </c>
      <c r="H206" s="2" t="s">
        <v>171</v>
      </c>
      <c r="L206" s="18">
        <v>1</v>
      </c>
      <c r="M206" s="14" t="s">
        <v>8462</v>
      </c>
      <c r="N206" s="13">
        <v>44781</v>
      </c>
      <c r="O206" s="29">
        <v>65.16</v>
      </c>
      <c r="P206" s="18" t="s">
        <v>14</v>
      </c>
      <c r="Q206" s="18">
        <v>0</v>
      </c>
      <c r="U206" s="22">
        <v>0.76</v>
      </c>
      <c r="V206" s="22">
        <f>3.5/5</f>
        <v>0.7</v>
      </c>
      <c r="X206" s="3">
        <v>3</v>
      </c>
      <c r="Z206" s="23">
        <v>21</v>
      </c>
      <c r="AB206" s="18">
        <f t="shared" si="6"/>
        <v>2022</v>
      </c>
      <c r="AC206" s="22">
        <f t="shared" si="7"/>
        <v>0.68666666666666665</v>
      </c>
    </row>
    <row r="207" spans="1:29" ht="38.25">
      <c r="A207" s="8" t="s">
        <v>12853</v>
      </c>
      <c r="B207" s="17" t="s">
        <v>7744</v>
      </c>
      <c r="C207" s="13">
        <v>44904</v>
      </c>
      <c r="D207" s="13" t="s">
        <v>8465</v>
      </c>
      <c r="E207" s="10" t="s">
        <v>7877</v>
      </c>
      <c r="F207" s="10" t="s">
        <v>3029</v>
      </c>
      <c r="G207" s="11" t="s">
        <v>8802</v>
      </c>
      <c r="H207" s="2" t="s">
        <v>75</v>
      </c>
      <c r="L207" s="18">
        <v>1</v>
      </c>
      <c r="M207" s="14" t="s">
        <v>8462</v>
      </c>
      <c r="N207" s="13">
        <v>44841</v>
      </c>
      <c r="O207" s="29">
        <v>43.44</v>
      </c>
      <c r="P207" s="18" t="s">
        <v>14</v>
      </c>
      <c r="Q207" s="18">
        <v>0</v>
      </c>
      <c r="U207" s="22">
        <v>0.57999999999999996</v>
      </c>
      <c r="X207" s="3">
        <v>2</v>
      </c>
      <c r="AB207" s="18">
        <f t="shared" si="6"/>
        <v>2022</v>
      </c>
      <c r="AC207" s="22">
        <f t="shared" si="7"/>
        <v>0.49</v>
      </c>
    </row>
    <row r="208" spans="1:29">
      <c r="A208" s="8" t="s">
        <v>15280</v>
      </c>
      <c r="B208" s="17" t="s">
        <v>7800</v>
      </c>
      <c r="C208" s="13">
        <v>44903</v>
      </c>
      <c r="D208" s="13" t="s">
        <v>8465</v>
      </c>
      <c r="E208" s="10" t="s">
        <v>3511</v>
      </c>
      <c r="F208" s="10" t="s">
        <v>15281</v>
      </c>
      <c r="H208" s="2" t="s">
        <v>149</v>
      </c>
      <c r="L208" s="18">
        <v>1</v>
      </c>
      <c r="N208" s="13">
        <v>45101</v>
      </c>
      <c r="O208" s="29">
        <v>19.989999999999998</v>
      </c>
      <c r="P208" s="18" t="s">
        <v>1107</v>
      </c>
      <c r="Q208" s="18">
        <v>0</v>
      </c>
      <c r="U208" s="22">
        <v>0.91</v>
      </c>
      <c r="V208" s="22">
        <f>4/5</f>
        <v>0.8</v>
      </c>
      <c r="W208" s="14" t="s">
        <v>7777</v>
      </c>
      <c r="X208" s="3">
        <v>5</v>
      </c>
      <c r="Z208" s="23">
        <v>32.5</v>
      </c>
      <c r="AB208" s="18">
        <f t="shared" si="6"/>
        <v>2022</v>
      </c>
      <c r="AC208" s="22">
        <f t="shared" si="7"/>
        <v>0.90333333333333332</v>
      </c>
    </row>
    <row r="209" spans="1:29">
      <c r="A209" s="8" t="s">
        <v>13409</v>
      </c>
      <c r="B209" s="17" t="s">
        <v>7744</v>
      </c>
      <c r="C209" s="13">
        <v>44903</v>
      </c>
      <c r="D209" s="13" t="s">
        <v>8465</v>
      </c>
      <c r="E209" s="10" t="s">
        <v>13407</v>
      </c>
      <c r="F209" s="10" t="s">
        <v>8438</v>
      </c>
      <c r="G209" s="11" t="s">
        <v>13408</v>
      </c>
      <c r="H209" s="2" t="s">
        <v>1057</v>
      </c>
      <c r="L209" s="18">
        <v>1</v>
      </c>
      <c r="M209" s="14" t="s">
        <v>8462</v>
      </c>
      <c r="N209" s="13">
        <v>44868</v>
      </c>
      <c r="O209" s="29">
        <v>65.16</v>
      </c>
      <c r="P209" s="18" t="s">
        <v>14</v>
      </c>
      <c r="Q209" s="18">
        <v>0</v>
      </c>
      <c r="U209" s="22">
        <v>0.81</v>
      </c>
      <c r="V209" s="22">
        <f>3.9/5</f>
        <v>0.78</v>
      </c>
      <c r="W209" s="14" t="s">
        <v>13410</v>
      </c>
      <c r="X209" s="3">
        <v>3</v>
      </c>
      <c r="Z209" s="23">
        <v>20</v>
      </c>
      <c r="AB209" s="18">
        <f t="shared" si="6"/>
        <v>2022</v>
      </c>
      <c r="AC209" s="22">
        <f t="shared" si="7"/>
        <v>0.73</v>
      </c>
    </row>
    <row r="210" spans="1:29">
      <c r="A210" s="8" t="s">
        <v>15857</v>
      </c>
      <c r="B210" s="17" t="s">
        <v>7800</v>
      </c>
      <c r="C210" s="13">
        <v>44903</v>
      </c>
      <c r="D210" s="13" t="s">
        <v>8465</v>
      </c>
      <c r="E210" s="10" t="s">
        <v>3890</v>
      </c>
      <c r="F210" s="10" t="s">
        <v>15858</v>
      </c>
      <c r="H210" s="2" t="s">
        <v>67</v>
      </c>
      <c r="L210" s="18">
        <v>1</v>
      </c>
      <c r="N210" s="13">
        <v>45192</v>
      </c>
      <c r="O210" s="29">
        <v>0</v>
      </c>
      <c r="P210" s="18" t="s">
        <v>1107</v>
      </c>
      <c r="Q210" s="18">
        <v>0</v>
      </c>
      <c r="U210" s="22">
        <v>0.72</v>
      </c>
      <c r="V210" s="22">
        <f>2.75/5</f>
        <v>0.55000000000000004</v>
      </c>
      <c r="W210" s="14" t="s">
        <v>7097</v>
      </c>
      <c r="X210" s="3">
        <v>2</v>
      </c>
      <c r="Z210" s="23">
        <v>1</v>
      </c>
      <c r="AB210" s="18">
        <f t="shared" si="6"/>
        <v>2022</v>
      </c>
      <c r="AC210" s="22">
        <f t="shared" si="7"/>
        <v>0.55666666666666664</v>
      </c>
    </row>
    <row r="211" spans="1:29">
      <c r="A211" s="8" t="s">
        <v>13988</v>
      </c>
      <c r="B211" s="17" t="s">
        <v>7800</v>
      </c>
      <c r="C211" s="13">
        <v>44901</v>
      </c>
      <c r="D211" s="13" t="s">
        <v>8465</v>
      </c>
      <c r="E211" s="10" t="s">
        <v>13989</v>
      </c>
      <c r="F211" s="10" t="s">
        <v>13990</v>
      </c>
      <c r="H211" s="2" t="s">
        <v>1050</v>
      </c>
      <c r="L211" s="18">
        <v>1</v>
      </c>
      <c r="N211" s="13">
        <v>45014</v>
      </c>
      <c r="O211" s="29">
        <v>0</v>
      </c>
      <c r="P211" s="18" t="s">
        <v>1107</v>
      </c>
      <c r="Q211" s="18">
        <v>0</v>
      </c>
      <c r="W211" s="14" t="s">
        <v>7777</v>
      </c>
      <c r="X211" s="3">
        <v>3</v>
      </c>
      <c r="Z211" s="23">
        <v>3.5</v>
      </c>
      <c r="AB211" s="18">
        <f t="shared" si="6"/>
        <v>2022</v>
      </c>
      <c r="AC211" s="22">
        <f t="shared" si="7"/>
        <v>0.6</v>
      </c>
    </row>
    <row r="212" spans="1:29">
      <c r="A212" s="8" t="s">
        <v>15550</v>
      </c>
      <c r="B212" s="17" t="s">
        <v>7800</v>
      </c>
      <c r="C212" s="13">
        <v>44901</v>
      </c>
      <c r="D212" s="13" t="s">
        <v>8465</v>
      </c>
      <c r="E212" s="10" t="s">
        <v>15551</v>
      </c>
      <c r="F212" s="10" t="s">
        <v>15551</v>
      </c>
      <c r="H212" s="2" t="s">
        <v>21</v>
      </c>
      <c r="L212" s="18">
        <v>1</v>
      </c>
      <c r="N212" s="13">
        <v>45159</v>
      </c>
      <c r="O212" s="29">
        <v>2.2000000000000002</v>
      </c>
      <c r="P212" s="18" t="s">
        <v>1107</v>
      </c>
      <c r="Q212" s="18">
        <v>0</v>
      </c>
      <c r="W212" s="14" t="s">
        <v>7777</v>
      </c>
      <c r="X212" s="3">
        <v>2</v>
      </c>
      <c r="Z212" s="23">
        <v>3.5</v>
      </c>
      <c r="AB212" s="18">
        <f t="shared" si="6"/>
        <v>2022</v>
      </c>
      <c r="AC212" s="22">
        <f t="shared" si="7"/>
        <v>0.4</v>
      </c>
    </row>
    <row r="213" spans="1:29">
      <c r="A213" s="8" t="s">
        <v>14737</v>
      </c>
      <c r="B213" s="17" t="s">
        <v>9431</v>
      </c>
      <c r="C213" s="13">
        <v>44897</v>
      </c>
      <c r="D213" s="13" t="s">
        <v>8465</v>
      </c>
      <c r="E213" s="10" t="s">
        <v>3310</v>
      </c>
      <c r="F213" s="10" t="s">
        <v>4993</v>
      </c>
      <c r="G213" s="11" t="s">
        <v>1308</v>
      </c>
      <c r="H213" s="2" t="s">
        <v>3937</v>
      </c>
      <c r="L213" s="18">
        <v>1</v>
      </c>
      <c r="M213" s="14" t="s">
        <v>8462</v>
      </c>
      <c r="N213" s="13">
        <v>45048</v>
      </c>
      <c r="O213" s="29">
        <f>54.29/2</f>
        <v>27.145</v>
      </c>
      <c r="P213" s="18" t="s">
        <v>14</v>
      </c>
      <c r="Q213" s="18">
        <v>0</v>
      </c>
      <c r="U213" s="22">
        <v>0.81</v>
      </c>
      <c r="V213" s="22">
        <f>4.04/5</f>
        <v>0.80800000000000005</v>
      </c>
      <c r="W213" s="14" t="s">
        <v>14738</v>
      </c>
      <c r="X213" s="3">
        <v>4</v>
      </c>
      <c r="Z213" s="23">
        <v>37.5</v>
      </c>
      <c r="AB213" s="18">
        <f t="shared" si="6"/>
        <v>2022</v>
      </c>
      <c r="AC213" s="22">
        <f t="shared" si="7"/>
        <v>0.80600000000000005</v>
      </c>
    </row>
    <row r="214" spans="1:29" ht="25.5">
      <c r="A214" s="8" t="s">
        <v>13027</v>
      </c>
      <c r="B214" s="17" t="s">
        <v>9431</v>
      </c>
      <c r="C214" s="13">
        <v>44897</v>
      </c>
      <c r="D214" s="13" t="s">
        <v>8465</v>
      </c>
      <c r="E214" s="10" t="s">
        <v>231</v>
      </c>
      <c r="F214" s="10" t="s">
        <v>3393</v>
      </c>
      <c r="G214" s="11" t="s">
        <v>4518</v>
      </c>
      <c r="H214" s="2" t="s">
        <v>150</v>
      </c>
      <c r="L214" s="18">
        <v>1</v>
      </c>
      <c r="M214" s="14" t="s">
        <v>8462</v>
      </c>
      <c r="N214" s="13">
        <v>44913</v>
      </c>
      <c r="O214" s="29">
        <v>38.25</v>
      </c>
      <c r="P214" s="18" t="s">
        <v>14</v>
      </c>
      <c r="Q214" s="18">
        <v>0</v>
      </c>
      <c r="U214" s="22">
        <v>0.77</v>
      </c>
      <c r="V214" s="22">
        <f>2.86/5</f>
        <v>0.57199999999999995</v>
      </c>
      <c r="X214" s="3">
        <v>3</v>
      </c>
      <c r="Z214" s="23">
        <v>22</v>
      </c>
      <c r="AB214" s="18">
        <f t="shared" si="6"/>
        <v>2022</v>
      </c>
      <c r="AC214" s="22">
        <f t="shared" si="7"/>
        <v>0.64733333333333343</v>
      </c>
    </row>
    <row r="215" spans="1:29" ht="30">
      <c r="A215" s="9" t="s">
        <v>14613</v>
      </c>
      <c r="B215" s="17" t="s">
        <v>9431</v>
      </c>
      <c r="C215" s="13">
        <v>44897</v>
      </c>
      <c r="D215" s="13" t="s">
        <v>8465</v>
      </c>
      <c r="E215" s="10" t="s">
        <v>12476</v>
      </c>
      <c r="F215" s="10" t="s">
        <v>14614</v>
      </c>
      <c r="H215" s="2" t="s">
        <v>1061</v>
      </c>
      <c r="L215" s="18">
        <v>1</v>
      </c>
      <c r="M215" s="14" t="s">
        <v>8462</v>
      </c>
      <c r="N215" s="13">
        <v>45046</v>
      </c>
      <c r="O215" s="29">
        <v>32.58</v>
      </c>
      <c r="P215" s="18" t="s">
        <v>14</v>
      </c>
      <c r="Q215" s="18">
        <v>0</v>
      </c>
      <c r="U215" s="22">
        <v>0.69</v>
      </c>
      <c r="V215" s="22">
        <f>3.17/5</f>
        <v>0.63400000000000001</v>
      </c>
      <c r="X215" s="3">
        <v>3</v>
      </c>
      <c r="Z215" s="23">
        <v>10</v>
      </c>
      <c r="AB215" s="18">
        <f t="shared" si="6"/>
        <v>2022</v>
      </c>
      <c r="AC215" s="22">
        <f t="shared" si="7"/>
        <v>0.64133333333333331</v>
      </c>
    </row>
    <row r="216" spans="1:29">
      <c r="A216" s="8" t="s">
        <v>12854</v>
      </c>
      <c r="B216" s="17" t="s">
        <v>7744</v>
      </c>
      <c r="C216" s="13">
        <v>44896</v>
      </c>
      <c r="D216" s="13" t="s">
        <v>8463</v>
      </c>
      <c r="E216" s="10" t="s">
        <v>479</v>
      </c>
      <c r="F216" s="10" t="s">
        <v>479</v>
      </c>
      <c r="G216" s="11" t="s">
        <v>7980</v>
      </c>
      <c r="H216" s="2" t="s">
        <v>153</v>
      </c>
      <c r="K216" s="18">
        <v>2</v>
      </c>
      <c r="L216" s="18">
        <v>1</v>
      </c>
      <c r="M216" s="14" t="s">
        <v>8462</v>
      </c>
      <c r="N216" s="13">
        <v>44860</v>
      </c>
      <c r="O216" s="29">
        <v>35.99</v>
      </c>
      <c r="P216" s="18" t="s">
        <v>14</v>
      </c>
      <c r="Q216" s="18">
        <v>0</v>
      </c>
      <c r="X216" s="3">
        <v>4</v>
      </c>
      <c r="Z216" s="23">
        <f>7+9.5</f>
        <v>16.5</v>
      </c>
      <c r="AB216" s="18">
        <f t="shared" si="6"/>
        <v>2022</v>
      </c>
      <c r="AC216" s="22">
        <f t="shared" si="7"/>
        <v>0.8</v>
      </c>
    </row>
    <row r="217" spans="1:29" ht="38.25">
      <c r="A217" s="8" t="s">
        <v>12987</v>
      </c>
      <c r="B217" s="17" t="s">
        <v>7744</v>
      </c>
      <c r="C217" s="13">
        <v>44896</v>
      </c>
      <c r="D217" s="13" t="s">
        <v>8463</v>
      </c>
      <c r="E217" s="10" t="s">
        <v>1082</v>
      </c>
      <c r="F217" s="10" t="s">
        <v>1082</v>
      </c>
      <c r="G217" s="11" t="s">
        <v>9517</v>
      </c>
      <c r="H217" s="2" t="s">
        <v>149</v>
      </c>
      <c r="K217" s="18">
        <v>2</v>
      </c>
      <c r="L217" s="18">
        <v>1</v>
      </c>
      <c r="M217" s="14" t="s">
        <v>8462</v>
      </c>
      <c r="N217" s="13">
        <v>44899</v>
      </c>
      <c r="O217" s="29">
        <v>39.99</v>
      </c>
      <c r="P217" s="18" t="s">
        <v>14</v>
      </c>
      <c r="Q217" s="18">
        <v>0</v>
      </c>
      <c r="U217" s="22">
        <v>0.68</v>
      </c>
      <c r="V217" s="22">
        <f>3.3/5</f>
        <v>0.65999999999999992</v>
      </c>
      <c r="X217" s="3">
        <v>4</v>
      </c>
      <c r="Z217" s="23">
        <v>25.5</v>
      </c>
      <c r="AB217" s="18">
        <f t="shared" si="6"/>
        <v>2022</v>
      </c>
      <c r="AC217" s="22">
        <f t="shared" si="7"/>
        <v>0.71333333333333326</v>
      </c>
    </row>
    <row r="218" spans="1:29">
      <c r="A218" s="8" t="s">
        <v>13544</v>
      </c>
      <c r="B218" s="17" t="s">
        <v>7744</v>
      </c>
      <c r="C218" s="13">
        <v>44896</v>
      </c>
      <c r="D218" s="13" t="s">
        <v>8465</v>
      </c>
      <c r="E218" s="10" t="s">
        <v>4664</v>
      </c>
      <c r="F218" s="10" t="s">
        <v>13545</v>
      </c>
      <c r="H218" s="2" t="s">
        <v>149</v>
      </c>
      <c r="L218" s="18">
        <v>1</v>
      </c>
      <c r="M218" s="14" t="s">
        <v>8462</v>
      </c>
      <c r="N218" s="13">
        <v>44970</v>
      </c>
      <c r="O218" s="29">
        <v>27.15</v>
      </c>
      <c r="P218" s="18" t="s">
        <v>14</v>
      </c>
      <c r="Q218" s="18">
        <v>0</v>
      </c>
      <c r="V218" s="22">
        <f>3.5/5</f>
        <v>0.7</v>
      </c>
      <c r="X218" s="3">
        <v>3</v>
      </c>
      <c r="Z218" s="23">
        <v>15.5</v>
      </c>
      <c r="AB218" s="18">
        <f t="shared" si="6"/>
        <v>2022</v>
      </c>
      <c r="AC218" s="22">
        <f t="shared" si="7"/>
        <v>0.64999999999999991</v>
      </c>
    </row>
    <row r="219" spans="1:29">
      <c r="A219" s="8" t="s">
        <v>12988</v>
      </c>
      <c r="B219" s="17" t="s">
        <v>7744</v>
      </c>
      <c r="C219" s="13">
        <v>44896</v>
      </c>
      <c r="D219" s="13" t="s">
        <v>8463</v>
      </c>
      <c r="E219" s="10" t="s">
        <v>2298</v>
      </c>
      <c r="F219" s="10" t="s">
        <v>1085</v>
      </c>
      <c r="H219" s="2" t="s">
        <v>1059</v>
      </c>
      <c r="K219" s="18">
        <v>2</v>
      </c>
      <c r="L219" s="18">
        <v>1</v>
      </c>
      <c r="M219" s="14" t="s">
        <v>8462</v>
      </c>
      <c r="N219" s="13">
        <v>44899</v>
      </c>
      <c r="O219" s="29">
        <v>57.99</v>
      </c>
      <c r="P219" s="18" t="s">
        <v>14</v>
      </c>
      <c r="Q219" s="18">
        <v>0</v>
      </c>
      <c r="U219" s="22">
        <v>0.68</v>
      </c>
      <c r="V219" s="22">
        <f>2.17/5</f>
        <v>0.434</v>
      </c>
      <c r="X219" s="3">
        <v>3</v>
      </c>
      <c r="Z219" s="23">
        <v>9.5</v>
      </c>
      <c r="AB219" s="18">
        <f t="shared" si="6"/>
        <v>2022</v>
      </c>
      <c r="AC219" s="22">
        <f t="shared" si="7"/>
        <v>0.57133333333333336</v>
      </c>
    </row>
    <row r="220" spans="1:29" ht="25.5">
      <c r="A220" s="8" t="s">
        <v>13613</v>
      </c>
      <c r="B220" s="17" t="s">
        <v>7744</v>
      </c>
      <c r="C220" s="13">
        <v>44895</v>
      </c>
      <c r="D220" s="13" t="s">
        <v>8465</v>
      </c>
      <c r="E220" s="10" t="s">
        <v>9458</v>
      </c>
      <c r="F220" s="10" t="s">
        <v>9459</v>
      </c>
      <c r="G220" s="11" t="s">
        <v>812</v>
      </c>
      <c r="H220" s="2" t="s">
        <v>75</v>
      </c>
      <c r="L220" s="18">
        <v>1</v>
      </c>
      <c r="M220" s="14" t="s">
        <v>8462</v>
      </c>
      <c r="N220" s="13">
        <v>44979</v>
      </c>
      <c r="O220" s="29">
        <v>43.44</v>
      </c>
      <c r="P220" s="18" t="s">
        <v>14</v>
      </c>
      <c r="Q220" s="18">
        <v>0</v>
      </c>
      <c r="U220" s="22">
        <v>0.7</v>
      </c>
      <c r="V220" s="22">
        <f>3.91/5</f>
        <v>0.78200000000000003</v>
      </c>
      <c r="W220" s="14" t="s">
        <v>13410</v>
      </c>
      <c r="X220" s="3">
        <v>3</v>
      </c>
      <c r="Z220" s="23">
        <v>37</v>
      </c>
      <c r="AB220" s="18">
        <f t="shared" si="6"/>
        <v>2022</v>
      </c>
      <c r="AC220" s="22">
        <f t="shared" si="7"/>
        <v>0.69399999999999995</v>
      </c>
    </row>
    <row r="221" spans="1:29">
      <c r="A221" s="8" t="s">
        <v>15817</v>
      </c>
      <c r="B221" s="17" t="s">
        <v>7744</v>
      </c>
      <c r="C221" s="13">
        <v>44895</v>
      </c>
      <c r="D221" s="13" t="s">
        <v>8465</v>
      </c>
      <c r="E221" s="10" t="s">
        <v>15818</v>
      </c>
      <c r="F221" s="10" t="s">
        <v>15819</v>
      </c>
      <c r="H221" s="2" t="s">
        <v>151</v>
      </c>
      <c r="L221" s="18">
        <v>1</v>
      </c>
      <c r="M221" s="14" t="s">
        <v>8462</v>
      </c>
      <c r="N221" s="13">
        <v>45172</v>
      </c>
      <c r="O221" s="29">
        <v>10.86</v>
      </c>
      <c r="P221" s="18" t="s">
        <v>14</v>
      </c>
      <c r="Q221" s="18">
        <v>0</v>
      </c>
      <c r="U221" s="22">
        <v>0.73</v>
      </c>
      <c r="X221" s="3">
        <v>2</v>
      </c>
      <c r="Z221" s="23">
        <v>5.5</v>
      </c>
      <c r="AB221" s="18">
        <f t="shared" si="6"/>
        <v>2022</v>
      </c>
      <c r="AC221" s="22">
        <f t="shared" si="7"/>
        <v>0.56499999999999995</v>
      </c>
    </row>
    <row r="222" spans="1:29" ht="45">
      <c r="A222" s="8" t="s">
        <v>15077</v>
      </c>
      <c r="B222" s="17" t="s">
        <v>9431</v>
      </c>
      <c r="C222" s="13">
        <v>44894</v>
      </c>
      <c r="D222" s="13" t="s">
        <v>8465</v>
      </c>
      <c r="E222" s="10" t="s">
        <v>1634</v>
      </c>
      <c r="F222" s="10" t="s">
        <v>15078</v>
      </c>
      <c r="H222" s="2" t="s">
        <v>151</v>
      </c>
      <c r="L222" s="18">
        <v>1</v>
      </c>
      <c r="M222" s="14" t="s">
        <v>8462</v>
      </c>
      <c r="N222" s="13">
        <v>45091</v>
      </c>
      <c r="O222" s="29">
        <v>23.27</v>
      </c>
      <c r="P222" s="18" t="s">
        <v>14</v>
      </c>
      <c r="Q222" s="18">
        <v>0</v>
      </c>
      <c r="U222" s="22">
        <v>0.79</v>
      </c>
      <c r="X222" s="3">
        <v>3</v>
      </c>
      <c r="Z222" s="23">
        <v>8</v>
      </c>
      <c r="AB222" s="18">
        <f t="shared" si="6"/>
        <v>2022</v>
      </c>
      <c r="AC222" s="22">
        <f t="shared" si="7"/>
        <v>0.69500000000000006</v>
      </c>
    </row>
    <row r="223" spans="1:29" ht="25.5">
      <c r="A223" s="8" t="s">
        <v>13622</v>
      </c>
      <c r="B223" s="17" t="s">
        <v>7800</v>
      </c>
      <c r="C223" s="13">
        <v>44886</v>
      </c>
      <c r="D223" s="13" t="s">
        <v>8465</v>
      </c>
      <c r="E223" s="10" t="s">
        <v>13623</v>
      </c>
      <c r="F223" s="10" t="s">
        <v>13624</v>
      </c>
      <c r="H223" s="2" t="s">
        <v>67</v>
      </c>
      <c r="L223" s="18">
        <v>1</v>
      </c>
      <c r="N223" s="13">
        <v>44986</v>
      </c>
      <c r="O223" s="29">
        <v>30</v>
      </c>
      <c r="P223" s="18" t="s">
        <v>1107</v>
      </c>
      <c r="Q223" s="18">
        <v>0</v>
      </c>
      <c r="V223" s="22">
        <f>3.5/5</f>
        <v>0.7</v>
      </c>
      <c r="W223" s="14" t="s">
        <v>7777</v>
      </c>
      <c r="X223" s="3">
        <v>2</v>
      </c>
      <c r="Z223" s="23">
        <v>5.5</v>
      </c>
      <c r="AB223" s="18">
        <f t="shared" si="6"/>
        <v>2022</v>
      </c>
      <c r="AC223" s="22">
        <f t="shared" si="7"/>
        <v>0.55000000000000004</v>
      </c>
    </row>
    <row r="224" spans="1:29" ht="38.25">
      <c r="A224" s="8" t="s">
        <v>13082</v>
      </c>
      <c r="B224" s="17" t="s">
        <v>9431</v>
      </c>
      <c r="C224" s="13">
        <v>44883</v>
      </c>
      <c r="D224" s="13" t="s">
        <v>8465</v>
      </c>
      <c r="E224" s="10" t="s">
        <v>1604</v>
      </c>
      <c r="F224" s="10" t="s">
        <v>6200</v>
      </c>
      <c r="G224" s="11" t="s">
        <v>7714</v>
      </c>
      <c r="H224" s="2" t="s">
        <v>1061</v>
      </c>
      <c r="L224" s="18">
        <v>1</v>
      </c>
      <c r="M224" s="14" t="s">
        <v>8462</v>
      </c>
      <c r="N224" s="13">
        <v>44916</v>
      </c>
      <c r="O224" s="29">
        <v>32.58</v>
      </c>
      <c r="P224" s="18" t="s">
        <v>14</v>
      </c>
      <c r="Q224" s="18">
        <v>0</v>
      </c>
      <c r="U224" s="22">
        <v>0.7</v>
      </c>
      <c r="V224" s="22">
        <f>3.75/5</f>
        <v>0.75</v>
      </c>
      <c r="X224" s="3">
        <v>3</v>
      </c>
      <c r="Z224" s="23">
        <v>7</v>
      </c>
      <c r="AB224" s="18">
        <f t="shared" si="6"/>
        <v>2022</v>
      </c>
      <c r="AC224" s="22">
        <f t="shared" si="7"/>
        <v>0.68333333333333324</v>
      </c>
    </row>
    <row r="225" spans="1:29" ht="30">
      <c r="A225" s="8" t="s">
        <v>15039</v>
      </c>
      <c r="B225" s="17" t="s">
        <v>7800</v>
      </c>
      <c r="C225" s="13">
        <v>44880</v>
      </c>
      <c r="D225" s="13" t="s">
        <v>8465</v>
      </c>
      <c r="E225" s="10" t="s">
        <v>10752</v>
      </c>
      <c r="F225" s="10" t="s">
        <v>15040</v>
      </c>
      <c r="H225" s="2" t="s">
        <v>171</v>
      </c>
      <c r="L225" s="18">
        <v>1</v>
      </c>
      <c r="N225" s="13">
        <v>45084</v>
      </c>
      <c r="O225" s="29">
        <v>0</v>
      </c>
      <c r="P225" s="18" t="s">
        <v>1107</v>
      </c>
      <c r="Q225" s="18">
        <v>0</v>
      </c>
      <c r="W225" s="14" t="s">
        <v>7777</v>
      </c>
      <c r="X225" s="3">
        <v>3</v>
      </c>
      <c r="Z225" s="23">
        <f>52/60</f>
        <v>0.8666666666666667</v>
      </c>
      <c r="AB225" s="18">
        <f t="shared" si="6"/>
        <v>2022</v>
      </c>
      <c r="AC225" s="22">
        <f t="shared" si="7"/>
        <v>0.6</v>
      </c>
    </row>
    <row r="226" spans="1:29">
      <c r="A226" s="8" t="s">
        <v>12444</v>
      </c>
      <c r="B226" s="17" t="s">
        <v>7744</v>
      </c>
      <c r="C226" s="13">
        <v>44880</v>
      </c>
      <c r="D226" s="13" t="s">
        <v>9335</v>
      </c>
      <c r="E226" s="10" t="s">
        <v>12972</v>
      </c>
      <c r="F226" s="10" t="s">
        <v>12973</v>
      </c>
      <c r="H226" s="2" t="s">
        <v>1057</v>
      </c>
      <c r="K226" s="18">
        <v>2</v>
      </c>
      <c r="L226" s="18">
        <v>1</v>
      </c>
      <c r="M226" s="14" t="s">
        <v>8462</v>
      </c>
      <c r="N226" s="13">
        <v>44810</v>
      </c>
      <c r="O226" s="29">
        <v>29.99</v>
      </c>
      <c r="P226" s="18" t="s">
        <v>14</v>
      </c>
      <c r="Q226" s="18">
        <v>0</v>
      </c>
      <c r="V226" s="22">
        <f>3.5/5</f>
        <v>0.7</v>
      </c>
      <c r="W226" s="14" t="s">
        <v>7524</v>
      </c>
      <c r="X226" s="3">
        <v>2</v>
      </c>
      <c r="Z226" s="23">
        <v>8</v>
      </c>
      <c r="AB226" s="18">
        <f t="shared" si="6"/>
        <v>2022</v>
      </c>
      <c r="AC226" s="22">
        <f t="shared" si="7"/>
        <v>0.55000000000000004</v>
      </c>
    </row>
    <row r="227" spans="1:29">
      <c r="A227" s="8" t="s">
        <v>15311</v>
      </c>
      <c r="B227" s="17" t="s">
        <v>7800</v>
      </c>
      <c r="C227" s="13">
        <v>44879</v>
      </c>
      <c r="D227" s="13" t="s">
        <v>8465</v>
      </c>
      <c r="E227" s="10" t="s">
        <v>3063</v>
      </c>
      <c r="F227" s="10" t="s">
        <v>4416</v>
      </c>
      <c r="G227" s="11" t="s">
        <v>4415</v>
      </c>
      <c r="H227" s="2" t="s">
        <v>67</v>
      </c>
      <c r="L227" s="18">
        <v>1</v>
      </c>
      <c r="N227" s="13">
        <v>45106</v>
      </c>
      <c r="O227" s="29">
        <v>1.99</v>
      </c>
      <c r="P227" s="18" t="s">
        <v>1107</v>
      </c>
      <c r="Q227" s="18">
        <v>0</v>
      </c>
      <c r="U227" s="22">
        <v>0.75</v>
      </c>
      <c r="W227" s="14" t="s">
        <v>7777</v>
      </c>
      <c r="X227" s="3">
        <v>3</v>
      </c>
      <c r="Z227" s="23">
        <v>4.5</v>
      </c>
      <c r="AB227" s="18">
        <f t="shared" si="6"/>
        <v>2022</v>
      </c>
      <c r="AC227" s="22">
        <f t="shared" si="7"/>
        <v>0.67500000000000004</v>
      </c>
    </row>
    <row r="228" spans="1:29">
      <c r="A228" s="8" t="s">
        <v>15496</v>
      </c>
      <c r="B228" s="17" t="s">
        <v>7800</v>
      </c>
      <c r="C228" s="13">
        <v>44879</v>
      </c>
      <c r="D228" s="13" t="s">
        <v>8465</v>
      </c>
      <c r="E228" s="10" t="s">
        <v>15495</v>
      </c>
      <c r="F228" s="10" t="s">
        <v>15495</v>
      </c>
      <c r="H228" s="2" t="s">
        <v>67</v>
      </c>
      <c r="L228" s="18">
        <v>1</v>
      </c>
      <c r="N228" s="13">
        <v>45145</v>
      </c>
      <c r="O228" s="29">
        <v>4.99</v>
      </c>
      <c r="P228" s="18" t="s">
        <v>1107</v>
      </c>
      <c r="Q228" s="18">
        <v>0</v>
      </c>
      <c r="W228" s="14" t="s">
        <v>7777</v>
      </c>
      <c r="X228" s="3">
        <v>4</v>
      </c>
      <c r="Z228" s="23">
        <v>1.5</v>
      </c>
      <c r="AB228" s="18">
        <f t="shared" si="6"/>
        <v>2022</v>
      </c>
      <c r="AC228" s="22">
        <f t="shared" si="7"/>
        <v>0.8</v>
      </c>
    </row>
    <row r="229" spans="1:29">
      <c r="A229" s="8" t="s">
        <v>12255</v>
      </c>
      <c r="B229" s="17" t="s">
        <v>7744</v>
      </c>
      <c r="C229" s="13">
        <v>44876</v>
      </c>
      <c r="D229" s="13" t="s">
        <v>8465</v>
      </c>
      <c r="E229" s="10" t="s">
        <v>1082</v>
      </c>
      <c r="F229" s="10" t="s">
        <v>1082</v>
      </c>
      <c r="G229" s="11" t="s">
        <v>1231</v>
      </c>
      <c r="H229" s="2" t="s">
        <v>75</v>
      </c>
      <c r="L229" s="18">
        <v>1</v>
      </c>
      <c r="M229" s="14" t="s">
        <v>8462</v>
      </c>
      <c r="N229" s="13">
        <v>44779</v>
      </c>
      <c r="O229" s="29">
        <v>54.3</v>
      </c>
      <c r="P229" s="18" t="s">
        <v>14</v>
      </c>
      <c r="Q229" s="18">
        <v>0</v>
      </c>
      <c r="U229" s="22">
        <v>0.85</v>
      </c>
      <c r="V229" s="22">
        <f>4.23/5</f>
        <v>0.84600000000000009</v>
      </c>
      <c r="X229" s="3">
        <v>4</v>
      </c>
      <c r="Z229" s="23">
        <v>56</v>
      </c>
      <c r="AB229" s="18">
        <f t="shared" si="6"/>
        <v>2022</v>
      </c>
      <c r="AC229" s="22">
        <f t="shared" si="7"/>
        <v>0.83200000000000018</v>
      </c>
    </row>
    <row r="230" spans="1:29" ht="38.25">
      <c r="A230" s="8" t="s">
        <v>12966</v>
      </c>
      <c r="B230" s="17" t="s">
        <v>7744</v>
      </c>
      <c r="C230" s="13">
        <v>44876</v>
      </c>
      <c r="D230" s="13" t="s">
        <v>8465</v>
      </c>
      <c r="E230" s="10" t="s">
        <v>311</v>
      </c>
      <c r="F230" s="10" t="s">
        <v>1667</v>
      </c>
      <c r="H230" s="2" t="s">
        <v>6510</v>
      </c>
      <c r="L230" s="18">
        <v>1</v>
      </c>
      <c r="M230" s="14" t="s">
        <v>8462</v>
      </c>
      <c r="N230" s="13">
        <v>44878</v>
      </c>
      <c r="O230" s="29">
        <v>39.99</v>
      </c>
      <c r="P230" s="18" t="s">
        <v>14</v>
      </c>
      <c r="Q230" s="18">
        <v>0</v>
      </c>
      <c r="U230" s="22">
        <v>0.89</v>
      </c>
      <c r="V230" s="22">
        <f>3.75/5</f>
        <v>0.75</v>
      </c>
      <c r="X230" s="3">
        <v>3</v>
      </c>
      <c r="Z230" s="23">
        <v>8.5</v>
      </c>
      <c r="AB230" s="18">
        <f t="shared" si="6"/>
        <v>2022</v>
      </c>
      <c r="AC230" s="22">
        <f t="shared" si="7"/>
        <v>0.7466666666666667</v>
      </c>
    </row>
    <row r="231" spans="1:29">
      <c r="A231" s="8" t="s">
        <v>15316</v>
      </c>
      <c r="B231" s="17" t="s">
        <v>7800</v>
      </c>
      <c r="C231" s="13">
        <v>44874</v>
      </c>
      <c r="D231" s="13" t="s">
        <v>8465</v>
      </c>
      <c r="E231" s="10" t="s">
        <v>13096</v>
      </c>
      <c r="F231" s="10" t="s">
        <v>15317</v>
      </c>
      <c r="H231" s="2" t="s">
        <v>67</v>
      </c>
      <c r="L231" s="18">
        <v>1</v>
      </c>
      <c r="N231" s="13">
        <v>45107</v>
      </c>
      <c r="O231" s="29">
        <v>0</v>
      </c>
      <c r="P231" s="18" t="s">
        <v>1107</v>
      </c>
      <c r="Q231" s="18">
        <v>0</v>
      </c>
      <c r="U231" s="22">
        <v>0.85</v>
      </c>
      <c r="W231" s="14" t="s">
        <v>7799</v>
      </c>
      <c r="X231" s="3">
        <v>2</v>
      </c>
      <c r="Z231" s="23">
        <v>3</v>
      </c>
      <c r="AB231" s="18">
        <f t="shared" si="6"/>
        <v>2022</v>
      </c>
      <c r="AC231" s="22">
        <f t="shared" si="7"/>
        <v>0.625</v>
      </c>
    </row>
    <row r="232" spans="1:29">
      <c r="A232" s="8" t="s">
        <v>12956</v>
      </c>
      <c r="B232" s="17" t="s">
        <v>9431</v>
      </c>
      <c r="C232" s="13">
        <v>44873</v>
      </c>
      <c r="D232" s="13" t="s">
        <v>8465</v>
      </c>
      <c r="E232" s="10" t="s">
        <v>455</v>
      </c>
      <c r="F232" s="10" t="s">
        <v>1492</v>
      </c>
      <c r="G232" s="11" t="s">
        <v>1688</v>
      </c>
      <c r="H232" s="2" t="s">
        <v>1040</v>
      </c>
      <c r="L232" s="18">
        <v>1</v>
      </c>
      <c r="M232" s="14" t="s">
        <v>8462</v>
      </c>
      <c r="N232" s="13">
        <v>44873</v>
      </c>
      <c r="O232" s="29">
        <v>62.99</v>
      </c>
      <c r="P232" s="18" t="s">
        <v>14</v>
      </c>
      <c r="Q232" s="18">
        <v>0</v>
      </c>
      <c r="U232" s="22">
        <v>0.72</v>
      </c>
      <c r="V232" s="22">
        <f>2.49/5</f>
        <v>0.49800000000000005</v>
      </c>
      <c r="X232" s="3">
        <v>3</v>
      </c>
      <c r="Z232" s="23">
        <v>15.5</v>
      </c>
      <c r="AB232" s="18">
        <f t="shared" si="6"/>
        <v>2022</v>
      </c>
      <c r="AC232" s="22">
        <f t="shared" si="7"/>
        <v>0.60599999999999998</v>
      </c>
    </row>
    <row r="233" spans="1:29">
      <c r="A233" s="8" t="s">
        <v>12340</v>
      </c>
      <c r="B233" s="17" t="s">
        <v>7744</v>
      </c>
      <c r="C233" s="13">
        <v>44869</v>
      </c>
      <c r="D233" s="13" t="s">
        <v>8465</v>
      </c>
      <c r="E233" s="10" t="s">
        <v>1082</v>
      </c>
      <c r="F233" s="10" t="s">
        <v>1082</v>
      </c>
      <c r="H233" s="2" t="s">
        <v>1334</v>
      </c>
      <c r="L233" s="18">
        <v>1</v>
      </c>
      <c r="M233" s="14" t="s">
        <v>8462</v>
      </c>
      <c r="N233" s="13">
        <v>44792</v>
      </c>
      <c r="O233" s="29">
        <v>49.43</v>
      </c>
      <c r="P233" s="18" t="s">
        <v>14</v>
      </c>
      <c r="Q233" s="18">
        <v>0</v>
      </c>
      <c r="U233" s="22">
        <v>0.73</v>
      </c>
      <c r="V233" s="22">
        <f>3.82/5</f>
        <v>0.76400000000000001</v>
      </c>
      <c r="X233" s="3">
        <v>3</v>
      </c>
      <c r="Z233" s="23">
        <v>46.5</v>
      </c>
      <c r="AB233" s="18">
        <f t="shared" si="6"/>
        <v>2022</v>
      </c>
      <c r="AC233" s="22">
        <f t="shared" si="7"/>
        <v>0.69799999999999995</v>
      </c>
    </row>
    <row r="234" spans="1:29">
      <c r="A234" s="8" t="s">
        <v>14756</v>
      </c>
      <c r="B234" s="17" t="s">
        <v>7800</v>
      </c>
      <c r="C234" s="13">
        <v>44869</v>
      </c>
      <c r="D234" s="13" t="s">
        <v>8465</v>
      </c>
      <c r="E234" s="10" t="s">
        <v>14757</v>
      </c>
      <c r="F234" s="10" t="s">
        <v>14757</v>
      </c>
      <c r="H234" s="2" t="s">
        <v>80</v>
      </c>
      <c r="L234" s="18">
        <v>1</v>
      </c>
      <c r="N234" s="13">
        <v>45056</v>
      </c>
      <c r="O234" s="29">
        <v>1.99</v>
      </c>
      <c r="P234" s="18" t="s">
        <v>1107</v>
      </c>
      <c r="Q234" s="18">
        <v>0</v>
      </c>
      <c r="W234" s="14" t="s">
        <v>7777</v>
      </c>
      <c r="X234" s="3">
        <v>3</v>
      </c>
      <c r="AB234" s="18">
        <f t="shared" si="6"/>
        <v>2022</v>
      </c>
      <c r="AC234" s="22">
        <f t="shared" si="7"/>
        <v>0.6</v>
      </c>
    </row>
    <row r="235" spans="1:29">
      <c r="A235" s="8" t="s">
        <v>14769</v>
      </c>
      <c r="B235" s="17" t="s">
        <v>7800</v>
      </c>
      <c r="C235" s="13">
        <v>44868</v>
      </c>
      <c r="D235" s="13" t="s">
        <v>8465</v>
      </c>
      <c r="E235" s="10" t="s">
        <v>10742</v>
      </c>
      <c r="F235" s="10" t="s">
        <v>14770</v>
      </c>
      <c r="H235" s="2" t="s">
        <v>1054</v>
      </c>
      <c r="L235" s="18">
        <v>1</v>
      </c>
      <c r="N235" s="13">
        <v>45062</v>
      </c>
      <c r="O235" s="29">
        <v>14.99</v>
      </c>
      <c r="P235" s="18" t="s">
        <v>1107</v>
      </c>
      <c r="Q235" s="18">
        <v>0</v>
      </c>
      <c r="W235" s="14" t="s">
        <v>7777</v>
      </c>
      <c r="X235" s="3">
        <v>2</v>
      </c>
      <c r="Z235" s="23">
        <v>6</v>
      </c>
      <c r="AB235" s="18">
        <f t="shared" si="6"/>
        <v>2022</v>
      </c>
      <c r="AC235" s="22">
        <f t="shared" si="7"/>
        <v>0.4</v>
      </c>
    </row>
    <row r="236" spans="1:29">
      <c r="A236" s="8" t="s">
        <v>15247</v>
      </c>
      <c r="B236" s="17" t="s">
        <v>7744</v>
      </c>
      <c r="C236" s="13">
        <v>44868</v>
      </c>
      <c r="D236" s="13" t="s">
        <v>8465</v>
      </c>
      <c r="E236" s="10" t="s">
        <v>9249</v>
      </c>
      <c r="F236" s="10" t="s">
        <v>15445</v>
      </c>
      <c r="H236" s="2" t="s">
        <v>151</v>
      </c>
      <c r="L236" s="18">
        <v>1</v>
      </c>
      <c r="M236" s="14" t="s">
        <v>8462</v>
      </c>
      <c r="N236" s="13">
        <v>45091</v>
      </c>
      <c r="O236" s="29">
        <v>32.58</v>
      </c>
      <c r="P236" s="18" t="s">
        <v>14</v>
      </c>
      <c r="Q236" s="18">
        <v>0</v>
      </c>
      <c r="V236" s="22">
        <f>4/5</f>
        <v>0.8</v>
      </c>
      <c r="X236" s="3">
        <v>4</v>
      </c>
      <c r="Z236" s="23">
        <v>9</v>
      </c>
      <c r="AB236" s="18">
        <f t="shared" si="6"/>
        <v>2022</v>
      </c>
      <c r="AC236" s="22">
        <f t="shared" si="7"/>
        <v>0.8</v>
      </c>
    </row>
    <row r="237" spans="1:29" ht="25.5">
      <c r="A237" s="8" t="s">
        <v>15678</v>
      </c>
      <c r="B237" s="17" t="s">
        <v>7800</v>
      </c>
      <c r="C237" s="13">
        <v>44862</v>
      </c>
      <c r="D237" s="13" t="s">
        <v>8465</v>
      </c>
      <c r="E237" s="10" t="s">
        <v>15690</v>
      </c>
      <c r="F237" s="10" t="s">
        <v>15690</v>
      </c>
      <c r="H237" s="2" t="s">
        <v>75</v>
      </c>
      <c r="L237" s="18">
        <v>1</v>
      </c>
      <c r="N237" s="13">
        <v>45167</v>
      </c>
      <c r="O237" s="29">
        <v>1.49</v>
      </c>
      <c r="P237" s="18" t="s">
        <v>1107</v>
      </c>
      <c r="Q237" s="18">
        <v>0</v>
      </c>
      <c r="W237" s="14" t="s">
        <v>7777</v>
      </c>
      <c r="X237" s="3">
        <v>2</v>
      </c>
      <c r="AB237" s="18">
        <f t="shared" si="6"/>
        <v>2022</v>
      </c>
      <c r="AC237" s="22">
        <f t="shared" si="7"/>
        <v>0.4</v>
      </c>
    </row>
    <row r="238" spans="1:29">
      <c r="A238" s="8" t="s">
        <v>13003</v>
      </c>
      <c r="B238" s="17" t="s">
        <v>7744</v>
      </c>
      <c r="C238" s="13">
        <v>44861</v>
      </c>
      <c r="D238" s="13" t="s">
        <v>8465</v>
      </c>
      <c r="E238" s="10" t="s">
        <v>9249</v>
      </c>
      <c r="F238" s="10" t="s">
        <v>13595</v>
      </c>
      <c r="H238" s="2" t="s">
        <v>1061</v>
      </c>
      <c r="L238" s="18">
        <v>1</v>
      </c>
      <c r="M238" s="14" t="s">
        <v>8462</v>
      </c>
      <c r="N238" s="13">
        <v>44907</v>
      </c>
      <c r="O238" s="29">
        <v>29.99</v>
      </c>
      <c r="P238" s="18" t="s">
        <v>14</v>
      </c>
      <c r="Q238" s="18">
        <v>0</v>
      </c>
      <c r="V238" s="22">
        <f>3.83/5</f>
        <v>0.76600000000000001</v>
      </c>
      <c r="X238" s="3">
        <v>4</v>
      </c>
      <c r="Z238" s="23">
        <v>9</v>
      </c>
      <c r="AB238" s="18">
        <f t="shared" si="6"/>
        <v>2022</v>
      </c>
      <c r="AC238" s="22">
        <f t="shared" si="7"/>
        <v>0.78300000000000003</v>
      </c>
    </row>
    <row r="239" spans="1:29">
      <c r="A239" s="8" t="s">
        <v>12847</v>
      </c>
      <c r="B239" s="17" t="s">
        <v>7800</v>
      </c>
      <c r="C239" s="13">
        <v>44861</v>
      </c>
      <c r="D239" s="13" t="s">
        <v>8465</v>
      </c>
      <c r="E239" s="10" t="s">
        <v>4459</v>
      </c>
      <c r="F239" s="10" t="s">
        <v>4459</v>
      </c>
      <c r="H239" s="2" t="s">
        <v>1061</v>
      </c>
      <c r="L239" s="18">
        <v>1</v>
      </c>
      <c r="N239" s="13">
        <v>44861</v>
      </c>
      <c r="O239" s="29">
        <v>0</v>
      </c>
      <c r="P239" s="18" t="s">
        <v>1107</v>
      </c>
      <c r="Q239" s="18">
        <v>0</v>
      </c>
      <c r="U239" s="22">
        <v>0.79</v>
      </c>
      <c r="V239" s="22">
        <f>3/5</f>
        <v>0.6</v>
      </c>
      <c r="W239" s="14" t="s">
        <v>7097</v>
      </c>
      <c r="X239" s="3">
        <v>3</v>
      </c>
      <c r="Z239" s="23">
        <v>6</v>
      </c>
      <c r="AB239" s="18">
        <f t="shared" si="6"/>
        <v>2022</v>
      </c>
      <c r="AC239" s="22">
        <f t="shared" si="7"/>
        <v>0.66333333333333344</v>
      </c>
    </row>
    <row r="240" spans="1:29">
      <c r="A240" s="8" t="s">
        <v>12171</v>
      </c>
      <c r="B240" s="17" t="s">
        <v>7744</v>
      </c>
      <c r="C240" s="13">
        <v>44861</v>
      </c>
      <c r="D240" s="13" t="s">
        <v>8463</v>
      </c>
      <c r="E240" s="10" t="s">
        <v>12954</v>
      </c>
      <c r="F240" s="10" t="s">
        <v>12955</v>
      </c>
      <c r="H240" s="2" t="s">
        <v>1057</v>
      </c>
      <c r="K240" s="18">
        <v>2</v>
      </c>
      <c r="L240" s="18">
        <v>1</v>
      </c>
      <c r="M240" s="14" t="s">
        <v>8462</v>
      </c>
      <c r="N240" s="13">
        <v>44757</v>
      </c>
      <c r="O240" s="29">
        <v>31.99</v>
      </c>
      <c r="P240" s="18" t="s">
        <v>14</v>
      </c>
      <c r="Q240" s="18">
        <v>0</v>
      </c>
      <c r="X240" s="3">
        <v>3</v>
      </c>
      <c r="Z240" s="23">
        <v>3</v>
      </c>
      <c r="AB240" s="18">
        <f t="shared" si="6"/>
        <v>2022</v>
      </c>
      <c r="AC240" s="22">
        <f t="shared" si="7"/>
        <v>0.6</v>
      </c>
    </row>
    <row r="241" spans="1:29" ht="25.5">
      <c r="A241" s="8" t="s">
        <v>15680</v>
      </c>
      <c r="B241" s="17" t="s">
        <v>7800</v>
      </c>
      <c r="C241" s="13">
        <v>44861</v>
      </c>
      <c r="D241" s="13" t="s">
        <v>8465</v>
      </c>
      <c r="E241" s="10" t="s">
        <v>9795</v>
      </c>
      <c r="F241" s="10" t="s">
        <v>4703</v>
      </c>
      <c r="G241" s="11" t="s">
        <v>13303</v>
      </c>
      <c r="H241" s="2" t="s">
        <v>143</v>
      </c>
      <c r="L241" s="18">
        <v>1</v>
      </c>
      <c r="N241" s="13">
        <v>45167</v>
      </c>
      <c r="O241" s="29">
        <v>1.99</v>
      </c>
      <c r="P241" s="18" t="s">
        <v>1107</v>
      </c>
      <c r="Q241" s="18">
        <v>0</v>
      </c>
      <c r="W241" s="14" t="s">
        <v>7777</v>
      </c>
      <c r="X241" s="3">
        <v>2</v>
      </c>
      <c r="Z241" s="23">
        <v>4.5</v>
      </c>
      <c r="AB241" s="18">
        <f t="shared" si="6"/>
        <v>2022</v>
      </c>
      <c r="AC241" s="22">
        <f t="shared" si="7"/>
        <v>0.4</v>
      </c>
    </row>
    <row r="242" spans="1:29">
      <c r="A242" s="8" t="s">
        <v>8527</v>
      </c>
      <c r="B242" s="17" t="s">
        <v>7744</v>
      </c>
      <c r="C242" s="13">
        <v>44855</v>
      </c>
      <c r="D242" s="13" t="s">
        <v>8465</v>
      </c>
      <c r="E242" s="10" t="s">
        <v>455</v>
      </c>
      <c r="F242" s="10" t="s">
        <v>2458</v>
      </c>
      <c r="G242" s="11" t="s">
        <v>1171</v>
      </c>
      <c r="H242" s="2" t="s">
        <v>149</v>
      </c>
      <c r="L242" s="18">
        <v>1</v>
      </c>
      <c r="M242" s="14" t="s">
        <v>8462</v>
      </c>
      <c r="N242" s="13">
        <v>44824</v>
      </c>
      <c r="O242" s="29">
        <v>65.16</v>
      </c>
      <c r="P242" s="18" t="s">
        <v>14</v>
      </c>
      <c r="Q242" s="18">
        <v>0</v>
      </c>
      <c r="U242" s="22">
        <v>0.94</v>
      </c>
      <c r="V242" s="22">
        <f>4.15/5</f>
        <v>0.83000000000000007</v>
      </c>
      <c r="W242" s="14" t="s">
        <v>10663</v>
      </c>
      <c r="X242" s="3">
        <v>2</v>
      </c>
      <c r="Z242" s="23">
        <v>103</v>
      </c>
      <c r="AB242" s="18">
        <f t="shared" si="6"/>
        <v>2022</v>
      </c>
      <c r="AC242" s="22">
        <f t="shared" si="7"/>
        <v>0.72333333333333327</v>
      </c>
    </row>
    <row r="243" spans="1:29" ht="30">
      <c r="A243" s="8" t="s">
        <v>13651</v>
      </c>
      <c r="B243" s="17" t="s">
        <v>7800</v>
      </c>
      <c r="C243" s="13">
        <v>44855</v>
      </c>
      <c r="D243" s="13" t="s">
        <v>8465</v>
      </c>
      <c r="E243" s="10" t="s">
        <v>13523</v>
      </c>
      <c r="F243" s="10" t="s">
        <v>10026</v>
      </c>
      <c r="G243" s="11" t="s">
        <v>207</v>
      </c>
      <c r="H243" s="2" t="s">
        <v>7245</v>
      </c>
      <c r="L243" s="18">
        <v>1</v>
      </c>
      <c r="N243" s="13">
        <v>44986</v>
      </c>
      <c r="O243" s="29">
        <v>0</v>
      </c>
      <c r="P243" s="18" t="s">
        <v>1107</v>
      </c>
      <c r="Q243" s="18">
        <v>0</v>
      </c>
      <c r="U243" s="22">
        <v>0.66</v>
      </c>
      <c r="V243" s="22">
        <f>2.91/5</f>
        <v>0.58200000000000007</v>
      </c>
      <c r="W243" s="14" t="s">
        <v>7777</v>
      </c>
      <c r="X243" s="3">
        <v>3</v>
      </c>
      <c r="Z243" s="23">
        <v>16.5</v>
      </c>
      <c r="AB243" s="18">
        <f t="shared" si="6"/>
        <v>2022</v>
      </c>
      <c r="AC243" s="22">
        <f t="shared" si="7"/>
        <v>0.61399999999999999</v>
      </c>
    </row>
    <row r="244" spans="1:29">
      <c r="A244" s="8" t="s">
        <v>14803</v>
      </c>
      <c r="B244" s="17" t="s">
        <v>7800</v>
      </c>
      <c r="C244" s="13">
        <v>44855</v>
      </c>
      <c r="D244" s="13" t="s">
        <v>8465</v>
      </c>
      <c r="E244" s="10" t="s">
        <v>14804</v>
      </c>
      <c r="F244" s="10" t="s">
        <v>14804</v>
      </c>
      <c r="H244" s="2" t="s">
        <v>1518</v>
      </c>
      <c r="L244" s="18">
        <v>1</v>
      </c>
      <c r="N244" s="13">
        <v>45065</v>
      </c>
      <c r="O244" s="29">
        <v>0</v>
      </c>
      <c r="P244" s="18" t="s">
        <v>1107</v>
      </c>
      <c r="Q244" s="18">
        <v>0</v>
      </c>
      <c r="W244" s="14" t="s">
        <v>7777</v>
      </c>
      <c r="X244" s="3">
        <v>3</v>
      </c>
      <c r="Z244" s="23">
        <v>3</v>
      </c>
      <c r="AB244" s="18">
        <f t="shared" si="6"/>
        <v>2022</v>
      </c>
      <c r="AC244" s="22">
        <f t="shared" si="7"/>
        <v>0.6</v>
      </c>
    </row>
    <row r="245" spans="1:29" ht="25.5">
      <c r="A245" s="8" t="s">
        <v>12983</v>
      </c>
      <c r="B245" s="17" t="s">
        <v>9431</v>
      </c>
      <c r="C245" s="13">
        <v>44855</v>
      </c>
      <c r="D245" s="13" t="s">
        <v>8465</v>
      </c>
      <c r="E245" s="10" t="s">
        <v>3310</v>
      </c>
      <c r="F245" s="10" t="s">
        <v>12984</v>
      </c>
      <c r="G245" s="11" t="s">
        <v>3356</v>
      </c>
      <c r="H245" s="2" t="s">
        <v>67</v>
      </c>
      <c r="L245" s="18">
        <v>1</v>
      </c>
      <c r="M245" s="14" t="s">
        <v>8462</v>
      </c>
      <c r="N245" s="13">
        <v>44893</v>
      </c>
      <c r="O245" s="29">
        <v>29</v>
      </c>
      <c r="P245" s="18" t="s">
        <v>14</v>
      </c>
      <c r="Q245" s="18">
        <v>0</v>
      </c>
      <c r="U245" s="22">
        <v>0.56000000000000005</v>
      </c>
      <c r="V245" s="22">
        <f>3.13/5</f>
        <v>0.626</v>
      </c>
      <c r="W245" s="14" t="s">
        <v>10168</v>
      </c>
      <c r="X245" s="3">
        <v>3</v>
      </c>
      <c r="Z245" s="23">
        <v>9.5</v>
      </c>
      <c r="AB245" s="18">
        <f t="shared" si="6"/>
        <v>2022</v>
      </c>
      <c r="AC245" s="22">
        <f t="shared" si="7"/>
        <v>0.59533333333333338</v>
      </c>
    </row>
    <row r="246" spans="1:29" ht="25.5">
      <c r="A246" s="8" t="s">
        <v>12442</v>
      </c>
      <c r="B246" s="17" t="s">
        <v>7744</v>
      </c>
      <c r="C246" s="13">
        <v>44854</v>
      </c>
      <c r="D246" s="13" t="s">
        <v>9335</v>
      </c>
      <c r="E246" s="10" t="s">
        <v>3568</v>
      </c>
      <c r="F246" s="10" t="s">
        <v>11735</v>
      </c>
      <c r="G246" s="11" t="s">
        <v>7681</v>
      </c>
      <c r="H246" s="2" t="s">
        <v>149</v>
      </c>
      <c r="K246" s="18">
        <v>2</v>
      </c>
      <c r="L246" s="18">
        <v>1</v>
      </c>
      <c r="M246" s="14" t="s">
        <v>8462</v>
      </c>
      <c r="N246" s="13">
        <v>44810</v>
      </c>
      <c r="O246" s="29">
        <v>49.99</v>
      </c>
      <c r="P246" s="18" t="s">
        <v>14</v>
      </c>
      <c r="Q246" s="18">
        <v>0</v>
      </c>
      <c r="U246" s="22">
        <v>0.75</v>
      </c>
      <c r="V246" s="22">
        <f>3.5/5</f>
        <v>0.7</v>
      </c>
      <c r="X246" s="3">
        <v>3</v>
      </c>
      <c r="Z246" s="23">
        <v>30</v>
      </c>
      <c r="AB246" s="18">
        <f t="shared" si="6"/>
        <v>2022</v>
      </c>
      <c r="AC246" s="22">
        <f t="shared" si="7"/>
        <v>0.68333333333333324</v>
      </c>
    </row>
    <row r="247" spans="1:29">
      <c r="A247" s="8" t="s">
        <v>13695</v>
      </c>
      <c r="B247" s="17" t="s">
        <v>7800</v>
      </c>
      <c r="C247" s="13">
        <v>44854</v>
      </c>
      <c r="D247" s="13" t="s">
        <v>8465</v>
      </c>
      <c r="E247" s="10" t="s">
        <v>1634</v>
      </c>
      <c r="F247" s="10" t="s">
        <v>8371</v>
      </c>
      <c r="H247" s="2" t="s">
        <v>171</v>
      </c>
      <c r="L247" s="18">
        <v>1</v>
      </c>
      <c r="N247" s="13">
        <v>44995</v>
      </c>
      <c r="O247" s="29">
        <v>15</v>
      </c>
      <c r="P247" s="18" t="s">
        <v>1107</v>
      </c>
      <c r="Q247" s="18">
        <v>0</v>
      </c>
      <c r="U247" s="22">
        <v>0.68</v>
      </c>
      <c r="W247" s="14" t="s">
        <v>7777</v>
      </c>
      <c r="X247" s="3">
        <v>3</v>
      </c>
      <c r="Z247" s="23">
        <v>6.5</v>
      </c>
      <c r="AB247" s="18">
        <f t="shared" si="6"/>
        <v>2022</v>
      </c>
      <c r="AC247" s="22">
        <f t="shared" si="7"/>
        <v>0.64</v>
      </c>
    </row>
    <row r="248" spans="1:29" ht="25.5">
      <c r="A248" s="8" t="s">
        <v>15479</v>
      </c>
      <c r="B248" s="17" t="s">
        <v>7744</v>
      </c>
      <c r="C248" s="13">
        <v>44854</v>
      </c>
      <c r="D248" s="13" t="s">
        <v>8465</v>
      </c>
      <c r="E248" s="10" t="s">
        <v>15480</v>
      </c>
      <c r="F248" s="10" t="s">
        <v>15480</v>
      </c>
      <c r="H248" s="2" t="s">
        <v>31</v>
      </c>
      <c r="L248" s="18">
        <v>1</v>
      </c>
      <c r="N248" s="13">
        <v>45142</v>
      </c>
      <c r="O248" s="29">
        <v>4.99</v>
      </c>
      <c r="P248" s="18" t="s">
        <v>1107</v>
      </c>
      <c r="Q248" s="18">
        <v>0</v>
      </c>
      <c r="X248" s="3">
        <v>3</v>
      </c>
      <c r="AB248" s="18">
        <f t="shared" si="6"/>
        <v>2022</v>
      </c>
      <c r="AC248" s="22">
        <f t="shared" si="7"/>
        <v>0.6</v>
      </c>
    </row>
    <row r="249" spans="1:29" ht="30">
      <c r="A249" s="8" t="s">
        <v>13644</v>
      </c>
      <c r="B249" s="17" t="s">
        <v>7800</v>
      </c>
      <c r="C249" s="13">
        <v>44853</v>
      </c>
      <c r="D249" s="13" t="s">
        <v>8465</v>
      </c>
      <c r="E249" s="10" t="s">
        <v>13645</v>
      </c>
      <c r="F249" s="10" t="s">
        <v>13646</v>
      </c>
      <c r="H249" s="2" t="s">
        <v>78</v>
      </c>
      <c r="L249" s="18">
        <v>1</v>
      </c>
      <c r="N249" s="13">
        <v>44986</v>
      </c>
      <c r="O249" s="29">
        <v>0</v>
      </c>
      <c r="P249" s="18" t="s">
        <v>1107</v>
      </c>
      <c r="Q249" s="18">
        <v>0</v>
      </c>
      <c r="W249" s="14" t="s">
        <v>7777</v>
      </c>
      <c r="X249" s="3">
        <v>2</v>
      </c>
      <c r="Z249" s="23">
        <v>3</v>
      </c>
      <c r="AB249" s="18">
        <f t="shared" si="6"/>
        <v>2022</v>
      </c>
      <c r="AC249" s="22">
        <f t="shared" si="7"/>
        <v>0.4</v>
      </c>
    </row>
    <row r="250" spans="1:29">
      <c r="A250" s="8" t="s">
        <v>14788</v>
      </c>
      <c r="B250" s="17" t="s">
        <v>7800</v>
      </c>
      <c r="C250" s="13">
        <v>44847</v>
      </c>
      <c r="D250" s="13" t="s">
        <v>8465</v>
      </c>
      <c r="E250" s="10" t="s">
        <v>14789</v>
      </c>
      <c r="F250" s="10" t="s">
        <v>14790</v>
      </c>
      <c r="H250" s="2" t="s">
        <v>3411</v>
      </c>
      <c r="L250" s="18">
        <v>1</v>
      </c>
      <c r="N250" s="13">
        <v>45065</v>
      </c>
      <c r="O250" s="29">
        <v>0</v>
      </c>
      <c r="P250" s="18" t="s">
        <v>1107</v>
      </c>
      <c r="Q250" s="18">
        <v>0</v>
      </c>
      <c r="V250" s="22">
        <f>3.17/5</f>
        <v>0.63400000000000001</v>
      </c>
      <c r="W250" s="14" t="s">
        <v>7777</v>
      </c>
      <c r="X250" s="3">
        <v>2</v>
      </c>
      <c r="Z250" s="23">
        <v>8.5</v>
      </c>
      <c r="AB250" s="18">
        <f t="shared" si="6"/>
        <v>2022</v>
      </c>
      <c r="AC250" s="22">
        <f t="shared" si="7"/>
        <v>0.51700000000000002</v>
      </c>
    </row>
    <row r="251" spans="1:29" ht="25.5">
      <c r="A251" s="8" t="s">
        <v>15075</v>
      </c>
      <c r="B251" s="17" t="s">
        <v>9440</v>
      </c>
      <c r="C251" s="13">
        <v>44845</v>
      </c>
      <c r="D251" s="13" t="s">
        <v>8465</v>
      </c>
      <c r="E251" s="10" t="s">
        <v>11982</v>
      </c>
      <c r="F251" s="10" t="s">
        <v>15076</v>
      </c>
      <c r="H251" s="2" t="s">
        <v>171</v>
      </c>
      <c r="L251" s="18">
        <v>1</v>
      </c>
      <c r="M251" s="14" t="s">
        <v>8462</v>
      </c>
      <c r="N251" s="13">
        <v>45091</v>
      </c>
      <c r="O251" s="29">
        <v>34.909999999999997</v>
      </c>
      <c r="P251" s="18" t="s">
        <v>14</v>
      </c>
      <c r="Q251" s="18">
        <v>0</v>
      </c>
      <c r="U251" s="22">
        <v>0.75</v>
      </c>
      <c r="V251" s="22">
        <f>2.25/5</f>
        <v>0.45</v>
      </c>
      <c r="X251" s="3">
        <v>3</v>
      </c>
      <c r="Z251" s="23">
        <v>17.5</v>
      </c>
      <c r="AB251" s="18">
        <f t="shared" si="6"/>
        <v>2022</v>
      </c>
      <c r="AC251" s="22">
        <f t="shared" si="7"/>
        <v>0.6</v>
      </c>
    </row>
    <row r="252" spans="1:29" ht="25.5">
      <c r="A252" s="8" t="s">
        <v>11609</v>
      </c>
      <c r="B252" s="17" t="s">
        <v>7744</v>
      </c>
      <c r="C252" s="13">
        <v>44845</v>
      </c>
      <c r="D252" s="13" t="s">
        <v>8465</v>
      </c>
      <c r="E252" s="10" t="s">
        <v>1062</v>
      </c>
      <c r="F252" s="10" t="s">
        <v>3029</v>
      </c>
      <c r="H252" s="2" t="s">
        <v>245</v>
      </c>
      <c r="L252" s="18">
        <v>1</v>
      </c>
      <c r="M252" s="14" t="s">
        <v>8462</v>
      </c>
      <c r="N252" s="13">
        <v>44656</v>
      </c>
      <c r="O252" s="29">
        <v>43.44</v>
      </c>
      <c r="P252" s="18" t="s">
        <v>14</v>
      </c>
      <c r="Q252" s="18">
        <v>0</v>
      </c>
      <c r="U252" s="22">
        <v>0.7</v>
      </c>
      <c r="V252" s="22">
        <f>4/5</f>
        <v>0.8</v>
      </c>
      <c r="X252" s="3">
        <v>2</v>
      </c>
      <c r="Z252" s="23">
        <v>9</v>
      </c>
      <c r="AB252" s="18">
        <f t="shared" si="6"/>
        <v>2022</v>
      </c>
      <c r="AC252" s="22">
        <f t="shared" si="7"/>
        <v>0.6333333333333333</v>
      </c>
    </row>
    <row r="253" spans="1:29" ht="30">
      <c r="A253" s="8" t="s">
        <v>15848</v>
      </c>
      <c r="B253" s="17" t="s">
        <v>7800</v>
      </c>
      <c r="C253" s="13">
        <v>44845</v>
      </c>
      <c r="D253" s="13" t="s">
        <v>8465</v>
      </c>
      <c r="E253" s="10" t="s">
        <v>10098</v>
      </c>
      <c r="F253" s="10" t="s">
        <v>15849</v>
      </c>
      <c r="H253" s="2" t="s">
        <v>3123</v>
      </c>
      <c r="L253" s="18">
        <v>1</v>
      </c>
      <c r="N253" s="13">
        <v>45192</v>
      </c>
      <c r="O253" s="29">
        <v>0</v>
      </c>
      <c r="P253" s="18" t="s">
        <v>1107</v>
      </c>
      <c r="Q253" s="18">
        <v>0</v>
      </c>
      <c r="V253" s="22">
        <f>3.5/5</f>
        <v>0.7</v>
      </c>
      <c r="W253" s="14" t="s">
        <v>7778</v>
      </c>
      <c r="X253" s="3">
        <v>2</v>
      </c>
      <c r="AB253" s="18">
        <f t="shared" si="6"/>
        <v>2022</v>
      </c>
      <c r="AC253" s="22">
        <f t="shared" si="7"/>
        <v>0.55000000000000004</v>
      </c>
    </row>
    <row r="254" spans="1:29">
      <c r="A254" s="8" t="s">
        <v>14002</v>
      </c>
      <c r="B254" s="17" t="s">
        <v>7800</v>
      </c>
      <c r="C254" s="13">
        <v>44842</v>
      </c>
      <c r="D254" s="13" t="s">
        <v>8465</v>
      </c>
      <c r="E254" s="10" t="s">
        <v>14003</v>
      </c>
      <c r="F254" s="10" t="s">
        <v>14003</v>
      </c>
      <c r="H254" s="2" t="s">
        <v>1518</v>
      </c>
      <c r="L254" s="18">
        <v>1</v>
      </c>
      <c r="N254" s="13">
        <v>45016</v>
      </c>
      <c r="O254" s="29">
        <v>0</v>
      </c>
      <c r="P254" s="18" t="s">
        <v>1107</v>
      </c>
      <c r="Q254" s="18">
        <v>0</v>
      </c>
      <c r="V254" s="22">
        <f>3.25/5</f>
        <v>0.65</v>
      </c>
      <c r="W254" s="14" t="s">
        <v>7777</v>
      </c>
      <c r="X254" s="3">
        <v>2</v>
      </c>
      <c r="Z254" s="23">
        <v>21</v>
      </c>
      <c r="AB254" s="18">
        <f t="shared" si="6"/>
        <v>2022</v>
      </c>
      <c r="AC254" s="22">
        <f t="shared" si="7"/>
        <v>0.52500000000000002</v>
      </c>
    </row>
    <row r="255" spans="1:29" ht="38.25">
      <c r="A255" s="8" t="s">
        <v>12072</v>
      </c>
      <c r="B255" s="17" t="s">
        <v>7744</v>
      </c>
      <c r="C255" s="13">
        <v>44841</v>
      </c>
      <c r="D255" s="13" t="s">
        <v>8465</v>
      </c>
      <c r="E255" s="10" t="s">
        <v>2452</v>
      </c>
      <c r="F255" s="10" t="s">
        <v>8973</v>
      </c>
      <c r="G255" s="11" t="s">
        <v>9368</v>
      </c>
      <c r="H255" s="2" t="s">
        <v>1057</v>
      </c>
      <c r="L255" s="18">
        <v>1</v>
      </c>
      <c r="M255" s="14" t="s">
        <v>8462</v>
      </c>
      <c r="N255" s="13">
        <v>44733</v>
      </c>
      <c r="O255" s="29">
        <v>49.99</v>
      </c>
      <c r="P255" s="18" t="s">
        <v>14</v>
      </c>
      <c r="Q255" s="18">
        <v>0</v>
      </c>
      <c r="U255" s="22">
        <v>0.78</v>
      </c>
      <c r="V255" s="22">
        <f>4/5</f>
        <v>0.8</v>
      </c>
      <c r="W255" s="14" t="s">
        <v>12806</v>
      </c>
      <c r="X255" s="3">
        <v>3</v>
      </c>
      <c r="Z255" s="23">
        <f>25.5+30.5</f>
        <v>56</v>
      </c>
      <c r="AB255" s="18">
        <f t="shared" si="6"/>
        <v>2022</v>
      </c>
      <c r="AC255" s="22">
        <f t="shared" si="7"/>
        <v>0.72666666666666668</v>
      </c>
    </row>
    <row r="256" spans="1:29" ht="25.5">
      <c r="A256" s="8" t="s">
        <v>12792</v>
      </c>
      <c r="B256" s="17" t="s">
        <v>7744</v>
      </c>
      <c r="C256" s="13">
        <v>44840</v>
      </c>
      <c r="D256" s="13" t="s">
        <v>8465</v>
      </c>
      <c r="E256" s="10" t="s">
        <v>1082</v>
      </c>
      <c r="F256" s="10" t="s">
        <v>1058</v>
      </c>
      <c r="G256" s="11" t="s">
        <v>4538</v>
      </c>
      <c r="H256" s="2" t="s">
        <v>171</v>
      </c>
      <c r="L256" s="18">
        <v>1</v>
      </c>
      <c r="M256" s="14" t="s">
        <v>8462</v>
      </c>
      <c r="N256" s="13">
        <v>44741</v>
      </c>
      <c r="O256" s="29">
        <v>43.44</v>
      </c>
      <c r="P256" s="18" t="s">
        <v>14</v>
      </c>
      <c r="Q256" s="18">
        <v>0</v>
      </c>
      <c r="U256" s="22">
        <v>0.88</v>
      </c>
      <c r="V256" s="22">
        <f>4.03/5</f>
        <v>0.80600000000000005</v>
      </c>
      <c r="X256" s="3">
        <v>3</v>
      </c>
      <c r="Z256" s="23">
        <v>21</v>
      </c>
      <c r="AB256" s="18">
        <f t="shared" si="6"/>
        <v>2022</v>
      </c>
      <c r="AC256" s="22">
        <f t="shared" si="7"/>
        <v>0.76200000000000001</v>
      </c>
    </row>
    <row r="257" spans="1:29">
      <c r="A257" s="8" t="s">
        <v>14801</v>
      </c>
      <c r="B257" s="17" t="s">
        <v>7800</v>
      </c>
      <c r="C257" s="13">
        <v>44834</v>
      </c>
      <c r="D257" s="13" t="s">
        <v>8465</v>
      </c>
      <c r="E257" s="10" t="s">
        <v>12034</v>
      </c>
      <c r="F257" s="10" t="s">
        <v>14802</v>
      </c>
      <c r="H257" s="2" t="s">
        <v>245</v>
      </c>
      <c r="L257" s="18">
        <v>1</v>
      </c>
      <c r="N257" s="13">
        <v>45065</v>
      </c>
      <c r="O257" s="29">
        <v>0</v>
      </c>
      <c r="P257" s="18" t="s">
        <v>1107</v>
      </c>
      <c r="Q257" s="18">
        <v>0</v>
      </c>
      <c r="V257" s="22">
        <f>2.5/5</f>
        <v>0.5</v>
      </c>
      <c r="W257" s="14" t="s">
        <v>7777</v>
      </c>
      <c r="X257" s="3">
        <v>3</v>
      </c>
      <c r="Z257" s="23">
        <v>2.5</v>
      </c>
      <c r="AB257" s="18">
        <f t="shared" si="6"/>
        <v>2022</v>
      </c>
      <c r="AC257" s="22">
        <f t="shared" si="7"/>
        <v>0.55000000000000004</v>
      </c>
    </row>
    <row r="258" spans="1:29">
      <c r="A258" s="8" t="s">
        <v>15377</v>
      </c>
      <c r="B258" s="17" t="s">
        <v>7744</v>
      </c>
      <c r="C258" s="13">
        <v>44834</v>
      </c>
      <c r="D258" s="13" t="s">
        <v>8465</v>
      </c>
      <c r="E258" s="10" t="s">
        <v>8530</v>
      </c>
      <c r="F258" s="10" t="s">
        <v>15378</v>
      </c>
      <c r="H258" s="2" t="s">
        <v>80</v>
      </c>
      <c r="L258" s="18">
        <v>1</v>
      </c>
      <c r="M258" s="14" t="s">
        <v>8462</v>
      </c>
      <c r="N258" s="13">
        <v>45115</v>
      </c>
      <c r="O258" s="29">
        <v>23.89</v>
      </c>
      <c r="P258" s="18" t="s">
        <v>14</v>
      </c>
      <c r="Q258" s="18">
        <v>0</v>
      </c>
      <c r="U258" s="22">
        <v>0.61</v>
      </c>
      <c r="V258" s="22">
        <f>3.75/5</f>
        <v>0.75</v>
      </c>
      <c r="X258" s="3">
        <v>3</v>
      </c>
      <c r="Z258" s="23">
        <v>19.5</v>
      </c>
      <c r="AB258" s="18">
        <f t="shared" ref="AB258:AB321" si="8">IFERROR(YEAR(C258), "Early Access")</f>
        <v>2022</v>
      </c>
      <c r="AC258" s="22">
        <f t="shared" ref="AC258:AC321" si="9">AVERAGE(T258, U258, V258, IF(ISBLANK(X258), X258, X258/5))</f>
        <v>0.65333333333333332</v>
      </c>
    </row>
    <row r="259" spans="1:29">
      <c r="A259" s="8" t="s">
        <v>15415</v>
      </c>
      <c r="B259" s="17" t="s">
        <v>7800</v>
      </c>
      <c r="C259" s="13">
        <v>44834</v>
      </c>
      <c r="D259" s="13" t="s">
        <v>8465</v>
      </c>
      <c r="E259" s="10" t="s">
        <v>15416</v>
      </c>
      <c r="F259" s="10" t="s">
        <v>15416</v>
      </c>
      <c r="H259" s="2" t="s">
        <v>1334</v>
      </c>
      <c r="L259" s="18">
        <v>1</v>
      </c>
      <c r="N259" s="13">
        <v>45128</v>
      </c>
      <c r="O259" s="29">
        <v>0</v>
      </c>
      <c r="P259" s="18" t="s">
        <v>1107</v>
      </c>
      <c r="Q259" s="18">
        <v>0</v>
      </c>
      <c r="W259" s="14" t="s">
        <v>7777</v>
      </c>
      <c r="X259" s="3">
        <v>3</v>
      </c>
      <c r="Z259" s="23">
        <v>3</v>
      </c>
      <c r="AB259" s="18">
        <f t="shared" si="8"/>
        <v>2022</v>
      </c>
      <c r="AC259" s="22">
        <f t="shared" si="9"/>
        <v>0.6</v>
      </c>
    </row>
    <row r="260" spans="1:29">
      <c r="A260" s="8" t="s">
        <v>12157</v>
      </c>
      <c r="B260" s="17" t="s">
        <v>9431</v>
      </c>
      <c r="C260" s="13">
        <v>44833</v>
      </c>
      <c r="D260" s="13" t="s">
        <v>8465</v>
      </c>
      <c r="E260" s="10" t="s">
        <v>1082</v>
      </c>
      <c r="F260" s="10" t="s">
        <v>10089</v>
      </c>
      <c r="G260" s="11" t="s">
        <v>2295</v>
      </c>
      <c r="H260" s="2" t="s">
        <v>171</v>
      </c>
      <c r="L260" s="18">
        <v>1</v>
      </c>
      <c r="M260" s="14" t="s">
        <v>8462</v>
      </c>
      <c r="N260" s="13">
        <v>44749</v>
      </c>
      <c r="O260" s="29">
        <v>65.16</v>
      </c>
      <c r="P260" s="18" t="s">
        <v>14</v>
      </c>
      <c r="Q260" s="18">
        <v>0</v>
      </c>
      <c r="U260" s="22">
        <v>0.66</v>
      </c>
      <c r="V260" s="22">
        <f>2.92/5</f>
        <v>0.58399999999999996</v>
      </c>
      <c r="X260" s="3">
        <v>4</v>
      </c>
      <c r="Z260" s="23">
        <v>14.5</v>
      </c>
      <c r="AB260" s="18">
        <f t="shared" si="8"/>
        <v>2022</v>
      </c>
      <c r="AC260" s="22">
        <f t="shared" si="9"/>
        <v>0.68133333333333335</v>
      </c>
    </row>
    <row r="261" spans="1:29">
      <c r="A261" s="8" t="s">
        <v>14390</v>
      </c>
      <c r="B261" s="17" t="s">
        <v>7744</v>
      </c>
      <c r="C261" s="13">
        <v>44833</v>
      </c>
      <c r="D261" s="13" t="s">
        <v>8465</v>
      </c>
      <c r="E261" s="10" t="s">
        <v>1794</v>
      </c>
      <c r="F261" s="10" t="s">
        <v>1794</v>
      </c>
      <c r="G261" s="11" t="s">
        <v>10286</v>
      </c>
      <c r="H261" s="2" t="s">
        <v>78</v>
      </c>
      <c r="L261" s="18">
        <v>1</v>
      </c>
      <c r="N261" s="13">
        <v>45037</v>
      </c>
      <c r="O261" s="29">
        <v>7.99</v>
      </c>
      <c r="P261" s="18" t="s">
        <v>1107</v>
      </c>
      <c r="Q261" s="18">
        <v>0</v>
      </c>
      <c r="V261" s="22">
        <f>4/5</f>
        <v>0.8</v>
      </c>
      <c r="X261" s="3">
        <v>3</v>
      </c>
      <c r="Z261" s="23">
        <v>20</v>
      </c>
      <c r="AB261" s="18">
        <f t="shared" si="8"/>
        <v>2022</v>
      </c>
      <c r="AC261" s="22">
        <f t="shared" si="9"/>
        <v>0.7</v>
      </c>
    </row>
    <row r="262" spans="1:29" ht="25.5">
      <c r="A262" s="8" t="s">
        <v>13481</v>
      </c>
      <c r="B262" s="17" t="s">
        <v>7800</v>
      </c>
      <c r="C262" s="13">
        <v>44832</v>
      </c>
      <c r="D262" s="13" t="s">
        <v>8465</v>
      </c>
      <c r="E262" s="10" t="s">
        <v>13482</v>
      </c>
      <c r="F262" s="10" t="s">
        <v>13482</v>
      </c>
      <c r="H262" s="2" t="s">
        <v>1057</v>
      </c>
      <c r="L262" s="18">
        <v>1</v>
      </c>
      <c r="N262" s="13">
        <v>44965</v>
      </c>
      <c r="O262" s="29">
        <v>0</v>
      </c>
      <c r="P262" s="18" t="s">
        <v>1107</v>
      </c>
      <c r="Q262" s="18">
        <v>0</v>
      </c>
      <c r="W262" s="14" t="s">
        <v>7777</v>
      </c>
      <c r="X262" s="3">
        <v>2</v>
      </c>
      <c r="AB262" s="18">
        <f t="shared" si="8"/>
        <v>2022</v>
      </c>
      <c r="AC262" s="22">
        <f t="shared" si="9"/>
        <v>0.4</v>
      </c>
    </row>
    <row r="263" spans="1:29" ht="25.5">
      <c r="A263" s="8" t="s">
        <v>12699</v>
      </c>
      <c r="B263" s="17" t="s">
        <v>7744</v>
      </c>
      <c r="C263" s="13">
        <v>44831</v>
      </c>
      <c r="D263" s="13" t="s">
        <v>8465</v>
      </c>
      <c r="E263" s="10" t="s">
        <v>1062</v>
      </c>
      <c r="F263" s="10" t="s">
        <v>1245</v>
      </c>
      <c r="G263" s="11" t="s">
        <v>2892</v>
      </c>
      <c r="H263" s="2" t="s">
        <v>149</v>
      </c>
      <c r="L263" s="18">
        <v>1</v>
      </c>
      <c r="M263" s="14" t="s">
        <v>8462</v>
      </c>
      <c r="N263" s="13">
        <v>44473</v>
      </c>
      <c r="O263" s="29">
        <v>54.3</v>
      </c>
      <c r="P263" s="18" t="s">
        <v>14</v>
      </c>
      <c r="Q263" s="18">
        <v>0</v>
      </c>
      <c r="U263" s="22">
        <v>0.86</v>
      </c>
      <c r="V263" s="22">
        <f>4.1/5</f>
        <v>0.82</v>
      </c>
      <c r="W263" s="14" t="s">
        <v>10168</v>
      </c>
      <c r="X263" s="3">
        <v>4</v>
      </c>
      <c r="Z263" s="23">
        <v>41</v>
      </c>
      <c r="AB263" s="18">
        <f t="shared" si="8"/>
        <v>2022</v>
      </c>
      <c r="AC263" s="22">
        <f t="shared" si="9"/>
        <v>0.82666666666666666</v>
      </c>
    </row>
    <row r="264" spans="1:29">
      <c r="A264" s="8" t="s">
        <v>13113</v>
      </c>
      <c r="B264" s="17" t="s">
        <v>7800</v>
      </c>
      <c r="C264" s="13">
        <v>44831</v>
      </c>
      <c r="D264" s="13" t="s">
        <v>8465</v>
      </c>
      <c r="E264" s="10" t="s">
        <v>1634</v>
      </c>
      <c r="F264" s="10" t="s">
        <v>13114</v>
      </c>
      <c r="H264" s="2" t="s">
        <v>1334</v>
      </c>
      <c r="L264" s="18">
        <v>1</v>
      </c>
      <c r="N264" s="13">
        <v>44929</v>
      </c>
      <c r="O264" s="29">
        <v>0</v>
      </c>
      <c r="P264" s="18" t="s">
        <v>1107</v>
      </c>
      <c r="Q264" s="18">
        <v>0</v>
      </c>
      <c r="U264" s="22">
        <v>0.54</v>
      </c>
      <c r="V264" s="22">
        <f>3.17/5</f>
        <v>0.63400000000000001</v>
      </c>
      <c r="W264" s="14" t="s">
        <v>7777</v>
      </c>
      <c r="X264" s="3">
        <v>3</v>
      </c>
      <c r="Z264" s="23">
        <v>6</v>
      </c>
      <c r="AB264" s="18">
        <f t="shared" si="8"/>
        <v>2022</v>
      </c>
      <c r="AC264" s="22">
        <f t="shared" si="9"/>
        <v>0.59133333333333338</v>
      </c>
    </row>
    <row r="265" spans="1:29">
      <c r="A265" s="8" t="s">
        <v>15977</v>
      </c>
      <c r="B265" s="17" t="s">
        <v>7800</v>
      </c>
      <c r="C265" s="13">
        <v>44831</v>
      </c>
      <c r="D265" s="13" t="s">
        <v>8465</v>
      </c>
      <c r="E265" s="10" t="s">
        <v>9249</v>
      </c>
      <c r="F265" s="10" t="s">
        <v>15978</v>
      </c>
      <c r="H265" s="2" t="s">
        <v>151</v>
      </c>
      <c r="L265" s="18">
        <v>1</v>
      </c>
      <c r="N265" s="13">
        <v>45196</v>
      </c>
      <c r="O265" s="29">
        <v>14</v>
      </c>
      <c r="P265" s="18" t="s">
        <v>1107</v>
      </c>
      <c r="Q265" s="18">
        <v>0</v>
      </c>
      <c r="U265" s="22">
        <v>0.75</v>
      </c>
      <c r="V265" s="22">
        <f>3.2/5</f>
        <v>0.64</v>
      </c>
      <c r="W265" s="14" t="s">
        <v>7777</v>
      </c>
      <c r="X265" s="3">
        <v>4</v>
      </c>
      <c r="Z265" s="23">
        <v>9</v>
      </c>
      <c r="AB265" s="18">
        <f t="shared" si="8"/>
        <v>2022</v>
      </c>
      <c r="AC265" s="22">
        <f t="shared" si="9"/>
        <v>0.73000000000000009</v>
      </c>
    </row>
    <row r="266" spans="1:29" ht="25.5">
      <c r="A266" s="8" t="s">
        <v>12696</v>
      </c>
      <c r="B266" s="17" t="s">
        <v>7800</v>
      </c>
      <c r="C266" s="13">
        <v>44830</v>
      </c>
      <c r="D266" s="13" t="s">
        <v>8465</v>
      </c>
      <c r="E266" s="10" t="s">
        <v>12697</v>
      </c>
      <c r="F266" s="10" t="s">
        <v>12697</v>
      </c>
      <c r="H266" s="2" t="s">
        <v>67</v>
      </c>
      <c r="L266" s="18">
        <v>1</v>
      </c>
      <c r="N266" s="13">
        <v>44830</v>
      </c>
      <c r="O266" s="29">
        <v>0</v>
      </c>
      <c r="P266" s="18" t="s">
        <v>1107</v>
      </c>
      <c r="Q266" s="18">
        <v>0</v>
      </c>
      <c r="V266" s="22">
        <f>4/5</f>
        <v>0.8</v>
      </c>
      <c r="W266" s="14" t="s">
        <v>7777</v>
      </c>
      <c r="X266" s="3">
        <v>2</v>
      </c>
      <c r="Z266" s="23">
        <v>3</v>
      </c>
      <c r="AB266" s="18">
        <f t="shared" si="8"/>
        <v>2022</v>
      </c>
      <c r="AC266" s="22">
        <f t="shared" si="9"/>
        <v>0.60000000000000009</v>
      </c>
    </row>
    <row r="267" spans="1:29" ht="25.5">
      <c r="A267" s="8" t="s">
        <v>15578</v>
      </c>
      <c r="B267" s="17" t="s">
        <v>7800</v>
      </c>
      <c r="C267" s="13">
        <v>44830</v>
      </c>
      <c r="D267" s="13" t="s">
        <v>8465</v>
      </c>
      <c r="E267" s="10" t="s">
        <v>15579</v>
      </c>
      <c r="F267" s="10" t="s">
        <v>15580</v>
      </c>
      <c r="H267" s="2" t="s">
        <v>1040</v>
      </c>
      <c r="L267" s="18">
        <v>1</v>
      </c>
      <c r="N267" s="13">
        <v>45161</v>
      </c>
      <c r="O267" s="29">
        <v>15</v>
      </c>
      <c r="P267" s="18" t="s">
        <v>1107</v>
      </c>
      <c r="Q267" s="18">
        <v>0</v>
      </c>
      <c r="W267" s="14" t="s">
        <v>7777</v>
      </c>
      <c r="X267" s="3">
        <v>3</v>
      </c>
      <c r="Z267" s="23">
        <v>4.5</v>
      </c>
      <c r="AB267" s="18">
        <f t="shared" si="8"/>
        <v>2022</v>
      </c>
      <c r="AC267" s="22">
        <f t="shared" si="9"/>
        <v>0.6</v>
      </c>
    </row>
    <row r="268" spans="1:29" ht="25.5">
      <c r="A268" s="8" t="s">
        <v>13507</v>
      </c>
      <c r="B268" s="17" t="s">
        <v>7744</v>
      </c>
      <c r="C268" s="13">
        <v>44827</v>
      </c>
      <c r="D268" s="13" t="s">
        <v>8465</v>
      </c>
      <c r="E268" s="10" t="s">
        <v>3568</v>
      </c>
      <c r="F268" s="10" t="s">
        <v>3568</v>
      </c>
      <c r="G268" s="11" t="s">
        <v>13516</v>
      </c>
      <c r="H268" s="2" t="s">
        <v>1220</v>
      </c>
      <c r="L268" s="18">
        <v>1</v>
      </c>
      <c r="M268" s="14" t="s">
        <v>8462</v>
      </c>
      <c r="N268" s="13">
        <v>44965</v>
      </c>
      <c r="O268" s="29">
        <v>24.43</v>
      </c>
      <c r="P268" s="18" t="s">
        <v>14</v>
      </c>
      <c r="Q268" s="18">
        <v>0</v>
      </c>
      <c r="U268" s="22">
        <v>0.8</v>
      </c>
      <c r="V268" s="22">
        <f>4.38/5</f>
        <v>0.876</v>
      </c>
      <c r="X268" s="3">
        <v>2</v>
      </c>
      <c r="Z268" s="23">
        <v>10.5</v>
      </c>
      <c r="AB268" s="18">
        <f t="shared" si="8"/>
        <v>2022</v>
      </c>
      <c r="AC268" s="22">
        <f t="shared" si="9"/>
        <v>0.69200000000000006</v>
      </c>
    </row>
    <row r="269" spans="1:29">
      <c r="A269" s="8" t="s">
        <v>15397</v>
      </c>
      <c r="B269" s="17" t="s">
        <v>7744</v>
      </c>
      <c r="C269" s="13">
        <v>44826</v>
      </c>
      <c r="D269" s="13" t="s">
        <v>8465</v>
      </c>
      <c r="E269" s="10" t="s">
        <v>7877</v>
      </c>
      <c r="F269" s="10" t="s">
        <v>15398</v>
      </c>
      <c r="H269" s="2" t="s">
        <v>80</v>
      </c>
      <c r="L269" s="18">
        <v>1</v>
      </c>
      <c r="M269" s="14" t="s">
        <v>8462</v>
      </c>
      <c r="N269" s="13">
        <v>45118</v>
      </c>
      <c r="O269" s="29">
        <v>21.71</v>
      </c>
      <c r="P269" s="18" t="s">
        <v>14</v>
      </c>
      <c r="Q269" s="18">
        <v>0</v>
      </c>
      <c r="U269" s="22">
        <v>0.72</v>
      </c>
      <c r="V269" s="22">
        <f>3.8/5</f>
        <v>0.76</v>
      </c>
      <c r="X269" s="3">
        <v>3</v>
      </c>
      <c r="Z269" s="23">
        <v>22</v>
      </c>
      <c r="AB269" s="18">
        <f t="shared" si="8"/>
        <v>2022</v>
      </c>
      <c r="AC269" s="22">
        <f t="shared" si="9"/>
        <v>0.69333333333333336</v>
      </c>
    </row>
    <row r="270" spans="1:29">
      <c r="A270" s="8" t="s">
        <v>14774</v>
      </c>
      <c r="B270" s="17" t="s">
        <v>7800</v>
      </c>
      <c r="C270" s="13">
        <v>44823</v>
      </c>
      <c r="D270" s="13" t="s">
        <v>8465</v>
      </c>
      <c r="E270" s="10" t="s">
        <v>9529</v>
      </c>
      <c r="F270" s="10" t="s">
        <v>14775</v>
      </c>
      <c r="H270" s="2" t="s">
        <v>171</v>
      </c>
      <c r="L270" s="18">
        <v>1</v>
      </c>
      <c r="N270" s="13">
        <v>45062</v>
      </c>
      <c r="O270" s="29">
        <v>0</v>
      </c>
      <c r="P270" s="18" t="s">
        <v>1107</v>
      </c>
      <c r="Q270" s="18">
        <v>0</v>
      </c>
      <c r="V270" s="22">
        <f>4/5</f>
        <v>0.8</v>
      </c>
      <c r="W270" s="14" t="s">
        <v>7777</v>
      </c>
      <c r="X270" s="3">
        <v>3</v>
      </c>
      <c r="Z270" s="23">
        <v>13</v>
      </c>
      <c r="AB270" s="18">
        <f t="shared" si="8"/>
        <v>2022</v>
      </c>
      <c r="AC270" s="22">
        <f t="shared" si="9"/>
        <v>0.7</v>
      </c>
    </row>
    <row r="271" spans="1:29" ht="25.5">
      <c r="A271" s="8" t="s">
        <v>15248</v>
      </c>
      <c r="B271" s="17" t="s">
        <v>7744</v>
      </c>
      <c r="C271" s="13">
        <v>44823</v>
      </c>
      <c r="D271" s="13" t="s">
        <v>8465</v>
      </c>
      <c r="E271" s="10" t="s">
        <v>3063</v>
      </c>
      <c r="F271" s="10" t="s">
        <v>15432</v>
      </c>
      <c r="G271" s="11" t="s">
        <v>4472</v>
      </c>
      <c r="H271" s="2" t="s">
        <v>67</v>
      </c>
      <c r="L271" s="18">
        <v>1</v>
      </c>
      <c r="M271" s="14" t="s">
        <v>8462</v>
      </c>
      <c r="N271" s="13">
        <v>45087</v>
      </c>
      <c r="O271" s="29">
        <v>38.01</v>
      </c>
      <c r="P271" s="18" t="s">
        <v>14</v>
      </c>
      <c r="Q271" s="18">
        <v>0</v>
      </c>
      <c r="U271" s="22">
        <v>0.85</v>
      </c>
      <c r="V271" s="22">
        <f>4.07/5</f>
        <v>0.81400000000000006</v>
      </c>
      <c r="X271" s="3">
        <v>4</v>
      </c>
      <c r="Z271" s="23">
        <v>10</v>
      </c>
      <c r="AB271" s="18">
        <f t="shared" si="8"/>
        <v>2022</v>
      </c>
      <c r="AC271" s="22">
        <f t="shared" si="9"/>
        <v>0.82133333333333347</v>
      </c>
    </row>
    <row r="272" spans="1:29">
      <c r="A272" s="8" t="s">
        <v>15997</v>
      </c>
      <c r="B272" s="17" t="s">
        <v>7800</v>
      </c>
      <c r="C272" s="13">
        <v>44823</v>
      </c>
      <c r="D272" s="13" t="s">
        <v>8465</v>
      </c>
      <c r="E272" s="10" t="s">
        <v>7894</v>
      </c>
      <c r="F272" s="10" t="s">
        <v>15998</v>
      </c>
      <c r="H272" s="2" t="s">
        <v>1059</v>
      </c>
      <c r="L272" s="18">
        <v>1</v>
      </c>
      <c r="N272" s="13">
        <v>45198</v>
      </c>
      <c r="O272" s="29">
        <v>0</v>
      </c>
      <c r="P272" s="18" t="s">
        <v>1107</v>
      </c>
      <c r="Q272" s="18">
        <v>0</v>
      </c>
      <c r="U272" s="22">
        <v>0.68</v>
      </c>
      <c r="V272" s="22">
        <f>3.59/5</f>
        <v>0.71799999999999997</v>
      </c>
      <c r="W272" s="14" t="s">
        <v>7097</v>
      </c>
      <c r="X272" s="3">
        <v>2</v>
      </c>
      <c r="Z272" s="23">
        <v>17.5</v>
      </c>
      <c r="AB272" s="18">
        <f t="shared" si="8"/>
        <v>2022</v>
      </c>
      <c r="AC272" s="22">
        <f t="shared" si="9"/>
        <v>0.59933333333333338</v>
      </c>
    </row>
    <row r="273" spans="1:29">
      <c r="A273" s="8" t="s">
        <v>13108</v>
      </c>
      <c r="B273" s="17" t="s">
        <v>7744</v>
      </c>
      <c r="C273" s="13">
        <v>44819</v>
      </c>
      <c r="D273" s="13" t="s">
        <v>8465</v>
      </c>
      <c r="E273" s="10" t="s">
        <v>3808</v>
      </c>
      <c r="F273" s="10" t="s">
        <v>13348</v>
      </c>
      <c r="H273" s="2" t="s">
        <v>3411</v>
      </c>
      <c r="L273" s="18">
        <v>1</v>
      </c>
      <c r="M273" s="14" t="s">
        <v>8462</v>
      </c>
      <c r="N273" s="13">
        <v>44927</v>
      </c>
      <c r="O273" s="29">
        <v>16.28</v>
      </c>
      <c r="P273" s="18" t="s">
        <v>14</v>
      </c>
      <c r="Q273" s="18">
        <v>0</v>
      </c>
      <c r="U273" s="22">
        <v>0.76</v>
      </c>
      <c r="X273" s="3">
        <v>3</v>
      </c>
      <c r="Z273" s="23">
        <v>12.5</v>
      </c>
      <c r="AB273" s="18">
        <f t="shared" si="8"/>
        <v>2022</v>
      </c>
      <c r="AC273" s="22">
        <f t="shared" si="9"/>
        <v>0.67999999999999994</v>
      </c>
    </row>
    <row r="274" spans="1:29" ht="25.5">
      <c r="A274" s="8" t="s">
        <v>15850</v>
      </c>
      <c r="B274" s="17" t="s">
        <v>7800</v>
      </c>
      <c r="C274" s="13">
        <v>44819</v>
      </c>
      <c r="D274" s="13" t="s">
        <v>8465</v>
      </c>
      <c r="E274" s="10" t="s">
        <v>6112</v>
      </c>
      <c r="F274" s="10" t="s">
        <v>15851</v>
      </c>
      <c r="H274" s="77" t="s">
        <v>75</v>
      </c>
      <c r="L274" s="18">
        <v>1</v>
      </c>
      <c r="N274" s="13">
        <v>45192</v>
      </c>
      <c r="O274" s="29">
        <v>0</v>
      </c>
      <c r="P274" s="18" t="s">
        <v>1107</v>
      </c>
      <c r="Q274" s="18">
        <v>0</v>
      </c>
      <c r="V274" s="22">
        <f>3.25/5</f>
        <v>0.65</v>
      </c>
      <c r="W274" s="14" t="s">
        <v>7799</v>
      </c>
      <c r="X274" s="3">
        <v>3</v>
      </c>
      <c r="AB274" s="18">
        <f t="shared" si="8"/>
        <v>2022</v>
      </c>
      <c r="AC274" s="22">
        <f t="shared" si="9"/>
        <v>0.625</v>
      </c>
    </row>
    <row r="275" spans="1:29" ht="25.5">
      <c r="A275" s="8" t="s">
        <v>15991</v>
      </c>
      <c r="B275" s="17" t="s">
        <v>7800</v>
      </c>
      <c r="C275" s="13">
        <v>44819</v>
      </c>
      <c r="D275" s="13" t="s">
        <v>8465</v>
      </c>
      <c r="E275" s="10" t="s">
        <v>14059</v>
      </c>
      <c r="F275" s="10" t="s">
        <v>15992</v>
      </c>
      <c r="H275" s="2" t="s">
        <v>1059</v>
      </c>
      <c r="L275" s="18">
        <v>1</v>
      </c>
      <c r="N275" s="13">
        <v>45196</v>
      </c>
      <c r="O275" s="29">
        <v>5.99</v>
      </c>
      <c r="P275" s="18" t="s">
        <v>1107</v>
      </c>
      <c r="Q275" s="18">
        <v>0</v>
      </c>
      <c r="U275" s="22">
        <v>0.54</v>
      </c>
      <c r="W275" s="14" t="s">
        <v>7777</v>
      </c>
      <c r="X275" s="3">
        <v>2</v>
      </c>
      <c r="Z275" s="23">
        <v>10</v>
      </c>
      <c r="AB275" s="18">
        <f t="shared" si="8"/>
        <v>2022</v>
      </c>
      <c r="AC275" s="22">
        <f t="shared" si="9"/>
        <v>0.47000000000000003</v>
      </c>
    </row>
    <row r="276" spans="1:29">
      <c r="A276" s="8" t="s">
        <v>12967</v>
      </c>
      <c r="B276" s="17" t="s">
        <v>7744</v>
      </c>
      <c r="C276" s="13">
        <v>44817</v>
      </c>
      <c r="D276" s="13" t="s">
        <v>9335</v>
      </c>
      <c r="E276" s="10" t="s">
        <v>1082</v>
      </c>
      <c r="F276" s="10" t="s">
        <v>13362</v>
      </c>
      <c r="H276" s="2" t="s">
        <v>149</v>
      </c>
      <c r="K276" s="18">
        <v>2</v>
      </c>
      <c r="L276" s="18">
        <v>1</v>
      </c>
      <c r="M276" s="14" t="s">
        <v>8462</v>
      </c>
      <c r="N276" s="13">
        <v>44878</v>
      </c>
      <c r="O276" s="29">
        <v>42.99</v>
      </c>
      <c r="P276" s="18" t="s">
        <v>14</v>
      </c>
      <c r="Q276" s="18">
        <v>0</v>
      </c>
      <c r="U276" s="22">
        <v>0.63</v>
      </c>
      <c r="V276" s="22">
        <f>3.5/5</f>
        <v>0.7</v>
      </c>
      <c r="X276" s="3">
        <v>3</v>
      </c>
      <c r="Z276" s="23">
        <v>29</v>
      </c>
      <c r="AB276" s="18">
        <f t="shared" si="8"/>
        <v>2022</v>
      </c>
      <c r="AC276" s="22">
        <f t="shared" si="9"/>
        <v>0.64333333333333342</v>
      </c>
    </row>
    <row r="277" spans="1:29">
      <c r="A277" s="8" t="s">
        <v>10423</v>
      </c>
      <c r="B277" s="17" t="s">
        <v>7800</v>
      </c>
      <c r="C277" s="13">
        <v>44817</v>
      </c>
      <c r="D277" s="13" t="s">
        <v>8465</v>
      </c>
      <c r="E277" s="10" t="s">
        <v>13633</v>
      </c>
      <c r="F277" s="10" t="s">
        <v>3172</v>
      </c>
      <c r="H277" s="2" t="s">
        <v>64</v>
      </c>
      <c r="L277" s="18">
        <v>1</v>
      </c>
      <c r="N277" s="13">
        <v>44986</v>
      </c>
      <c r="O277" s="29">
        <v>0</v>
      </c>
      <c r="P277" s="18" t="s">
        <v>1107</v>
      </c>
      <c r="Q277" s="18">
        <v>0</v>
      </c>
      <c r="U277" s="22">
        <v>0.67</v>
      </c>
      <c r="V277" s="22">
        <f>2.5/5</f>
        <v>0.5</v>
      </c>
      <c r="W277" s="14" t="s">
        <v>7777</v>
      </c>
      <c r="X277" s="3">
        <v>3</v>
      </c>
      <c r="Z277" s="23">
        <v>3</v>
      </c>
      <c r="AB277" s="18">
        <f t="shared" si="8"/>
        <v>2022</v>
      </c>
      <c r="AC277" s="22">
        <f t="shared" si="9"/>
        <v>0.59</v>
      </c>
    </row>
    <row r="278" spans="1:29" ht="30">
      <c r="A278" s="8" t="s">
        <v>15211</v>
      </c>
      <c r="B278" s="17" t="s">
        <v>7800</v>
      </c>
      <c r="C278" s="13">
        <v>44816</v>
      </c>
      <c r="D278" s="13" t="s">
        <v>8465</v>
      </c>
      <c r="E278" s="10" t="s">
        <v>10752</v>
      </c>
      <c r="F278" s="10" t="s">
        <v>15212</v>
      </c>
      <c r="G278" s="11" t="s">
        <v>15211</v>
      </c>
      <c r="H278" s="2" t="s">
        <v>1720</v>
      </c>
      <c r="L278" s="18">
        <v>1</v>
      </c>
      <c r="N278" s="13">
        <v>45097</v>
      </c>
      <c r="O278" s="29">
        <v>0</v>
      </c>
      <c r="P278" s="18" t="s">
        <v>1107</v>
      </c>
      <c r="Q278" s="18">
        <v>0</v>
      </c>
      <c r="U278" s="22">
        <v>0.85</v>
      </c>
      <c r="W278" s="14" t="s">
        <v>7777</v>
      </c>
      <c r="X278" s="3">
        <v>3</v>
      </c>
      <c r="Z278" s="23">
        <v>11</v>
      </c>
      <c r="AB278" s="18">
        <f t="shared" si="8"/>
        <v>2022</v>
      </c>
      <c r="AC278" s="22">
        <f t="shared" si="9"/>
        <v>0.72499999999999998</v>
      </c>
    </row>
    <row r="279" spans="1:29">
      <c r="A279" s="8" t="s">
        <v>11283</v>
      </c>
      <c r="B279" s="17" t="s">
        <v>7744</v>
      </c>
      <c r="C279" s="13">
        <v>44813</v>
      </c>
      <c r="D279" s="13" t="s">
        <v>8465</v>
      </c>
      <c r="E279" s="10" t="s">
        <v>86</v>
      </c>
      <c r="F279" s="10" t="s">
        <v>1138</v>
      </c>
      <c r="G279" s="11" t="s">
        <v>1129</v>
      </c>
      <c r="H279" s="2" t="s">
        <v>1168</v>
      </c>
      <c r="L279" s="18">
        <v>1</v>
      </c>
      <c r="M279" s="14" t="s">
        <v>8462</v>
      </c>
      <c r="N279" s="13">
        <v>44615</v>
      </c>
      <c r="O279" s="29">
        <v>65.16</v>
      </c>
      <c r="P279" s="18" t="s">
        <v>14</v>
      </c>
      <c r="Q279" s="18">
        <v>0</v>
      </c>
      <c r="U279" s="22">
        <v>0.84</v>
      </c>
      <c r="V279" s="22">
        <f>3.97/5</f>
        <v>0.79400000000000004</v>
      </c>
      <c r="X279" s="3">
        <v>4</v>
      </c>
      <c r="Z279" s="23">
        <v>8</v>
      </c>
      <c r="AB279" s="18">
        <f t="shared" si="8"/>
        <v>2022</v>
      </c>
      <c r="AC279" s="22">
        <f t="shared" si="9"/>
        <v>0.81133333333333335</v>
      </c>
    </row>
    <row r="280" spans="1:29">
      <c r="A280" s="8" t="s">
        <v>15035</v>
      </c>
      <c r="B280" s="17" t="s">
        <v>7800</v>
      </c>
      <c r="C280" s="13">
        <v>44813</v>
      </c>
      <c r="D280" s="13" t="s">
        <v>8465</v>
      </c>
      <c r="E280" s="10" t="s">
        <v>12705</v>
      </c>
      <c r="F280" s="10" t="s">
        <v>15036</v>
      </c>
      <c r="H280" s="2" t="s">
        <v>1168</v>
      </c>
      <c r="L280" s="18">
        <v>1</v>
      </c>
      <c r="N280" s="13">
        <v>45084</v>
      </c>
      <c r="O280" s="29">
        <v>0</v>
      </c>
      <c r="P280" s="18" t="s">
        <v>1107</v>
      </c>
      <c r="Q280" s="18">
        <v>0</v>
      </c>
      <c r="U280" s="22">
        <v>0.66</v>
      </c>
      <c r="W280" s="14" t="s">
        <v>7777</v>
      </c>
      <c r="X280" s="3">
        <v>3</v>
      </c>
      <c r="Z280" s="23">
        <v>9.5</v>
      </c>
      <c r="AB280" s="18">
        <f t="shared" si="8"/>
        <v>2022</v>
      </c>
      <c r="AC280" s="22">
        <f t="shared" si="9"/>
        <v>0.63</v>
      </c>
    </row>
    <row r="281" spans="1:29">
      <c r="A281" s="8" t="s">
        <v>13654</v>
      </c>
      <c r="B281" s="17" t="s">
        <v>7800</v>
      </c>
      <c r="C281" s="13">
        <v>44812</v>
      </c>
      <c r="D281" s="13" t="s">
        <v>8465</v>
      </c>
      <c r="E281" s="10" t="s">
        <v>9529</v>
      </c>
      <c r="F281" s="10" t="s">
        <v>13655</v>
      </c>
      <c r="H281" s="2" t="s">
        <v>149</v>
      </c>
      <c r="L281" s="18">
        <v>1</v>
      </c>
      <c r="N281" s="13">
        <v>44987</v>
      </c>
      <c r="O281" s="29">
        <v>3.33</v>
      </c>
      <c r="P281" s="18" t="s">
        <v>1107</v>
      </c>
      <c r="Q281" s="18">
        <v>0</v>
      </c>
      <c r="U281" s="22">
        <v>0.75</v>
      </c>
      <c r="V281" s="22">
        <f>3.42/5</f>
        <v>0.68399999999999994</v>
      </c>
      <c r="W281" s="14" t="s">
        <v>7777</v>
      </c>
      <c r="X281" s="3">
        <v>4</v>
      </c>
      <c r="Z281" s="23">
        <v>6.5</v>
      </c>
      <c r="AB281" s="18">
        <f t="shared" si="8"/>
        <v>2022</v>
      </c>
      <c r="AC281" s="22">
        <f t="shared" si="9"/>
        <v>0.7446666666666667</v>
      </c>
    </row>
    <row r="282" spans="1:29">
      <c r="A282" s="8" t="s">
        <v>12070</v>
      </c>
      <c r="B282" s="17" t="s">
        <v>9431</v>
      </c>
      <c r="C282" s="13">
        <v>44812</v>
      </c>
      <c r="D282" s="13" t="s">
        <v>8465</v>
      </c>
      <c r="E282" s="10" t="s">
        <v>9552</v>
      </c>
      <c r="F282" s="10" t="s">
        <v>4401</v>
      </c>
      <c r="H282" s="2" t="s">
        <v>171</v>
      </c>
      <c r="L282" s="18">
        <v>1</v>
      </c>
      <c r="M282" s="14" t="s">
        <v>8462</v>
      </c>
      <c r="N282" s="13">
        <v>44735</v>
      </c>
      <c r="O282" s="29">
        <v>54.3</v>
      </c>
      <c r="P282" s="18" t="s">
        <v>14</v>
      </c>
      <c r="Q282" s="18">
        <v>0</v>
      </c>
      <c r="U282" s="22">
        <v>0.73</v>
      </c>
      <c r="V282" s="22">
        <f>3.73/5</f>
        <v>0.746</v>
      </c>
      <c r="X282" s="3">
        <v>3</v>
      </c>
      <c r="Z282" s="23">
        <v>13.5</v>
      </c>
      <c r="AB282" s="18">
        <f t="shared" si="8"/>
        <v>2022</v>
      </c>
      <c r="AC282" s="22">
        <f t="shared" si="9"/>
        <v>0.69200000000000006</v>
      </c>
    </row>
    <row r="283" spans="1:29" ht="25.5">
      <c r="A283" s="8" t="s">
        <v>13478</v>
      </c>
      <c r="B283" s="17" t="s">
        <v>7800</v>
      </c>
      <c r="C283" s="13">
        <v>44811</v>
      </c>
      <c r="D283" s="13" t="s">
        <v>8465</v>
      </c>
      <c r="E283" s="10" t="s">
        <v>12520</v>
      </c>
      <c r="F283" s="10" t="s">
        <v>7213</v>
      </c>
      <c r="H283" s="2" t="s">
        <v>1057</v>
      </c>
      <c r="L283" s="18">
        <v>1</v>
      </c>
      <c r="N283" s="13">
        <v>44965</v>
      </c>
      <c r="O283" s="29">
        <v>12</v>
      </c>
      <c r="P283" s="18" t="s">
        <v>1107</v>
      </c>
      <c r="Q283" s="18">
        <v>0</v>
      </c>
      <c r="W283" s="14" t="s">
        <v>7777</v>
      </c>
      <c r="X283" s="3">
        <v>2</v>
      </c>
      <c r="Z283" s="23">
        <f>35/60</f>
        <v>0.58333333333333337</v>
      </c>
      <c r="AB283" s="18">
        <f t="shared" si="8"/>
        <v>2022</v>
      </c>
      <c r="AC283" s="22">
        <f t="shared" si="9"/>
        <v>0.4</v>
      </c>
    </row>
    <row r="284" spans="1:29">
      <c r="A284" s="8" t="s">
        <v>12680</v>
      </c>
      <c r="B284" s="17" t="s">
        <v>7800</v>
      </c>
      <c r="C284" s="13">
        <v>44811</v>
      </c>
      <c r="D284" s="13" t="s">
        <v>8465</v>
      </c>
      <c r="E284" s="10" t="s">
        <v>12681</v>
      </c>
      <c r="F284" s="10" t="s">
        <v>12681</v>
      </c>
      <c r="H284" s="2" t="s">
        <v>75</v>
      </c>
      <c r="L284" s="18">
        <v>1</v>
      </c>
      <c r="N284" s="13">
        <v>44827</v>
      </c>
      <c r="O284" s="29">
        <v>0</v>
      </c>
      <c r="P284" s="18" t="s">
        <v>1107</v>
      </c>
      <c r="Q284" s="18">
        <v>0</v>
      </c>
      <c r="W284" s="14" t="s">
        <v>7777</v>
      </c>
      <c r="X284" s="3">
        <v>2</v>
      </c>
      <c r="AB284" s="18">
        <f t="shared" si="8"/>
        <v>2022</v>
      </c>
      <c r="AC284" s="22">
        <f t="shared" si="9"/>
        <v>0.4</v>
      </c>
    </row>
    <row r="285" spans="1:29">
      <c r="A285" s="8" t="s">
        <v>11773</v>
      </c>
      <c r="B285" s="17" t="s">
        <v>7744</v>
      </c>
      <c r="C285" s="13">
        <v>44810</v>
      </c>
      <c r="D285" s="13" t="s">
        <v>8465</v>
      </c>
      <c r="E285" s="10" t="s">
        <v>9249</v>
      </c>
      <c r="F285" s="10" t="s">
        <v>4166</v>
      </c>
      <c r="H285" s="2" t="s">
        <v>149</v>
      </c>
      <c r="L285" s="18">
        <v>1</v>
      </c>
      <c r="M285" s="14" t="s">
        <v>8462</v>
      </c>
      <c r="N285" s="13">
        <v>44708</v>
      </c>
      <c r="O285" s="29">
        <v>44.99</v>
      </c>
      <c r="P285" s="18" t="s">
        <v>14</v>
      </c>
      <c r="Q285" s="18">
        <v>0</v>
      </c>
      <c r="U285" s="22">
        <v>0.76</v>
      </c>
      <c r="V285" s="22">
        <f>2.75/5</f>
        <v>0.55000000000000004</v>
      </c>
      <c r="X285" s="3">
        <v>3</v>
      </c>
      <c r="Z285" s="23">
        <v>60.5</v>
      </c>
      <c r="AB285" s="18">
        <f t="shared" si="8"/>
        <v>2022</v>
      </c>
      <c r="AC285" s="22">
        <f t="shared" si="9"/>
        <v>0.63666666666666671</v>
      </c>
    </row>
    <row r="286" spans="1:29">
      <c r="A286" s="8" t="s">
        <v>12685</v>
      </c>
      <c r="B286" s="17" t="s">
        <v>7800</v>
      </c>
      <c r="C286" s="13">
        <v>44810</v>
      </c>
      <c r="D286" s="13" t="s">
        <v>8465</v>
      </c>
      <c r="E286" s="10" t="s">
        <v>12686</v>
      </c>
      <c r="F286" s="10" t="s">
        <v>12686</v>
      </c>
      <c r="H286" s="2" t="s">
        <v>1057</v>
      </c>
      <c r="L286" s="18">
        <v>1</v>
      </c>
      <c r="N286" s="13">
        <v>44827</v>
      </c>
      <c r="O286" s="29">
        <v>0</v>
      </c>
      <c r="P286" s="18" t="s">
        <v>1107</v>
      </c>
      <c r="Q286" s="18">
        <v>0</v>
      </c>
      <c r="W286" s="14" t="s">
        <v>7777</v>
      </c>
      <c r="X286" s="3">
        <v>2</v>
      </c>
      <c r="Z286" s="23">
        <f>29/60</f>
        <v>0.48333333333333334</v>
      </c>
      <c r="AB286" s="18">
        <f t="shared" si="8"/>
        <v>2022</v>
      </c>
      <c r="AC286" s="22">
        <f t="shared" si="9"/>
        <v>0.4</v>
      </c>
    </row>
    <row r="287" spans="1:29">
      <c r="A287" s="8" t="s">
        <v>15555</v>
      </c>
      <c r="B287" s="17" t="s">
        <v>7800</v>
      </c>
      <c r="C287" s="13">
        <v>44810</v>
      </c>
      <c r="D287" s="13" t="s">
        <v>8465</v>
      </c>
      <c r="E287" s="10" t="s">
        <v>8564</v>
      </c>
      <c r="F287" s="10" t="s">
        <v>8565</v>
      </c>
      <c r="G287" s="11" t="s">
        <v>8563</v>
      </c>
      <c r="H287" s="2" t="s">
        <v>1061</v>
      </c>
      <c r="L287" s="18">
        <v>1</v>
      </c>
      <c r="N287" s="13">
        <v>45159</v>
      </c>
      <c r="O287" s="29">
        <v>2.2000000000000002</v>
      </c>
      <c r="P287" s="18" t="s">
        <v>1107</v>
      </c>
      <c r="Q287" s="18">
        <v>0</v>
      </c>
      <c r="W287" s="14" t="s">
        <v>7777</v>
      </c>
      <c r="X287" s="3">
        <v>2</v>
      </c>
      <c r="AB287" s="18">
        <f t="shared" si="8"/>
        <v>2022</v>
      </c>
      <c r="AC287" s="22">
        <f t="shared" si="9"/>
        <v>0.4</v>
      </c>
    </row>
    <row r="288" spans="1:29">
      <c r="A288" s="8" t="s">
        <v>13392</v>
      </c>
      <c r="B288" s="17" t="s">
        <v>7800</v>
      </c>
      <c r="C288" s="13">
        <v>44808</v>
      </c>
      <c r="D288" s="13" t="s">
        <v>8465</v>
      </c>
      <c r="E288" s="10" t="s">
        <v>11312</v>
      </c>
      <c r="F288" s="10" t="s">
        <v>13393</v>
      </c>
      <c r="H288" s="2" t="s">
        <v>1334</v>
      </c>
      <c r="L288" s="18">
        <v>1</v>
      </c>
      <c r="N288" s="13">
        <v>44959</v>
      </c>
      <c r="O288" s="29">
        <v>0</v>
      </c>
      <c r="P288" s="18" t="s">
        <v>1107</v>
      </c>
      <c r="Q288" s="18">
        <v>0</v>
      </c>
      <c r="V288" s="22">
        <f>2.5/5</f>
        <v>0.5</v>
      </c>
      <c r="W288" s="14" t="s">
        <v>7799</v>
      </c>
      <c r="X288" s="3">
        <v>2</v>
      </c>
      <c r="AB288" s="18">
        <f t="shared" si="8"/>
        <v>2022</v>
      </c>
      <c r="AC288" s="22">
        <f t="shared" si="9"/>
        <v>0.45</v>
      </c>
    </row>
    <row r="289" spans="1:29" ht="38.25">
      <c r="A289" s="8" t="s">
        <v>12489</v>
      </c>
      <c r="B289" s="17" t="s">
        <v>7744</v>
      </c>
      <c r="C289" s="13">
        <v>44806</v>
      </c>
      <c r="D289" s="13" t="s">
        <v>8465</v>
      </c>
      <c r="E289" s="10" t="s">
        <v>3568</v>
      </c>
      <c r="F289" s="10" t="s">
        <v>2314</v>
      </c>
      <c r="G289" s="11" t="s">
        <v>484</v>
      </c>
      <c r="H289" s="2" t="s">
        <v>459</v>
      </c>
      <c r="L289" s="18">
        <v>1</v>
      </c>
      <c r="M289" s="14" t="s">
        <v>8462</v>
      </c>
      <c r="N289" s="13">
        <v>44707</v>
      </c>
      <c r="O289" s="29">
        <v>53.2</v>
      </c>
      <c r="P289" s="18" t="s">
        <v>14</v>
      </c>
      <c r="Q289" s="18">
        <v>0</v>
      </c>
      <c r="U289" s="22">
        <v>0.71</v>
      </c>
      <c r="V289" s="22">
        <f>3.63/5</f>
        <v>0.72599999999999998</v>
      </c>
      <c r="X289" s="3">
        <v>3</v>
      </c>
      <c r="Z289" s="23">
        <v>10</v>
      </c>
      <c r="AB289" s="18">
        <f t="shared" si="8"/>
        <v>2022</v>
      </c>
      <c r="AC289" s="22">
        <f t="shared" si="9"/>
        <v>0.67866666666666664</v>
      </c>
    </row>
    <row r="290" spans="1:29" ht="38.25">
      <c r="A290" s="8" t="s">
        <v>11608</v>
      </c>
      <c r="B290" s="17" t="s">
        <v>7744</v>
      </c>
      <c r="C290" s="13">
        <v>44806</v>
      </c>
      <c r="D290" s="13" t="s">
        <v>8465</v>
      </c>
      <c r="E290" s="10" t="s">
        <v>2452</v>
      </c>
      <c r="F290" s="10" t="s">
        <v>2768</v>
      </c>
      <c r="G290" s="11" t="s">
        <v>12406</v>
      </c>
      <c r="H290" s="2" t="s">
        <v>171</v>
      </c>
      <c r="L290" s="18">
        <v>1</v>
      </c>
      <c r="M290" s="14" t="s">
        <v>8462</v>
      </c>
      <c r="N290" s="13">
        <v>44656</v>
      </c>
      <c r="O290" s="29">
        <v>65.16</v>
      </c>
      <c r="P290" s="18" t="s">
        <v>14</v>
      </c>
      <c r="Q290" s="18">
        <v>0</v>
      </c>
      <c r="U290" s="22">
        <v>0.69</v>
      </c>
      <c r="V290" s="22">
        <f>3.71/5</f>
        <v>0.74199999999999999</v>
      </c>
      <c r="X290" s="3">
        <v>3</v>
      </c>
      <c r="Z290" s="23">
        <v>4.5</v>
      </c>
      <c r="AB290" s="18">
        <f t="shared" si="8"/>
        <v>2022</v>
      </c>
      <c r="AC290" s="22">
        <f t="shared" si="9"/>
        <v>0.67733333333333334</v>
      </c>
    </row>
    <row r="291" spans="1:29" ht="38.25">
      <c r="A291" s="8" t="s">
        <v>12631</v>
      </c>
      <c r="B291" s="17" t="s">
        <v>7749</v>
      </c>
      <c r="C291" s="13">
        <v>44806</v>
      </c>
      <c r="D291" s="13" t="s">
        <v>8465</v>
      </c>
      <c r="E291" s="10" t="s">
        <v>1134</v>
      </c>
      <c r="F291" s="10" t="s">
        <v>12639</v>
      </c>
      <c r="G291" s="11" t="s">
        <v>12640</v>
      </c>
      <c r="H291" s="2" t="s">
        <v>31</v>
      </c>
      <c r="L291" s="18">
        <v>1</v>
      </c>
      <c r="M291" s="14" t="s">
        <v>8462</v>
      </c>
      <c r="N291" s="13">
        <v>44806</v>
      </c>
      <c r="O291" s="29">
        <v>0</v>
      </c>
      <c r="P291" s="18" t="s">
        <v>14</v>
      </c>
      <c r="Q291" s="18">
        <v>0</v>
      </c>
      <c r="U291" s="22">
        <v>0.72</v>
      </c>
      <c r="V291" s="22">
        <f>3.5/5</f>
        <v>0.7</v>
      </c>
      <c r="W291" s="14" t="s">
        <v>1134</v>
      </c>
      <c r="X291" s="3">
        <v>2</v>
      </c>
      <c r="Z291" s="23">
        <v>1</v>
      </c>
      <c r="AB291" s="18">
        <f t="shared" si="8"/>
        <v>2022</v>
      </c>
      <c r="AC291" s="22">
        <f t="shared" si="9"/>
        <v>0.60666666666666658</v>
      </c>
    </row>
    <row r="292" spans="1:29">
      <c r="A292" s="8" t="s">
        <v>13717</v>
      </c>
      <c r="B292" s="17" t="s">
        <v>7800</v>
      </c>
      <c r="C292" s="13">
        <v>44805</v>
      </c>
      <c r="D292" s="13" t="s">
        <v>8465</v>
      </c>
      <c r="E292" s="10" t="s">
        <v>13718</v>
      </c>
      <c r="F292" s="10" t="s">
        <v>13719</v>
      </c>
      <c r="H292" s="2" t="s">
        <v>1518</v>
      </c>
      <c r="L292" s="18">
        <v>1</v>
      </c>
      <c r="N292" s="13">
        <v>45000</v>
      </c>
      <c r="O292" s="29">
        <v>0</v>
      </c>
      <c r="P292" s="18" t="s">
        <v>1107</v>
      </c>
      <c r="Q292" s="18">
        <v>0</v>
      </c>
      <c r="W292" s="14" t="s">
        <v>7777</v>
      </c>
      <c r="X292" s="3">
        <v>2</v>
      </c>
      <c r="Z292" s="23">
        <v>3.5</v>
      </c>
      <c r="AB292" s="18">
        <f t="shared" si="8"/>
        <v>2022</v>
      </c>
      <c r="AC292" s="22">
        <f t="shared" si="9"/>
        <v>0.4</v>
      </c>
    </row>
    <row r="293" spans="1:29" ht="63.75">
      <c r="A293" s="8" t="s">
        <v>11610</v>
      </c>
      <c r="B293" s="17" t="s">
        <v>7744</v>
      </c>
      <c r="C293" s="13">
        <v>44803</v>
      </c>
      <c r="D293" s="13" t="s">
        <v>8465</v>
      </c>
      <c r="E293" s="10" t="s">
        <v>1062</v>
      </c>
      <c r="F293" s="10" t="s">
        <v>2285</v>
      </c>
      <c r="G293" s="11" t="s">
        <v>12384</v>
      </c>
      <c r="H293" s="2" t="s">
        <v>6510</v>
      </c>
      <c r="L293" s="18">
        <v>1</v>
      </c>
      <c r="M293" s="14" t="s">
        <v>8462</v>
      </c>
      <c r="N293" s="13">
        <v>44656</v>
      </c>
      <c r="O293" s="29">
        <v>65.16</v>
      </c>
      <c r="P293" s="18" t="s">
        <v>14</v>
      </c>
      <c r="Q293" s="18">
        <v>0</v>
      </c>
      <c r="U293" s="22">
        <v>0.73</v>
      </c>
      <c r="V293" s="22">
        <f>3.5/5</f>
        <v>0.7</v>
      </c>
      <c r="W293" s="14" t="s">
        <v>10168</v>
      </c>
      <c r="X293" s="3">
        <v>3</v>
      </c>
      <c r="Z293" s="23">
        <f>30.5+9.5</f>
        <v>40</v>
      </c>
      <c r="AB293" s="18">
        <f t="shared" si="8"/>
        <v>2022</v>
      </c>
      <c r="AC293" s="22">
        <f t="shared" si="9"/>
        <v>0.67666666666666664</v>
      </c>
    </row>
    <row r="294" spans="1:29" ht="38.25">
      <c r="A294" s="8" t="s">
        <v>13501</v>
      </c>
      <c r="B294" s="17" t="s">
        <v>7744</v>
      </c>
      <c r="C294" s="13">
        <v>44803</v>
      </c>
      <c r="D294" s="13" t="s">
        <v>8465</v>
      </c>
      <c r="E294" s="10" t="s">
        <v>72</v>
      </c>
      <c r="F294" s="10" t="s">
        <v>1667</v>
      </c>
      <c r="G294" s="11" t="s">
        <v>215</v>
      </c>
      <c r="H294" s="2" t="s">
        <v>6510</v>
      </c>
      <c r="L294" s="18">
        <v>1</v>
      </c>
      <c r="M294" s="14" t="s">
        <v>8462</v>
      </c>
      <c r="N294" s="13">
        <v>44966</v>
      </c>
      <c r="O294" s="29">
        <v>32.58</v>
      </c>
      <c r="P294" s="18" t="s">
        <v>14</v>
      </c>
      <c r="Q294" s="18">
        <v>0</v>
      </c>
      <c r="U294" s="22">
        <v>0.83</v>
      </c>
      <c r="V294" s="22">
        <f>4.15/5</f>
        <v>0.83000000000000007</v>
      </c>
      <c r="X294" s="3">
        <v>2</v>
      </c>
      <c r="Z294" s="23">
        <v>14.5</v>
      </c>
      <c r="AB294" s="18">
        <f t="shared" si="8"/>
        <v>2022</v>
      </c>
      <c r="AC294" s="22">
        <f t="shared" si="9"/>
        <v>0.68666666666666665</v>
      </c>
    </row>
    <row r="295" spans="1:29">
      <c r="A295" s="8" t="s">
        <v>11916</v>
      </c>
      <c r="B295" s="17" t="s">
        <v>9431</v>
      </c>
      <c r="C295" s="13">
        <v>44799</v>
      </c>
      <c r="D295" s="13" t="s">
        <v>8465</v>
      </c>
      <c r="E295" s="10" t="s">
        <v>455</v>
      </c>
      <c r="F295" s="10" t="s">
        <v>228</v>
      </c>
      <c r="G295" s="11" t="s">
        <v>1171</v>
      </c>
      <c r="H295" s="2" t="s">
        <v>149</v>
      </c>
      <c r="L295" s="18">
        <v>1</v>
      </c>
      <c r="M295" s="14" t="s">
        <v>8462</v>
      </c>
      <c r="N295" s="13">
        <v>44721</v>
      </c>
      <c r="O295" s="29">
        <v>65.16</v>
      </c>
      <c r="P295" s="18" t="s">
        <v>14</v>
      </c>
      <c r="Q295" s="18">
        <v>0</v>
      </c>
      <c r="U295" s="22">
        <v>0.77</v>
      </c>
      <c r="V295" s="22">
        <f>3.92/5</f>
        <v>0.78400000000000003</v>
      </c>
      <c r="X295" s="3">
        <v>4</v>
      </c>
      <c r="Z295" s="23">
        <v>33</v>
      </c>
      <c r="AB295" s="18">
        <f t="shared" si="8"/>
        <v>2022</v>
      </c>
      <c r="AC295" s="22">
        <f t="shared" si="9"/>
        <v>0.78466666666666673</v>
      </c>
    </row>
    <row r="296" spans="1:29" ht="30">
      <c r="A296" s="8" t="s">
        <v>12346</v>
      </c>
      <c r="B296" s="17" t="s">
        <v>7744</v>
      </c>
      <c r="C296" s="13">
        <v>44799</v>
      </c>
      <c r="D296" s="13" t="s">
        <v>8465</v>
      </c>
      <c r="E296" s="10" t="s">
        <v>1604</v>
      </c>
      <c r="F296" s="10" t="s">
        <v>63</v>
      </c>
      <c r="G296" s="11" t="s">
        <v>4639</v>
      </c>
      <c r="H296" s="2" t="s">
        <v>1040</v>
      </c>
      <c r="L296" s="18">
        <v>1</v>
      </c>
      <c r="M296" s="14" t="s">
        <v>8462</v>
      </c>
      <c r="N296" s="13">
        <v>44769</v>
      </c>
      <c r="O296" s="29">
        <v>29.86</v>
      </c>
      <c r="P296" s="18" t="s">
        <v>14</v>
      </c>
      <c r="Q296" s="18">
        <v>0</v>
      </c>
      <c r="U296" s="22">
        <v>0.62</v>
      </c>
      <c r="V296" s="22">
        <f>3.97/5</f>
        <v>0.79400000000000004</v>
      </c>
      <c r="X296" s="3">
        <v>3</v>
      </c>
      <c r="Z296" s="23">
        <v>5</v>
      </c>
      <c r="AB296" s="18">
        <f t="shared" si="8"/>
        <v>2022</v>
      </c>
      <c r="AC296" s="22">
        <f t="shared" si="9"/>
        <v>0.67133333333333345</v>
      </c>
    </row>
    <row r="297" spans="1:29" ht="25.5">
      <c r="A297" s="8" t="s">
        <v>12196</v>
      </c>
      <c r="B297" s="17" t="s">
        <v>7744</v>
      </c>
      <c r="C297" s="13">
        <v>44798</v>
      </c>
      <c r="D297" s="13" t="s">
        <v>8463</v>
      </c>
      <c r="E297" s="10" t="s">
        <v>3568</v>
      </c>
      <c r="F297" s="10" t="s">
        <v>8933</v>
      </c>
      <c r="G297" s="11" t="s">
        <v>1395</v>
      </c>
      <c r="H297" s="2" t="s">
        <v>171</v>
      </c>
      <c r="K297" s="18">
        <v>2</v>
      </c>
      <c r="L297" s="18">
        <v>1</v>
      </c>
      <c r="M297" s="14" t="s">
        <v>8462</v>
      </c>
      <c r="N297" s="13">
        <v>44759</v>
      </c>
      <c r="O297" s="29">
        <v>59.99</v>
      </c>
      <c r="P297" s="18" t="s">
        <v>14</v>
      </c>
      <c r="Q297" s="18">
        <v>0</v>
      </c>
      <c r="U297" s="22">
        <v>0.74</v>
      </c>
      <c r="V297" s="22">
        <f>4.06/5</f>
        <v>0.81199999999999994</v>
      </c>
      <c r="X297" s="3">
        <v>3</v>
      </c>
      <c r="Z297" s="23">
        <v>10.5</v>
      </c>
      <c r="AB297" s="18">
        <f t="shared" si="8"/>
        <v>2022</v>
      </c>
      <c r="AC297" s="22">
        <f t="shared" si="9"/>
        <v>0.71733333333333338</v>
      </c>
    </row>
    <row r="298" spans="1:29" ht="51">
      <c r="A298" s="8" t="s">
        <v>12347</v>
      </c>
      <c r="B298" s="17" t="s">
        <v>7744</v>
      </c>
      <c r="C298" s="13">
        <v>44798</v>
      </c>
      <c r="D298" s="13" t="s">
        <v>8465</v>
      </c>
      <c r="E298" s="10" t="s">
        <v>1519</v>
      </c>
      <c r="F298" s="10" t="s">
        <v>12348</v>
      </c>
      <c r="G298" s="11" t="s">
        <v>12349</v>
      </c>
      <c r="H298" s="2" t="s">
        <v>21</v>
      </c>
      <c r="L298" s="18">
        <v>1</v>
      </c>
      <c r="M298" s="14" t="s">
        <v>8462</v>
      </c>
      <c r="N298" s="13">
        <v>44657</v>
      </c>
      <c r="O298" s="29">
        <v>43.44</v>
      </c>
      <c r="P298" s="18" t="s">
        <v>14</v>
      </c>
      <c r="Q298" s="18">
        <v>0</v>
      </c>
      <c r="V298" s="22">
        <f>3.2/5</f>
        <v>0.64</v>
      </c>
      <c r="X298" s="3">
        <v>3</v>
      </c>
      <c r="AB298" s="18">
        <f t="shared" si="8"/>
        <v>2022</v>
      </c>
      <c r="AC298" s="22">
        <f t="shared" si="9"/>
        <v>0.62</v>
      </c>
    </row>
    <row r="299" spans="1:29" ht="38.25">
      <c r="A299" s="8" t="s">
        <v>12345</v>
      </c>
      <c r="B299" s="17" t="s">
        <v>9431</v>
      </c>
      <c r="C299" s="13">
        <v>44796</v>
      </c>
      <c r="D299" s="13" t="s">
        <v>8465</v>
      </c>
      <c r="E299" s="10" t="s">
        <v>1062</v>
      </c>
      <c r="F299" s="10" t="s">
        <v>12342</v>
      </c>
      <c r="G299" s="11" t="s">
        <v>12343</v>
      </c>
      <c r="H299" s="2" t="s">
        <v>171</v>
      </c>
      <c r="L299" s="18">
        <v>1</v>
      </c>
      <c r="M299" s="14" t="s">
        <v>8462</v>
      </c>
      <c r="N299" s="13">
        <v>44656</v>
      </c>
      <c r="O299" s="29">
        <v>65.16</v>
      </c>
      <c r="P299" s="18" t="s">
        <v>14</v>
      </c>
      <c r="Q299" s="18">
        <v>0</v>
      </c>
      <c r="W299" s="14" t="s">
        <v>10168</v>
      </c>
      <c r="X299" s="3">
        <v>2</v>
      </c>
      <c r="Z299" s="23">
        <f>8+9+20</f>
        <v>37</v>
      </c>
      <c r="AB299" s="18">
        <f t="shared" si="8"/>
        <v>2022</v>
      </c>
      <c r="AC299" s="22">
        <f t="shared" si="9"/>
        <v>0.4</v>
      </c>
    </row>
    <row r="300" spans="1:29">
      <c r="A300" s="8" t="s">
        <v>12948</v>
      </c>
      <c r="B300" s="17" t="s">
        <v>9431</v>
      </c>
      <c r="C300" s="13">
        <v>44791</v>
      </c>
      <c r="D300" s="13" t="s">
        <v>8465</v>
      </c>
      <c r="E300" s="10" t="s">
        <v>1634</v>
      </c>
      <c r="F300" s="10" t="s">
        <v>12949</v>
      </c>
      <c r="H300" s="2" t="s">
        <v>171</v>
      </c>
      <c r="L300" s="18">
        <v>1</v>
      </c>
      <c r="M300" s="14" t="s">
        <v>8462</v>
      </c>
      <c r="N300" s="13">
        <v>44878</v>
      </c>
      <c r="O300" s="29">
        <v>21.71</v>
      </c>
      <c r="P300" s="18" t="s">
        <v>14</v>
      </c>
      <c r="Q300" s="18">
        <v>0</v>
      </c>
      <c r="U300" s="22">
        <v>0.68</v>
      </c>
      <c r="V300" s="22">
        <f>2.86/5</f>
        <v>0.57199999999999995</v>
      </c>
      <c r="X300" s="3">
        <v>3</v>
      </c>
      <c r="Z300" s="23">
        <v>6.5</v>
      </c>
      <c r="AB300" s="18">
        <f t="shared" si="8"/>
        <v>2022</v>
      </c>
      <c r="AC300" s="22">
        <f t="shared" si="9"/>
        <v>0.61733333333333329</v>
      </c>
    </row>
    <row r="301" spans="1:29" ht="25.5">
      <c r="A301" s="8" t="s">
        <v>15440</v>
      </c>
      <c r="B301" s="17" t="s">
        <v>7744</v>
      </c>
      <c r="C301" s="13">
        <v>44791</v>
      </c>
      <c r="D301" s="13" t="s">
        <v>8463</v>
      </c>
      <c r="E301" s="10" t="s">
        <v>13407</v>
      </c>
      <c r="F301" s="10" t="s">
        <v>15441</v>
      </c>
      <c r="H301" s="2" t="s">
        <v>149</v>
      </c>
      <c r="K301" s="18">
        <v>2</v>
      </c>
      <c r="L301" s="18">
        <v>1</v>
      </c>
      <c r="M301" s="14" t="s">
        <v>8462</v>
      </c>
      <c r="N301" s="13">
        <v>44982</v>
      </c>
      <c r="O301" s="29">
        <v>39.99</v>
      </c>
      <c r="P301" s="18" t="s">
        <v>14</v>
      </c>
      <c r="Q301" s="18">
        <v>0</v>
      </c>
      <c r="U301" s="22">
        <v>0.74</v>
      </c>
      <c r="V301" s="22">
        <f>4.4/5</f>
        <v>0.88000000000000012</v>
      </c>
      <c r="X301" s="3">
        <v>2</v>
      </c>
      <c r="Z301" s="23">
        <v>6.5</v>
      </c>
      <c r="AB301" s="18">
        <f t="shared" si="8"/>
        <v>2022</v>
      </c>
      <c r="AC301" s="22">
        <f t="shared" si="9"/>
        <v>0.67333333333333334</v>
      </c>
    </row>
    <row r="302" spans="1:29">
      <c r="A302" s="8" t="s">
        <v>12275</v>
      </c>
      <c r="B302" s="17" t="s">
        <v>7744</v>
      </c>
      <c r="C302" s="13">
        <v>44790</v>
      </c>
      <c r="D302" s="13" t="s">
        <v>8465</v>
      </c>
      <c r="E302" s="10" t="s">
        <v>86</v>
      </c>
      <c r="F302" s="10" t="s">
        <v>30</v>
      </c>
      <c r="G302" s="11" t="s">
        <v>223</v>
      </c>
      <c r="H302" s="2" t="s">
        <v>143</v>
      </c>
      <c r="L302" s="18">
        <v>1</v>
      </c>
      <c r="N302" s="13">
        <v>44784</v>
      </c>
      <c r="O302" s="29">
        <v>14.55</v>
      </c>
      <c r="P302" s="18" t="s">
        <v>1107</v>
      </c>
      <c r="Q302" s="18">
        <v>0</v>
      </c>
      <c r="U302" s="22">
        <v>0.66</v>
      </c>
      <c r="V302" s="22">
        <f>3.71/5</f>
        <v>0.74199999999999999</v>
      </c>
      <c r="X302" s="3">
        <v>2</v>
      </c>
      <c r="Z302" s="23">
        <v>1</v>
      </c>
      <c r="AB302" s="18">
        <f t="shared" si="8"/>
        <v>2022</v>
      </c>
      <c r="AC302" s="22">
        <f t="shared" si="9"/>
        <v>0.60066666666666668</v>
      </c>
    </row>
    <row r="303" spans="1:29" ht="25.5">
      <c r="A303" s="8" t="s">
        <v>13511</v>
      </c>
      <c r="B303" s="17" t="s">
        <v>7744</v>
      </c>
      <c r="C303" s="13">
        <v>44789</v>
      </c>
      <c r="D303" s="13" t="s">
        <v>8465</v>
      </c>
      <c r="E303" s="10" t="s">
        <v>10620</v>
      </c>
      <c r="F303" s="10" t="s">
        <v>4836</v>
      </c>
      <c r="G303" s="11" t="s">
        <v>13332</v>
      </c>
      <c r="H303" s="2" t="s">
        <v>80</v>
      </c>
      <c r="L303" s="18">
        <v>1</v>
      </c>
      <c r="M303" s="14" t="s">
        <v>8462</v>
      </c>
      <c r="N303" s="13">
        <v>44946</v>
      </c>
      <c r="O303" s="29">
        <v>38.01</v>
      </c>
      <c r="P303" s="18" t="s">
        <v>14</v>
      </c>
      <c r="Q303" s="18">
        <v>0</v>
      </c>
      <c r="U303" s="22">
        <v>0.77</v>
      </c>
      <c r="V303" s="22">
        <f>3.7/5</f>
        <v>0.74</v>
      </c>
      <c r="X303" s="3">
        <v>3</v>
      </c>
      <c r="Z303" s="23">
        <v>9</v>
      </c>
      <c r="AB303" s="18">
        <f t="shared" si="8"/>
        <v>2022</v>
      </c>
      <c r="AC303" s="22">
        <f t="shared" si="9"/>
        <v>0.70333333333333325</v>
      </c>
    </row>
    <row r="304" spans="1:29">
      <c r="A304" s="8" t="s">
        <v>14061</v>
      </c>
      <c r="B304" s="17" t="s">
        <v>7800</v>
      </c>
      <c r="C304" s="13">
        <v>44789</v>
      </c>
      <c r="D304" s="13" t="s">
        <v>8465</v>
      </c>
      <c r="E304" s="10" t="s">
        <v>8205</v>
      </c>
      <c r="F304" s="10" t="s">
        <v>2478</v>
      </c>
      <c r="H304" s="2" t="s">
        <v>255</v>
      </c>
      <c r="L304" s="18">
        <v>1</v>
      </c>
      <c r="N304" s="13">
        <v>45020</v>
      </c>
      <c r="O304" s="29">
        <v>0</v>
      </c>
      <c r="P304" s="18" t="s">
        <v>1107</v>
      </c>
      <c r="Q304" s="18">
        <v>0</v>
      </c>
      <c r="U304" s="22">
        <v>0.81</v>
      </c>
      <c r="V304" s="22">
        <f>3.5/5</f>
        <v>0.7</v>
      </c>
      <c r="W304" s="14" t="s">
        <v>7777</v>
      </c>
      <c r="X304" s="3">
        <v>3</v>
      </c>
      <c r="Z304" s="23">
        <v>4.5</v>
      </c>
      <c r="AB304" s="18">
        <f t="shared" si="8"/>
        <v>2022</v>
      </c>
      <c r="AC304" s="22">
        <f t="shared" si="9"/>
        <v>0.70333333333333325</v>
      </c>
    </row>
    <row r="305" spans="1:29">
      <c r="A305" s="8" t="s">
        <v>11774</v>
      </c>
      <c r="B305" s="17" t="s">
        <v>7744</v>
      </c>
      <c r="C305" s="13">
        <v>44785</v>
      </c>
      <c r="D305" s="13" t="s">
        <v>8465</v>
      </c>
      <c r="E305" s="10" t="s">
        <v>7877</v>
      </c>
      <c r="F305" s="10" t="s">
        <v>12409</v>
      </c>
      <c r="H305" s="2" t="s">
        <v>3411</v>
      </c>
      <c r="L305" s="18">
        <v>1</v>
      </c>
      <c r="M305" s="14" t="s">
        <v>8462</v>
      </c>
      <c r="N305" s="13">
        <v>44708</v>
      </c>
      <c r="O305" s="29">
        <v>39.99</v>
      </c>
      <c r="P305" s="18" t="s">
        <v>14</v>
      </c>
      <c r="Q305" s="18">
        <v>0</v>
      </c>
      <c r="V305" s="22">
        <f>3.5/5</f>
        <v>0.7</v>
      </c>
      <c r="W305" s="14" t="s">
        <v>9136</v>
      </c>
      <c r="X305" s="3">
        <v>2</v>
      </c>
      <c r="Z305" s="23">
        <v>7</v>
      </c>
      <c r="AB305" s="18">
        <f t="shared" si="8"/>
        <v>2022</v>
      </c>
      <c r="AC305" s="22">
        <f t="shared" si="9"/>
        <v>0.55000000000000004</v>
      </c>
    </row>
    <row r="306" spans="1:29">
      <c r="A306" s="8" t="s">
        <v>12971</v>
      </c>
      <c r="B306" s="17" t="s">
        <v>7744</v>
      </c>
      <c r="C306" s="13">
        <v>44784</v>
      </c>
      <c r="D306" s="13" t="s">
        <v>8465</v>
      </c>
      <c r="E306" s="10" t="s">
        <v>3063</v>
      </c>
      <c r="F306" s="10" t="s">
        <v>5265</v>
      </c>
      <c r="H306" s="2" t="s">
        <v>1334</v>
      </c>
      <c r="L306" s="18">
        <v>1</v>
      </c>
      <c r="M306" s="14" t="s">
        <v>8462</v>
      </c>
      <c r="N306" s="13">
        <v>44881</v>
      </c>
      <c r="O306" s="29">
        <v>34.99</v>
      </c>
      <c r="P306" s="18" t="s">
        <v>14</v>
      </c>
      <c r="Q306" s="18">
        <v>0</v>
      </c>
      <c r="U306" s="22">
        <v>0.79</v>
      </c>
      <c r="V306" s="22">
        <f>3.77/5</f>
        <v>0.754</v>
      </c>
      <c r="X306" s="3">
        <v>4</v>
      </c>
      <c r="Z306" s="23">
        <v>14</v>
      </c>
      <c r="AB306" s="18">
        <f t="shared" si="8"/>
        <v>2022</v>
      </c>
      <c r="AC306" s="22">
        <f t="shared" si="9"/>
        <v>0.78133333333333344</v>
      </c>
    </row>
    <row r="307" spans="1:29" ht="51">
      <c r="A307" s="8" t="s">
        <v>16009</v>
      </c>
      <c r="B307" s="17" t="s">
        <v>7744</v>
      </c>
      <c r="C307" s="13">
        <v>44784</v>
      </c>
      <c r="D307" s="13" t="s">
        <v>8465</v>
      </c>
      <c r="E307" s="10" t="s">
        <v>16010</v>
      </c>
      <c r="F307" s="10" t="s">
        <v>2470</v>
      </c>
      <c r="G307" s="11" t="s">
        <v>16011</v>
      </c>
      <c r="H307" s="2" t="s">
        <v>67</v>
      </c>
      <c r="L307" s="18">
        <v>1</v>
      </c>
      <c r="M307" s="14" t="s">
        <v>8462</v>
      </c>
      <c r="N307" s="13">
        <v>44978</v>
      </c>
      <c r="O307" s="29">
        <v>41.99</v>
      </c>
      <c r="P307" s="18" t="s">
        <v>14</v>
      </c>
      <c r="Q307" s="18">
        <v>0</v>
      </c>
      <c r="U307" s="22">
        <v>0.79</v>
      </c>
      <c r="V307" s="22">
        <f>3.86/5</f>
        <v>0.77200000000000002</v>
      </c>
      <c r="X307" s="3">
        <v>3</v>
      </c>
      <c r="Z307" s="23">
        <v>10.5</v>
      </c>
      <c r="AB307" s="18">
        <f t="shared" si="8"/>
        <v>2022</v>
      </c>
      <c r="AC307" s="22">
        <f t="shared" si="9"/>
        <v>0.72066666666666668</v>
      </c>
    </row>
    <row r="308" spans="1:29">
      <c r="A308" s="8" t="s">
        <v>9537</v>
      </c>
      <c r="B308" s="17" t="s">
        <v>7800</v>
      </c>
      <c r="C308" s="13">
        <v>44783</v>
      </c>
      <c r="D308" s="13" t="s">
        <v>8465</v>
      </c>
      <c r="E308" s="10" t="s">
        <v>9536</v>
      </c>
      <c r="F308" s="10" t="s">
        <v>9536</v>
      </c>
      <c r="H308" s="2" t="s">
        <v>1699</v>
      </c>
      <c r="L308" s="18">
        <v>1</v>
      </c>
      <c r="N308" s="13">
        <v>44193</v>
      </c>
      <c r="O308" s="29">
        <v>0</v>
      </c>
      <c r="P308" s="18" t="s">
        <v>1107</v>
      </c>
      <c r="Q308" s="18">
        <v>0</v>
      </c>
      <c r="V308" s="22">
        <f>3.35/5</f>
        <v>0.67</v>
      </c>
      <c r="W308" s="14" t="s">
        <v>7097</v>
      </c>
      <c r="X308" s="3">
        <v>2</v>
      </c>
      <c r="Z308" s="23">
        <v>16.5</v>
      </c>
      <c r="AB308" s="18">
        <f t="shared" si="8"/>
        <v>2022</v>
      </c>
      <c r="AC308" s="22">
        <f t="shared" si="9"/>
        <v>0.53500000000000003</v>
      </c>
    </row>
    <row r="309" spans="1:29" ht="25.5">
      <c r="A309" s="8" t="s">
        <v>15508</v>
      </c>
      <c r="B309" s="17" t="s">
        <v>7800</v>
      </c>
      <c r="C309" s="13">
        <v>44781</v>
      </c>
      <c r="D309" s="13" t="s">
        <v>8465</v>
      </c>
      <c r="E309" s="10" t="s">
        <v>15509</v>
      </c>
      <c r="F309" s="10" t="s">
        <v>15509</v>
      </c>
      <c r="H309" s="2" t="s">
        <v>80</v>
      </c>
      <c r="L309" s="18">
        <v>1</v>
      </c>
      <c r="N309" s="13">
        <v>45147</v>
      </c>
      <c r="O309" s="29">
        <v>2.4900000000000002</v>
      </c>
      <c r="P309" s="18" t="s">
        <v>1107</v>
      </c>
      <c r="Q309" s="18">
        <v>0</v>
      </c>
      <c r="W309" s="14" t="s">
        <v>7777</v>
      </c>
      <c r="X309" s="3">
        <v>2</v>
      </c>
      <c r="Z309" s="23">
        <v>1</v>
      </c>
      <c r="AB309" s="18">
        <f t="shared" si="8"/>
        <v>2022</v>
      </c>
      <c r="AC309" s="22">
        <f t="shared" si="9"/>
        <v>0.4</v>
      </c>
    </row>
    <row r="310" spans="1:29" ht="25.5">
      <c r="A310" s="8" t="s">
        <v>12260</v>
      </c>
      <c r="B310" s="17" t="s">
        <v>9431</v>
      </c>
      <c r="C310" s="13">
        <v>44777</v>
      </c>
      <c r="D310" s="13" t="s">
        <v>8465</v>
      </c>
      <c r="E310" s="10" t="s">
        <v>7523</v>
      </c>
      <c r="F310" s="10" t="s">
        <v>15503</v>
      </c>
      <c r="G310" s="11" t="s">
        <v>15504</v>
      </c>
      <c r="H310" s="2" t="s">
        <v>171</v>
      </c>
      <c r="L310" s="18">
        <v>1</v>
      </c>
      <c r="M310" s="14" t="s">
        <v>8462</v>
      </c>
      <c r="N310" s="13">
        <v>44780</v>
      </c>
      <c r="O310" s="29">
        <v>54.3</v>
      </c>
      <c r="P310" s="18" t="s">
        <v>14</v>
      </c>
      <c r="Q310" s="18">
        <v>0</v>
      </c>
      <c r="U310" s="22">
        <v>0.73</v>
      </c>
      <c r="V310" s="22">
        <f>3.86/5</f>
        <v>0.77200000000000002</v>
      </c>
      <c r="X310" s="3">
        <v>2</v>
      </c>
      <c r="Z310" s="23">
        <v>21.5</v>
      </c>
      <c r="AB310" s="18">
        <f t="shared" si="8"/>
        <v>2022</v>
      </c>
      <c r="AC310" s="22">
        <f t="shared" si="9"/>
        <v>0.63400000000000001</v>
      </c>
    </row>
    <row r="311" spans="1:29" ht="30">
      <c r="A311" s="8" t="s">
        <v>10374</v>
      </c>
      <c r="B311" s="17" t="s">
        <v>7744</v>
      </c>
      <c r="C311" s="13">
        <v>44771</v>
      </c>
      <c r="D311" s="13" t="s">
        <v>8465</v>
      </c>
      <c r="E311" s="10" t="s">
        <v>1604</v>
      </c>
      <c r="F311" s="10" t="s">
        <v>12203</v>
      </c>
      <c r="G311" s="11" t="s">
        <v>8877</v>
      </c>
      <c r="H311" s="2" t="s">
        <v>75</v>
      </c>
      <c r="L311" s="18">
        <v>1</v>
      </c>
      <c r="M311" s="14" t="s">
        <v>8462</v>
      </c>
      <c r="N311" s="13">
        <v>44473</v>
      </c>
      <c r="O311" s="29">
        <v>65.16</v>
      </c>
      <c r="P311" s="18" t="s">
        <v>14</v>
      </c>
      <c r="Q311" s="18">
        <v>0</v>
      </c>
      <c r="U311" s="22">
        <v>0.79</v>
      </c>
      <c r="V311" s="22">
        <f>3.88/5</f>
        <v>0.77600000000000002</v>
      </c>
      <c r="X311" s="3">
        <v>3</v>
      </c>
      <c r="Z311" s="23">
        <v>29.5</v>
      </c>
      <c r="AB311" s="18">
        <f t="shared" si="8"/>
        <v>2022</v>
      </c>
      <c r="AC311" s="22">
        <f t="shared" si="9"/>
        <v>0.72199999999999998</v>
      </c>
    </row>
    <row r="312" spans="1:29">
      <c r="A312" s="8" t="s">
        <v>13506</v>
      </c>
      <c r="B312" s="17" t="s">
        <v>7744</v>
      </c>
      <c r="C312" s="13">
        <v>44771</v>
      </c>
      <c r="D312" s="13" t="s">
        <v>8465</v>
      </c>
      <c r="E312" s="10" t="s">
        <v>13517</v>
      </c>
      <c r="F312" s="10" t="s">
        <v>13518</v>
      </c>
      <c r="H312" s="2" t="s">
        <v>1061</v>
      </c>
      <c r="L312" s="18">
        <v>1</v>
      </c>
      <c r="M312" s="14" t="s">
        <v>8462</v>
      </c>
      <c r="N312" s="13">
        <v>44965</v>
      </c>
      <c r="O312" s="29">
        <v>24.43</v>
      </c>
      <c r="P312" s="18" t="s">
        <v>14</v>
      </c>
      <c r="Q312" s="18">
        <v>0</v>
      </c>
      <c r="U312" s="22">
        <v>0.69</v>
      </c>
      <c r="X312" s="3">
        <v>2</v>
      </c>
      <c r="Z312" s="23">
        <v>6</v>
      </c>
      <c r="AB312" s="18">
        <f t="shared" si="8"/>
        <v>2022</v>
      </c>
      <c r="AC312" s="22">
        <f t="shared" si="9"/>
        <v>0.54499999999999993</v>
      </c>
    </row>
    <row r="313" spans="1:29">
      <c r="A313" s="8" t="s">
        <v>13708</v>
      </c>
      <c r="B313" s="17" t="s">
        <v>7800</v>
      </c>
      <c r="C313" s="13">
        <v>44771</v>
      </c>
      <c r="D313" s="13" t="s">
        <v>8465</v>
      </c>
      <c r="E313" s="10" t="s">
        <v>13709</v>
      </c>
      <c r="F313" s="10" t="s">
        <v>13709</v>
      </c>
      <c r="H313" s="2" t="s">
        <v>1054</v>
      </c>
      <c r="L313" s="18">
        <v>1</v>
      </c>
      <c r="N313" s="13">
        <v>45001</v>
      </c>
      <c r="O313" s="29">
        <v>0.74</v>
      </c>
      <c r="P313" s="18" t="s">
        <v>1107</v>
      </c>
      <c r="Q313" s="18">
        <v>0</v>
      </c>
      <c r="W313" s="14" t="s">
        <v>7777</v>
      </c>
      <c r="X313" s="3">
        <v>2</v>
      </c>
      <c r="AB313" s="18">
        <f t="shared" si="8"/>
        <v>2022</v>
      </c>
      <c r="AC313" s="22">
        <f t="shared" si="9"/>
        <v>0.4</v>
      </c>
    </row>
    <row r="314" spans="1:29">
      <c r="A314" s="8" t="s">
        <v>12970</v>
      </c>
      <c r="B314" s="17" t="s">
        <v>7744</v>
      </c>
      <c r="C314" s="13">
        <v>44770</v>
      </c>
      <c r="D314" s="13" t="s">
        <v>8465</v>
      </c>
      <c r="E314" s="10" t="s">
        <v>13330</v>
      </c>
      <c r="F314" s="10" t="s">
        <v>13331</v>
      </c>
      <c r="H314" s="2" t="s">
        <v>171</v>
      </c>
      <c r="L314" s="18">
        <v>1</v>
      </c>
      <c r="M314" s="14" t="s">
        <v>8462</v>
      </c>
      <c r="N314" s="13">
        <v>44881</v>
      </c>
      <c r="O314" s="29">
        <v>34.99</v>
      </c>
      <c r="P314" s="18" t="s">
        <v>14</v>
      </c>
      <c r="Q314" s="18">
        <v>0</v>
      </c>
      <c r="U314" s="22">
        <v>0.54</v>
      </c>
      <c r="V314" s="22">
        <f>2.6/5</f>
        <v>0.52</v>
      </c>
      <c r="X314" s="3">
        <v>2</v>
      </c>
      <c r="Z314" s="23">
        <v>6.5</v>
      </c>
      <c r="AB314" s="18">
        <f t="shared" si="8"/>
        <v>2022</v>
      </c>
      <c r="AC314" s="22">
        <f t="shared" si="9"/>
        <v>0.48666666666666664</v>
      </c>
    </row>
    <row r="315" spans="1:29" ht="25.5">
      <c r="A315" s="8" t="s">
        <v>15834</v>
      </c>
      <c r="B315" s="17" t="s">
        <v>7800</v>
      </c>
      <c r="C315" s="13">
        <v>44768</v>
      </c>
      <c r="D315" s="13" t="s">
        <v>8465</v>
      </c>
      <c r="E315" s="10" t="s">
        <v>2327</v>
      </c>
      <c r="F315" s="10" t="s">
        <v>15835</v>
      </c>
      <c r="H315" s="2" t="s">
        <v>171</v>
      </c>
      <c r="L315" s="18">
        <v>1</v>
      </c>
      <c r="N315" s="13">
        <v>45185</v>
      </c>
      <c r="O315" s="29">
        <v>8.99</v>
      </c>
      <c r="P315" s="18" t="s">
        <v>1107</v>
      </c>
      <c r="Q315" s="18">
        <v>0</v>
      </c>
      <c r="U315" s="22">
        <v>0.69</v>
      </c>
      <c r="W315" s="14" t="s">
        <v>7777</v>
      </c>
      <c r="X315" s="3">
        <v>2</v>
      </c>
      <c r="Z315" s="23">
        <v>6.5</v>
      </c>
      <c r="AB315" s="18">
        <f t="shared" si="8"/>
        <v>2022</v>
      </c>
      <c r="AC315" s="22">
        <f t="shared" si="9"/>
        <v>0.54499999999999993</v>
      </c>
    </row>
    <row r="316" spans="1:29" ht="25.5">
      <c r="A316" s="8" t="s">
        <v>12170</v>
      </c>
      <c r="B316" s="17" t="s">
        <v>7744</v>
      </c>
      <c r="C316" s="13">
        <v>44763</v>
      </c>
      <c r="D316" s="13" t="s">
        <v>9335</v>
      </c>
      <c r="E316" s="10" t="s">
        <v>479</v>
      </c>
      <c r="F316" s="10" t="s">
        <v>12950</v>
      </c>
      <c r="G316" s="11" t="s">
        <v>226</v>
      </c>
      <c r="H316" s="2" t="s">
        <v>153</v>
      </c>
      <c r="K316" s="18">
        <v>2</v>
      </c>
      <c r="L316" s="18">
        <v>1</v>
      </c>
      <c r="M316" s="14" t="s">
        <v>8462</v>
      </c>
      <c r="N316" s="13">
        <v>44757</v>
      </c>
      <c r="O316" s="29">
        <v>39.99</v>
      </c>
      <c r="P316" s="18" t="s">
        <v>14</v>
      </c>
      <c r="Q316" s="18">
        <v>0</v>
      </c>
      <c r="U316" s="22">
        <v>0.66</v>
      </c>
      <c r="V316" s="22">
        <f>4.3/5</f>
        <v>0.86</v>
      </c>
      <c r="X316" s="3">
        <v>3</v>
      </c>
      <c r="Z316" s="23">
        <v>10</v>
      </c>
      <c r="AB316" s="18">
        <f t="shared" si="8"/>
        <v>2022</v>
      </c>
      <c r="AC316" s="22">
        <f t="shared" si="9"/>
        <v>0.70666666666666667</v>
      </c>
    </row>
    <row r="317" spans="1:29">
      <c r="A317" s="8" t="s">
        <v>15581</v>
      </c>
      <c r="B317" s="17" t="s">
        <v>7800</v>
      </c>
      <c r="C317" s="13">
        <v>44763</v>
      </c>
      <c r="D317" s="13" t="s">
        <v>8465</v>
      </c>
      <c r="E317" s="10" t="s">
        <v>13628</v>
      </c>
      <c r="F317" s="10" t="s">
        <v>15582</v>
      </c>
      <c r="H317" s="2" t="s">
        <v>1040</v>
      </c>
      <c r="L317" s="18">
        <v>1</v>
      </c>
      <c r="N317" s="13">
        <v>45161</v>
      </c>
      <c r="O317" s="29">
        <v>0</v>
      </c>
      <c r="P317" s="18" t="s">
        <v>1107</v>
      </c>
      <c r="Q317" s="18">
        <v>0</v>
      </c>
      <c r="U317" s="22">
        <v>0.78</v>
      </c>
      <c r="V317" s="22">
        <f>3.25/5</f>
        <v>0.65</v>
      </c>
      <c r="W317" s="14" t="s">
        <v>7777</v>
      </c>
      <c r="X317" s="3">
        <v>4</v>
      </c>
      <c r="Z317" s="23">
        <v>8</v>
      </c>
      <c r="AB317" s="18">
        <f t="shared" si="8"/>
        <v>2022</v>
      </c>
      <c r="AC317" s="22">
        <f t="shared" si="9"/>
        <v>0.74333333333333351</v>
      </c>
    </row>
    <row r="318" spans="1:29" ht="25.5">
      <c r="A318" s="8" t="s">
        <v>14824</v>
      </c>
      <c r="B318" s="17" t="s">
        <v>7744</v>
      </c>
      <c r="C318" s="13">
        <v>44761</v>
      </c>
      <c r="D318" s="13" t="s">
        <v>8465</v>
      </c>
      <c r="E318" s="10" t="s">
        <v>1583</v>
      </c>
      <c r="F318" s="10" t="s">
        <v>14825</v>
      </c>
      <c r="H318" s="2" t="s">
        <v>80</v>
      </c>
      <c r="L318" s="18">
        <v>1</v>
      </c>
      <c r="M318" s="14" t="s">
        <v>8462</v>
      </c>
      <c r="N318" s="13">
        <v>45068</v>
      </c>
      <c r="O318" s="29">
        <v>16.28</v>
      </c>
      <c r="P318" s="18" t="s">
        <v>14</v>
      </c>
      <c r="Q318" s="18">
        <v>0</v>
      </c>
      <c r="U318" s="22">
        <v>0.82</v>
      </c>
      <c r="V318" s="22">
        <f>4/5</f>
        <v>0.8</v>
      </c>
      <c r="X318" s="3">
        <v>2</v>
      </c>
      <c r="Z318" s="23">
        <v>4</v>
      </c>
      <c r="AB318" s="18">
        <f t="shared" si="8"/>
        <v>2022</v>
      </c>
      <c r="AC318" s="22">
        <f t="shared" si="9"/>
        <v>0.67333333333333334</v>
      </c>
    </row>
    <row r="319" spans="1:29">
      <c r="A319" s="8" t="s">
        <v>12542</v>
      </c>
      <c r="B319" s="17" t="s">
        <v>7800</v>
      </c>
      <c r="C319" s="13">
        <v>44760</v>
      </c>
      <c r="D319" s="13" t="s">
        <v>8465</v>
      </c>
      <c r="E319" s="10" t="s">
        <v>12543</v>
      </c>
      <c r="F319" s="10" t="s">
        <v>12543</v>
      </c>
      <c r="H319" s="2" t="s">
        <v>1054</v>
      </c>
      <c r="L319" s="18">
        <v>1</v>
      </c>
      <c r="N319" s="13">
        <v>44823</v>
      </c>
      <c r="O319" s="29">
        <v>0.49</v>
      </c>
      <c r="P319" s="18" t="s">
        <v>1107</v>
      </c>
      <c r="Q319" s="18">
        <v>0</v>
      </c>
      <c r="W319" s="14" t="s">
        <v>7777</v>
      </c>
      <c r="X319" s="3">
        <v>2</v>
      </c>
      <c r="Z319" s="23">
        <v>2</v>
      </c>
      <c r="AB319" s="18">
        <f t="shared" si="8"/>
        <v>2022</v>
      </c>
      <c r="AC319" s="22">
        <f t="shared" si="9"/>
        <v>0.4</v>
      </c>
    </row>
    <row r="320" spans="1:29">
      <c r="A320" s="8" t="s">
        <v>15022</v>
      </c>
      <c r="B320" s="17" t="s">
        <v>7744</v>
      </c>
      <c r="C320" s="13">
        <v>44756</v>
      </c>
      <c r="D320" s="13" t="s">
        <v>8465</v>
      </c>
      <c r="E320" s="10" t="s">
        <v>15023</v>
      </c>
      <c r="F320" s="10" t="s">
        <v>15023</v>
      </c>
      <c r="H320" s="2" t="s">
        <v>1061</v>
      </c>
      <c r="L320" s="18">
        <v>1</v>
      </c>
      <c r="N320" s="13">
        <v>45080</v>
      </c>
      <c r="O320" s="29">
        <v>3.59</v>
      </c>
      <c r="P320" s="18" t="s">
        <v>1107</v>
      </c>
      <c r="Q320" s="18">
        <v>0</v>
      </c>
      <c r="X320" s="3">
        <v>2</v>
      </c>
      <c r="Z320" s="23">
        <v>3.5</v>
      </c>
      <c r="AB320" s="18">
        <f t="shared" si="8"/>
        <v>2022</v>
      </c>
      <c r="AC320" s="22">
        <f t="shared" si="9"/>
        <v>0.4</v>
      </c>
    </row>
    <row r="321" spans="1:29">
      <c r="A321" s="8" t="s">
        <v>13033</v>
      </c>
      <c r="B321" s="17" t="s">
        <v>7800</v>
      </c>
      <c r="C321" s="13">
        <v>44756</v>
      </c>
      <c r="D321" s="13" t="s">
        <v>8465</v>
      </c>
      <c r="E321" s="10" t="s">
        <v>13034</v>
      </c>
      <c r="F321" s="10" t="s">
        <v>13034</v>
      </c>
      <c r="H321" s="2" t="s">
        <v>1061</v>
      </c>
      <c r="L321" s="18">
        <v>1</v>
      </c>
      <c r="N321" s="13">
        <v>44922</v>
      </c>
      <c r="O321" s="29">
        <v>0.99</v>
      </c>
      <c r="P321" s="18" t="s">
        <v>1107</v>
      </c>
      <c r="Q321" s="18">
        <v>0</v>
      </c>
      <c r="W321" s="14" t="s">
        <v>7777</v>
      </c>
      <c r="X321" s="3">
        <v>2</v>
      </c>
      <c r="Z321" s="23">
        <f>55/60</f>
        <v>0.91666666666666663</v>
      </c>
      <c r="AB321" s="18">
        <f t="shared" si="8"/>
        <v>2022</v>
      </c>
      <c r="AC321" s="22">
        <f t="shared" si="9"/>
        <v>0.4</v>
      </c>
    </row>
    <row r="322" spans="1:29">
      <c r="A322" s="8" t="s">
        <v>15559</v>
      </c>
      <c r="B322" s="17" t="s">
        <v>7800</v>
      </c>
      <c r="C322" s="13">
        <v>44756</v>
      </c>
      <c r="D322" s="13" t="s">
        <v>8465</v>
      </c>
      <c r="E322" s="10" t="s">
        <v>15560</v>
      </c>
      <c r="F322" s="10" t="s">
        <v>15560</v>
      </c>
      <c r="H322" s="2" t="s">
        <v>56</v>
      </c>
      <c r="L322" s="18">
        <v>1</v>
      </c>
      <c r="N322" s="13">
        <v>45159</v>
      </c>
      <c r="O322" s="29">
        <v>2.2000000000000002</v>
      </c>
      <c r="P322" s="18" t="s">
        <v>1107</v>
      </c>
      <c r="Q322" s="18">
        <v>0</v>
      </c>
      <c r="V322" s="22">
        <f>3.75/5</f>
        <v>0.75</v>
      </c>
      <c r="W322" s="14" t="s">
        <v>7777</v>
      </c>
      <c r="X322" s="3">
        <v>3</v>
      </c>
      <c r="Z322" s="23">
        <v>1.5</v>
      </c>
      <c r="AB322" s="18">
        <f t="shared" ref="AB322:AB385" si="10">IFERROR(YEAR(C322), "Early Access")</f>
        <v>2022</v>
      </c>
      <c r="AC322" s="22">
        <f t="shared" ref="AC322:AC385" si="11">AVERAGE(T322, U322, V322, IF(ISBLANK(X322), X322, X322/5))</f>
        <v>0.67500000000000004</v>
      </c>
    </row>
    <row r="323" spans="1:29">
      <c r="A323" s="8" t="s">
        <v>15073</v>
      </c>
      <c r="B323" s="17" t="s">
        <v>7744</v>
      </c>
      <c r="C323" s="13">
        <v>44754</v>
      </c>
      <c r="D323" s="13" t="s">
        <v>8465</v>
      </c>
      <c r="E323" s="10" t="s">
        <v>4388</v>
      </c>
      <c r="F323" s="10" t="s">
        <v>15074</v>
      </c>
      <c r="H323" s="2" t="s">
        <v>80</v>
      </c>
      <c r="L323" s="18">
        <v>1</v>
      </c>
      <c r="M323" s="14" t="s">
        <v>8462</v>
      </c>
      <c r="N323" s="13">
        <v>45090</v>
      </c>
      <c r="O323" s="29">
        <v>16.28</v>
      </c>
      <c r="P323" s="18" t="s">
        <v>14</v>
      </c>
      <c r="Q323" s="18">
        <v>0</v>
      </c>
      <c r="U323" s="22">
        <v>0.64</v>
      </c>
      <c r="V323" s="22">
        <f>3.33/5</f>
        <v>0.66600000000000004</v>
      </c>
      <c r="X323" s="3">
        <v>3</v>
      </c>
      <c r="Z323" s="23">
        <v>2</v>
      </c>
      <c r="AB323" s="18">
        <f t="shared" si="10"/>
        <v>2022</v>
      </c>
      <c r="AC323" s="22">
        <f t="shared" si="11"/>
        <v>0.63533333333333342</v>
      </c>
    </row>
    <row r="324" spans="1:29" ht="25.5">
      <c r="A324" s="8" t="s">
        <v>12178</v>
      </c>
      <c r="B324" s="17" t="s">
        <v>7744</v>
      </c>
      <c r="C324" s="13">
        <v>44749</v>
      </c>
      <c r="D324" s="13" t="s">
        <v>8463</v>
      </c>
      <c r="E324" s="10" t="s">
        <v>3568</v>
      </c>
      <c r="F324" s="10" t="s">
        <v>8680</v>
      </c>
      <c r="G324" s="11" t="s">
        <v>1003</v>
      </c>
      <c r="H324" s="2" t="s">
        <v>6510</v>
      </c>
      <c r="K324" s="18">
        <v>2</v>
      </c>
      <c r="L324" s="18">
        <v>1</v>
      </c>
      <c r="M324" s="14" t="s">
        <v>8462</v>
      </c>
      <c r="N324" s="13">
        <v>44611</v>
      </c>
      <c r="O324" s="29">
        <v>43.99</v>
      </c>
      <c r="P324" s="18" t="s">
        <v>14</v>
      </c>
      <c r="Q324" s="18">
        <v>0</v>
      </c>
      <c r="U324" s="22">
        <v>0.81</v>
      </c>
      <c r="V324" s="22">
        <f>3.74/5</f>
        <v>0.748</v>
      </c>
      <c r="X324" s="3">
        <v>3</v>
      </c>
      <c r="Z324" s="23">
        <v>11</v>
      </c>
      <c r="AB324" s="18">
        <f t="shared" si="10"/>
        <v>2022</v>
      </c>
      <c r="AC324" s="22">
        <f t="shared" si="11"/>
        <v>0.71933333333333327</v>
      </c>
    </row>
    <row r="325" spans="1:29" ht="25.5">
      <c r="A325" s="8" t="s">
        <v>10500</v>
      </c>
      <c r="B325" s="17" t="s">
        <v>7744</v>
      </c>
      <c r="C325" s="13">
        <v>44747</v>
      </c>
      <c r="D325" s="13" t="s">
        <v>8465</v>
      </c>
      <c r="E325" s="10" t="s">
        <v>1062</v>
      </c>
      <c r="F325" s="10" t="s">
        <v>12149</v>
      </c>
      <c r="H325" s="2" t="s">
        <v>21</v>
      </c>
      <c r="L325" s="18">
        <v>1</v>
      </c>
      <c r="M325" s="14" t="s">
        <v>8462</v>
      </c>
      <c r="N325" s="13">
        <v>44479</v>
      </c>
      <c r="O325" s="29">
        <v>54.3</v>
      </c>
      <c r="P325" s="18" t="s">
        <v>14</v>
      </c>
      <c r="Q325" s="18">
        <v>0</v>
      </c>
      <c r="U325" s="22">
        <v>0.74</v>
      </c>
      <c r="V325" s="22">
        <f>4.14/5</f>
        <v>0.82799999999999996</v>
      </c>
      <c r="X325" s="3">
        <v>3</v>
      </c>
      <c r="Z325" s="23">
        <v>20.5</v>
      </c>
      <c r="AB325" s="18">
        <f t="shared" si="10"/>
        <v>2022</v>
      </c>
      <c r="AC325" s="22">
        <f t="shared" si="11"/>
        <v>0.72266666666666668</v>
      </c>
    </row>
    <row r="326" spans="1:29" ht="30">
      <c r="A326" s="8" t="s">
        <v>15972</v>
      </c>
      <c r="B326" s="17" t="s">
        <v>13799</v>
      </c>
      <c r="C326" s="13">
        <v>44746</v>
      </c>
      <c r="D326" s="13" t="s">
        <v>8465</v>
      </c>
      <c r="E326" s="10" t="s">
        <v>15973</v>
      </c>
      <c r="F326" s="10" t="s">
        <v>15973</v>
      </c>
      <c r="H326" s="2" t="s">
        <v>80</v>
      </c>
      <c r="L326" s="18">
        <v>1</v>
      </c>
      <c r="O326" s="29">
        <v>0</v>
      </c>
      <c r="P326" s="18" t="s">
        <v>1107</v>
      </c>
      <c r="Q326" s="18">
        <v>0</v>
      </c>
      <c r="X326" s="3">
        <v>3</v>
      </c>
      <c r="Z326" s="23">
        <v>4</v>
      </c>
      <c r="AB326" s="18">
        <f t="shared" si="10"/>
        <v>2022</v>
      </c>
      <c r="AC326" s="22">
        <f t="shared" si="11"/>
        <v>0.6</v>
      </c>
    </row>
    <row r="327" spans="1:29" ht="30">
      <c r="A327" s="8" t="s">
        <v>10186</v>
      </c>
      <c r="B327" s="17" t="s">
        <v>7744</v>
      </c>
      <c r="C327" s="12">
        <v>44743</v>
      </c>
      <c r="D327" s="13" t="s">
        <v>8465</v>
      </c>
      <c r="E327" s="10" t="s">
        <v>3063</v>
      </c>
      <c r="F327" s="10" t="s">
        <v>8262</v>
      </c>
      <c r="H327" s="2" t="s">
        <v>21</v>
      </c>
      <c r="L327" s="18">
        <v>1</v>
      </c>
      <c r="M327" s="14" t="s">
        <v>8462</v>
      </c>
      <c r="N327" s="13">
        <v>44359</v>
      </c>
      <c r="O327" s="29">
        <v>37.49</v>
      </c>
      <c r="P327" s="18" t="s">
        <v>14</v>
      </c>
      <c r="Q327" s="18">
        <v>0</v>
      </c>
      <c r="V327" s="22">
        <f>3.88/5</f>
        <v>0.77600000000000002</v>
      </c>
      <c r="W327" s="14" t="s">
        <v>8101</v>
      </c>
      <c r="X327" s="3">
        <v>4</v>
      </c>
      <c r="Z327" s="23">
        <v>1</v>
      </c>
      <c r="AB327" s="18">
        <f t="shared" si="10"/>
        <v>2022</v>
      </c>
      <c r="AC327" s="22">
        <f t="shared" si="11"/>
        <v>0.78800000000000003</v>
      </c>
    </row>
    <row r="328" spans="1:29" ht="25.5">
      <c r="A328" s="8" t="s">
        <v>12175</v>
      </c>
      <c r="B328" s="17" t="s">
        <v>7744</v>
      </c>
      <c r="C328" s="13">
        <v>44742</v>
      </c>
      <c r="D328" s="13" t="s">
        <v>8465</v>
      </c>
      <c r="E328" s="10" t="s">
        <v>1047</v>
      </c>
      <c r="F328" s="10" t="s">
        <v>12190</v>
      </c>
      <c r="G328" s="11" t="s">
        <v>12191</v>
      </c>
      <c r="H328" s="2" t="s">
        <v>1142</v>
      </c>
      <c r="L328" s="18">
        <v>1</v>
      </c>
      <c r="M328" s="14" t="s">
        <v>8462</v>
      </c>
      <c r="N328" s="13">
        <v>44758</v>
      </c>
      <c r="O328" s="29">
        <v>43.44</v>
      </c>
      <c r="P328" s="18" t="s">
        <v>14</v>
      </c>
      <c r="Q328" s="18">
        <v>0</v>
      </c>
      <c r="V328" s="22">
        <f>3.5/5</f>
        <v>0.7</v>
      </c>
      <c r="X328" s="3">
        <v>2</v>
      </c>
      <c r="Z328" s="23">
        <v>3</v>
      </c>
      <c r="AB328" s="18">
        <f t="shared" si="10"/>
        <v>2022</v>
      </c>
      <c r="AC328" s="22">
        <f t="shared" si="11"/>
        <v>0.55000000000000004</v>
      </c>
    </row>
    <row r="329" spans="1:29">
      <c r="A329" s="8" t="s">
        <v>13439</v>
      </c>
      <c r="B329" s="17" t="s">
        <v>7800</v>
      </c>
      <c r="C329" s="13">
        <v>44740</v>
      </c>
      <c r="D329" s="13" t="s">
        <v>8465</v>
      </c>
      <c r="E329" s="10" t="s">
        <v>12907</v>
      </c>
      <c r="F329" s="10" t="s">
        <v>13440</v>
      </c>
      <c r="H329" s="2" t="s">
        <v>1061</v>
      </c>
      <c r="L329" s="18">
        <v>1</v>
      </c>
      <c r="N329" s="13">
        <v>44964</v>
      </c>
      <c r="O329" s="29">
        <v>0</v>
      </c>
      <c r="P329" s="18" t="s">
        <v>1107</v>
      </c>
      <c r="Q329" s="18">
        <v>0</v>
      </c>
      <c r="U329" s="22">
        <v>0.71</v>
      </c>
      <c r="V329" s="22">
        <f>3.63/5</f>
        <v>0.72599999999999998</v>
      </c>
      <c r="W329" s="14" t="s">
        <v>7777</v>
      </c>
      <c r="X329" s="3">
        <v>3</v>
      </c>
      <c r="Z329" s="23">
        <v>11</v>
      </c>
      <c r="AB329" s="18">
        <f t="shared" si="10"/>
        <v>2022</v>
      </c>
      <c r="AC329" s="22">
        <f t="shared" si="11"/>
        <v>0.67866666666666664</v>
      </c>
    </row>
    <row r="330" spans="1:29">
      <c r="A330" s="8" t="s">
        <v>14575</v>
      </c>
      <c r="B330" s="17" t="s">
        <v>7760</v>
      </c>
      <c r="C330" s="13">
        <v>44740</v>
      </c>
      <c r="D330" s="13" t="s">
        <v>8465</v>
      </c>
      <c r="E330" s="10" t="s">
        <v>14576</v>
      </c>
      <c r="F330" s="10" t="s">
        <v>461</v>
      </c>
      <c r="G330" s="11" t="s">
        <v>14577</v>
      </c>
      <c r="H330" s="2" t="s">
        <v>459</v>
      </c>
      <c r="L330" s="18">
        <v>1</v>
      </c>
      <c r="M330" s="14" t="s">
        <v>8462</v>
      </c>
      <c r="N330" s="13">
        <v>45044</v>
      </c>
      <c r="O330" s="29">
        <v>19.54</v>
      </c>
      <c r="P330" s="18" t="s">
        <v>14</v>
      </c>
      <c r="Q330" s="18">
        <v>0</v>
      </c>
      <c r="V330" s="22">
        <f>3.62/5</f>
        <v>0.72399999999999998</v>
      </c>
      <c r="X330" s="3">
        <v>2</v>
      </c>
      <c r="Z330" s="23">
        <v>1.5</v>
      </c>
      <c r="AB330" s="18">
        <f t="shared" si="10"/>
        <v>2022</v>
      </c>
      <c r="AC330" s="22">
        <f t="shared" si="11"/>
        <v>0.56200000000000006</v>
      </c>
    </row>
    <row r="331" spans="1:29" ht="25.5">
      <c r="A331" s="8" t="s">
        <v>15970</v>
      </c>
      <c r="B331" s="17" t="s">
        <v>13799</v>
      </c>
      <c r="C331" s="13">
        <v>44739</v>
      </c>
      <c r="D331" s="13" t="s">
        <v>8465</v>
      </c>
      <c r="E331" s="10" t="s">
        <v>15971</v>
      </c>
      <c r="F331" s="10" t="s">
        <v>15971</v>
      </c>
      <c r="H331" s="2" t="s">
        <v>67</v>
      </c>
      <c r="L331" s="18">
        <v>1</v>
      </c>
      <c r="O331" s="29">
        <v>0</v>
      </c>
      <c r="P331" s="18" t="s">
        <v>1107</v>
      </c>
      <c r="Q331" s="18">
        <v>0</v>
      </c>
      <c r="X331" s="3">
        <v>2</v>
      </c>
      <c r="Z331" s="23">
        <v>1</v>
      </c>
      <c r="AB331" s="18">
        <f t="shared" si="10"/>
        <v>2022</v>
      </c>
      <c r="AC331" s="22">
        <f t="shared" si="11"/>
        <v>0.4</v>
      </c>
    </row>
    <row r="332" spans="1:29" ht="25.5">
      <c r="A332" s="8" t="s">
        <v>12068</v>
      </c>
      <c r="B332" s="17" t="s">
        <v>7744</v>
      </c>
      <c r="C332" s="13">
        <v>44736</v>
      </c>
      <c r="D332" s="13" t="s">
        <v>8465</v>
      </c>
      <c r="E332" s="10" t="s">
        <v>2452</v>
      </c>
      <c r="F332" s="10" t="s">
        <v>2452</v>
      </c>
      <c r="G332" s="11" t="s">
        <v>7870</v>
      </c>
      <c r="H332" s="2" t="s">
        <v>1057</v>
      </c>
      <c r="L332" s="18">
        <v>1</v>
      </c>
      <c r="M332" s="14" t="s">
        <v>8462</v>
      </c>
      <c r="N332" s="13">
        <v>44473</v>
      </c>
      <c r="O332" s="29">
        <v>65.16</v>
      </c>
      <c r="P332" s="18" t="s">
        <v>14</v>
      </c>
      <c r="Q332" s="18">
        <v>0</v>
      </c>
      <c r="U332" s="22">
        <v>0.86</v>
      </c>
      <c r="V332" s="22">
        <f>3.83/5</f>
        <v>0.76600000000000001</v>
      </c>
      <c r="X332" s="3">
        <v>4</v>
      </c>
      <c r="Z332" s="23">
        <v>29</v>
      </c>
      <c r="AB332" s="18">
        <f t="shared" si="10"/>
        <v>2022</v>
      </c>
      <c r="AC332" s="22">
        <f t="shared" si="11"/>
        <v>0.80866666666666676</v>
      </c>
    </row>
    <row r="333" spans="1:29" ht="25.5">
      <c r="A333" s="8" t="s">
        <v>11282</v>
      </c>
      <c r="B333" s="17" t="s">
        <v>7744</v>
      </c>
      <c r="C333" s="13">
        <v>44736</v>
      </c>
      <c r="D333" s="13" t="s">
        <v>8465</v>
      </c>
      <c r="E333" s="10" t="s">
        <v>86</v>
      </c>
      <c r="F333" s="10" t="s">
        <v>1471</v>
      </c>
      <c r="G333" s="11" t="s">
        <v>305</v>
      </c>
      <c r="H333" s="2" t="s">
        <v>1059</v>
      </c>
      <c r="L333" s="18">
        <v>1</v>
      </c>
      <c r="M333" s="14" t="s">
        <v>8462</v>
      </c>
      <c r="N333" s="13">
        <v>44617</v>
      </c>
      <c r="O333" s="29">
        <v>65.16</v>
      </c>
      <c r="P333" s="18" t="s">
        <v>14</v>
      </c>
      <c r="Q333" s="18">
        <v>0</v>
      </c>
      <c r="U333" s="22">
        <v>0.8</v>
      </c>
      <c r="V333" s="22">
        <f>4.04/5</f>
        <v>0.80800000000000005</v>
      </c>
      <c r="X333" s="3">
        <v>4</v>
      </c>
      <c r="Z333" s="23">
        <v>33</v>
      </c>
      <c r="AB333" s="18">
        <f t="shared" si="10"/>
        <v>2022</v>
      </c>
      <c r="AC333" s="22">
        <f t="shared" si="11"/>
        <v>0.80266666666666675</v>
      </c>
    </row>
    <row r="334" spans="1:29" ht="25.5">
      <c r="A334" s="8" t="s">
        <v>11319</v>
      </c>
      <c r="B334" s="17" t="s">
        <v>7744</v>
      </c>
      <c r="C334" s="13">
        <v>44736</v>
      </c>
      <c r="D334" s="13" t="s">
        <v>8465</v>
      </c>
      <c r="E334" s="10" t="s">
        <v>66</v>
      </c>
      <c r="F334" s="10" t="s">
        <v>7972</v>
      </c>
      <c r="G334" s="11" t="s">
        <v>714</v>
      </c>
      <c r="H334" s="2" t="s">
        <v>21</v>
      </c>
      <c r="L334" s="18">
        <v>1</v>
      </c>
      <c r="M334" s="14" t="s">
        <v>8462</v>
      </c>
      <c r="N334" s="13">
        <v>44621</v>
      </c>
      <c r="O334" s="29">
        <v>32.58</v>
      </c>
      <c r="P334" s="18" t="s">
        <v>14</v>
      </c>
      <c r="Q334" s="18">
        <v>0</v>
      </c>
      <c r="U334" s="22">
        <v>0.81</v>
      </c>
      <c r="V334" s="22">
        <f>4.09/5</f>
        <v>0.81799999999999995</v>
      </c>
      <c r="X334" s="3">
        <v>3</v>
      </c>
      <c r="Z334" s="23">
        <v>2.5</v>
      </c>
      <c r="AB334" s="18">
        <f t="shared" si="10"/>
        <v>2022</v>
      </c>
      <c r="AC334" s="22">
        <f t="shared" si="11"/>
        <v>0.7426666666666667</v>
      </c>
    </row>
    <row r="335" spans="1:29">
      <c r="A335" s="8" t="s">
        <v>13765</v>
      </c>
      <c r="B335" s="17" t="s">
        <v>7749</v>
      </c>
      <c r="C335" s="13">
        <v>44735</v>
      </c>
      <c r="D335" s="13" t="s">
        <v>8465</v>
      </c>
      <c r="E335" s="10" t="s">
        <v>13766</v>
      </c>
      <c r="F335" s="10" t="s">
        <v>13766</v>
      </c>
      <c r="H335" s="2" t="s">
        <v>80</v>
      </c>
      <c r="L335" s="18">
        <v>1</v>
      </c>
      <c r="N335" s="13">
        <v>45004</v>
      </c>
      <c r="O335" s="29">
        <v>6.99</v>
      </c>
      <c r="P335" s="18" t="s">
        <v>1107</v>
      </c>
      <c r="Q335" s="18">
        <v>0</v>
      </c>
      <c r="V335" s="22">
        <f>5/5</f>
        <v>1</v>
      </c>
      <c r="X335" s="3">
        <v>3</v>
      </c>
      <c r="AB335" s="18">
        <f t="shared" si="10"/>
        <v>2022</v>
      </c>
      <c r="AC335" s="22">
        <f t="shared" si="11"/>
        <v>0.8</v>
      </c>
    </row>
    <row r="336" spans="1:29">
      <c r="A336" s="8" t="s">
        <v>15968</v>
      </c>
      <c r="B336" s="17" t="s">
        <v>13799</v>
      </c>
      <c r="C336" s="13">
        <v>44732</v>
      </c>
      <c r="D336" s="13" t="s">
        <v>8465</v>
      </c>
      <c r="E336" s="10" t="s">
        <v>15969</v>
      </c>
      <c r="F336" s="10" t="s">
        <v>15969</v>
      </c>
      <c r="H336" s="2" t="s">
        <v>75</v>
      </c>
      <c r="L336" s="18">
        <v>1</v>
      </c>
      <c r="O336" s="29">
        <v>0</v>
      </c>
      <c r="P336" s="18" t="s">
        <v>1107</v>
      </c>
      <c r="Q336" s="18">
        <v>0</v>
      </c>
      <c r="X336" s="3">
        <v>3</v>
      </c>
      <c r="Z336" s="23">
        <v>1.5</v>
      </c>
      <c r="AB336" s="18">
        <f t="shared" si="10"/>
        <v>2022</v>
      </c>
      <c r="AC336" s="22">
        <f t="shared" si="11"/>
        <v>0.6</v>
      </c>
    </row>
    <row r="337" spans="1:29" ht="25.5">
      <c r="A337" s="8" t="s">
        <v>15213</v>
      </c>
      <c r="B337" s="17" t="s">
        <v>7800</v>
      </c>
      <c r="C337" s="13">
        <v>44729</v>
      </c>
      <c r="D337" s="13" t="s">
        <v>8465</v>
      </c>
      <c r="E337" s="10" t="s">
        <v>4962</v>
      </c>
      <c r="F337" s="10" t="s">
        <v>15214</v>
      </c>
      <c r="G337" s="11" t="s">
        <v>18</v>
      </c>
      <c r="H337" s="2" t="s">
        <v>67</v>
      </c>
      <c r="I337" s="18">
        <v>1</v>
      </c>
      <c r="L337" s="18">
        <v>1</v>
      </c>
      <c r="N337" s="13">
        <v>45097</v>
      </c>
      <c r="O337" s="29">
        <v>0</v>
      </c>
      <c r="P337" s="18" t="s">
        <v>1107</v>
      </c>
      <c r="Q337" s="18">
        <v>0</v>
      </c>
      <c r="W337" s="14" t="s">
        <v>7777</v>
      </c>
      <c r="X337" s="3">
        <v>4</v>
      </c>
      <c r="Z337" s="23">
        <v>4</v>
      </c>
      <c r="AB337" s="18">
        <f t="shared" si="10"/>
        <v>2022</v>
      </c>
      <c r="AC337" s="22">
        <f t="shared" si="11"/>
        <v>0.8</v>
      </c>
    </row>
    <row r="338" spans="1:29">
      <c r="A338" s="8" t="s">
        <v>12808</v>
      </c>
      <c r="B338" s="17" t="s">
        <v>7800</v>
      </c>
      <c r="C338" s="13">
        <v>44729</v>
      </c>
      <c r="D338" s="13" t="s">
        <v>8465</v>
      </c>
      <c r="E338" s="10" t="s">
        <v>12809</v>
      </c>
      <c r="F338" s="10" t="s">
        <v>12809</v>
      </c>
      <c r="H338" s="2" t="s">
        <v>67</v>
      </c>
      <c r="L338" s="18">
        <v>1</v>
      </c>
      <c r="N338" s="13">
        <v>44850</v>
      </c>
      <c r="O338" s="29">
        <v>0</v>
      </c>
      <c r="P338" s="18" t="s">
        <v>1107</v>
      </c>
      <c r="Q338" s="18">
        <v>0</v>
      </c>
      <c r="V338" s="22">
        <f>3.65/5</f>
        <v>0.73</v>
      </c>
      <c r="W338" s="14" t="s">
        <v>7777</v>
      </c>
      <c r="X338" s="3">
        <v>3</v>
      </c>
      <c r="Z338" s="23">
        <v>1.5</v>
      </c>
      <c r="AB338" s="18">
        <f t="shared" si="10"/>
        <v>2022</v>
      </c>
      <c r="AC338" s="22">
        <f t="shared" si="11"/>
        <v>0.66500000000000004</v>
      </c>
    </row>
    <row r="339" spans="1:29" ht="25.5">
      <c r="A339" s="8" t="s">
        <v>12856</v>
      </c>
      <c r="B339" s="17" t="s">
        <v>7744</v>
      </c>
      <c r="C339" s="13">
        <v>44728</v>
      </c>
      <c r="D339" s="13" t="s">
        <v>8463</v>
      </c>
      <c r="E339" s="10" t="s">
        <v>10334</v>
      </c>
      <c r="F339" s="10" t="s">
        <v>12996</v>
      </c>
      <c r="H339" s="2" t="s">
        <v>151</v>
      </c>
      <c r="K339" s="18">
        <v>2</v>
      </c>
      <c r="L339" s="18">
        <v>1</v>
      </c>
      <c r="M339" s="14" t="s">
        <v>8462</v>
      </c>
      <c r="N339" s="13">
        <v>44860</v>
      </c>
      <c r="O339" s="29">
        <v>33.99</v>
      </c>
      <c r="P339" s="18" t="s">
        <v>14</v>
      </c>
      <c r="Q339" s="18">
        <v>0</v>
      </c>
      <c r="V339" s="22">
        <f>3.13/5</f>
        <v>0.626</v>
      </c>
      <c r="X339" s="3">
        <v>3</v>
      </c>
      <c r="Z339" s="23">
        <v>5</v>
      </c>
      <c r="AB339" s="18">
        <f t="shared" si="10"/>
        <v>2022</v>
      </c>
      <c r="AC339" s="22">
        <f t="shared" si="11"/>
        <v>0.61299999999999999</v>
      </c>
    </row>
    <row r="340" spans="1:29">
      <c r="A340" s="8" t="s">
        <v>12507</v>
      </c>
      <c r="B340" s="17" t="s">
        <v>7800</v>
      </c>
      <c r="C340" s="13">
        <v>44726</v>
      </c>
      <c r="D340" s="13" t="s">
        <v>8465</v>
      </c>
      <c r="E340" s="10" t="s">
        <v>3212</v>
      </c>
      <c r="F340" s="10" t="s">
        <v>12508</v>
      </c>
      <c r="H340" s="2" t="s">
        <v>69</v>
      </c>
      <c r="L340" s="18">
        <v>1</v>
      </c>
      <c r="N340" s="13">
        <v>44818</v>
      </c>
      <c r="O340" s="29">
        <v>12</v>
      </c>
      <c r="P340" s="18" t="s">
        <v>1107</v>
      </c>
      <c r="Q340" s="18">
        <v>0</v>
      </c>
      <c r="W340" s="14" t="s">
        <v>7777</v>
      </c>
      <c r="X340" s="3">
        <v>2</v>
      </c>
      <c r="Z340" s="23">
        <v>4</v>
      </c>
      <c r="AB340" s="18">
        <f t="shared" si="10"/>
        <v>2022</v>
      </c>
      <c r="AC340" s="22">
        <f t="shared" si="11"/>
        <v>0.4</v>
      </c>
    </row>
    <row r="341" spans="1:29" ht="45">
      <c r="A341" s="8" t="s">
        <v>15965</v>
      </c>
      <c r="B341" s="17" t="s">
        <v>13799</v>
      </c>
      <c r="C341" s="13">
        <v>44725</v>
      </c>
      <c r="D341" s="13" t="s">
        <v>8465</v>
      </c>
      <c r="E341" s="10" t="s">
        <v>15966</v>
      </c>
      <c r="F341" s="10" t="s">
        <v>15966</v>
      </c>
      <c r="H341" s="2" t="s">
        <v>1334</v>
      </c>
      <c r="L341" s="18">
        <v>1</v>
      </c>
      <c r="O341" s="29">
        <v>0</v>
      </c>
      <c r="P341" s="18" t="s">
        <v>1107</v>
      </c>
      <c r="Q341" s="18">
        <v>0</v>
      </c>
      <c r="X341" s="3">
        <v>3</v>
      </c>
      <c r="Z341" s="23">
        <v>5.5</v>
      </c>
      <c r="AB341" s="18">
        <f t="shared" si="10"/>
        <v>2022</v>
      </c>
      <c r="AC341" s="22">
        <f t="shared" si="11"/>
        <v>0.6</v>
      </c>
    </row>
    <row r="342" spans="1:29">
      <c r="A342" s="8" t="s">
        <v>15967</v>
      </c>
      <c r="B342" s="17" t="s">
        <v>13799</v>
      </c>
      <c r="C342" s="13">
        <v>44725</v>
      </c>
      <c r="D342" s="13" t="s">
        <v>8465</v>
      </c>
      <c r="E342" s="10" t="s">
        <v>9400</v>
      </c>
      <c r="F342" s="10" t="s">
        <v>9400</v>
      </c>
      <c r="H342" s="2" t="s">
        <v>171</v>
      </c>
      <c r="L342" s="18">
        <v>1</v>
      </c>
      <c r="O342" s="29">
        <v>0</v>
      </c>
      <c r="P342" s="18" t="s">
        <v>1107</v>
      </c>
      <c r="Q342" s="18">
        <v>1</v>
      </c>
      <c r="R342" s="13">
        <v>45256</v>
      </c>
      <c r="T342" s="22">
        <v>0.4</v>
      </c>
      <c r="AB342" s="18">
        <f t="shared" si="10"/>
        <v>2022</v>
      </c>
      <c r="AC342" s="22">
        <f t="shared" si="11"/>
        <v>0.4</v>
      </c>
    </row>
    <row r="343" spans="1:29" ht="25.5">
      <c r="A343" s="8" t="s">
        <v>11175</v>
      </c>
      <c r="B343" s="17" t="s">
        <v>7744</v>
      </c>
      <c r="C343" s="13">
        <v>44722</v>
      </c>
      <c r="D343" s="13" t="s">
        <v>8465</v>
      </c>
      <c r="E343" s="10" t="s">
        <v>86</v>
      </c>
      <c r="F343" s="10" t="s">
        <v>1535</v>
      </c>
      <c r="G343" s="11" t="s">
        <v>1556</v>
      </c>
      <c r="H343" s="2" t="s">
        <v>255</v>
      </c>
      <c r="L343" s="18">
        <v>1</v>
      </c>
      <c r="M343" s="14" t="s">
        <v>8462</v>
      </c>
      <c r="N343" s="13">
        <v>44608</v>
      </c>
      <c r="O343" s="29">
        <v>65.16</v>
      </c>
      <c r="P343" s="18" t="s">
        <v>14</v>
      </c>
      <c r="Q343" s="18">
        <v>0</v>
      </c>
      <c r="U343" s="22">
        <v>0.75</v>
      </c>
      <c r="V343" s="22">
        <f>3.83/5</f>
        <v>0.76600000000000001</v>
      </c>
      <c r="X343" s="3">
        <v>4</v>
      </c>
      <c r="Z343" s="23">
        <v>4</v>
      </c>
      <c r="AB343" s="18">
        <f t="shared" si="10"/>
        <v>2022</v>
      </c>
      <c r="AC343" s="22">
        <f t="shared" si="11"/>
        <v>0.77199999999999991</v>
      </c>
    </row>
    <row r="344" spans="1:29">
      <c r="A344" s="8" t="s">
        <v>11396</v>
      </c>
      <c r="B344" s="17" t="s">
        <v>9431</v>
      </c>
      <c r="C344" s="13">
        <v>44722</v>
      </c>
      <c r="D344" s="13" t="s">
        <v>8465</v>
      </c>
      <c r="E344" s="10" t="s">
        <v>3310</v>
      </c>
      <c r="F344" s="10" t="s">
        <v>6200</v>
      </c>
      <c r="H344" s="2" t="s">
        <v>1061</v>
      </c>
      <c r="L344" s="18">
        <v>1</v>
      </c>
      <c r="M344" s="14" t="s">
        <v>8462</v>
      </c>
      <c r="N344" s="13">
        <v>44637</v>
      </c>
      <c r="O344" s="29">
        <v>76.03</v>
      </c>
      <c r="P344" s="18" t="s">
        <v>14</v>
      </c>
      <c r="Q344" s="18">
        <v>0</v>
      </c>
      <c r="U344" s="22">
        <v>0.74</v>
      </c>
      <c r="V344" s="22">
        <f>3.71/5</f>
        <v>0.74199999999999999</v>
      </c>
      <c r="X344" s="3">
        <v>4</v>
      </c>
      <c r="Z344" s="23">
        <v>8</v>
      </c>
      <c r="AB344" s="18">
        <f t="shared" si="10"/>
        <v>2022</v>
      </c>
      <c r="AC344" s="22">
        <f t="shared" si="11"/>
        <v>0.76066666666666671</v>
      </c>
    </row>
    <row r="345" spans="1:29" ht="25.5">
      <c r="A345" s="8" t="s">
        <v>11772</v>
      </c>
      <c r="B345" s="17" t="s">
        <v>7744</v>
      </c>
      <c r="C345" s="13">
        <v>44722</v>
      </c>
      <c r="D345" s="13" t="s">
        <v>8465</v>
      </c>
      <c r="E345" s="10" t="s">
        <v>7877</v>
      </c>
      <c r="F345" s="10" t="s">
        <v>1167</v>
      </c>
      <c r="G345" s="11" t="s">
        <v>1392</v>
      </c>
      <c r="H345" s="2" t="s">
        <v>149</v>
      </c>
      <c r="L345" s="18">
        <v>1</v>
      </c>
      <c r="M345" s="14" t="s">
        <v>8462</v>
      </c>
      <c r="N345" s="13">
        <v>44708</v>
      </c>
      <c r="O345" s="29">
        <v>39.99</v>
      </c>
      <c r="P345" s="18" t="s">
        <v>14</v>
      </c>
      <c r="Q345" s="18">
        <v>0</v>
      </c>
      <c r="U345" s="22">
        <v>0.72</v>
      </c>
      <c r="V345" s="22">
        <f>3.71/5</f>
        <v>0.74199999999999999</v>
      </c>
      <c r="X345" s="3">
        <v>3</v>
      </c>
      <c r="Z345" s="23">
        <v>12.5</v>
      </c>
      <c r="AB345" s="18">
        <f t="shared" si="10"/>
        <v>2022</v>
      </c>
      <c r="AC345" s="22">
        <f t="shared" si="11"/>
        <v>0.68733333333333324</v>
      </c>
    </row>
    <row r="346" spans="1:29">
      <c r="A346" s="8" t="s">
        <v>15962</v>
      </c>
      <c r="B346" s="17" t="s">
        <v>13799</v>
      </c>
      <c r="C346" s="13">
        <v>44718</v>
      </c>
      <c r="D346" s="13" t="s">
        <v>8465</v>
      </c>
      <c r="E346" s="10" t="s">
        <v>15963</v>
      </c>
      <c r="F346" s="10" t="s">
        <v>15963</v>
      </c>
      <c r="H346" s="2" t="s">
        <v>67</v>
      </c>
      <c r="L346" s="18">
        <v>1</v>
      </c>
      <c r="O346" s="29">
        <v>0</v>
      </c>
      <c r="P346" s="18" t="s">
        <v>1107</v>
      </c>
      <c r="Q346" s="18">
        <v>0</v>
      </c>
      <c r="X346" s="3">
        <v>2</v>
      </c>
      <c r="Z346" s="23">
        <v>3.5</v>
      </c>
      <c r="AB346" s="18">
        <f t="shared" si="10"/>
        <v>2022</v>
      </c>
      <c r="AC346" s="22">
        <f t="shared" si="11"/>
        <v>0.4</v>
      </c>
    </row>
    <row r="347" spans="1:29">
      <c r="A347" s="8" t="s">
        <v>15964</v>
      </c>
      <c r="B347" s="17" t="s">
        <v>13799</v>
      </c>
      <c r="C347" s="13">
        <v>44718</v>
      </c>
      <c r="D347" s="13" t="s">
        <v>8465</v>
      </c>
      <c r="E347" s="10" t="s">
        <v>9400</v>
      </c>
      <c r="F347" s="10" t="s">
        <v>9400</v>
      </c>
      <c r="H347" s="2" t="s">
        <v>21</v>
      </c>
      <c r="L347" s="18">
        <v>1</v>
      </c>
      <c r="O347" s="29">
        <v>0</v>
      </c>
      <c r="P347" s="18" t="s">
        <v>1107</v>
      </c>
      <c r="Q347" s="18">
        <v>0</v>
      </c>
      <c r="X347" s="3">
        <v>2</v>
      </c>
      <c r="Z347" s="23">
        <v>1</v>
      </c>
      <c r="AB347" s="18">
        <f t="shared" si="10"/>
        <v>2022</v>
      </c>
      <c r="AC347" s="22">
        <f t="shared" si="11"/>
        <v>0.4</v>
      </c>
    </row>
    <row r="348" spans="1:29">
      <c r="A348" s="8" t="s">
        <v>14793</v>
      </c>
      <c r="B348" s="17" t="s">
        <v>7800</v>
      </c>
      <c r="C348" s="13">
        <v>44716</v>
      </c>
      <c r="D348" s="13" t="s">
        <v>8465</v>
      </c>
      <c r="E348" s="10" t="s">
        <v>14794</v>
      </c>
      <c r="F348" s="10" t="s">
        <v>14795</v>
      </c>
      <c r="H348" s="2" t="s">
        <v>67</v>
      </c>
      <c r="L348" s="18">
        <v>1</v>
      </c>
      <c r="N348" s="13">
        <v>45065</v>
      </c>
      <c r="O348" s="29">
        <v>5.99</v>
      </c>
      <c r="P348" s="18" t="s">
        <v>1107</v>
      </c>
      <c r="Q348" s="18">
        <v>0</v>
      </c>
      <c r="W348" s="14" t="s">
        <v>7777</v>
      </c>
      <c r="X348" s="3">
        <v>2</v>
      </c>
      <c r="Z348" s="23">
        <v>4.5</v>
      </c>
      <c r="AB348" s="18">
        <f t="shared" si="10"/>
        <v>2022</v>
      </c>
      <c r="AC348" s="22">
        <f t="shared" si="11"/>
        <v>0.4</v>
      </c>
    </row>
    <row r="349" spans="1:29">
      <c r="A349" s="8" t="s">
        <v>13612</v>
      </c>
      <c r="B349" s="17" t="s">
        <v>7744</v>
      </c>
      <c r="C349" s="13">
        <v>44714</v>
      </c>
      <c r="D349" s="13" t="s">
        <v>8463</v>
      </c>
      <c r="E349" s="10" t="s">
        <v>5992</v>
      </c>
      <c r="F349" s="10" t="s">
        <v>15439</v>
      </c>
      <c r="H349" s="2" t="s">
        <v>1057</v>
      </c>
      <c r="K349" s="18">
        <v>2</v>
      </c>
      <c r="L349" s="18">
        <v>1</v>
      </c>
      <c r="M349" s="14" t="s">
        <v>8462</v>
      </c>
      <c r="N349" s="13">
        <v>44982</v>
      </c>
      <c r="O349" s="29">
        <v>34.99</v>
      </c>
      <c r="P349" s="18" t="s">
        <v>14</v>
      </c>
      <c r="Q349" s="18">
        <v>0</v>
      </c>
      <c r="V349" s="22">
        <f>3.6/5</f>
        <v>0.72</v>
      </c>
      <c r="X349" s="3">
        <v>2</v>
      </c>
      <c r="Z349" s="23">
        <v>5</v>
      </c>
      <c r="AB349" s="18">
        <f t="shared" si="10"/>
        <v>2022</v>
      </c>
      <c r="AC349" s="22">
        <f t="shared" si="11"/>
        <v>0.56000000000000005</v>
      </c>
    </row>
    <row r="350" spans="1:29">
      <c r="A350" s="8" t="s">
        <v>15958</v>
      </c>
      <c r="B350" s="17" t="s">
        <v>13799</v>
      </c>
      <c r="C350" s="13">
        <v>44711</v>
      </c>
      <c r="D350" s="13" t="s">
        <v>8465</v>
      </c>
      <c r="E350" s="10" t="s">
        <v>15959</v>
      </c>
      <c r="F350" s="10" t="s">
        <v>15959</v>
      </c>
      <c r="H350" s="2" t="s">
        <v>75</v>
      </c>
      <c r="L350" s="18">
        <v>1</v>
      </c>
      <c r="O350" s="29">
        <v>0</v>
      </c>
      <c r="P350" s="18" t="s">
        <v>1107</v>
      </c>
      <c r="Q350" s="18">
        <v>0</v>
      </c>
      <c r="X350" s="3">
        <v>2</v>
      </c>
      <c r="Z350" s="23">
        <v>1</v>
      </c>
      <c r="AB350" s="18">
        <f t="shared" si="10"/>
        <v>2022</v>
      </c>
      <c r="AC350" s="22">
        <f t="shared" si="11"/>
        <v>0.4</v>
      </c>
    </row>
    <row r="351" spans="1:29">
      <c r="A351" s="8" t="s">
        <v>13975</v>
      </c>
      <c r="B351" s="17" t="s">
        <v>7800</v>
      </c>
      <c r="C351" s="13">
        <v>44709</v>
      </c>
      <c r="D351" s="13" t="s">
        <v>8465</v>
      </c>
      <c r="E351" s="10" t="s">
        <v>13976</v>
      </c>
      <c r="F351" s="10" t="s">
        <v>13977</v>
      </c>
      <c r="H351" s="2" t="s">
        <v>1050</v>
      </c>
      <c r="L351" s="18">
        <v>1</v>
      </c>
      <c r="N351" s="13">
        <v>45014</v>
      </c>
      <c r="O351" s="29">
        <v>18</v>
      </c>
      <c r="P351" s="18" t="s">
        <v>1107</v>
      </c>
      <c r="Q351" s="18">
        <v>0</v>
      </c>
      <c r="U351" s="22">
        <v>0.82</v>
      </c>
      <c r="V351" s="22">
        <f>3.92/5</f>
        <v>0.78400000000000003</v>
      </c>
      <c r="W351" s="14" t="s">
        <v>7777</v>
      </c>
      <c r="X351" s="3">
        <v>4</v>
      </c>
      <c r="Z351" s="23">
        <v>22.5</v>
      </c>
      <c r="AB351" s="18">
        <f t="shared" si="10"/>
        <v>2022</v>
      </c>
      <c r="AC351" s="22">
        <f t="shared" si="11"/>
        <v>0.80133333333333334</v>
      </c>
    </row>
    <row r="352" spans="1:29">
      <c r="A352" s="8" t="s">
        <v>11970</v>
      </c>
      <c r="B352" s="17" t="s">
        <v>7800</v>
      </c>
      <c r="C352" s="13">
        <v>44708</v>
      </c>
      <c r="D352" s="13" t="s">
        <v>8465</v>
      </c>
      <c r="E352" s="10" t="s">
        <v>5141</v>
      </c>
      <c r="F352" s="10" t="s">
        <v>5141</v>
      </c>
      <c r="G352" s="11" t="s">
        <v>11970</v>
      </c>
      <c r="H352" s="2" t="s">
        <v>1040</v>
      </c>
      <c r="L352" s="18">
        <v>1</v>
      </c>
      <c r="N352" s="13">
        <v>45050</v>
      </c>
      <c r="O352" s="29">
        <v>0</v>
      </c>
      <c r="P352" s="18" t="s">
        <v>1107</v>
      </c>
      <c r="Q352" s="18">
        <v>0</v>
      </c>
      <c r="U352" s="22">
        <v>0.69</v>
      </c>
      <c r="V352" s="22">
        <f>3.42/5</f>
        <v>0.68399999999999994</v>
      </c>
      <c r="W352" s="14" t="s">
        <v>7777</v>
      </c>
      <c r="X352" s="3">
        <v>3</v>
      </c>
      <c r="Z352" s="23">
        <v>6</v>
      </c>
      <c r="AB352" s="18">
        <f t="shared" si="10"/>
        <v>2022</v>
      </c>
      <c r="AC352" s="22">
        <f t="shared" si="11"/>
        <v>0.65799999999999992</v>
      </c>
    </row>
    <row r="353" spans="1:29" ht="25.5">
      <c r="A353" s="8" t="s">
        <v>11466</v>
      </c>
      <c r="B353" s="17" t="s">
        <v>7744</v>
      </c>
      <c r="C353" s="13">
        <v>44705</v>
      </c>
      <c r="D353" s="13" t="s">
        <v>8465</v>
      </c>
      <c r="E353" s="10" t="s">
        <v>11735</v>
      </c>
      <c r="F353" s="10" t="s">
        <v>1471</v>
      </c>
      <c r="G353" s="11" t="s">
        <v>11736</v>
      </c>
      <c r="H353" s="2" t="s">
        <v>1059</v>
      </c>
      <c r="L353" s="18">
        <v>1</v>
      </c>
      <c r="M353" s="14" t="s">
        <v>8462</v>
      </c>
      <c r="N353" s="13">
        <v>44641</v>
      </c>
      <c r="O353" s="29">
        <v>65.16</v>
      </c>
      <c r="P353" s="18" t="s">
        <v>14</v>
      </c>
      <c r="Q353" s="18">
        <v>0</v>
      </c>
      <c r="U353" s="22">
        <v>0.68</v>
      </c>
      <c r="V353" s="22">
        <f>4.23/5</f>
        <v>0.84600000000000009</v>
      </c>
      <c r="X353" s="3">
        <v>3</v>
      </c>
      <c r="Z353" s="23">
        <v>21</v>
      </c>
      <c r="AB353" s="18">
        <f t="shared" si="10"/>
        <v>2022</v>
      </c>
      <c r="AC353" s="22">
        <f t="shared" si="11"/>
        <v>0.70866666666666678</v>
      </c>
    </row>
    <row r="354" spans="1:29">
      <c r="A354" s="8" t="s">
        <v>13479</v>
      </c>
      <c r="B354" s="17" t="s">
        <v>7800</v>
      </c>
      <c r="C354" s="13">
        <v>44705</v>
      </c>
      <c r="D354" s="13" t="s">
        <v>8465</v>
      </c>
      <c r="E354" s="10" t="s">
        <v>13480</v>
      </c>
      <c r="F354" s="10" t="s">
        <v>13480</v>
      </c>
      <c r="H354" s="2" t="s">
        <v>67</v>
      </c>
      <c r="L354" s="18">
        <v>1</v>
      </c>
      <c r="N354" s="13">
        <v>44965</v>
      </c>
      <c r="O354" s="29">
        <v>0</v>
      </c>
      <c r="P354" s="18" t="s">
        <v>1107</v>
      </c>
      <c r="Q354" s="18">
        <v>0</v>
      </c>
      <c r="V354" s="22">
        <f>4.5/5</f>
        <v>0.9</v>
      </c>
      <c r="W354" s="14" t="s">
        <v>7777</v>
      </c>
      <c r="X354" s="3">
        <v>2</v>
      </c>
      <c r="Z354" s="23">
        <v>5</v>
      </c>
      <c r="AB354" s="18">
        <f t="shared" si="10"/>
        <v>2022</v>
      </c>
      <c r="AC354" s="22">
        <f t="shared" si="11"/>
        <v>0.65</v>
      </c>
    </row>
    <row r="355" spans="1:29">
      <c r="A355" s="8" t="s">
        <v>15956</v>
      </c>
      <c r="B355" s="17" t="s">
        <v>13799</v>
      </c>
      <c r="C355" s="13">
        <v>44704</v>
      </c>
      <c r="D355" s="13" t="s">
        <v>8465</v>
      </c>
      <c r="E355" s="10" t="s">
        <v>15957</v>
      </c>
      <c r="F355" s="10" t="s">
        <v>15957</v>
      </c>
      <c r="H355" s="2" t="s">
        <v>3937</v>
      </c>
      <c r="L355" s="18">
        <v>1</v>
      </c>
      <c r="O355" s="29">
        <v>0</v>
      </c>
      <c r="P355" s="18" t="s">
        <v>1107</v>
      </c>
      <c r="Q355" s="18">
        <v>0</v>
      </c>
      <c r="X355" s="3">
        <v>3</v>
      </c>
      <c r="Z355" s="23">
        <v>1.5</v>
      </c>
      <c r="AB355" s="18">
        <f t="shared" si="10"/>
        <v>2022</v>
      </c>
      <c r="AC355" s="22">
        <f t="shared" si="11"/>
        <v>0.6</v>
      </c>
    </row>
    <row r="356" spans="1:29" ht="38.25">
      <c r="A356" s="8" t="s">
        <v>11720</v>
      </c>
      <c r="B356" s="17" t="s">
        <v>7744</v>
      </c>
      <c r="C356" s="13">
        <v>44701</v>
      </c>
      <c r="D356" s="13" t="s">
        <v>8465</v>
      </c>
      <c r="E356" s="10" t="s">
        <v>7971</v>
      </c>
      <c r="F356" s="10" t="s">
        <v>463</v>
      </c>
      <c r="G356" s="11" t="s">
        <v>443</v>
      </c>
      <c r="H356" s="2" t="s">
        <v>21</v>
      </c>
      <c r="L356" s="18">
        <v>1</v>
      </c>
      <c r="M356" s="14" t="s">
        <v>8462</v>
      </c>
      <c r="N356" s="13">
        <v>44629</v>
      </c>
      <c r="O356" s="29">
        <v>43.44</v>
      </c>
      <c r="P356" s="18" t="s">
        <v>14</v>
      </c>
      <c r="Q356" s="18">
        <v>0</v>
      </c>
      <c r="U356" s="22">
        <v>0.81</v>
      </c>
      <c r="V356" s="22">
        <f>4.09/5</f>
        <v>0.81799999999999995</v>
      </c>
      <c r="X356" s="3">
        <v>3</v>
      </c>
      <c r="Z356" s="23">
        <f>47/60</f>
        <v>0.78333333333333333</v>
      </c>
      <c r="AB356" s="18">
        <f t="shared" si="10"/>
        <v>2022</v>
      </c>
      <c r="AC356" s="22">
        <f t="shared" si="11"/>
        <v>0.7426666666666667</v>
      </c>
    </row>
    <row r="357" spans="1:29">
      <c r="A357" s="8" t="s">
        <v>13109</v>
      </c>
      <c r="B357" s="17" t="s">
        <v>7760</v>
      </c>
      <c r="C357" s="13">
        <v>44701</v>
      </c>
      <c r="D357" s="13" t="s">
        <v>8465</v>
      </c>
      <c r="E357" s="10" t="s">
        <v>1163</v>
      </c>
      <c r="F357" s="10" t="s">
        <v>13240</v>
      </c>
      <c r="H357" s="2" t="s">
        <v>171</v>
      </c>
      <c r="L357" s="18">
        <v>1</v>
      </c>
      <c r="M357" s="14" t="s">
        <v>8462</v>
      </c>
      <c r="N357" s="13">
        <v>44928</v>
      </c>
      <c r="O357" s="29">
        <v>8.68</v>
      </c>
      <c r="P357" s="18" t="s">
        <v>14</v>
      </c>
      <c r="Q357" s="18">
        <v>0</v>
      </c>
      <c r="V357" s="22">
        <f>3.17/5</f>
        <v>0.63400000000000001</v>
      </c>
      <c r="X357" s="3">
        <v>2</v>
      </c>
      <c r="Z357" s="23">
        <v>10</v>
      </c>
      <c r="AB357" s="18">
        <f t="shared" si="10"/>
        <v>2022</v>
      </c>
      <c r="AC357" s="22">
        <f t="shared" si="11"/>
        <v>0.51700000000000002</v>
      </c>
    </row>
    <row r="358" spans="1:29">
      <c r="A358" s="8" t="s">
        <v>14643</v>
      </c>
      <c r="B358" s="17" t="s">
        <v>7800</v>
      </c>
      <c r="C358" s="13">
        <v>44701</v>
      </c>
      <c r="D358" s="13" t="s">
        <v>8465</v>
      </c>
      <c r="E358" s="10" t="s">
        <v>14644</v>
      </c>
      <c r="F358" s="10" t="s">
        <v>14645</v>
      </c>
      <c r="H358" s="2" t="s">
        <v>1334</v>
      </c>
      <c r="L358" s="18">
        <v>1</v>
      </c>
      <c r="N358" s="13">
        <v>45051</v>
      </c>
      <c r="O358" s="29">
        <v>0</v>
      </c>
      <c r="P358" s="18" t="s">
        <v>1107</v>
      </c>
      <c r="Q358" s="18">
        <v>0</v>
      </c>
      <c r="W358" s="14" t="s">
        <v>7777</v>
      </c>
      <c r="X358" s="3">
        <v>2</v>
      </c>
      <c r="AB358" s="18">
        <f t="shared" si="10"/>
        <v>2022</v>
      </c>
      <c r="AC358" s="22">
        <f t="shared" si="11"/>
        <v>0.4</v>
      </c>
    </row>
    <row r="359" spans="1:29" ht="38.25">
      <c r="A359" s="8" t="s">
        <v>13131</v>
      </c>
      <c r="B359" s="17" t="s">
        <v>9431</v>
      </c>
      <c r="C359" s="13">
        <v>44700</v>
      </c>
      <c r="D359" s="13" t="s">
        <v>8465</v>
      </c>
      <c r="E359" s="10" t="s">
        <v>9552</v>
      </c>
      <c r="F359" s="10" t="s">
        <v>13132</v>
      </c>
      <c r="G359" s="11" t="s">
        <v>5497</v>
      </c>
      <c r="H359" s="2" t="s">
        <v>171</v>
      </c>
      <c r="L359" s="18">
        <v>1</v>
      </c>
      <c r="M359" s="14" t="s">
        <v>8462</v>
      </c>
      <c r="N359" s="13">
        <v>44926</v>
      </c>
      <c r="O359" s="29">
        <v>17.97</v>
      </c>
      <c r="P359" s="18" t="s">
        <v>14</v>
      </c>
      <c r="Q359" s="18">
        <v>0</v>
      </c>
      <c r="U359" s="22">
        <v>0.64</v>
      </c>
      <c r="V359" s="22">
        <f>4.25/5</f>
        <v>0.85</v>
      </c>
      <c r="X359" s="3">
        <v>2</v>
      </c>
      <c r="Z359" s="23">
        <v>14.5</v>
      </c>
      <c r="AB359" s="18">
        <f t="shared" si="10"/>
        <v>2022</v>
      </c>
      <c r="AC359" s="22">
        <f t="shared" si="11"/>
        <v>0.63</v>
      </c>
    </row>
    <row r="360" spans="1:29">
      <c r="A360" s="8" t="s">
        <v>16073</v>
      </c>
      <c r="B360" s="17" t="s">
        <v>7800</v>
      </c>
      <c r="C360" s="13">
        <v>44700</v>
      </c>
      <c r="D360" s="13" t="s">
        <v>8465</v>
      </c>
      <c r="E360" s="10" t="s">
        <v>13633</v>
      </c>
      <c r="F360" s="10" t="s">
        <v>16074</v>
      </c>
      <c r="H360" s="2" t="s">
        <v>67</v>
      </c>
      <c r="L360" s="18">
        <v>1</v>
      </c>
      <c r="N360" s="13">
        <v>45218</v>
      </c>
      <c r="O360" s="29">
        <v>0</v>
      </c>
      <c r="P360" s="18" t="s">
        <v>1107</v>
      </c>
      <c r="Q360" s="18">
        <v>0</v>
      </c>
      <c r="U360" s="22">
        <v>0.73</v>
      </c>
      <c r="V360" s="22">
        <f>3.67/5</f>
        <v>0.73399999999999999</v>
      </c>
      <c r="W360" s="14" t="s">
        <v>7097</v>
      </c>
      <c r="X360" s="3">
        <v>2</v>
      </c>
      <c r="Z360" s="23">
        <v>7</v>
      </c>
      <c r="AB360" s="18">
        <f t="shared" si="10"/>
        <v>2022</v>
      </c>
      <c r="AC360" s="22">
        <f t="shared" si="11"/>
        <v>0.62133333333333329</v>
      </c>
    </row>
    <row r="361" spans="1:29">
      <c r="A361" s="8" t="s">
        <v>15954</v>
      </c>
      <c r="B361" s="17" t="s">
        <v>13799</v>
      </c>
      <c r="C361" s="13">
        <v>44697</v>
      </c>
      <c r="D361" s="13" t="s">
        <v>8465</v>
      </c>
      <c r="E361" s="10" t="s">
        <v>15955</v>
      </c>
      <c r="F361" s="10" t="s">
        <v>15955</v>
      </c>
      <c r="H361" s="2" t="s">
        <v>67</v>
      </c>
      <c r="L361" s="18">
        <v>1</v>
      </c>
      <c r="O361" s="29">
        <v>0</v>
      </c>
      <c r="P361" s="18" t="s">
        <v>1107</v>
      </c>
      <c r="Q361" s="18">
        <v>0</v>
      </c>
      <c r="X361" s="3">
        <v>3</v>
      </c>
      <c r="Z361" s="23">
        <v>1.5</v>
      </c>
      <c r="AB361" s="18">
        <f t="shared" si="10"/>
        <v>2022</v>
      </c>
      <c r="AC361" s="22">
        <f t="shared" si="11"/>
        <v>0.6</v>
      </c>
    </row>
    <row r="362" spans="1:29">
      <c r="A362" s="8" t="s">
        <v>11051</v>
      </c>
      <c r="B362" s="17" t="s">
        <v>7744</v>
      </c>
      <c r="C362" s="13">
        <v>44693</v>
      </c>
      <c r="D362" s="13" t="s">
        <v>9335</v>
      </c>
      <c r="E362" s="10" t="s">
        <v>7523</v>
      </c>
      <c r="F362" s="10" t="s">
        <v>3861</v>
      </c>
      <c r="G362" s="11" t="s">
        <v>9103</v>
      </c>
      <c r="H362" s="2" t="s">
        <v>149</v>
      </c>
      <c r="K362" s="18">
        <v>2</v>
      </c>
      <c r="L362" s="18">
        <v>1</v>
      </c>
      <c r="M362" s="14" t="s">
        <v>8462</v>
      </c>
      <c r="N362" s="13">
        <v>44575</v>
      </c>
      <c r="O362" s="29">
        <v>45.89</v>
      </c>
      <c r="P362" s="18" t="s">
        <v>14</v>
      </c>
      <c r="Q362" s="18">
        <v>0</v>
      </c>
      <c r="U362" s="22">
        <v>0.62</v>
      </c>
      <c r="V362" s="22">
        <f>4/5</f>
        <v>0.8</v>
      </c>
      <c r="X362" s="3">
        <v>3</v>
      </c>
      <c r="Z362" s="23">
        <v>12</v>
      </c>
      <c r="AB362" s="18">
        <f t="shared" si="10"/>
        <v>2022</v>
      </c>
      <c r="AC362" s="22">
        <f t="shared" si="11"/>
        <v>0.67333333333333334</v>
      </c>
    </row>
    <row r="363" spans="1:29" ht="25.5">
      <c r="A363" s="8" t="s">
        <v>15852</v>
      </c>
      <c r="B363" s="17" t="s">
        <v>7800</v>
      </c>
      <c r="C363" s="13">
        <v>44693</v>
      </c>
      <c r="D363" s="13" t="s">
        <v>8465</v>
      </c>
      <c r="E363" s="10" t="s">
        <v>15853</v>
      </c>
      <c r="F363" s="10" t="s">
        <v>15853</v>
      </c>
      <c r="H363" s="2" t="s">
        <v>1518</v>
      </c>
      <c r="L363" s="18">
        <v>1</v>
      </c>
      <c r="N363" s="13">
        <v>45192</v>
      </c>
      <c r="O363" s="29">
        <v>0</v>
      </c>
      <c r="P363" s="18" t="s">
        <v>1107</v>
      </c>
      <c r="Q363" s="18">
        <v>0</v>
      </c>
      <c r="V363" s="22">
        <f>3/5</f>
        <v>0.6</v>
      </c>
      <c r="W363" s="14" t="s">
        <v>7799</v>
      </c>
      <c r="X363" s="3">
        <v>2</v>
      </c>
      <c r="Z363" s="23">
        <v>1</v>
      </c>
      <c r="AB363" s="18">
        <f t="shared" si="10"/>
        <v>2022</v>
      </c>
      <c r="AC363" s="22">
        <f t="shared" si="11"/>
        <v>0.5</v>
      </c>
    </row>
    <row r="364" spans="1:29">
      <c r="A364" s="8" t="s">
        <v>13341</v>
      </c>
      <c r="B364" s="17" t="s">
        <v>7800</v>
      </c>
      <c r="C364" s="13">
        <v>44692</v>
      </c>
      <c r="D364" s="13" t="s">
        <v>8465</v>
      </c>
      <c r="E364" s="10" t="s">
        <v>8331</v>
      </c>
      <c r="F364" s="10" t="s">
        <v>13342</v>
      </c>
      <c r="H364" s="2" t="s">
        <v>1518</v>
      </c>
      <c r="L364" s="18">
        <v>1</v>
      </c>
      <c r="N364" s="13">
        <v>44946</v>
      </c>
      <c r="O364" s="29">
        <v>15</v>
      </c>
      <c r="P364" s="18" t="s">
        <v>1107</v>
      </c>
      <c r="Q364" s="18">
        <v>0</v>
      </c>
      <c r="U364" s="22">
        <v>0.67</v>
      </c>
      <c r="W364" s="14" t="s">
        <v>7777</v>
      </c>
      <c r="X364" s="3">
        <v>2</v>
      </c>
      <c r="Z364" s="23">
        <v>3</v>
      </c>
      <c r="AB364" s="18">
        <f t="shared" si="10"/>
        <v>2022</v>
      </c>
      <c r="AC364" s="22">
        <f t="shared" si="11"/>
        <v>0.53500000000000003</v>
      </c>
    </row>
    <row r="365" spans="1:29">
      <c r="A365" s="8" t="s">
        <v>15215</v>
      </c>
      <c r="B365" s="17" t="s">
        <v>7800</v>
      </c>
      <c r="C365" s="13">
        <v>44692</v>
      </c>
      <c r="D365" s="13" t="s">
        <v>8465</v>
      </c>
      <c r="E365" s="10" t="s">
        <v>15216</v>
      </c>
      <c r="F365" s="10" t="s">
        <v>15217</v>
      </c>
      <c r="H365" s="2" t="s">
        <v>80</v>
      </c>
      <c r="L365" s="18">
        <v>1</v>
      </c>
      <c r="N365" s="13">
        <v>45097</v>
      </c>
      <c r="O365" s="29">
        <v>0</v>
      </c>
      <c r="P365" s="18" t="s">
        <v>1107</v>
      </c>
      <c r="Q365" s="18">
        <v>0</v>
      </c>
      <c r="U365" s="22">
        <v>0.66</v>
      </c>
      <c r="V365" s="22">
        <f>3.25/5</f>
        <v>0.65</v>
      </c>
      <c r="W365" s="14" t="s">
        <v>7777</v>
      </c>
      <c r="X365" s="3">
        <v>2</v>
      </c>
      <c r="Z365" s="23">
        <v>16</v>
      </c>
      <c r="AB365" s="18">
        <f t="shared" si="10"/>
        <v>2022</v>
      </c>
      <c r="AC365" s="22">
        <f t="shared" si="11"/>
        <v>0.56999999999999995</v>
      </c>
    </row>
    <row r="366" spans="1:29" ht="89.25">
      <c r="A366" s="8" t="s">
        <v>11694</v>
      </c>
      <c r="B366" s="17" t="s">
        <v>7744</v>
      </c>
      <c r="C366" s="13">
        <v>44691</v>
      </c>
      <c r="D366" s="13" t="s">
        <v>8465</v>
      </c>
      <c r="E366" s="10" t="s">
        <v>1062</v>
      </c>
      <c r="F366" s="10" t="s">
        <v>2285</v>
      </c>
      <c r="G366" s="11" t="s">
        <v>12384</v>
      </c>
      <c r="H366" s="2" t="s">
        <v>6510</v>
      </c>
      <c r="L366" s="18">
        <v>1</v>
      </c>
      <c r="M366" s="14" t="s">
        <v>8462</v>
      </c>
      <c r="N366" s="13">
        <v>44479</v>
      </c>
      <c r="O366" s="29">
        <v>65.16</v>
      </c>
      <c r="P366" s="18" t="s">
        <v>14</v>
      </c>
      <c r="Q366" s="18">
        <v>0</v>
      </c>
      <c r="U366" s="22">
        <v>0.77</v>
      </c>
      <c r="V366" s="22">
        <f>3.5/5</f>
        <v>0.7</v>
      </c>
      <c r="W366" s="14" t="s">
        <v>10168</v>
      </c>
      <c r="X366" s="3">
        <v>3</v>
      </c>
      <c r="Z366" s="23">
        <f>25.5+26.5</f>
        <v>52</v>
      </c>
      <c r="AB366" s="18">
        <f t="shared" si="10"/>
        <v>2022</v>
      </c>
      <c r="AC366" s="22">
        <f t="shared" si="11"/>
        <v>0.69</v>
      </c>
    </row>
    <row r="367" spans="1:29">
      <c r="A367" s="8" t="s">
        <v>15952</v>
      </c>
      <c r="B367" s="17" t="s">
        <v>13799</v>
      </c>
      <c r="C367" s="13">
        <v>44690</v>
      </c>
      <c r="D367" s="13" t="s">
        <v>8465</v>
      </c>
      <c r="E367" s="10" t="s">
        <v>15953</v>
      </c>
      <c r="F367" s="10" t="s">
        <v>15953</v>
      </c>
      <c r="H367" s="2" t="s">
        <v>78</v>
      </c>
      <c r="L367" s="18">
        <v>1</v>
      </c>
      <c r="O367" s="29">
        <v>0</v>
      </c>
      <c r="P367" s="18" t="s">
        <v>1107</v>
      </c>
      <c r="Q367" s="18">
        <v>0</v>
      </c>
      <c r="X367" s="3">
        <v>2</v>
      </c>
      <c r="Z367" s="23">
        <v>5.5</v>
      </c>
      <c r="AB367" s="18">
        <f t="shared" si="10"/>
        <v>2022</v>
      </c>
      <c r="AC367" s="22">
        <f t="shared" si="11"/>
        <v>0.4</v>
      </c>
    </row>
    <row r="368" spans="1:29">
      <c r="A368" s="8" t="s">
        <v>13032</v>
      </c>
      <c r="B368" s="17" t="s">
        <v>7800</v>
      </c>
      <c r="C368" s="13">
        <v>44686</v>
      </c>
      <c r="D368" s="13" t="s">
        <v>8465</v>
      </c>
      <c r="E368" s="10" t="s">
        <v>4063</v>
      </c>
      <c r="F368" s="10" t="s">
        <v>9900</v>
      </c>
      <c r="G368" s="11" t="s">
        <v>13032</v>
      </c>
      <c r="H368" s="2" t="s">
        <v>1720</v>
      </c>
      <c r="L368" s="18">
        <v>1</v>
      </c>
      <c r="N368" s="13">
        <v>44922</v>
      </c>
      <c r="O368" s="29">
        <v>13.99</v>
      </c>
      <c r="P368" s="18" t="s">
        <v>1107</v>
      </c>
      <c r="Q368" s="18">
        <v>0</v>
      </c>
      <c r="U368" s="22">
        <v>0.82</v>
      </c>
      <c r="V368" s="22">
        <f>3.27/5</f>
        <v>0.65400000000000003</v>
      </c>
      <c r="W368" s="14" t="s">
        <v>7777</v>
      </c>
      <c r="X368" s="3">
        <v>4</v>
      </c>
      <c r="Z368" s="23">
        <v>6</v>
      </c>
      <c r="AB368" s="18">
        <f t="shared" si="10"/>
        <v>2022</v>
      </c>
      <c r="AC368" s="22">
        <f t="shared" si="11"/>
        <v>0.75800000000000001</v>
      </c>
    </row>
    <row r="369" spans="1:29">
      <c r="A369" s="8" t="s">
        <v>15032</v>
      </c>
      <c r="B369" s="17" t="s">
        <v>9431</v>
      </c>
      <c r="C369" s="13">
        <v>44686</v>
      </c>
      <c r="D369" s="13" t="s">
        <v>8465</v>
      </c>
      <c r="E369" s="10" t="s">
        <v>3063</v>
      </c>
      <c r="F369" s="10" t="s">
        <v>4087</v>
      </c>
      <c r="H369" s="2" t="s">
        <v>80</v>
      </c>
      <c r="L369" s="18">
        <v>1</v>
      </c>
      <c r="N369" s="13">
        <v>45083</v>
      </c>
      <c r="O369" s="29">
        <v>0</v>
      </c>
      <c r="P369" s="18" t="s">
        <v>1107</v>
      </c>
      <c r="Q369" s="18">
        <v>0</v>
      </c>
      <c r="U369" s="22">
        <v>0.69</v>
      </c>
      <c r="V369" s="22">
        <f>3.43/5</f>
        <v>0.68600000000000005</v>
      </c>
      <c r="W369" s="14" t="s">
        <v>6072</v>
      </c>
      <c r="X369" s="3">
        <v>3</v>
      </c>
      <c r="Z369" s="23">
        <v>5</v>
      </c>
      <c r="AB369" s="18">
        <f t="shared" si="10"/>
        <v>2022</v>
      </c>
      <c r="AC369" s="22">
        <f t="shared" si="11"/>
        <v>0.65866666666666662</v>
      </c>
    </row>
    <row r="370" spans="1:29">
      <c r="A370" s="8" t="s">
        <v>11281</v>
      </c>
      <c r="B370" s="17" t="s">
        <v>7744</v>
      </c>
      <c r="C370" s="13">
        <v>44680</v>
      </c>
      <c r="D370" s="13" t="s">
        <v>8465</v>
      </c>
      <c r="E370" s="10" t="s">
        <v>86</v>
      </c>
      <c r="F370" s="10" t="s">
        <v>1138</v>
      </c>
      <c r="G370" s="11" t="s">
        <v>966</v>
      </c>
      <c r="H370" s="2" t="s">
        <v>255</v>
      </c>
      <c r="L370" s="18">
        <v>1</v>
      </c>
      <c r="M370" s="14" t="s">
        <v>8462</v>
      </c>
      <c r="N370" s="13">
        <v>44617</v>
      </c>
      <c r="O370" s="29">
        <v>54.3</v>
      </c>
      <c r="P370" s="18" t="s">
        <v>14</v>
      </c>
      <c r="Q370" s="18">
        <v>0</v>
      </c>
      <c r="U370" s="22">
        <v>0.74</v>
      </c>
      <c r="V370" s="22">
        <f>3.46/5</f>
        <v>0.69199999999999995</v>
      </c>
      <c r="W370" s="14" t="s">
        <v>11687</v>
      </c>
      <c r="X370" s="3">
        <v>3</v>
      </c>
      <c r="Z370" s="23">
        <v>3</v>
      </c>
      <c r="AB370" s="18">
        <f t="shared" si="10"/>
        <v>2022</v>
      </c>
      <c r="AC370" s="22">
        <f t="shared" si="11"/>
        <v>0.67733333333333334</v>
      </c>
    </row>
    <row r="371" spans="1:29" ht="25.5">
      <c r="A371" s="8" t="s">
        <v>14091</v>
      </c>
      <c r="B371" s="17" t="s">
        <v>7800</v>
      </c>
      <c r="C371" s="13">
        <v>44680</v>
      </c>
      <c r="D371" s="13" t="s">
        <v>8465</v>
      </c>
      <c r="E371" s="10" t="s">
        <v>14092</v>
      </c>
      <c r="F371" s="10" t="s">
        <v>14092</v>
      </c>
      <c r="H371" s="2" t="s">
        <v>67</v>
      </c>
      <c r="L371" s="18">
        <v>1</v>
      </c>
      <c r="O371" s="29">
        <v>0</v>
      </c>
      <c r="P371" s="18" t="s">
        <v>1107</v>
      </c>
      <c r="Q371" s="18">
        <v>0</v>
      </c>
      <c r="V371" s="22">
        <f>3.5/5</f>
        <v>0.7</v>
      </c>
      <c r="W371" s="14" t="s">
        <v>8765</v>
      </c>
      <c r="X371" s="3">
        <v>2</v>
      </c>
      <c r="AB371" s="18">
        <f t="shared" si="10"/>
        <v>2022</v>
      </c>
      <c r="AC371" s="22">
        <f t="shared" si="11"/>
        <v>0.55000000000000004</v>
      </c>
    </row>
    <row r="372" spans="1:29" ht="25.5">
      <c r="A372" s="8" t="s">
        <v>12952</v>
      </c>
      <c r="B372" s="17" t="s">
        <v>7744</v>
      </c>
      <c r="C372" s="13">
        <v>44679</v>
      </c>
      <c r="D372" s="13" t="s">
        <v>8463</v>
      </c>
      <c r="E372" s="10" t="s">
        <v>3136</v>
      </c>
      <c r="F372" s="10" t="s">
        <v>12953</v>
      </c>
      <c r="H372" s="2" t="s">
        <v>80</v>
      </c>
      <c r="K372" s="18">
        <v>2</v>
      </c>
      <c r="L372" s="18">
        <v>1</v>
      </c>
      <c r="M372" s="14" t="s">
        <v>8462</v>
      </c>
      <c r="N372" s="13">
        <v>44757</v>
      </c>
      <c r="O372" s="29">
        <v>39.99</v>
      </c>
      <c r="P372" s="18" t="s">
        <v>14</v>
      </c>
      <c r="Q372" s="18">
        <v>0</v>
      </c>
      <c r="V372" s="22">
        <f>4.63/5</f>
        <v>0.92599999999999993</v>
      </c>
      <c r="X372" s="3">
        <v>3</v>
      </c>
      <c r="Z372" s="23">
        <v>4</v>
      </c>
      <c r="AB372" s="18">
        <f t="shared" si="10"/>
        <v>2022</v>
      </c>
      <c r="AC372" s="22">
        <f t="shared" si="11"/>
        <v>0.7629999999999999</v>
      </c>
    </row>
    <row r="373" spans="1:29" ht="25.5">
      <c r="A373" s="8" t="s">
        <v>9718</v>
      </c>
      <c r="B373" s="17" t="s">
        <v>7800</v>
      </c>
      <c r="C373" s="13">
        <v>44677</v>
      </c>
      <c r="D373" s="13" t="s">
        <v>8465</v>
      </c>
      <c r="E373" s="10" t="s">
        <v>5318</v>
      </c>
      <c r="F373" s="10" t="s">
        <v>5318</v>
      </c>
      <c r="H373" s="2" t="s">
        <v>3937</v>
      </c>
      <c r="L373" s="18">
        <v>1</v>
      </c>
      <c r="N373" s="13">
        <v>44121</v>
      </c>
      <c r="O373" s="29">
        <v>26.46</v>
      </c>
      <c r="P373" s="18" t="s">
        <v>1107</v>
      </c>
      <c r="Q373" s="18">
        <v>0</v>
      </c>
      <c r="U373" s="22">
        <v>0.76</v>
      </c>
      <c r="V373" s="22">
        <f>3.83/5</f>
        <v>0.76600000000000001</v>
      </c>
      <c r="W373" s="14" t="s">
        <v>7777</v>
      </c>
      <c r="X373" s="3">
        <v>4</v>
      </c>
      <c r="Z373" s="23">
        <v>27</v>
      </c>
      <c r="AB373" s="18">
        <f t="shared" si="10"/>
        <v>2022</v>
      </c>
      <c r="AC373" s="22">
        <f t="shared" si="11"/>
        <v>0.77533333333333332</v>
      </c>
    </row>
    <row r="374" spans="1:29">
      <c r="A374" s="8" t="s">
        <v>13111</v>
      </c>
      <c r="B374" s="17" t="s">
        <v>7800</v>
      </c>
      <c r="C374" s="13">
        <v>44677</v>
      </c>
      <c r="D374" s="13" t="s">
        <v>8465</v>
      </c>
      <c r="E374" s="10" t="s">
        <v>1634</v>
      </c>
      <c r="F374" s="10" t="s">
        <v>13112</v>
      </c>
      <c r="H374" s="2" t="s">
        <v>80</v>
      </c>
      <c r="L374" s="18">
        <v>1</v>
      </c>
      <c r="N374" s="13">
        <v>44929</v>
      </c>
      <c r="O374" s="29">
        <v>12</v>
      </c>
      <c r="P374" s="18" t="s">
        <v>1107</v>
      </c>
      <c r="Q374" s="18">
        <v>0</v>
      </c>
      <c r="U374" s="22">
        <v>0.72</v>
      </c>
      <c r="W374" s="14" t="s">
        <v>7777</v>
      </c>
      <c r="X374" s="3">
        <v>2</v>
      </c>
      <c r="Z374" s="23">
        <v>3</v>
      </c>
      <c r="AB374" s="18">
        <f t="shared" si="10"/>
        <v>2022</v>
      </c>
      <c r="AC374" s="22">
        <f t="shared" si="11"/>
        <v>0.56000000000000005</v>
      </c>
    </row>
    <row r="375" spans="1:29" ht="25.5">
      <c r="A375" s="8" t="s">
        <v>13401</v>
      </c>
      <c r="B375" s="17" t="s">
        <v>7800</v>
      </c>
      <c r="C375" s="13">
        <v>44673</v>
      </c>
      <c r="D375" s="13" t="s">
        <v>8465</v>
      </c>
      <c r="E375" s="10" t="s">
        <v>13402</v>
      </c>
      <c r="F375" s="10" t="s">
        <v>13402</v>
      </c>
      <c r="H375" s="2" t="s">
        <v>1334</v>
      </c>
      <c r="L375" s="18">
        <v>1</v>
      </c>
      <c r="N375" s="13">
        <v>44595</v>
      </c>
      <c r="O375" s="29">
        <v>0</v>
      </c>
      <c r="P375" s="18" t="s">
        <v>1107</v>
      </c>
      <c r="Q375" s="18">
        <v>0</v>
      </c>
      <c r="W375" s="14" t="s">
        <v>7777</v>
      </c>
      <c r="X375" s="3">
        <v>2</v>
      </c>
      <c r="Z375" s="23">
        <v>22</v>
      </c>
      <c r="AB375" s="18">
        <f t="shared" si="10"/>
        <v>2022</v>
      </c>
      <c r="AC375" s="22">
        <f t="shared" si="11"/>
        <v>0.4</v>
      </c>
    </row>
    <row r="376" spans="1:29">
      <c r="A376" s="8" t="s">
        <v>14056</v>
      </c>
      <c r="B376" s="17" t="s">
        <v>7800</v>
      </c>
      <c r="C376" s="13">
        <v>44672</v>
      </c>
      <c r="D376" s="13" t="s">
        <v>8465</v>
      </c>
      <c r="E376" s="10" t="s">
        <v>3074</v>
      </c>
      <c r="F376" s="10" t="s">
        <v>14057</v>
      </c>
      <c r="H376" s="2" t="s">
        <v>56</v>
      </c>
      <c r="L376" s="18">
        <v>1</v>
      </c>
      <c r="N376" s="13">
        <v>45020</v>
      </c>
      <c r="O376" s="29">
        <v>12</v>
      </c>
      <c r="P376" s="18" t="s">
        <v>1107</v>
      </c>
      <c r="Q376" s="18">
        <v>0</v>
      </c>
      <c r="U376" s="22">
        <v>0.77</v>
      </c>
      <c r="W376" s="14" t="s">
        <v>7777</v>
      </c>
      <c r="X376" s="3">
        <v>3</v>
      </c>
      <c r="Z376" s="23">
        <v>10</v>
      </c>
      <c r="AB376" s="18">
        <f t="shared" si="10"/>
        <v>2022</v>
      </c>
      <c r="AC376" s="22">
        <f t="shared" si="11"/>
        <v>0.68500000000000005</v>
      </c>
    </row>
    <row r="377" spans="1:29" ht="38.25">
      <c r="A377" s="8" t="s">
        <v>11986</v>
      </c>
      <c r="B377" s="17" t="s">
        <v>7800</v>
      </c>
      <c r="C377" s="13">
        <v>44672</v>
      </c>
      <c r="D377" s="13" t="s">
        <v>8465</v>
      </c>
      <c r="E377" s="10" t="s">
        <v>11987</v>
      </c>
      <c r="F377" s="10" t="s">
        <v>11987</v>
      </c>
      <c r="G377" s="11" t="s">
        <v>5497</v>
      </c>
      <c r="H377" s="2" t="s">
        <v>1720</v>
      </c>
      <c r="L377" s="18">
        <v>1</v>
      </c>
      <c r="N377" s="13">
        <v>44723</v>
      </c>
      <c r="O377" s="29">
        <v>0</v>
      </c>
      <c r="P377" s="18" t="s">
        <v>1107</v>
      </c>
      <c r="Q377" s="18">
        <v>0</v>
      </c>
      <c r="W377" s="14" t="s">
        <v>7777</v>
      </c>
      <c r="X377" s="3">
        <v>3</v>
      </c>
      <c r="Z377" s="23">
        <f>55/60</f>
        <v>0.91666666666666663</v>
      </c>
      <c r="AB377" s="18">
        <f t="shared" si="10"/>
        <v>2022</v>
      </c>
      <c r="AC377" s="22">
        <f t="shared" si="11"/>
        <v>0.6</v>
      </c>
    </row>
    <row r="378" spans="1:29">
      <c r="A378" s="8" t="s">
        <v>11526</v>
      </c>
      <c r="B378" s="17" t="s">
        <v>7749</v>
      </c>
      <c r="C378" s="13">
        <v>44672</v>
      </c>
      <c r="D378" s="13" t="s">
        <v>8465</v>
      </c>
      <c r="E378" s="10" t="s">
        <v>11527</v>
      </c>
      <c r="F378" s="10" t="s">
        <v>11659</v>
      </c>
      <c r="H378" s="2" t="s">
        <v>75</v>
      </c>
      <c r="L378" s="18">
        <v>1</v>
      </c>
      <c r="M378" s="14" t="s">
        <v>8462</v>
      </c>
      <c r="N378" s="13">
        <v>44650</v>
      </c>
      <c r="O378" s="29">
        <v>39</v>
      </c>
      <c r="P378" s="18" t="s">
        <v>14</v>
      </c>
      <c r="Q378" s="18">
        <v>0</v>
      </c>
      <c r="V378" s="22">
        <f>2.4/5</f>
        <v>0.48</v>
      </c>
      <c r="X378" s="3">
        <v>3</v>
      </c>
      <c r="Z378" s="23">
        <f>33/60</f>
        <v>0.55000000000000004</v>
      </c>
      <c r="AB378" s="18">
        <f t="shared" si="10"/>
        <v>2022</v>
      </c>
      <c r="AC378" s="22">
        <f t="shared" si="11"/>
        <v>0.54</v>
      </c>
    </row>
    <row r="379" spans="1:29">
      <c r="A379" s="8" t="s">
        <v>12090</v>
      </c>
      <c r="B379" s="17" t="s">
        <v>7800</v>
      </c>
      <c r="C379" s="13">
        <v>44671</v>
      </c>
      <c r="D379" s="13" t="s">
        <v>8465</v>
      </c>
      <c r="E379" s="10" t="s">
        <v>12091</v>
      </c>
      <c r="F379" s="10" t="s">
        <v>12091</v>
      </c>
      <c r="H379" s="2" t="s">
        <v>1061</v>
      </c>
      <c r="L379" s="18">
        <v>1</v>
      </c>
      <c r="N379" s="13">
        <v>44744</v>
      </c>
      <c r="O379" s="29">
        <v>0</v>
      </c>
      <c r="P379" s="18" t="s">
        <v>1107</v>
      </c>
      <c r="Q379" s="18">
        <v>0</v>
      </c>
      <c r="W379" s="14" t="s">
        <v>8765</v>
      </c>
      <c r="X379" s="3">
        <v>3</v>
      </c>
      <c r="Z379" s="23">
        <v>1</v>
      </c>
      <c r="AB379" s="18">
        <f t="shared" si="10"/>
        <v>2022</v>
      </c>
      <c r="AC379" s="22">
        <f t="shared" si="11"/>
        <v>0.6</v>
      </c>
    </row>
    <row r="380" spans="1:29" ht="30">
      <c r="A380" s="8" t="s">
        <v>11498</v>
      </c>
      <c r="B380" s="17" t="s">
        <v>7744</v>
      </c>
      <c r="C380" s="13">
        <v>44665</v>
      </c>
      <c r="D380" s="13" t="s">
        <v>8465</v>
      </c>
      <c r="E380" s="27" t="s">
        <v>13596</v>
      </c>
      <c r="F380" s="10" t="s">
        <v>1944</v>
      </c>
      <c r="G380" s="11" t="s">
        <v>6367</v>
      </c>
      <c r="H380" s="2" t="s">
        <v>1169</v>
      </c>
      <c r="L380" s="18">
        <v>1</v>
      </c>
      <c r="M380" s="14" t="s">
        <v>8462</v>
      </c>
      <c r="N380" s="13">
        <v>44645</v>
      </c>
      <c r="O380" s="29">
        <v>39.99</v>
      </c>
      <c r="P380" s="18" t="s">
        <v>14</v>
      </c>
      <c r="Q380" s="18">
        <v>0</v>
      </c>
      <c r="U380" s="22">
        <v>0.83</v>
      </c>
      <c r="V380" s="22">
        <f>4.12/5</f>
        <v>0.82400000000000007</v>
      </c>
      <c r="W380" s="14" t="s">
        <v>1134</v>
      </c>
      <c r="X380" s="3">
        <v>4</v>
      </c>
      <c r="Z380" s="23">
        <v>22</v>
      </c>
      <c r="AB380" s="18">
        <f t="shared" si="10"/>
        <v>2022</v>
      </c>
      <c r="AC380" s="22">
        <f t="shared" si="11"/>
        <v>0.81799999999999995</v>
      </c>
    </row>
    <row r="381" spans="1:29">
      <c r="A381" s="8" t="s">
        <v>15417</v>
      </c>
      <c r="B381" s="17" t="s">
        <v>7800</v>
      </c>
      <c r="C381" s="13">
        <v>44665</v>
      </c>
      <c r="D381" s="13" t="s">
        <v>8465</v>
      </c>
      <c r="E381" s="10" t="s">
        <v>12705</v>
      </c>
      <c r="F381" s="10" t="s">
        <v>15418</v>
      </c>
      <c r="H381" s="2" t="s">
        <v>1334</v>
      </c>
      <c r="L381" s="18">
        <v>1</v>
      </c>
      <c r="N381" s="13">
        <v>45128</v>
      </c>
      <c r="O381" s="29">
        <v>0</v>
      </c>
      <c r="P381" s="18" t="s">
        <v>1107</v>
      </c>
      <c r="Q381" s="18">
        <v>0</v>
      </c>
      <c r="U381" s="22">
        <v>0.64</v>
      </c>
      <c r="V381" s="22">
        <f>3.25/5</f>
        <v>0.65</v>
      </c>
      <c r="W381" s="14" t="s">
        <v>7777</v>
      </c>
      <c r="X381" s="3">
        <v>2</v>
      </c>
      <c r="Z381" s="23">
        <v>9</v>
      </c>
      <c r="AB381" s="18">
        <f t="shared" si="10"/>
        <v>2022</v>
      </c>
      <c r="AC381" s="22">
        <f t="shared" si="11"/>
        <v>0.56333333333333335</v>
      </c>
    </row>
    <row r="382" spans="1:29" ht="25.5">
      <c r="A382" s="8" t="s">
        <v>15707</v>
      </c>
      <c r="B382" s="17" t="s">
        <v>7800</v>
      </c>
      <c r="C382" s="13">
        <v>44665</v>
      </c>
      <c r="D382" s="13" t="s">
        <v>8465</v>
      </c>
      <c r="E382" s="10" t="s">
        <v>10620</v>
      </c>
      <c r="F382" s="10" t="s">
        <v>5042</v>
      </c>
      <c r="G382" s="11" t="s">
        <v>10619</v>
      </c>
      <c r="H382" s="2" t="s">
        <v>1040</v>
      </c>
      <c r="L382" s="18">
        <v>1</v>
      </c>
      <c r="N382" s="13">
        <v>45173</v>
      </c>
      <c r="O382" s="29">
        <v>3.49</v>
      </c>
      <c r="P382" s="18" t="s">
        <v>1107</v>
      </c>
      <c r="Q382" s="18">
        <v>0</v>
      </c>
      <c r="W382" s="14" t="s">
        <v>7777</v>
      </c>
      <c r="X382" s="3">
        <v>4</v>
      </c>
      <c r="Z382" s="23">
        <v>1.5</v>
      </c>
      <c r="AB382" s="18">
        <f t="shared" si="10"/>
        <v>2022</v>
      </c>
      <c r="AC382" s="22">
        <f t="shared" si="11"/>
        <v>0.8</v>
      </c>
    </row>
    <row r="383" spans="1:29" ht="25.5">
      <c r="A383" s="8" t="s">
        <v>12642</v>
      </c>
      <c r="B383" s="17" t="s">
        <v>7800</v>
      </c>
      <c r="C383" s="13">
        <v>44659</v>
      </c>
      <c r="D383" s="13" t="s">
        <v>8465</v>
      </c>
      <c r="E383" s="10" t="s">
        <v>3063</v>
      </c>
      <c r="F383" s="10" t="s">
        <v>12643</v>
      </c>
      <c r="G383" s="11" t="s">
        <v>4943</v>
      </c>
      <c r="H383" s="2" t="s">
        <v>1518</v>
      </c>
      <c r="L383" s="18">
        <v>1</v>
      </c>
      <c r="N383" s="13">
        <v>44825</v>
      </c>
      <c r="O383" s="29">
        <v>0</v>
      </c>
      <c r="P383" s="18" t="s">
        <v>1107</v>
      </c>
      <c r="Q383" s="18">
        <v>0</v>
      </c>
      <c r="U383" s="22">
        <v>0.66</v>
      </c>
      <c r="V383" s="22">
        <f>4.5/5</f>
        <v>0.9</v>
      </c>
      <c r="W383" s="14" t="s">
        <v>7777</v>
      </c>
      <c r="X383" s="3">
        <v>2</v>
      </c>
      <c r="Z383" s="23">
        <v>2</v>
      </c>
      <c r="AB383" s="18">
        <f t="shared" si="10"/>
        <v>2022</v>
      </c>
      <c r="AC383" s="22">
        <f t="shared" si="11"/>
        <v>0.65333333333333332</v>
      </c>
    </row>
    <row r="384" spans="1:29" ht="25.5">
      <c r="A384" s="8" t="s">
        <v>12021</v>
      </c>
      <c r="B384" s="17" t="s">
        <v>7744</v>
      </c>
      <c r="C384" s="13">
        <v>44658</v>
      </c>
      <c r="D384" s="13" t="s">
        <v>8465</v>
      </c>
      <c r="E384" s="10" t="s">
        <v>9458</v>
      </c>
      <c r="F384" s="10" t="s">
        <v>12022</v>
      </c>
      <c r="G384" s="11" t="s">
        <v>1524</v>
      </c>
      <c r="H384" s="2" t="s">
        <v>1170</v>
      </c>
      <c r="L384" s="18">
        <v>1</v>
      </c>
      <c r="M384" s="14" t="s">
        <v>8462</v>
      </c>
      <c r="N384" s="13">
        <v>44632</v>
      </c>
      <c r="O384" s="29">
        <v>43.44</v>
      </c>
      <c r="P384" s="18" t="s">
        <v>14</v>
      </c>
      <c r="Q384" s="18">
        <v>0</v>
      </c>
      <c r="U384" s="22">
        <v>0.56999999999999995</v>
      </c>
      <c r="V384" s="22">
        <f>3.69/5</f>
        <v>0.73799999999999999</v>
      </c>
      <c r="X384" s="3">
        <v>3</v>
      </c>
      <c r="Z384" s="23">
        <f>49/60</f>
        <v>0.81666666666666665</v>
      </c>
      <c r="AB384" s="18">
        <f t="shared" si="10"/>
        <v>2022</v>
      </c>
      <c r="AC384" s="22">
        <f t="shared" si="11"/>
        <v>0.63600000000000001</v>
      </c>
    </row>
    <row r="385" spans="1:29">
      <c r="A385" s="8" t="s">
        <v>12459</v>
      </c>
      <c r="B385" s="17" t="s">
        <v>7800</v>
      </c>
      <c r="C385" s="13">
        <v>44658</v>
      </c>
      <c r="D385" s="13" t="s">
        <v>8465</v>
      </c>
      <c r="E385" s="10" t="s">
        <v>12460</v>
      </c>
      <c r="F385" s="10" t="s">
        <v>12461</v>
      </c>
      <c r="G385" s="11" t="s">
        <v>12459</v>
      </c>
      <c r="H385" s="2" t="s">
        <v>1050</v>
      </c>
      <c r="L385" s="18">
        <v>1</v>
      </c>
      <c r="N385" s="13">
        <v>44810</v>
      </c>
      <c r="O385" s="29">
        <v>0</v>
      </c>
      <c r="P385" s="18" t="s">
        <v>1107</v>
      </c>
      <c r="Q385" s="18">
        <v>0</v>
      </c>
      <c r="U385" s="22">
        <v>0.72</v>
      </c>
      <c r="V385" s="22">
        <f>3.5/5</f>
        <v>0.7</v>
      </c>
      <c r="W385" s="14" t="s">
        <v>7777</v>
      </c>
      <c r="X385" s="3">
        <v>4</v>
      </c>
      <c r="Z385" s="23">
        <v>6</v>
      </c>
      <c r="AB385" s="18">
        <f t="shared" si="10"/>
        <v>2022</v>
      </c>
      <c r="AC385" s="22">
        <f t="shared" si="11"/>
        <v>0.73999999999999988</v>
      </c>
    </row>
    <row r="386" spans="1:29" ht="30">
      <c r="A386" s="8" t="s">
        <v>11577</v>
      </c>
      <c r="B386" s="17" t="s">
        <v>7760</v>
      </c>
      <c r="C386" s="13">
        <v>44651</v>
      </c>
      <c r="D386" s="13" t="s">
        <v>8465</v>
      </c>
      <c r="E386" s="10" t="s">
        <v>3063</v>
      </c>
      <c r="F386" s="10" t="s">
        <v>13368</v>
      </c>
      <c r="H386" s="2" t="s">
        <v>171</v>
      </c>
      <c r="L386" s="18">
        <v>1</v>
      </c>
      <c r="M386" s="14" t="s">
        <v>8462</v>
      </c>
      <c r="N386" s="13">
        <v>44651</v>
      </c>
      <c r="O386" s="29">
        <v>52.74</v>
      </c>
      <c r="P386" s="18" t="s">
        <v>14</v>
      </c>
      <c r="Q386" s="18">
        <v>0</v>
      </c>
      <c r="U386" s="22">
        <v>0.73</v>
      </c>
      <c r="V386" s="22">
        <f>3.91/5</f>
        <v>0.78200000000000003</v>
      </c>
      <c r="W386" s="14" t="s">
        <v>8101</v>
      </c>
      <c r="X386" s="3">
        <v>3</v>
      </c>
      <c r="Z386" s="23">
        <v>18</v>
      </c>
      <c r="AB386" s="18">
        <f t="shared" ref="AB386:AB449" si="12">IFERROR(YEAR(C386), "Early Access")</f>
        <v>2022</v>
      </c>
      <c r="AC386" s="22">
        <f t="shared" ref="AC386:AC449" si="13">AVERAGE(T386, U386, V386, IF(ISBLANK(X386), X386, X386/5))</f>
        <v>0.70400000000000007</v>
      </c>
    </row>
    <row r="387" spans="1:29">
      <c r="A387" s="8" t="s">
        <v>14637</v>
      </c>
      <c r="B387" s="17" t="s">
        <v>7800</v>
      </c>
      <c r="C387" s="13">
        <v>44651</v>
      </c>
      <c r="D387" s="13" t="s">
        <v>8465</v>
      </c>
      <c r="E387" s="10" t="s">
        <v>11312</v>
      </c>
      <c r="F387" s="10" t="s">
        <v>14638</v>
      </c>
      <c r="H387" s="2" t="s">
        <v>78</v>
      </c>
      <c r="L387" s="18">
        <v>1</v>
      </c>
      <c r="N387" s="13">
        <v>45051</v>
      </c>
      <c r="O387" s="29">
        <v>0</v>
      </c>
      <c r="P387" s="18" t="s">
        <v>1107</v>
      </c>
      <c r="Q387" s="18">
        <v>0</v>
      </c>
      <c r="V387" s="22">
        <f>3.5/5</f>
        <v>0.7</v>
      </c>
      <c r="W387" s="14" t="s">
        <v>7777</v>
      </c>
      <c r="X387" s="3">
        <v>3</v>
      </c>
      <c r="Z387" s="23">
        <v>5</v>
      </c>
      <c r="AB387" s="18">
        <f t="shared" si="12"/>
        <v>2022</v>
      </c>
      <c r="AC387" s="22">
        <f t="shared" si="13"/>
        <v>0.64999999999999991</v>
      </c>
    </row>
    <row r="388" spans="1:29">
      <c r="A388" s="8" t="s">
        <v>15565</v>
      </c>
      <c r="B388" s="17" t="s">
        <v>7800</v>
      </c>
      <c r="C388" s="13">
        <v>44651</v>
      </c>
      <c r="D388" s="13" t="s">
        <v>8465</v>
      </c>
      <c r="E388" s="10" t="s">
        <v>12705</v>
      </c>
      <c r="F388" s="10" t="s">
        <v>15566</v>
      </c>
      <c r="H388" s="2" t="s">
        <v>149</v>
      </c>
      <c r="L388" s="18">
        <v>1</v>
      </c>
      <c r="N388" s="13">
        <v>45159</v>
      </c>
      <c r="O388" s="29">
        <v>0</v>
      </c>
      <c r="P388" s="18" t="s">
        <v>1107</v>
      </c>
      <c r="Q388" s="18">
        <v>0</v>
      </c>
      <c r="U388" s="22">
        <v>0.73</v>
      </c>
      <c r="V388" s="22">
        <f>4.21/5</f>
        <v>0.84199999999999997</v>
      </c>
      <c r="W388" s="14" t="s">
        <v>7777</v>
      </c>
      <c r="X388" s="3">
        <v>4</v>
      </c>
      <c r="Z388" s="23">
        <v>24.5</v>
      </c>
      <c r="AB388" s="18">
        <f t="shared" si="12"/>
        <v>2022</v>
      </c>
      <c r="AC388" s="22">
        <f t="shared" si="13"/>
        <v>0.79066666666666663</v>
      </c>
    </row>
    <row r="389" spans="1:29" ht="25.5">
      <c r="A389" s="8" t="s">
        <v>14062</v>
      </c>
      <c r="B389" s="17" t="s">
        <v>7800</v>
      </c>
      <c r="C389" s="13">
        <v>44650</v>
      </c>
      <c r="D389" s="13" t="s">
        <v>8465</v>
      </c>
      <c r="E389" s="10" t="s">
        <v>1571</v>
      </c>
      <c r="F389" s="10" t="s">
        <v>1940</v>
      </c>
      <c r="G389" s="11" t="s">
        <v>8111</v>
      </c>
      <c r="H389" s="2" t="s">
        <v>80</v>
      </c>
      <c r="L389" s="18">
        <v>1</v>
      </c>
      <c r="N389" s="13">
        <v>45020</v>
      </c>
      <c r="O389" s="29">
        <v>0</v>
      </c>
      <c r="P389" s="18" t="s">
        <v>1107</v>
      </c>
      <c r="Q389" s="18">
        <v>0</v>
      </c>
      <c r="U389" s="22">
        <v>0.85</v>
      </c>
      <c r="V389" s="22">
        <f>3.8/5</f>
        <v>0.76</v>
      </c>
      <c r="W389" s="14" t="s">
        <v>7777</v>
      </c>
      <c r="X389" s="3">
        <v>4</v>
      </c>
      <c r="Z389" s="23">
        <v>36</v>
      </c>
      <c r="AB389" s="18">
        <f t="shared" si="12"/>
        <v>2022</v>
      </c>
      <c r="AC389" s="22">
        <f t="shared" si="13"/>
        <v>0.80333333333333334</v>
      </c>
    </row>
    <row r="390" spans="1:29">
      <c r="A390" s="8" t="s">
        <v>10567</v>
      </c>
      <c r="B390" s="17" t="s">
        <v>7744</v>
      </c>
      <c r="C390" s="13">
        <v>44649</v>
      </c>
      <c r="D390" s="13" t="s">
        <v>8465</v>
      </c>
      <c r="E390" s="10" t="s">
        <v>1062</v>
      </c>
      <c r="F390" s="10" t="s">
        <v>11525</v>
      </c>
      <c r="H390" s="2" t="s">
        <v>171</v>
      </c>
      <c r="L390" s="18">
        <v>1</v>
      </c>
      <c r="M390" s="14" t="s">
        <v>8462</v>
      </c>
      <c r="N390" s="13">
        <v>44497</v>
      </c>
      <c r="O390" s="29">
        <v>54.3</v>
      </c>
      <c r="P390" s="18" t="s">
        <v>14</v>
      </c>
      <c r="Q390" s="18">
        <v>0</v>
      </c>
      <c r="U390" s="22">
        <v>0.68</v>
      </c>
      <c r="V390" s="22">
        <f>3.97/5</f>
        <v>0.79400000000000004</v>
      </c>
      <c r="X390" s="3">
        <v>3</v>
      </c>
      <c r="Z390" s="23">
        <v>25.5</v>
      </c>
      <c r="AB390" s="18">
        <f t="shared" si="12"/>
        <v>2022</v>
      </c>
      <c r="AC390" s="22">
        <f t="shared" si="13"/>
        <v>0.69133333333333347</v>
      </c>
    </row>
    <row r="391" spans="1:29">
      <c r="A391" s="8" t="s">
        <v>12906</v>
      </c>
      <c r="B391" s="17" t="s">
        <v>7760</v>
      </c>
      <c r="C391" s="13">
        <v>44649</v>
      </c>
      <c r="D391" s="13" t="s">
        <v>8465</v>
      </c>
      <c r="E391" s="10" t="s">
        <v>12907</v>
      </c>
      <c r="F391" s="10" t="s">
        <v>12908</v>
      </c>
      <c r="H391" s="2" t="s">
        <v>1061</v>
      </c>
      <c r="L391" s="18">
        <v>1</v>
      </c>
      <c r="M391" s="14" t="s">
        <v>8462</v>
      </c>
      <c r="N391" s="13">
        <v>44872</v>
      </c>
      <c r="O391" s="29">
        <v>10.84</v>
      </c>
      <c r="P391" s="18" t="s">
        <v>14</v>
      </c>
      <c r="Q391" s="18">
        <v>0</v>
      </c>
      <c r="V391" s="22">
        <f>2.5/5</f>
        <v>0.5</v>
      </c>
      <c r="X391" s="3">
        <v>2</v>
      </c>
      <c r="Z391" s="23">
        <v>7.5</v>
      </c>
      <c r="AB391" s="18">
        <f t="shared" si="12"/>
        <v>2022</v>
      </c>
      <c r="AC391" s="22">
        <f t="shared" si="13"/>
        <v>0.45</v>
      </c>
    </row>
    <row r="392" spans="1:29">
      <c r="A392" s="8" t="s">
        <v>13704</v>
      </c>
      <c r="B392" s="17" t="s">
        <v>7800</v>
      </c>
      <c r="C392" s="13">
        <v>44645</v>
      </c>
      <c r="D392" s="13" t="s">
        <v>8465</v>
      </c>
      <c r="E392" s="10" t="s">
        <v>13706</v>
      </c>
      <c r="F392" s="10" t="s">
        <v>13707</v>
      </c>
      <c r="H392" s="2" t="s">
        <v>1054</v>
      </c>
      <c r="L392" s="18">
        <v>1</v>
      </c>
      <c r="N392" s="13">
        <v>45001</v>
      </c>
      <c r="O392" s="29">
        <v>0.97</v>
      </c>
      <c r="P392" s="18" t="s">
        <v>1107</v>
      </c>
      <c r="Q392" s="18">
        <v>0</v>
      </c>
      <c r="W392" s="14" t="s">
        <v>7777</v>
      </c>
      <c r="X392" s="3">
        <v>3</v>
      </c>
      <c r="AB392" s="18">
        <f t="shared" si="12"/>
        <v>2022</v>
      </c>
      <c r="AC392" s="22">
        <f t="shared" si="13"/>
        <v>0.6</v>
      </c>
    </row>
    <row r="393" spans="1:29" ht="30">
      <c r="A393" s="8" t="s">
        <v>12272</v>
      </c>
      <c r="B393" s="17" t="s">
        <v>9431</v>
      </c>
      <c r="C393" s="13">
        <v>44644</v>
      </c>
      <c r="D393" s="13" t="s">
        <v>8465</v>
      </c>
      <c r="E393" s="10" t="s">
        <v>11050</v>
      </c>
      <c r="F393" s="10" t="s">
        <v>1167</v>
      </c>
      <c r="H393" s="2" t="s">
        <v>75</v>
      </c>
      <c r="L393" s="18">
        <v>1</v>
      </c>
      <c r="M393" s="14" t="s">
        <v>8462</v>
      </c>
      <c r="N393" s="13">
        <v>44783</v>
      </c>
      <c r="O393" s="29">
        <v>29.99</v>
      </c>
      <c r="P393" s="18" t="s">
        <v>14</v>
      </c>
      <c r="Q393" s="18">
        <v>0</v>
      </c>
      <c r="U393" s="22">
        <v>0.77</v>
      </c>
      <c r="V393" s="22">
        <f>3.89/5</f>
        <v>0.77800000000000002</v>
      </c>
      <c r="X393" s="3">
        <v>3</v>
      </c>
      <c r="Z393" s="23">
        <v>32.5</v>
      </c>
      <c r="AB393" s="18">
        <f t="shared" si="12"/>
        <v>2022</v>
      </c>
      <c r="AC393" s="22">
        <f t="shared" si="13"/>
        <v>0.71600000000000008</v>
      </c>
    </row>
    <row r="394" spans="1:29">
      <c r="A394" s="8" t="s">
        <v>11180</v>
      </c>
      <c r="B394" s="17" t="s">
        <v>7749</v>
      </c>
      <c r="C394" s="13">
        <v>44644</v>
      </c>
      <c r="D394" s="13" t="s">
        <v>8465</v>
      </c>
      <c r="E394" s="10" t="s">
        <v>11692</v>
      </c>
      <c r="F394" s="10" t="s">
        <v>11691</v>
      </c>
      <c r="G394" s="11" t="s">
        <v>501</v>
      </c>
      <c r="H394" s="2" t="s">
        <v>21</v>
      </c>
      <c r="L394" s="18">
        <v>1</v>
      </c>
      <c r="M394" s="14" t="s">
        <v>8462</v>
      </c>
      <c r="N394" s="13">
        <v>44611</v>
      </c>
      <c r="O394" s="29">
        <v>50.67</v>
      </c>
      <c r="P394" s="18" t="s">
        <v>14</v>
      </c>
      <c r="Q394" s="18">
        <v>0</v>
      </c>
      <c r="V394" s="22">
        <f>3.14/5</f>
        <v>0.628</v>
      </c>
      <c r="W394" s="14" t="s">
        <v>11692</v>
      </c>
      <c r="X394" s="3">
        <v>3</v>
      </c>
      <c r="Z394" s="23">
        <f>45/60</f>
        <v>0.75</v>
      </c>
      <c r="AB394" s="18">
        <f t="shared" si="12"/>
        <v>2022</v>
      </c>
      <c r="AC394" s="22">
        <f t="shared" si="13"/>
        <v>0.61399999999999999</v>
      </c>
    </row>
    <row r="395" spans="1:29">
      <c r="A395" s="8" t="s">
        <v>10538</v>
      </c>
      <c r="B395" s="17" t="s">
        <v>7744</v>
      </c>
      <c r="C395" s="13">
        <v>44642</v>
      </c>
      <c r="D395" s="13" t="s">
        <v>8465</v>
      </c>
      <c r="E395" s="10" t="s">
        <v>1534</v>
      </c>
      <c r="F395" s="10" t="s">
        <v>11471</v>
      </c>
      <c r="G395" s="11" t="s">
        <v>1540</v>
      </c>
      <c r="H395" s="2" t="s">
        <v>1334</v>
      </c>
      <c r="L395" s="18">
        <v>1</v>
      </c>
      <c r="M395" s="14" t="s">
        <v>8462</v>
      </c>
      <c r="N395" s="13">
        <v>44490</v>
      </c>
      <c r="O395" s="29">
        <v>65.16</v>
      </c>
      <c r="P395" s="18" t="s">
        <v>14</v>
      </c>
      <c r="Q395" s="18">
        <v>0</v>
      </c>
      <c r="U395" s="22">
        <v>0.69</v>
      </c>
      <c r="V395" s="22">
        <f>3.79/5</f>
        <v>0.75800000000000001</v>
      </c>
      <c r="X395" s="3">
        <v>3</v>
      </c>
      <c r="Z395" s="23">
        <v>60.5</v>
      </c>
      <c r="AB395" s="18">
        <f t="shared" si="12"/>
        <v>2022</v>
      </c>
      <c r="AC395" s="22">
        <f t="shared" si="13"/>
        <v>0.68266666666666664</v>
      </c>
    </row>
    <row r="396" spans="1:29" ht="30">
      <c r="A396" s="8" t="s">
        <v>15995</v>
      </c>
      <c r="B396" s="17" t="s">
        <v>7800</v>
      </c>
      <c r="C396" s="13">
        <v>44641</v>
      </c>
      <c r="D396" s="13" t="s">
        <v>8465</v>
      </c>
      <c r="E396" s="10" t="s">
        <v>10752</v>
      </c>
      <c r="F396" s="10" t="s">
        <v>15996</v>
      </c>
      <c r="H396" s="2" t="s">
        <v>151</v>
      </c>
      <c r="L396" s="18">
        <v>1</v>
      </c>
      <c r="N396" s="13">
        <v>45196</v>
      </c>
      <c r="O396" s="29">
        <v>0</v>
      </c>
      <c r="P396" s="18" t="s">
        <v>1107</v>
      </c>
      <c r="Q396" s="18">
        <v>0</v>
      </c>
      <c r="U396" s="22">
        <v>0.61</v>
      </c>
      <c r="V396" s="22">
        <f>3.17/5</f>
        <v>0.63400000000000001</v>
      </c>
      <c r="W396" s="14" t="s">
        <v>7777</v>
      </c>
      <c r="X396" s="3">
        <v>4</v>
      </c>
      <c r="Z396" s="23">
        <v>8.5</v>
      </c>
      <c r="AB396" s="18">
        <f t="shared" si="12"/>
        <v>2022</v>
      </c>
      <c r="AC396" s="22">
        <f t="shared" si="13"/>
        <v>0.68133333333333335</v>
      </c>
    </row>
    <row r="397" spans="1:29" ht="25.5">
      <c r="A397" s="8" t="s">
        <v>13698</v>
      </c>
      <c r="B397" s="17" t="s">
        <v>7800</v>
      </c>
      <c r="C397" s="13">
        <v>44638</v>
      </c>
      <c r="D397" s="13" t="s">
        <v>8465</v>
      </c>
      <c r="E397" s="10" t="s">
        <v>9795</v>
      </c>
      <c r="F397" s="10" t="s">
        <v>13699</v>
      </c>
      <c r="G397" s="11" t="s">
        <v>5226</v>
      </c>
      <c r="H397" s="2" t="s">
        <v>67</v>
      </c>
      <c r="L397" s="18">
        <v>1</v>
      </c>
      <c r="N397" s="13">
        <v>44995</v>
      </c>
      <c r="O397" s="29">
        <v>0</v>
      </c>
      <c r="P397" s="18" t="s">
        <v>1107</v>
      </c>
      <c r="Q397" s="18">
        <v>0</v>
      </c>
      <c r="U397" s="22">
        <v>0.81</v>
      </c>
      <c r="V397" s="22">
        <f>3.78/5</f>
        <v>0.75600000000000001</v>
      </c>
      <c r="W397" s="14" t="s">
        <v>7777</v>
      </c>
      <c r="X397" s="3">
        <v>3</v>
      </c>
      <c r="Z397" s="23">
        <v>14</v>
      </c>
      <c r="AB397" s="18">
        <f t="shared" si="12"/>
        <v>2022</v>
      </c>
      <c r="AC397" s="22">
        <f t="shared" si="13"/>
        <v>0.72199999999999998</v>
      </c>
    </row>
    <row r="398" spans="1:29">
      <c r="A398" s="8" t="s">
        <v>13994</v>
      </c>
      <c r="B398" s="17" t="s">
        <v>7800</v>
      </c>
      <c r="C398" s="13">
        <v>44638</v>
      </c>
      <c r="D398" s="13" t="s">
        <v>8465</v>
      </c>
      <c r="E398" s="10" t="s">
        <v>13995</v>
      </c>
      <c r="F398" s="10" t="s">
        <v>13995</v>
      </c>
      <c r="H398" s="2" t="s">
        <v>1518</v>
      </c>
      <c r="L398" s="18">
        <v>1</v>
      </c>
      <c r="N398" s="13">
        <v>45016</v>
      </c>
      <c r="O398" s="29">
        <v>0</v>
      </c>
      <c r="P398" s="18" t="s">
        <v>1107</v>
      </c>
      <c r="Q398" s="18">
        <v>0</v>
      </c>
      <c r="V398" s="22">
        <f>3.5/5</f>
        <v>0.7</v>
      </c>
      <c r="W398" s="14" t="s">
        <v>7777</v>
      </c>
      <c r="X398" s="3">
        <v>2</v>
      </c>
      <c r="AB398" s="18">
        <f t="shared" si="12"/>
        <v>2022</v>
      </c>
      <c r="AC398" s="22">
        <f t="shared" si="13"/>
        <v>0.55000000000000004</v>
      </c>
    </row>
    <row r="399" spans="1:29" ht="45">
      <c r="A399" s="9" t="s">
        <v>11497</v>
      </c>
      <c r="B399" s="17" t="s">
        <v>9431</v>
      </c>
      <c r="C399" s="13">
        <v>44637</v>
      </c>
      <c r="D399" s="13" t="s">
        <v>8465</v>
      </c>
      <c r="E399" s="10" t="s">
        <v>13597</v>
      </c>
      <c r="F399" s="10" t="s">
        <v>13597</v>
      </c>
      <c r="H399" s="2" t="s">
        <v>151</v>
      </c>
      <c r="L399" s="18">
        <v>1</v>
      </c>
      <c r="M399" s="14" t="s">
        <v>8462</v>
      </c>
      <c r="N399" s="13">
        <v>44645</v>
      </c>
      <c r="O399" s="29">
        <v>39.99</v>
      </c>
      <c r="P399" s="18" t="s">
        <v>14</v>
      </c>
      <c r="Q399" s="18">
        <v>0</v>
      </c>
      <c r="V399" s="22">
        <f>3.59/5</f>
        <v>0.71799999999999997</v>
      </c>
      <c r="W399" s="14" t="s">
        <v>1134</v>
      </c>
      <c r="X399" s="3">
        <v>4</v>
      </c>
      <c r="Z399" s="23">
        <v>10.5</v>
      </c>
      <c r="AB399" s="18">
        <f t="shared" si="12"/>
        <v>2022</v>
      </c>
      <c r="AC399" s="22">
        <f t="shared" si="13"/>
        <v>0.75900000000000001</v>
      </c>
    </row>
    <row r="400" spans="1:29" ht="30">
      <c r="A400" s="8" t="s">
        <v>11381</v>
      </c>
      <c r="B400" s="17" t="s">
        <v>7744</v>
      </c>
      <c r="C400" s="13">
        <v>44635</v>
      </c>
      <c r="D400" s="13" t="s">
        <v>8465</v>
      </c>
      <c r="E400" s="10" t="s">
        <v>1084</v>
      </c>
      <c r="F400" s="10" t="s">
        <v>8772</v>
      </c>
      <c r="H400" s="2" t="s">
        <v>153</v>
      </c>
      <c r="L400" s="18">
        <v>1</v>
      </c>
      <c r="M400" s="14" t="s">
        <v>8462</v>
      </c>
      <c r="N400" s="13">
        <v>44631</v>
      </c>
      <c r="O400" s="29">
        <v>34.99</v>
      </c>
      <c r="P400" s="18" t="s">
        <v>14</v>
      </c>
      <c r="Q400" s="18">
        <v>0</v>
      </c>
      <c r="U400" s="22">
        <v>0.81</v>
      </c>
      <c r="V400" s="22">
        <f>3.86/5</f>
        <v>0.77200000000000002</v>
      </c>
      <c r="W400" s="14" t="s">
        <v>1134</v>
      </c>
      <c r="X400" s="3">
        <v>3</v>
      </c>
      <c r="Z400" s="23">
        <v>5.5</v>
      </c>
      <c r="AB400" s="18">
        <f t="shared" si="12"/>
        <v>2022</v>
      </c>
      <c r="AC400" s="22">
        <f t="shared" si="13"/>
        <v>0.72733333333333328</v>
      </c>
    </row>
    <row r="401" spans="1:29" ht="30">
      <c r="A401" s="8" t="s">
        <v>11380</v>
      </c>
      <c r="B401" s="17" t="s">
        <v>7744</v>
      </c>
      <c r="C401" s="13">
        <v>44635</v>
      </c>
      <c r="D401" s="13" t="s">
        <v>8465</v>
      </c>
      <c r="E401" s="10" t="s">
        <v>12977</v>
      </c>
      <c r="F401" s="10" t="s">
        <v>12978</v>
      </c>
      <c r="G401" s="11" t="s">
        <v>12976</v>
      </c>
      <c r="H401" s="2" t="s">
        <v>459</v>
      </c>
      <c r="L401" s="18">
        <v>1</v>
      </c>
      <c r="M401" s="14" t="s">
        <v>8462</v>
      </c>
      <c r="N401" s="13">
        <v>44631</v>
      </c>
      <c r="O401" s="29">
        <v>49.99</v>
      </c>
      <c r="P401" s="18" t="s">
        <v>14</v>
      </c>
      <c r="Q401" s="18">
        <v>0</v>
      </c>
      <c r="U401" s="22">
        <v>0.66</v>
      </c>
      <c r="V401" s="22">
        <f>4.3/5</f>
        <v>0.86</v>
      </c>
      <c r="W401" s="14" t="s">
        <v>1134</v>
      </c>
      <c r="X401" s="3">
        <v>2</v>
      </c>
      <c r="Z401" s="23">
        <v>2</v>
      </c>
      <c r="AB401" s="18">
        <f t="shared" si="12"/>
        <v>2022</v>
      </c>
      <c r="AC401" s="22">
        <f t="shared" si="13"/>
        <v>0.64</v>
      </c>
    </row>
    <row r="402" spans="1:29" ht="25.5">
      <c r="A402" s="8" t="s">
        <v>13686</v>
      </c>
      <c r="B402" s="17" t="s">
        <v>7760</v>
      </c>
      <c r="C402" s="13">
        <v>44635</v>
      </c>
      <c r="D402" s="13" t="s">
        <v>8465</v>
      </c>
      <c r="E402" s="10" t="s">
        <v>1062</v>
      </c>
      <c r="F402" s="10" t="s">
        <v>2285</v>
      </c>
      <c r="H402" s="2" t="s">
        <v>149</v>
      </c>
      <c r="L402" s="18">
        <v>1</v>
      </c>
      <c r="M402" s="14" t="s">
        <v>8462</v>
      </c>
      <c r="N402" s="13">
        <v>44986</v>
      </c>
      <c r="O402" s="29">
        <v>24.69</v>
      </c>
      <c r="P402" s="18" t="s">
        <v>14</v>
      </c>
      <c r="Q402" s="18">
        <v>0</v>
      </c>
      <c r="U402" s="22">
        <v>0.66</v>
      </c>
      <c r="V402" s="22">
        <f>4/5</f>
        <v>0.8</v>
      </c>
      <c r="W402" s="14" t="s">
        <v>13687</v>
      </c>
      <c r="X402" s="3">
        <v>2</v>
      </c>
      <c r="Z402" s="23">
        <v>15.5</v>
      </c>
      <c r="AB402" s="18">
        <f t="shared" si="12"/>
        <v>2022</v>
      </c>
      <c r="AC402" s="22">
        <f t="shared" si="13"/>
        <v>0.62</v>
      </c>
    </row>
    <row r="403" spans="1:29" ht="30">
      <c r="A403" s="8" t="s">
        <v>15708</v>
      </c>
      <c r="B403" s="17" t="s">
        <v>7800</v>
      </c>
      <c r="C403" s="13">
        <v>44634</v>
      </c>
      <c r="D403" s="13" t="s">
        <v>8465</v>
      </c>
      <c r="E403" s="10" t="s">
        <v>15709</v>
      </c>
      <c r="F403" s="10" t="s">
        <v>15709</v>
      </c>
      <c r="H403" s="2" t="s">
        <v>78</v>
      </c>
      <c r="L403" s="18">
        <v>1</v>
      </c>
      <c r="N403" s="13">
        <v>45173</v>
      </c>
      <c r="O403" s="29">
        <v>0.59</v>
      </c>
      <c r="P403" s="18" t="s">
        <v>1107</v>
      </c>
      <c r="Q403" s="18">
        <v>0</v>
      </c>
      <c r="U403" s="22">
        <v>0.75</v>
      </c>
      <c r="W403" s="14" t="s">
        <v>7777</v>
      </c>
      <c r="X403" s="3">
        <v>2</v>
      </c>
      <c r="Z403" s="23">
        <v>6</v>
      </c>
      <c r="AB403" s="18">
        <f t="shared" si="12"/>
        <v>2022</v>
      </c>
      <c r="AC403" s="22">
        <f t="shared" si="13"/>
        <v>0.57499999999999996</v>
      </c>
    </row>
    <row r="404" spans="1:29">
      <c r="A404" s="8" t="s">
        <v>12523</v>
      </c>
      <c r="B404" s="17" t="s">
        <v>7800</v>
      </c>
      <c r="C404" s="13">
        <v>44631</v>
      </c>
      <c r="D404" s="13" t="s">
        <v>8465</v>
      </c>
      <c r="E404" s="10" t="s">
        <v>12526</v>
      </c>
      <c r="F404" s="10" t="s">
        <v>12526</v>
      </c>
      <c r="H404" s="2" t="s">
        <v>67</v>
      </c>
      <c r="L404" s="18">
        <v>1</v>
      </c>
      <c r="N404" s="13">
        <v>44820</v>
      </c>
      <c r="O404" s="29">
        <v>0</v>
      </c>
      <c r="P404" s="18" t="s">
        <v>1107</v>
      </c>
      <c r="Q404" s="18">
        <v>0</v>
      </c>
      <c r="V404" s="22">
        <f>3.2/5</f>
        <v>0.64</v>
      </c>
      <c r="W404" s="14" t="s">
        <v>7777</v>
      </c>
      <c r="X404" s="3">
        <v>2</v>
      </c>
      <c r="Z404" s="23">
        <f>29/60</f>
        <v>0.48333333333333334</v>
      </c>
      <c r="AB404" s="18">
        <f t="shared" si="12"/>
        <v>2022</v>
      </c>
      <c r="AC404" s="22">
        <f t="shared" si="13"/>
        <v>0.52</v>
      </c>
    </row>
    <row r="405" spans="1:29" ht="30">
      <c r="A405" s="8" t="s">
        <v>8681</v>
      </c>
      <c r="B405" s="17" t="s">
        <v>7744</v>
      </c>
      <c r="C405" s="13">
        <v>44630</v>
      </c>
      <c r="D405" s="13" t="s">
        <v>8465</v>
      </c>
      <c r="E405" s="10" t="s">
        <v>1604</v>
      </c>
      <c r="F405" s="10" t="s">
        <v>2314</v>
      </c>
      <c r="G405" s="11" t="s">
        <v>8682</v>
      </c>
      <c r="H405" s="2" t="s">
        <v>171</v>
      </c>
      <c r="L405" s="18">
        <v>1</v>
      </c>
      <c r="M405" s="14" t="s">
        <v>8462</v>
      </c>
      <c r="N405" s="13">
        <v>44842</v>
      </c>
      <c r="O405" s="29">
        <v>65.16</v>
      </c>
      <c r="P405" s="18" t="s">
        <v>14</v>
      </c>
      <c r="Q405" s="18">
        <v>0</v>
      </c>
      <c r="U405" s="22">
        <v>0.76</v>
      </c>
      <c r="V405" s="22">
        <f>3.75/5</f>
        <v>0.75</v>
      </c>
      <c r="W405" s="14" t="s">
        <v>12807</v>
      </c>
      <c r="X405" s="3">
        <v>3</v>
      </c>
      <c r="Z405" s="23">
        <v>82</v>
      </c>
      <c r="AB405" s="18">
        <f t="shared" si="12"/>
        <v>2022</v>
      </c>
      <c r="AC405" s="22">
        <f t="shared" si="13"/>
        <v>0.70333333333333325</v>
      </c>
    </row>
    <row r="406" spans="1:29">
      <c r="A406" s="8" t="s">
        <v>11178</v>
      </c>
      <c r="B406" s="17" t="s">
        <v>7744</v>
      </c>
      <c r="C406" s="13">
        <v>44630</v>
      </c>
      <c r="D406" s="13" t="s">
        <v>8467</v>
      </c>
      <c r="E406" s="10" t="s">
        <v>1082</v>
      </c>
      <c r="F406" s="10" t="s">
        <v>1046</v>
      </c>
      <c r="G406" s="11" t="s">
        <v>126</v>
      </c>
      <c r="H406" s="2" t="s">
        <v>150</v>
      </c>
      <c r="L406" s="18">
        <v>1</v>
      </c>
      <c r="M406" s="14" t="s">
        <v>8462</v>
      </c>
      <c r="N406" s="13">
        <v>44611</v>
      </c>
      <c r="O406" s="29">
        <v>49.99</v>
      </c>
      <c r="P406" s="18" t="s">
        <v>14</v>
      </c>
      <c r="Q406" s="18">
        <v>0</v>
      </c>
      <c r="U406" s="22">
        <v>0.63</v>
      </c>
      <c r="V406" s="22">
        <f>3.42/5</f>
        <v>0.68399999999999994</v>
      </c>
      <c r="X406" s="3">
        <v>3</v>
      </c>
      <c r="Z406" s="23">
        <v>3</v>
      </c>
      <c r="AB406" s="18">
        <f t="shared" si="12"/>
        <v>2022</v>
      </c>
      <c r="AC406" s="22">
        <f t="shared" si="13"/>
        <v>0.63800000000000001</v>
      </c>
    </row>
    <row r="407" spans="1:29" ht="25.5">
      <c r="A407" s="8" t="s">
        <v>12394</v>
      </c>
      <c r="B407" s="17" t="s">
        <v>7800</v>
      </c>
      <c r="C407" s="13">
        <v>44630</v>
      </c>
      <c r="D407" s="13" t="s">
        <v>8465</v>
      </c>
      <c r="E407" s="10" t="s">
        <v>5175</v>
      </c>
      <c r="F407" s="10" t="s">
        <v>5175</v>
      </c>
      <c r="G407" s="11" t="s">
        <v>5174</v>
      </c>
      <c r="H407" s="2" t="s">
        <v>80</v>
      </c>
      <c r="L407" s="18">
        <v>1</v>
      </c>
      <c r="N407" s="13">
        <v>44805</v>
      </c>
      <c r="O407" s="29">
        <v>0</v>
      </c>
      <c r="P407" s="18" t="s">
        <v>1107</v>
      </c>
      <c r="Q407" s="18">
        <v>0</v>
      </c>
      <c r="U407" s="22">
        <v>0.66</v>
      </c>
      <c r="V407" s="22">
        <f>3.04/5</f>
        <v>0.60799999999999998</v>
      </c>
      <c r="W407" s="14" t="s">
        <v>7097</v>
      </c>
      <c r="X407" s="3">
        <v>3</v>
      </c>
      <c r="Z407" s="23">
        <v>5</v>
      </c>
      <c r="AB407" s="18">
        <f t="shared" si="12"/>
        <v>2022</v>
      </c>
      <c r="AC407" s="22">
        <f t="shared" si="13"/>
        <v>0.62266666666666659</v>
      </c>
    </row>
    <row r="408" spans="1:29">
      <c r="A408" s="8" t="s">
        <v>14085</v>
      </c>
      <c r="B408" s="17" t="s">
        <v>7800</v>
      </c>
      <c r="C408" s="13">
        <v>44630</v>
      </c>
      <c r="D408" s="13" t="s">
        <v>8465</v>
      </c>
      <c r="E408" s="10" t="s">
        <v>14086</v>
      </c>
      <c r="F408" s="10" t="s">
        <v>14086</v>
      </c>
      <c r="H408" s="2" t="s">
        <v>27</v>
      </c>
      <c r="L408" s="18">
        <v>1</v>
      </c>
      <c r="O408" s="29">
        <v>0</v>
      </c>
      <c r="P408" s="18" t="s">
        <v>1107</v>
      </c>
      <c r="Q408" s="18">
        <v>0</v>
      </c>
      <c r="W408" s="14" t="s">
        <v>8765</v>
      </c>
      <c r="X408" s="3">
        <v>2</v>
      </c>
      <c r="AB408" s="18">
        <f t="shared" si="12"/>
        <v>2022</v>
      </c>
      <c r="AC408" s="22">
        <f t="shared" si="13"/>
        <v>0.4</v>
      </c>
    </row>
    <row r="409" spans="1:29">
      <c r="A409" s="8" t="s">
        <v>15838</v>
      </c>
      <c r="B409" s="17" t="s">
        <v>7800</v>
      </c>
      <c r="C409" s="13">
        <v>44629</v>
      </c>
      <c r="D409" s="13" t="s">
        <v>8465</v>
      </c>
      <c r="E409" s="10" t="s">
        <v>11323</v>
      </c>
      <c r="F409" s="10" t="s">
        <v>11323</v>
      </c>
      <c r="H409" s="2" t="s">
        <v>67</v>
      </c>
      <c r="L409" s="18">
        <v>1</v>
      </c>
      <c r="N409" s="13">
        <v>45185</v>
      </c>
      <c r="O409" s="29">
        <v>0</v>
      </c>
      <c r="P409" s="18" t="s">
        <v>1107</v>
      </c>
      <c r="Q409" s="18">
        <v>0</v>
      </c>
      <c r="V409" s="22">
        <f>3.86/5</f>
        <v>0.77200000000000002</v>
      </c>
      <c r="W409" s="14" t="s">
        <v>7777</v>
      </c>
      <c r="X409" s="3">
        <v>4</v>
      </c>
      <c r="Z409" s="23">
        <v>1</v>
      </c>
      <c r="AB409" s="18">
        <f t="shared" si="12"/>
        <v>2022</v>
      </c>
      <c r="AC409" s="22">
        <f t="shared" si="13"/>
        <v>0.78600000000000003</v>
      </c>
    </row>
    <row r="410" spans="1:29" ht="30">
      <c r="A410" s="8" t="s">
        <v>10535</v>
      </c>
      <c r="B410" s="17" t="s">
        <v>9431</v>
      </c>
      <c r="C410" s="13">
        <v>44624</v>
      </c>
      <c r="D410" s="13" t="s">
        <v>8465</v>
      </c>
      <c r="E410" s="10" t="s">
        <v>6107</v>
      </c>
      <c r="F410" s="10" t="s">
        <v>8019</v>
      </c>
      <c r="G410" s="11" t="s">
        <v>8016</v>
      </c>
      <c r="H410" s="2" t="s">
        <v>150</v>
      </c>
      <c r="L410" s="18">
        <v>1</v>
      </c>
      <c r="M410" s="14" t="s">
        <v>8462</v>
      </c>
      <c r="N410" s="13">
        <v>44488</v>
      </c>
      <c r="O410" s="29">
        <v>76.03</v>
      </c>
      <c r="P410" s="18" t="s">
        <v>14</v>
      </c>
      <c r="Q410" s="18">
        <v>0</v>
      </c>
      <c r="U410" s="22">
        <v>0.88</v>
      </c>
      <c r="V410" s="22">
        <f>3.22/5</f>
        <v>0.64400000000000002</v>
      </c>
      <c r="X410" s="3">
        <v>3</v>
      </c>
      <c r="Z410" s="23">
        <v>15</v>
      </c>
      <c r="AB410" s="18">
        <f t="shared" si="12"/>
        <v>2022</v>
      </c>
      <c r="AC410" s="22">
        <f t="shared" si="13"/>
        <v>0.70800000000000007</v>
      </c>
    </row>
    <row r="411" spans="1:29" ht="25.5">
      <c r="A411" s="8" t="s">
        <v>15826</v>
      </c>
      <c r="B411" s="17" t="s">
        <v>7800</v>
      </c>
      <c r="C411" s="13">
        <v>44624</v>
      </c>
      <c r="D411" s="13" t="s">
        <v>8465</v>
      </c>
      <c r="E411" s="10" t="s">
        <v>12563</v>
      </c>
      <c r="F411" s="10" t="s">
        <v>15827</v>
      </c>
      <c r="H411" s="2" t="s">
        <v>64</v>
      </c>
      <c r="L411" s="18">
        <v>1</v>
      </c>
      <c r="N411" s="13">
        <v>45185</v>
      </c>
      <c r="O411" s="29">
        <v>0</v>
      </c>
      <c r="P411" s="18" t="s">
        <v>1107</v>
      </c>
      <c r="Q411" s="18">
        <v>0</v>
      </c>
      <c r="V411" s="22">
        <f>2.75/5</f>
        <v>0.55000000000000004</v>
      </c>
      <c r="W411" s="14" t="s">
        <v>7777</v>
      </c>
      <c r="X411" s="3">
        <v>2</v>
      </c>
      <c r="Z411" s="23">
        <v>7</v>
      </c>
      <c r="AB411" s="18">
        <f t="shared" si="12"/>
        <v>2022</v>
      </c>
      <c r="AC411" s="22">
        <f t="shared" si="13"/>
        <v>0.47500000000000003</v>
      </c>
    </row>
    <row r="412" spans="1:29" ht="38.25">
      <c r="A412" s="8" t="s">
        <v>15854</v>
      </c>
      <c r="B412" s="17" t="s">
        <v>7800</v>
      </c>
      <c r="C412" s="13">
        <v>44622</v>
      </c>
      <c r="D412" s="13" t="s">
        <v>8465</v>
      </c>
      <c r="E412" s="10" t="s">
        <v>15855</v>
      </c>
      <c r="F412" s="10" t="s">
        <v>15855</v>
      </c>
      <c r="H412" s="2" t="s">
        <v>67</v>
      </c>
      <c r="L412" s="18">
        <v>1</v>
      </c>
      <c r="N412" s="13">
        <v>45192</v>
      </c>
      <c r="O412" s="29">
        <v>0</v>
      </c>
      <c r="P412" s="18" t="s">
        <v>1107</v>
      </c>
      <c r="Q412" s="18">
        <v>0</v>
      </c>
      <c r="W412" s="14" t="s">
        <v>7799</v>
      </c>
      <c r="X412" s="3">
        <v>2</v>
      </c>
      <c r="AB412" s="18">
        <f t="shared" si="12"/>
        <v>2022</v>
      </c>
      <c r="AC412" s="22">
        <f t="shared" si="13"/>
        <v>0.4</v>
      </c>
    </row>
    <row r="413" spans="1:29">
      <c r="A413" s="8" t="s">
        <v>12166</v>
      </c>
      <c r="B413" s="17" t="s">
        <v>7800</v>
      </c>
      <c r="C413" s="13">
        <v>44617</v>
      </c>
      <c r="D413" s="13" t="s">
        <v>8465</v>
      </c>
      <c r="E413" s="10" t="s">
        <v>231</v>
      </c>
      <c r="F413" s="10" t="s">
        <v>1513</v>
      </c>
      <c r="G413" s="11" t="s">
        <v>4036</v>
      </c>
      <c r="H413" s="2" t="s">
        <v>150</v>
      </c>
      <c r="L413" s="18">
        <v>1</v>
      </c>
      <c r="N413" s="13">
        <v>44754</v>
      </c>
      <c r="O413" s="29">
        <v>0</v>
      </c>
      <c r="P413" s="18" t="s">
        <v>1107</v>
      </c>
      <c r="Q413" s="18">
        <v>0</v>
      </c>
      <c r="U413" s="22">
        <v>0.75</v>
      </c>
      <c r="V413" s="22">
        <f>3.55/5</f>
        <v>0.71</v>
      </c>
      <c r="W413" s="14" t="s">
        <v>7796</v>
      </c>
      <c r="X413" s="3">
        <v>2</v>
      </c>
      <c r="Z413" s="23">
        <v>6</v>
      </c>
      <c r="AB413" s="18">
        <f t="shared" si="12"/>
        <v>2022</v>
      </c>
      <c r="AC413" s="22">
        <f t="shared" si="13"/>
        <v>0.62</v>
      </c>
    </row>
    <row r="414" spans="1:29" ht="38.25">
      <c r="A414" s="8" t="s">
        <v>10499</v>
      </c>
      <c r="B414" s="17" t="s">
        <v>7744</v>
      </c>
      <c r="C414" s="13">
        <v>44616</v>
      </c>
      <c r="D414" s="13" t="s">
        <v>8465</v>
      </c>
      <c r="E414" s="10" t="s">
        <v>1565</v>
      </c>
      <c r="F414" s="10" t="s">
        <v>1566</v>
      </c>
      <c r="G414" s="11" t="s">
        <v>1567</v>
      </c>
      <c r="H414" s="2" t="s">
        <v>149</v>
      </c>
      <c r="L414" s="18">
        <v>1</v>
      </c>
      <c r="M414" s="14" t="s">
        <v>8462</v>
      </c>
      <c r="N414" s="13">
        <v>44479</v>
      </c>
      <c r="O414" s="29">
        <v>65.16</v>
      </c>
      <c r="P414" s="18" t="s">
        <v>14</v>
      </c>
      <c r="Q414" s="18">
        <v>0</v>
      </c>
      <c r="U414" s="22">
        <v>0.82</v>
      </c>
      <c r="V414" s="22">
        <f>4/5</f>
        <v>0.8</v>
      </c>
      <c r="X414" s="3">
        <v>4</v>
      </c>
      <c r="Z414" s="23">
        <v>45</v>
      </c>
      <c r="AB414" s="18">
        <f t="shared" si="12"/>
        <v>2022</v>
      </c>
      <c r="AC414" s="22">
        <f t="shared" si="13"/>
        <v>0.80666666666666664</v>
      </c>
    </row>
    <row r="415" spans="1:29">
      <c r="A415" s="8" t="s">
        <v>11516</v>
      </c>
      <c r="B415" s="17" t="s">
        <v>7744</v>
      </c>
      <c r="C415" s="13">
        <v>44616</v>
      </c>
      <c r="D415" s="13" t="s">
        <v>8463</v>
      </c>
      <c r="E415" s="10" t="s">
        <v>11649</v>
      </c>
      <c r="F415" s="10" t="s">
        <v>11650</v>
      </c>
      <c r="G415" s="11" t="s">
        <v>10579</v>
      </c>
      <c r="H415" s="2" t="s">
        <v>171</v>
      </c>
      <c r="K415" s="18">
        <v>2</v>
      </c>
      <c r="L415" s="18">
        <v>1</v>
      </c>
      <c r="M415" s="14" t="s">
        <v>8462</v>
      </c>
      <c r="N415" s="13">
        <v>44647</v>
      </c>
      <c r="O415" s="29">
        <v>53.39</v>
      </c>
      <c r="P415" s="18" t="s">
        <v>14</v>
      </c>
      <c r="Q415" s="18">
        <v>0</v>
      </c>
      <c r="V415" s="22">
        <f>4.13/5</f>
        <v>0.82599999999999996</v>
      </c>
      <c r="X415" s="3">
        <v>3</v>
      </c>
      <c r="Z415" s="23">
        <v>13</v>
      </c>
      <c r="AB415" s="18">
        <f t="shared" si="12"/>
        <v>2022</v>
      </c>
      <c r="AC415" s="22">
        <f t="shared" si="13"/>
        <v>0.71299999999999997</v>
      </c>
    </row>
    <row r="416" spans="1:29">
      <c r="A416" s="8" t="s">
        <v>11053</v>
      </c>
      <c r="B416" s="17" t="s">
        <v>9431</v>
      </c>
      <c r="C416" s="13">
        <v>44616</v>
      </c>
      <c r="D416" s="13" t="s">
        <v>8465</v>
      </c>
      <c r="E416" s="10" t="s">
        <v>1714</v>
      </c>
      <c r="F416" s="10" t="s">
        <v>11704</v>
      </c>
      <c r="H416" s="2" t="s">
        <v>1061</v>
      </c>
      <c r="L416" s="18">
        <v>1</v>
      </c>
      <c r="M416" s="14" t="s">
        <v>8462</v>
      </c>
      <c r="N416" s="13">
        <v>44561</v>
      </c>
      <c r="O416" s="29">
        <v>32.58</v>
      </c>
      <c r="P416" s="18" t="s">
        <v>14</v>
      </c>
      <c r="Q416" s="18">
        <v>0</v>
      </c>
      <c r="U416" s="22">
        <v>0.72</v>
      </c>
      <c r="V416" s="22">
        <f>3.6/5</f>
        <v>0.72</v>
      </c>
      <c r="X416" s="3">
        <v>3</v>
      </c>
      <c r="Z416" s="23">
        <v>6</v>
      </c>
      <c r="AB416" s="18">
        <f t="shared" si="12"/>
        <v>2022</v>
      </c>
      <c r="AC416" s="22">
        <f t="shared" si="13"/>
        <v>0.68</v>
      </c>
    </row>
    <row r="417" spans="1:29">
      <c r="A417" s="8" t="s">
        <v>12172</v>
      </c>
      <c r="B417" s="17" t="s">
        <v>7744</v>
      </c>
      <c r="C417" s="13">
        <v>44614</v>
      </c>
      <c r="D417" s="13" t="s">
        <v>9335</v>
      </c>
      <c r="E417" s="10" t="s">
        <v>7523</v>
      </c>
      <c r="F417" s="10" t="s">
        <v>12951</v>
      </c>
      <c r="H417" s="2" t="s">
        <v>1057</v>
      </c>
      <c r="K417" s="18">
        <v>2</v>
      </c>
      <c r="L417" s="18">
        <v>1</v>
      </c>
      <c r="M417" s="14" t="s">
        <v>8462</v>
      </c>
      <c r="N417" s="13">
        <v>44757</v>
      </c>
      <c r="O417" s="29">
        <v>29.99</v>
      </c>
      <c r="P417" s="18" t="s">
        <v>14</v>
      </c>
      <c r="Q417" s="18">
        <v>0</v>
      </c>
      <c r="V417" s="22">
        <f>4.5/5</f>
        <v>0.9</v>
      </c>
      <c r="X417" s="3">
        <v>3</v>
      </c>
      <c r="Z417" s="23">
        <v>16.5</v>
      </c>
      <c r="AB417" s="18">
        <f t="shared" si="12"/>
        <v>2022</v>
      </c>
      <c r="AC417" s="22">
        <f t="shared" si="13"/>
        <v>0.75</v>
      </c>
    </row>
    <row r="418" spans="1:29" ht="30">
      <c r="A418" s="8" t="s">
        <v>11134</v>
      </c>
      <c r="B418" s="17" t="s">
        <v>7744</v>
      </c>
      <c r="C418" s="13">
        <v>44614</v>
      </c>
      <c r="D418" s="13" t="s">
        <v>8465</v>
      </c>
      <c r="E418" s="10" t="s">
        <v>1058</v>
      </c>
      <c r="F418" s="10" t="s">
        <v>1058</v>
      </c>
      <c r="G418" s="11" t="s">
        <v>14558</v>
      </c>
      <c r="H418" s="2" t="s">
        <v>21</v>
      </c>
      <c r="L418" s="18">
        <v>1</v>
      </c>
      <c r="M418" s="14" t="s">
        <v>8462</v>
      </c>
      <c r="N418" s="13">
        <v>44598</v>
      </c>
      <c r="O418" s="29">
        <v>60.09</v>
      </c>
      <c r="P418" s="18" t="s">
        <v>14</v>
      </c>
      <c r="Q418" s="18">
        <v>0</v>
      </c>
      <c r="U418" s="22">
        <v>0.78</v>
      </c>
      <c r="V418" s="22">
        <f>4.33/5</f>
        <v>0.86599999999999999</v>
      </c>
      <c r="W418" s="14" t="s">
        <v>1134</v>
      </c>
      <c r="X418" s="3">
        <v>3</v>
      </c>
      <c r="Z418" s="23">
        <v>2</v>
      </c>
      <c r="AB418" s="18">
        <f t="shared" si="12"/>
        <v>2022</v>
      </c>
      <c r="AC418" s="22">
        <f t="shared" si="13"/>
        <v>0.7486666666666667</v>
      </c>
    </row>
    <row r="419" spans="1:29">
      <c r="A419" s="8" t="s">
        <v>12039</v>
      </c>
      <c r="B419" s="17" t="s">
        <v>7744</v>
      </c>
      <c r="C419" s="13">
        <v>44610</v>
      </c>
      <c r="D419" s="13" t="s">
        <v>8465</v>
      </c>
      <c r="E419" s="10" t="s">
        <v>12040</v>
      </c>
      <c r="F419" s="10" t="s">
        <v>12040</v>
      </c>
      <c r="H419" s="2" t="s">
        <v>75</v>
      </c>
      <c r="L419" s="18">
        <v>1</v>
      </c>
      <c r="N419" s="13">
        <v>44732</v>
      </c>
      <c r="O419" s="29">
        <v>1.99</v>
      </c>
      <c r="P419" s="18" t="s">
        <v>1107</v>
      </c>
      <c r="Q419" s="18">
        <v>0</v>
      </c>
      <c r="X419" s="3">
        <v>2</v>
      </c>
      <c r="AB419" s="18">
        <f t="shared" si="12"/>
        <v>2022</v>
      </c>
      <c r="AC419" s="22">
        <f t="shared" si="13"/>
        <v>0.4</v>
      </c>
    </row>
    <row r="420" spans="1:29" ht="25.5">
      <c r="A420" s="8" t="s">
        <v>10537</v>
      </c>
      <c r="B420" s="17" t="s">
        <v>9431</v>
      </c>
      <c r="C420" s="13">
        <v>44609</v>
      </c>
      <c r="D420" s="13" t="s">
        <v>8465</v>
      </c>
      <c r="E420" s="10" t="s">
        <v>4511</v>
      </c>
      <c r="F420" s="10" t="s">
        <v>170</v>
      </c>
      <c r="G420" s="11" t="s">
        <v>567</v>
      </c>
      <c r="H420" s="2" t="s">
        <v>459</v>
      </c>
      <c r="L420" s="18">
        <v>1</v>
      </c>
      <c r="M420" s="14" t="s">
        <v>8462</v>
      </c>
      <c r="N420" s="13">
        <v>44489</v>
      </c>
      <c r="O420" s="29">
        <v>65.16</v>
      </c>
      <c r="P420" s="18" t="s">
        <v>14</v>
      </c>
      <c r="Q420" s="18">
        <v>0</v>
      </c>
      <c r="U420" s="22">
        <v>0.8</v>
      </c>
      <c r="V420" s="22">
        <f>3.88/5</f>
        <v>0.77600000000000002</v>
      </c>
      <c r="X420" s="3">
        <v>3</v>
      </c>
      <c r="Z420" s="23">
        <f>54/60</f>
        <v>0.9</v>
      </c>
      <c r="AB420" s="18">
        <f t="shared" si="12"/>
        <v>2022</v>
      </c>
      <c r="AC420" s="22">
        <f t="shared" si="13"/>
        <v>0.72533333333333339</v>
      </c>
    </row>
    <row r="421" spans="1:29">
      <c r="A421" s="8" t="s">
        <v>13800</v>
      </c>
      <c r="B421" s="17" t="s">
        <v>13799</v>
      </c>
      <c r="C421" s="13">
        <v>44609</v>
      </c>
      <c r="D421" s="13" t="s">
        <v>8465</v>
      </c>
      <c r="E421" s="10" t="s">
        <v>13801</v>
      </c>
      <c r="F421" s="10" t="s">
        <v>13801</v>
      </c>
      <c r="H421" s="2" t="s">
        <v>78</v>
      </c>
      <c r="L421" s="18">
        <v>1</v>
      </c>
      <c r="N421" s="13">
        <v>45004</v>
      </c>
      <c r="O421" s="29">
        <v>0</v>
      </c>
      <c r="P421" s="18" t="s">
        <v>1107</v>
      </c>
      <c r="Q421" s="18">
        <v>0</v>
      </c>
      <c r="W421" s="14" t="s">
        <v>8765</v>
      </c>
      <c r="X421" s="3">
        <v>3</v>
      </c>
      <c r="AB421" s="18">
        <f t="shared" si="12"/>
        <v>2022</v>
      </c>
      <c r="AC421" s="22">
        <f t="shared" si="13"/>
        <v>0.6</v>
      </c>
    </row>
    <row r="422" spans="1:29" ht="25.5">
      <c r="A422" s="8" t="s">
        <v>11052</v>
      </c>
      <c r="B422" s="17" t="s">
        <v>7744</v>
      </c>
      <c r="C422" s="13">
        <v>44609</v>
      </c>
      <c r="D422" s="13" t="s">
        <v>8465</v>
      </c>
      <c r="E422" s="10" t="s">
        <v>1047</v>
      </c>
      <c r="F422" s="10" t="s">
        <v>1048</v>
      </c>
      <c r="G422" s="11" t="s">
        <v>1563</v>
      </c>
      <c r="H422" s="2" t="s">
        <v>80</v>
      </c>
      <c r="L422" s="18">
        <v>1</v>
      </c>
      <c r="M422" s="14" t="s">
        <v>8462</v>
      </c>
      <c r="N422" s="13">
        <v>44572</v>
      </c>
      <c r="O422" s="29">
        <v>43.44</v>
      </c>
      <c r="P422" s="18" t="s">
        <v>14</v>
      </c>
      <c r="Q422" s="18">
        <v>0</v>
      </c>
      <c r="U422" s="22">
        <v>0.75</v>
      </c>
      <c r="V422" s="22">
        <f>4.16/5</f>
        <v>0.83200000000000007</v>
      </c>
      <c r="X422" s="3">
        <v>2</v>
      </c>
      <c r="Z422" s="23">
        <v>69</v>
      </c>
      <c r="AB422" s="18">
        <f t="shared" si="12"/>
        <v>2022</v>
      </c>
      <c r="AC422" s="22">
        <f t="shared" si="13"/>
        <v>0.66066666666666674</v>
      </c>
    </row>
    <row r="423" spans="1:29">
      <c r="A423" s="8" t="s">
        <v>14083</v>
      </c>
      <c r="B423" s="17" t="s">
        <v>7800</v>
      </c>
      <c r="C423" s="13">
        <v>44608</v>
      </c>
      <c r="D423" s="13" t="s">
        <v>8465</v>
      </c>
      <c r="E423" s="10" t="s">
        <v>14084</v>
      </c>
      <c r="F423" s="10" t="s">
        <v>14084</v>
      </c>
      <c r="H423" s="2" t="s">
        <v>1061</v>
      </c>
      <c r="L423" s="18">
        <v>1</v>
      </c>
      <c r="O423" s="29">
        <v>0</v>
      </c>
      <c r="P423" s="18" t="s">
        <v>1107</v>
      </c>
      <c r="Q423" s="18">
        <v>0</v>
      </c>
      <c r="W423" s="14" t="s">
        <v>8765</v>
      </c>
      <c r="X423" s="3">
        <v>2</v>
      </c>
      <c r="Z423" s="23">
        <f>18/60</f>
        <v>0.3</v>
      </c>
      <c r="AB423" s="18">
        <f t="shared" si="12"/>
        <v>2022</v>
      </c>
      <c r="AC423" s="22">
        <f t="shared" si="13"/>
        <v>0.4</v>
      </c>
    </row>
    <row r="424" spans="1:29" ht="25.5">
      <c r="A424" s="8" t="s">
        <v>11174</v>
      </c>
      <c r="B424" s="17" t="s">
        <v>7744</v>
      </c>
      <c r="C424" s="13">
        <v>44607</v>
      </c>
      <c r="D424" s="13" t="s">
        <v>8465</v>
      </c>
      <c r="E424" s="10" t="s">
        <v>1565</v>
      </c>
      <c r="F424" s="10" t="s">
        <v>1471</v>
      </c>
      <c r="G424" s="11" t="s">
        <v>7935</v>
      </c>
      <c r="H424" s="2" t="s">
        <v>1059</v>
      </c>
      <c r="L424" s="18">
        <v>1</v>
      </c>
      <c r="M424" s="14" t="s">
        <v>8462</v>
      </c>
      <c r="N424" s="13">
        <v>44479</v>
      </c>
      <c r="O424" s="29">
        <v>65.16</v>
      </c>
      <c r="P424" s="18" t="s">
        <v>14</v>
      </c>
      <c r="Q424" s="18">
        <v>0</v>
      </c>
      <c r="U424" s="22">
        <v>0.52</v>
      </c>
      <c r="V424" s="22">
        <f>3.64/5</f>
        <v>0.72799999999999998</v>
      </c>
      <c r="X424" s="3">
        <v>3</v>
      </c>
      <c r="Z424" s="23">
        <v>5</v>
      </c>
      <c r="AB424" s="18">
        <f t="shared" si="12"/>
        <v>2022</v>
      </c>
      <c r="AC424" s="22">
        <f t="shared" si="13"/>
        <v>0.61599999999999999</v>
      </c>
    </row>
    <row r="425" spans="1:29" ht="30">
      <c r="A425" s="8" t="s">
        <v>11118</v>
      </c>
      <c r="B425" s="17" t="s">
        <v>7744</v>
      </c>
      <c r="C425" s="13">
        <v>44606</v>
      </c>
      <c r="D425" s="13" t="s">
        <v>8465</v>
      </c>
      <c r="E425" s="10" t="s">
        <v>479</v>
      </c>
      <c r="F425" s="10" t="s">
        <v>1084</v>
      </c>
      <c r="G425" s="11" t="s">
        <v>7980</v>
      </c>
      <c r="H425" s="2" t="s">
        <v>153</v>
      </c>
      <c r="L425" s="18">
        <v>1</v>
      </c>
      <c r="M425" s="14" t="s">
        <v>8462</v>
      </c>
      <c r="N425" s="13">
        <v>44589</v>
      </c>
      <c r="O425" s="29">
        <v>41.12</v>
      </c>
      <c r="P425" s="18" t="s">
        <v>14</v>
      </c>
      <c r="Q425" s="18">
        <v>0</v>
      </c>
      <c r="U425" s="22">
        <v>0.68</v>
      </c>
      <c r="V425" s="22">
        <f>3.53/5</f>
        <v>0.70599999999999996</v>
      </c>
      <c r="W425" s="14" t="s">
        <v>1134</v>
      </c>
      <c r="X425" s="3">
        <v>3</v>
      </c>
      <c r="Z425" s="23">
        <v>3</v>
      </c>
      <c r="AB425" s="18">
        <f t="shared" si="12"/>
        <v>2022</v>
      </c>
      <c r="AC425" s="22">
        <f t="shared" si="13"/>
        <v>0.66200000000000003</v>
      </c>
    </row>
    <row r="426" spans="1:29">
      <c r="A426" s="8" t="s">
        <v>12860</v>
      </c>
      <c r="B426" s="17" t="s">
        <v>7744</v>
      </c>
      <c r="C426" s="13">
        <v>44602</v>
      </c>
      <c r="D426" s="13" t="s">
        <v>8467</v>
      </c>
      <c r="E426" s="10" t="s">
        <v>1739</v>
      </c>
      <c r="F426" s="10" t="s">
        <v>12909</v>
      </c>
      <c r="H426" s="2" t="s">
        <v>64</v>
      </c>
      <c r="L426" s="18">
        <v>1</v>
      </c>
      <c r="M426" s="14" t="s">
        <v>8462</v>
      </c>
      <c r="N426" s="13">
        <v>44863</v>
      </c>
      <c r="O426" s="29">
        <v>46</v>
      </c>
      <c r="P426" s="18" t="s">
        <v>14</v>
      </c>
      <c r="Q426" s="18">
        <v>0</v>
      </c>
      <c r="U426" s="22">
        <v>0.76</v>
      </c>
      <c r="V426" s="22">
        <f>4.5/5</f>
        <v>0.9</v>
      </c>
      <c r="W426" s="14" t="s">
        <v>1739</v>
      </c>
      <c r="X426" s="3">
        <v>3</v>
      </c>
      <c r="Z426" s="23">
        <v>9</v>
      </c>
      <c r="AB426" s="18">
        <f t="shared" si="12"/>
        <v>2022</v>
      </c>
      <c r="AC426" s="22">
        <f t="shared" si="13"/>
        <v>0.75333333333333341</v>
      </c>
    </row>
    <row r="427" spans="1:29">
      <c r="A427" s="8" t="s">
        <v>13051</v>
      </c>
      <c r="B427" s="17" t="s">
        <v>7744</v>
      </c>
      <c r="C427" s="13">
        <v>44602</v>
      </c>
      <c r="D427" s="13" t="s">
        <v>8465</v>
      </c>
      <c r="E427" s="10" t="s">
        <v>13052</v>
      </c>
      <c r="F427" s="10" t="s">
        <v>13052</v>
      </c>
      <c r="H427" s="2" t="s">
        <v>67</v>
      </c>
      <c r="L427" s="18">
        <v>1</v>
      </c>
      <c r="N427" s="13">
        <v>44923</v>
      </c>
      <c r="O427" s="29">
        <v>5.69</v>
      </c>
      <c r="P427" s="18" t="s">
        <v>1107</v>
      </c>
      <c r="Q427" s="18">
        <v>0</v>
      </c>
      <c r="U427" s="22">
        <v>0.65</v>
      </c>
      <c r="V427" s="22">
        <f>4.33/5</f>
        <v>0.86599999999999999</v>
      </c>
      <c r="X427" s="3">
        <v>3</v>
      </c>
      <c r="Z427" s="23">
        <v>5.5</v>
      </c>
      <c r="AB427" s="18">
        <f t="shared" si="12"/>
        <v>2022</v>
      </c>
      <c r="AC427" s="22">
        <f t="shared" si="13"/>
        <v>0.70533333333333337</v>
      </c>
    </row>
    <row r="428" spans="1:29">
      <c r="A428" s="8" t="s">
        <v>13135</v>
      </c>
      <c r="B428" s="17" t="s">
        <v>9431</v>
      </c>
      <c r="C428" s="13">
        <v>44602</v>
      </c>
      <c r="D428" s="13" t="s">
        <v>8465</v>
      </c>
      <c r="E428" s="10" t="s">
        <v>3074</v>
      </c>
      <c r="F428" s="10" t="s">
        <v>4138</v>
      </c>
      <c r="H428" s="2" t="s">
        <v>149</v>
      </c>
      <c r="L428" s="18">
        <v>1</v>
      </c>
      <c r="M428" s="14" t="s">
        <v>8462</v>
      </c>
      <c r="N428" s="13">
        <v>44926</v>
      </c>
      <c r="O428" s="29">
        <v>39.97</v>
      </c>
      <c r="P428" s="18" t="s">
        <v>14</v>
      </c>
      <c r="Q428" s="18">
        <v>0</v>
      </c>
      <c r="U428" s="22">
        <v>0.6</v>
      </c>
      <c r="V428" s="22">
        <f>3.63/5</f>
        <v>0.72599999999999998</v>
      </c>
      <c r="X428" s="3">
        <v>3</v>
      </c>
      <c r="Z428" s="23">
        <v>28</v>
      </c>
      <c r="AB428" s="18">
        <f t="shared" si="12"/>
        <v>2022</v>
      </c>
      <c r="AC428" s="22">
        <f t="shared" si="13"/>
        <v>0.64200000000000002</v>
      </c>
    </row>
    <row r="429" spans="1:29" ht="30">
      <c r="A429" s="8" t="s">
        <v>11117</v>
      </c>
      <c r="B429" s="17" t="s">
        <v>7744</v>
      </c>
      <c r="C429" s="13">
        <v>44602</v>
      </c>
      <c r="D429" s="13" t="s">
        <v>8465</v>
      </c>
      <c r="E429" s="10" t="s">
        <v>12995</v>
      </c>
      <c r="F429" s="10" t="s">
        <v>12995</v>
      </c>
      <c r="G429" s="11" t="s">
        <v>1295</v>
      </c>
      <c r="H429" s="2" t="s">
        <v>6510</v>
      </c>
      <c r="L429" s="18">
        <v>1</v>
      </c>
      <c r="M429" s="14" t="s">
        <v>8462</v>
      </c>
      <c r="N429" s="13">
        <v>44589</v>
      </c>
      <c r="O429" s="29">
        <v>46.12</v>
      </c>
      <c r="P429" s="18" t="s">
        <v>14</v>
      </c>
      <c r="Q429" s="18">
        <v>0</v>
      </c>
      <c r="V429" s="22">
        <f>3.93/5</f>
        <v>0.78600000000000003</v>
      </c>
      <c r="W429" s="14" t="s">
        <v>1134</v>
      </c>
      <c r="X429" s="3">
        <v>2</v>
      </c>
      <c r="Z429" s="23">
        <f>1+1+51/60</f>
        <v>2.85</v>
      </c>
      <c r="AB429" s="18">
        <f t="shared" si="12"/>
        <v>2022</v>
      </c>
      <c r="AC429" s="22">
        <f t="shared" si="13"/>
        <v>0.59299999999999997</v>
      </c>
    </row>
    <row r="430" spans="1:29" ht="25.5">
      <c r="A430" s="8" t="s">
        <v>11438</v>
      </c>
      <c r="B430" s="17" t="s">
        <v>7800</v>
      </c>
      <c r="C430" s="13">
        <v>44602</v>
      </c>
      <c r="D430" s="13" t="s">
        <v>8465</v>
      </c>
      <c r="E430" s="10" t="s">
        <v>9484</v>
      </c>
      <c r="F430" s="10" t="s">
        <v>11439</v>
      </c>
      <c r="G430" s="11" t="s">
        <v>12663</v>
      </c>
      <c r="H430" s="2" t="s">
        <v>1061</v>
      </c>
      <c r="L430" s="18">
        <v>1</v>
      </c>
      <c r="N430" s="13">
        <v>44638</v>
      </c>
      <c r="O430" s="29">
        <v>0</v>
      </c>
      <c r="P430" s="18" t="s">
        <v>1107</v>
      </c>
      <c r="Q430" s="18">
        <v>0</v>
      </c>
      <c r="U430" s="22">
        <v>0.61</v>
      </c>
      <c r="V430" s="22">
        <f>3.45/5</f>
        <v>0.69000000000000006</v>
      </c>
      <c r="W430" s="14" t="s">
        <v>7777</v>
      </c>
      <c r="X430" s="3">
        <v>2</v>
      </c>
      <c r="Z430" s="23">
        <v>9</v>
      </c>
      <c r="AB430" s="18">
        <f t="shared" si="12"/>
        <v>2022</v>
      </c>
      <c r="AC430" s="22">
        <f t="shared" si="13"/>
        <v>0.56666666666666676</v>
      </c>
    </row>
    <row r="431" spans="1:29" ht="25.5">
      <c r="A431" s="8" t="s">
        <v>14817</v>
      </c>
      <c r="B431" s="17" t="s">
        <v>7800</v>
      </c>
      <c r="C431" s="13">
        <v>44602</v>
      </c>
      <c r="D431" s="13" t="s">
        <v>8465</v>
      </c>
      <c r="E431" s="10" t="s">
        <v>6112</v>
      </c>
      <c r="F431" s="10" t="s">
        <v>14818</v>
      </c>
      <c r="H431" s="2" t="s">
        <v>1334</v>
      </c>
      <c r="L431" s="18">
        <v>1</v>
      </c>
      <c r="N431" s="13">
        <v>45069</v>
      </c>
      <c r="O431" s="29">
        <v>0</v>
      </c>
      <c r="P431" s="18" t="s">
        <v>1107</v>
      </c>
      <c r="Q431" s="18">
        <v>0</v>
      </c>
      <c r="V431" s="22">
        <f>3/5</f>
        <v>0.6</v>
      </c>
      <c r="W431" s="14" t="s">
        <v>7799</v>
      </c>
      <c r="X431" s="3">
        <v>2</v>
      </c>
      <c r="Z431" s="23">
        <v>2.5</v>
      </c>
      <c r="AB431" s="18">
        <f t="shared" si="12"/>
        <v>2022</v>
      </c>
      <c r="AC431" s="22">
        <f t="shared" si="13"/>
        <v>0.5</v>
      </c>
    </row>
    <row r="432" spans="1:29">
      <c r="A432" s="8" t="s">
        <v>13343</v>
      </c>
      <c r="B432" s="17" t="s">
        <v>7800</v>
      </c>
      <c r="C432" s="13">
        <v>44602</v>
      </c>
      <c r="D432" s="13" t="s">
        <v>8465</v>
      </c>
      <c r="E432" s="10" t="s">
        <v>8722</v>
      </c>
      <c r="F432" s="10" t="s">
        <v>9861</v>
      </c>
      <c r="G432" s="11" t="s">
        <v>9860</v>
      </c>
      <c r="H432" s="2" t="s">
        <v>1050</v>
      </c>
      <c r="L432" s="18">
        <v>1</v>
      </c>
      <c r="N432" s="13">
        <v>44946</v>
      </c>
      <c r="O432" s="29">
        <v>0</v>
      </c>
      <c r="P432" s="18" t="s">
        <v>1107</v>
      </c>
      <c r="Q432" s="18">
        <v>0</v>
      </c>
      <c r="U432" s="22">
        <v>0.71</v>
      </c>
      <c r="V432" s="22">
        <f>3.19/5</f>
        <v>0.63800000000000001</v>
      </c>
      <c r="W432" s="14" t="s">
        <v>7777</v>
      </c>
      <c r="X432" s="3">
        <v>3</v>
      </c>
      <c r="Z432" s="23">
        <v>6.5</v>
      </c>
      <c r="AB432" s="18">
        <f t="shared" si="12"/>
        <v>2022</v>
      </c>
      <c r="AC432" s="22">
        <f t="shared" si="13"/>
        <v>0.64933333333333332</v>
      </c>
    </row>
    <row r="433" spans="1:29">
      <c r="A433" s="8" t="s">
        <v>11115</v>
      </c>
      <c r="B433" s="17" t="s">
        <v>7744</v>
      </c>
      <c r="C433" s="13">
        <v>44596</v>
      </c>
      <c r="D433" s="13" t="s">
        <v>8465</v>
      </c>
      <c r="E433" s="10" t="s">
        <v>7877</v>
      </c>
      <c r="F433" s="10" t="s">
        <v>8698</v>
      </c>
      <c r="H433" s="2" t="s">
        <v>171</v>
      </c>
      <c r="L433" s="18">
        <v>1</v>
      </c>
      <c r="M433" s="14" t="s">
        <v>8462</v>
      </c>
      <c r="N433" s="13">
        <v>44593</v>
      </c>
      <c r="O433" s="29">
        <v>54.3</v>
      </c>
      <c r="P433" s="18" t="s">
        <v>14</v>
      </c>
      <c r="Q433" s="18">
        <v>0</v>
      </c>
      <c r="U433" s="22">
        <v>0.66</v>
      </c>
      <c r="V433" s="22">
        <f>3.31/5</f>
        <v>0.66200000000000003</v>
      </c>
      <c r="X433" s="3">
        <v>3</v>
      </c>
      <c r="Z433" s="23">
        <v>11</v>
      </c>
      <c r="AB433" s="18">
        <f t="shared" si="12"/>
        <v>2022</v>
      </c>
      <c r="AC433" s="22">
        <f t="shared" si="13"/>
        <v>0.64066666666666672</v>
      </c>
    </row>
    <row r="434" spans="1:29" ht="25.5">
      <c r="A434" s="8" t="s">
        <v>13394</v>
      </c>
      <c r="B434" s="17" t="s">
        <v>7800</v>
      </c>
      <c r="C434" s="13">
        <v>44595</v>
      </c>
      <c r="D434" s="13" t="s">
        <v>8465</v>
      </c>
      <c r="E434" s="10" t="s">
        <v>3405</v>
      </c>
      <c r="F434" s="10" t="s">
        <v>3405</v>
      </c>
      <c r="G434" s="11" t="s">
        <v>3755</v>
      </c>
      <c r="H434" s="2" t="s">
        <v>13395</v>
      </c>
      <c r="L434" s="18">
        <v>1</v>
      </c>
      <c r="N434" s="13">
        <v>44959</v>
      </c>
      <c r="O434" s="29">
        <v>21.84</v>
      </c>
      <c r="P434" s="18" t="s">
        <v>1107</v>
      </c>
      <c r="Q434" s="18">
        <v>0</v>
      </c>
      <c r="U434" s="22">
        <v>0.77</v>
      </c>
      <c r="V434" s="22">
        <f>3.23/5</f>
        <v>0.64600000000000002</v>
      </c>
      <c r="W434" s="14" t="s">
        <v>7777</v>
      </c>
      <c r="X434" s="3">
        <v>4</v>
      </c>
      <c r="Z434" s="23">
        <v>24</v>
      </c>
      <c r="AB434" s="18">
        <f t="shared" si="12"/>
        <v>2022</v>
      </c>
      <c r="AC434" s="22">
        <f t="shared" si="13"/>
        <v>0.73866666666666669</v>
      </c>
    </row>
    <row r="435" spans="1:29">
      <c r="A435" s="8" t="s">
        <v>14277</v>
      </c>
      <c r="B435" s="17" t="s">
        <v>7800</v>
      </c>
      <c r="C435" s="13">
        <v>44592</v>
      </c>
      <c r="D435" s="13" t="s">
        <v>8465</v>
      </c>
      <c r="E435" s="10" t="s">
        <v>14276</v>
      </c>
      <c r="F435" s="10" t="s">
        <v>14276</v>
      </c>
      <c r="H435" s="2" t="s">
        <v>171</v>
      </c>
      <c r="L435" s="18">
        <v>1</v>
      </c>
      <c r="O435" s="29">
        <v>0</v>
      </c>
      <c r="P435" s="18" t="s">
        <v>1107</v>
      </c>
      <c r="Q435" s="18">
        <v>0</v>
      </c>
      <c r="W435" s="14" t="s">
        <v>8765</v>
      </c>
      <c r="X435" s="3">
        <v>3</v>
      </c>
      <c r="Z435" s="23">
        <v>4.5</v>
      </c>
      <c r="AB435" s="18">
        <f t="shared" si="12"/>
        <v>2022</v>
      </c>
      <c r="AC435" s="22">
        <f t="shared" si="13"/>
        <v>0.6</v>
      </c>
    </row>
    <row r="436" spans="1:29" ht="90">
      <c r="A436" s="8" t="s">
        <v>12923</v>
      </c>
      <c r="B436" s="17" t="s">
        <v>7744</v>
      </c>
      <c r="C436" s="13">
        <v>44588</v>
      </c>
      <c r="D436" s="13" t="s">
        <v>8465</v>
      </c>
      <c r="E436" s="10" t="s">
        <v>11525</v>
      </c>
      <c r="F436" s="10" t="s">
        <v>11525</v>
      </c>
      <c r="H436" s="2" t="s">
        <v>56</v>
      </c>
      <c r="L436" s="18">
        <v>1</v>
      </c>
      <c r="M436" s="14" t="s">
        <v>8462</v>
      </c>
      <c r="N436" s="13">
        <v>44586</v>
      </c>
      <c r="O436" s="29">
        <v>87.94</v>
      </c>
      <c r="P436" s="18" t="s">
        <v>14</v>
      </c>
      <c r="Q436" s="18">
        <v>0</v>
      </c>
      <c r="V436" s="22">
        <f>4/5</f>
        <v>0.8</v>
      </c>
      <c r="W436" s="14" t="s">
        <v>12924</v>
      </c>
      <c r="X436" s="3">
        <v>3</v>
      </c>
      <c r="AB436" s="18">
        <f t="shared" si="12"/>
        <v>2022</v>
      </c>
      <c r="AC436" s="22">
        <f t="shared" si="13"/>
        <v>0.7</v>
      </c>
    </row>
    <row r="437" spans="1:29" ht="60">
      <c r="A437" s="8" t="s">
        <v>12925</v>
      </c>
      <c r="B437" s="17" t="s">
        <v>7744</v>
      </c>
      <c r="C437" s="13">
        <v>44588</v>
      </c>
      <c r="D437" s="13" t="s">
        <v>8465</v>
      </c>
      <c r="E437" s="10" t="s">
        <v>1070</v>
      </c>
      <c r="F437" s="10" t="s">
        <v>1070</v>
      </c>
      <c r="G437" s="11" t="s">
        <v>2477</v>
      </c>
      <c r="H437" s="2" t="s">
        <v>56</v>
      </c>
      <c r="L437" s="18">
        <v>1</v>
      </c>
      <c r="M437" s="14" t="s">
        <v>8462</v>
      </c>
      <c r="N437" s="13">
        <v>44586</v>
      </c>
      <c r="O437" s="29">
        <v>0</v>
      </c>
      <c r="P437" s="18" t="s">
        <v>14</v>
      </c>
      <c r="Q437" s="18">
        <v>0</v>
      </c>
      <c r="U437" s="22">
        <v>0.77</v>
      </c>
      <c r="V437" s="22">
        <f>3.38/5</f>
        <v>0.67599999999999993</v>
      </c>
      <c r="W437" s="14" t="s">
        <v>12926</v>
      </c>
      <c r="X437" s="3">
        <v>3</v>
      </c>
      <c r="Z437" s="23">
        <v>3.5</v>
      </c>
      <c r="AB437" s="18">
        <f t="shared" si="12"/>
        <v>2022</v>
      </c>
      <c r="AC437" s="22">
        <f t="shared" si="13"/>
        <v>0.68199999999999994</v>
      </c>
    </row>
    <row r="438" spans="1:29" ht="25.5">
      <c r="A438" s="8" t="s">
        <v>12173</v>
      </c>
      <c r="B438" s="17" t="s">
        <v>7744</v>
      </c>
      <c r="C438" s="13">
        <v>44588</v>
      </c>
      <c r="D438" s="13" t="s">
        <v>9335</v>
      </c>
      <c r="E438" s="10" t="s">
        <v>1457</v>
      </c>
      <c r="F438" s="10" t="s">
        <v>1457</v>
      </c>
      <c r="H438" s="2" t="s">
        <v>1220</v>
      </c>
      <c r="K438" s="18">
        <v>2</v>
      </c>
      <c r="L438" s="18">
        <v>1</v>
      </c>
      <c r="M438" s="14" t="s">
        <v>8462</v>
      </c>
      <c r="N438" s="13">
        <v>44757</v>
      </c>
      <c r="O438" s="29">
        <v>61.99</v>
      </c>
      <c r="P438" s="18" t="s">
        <v>14</v>
      </c>
      <c r="Q438" s="18">
        <v>0</v>
      </c>
      <c r="V438" s="22">
        <f>4.5/5</f>
        <v>0.9</v>
      </c>
      <c r="X438" s="3">
        <v>2</v>
      </c>
      <c r="AB438" s="18">
        <f t="shared" si="12"/>
        <v>2022</v>
      </c>
      <c r="AC438" s="22">
        <f t="shared" si="13"/>
        <v>0.65</v>
      </c>
    </row>
    <row r="439" spans="1:29" ht="25.5">
      <c r="A439" s="8" t="s">
        <v>12644</v>
      </c>
      <c r="B439" s="17" t="s">
        <v>7800</v>
      </c>
      <c r="C439" s="13">
        <v>44586</v>
      </c>
      <c r="D439" s="13" t="s">
        <v>8465</v>
      </c>
      <c r="E439" s="10" t="s">
        <v>3063</v>
      </c>
      <c r="F439" s="10" t="s">
        <v>4942</v>
      </c>
      <c r="G439" s="11" t="s">
        <v>4943</v>
      </c>
      <c r="H439" s="2" t="s">
        <v>1050</v>
      </c>
      <c r="L439" s="18">
        <v>1</v>
      </c>
      <c r="N439" s="13">
        <v>44825</v>
      </c>
      <c r="O439" s="29">
        <v>0</v>
      </c>
      <c r="P439" s="18" t="s">
        <v>1107</v>
      </c>
      <c r="Q439" s="18">
        <v>0</v>
      </c>
      <c r="U439" s="22">
        <v>0.7</v>
      </c>
      <c r="V439" s="22">
        <f>3.81/5</f>
        <v>0.76200000000000001</v>
      </c>
      <c r="W439" s="14" t="s">
        <v>7777</v>
      </c>
      <c r="X439" s="3">
        <v>4</v>
      </c>
      <c r="Z439" s="23">
        <v>4</v>
      </c>
      <c r="AB439" s="18">
        <f t="shared" si="12"/>
        <v>2022</v>
      </c>
      <c r="AC439" s="22">
        <f t="shared" si="13"/>
        <v>0.754</v>
      </c>
    </row>
    <row r="440" spans="1:29">
      <c r="A440" s="8" t="s">
        <v>12969</v>
      </c>
      <c r="B440" s="17" t="s">
        <v>7744</v>
      </c>
      <c r="C440" s="13">
        <v>44581</v>
      </c>
      <c r="D440" s="13" t="s">
        <v>8465</v>
      </c>
      <c r="E440" s="10" t="s">
        <v>59</v>
      </c>
      <c r="F440" s="10" t="s">
        <v>13041</v>
      </c>
      <c r="G440" s="11" t="s">
        <v>13042</v>
      </c>
      <c r="H440" s="2" t="s">
        <v>171</v>
      </c>
      <c r="L440" s="18">
        <v>1</v>
      </c>
      <c r="M440" s="14" t="s">
        <v>8462</v>
      </c>
      <c r="N440" s="13">
        <v>44881</v>
      </c>
      <c r="O440" s="29">
        <v>29.99</v>
      </c>
      <c r="P440" s="18" t="s">
        <v>14</v>
      </c>
      <c r="Q440" s="18">
        <v>0</v>
      </c>
      <c r="U440" s="22">
        <v>0.68</v>
      </c>
      <c r="V440" s="22">
        <f>4.5/5</f>
        <v>0.9</v>
      </c>
      <c r="X440" s="3">
        <v>3</v>
      </c>
      <c r="Z440" s="23">
        <v>12.5</v>
      </c>
      <c r="AB440" s="18">
        <f t="shared" si="12"/>
        <v>2022</v>
      </c>
      <c r="AC440" s="22">
        <f t="shared" si="13"/>
        <v>0.72666666666666668</v>
      </c>
    </row>
    <row r="441" spans="1:29">
      <c r="A441" s="8" t="s">
        <v>13614</v>
      </c>
      <c r="B441" s="17" t="s">
        <v>7744</v>
      </c>
      <c r="C441" s="13">
        <v>44581</v>
      </c>
      <c r="D441" s="13" t="s">
        <v>8465</v>
      </c>
      <c r="E441" s="10" t="s">
        <v>1721</v>
      </c>
      <c r="F441" s="10" t="s">
        <v>1721</v>
      </c>
      <c r="G441" s="11" t="s">
        <v>543</v>
      </c>
      <c r="H441" s="2" t="s">
        <v>255</v>
      </c>
      <c r="L441" s="18">
        <v>1</v>
      </c>
      <c r="M441" s="14" t="s">
        <v>8462</v>
      </c>
      <c r="N441" s="13">
        <v>44979</v>
      </c>
      <c r="O441" s="29">
        <v>34.99</v>
      </c>
      <c r="P441" s="18" t="s">
        <v>14</v>
      </c>
      <c r="Q441" s="18">
        <v>0</v>
      </c>
      <c r="U441" s="22">
        <v>0.78</v>
      </c>
      <c r="V441" s="22">
        <f>3.81/5</f>
        <v>0.76200000000000001</v>
      </c>
      <c r="X441" s="3">
        <v>3</v>
      </c>
      <c r="Z441" s="23">
        <v>1</v>
      </c>
      <c r="AB441" s="18">
        <f t="shared" si="12"/>
        <v>2022</v>
      </c>
      <c r="AC441" s="22">
        <f t="shared" si="13"/>
        <v>0.71399999999999997</v>
      </c>
    </row>
    <row r="442" spans="1:29" ht="25.5">
      <c r="A442" s="8" t="s">
        <v>12084</v>
      </c>
      <c r="B442" s="17" t="s">
        <v>7800</v>
      </c>
      <c r="C442" s="13">
        <v>44581</v>
      </c>
      <c r="D442" s="13" t="s">
        <v>8465</v>
      </c>
      <c r="E442" s="10" t="s">
        <v>12085</v>
      </c>
      <c r="F442" s="10" t="s">
        <v>12086</v>
      </c>
      <c r="H442" s="2" t="s">
        <v>1057</v>
      </c>
      <c r="L442" s="18">
        <v>1</v>
      </c>
      <c r="N442" s="13">
        <v>44744</v>
      </c>
      <c r="O442" s="29">
        <v>10</v>
      </c>
      <c r="P442" s="18" t="s">
        <v>1107</v>
      </c>
      <c r="Q442" s="18">
        <v>0</v>
      </c>
      <c r="U442" s="22">
        <v>0.78</v>
      </c>
      <c r="V442" s="22">
        <f>3.5/5</f>
        <v>0.7</v>
      </c>
      <c r="W442" s="14" t="s">
        <v>7777</v>
      </c>
      <c r="X442" s="3">
        <v>3</v>
      </c>
      <c r="Z442" s="23">
        <v>2</v>
      </c>
      <c r="AB442" s="18">
        <f t="shared" si="12"/>
        <v>2022</v>
      </c>
      <c r="AC442" s="22">
        <f t="shared" si="13"/>
        <v>0.69333333333333336</v>
      </c>
    </row>
    <row r="443" spans="1:29">
      <c r="A443" s="8" t="s">
        <v>15993</v>
      </c>
      <c r="B443" s="17" t="s">
        <v>7800</v>
      </c>
      <c r="C443" s="13">
        <v>44579</v>
      </c>
      <c r="D443" s="13" t="s">
        <v>8465</v>
      </c>
      <c r="E443" s="10" t="s">
        <v>15994</v>
      </c>
      <c r="F443" s="10" t="s">
        <v>15994</v>
      </c>
      <c r="H443" s="2" t="s">
        <v>149</v>
      </c>
      <c r="L443" s="18">
        <v>1</v>
      </c>
      <c r="N443" s="13">
        <v>45196</v>
      </c>
      <c r="O443" s="29">
        <v>0</v>
      </c>
      <c r="P443" s="18" t="s">
        <v>1107</v>
      </c>
      <c r="Q443" s="18">
        <v>0</v>
      </c>
      <c r="W443" s="14" t="s">
        <v>7777</v>
      </c>
      <c r="X443" s="3">
        <v>2</v>
      </c>
      <c r="Z443" s="23">
        <v>6</v>
      </c>
      <c r="AB443" s="18">
        <f t="shared" si="12"/>
        <v>2022</v>
      </c>
      <c r="AC443" s="22">
        <f t="shared" si="13"/>
        <v>0.4</v>
      </c>
    </row>
    <row r="444" spans="1:29">
      <c r="A444" s="8" t="s">
        <v>12991</v>
      </c>
      <c r="B444" s="17" t="s">
        <v>7800</v>
      </c>
      <c r="C444" s="13">
        <v>44578</v>
      </c>
      <c r="D444" s="13" t="s">
        <v>8465</v>
      </c>
      <c r="E444" s="10" t="s">
        <v>11373</v>
      </c>
      <c r="F444" s="10" t="s">
        <v>12992</v>
      </c>
      <c r="H444" s="2" t="s">
        <v>1518</v>
      </c>
      <c r="L444" s="18">
        <v>1</v>
      </c>
      <c r="N444" s="13">
        <v>44901</v>
      </c>
      <c r="O444" s="29">
        <v>0</v>
      </c>
      <c r="P444" s="18" t="s">
        <v>1107</v>
      </c>
      <c r="Q444" s="18">
        <v>0</v>
      </c>
      <c r="V444" s="22">
        <f>3.88/5</f>
        <v>0.77600000000000002</v>
      </c>
      <c r="W444" s="14" t="s">
        <v>7777</v>
      </c>
      <c r="X444" s="3">
        <v>2</v>
      </c>
      <c r="Z444" s="23">
        <v>14.5</v>
      </c>
      <c r="AB444" s="18">
        <f t="shared" si="12"/>
        <v>2022</v>
      </c>
      <c r="AC444" s="22">
        <f t="shared" si="13"/>
        <v>0.58800000000000008</v>
      </c>
    </row>
    <row r="445" spans="1:29">
      <c r="A445" s="8" t="s">
        <v>14089</v>
      </c>
      <c r="B445" s="17" t="s">
        <v>7800</v>
      </c>
      <c r="C445" s="13">
        <v>44578</v>
      </c>
      <c r="D445" s="13" t="s">
        <v>8465</v>
      </c>
      <c r="E445" s="10" t="s">
        <v>14090</v>
      </c>
      <c r="F445" s="10" t="s">
        <v>14090</v>
      </c>
      <c r="H445" s="2" t="s">
        <v>67</v>
      </c>
      <c r="L445" s="18">
        <v>1</v>
      </c>
      <c r="O445" s="29">
        <v>0</v>
      </c>
      <c r="P445" s="18" t="s">
        <v>1107</v>
      </c>
      <c r="Q445" s="18">
        <v>0</v>
      </c>
      <c r="W445" s="14" t="s">
        <v>8765</v>
      </c>
      <c r="X445" s="3">
        <v>2</v>
      </c>
      <c r="AB445" s="18">
        <f t="shared" si="12"/>
        <v>2022</v>
      </c>
      <c r="AC445" s="22">
        <f t="shared" si="13"/>
        <v>0.4</v>
      </c>
    </row>
    <row r="446" spans="1:29" ht="25.5">
      <c r="A446" s="8" t="s">
        <v>13346</v>
      </c>
      <c r="B446" s="17" t="s">
        <v>7800</v>
      </c>
      <c r="C446" s="13">
        <v>44575</v>
      </c>
      <c r="D446" s="13" t="s">
        <v>8465</v>
      </c>
      <c r="E446" s="10" t="s">
        <v>11414</v>
      </c>
      <c r="F446" s="10" t="s">
        <v>11414</v>
      </c>
      <c r="G446" s="11" t="s">
        <v>11413</v>
      </c>
      <c r="H446" s="2" t="s">
        <v>151</v>
      </c>
      <c r="L446" s="18">
        <v>1</v>
      </c>
      <c r="N446" s="13">
        <v>44946</v>
      </c>
      <c r="O446" s="29">
        <v>0</v>
      </c>
      <c r="P446" s="18" t="s">
        <v>1107</v>
      </c>
      <c r="Q446" s="18">
        <v>0</v>
      </c>
      <c r="V446" s="22">
        <f>3.83/5</f>
        <v>0.76600000000000001</v>
      </c>
      <c r="W446" s="14" t="s">
        <v>7777</v>
      </c>
      <c r="X446" s="3">
        <v>3</v>
      </c>
      <c r="Z446" s="23">
        <v>8</v>
      </c>
      <c r="AB446" s="18">
        <f t="shared" si="12"/>
        <v>2022</v>
      </c>
      <c r="AC446" s="22">
        <f t="shared" si="13"/>
        <v>0.68300000000000005</v>
      </c>
    </row>
    <row r="447" spans="1:29">
      <c r="A447" s="8" t="s">
        <v>12927</v>
      </c>
      <c r="B447" s="17" t="s">
        <v>7744</v>
      </c>
      <c r="C447" s="13">
        <v>44574</v>
      </c>
      <c r="D447" s="13" t="s">
        <v>8465</v>
      </c>
      <c r="E447" s="10" t="s">
        <v>12928</v>
      </c>
      <c r="F447" s="10" t="s">
        <v>12928</v>
      </c>
      <c r="H447" s="2" t="s">
        <v>80</v>
      </c>
      <c r="L447" s="18">
        <v>1</v>
      </c>
      <c r="N447" s="13">
        <v>44877</v>
      </c>
      <c r="O447" s="29">
        <v>1.99</v>
      </c>
      <c r="P447" s="18" t="s">
        <v>1107</v>
      </c>
      <c r="Q447" s="18">
        <v>0</v>
      </c>
      <c r="U447" s="22">
        <v>0.73</v>
      </c>
      <c r="V447" s="22">
        <f>3.5/5</f>
        <v>0.7</v>
      </c>
      <c r="X447" s="3">
        <v>2</v>
      </c>
      <c r="AB447" s="18">
        <f t="shared" si="12"/>
        <v>2022</v>
      </c>
      <c r="AC447" s="22">
        <f t="shared" si="13"/>
        <v>0.61</v>
      </c>
    </row>
    <row r="448" spans="1:29">
      <c r="A448" s="8" t="s">
        <v>13611</v>
      </c>
      <c r="B448" s="17" t="s">
        <v>7744</v>
      </c>
      <c r="C448" s="13">
        <v>44574</v>
      </c>
      <c r="D448" s="13" t="s">
        <v>9335</v>
      </c>
      <c r="E448" s="10" t="s">
        <v>15438</v>
      </c>
      <c r="F448" s="10" t="s">
        <v>15438</v>
      </c>
      <c r="H448" s="2" t="s">
        <v>149</v>
      </c>
      <c r="K448" s="18">
        <v>2</v>
      </c>
      <c r="L448" s="18">
        <v>1</v>
      </c>
      <c r="M448" s="14" t="s">
        <v>8462</v>
      </c>
      <c r="N448" s="13">
        <v>44982</v>
      </c>
      <c r="O448" s="29">
        <v>44.99</v>
      </c>
      <c r="P448" s="18" t="s">
        <v>14</v>
      </c>
      <c r="Q448" s="18">
        <v>0</v>
      </c>
      <c r="V448" s="22">
        <f>4.1/5</f>
        <v>0.82</v>
      </c>
      <c r="X448" s="3">
        <v>3</v>
      </c>
      <c r="Z448" s="23">
        <v>10.5</v>
      </c>
      <c r="AB448" s="18">
        <f t="shared" si="12"/>
        <v>2022</v>
      </c>
      <c r="AC448" s="22">
        <f t="shared" si="13"/>
        <v>0.71</v>
      </c>
    </row>
    <row r="449" spans="1:29">
      <c r="A449" s="8" t="s">
        <v>11969</v>
      </c>
      <c r="B449" s="17" t="s">
        <v>7744</v>
      </c>
      <c r="C449" s="13">
        <v>44571</v>
      </c>
      <c r="D449" s="13" t="s">
        <v>8465</v>
      </c>
      <c r="E449" s="10" t="s">
        <v>1794</v>
      </c>
      <c r="F449" s="10" t="s">
        <v>1794</v>
      </c>
      <c r="G449" s="11" t="s">
        <v>10286</v>
      </c>
      <c r="H449" s="2" t="s">
        <v>78</v>
      </c>
      <c r="L449" s="18">
        <v>1</v>
      </c>
      <c r="N449" s="13">
        <v>44723</v>
      </c>
      <c r="O449" s="29">
        <v>6.99</v>
      </c>
      <c r="P449" s="18" t="s">
        <v>1107</v>
      </c>
      <c r="Q449" s="18">
        <v>0</v>
      </c>
      <c r="V449" s="22">
        <f>3.92/5</f>
        <v>0.78400000000000003</v>
      </c>
      <c r="X449" s="3">
        <v>3</v>
      </c>
      <c r="Z449" s="23">
        <v>16</v>
      </c>
      <c r="AB449" s="18">
        <f t="shared" si="12"/>
        <v>2022</v>
      </c>
      <c r="AC449" s="22">
        <f t="shared" si="13"/>
        <v>0.69199999999999995</v>
      </c>
    </row>
    <row r="450" spans="1:29">
      <c r="A450" s="8" t="s">
        <v>13503</v>
      </c>
      <c r="B450" s="17" t="s">
        <v>7745</v>
      </c>
      <c r="C450" s="24">
        <v>44562</v>
      </c>
      <c r="D450" s="13" t="s">
        <v>8465</v>
      </c>
      <c r="E450" s="10" t="s">
        <v>15809</v>
      </c>
      <c r="F450" s="10" t="s">
        <v>15810</v>
      </c>
      <c r="G450" s="11" t="s">
        <v>15811</v>
      </c>
      <c r="H450" s="2" t="s">
        <v>67</v>
      </c>
      <c r="L450" s="18">
        <v>1</v>
      </c>
      <c r="M450" s="14" t="s">
        <v>8462</v>
      </c>
      <c r="N450" s="13">
        <v>44954</v>
      </c>
      <c r="O450" s="29">
        <v>51.01</v>
      </c>
      <c r="P450" s="18" t="s">
        <v>14</v>
      </c>
      <c r="Q450" s="18">
        <v>0</v>
      </c>
      <c r="X450" s="3">
        <v>2</v>
      </c>
      <c r="AB450" s="18">
        <f t="shared" ref="AB450:AB513" si="14">IFERROR(YEAR(C450), "Early Access")</f>
        <v>2022</v>
      </c>
      <c r="AC450" s="22">
        <f t="shared" ref="AC450:AC513" si="15">AVERAGE(T450, U450, V450, IF(ISBLANK(X450), X450, X450/5))</f>
        <v>0.4</v>
      </c>
    </row>
    <row r="451" spans="1:29" ht="38.25">
      <c r="A451" s="8" t="s">
        <v>12999</v>
      </c>
      <c r="B451" s="17" t="s">
        <v>7800</v>
      </c>
      <c r="C451" s="13">
        <v>44910</v>
      </c>
      <c r="D451" s="13" t="s">
        <v>8465</v>
      </c>
      <c r="E451" s="10" t="s">
        <v>12636</v>
      </c>
      <c r="F451" s="10" t="s">
        <v>12636</v>
      </c>
      <c r="G451" s="11" t="s">
        <v>12627</v>
      </c>
      <c r="H451" s="2" t="s">
        <v>1518</v>
      </c>
      <c r="J451" s="18">
        <v>1</v>
      </c>
      <c r="L451" s="18">
        <v>1</v>
      </c>
      <c r="N451" s="13">
        <v>44910</v>
      </c>
      <c r="O451" s="29">
        <v>1.43</v>
      </c>
      <c r="P451" s="18" t="s">
        <v>1107</v>
      </c>
      <c r="Q451" s="18">
        <v>1</v>
      </c>
      <c r="R451" s="13">
        <v>44915</v>
      </c>
      <c r="S451" s="21">
        <f>302/60</f>
        <v>5.0333333333333332</v>
      </c>
      <c r="T451" s="22">
        <v>0.6</v>
      </c>
      <c r="V451" s="22">
        <f>2.25/5</f>
        <v>0.45</v>
      </c>
      <c r="W451" s="14" t="s">
        <v>7777</v>
      </c>
      <c r="AB451" s="18">
        <f t="shared" si="14"/>
        <v>2022</v>
      </c>
      <c r="AC451" s="22">
        <f t="shared" si="15"/>
        <v>0.52500000000000002</v>
      </c>
    </row>
    <row r="452" spans="1:29">
      <c r="A452" s="8" t="s">
        <v>15273</v>
      </c>
      <c r="B452" s="17" t="s">
        <v>7800</v>
      </c>
      <c r="C452" s="13">
        <v>44909</v>
      </c>
      <c r="D452" s="13" t="s">
        <v>8465</v>
      </c>
      <c r="E452" s="10" t="s">
        <v>10620</v>
      </c>
      <c r="F452" s="10" t="s">
        <v>15274</v>
      </c>
      <c r="H452" s="2" t="s">
        <v>80</v>
      </c>
      <c r="L452" s="18">
        <v>1</v>
      </c>
      <c r="N452" s="13">
        <v>45099</v>
      </c>
      <c r="O452" s="29">
        <v>12.99</v>
      </c>
      <c r="P452" s="18" t="s">
        <v>1107</v>
      </c>
      <c r="Q452" s="18">
        <v>1</v>
      </c>
      <c r="R452" s="13">
        <v>45103</v>
      </c>
      <c r="S452" s="21">
        <f>2+42/60</f>
        <v>2.7</v>
      </c>
      <c r="T452" s="22">
        <v>0.8</v>
      </c>
      <c r="V452" s="22">
        <f>3.93/5</f>
        <v>0.78600000000000003</v>
      </c>
      <c r="W452" s="14" t="s">
        <v>7777</v>
      </c>
      <c r="AB452" s="18">
        <f t="shared" si="14"/>
        <v>2022</v>
      </c>
      <c r="AC452" s="22">
        <f t="shared" si="15"/>
        <v>0.79300000000000004</v>
      </c>
    </row>
    <row r="453" spans="1:29" ht="25.5">
      <c r="A453" s="8" t="s">
        <v>12069</v>
      </c>
      <c r="B453" s="17" t="s">
        <v>9431</v>
      </c>
      <c r="C453" s="13">
        <v>44908</v>
      </c>
      <c r="D453" s="13" t="s">
        <v>8465</v>
      </c>
      <c r="E453" s="10" t="s">
        <v>1082</v>
      </c>
      <c r="F453" s="10" t="s">
        <v>7406</v>
      </c>
      <c r="G453" s="11" t="s">
        <v>126</v>
      </c>
      <c r="H453" s="2" t="s">
        <v>171</v>
      </c>
      <c r="L453" s="18">
        <v>1</v>
      </c>
      <c r="M453" s="14" t="s">
        <v>8462</v>
      </c>
      <c r="N453" s="13">
        <v>44740</v>
      </c>
      <c r="O453" s="29">
        <v>54.3</v>
      </c>
      <c r="P453" s="18" t="s">
        <v>14</v>
      </c>
      <c r="Q453" s="18">
        <v>1</v>
      </c>
      <c r="R453" s="13">
        <v>44934</v>
      </c>
      <c r="S453" s="21">
        <f>12+35/60+53/3600</f>
        <v>12.598055555555556</v>
      </c>
      <c r="T453" s="22">
        <v>0.75</v>
      </c>
      <c r="U453" s="22">
        <v>0.78</v>
      </c>
      <c r="V453" s="22">
        <f>4.04/5</f>
        <v>0.80800000000000005</v>
      </c>
      <c r="AB453" s="18">
        <f t="shared" si="14"/>
        <v>2022</v>
      </c>
      <c r="AC453" s="22">
        <f t="shared" si="15"/>
        <v>0.77933333333333332</v>
      </c>
    </row>
    <row r="454" spans="1:29">
      <c r="A454" s="8" t="s">
        <v>13576</v>
      </c>
      <c r="B454" s="17" t="s">
        <v>7800</v>
      </c>
      <c r="C454" s="13">
        <v>44908</v>
      </c>
      <c r="D454" s="13" t="s">
        <v>8465</v>
      </c>
      <c r="E454" s="10" t="s">
        <v>8668</v>
      </c>
      <c r="F454" s="10" t="s">
        <v>8668</v>
      </c>
      <c r="H454" s="2" t="s">
        <v>1050</v>
      </c>
      <c r="L454" s="18">
        <v>0</v>
      </c>
      <c r="Q454" s="18">
        <v>1</v>
      </c>
      <c r="R454" s="13">
        <v>44976</v>
      </c>
      <c r="S454" s="21">
        <f>7+44/60</f>
        <v>7.7333333333333334</v>
      </c>
      <c r="T454" s="22">
        <v>0.4</v>
      </c>
      <c r="U454" s="22">
        <v>0.69</v>
      </c>
      <c r="V454" s="22">
        <f>3.23/5</f>
        <v>0.64600000000000002</v>
      </c>
      <c r="W454" s="14" t="s">
        <v>8280</v>
      </c>
      <c r="AB454" s="18">
        <f t="shared" si="14"/>
        <v>2022</v>
      </c>
      <c r="AC454" s="22">
        <f t="shared" si="15"/>
        <v>0.57866666666666655</v>
      </c>
    </row>
    <row r="455" spans="1:29">
      <c r="A455" s="8" t="s">
        <v>15842</v>
      </c>
      <c r="B455" s="17" t="s">
        <v>7800</v>
      </c>
      <c r="C455" s="13">
        <v>44907</v>
      </c>
      <c r="D455" s="13" t="s">
        <v>8465</v>
      </c>
      <c r="E455" s="10" t="s">
        <v>11323</v>
      </c>
      <c r="F455" s="10" t="s">
        <v>11323</v>
      </c>
      <c r="H455" s="2" t="s">
        <v>1050</v>
      </c>
      <c r="L455" s="18">
        <v>1</v>
      </c>
      <c r="N455" s="13">
        <v>45185</v>
      </c>
      <c r="O455" s="29">
        <v>0</v>
      </c>
      <c r="P455" s="18" t="s">
        <v>1107</v>
      </c>
      <c r="Q455" s="18">
        <v>1</v>
      </c>
      <c r="R455" s="13">
        <v>45207</v>
      </c>
      <c r="S455" s="21">
        <f>1+18/60</f>
        <v>1.3</v>
      </c>
      <c r="T455" s="22">
        <v>0.7</v>
      </c>
      <c r="V455" s="22">
        <f>3.5/5</f>
        <v>0.7</v>
      </c>
      <c r="W455" s="14" t="s">
        <v>7777</v>
      </c>
      <c r="AB455" s="18">
        <f t="shared" si="14"/>
        <v>2022</v>
      </c>
      <c r="AC455" s="22">
        <f t="shared" si="15"/>
        <v>0.7</v>
      </c>
    </row>
    <row r="456" spans="1:29">
      <c r="A456" s="8" t="s">
        <v>13138</v>
      </c>
      <c r="B456" s="17" t="s">
        <v>7800</v>
      </c>
      <c r="C456" s="13">
        <v>44897</v>
      </c>
      <c r="D456" s="13" t="s">
        <v>8465</v>
      </c>
      <c r="E456" s="10" t="s">
        <v>12127</v>
      </c>
      <c r="F456" s="10" t="s">
        <v>12127</v>
      </c>
      <c r="G456" s="11" t="s">
        <v>13138</v>
      </c>
      <c r="H456" s="2" t="s">
        <v>1040</v>
      </c>
      <c r="L456" s="18">
        <v>1</v>
      </c>
      <c r="N456" s="13">
        <v>45106</v>
      </c>
      <c r="O456" s="29">
        <v>2</v>
      </c>
      <c r="P456" s="18" t="s">
        <v>1107</v>
      </c>
      <c r="Q456" s="18">
        <v>1</v>
      </c>
      <c r="R456" s="13">
        <v>45109</v>
      </c>
      <c r="S456" s="21">
        <f>47/60</f>
        <v>0.78333333333333333</v>
      </c>
      <c r="T456" s="22">
        <v>0.7</v>
      </c>
      <c r="V456" s="22">
        <f>3.7/5</f>
        <v>0.74</v>
      </c>
      <c r="W456" s="14" t="s">
        <v>7777</v>
      </c>
      <c r="AB456" s="18">
        <f t="shared" si="14"/>
        <v>2022</v>
      </c>
      <c r="AC456" s="22">
        <f t="shared" si="15"/>
        <v>0.72</v>
      </c>
    </row>
    <row r="457" spans="1:29">
      <c r="A457" s="8" t="s">
        <v>13607</v>
      </c>
      <c r="B457" s="17" t="s">
        <v>7800</v>
      </c>
      <c r="C457" s="13">
        <v>44887</v>
      </c>
      <c r="D457" s="13" t="s">
        <v>8465</v>
      </c>
      <c r="E457" s="10" t="s">
        <v>13022</v>
      </c>
      <c r="F457" s="10" t="s">
        <v>13608</v>
      </c>
      <c r="G457" s="11" t="s">
        <v>5749</v>
      </c>
      <c r="H457" s="2" t="s">
        <v>1168</v>
      </c>
      <c r="L457" s="18">
        <v>0</v>
      </c>
      <c r="Q457" s="18">
        <v>1</v>
      </c>
      <c r="R457" s="13">
        <v>44983</v>
      </c>
      <c r="S457" s="21">
        <f>7+40/60</f>
        <v>7.666666666666667</v>
      </c>
      <c r="T457" s="22">
        <v>0.3</v>
      </c>
      <c r="U457" s="22">
        <v>0.56999999999999995</v>
      </c>
      <c r="V457" s="22">
        <f>2.4/5</f>
        <v>0.48</v>
      </c>
      <c r="W457" s="14" t="s">
        <v>8280</v>
      </c>
      <c r="AB457" s="18">
        <f t="shared" si="14"/>
        <v>2022</v>
      </c>
      <c r="AC457" s="22">
        <f t="shared" si="15"/>
        <v>0.44999999999999996</v>
      </c>
    </row>
    <row r="458" spans="1:29">
      <c r="A458" s="8" t="s">
        <v>11318</v>
      </c>
      <c r="B458" s="17" t="s">
        <v>7744</v>
      </c>
      <c r="C458" s="13">
        <v>44883</v>
      </c>
      <c r="D458" s="13" t="s">
        <v>8465</v>
      </c>
      <c r="E458" s="10" t="s">
        <v>86</v>
      </c>
      <c r="F458" s="10" t="s">
        <v>1354</v>
      </c>
      <c r="G458" s="11" t="s">
        <v>1470</v>
      </c>
      <c r="H458" s="2" t="s">
        <v>149</v>
      </c>
      <c r="L458" s="18">
        <v>1</v>
      </c>
      <c r="M458" s="14" t="s">
        <v>8462</v>
      </c>
      <c r="N458" s="13">
        <v>44621</v>
      </c>
      <c r="O458" s="29">
        <v>65.16</v>
      </c>
      <c r="P458" s="18" t="s">
        <v>14</v>
      </c>
      <c r="Q458" s="18">
        <v>1</v>
      </c>
      <c r="R458" s="13">
        <v>44914</v>
      </c>
      <c r="S458" s="21">
        <f>26+39/60</f>
        <v>26.65</v>
      </c>
      <c r="T458" s="22">
        <v>0.75</v>
      </c>
      <c r="U458" s="22">
        <v>0.76</v>
      </c>
      <c r="V458" s="22">
        <f>3.24/5</f>
        <v>0.64800000000000002</v>
      </c>
      <c r="AB458" s="18">
        <f t="shared" si="14"/>
        <v>2022</v>
      </c>
      <c r="AC458" s="22">
        <f t="shared" si="15"/>
        <v>0.71933333333333327</v>
      </c>
    </row>
    <row r="459" spans="1:29" ht="38.25">
      <c r="A459" s="8" t="s">
        <v>12959</v>
      </c>
      <c r="B459" s="17" t="s">
        <v>7800</v>
      </c>
      <c r="C459" s="13">
        <v>44881</v>
      </c>
      <c r="D459" s="13" t="s">
        <v>8465</v>
      </c>
      <c r="E459" s="10" t="s">
        <v>12960</v>
      </c>
      <c r="F459" s="10" t="s">
        <v>8708</v>
      </c>
      <c r="G459" s="11" t="s">
        <v>8709</v>
      </c>
      <c r="H459" s="2" t="s">
        <v>75</v>
      </c>
      <c r="L459" s="18">
        <v>1</v>
      </c>
      <c r="N459" s="13">
        <v>44881</v>
      </c>
      <c r="O459" s="29">
        <v>53.95</v>
      </c>
      <c r="P459" s="18" t="s">
        <v>1107</v>
      </c>
      <c r="Q459" s="18">
        <v>1</v>
      </c>
      <c r="R459" s="13">
        <v>44966</v>
      </c>
      <c r="S459" s="21">
        <f>40+15/60</f>
        <v>40.25</v>
      </c>
      <c r="T459" s="22">
        <v>0.6</v>
      </c>
      <c r="V459" s="22">
        <f>2.17/5</f>
        <v>0.434</v>
      </c>
      <c r="W459" s="14" t="s">
        <v>7777</v>
      </c>
      <c r="AB459" s="18">
        <f t="shared" si="14"/>
        <v>2022</v>
      </c>
      <c r="AC459" s="22">
        <f t="shared" si="15"/>
        <v>0.51700000000000002</v>
      </c>
    </row>
    <row r="460" spans="1:29">
      <c r="A460" s="8" t="s">
        <v>13540</v>
      </c>
      <c r="B460" s="17" t="s">
        <v>7800</v>
      </c>
      <c r="C460" s="13">
        <v>44875</v>
      </c>
      <c r="D460" s="13" t="s">
        <v>8465</v>
      </c>
      <c r="E460" s="10" t="s">
        <v>3511</v>
      </c>
      <c r="F460" s="10" t="s">
        <v>13541</v>
      </c>
      <c r="H460" s="2" t="s">
        <v>1040</v>
      </c>
      <c r="L460" s="18">
        <v>1</v>
      </c>
      <c r="N460" s="13">
        <v>44971</v>
      </c>
      <c r="O460" s="29">
        <v>3.99</v>
      </c>
      <c r="P460" s="18" t="s">
        <v>1107</v>
      </c>
      <c r="Q460" s="18">
        <v>1</v>
      </c>
      <c r="R460" s="13">
        <v>44973</v>
      </c>
      <c r="S460" s="21">
        <f>2+33/60</f>
        <v>2.5499999999999998</v>
      </c>
      <c r="T460" s="22">
        <v>0.8</v>
      </c>
      <c r="V460" s="22">
        <f>3.89/5</f>
        <v>0.77800000000000002</v>
      </c>
      <c r="W460" s="14" t="s">
        <v>7777</v>
      </c>
      <c r="AB460" s="18">
        <f t="shared" si="14"/>
        <v>2022</v>
      </c>
      <c r="AC460" s="22">
        <f t="shared" si="15"/>
        <v>0.78900000000000003</v>
      </c>
    </row>
    <row r="461" spans="1:29" ht="30">
      <c r="A461" s="8" t="s">
        <v>12911</v>
      </c>
      <c r="B461" s="17" t="s">
        <v>7800</v>
      </c>
      <c r="C461" s="13">
        <v>44875</v>
      </c>
      <c r="D461" s="13" t="s">
        <v>8465</v>
      </c>
      <c r="E461" s="10" t="s">
        <v>12912</v>
      </c>
      <c r="F461" s="10" t="s">
        <v>12912</v>
      </c>
      <c r="H461" s="2" t="s">
        <v>149</v>
      </c>
      <c r="L461" s="18">
        <v>1</v>
      </c>
      <c r="N461" s="13">
        <v>44875</v>
      </c>
      <c r="O461" s="29">
        <v>8.99</v>
      </c>
      <c r="P461" s="18" t="s">
        <v>1107</v>
      </c>
      <c r="Q461" s="18">
        <v>1</v>
      </c>
      <c r="R461" s="13">
        <v>44970</v>
      </c>
      <c r="S461" s="21">
        <f>5+41/60+2/3600</f>
        <v>5.6838888888888892</v>
      </c>
      <c r="T461" s="22">
        <v>0.5</v>
      </c>
      <c r="U461" s="22">
        <v>0.86</v>
      </c>
      <c r="V461" s="22">
        <f>3.5/5</f>
        <v>0.7</v>
      </c>
      <c r="W461" s="14" t="s">
        <v>7777</v>
      </c>
      <c r="AB461" s="18">
        <f t="shared" si="14"/>
        <v>2022</v>
      </c>
      <c r="AC461" s="22">
        <f t="shared" si="15"/>
        <v>0.68666666666666654</v>
      </c>
    </row>
    <row r="462" spans="1:29" ht="30">
      <c r="A462" s="8" t="s">
        <v>12910</v>
      </c>
      <c r="B462" s="17" t="s">
        <v>9431</v>
      </c>
      <c r="C462" s="13">
        <v>44874</v>
      </c>
      <c r="D462" s="13" t="s">
        <v>8465</v>
      </c>
      <c r="E462" s="10" t="s">
        <v>6107</v>
      </c>
      <c r="F462" s="10" t="s">
        <v>5719</v>
      </c>
      <c r="G462" s="11" t="s">
        <v>5718</v>
      </c>
      <c r="H462" s="2" t="s">
        <v>80</v>
      </c>
      <c r="L462" s="18">
        <v>1</v>
      </c>
      <c r="M462" s="14" t="s">
        <v>8462</v>
      </c>
      <c r="N462" s="13">
        <v>44757</v>
      </c>
      <c r="O462" s="29">
        <v>76.03</v>
      </c>
      <c r="P462" s="18" t="s">
        <v>14</v>
      </c>
      <c r="Q462" s="18">
        <v>1</v>
      </c>
      <c r="R462" s="13">
        <v>45093</v>
      </c>
      <c r="S462" s="21">
        <f>21+39/60</f>
        <v>21.65</v>
      </c>
      <c r="T462" s="22">
        <v>0.9</v>
      </c>
      <c r="U462" s="22">
        <v>0.94</v>
      </c>
      <c r="V462" s="22">
        <f>4.43/5</f>
        <v>0.8859999999999999</v>
      </c>
      <c r="W462" s="14" t="s">
        <v>8840</v>
      </c>
      <c r="AB462" s="18">
        <f t="shared" si="14"/>
        <v>2022</v>
      </c>
      <c r="AC462" s="22">
        <f t="shared" si="15"/>
        <v>0.90866666666666662</v>
      </c>
    </row>
    <row r="463" spans="1:29">
      <c r="A463" s="8" t="s">
        <v>11431</v>
      </c>
      <c r="B463" s="17" t="s">
        <v>7744</v>
      </c>
      <c r="C463" s="13">
        <v>44862</v>
      </c>
      <c r="D463" s="13" t="s">
        <v>8465</v>
      </c>
      <c r="E463" s="10" t="s">
        <v>86</v>
      </c>
      <c r="F463" s="10" t="s">
        <v>1058</v>
      </c>
      <c r="G463" s="11" t="s">
        <v>1090</v>
      </c>
      <c r="H463" s="2" t="s">
        <v>1059</v>
      </c>
      <c r="L463" s="18">
        <v>1</v>
      </c>
      <c r="M463" s="14" t="s">
        <v>8462</v>
      </c>
      <c r="N463" s="13">
        <v>43116</v>
      </c>
      <c r="O463" s="29">
        <v>52.13</v>
      </c>
      <c r="P463" s="18" t="s">
        <v>14</v>
      </c>
      <c r="Q463" s="18">
        <v>1</v>
      </c>
      <c r="R463" s="13">
        <v>44980</v>
      </c>
      <c r="S463" s="21">
        <f>10+44/60</f>
        <v>10.733333333333333</v>
      </c>
      <c r="T463" s="22">
        <v>0.8</v>
      </c>
      <c r="U463" s="22">
        <v>0.88</v>
      </c>
      <c r="V463" s="22">
        <f>3.95/5</f>
        <v>0.79</v>
      </c>
      <c r="AB463" s="18">
        <f t="shared" si="14"/>
        <v>2022</v>
      </c>
      <c r="AC463" s="22">
        <f t="shared" si="15"/>
        <v>0.82333333333333336</v>
      </c>
    </row>
    <row r="464" spans="1:29" ht="25.5">
      <c r="A464" s="8" t="s">
        <v>12850</v>
      </c>
      <c r="B464" s="17" t="s">
        <v>9440</v>
      </c>
      <c r="C464" s="13">
        <v>44862</v>
      </c>
      <c r="D464" s="13" t="s">
        <v>8465</v>
      </c>
      <c r="E464" s="10" t="s">
        <v>1273</v>
      </c>
      <c r="F464" s="10" t="s">
        <v>3400</v>
      </c>
      <c r="G464" s="11" t="s">
        <v>3401</v>
      </c>
      <c r="H464" s="2" t="s">
        <v>1050</v>
      </c>
      <c r="L464" s="18">
        <v>1</v>
      </c>
      <c r="M464" s="14" t="s">
        <v>8462</v>
      </c>
      <c r="N464" s="13">
        <v>44855</v>
      </c>
      <c r="O464" s="29">
        <v>76.03</v>
      </c>
      <c r="P464" s="18" t="s">
        <v>14</v>
      </c>
      <c r="Q464" s="18">
        <v>1</v>
      </c>
      <c r="R464" s="13">
        <v>44885</v>
      </c>
      <c r="S464" s="21">
        <f>8+17/60</f>
        <v>8.2833333333333332</v>
      </c>
      <c r="T464" s="22">
        <v>0.75</v>
      </c>
      <c r="U464" s="22">
        <v>0.77</v>
      </c>
      <c r="V464" s="22">
        <f>3.34/5</f>
        <v>0.66799999999999993</v>
      </c>
      <c r="AB464" s="18">
        <f t="shared" si="14"/>
        <v>2022</v>
      </c>
      <c r="AC464" s="22">
        <f t="shared" si="15"/>
        <v>0.72933333333333328</v>
      </c>
    </row>
    <row r="465" spans="1:29" ht="25.5">
      <c r="A465" s="8" t="s">
        <v>12822</v>
      </c>
      <c r="B465" s="17" t="s">
        <v>7800</v>
      </c>
      <c r="C465" s="13">
        <v>44862</v>
      </c>
      <c r="D465" s="13" t="s">
        <v>8465</v>
      </c>
      <c r="E465" s="10" t="s">
        <v>73</v>
      </c>
      <c r="F465" s="10" t="s">
        <v>73</v>
      </c>
      <c r="G465" s="11" t="s">
        <v>943</v>
      </c>
      <c r="H465" s="2" t="s">
        <v>1061</v>
      </c>
      <c r="J465" s="18">
        <v>1</v>
      </c>
      <c r="L465" s="18">
        <v>1</v>
      </c>
      <c r="N465" s="13">
        <v>44852</v>
      </c>
      <c r="O465" s="29">
        <v>16.989999999999998</v>
      </c>
      <c r="P465" s="18" t="s">
        <v>1107</v>
      </c>
      <c r="Q465" s="18">
        <v>1</v>
      </c>
      <c r="R465" s="13">
        <v>44864</v>
      </c>
      <c r="S465" s="21">
        <f>2+43/60+12/3600</f>
        <v>2.72</v>
      </c>
      <c r="T465" s="22">
        <v>0.7</v>
      </c>
      <c r="U465" s="22">
        <v>0.67</v>
      </c>
      <c r="V465" s="22">
        <f>3.21/5</f>
        <v>0.64200000000000002</v>
      </c>
      <c r="W465" s="14" t="s">
        <v>7777</v>
      </c>
      <c r="AB465" s="18">
        <f t="shared" si="14"/>
        <v>2022</v>
      </c>
      <c r="AC465" s="22">
        <f t="shared" si="15"/>
        <v>0.67066666666666663</v>
      </c>
    </row>
    <row r="466" spans="1:29" ht="38.25">
      <c r="A466" s="8" t="s">
        <v>13616</v>
      </c>
      <c r="B466" s="17" t="s">
        <v>7800</v>
      </c>
      <c r="C466" s="13">
        <v>44860</v>
      </c>
      <c r="D466" s="13" t="s">
        <v>8465</v>
      </c>
      <c r="E466" s="10" t="s">
        <v>8000</v>
      </c>
      <c r="F466" s="10" t="s">
        <v>8001</v>
      </c>
      <c r="G466" s="11" t="s">
        <v>8002</v>
      </c>
      <c r="H466" s="2" t="s">
        <v>67</v>
      </c>
      <c r="L466" s="18">
        <v>0</v>
      </c>
      <c r="Q466" s="18">
        <v>1</v>
      </c>
      <c r="R466" s="13">
        <v>44983</v>
      </c>
      <c r="S466" s="21">
        <f>2+17/60</f>
        <v>2.2833333333333332</v>
      </c>
      <c r="T466" s="22">
        <v>0.65</v>
      </c>
      <c r="V466" s="22">
        <f>5/5</f>
        <v>1</v>
      </c>
      <c r="W466" s="14" t="s">
        <v>8280</v>
      </c>
      <c r="AB466" s="18">
        <f t="shared" si="14"/>
        <v>2022</v>
      </c>
      <c r="AC466" s="22">
        <f t="shared" si="15"/>
        <v>0.82499999999999996</v>
      </c>
    </row>
    <row r="467" spans="1:29" ht="25.5">
      <c r="A467" s="8" t="s">
        <v>12831</v>
      </c>
      <c r="B467" s="17" t="s">
        <v>7744</v>
      </c>
      <c r="C467" s="13">
        <v>44854</v>
      </c>
      <c r="D467" s="13" t="s">
        <v>8465</v>
      </c>
      <c r="E467" s="10" t="s">
        <v>1047</v>
      </c>
      <c r="F467" s="10" t="s">
        <v>7459</v>
      </c>
      <c r="G467" s="11" t="s">
        <v>137</v>
      </c>
      <c r="H467" s="2" t="s">
        <v>75</v>
      </c>
      <c r="L467" s="18">
        <v>1</v>
      </c>
      <c r="M467" s="14" t="s">
        <v>8462</v>
      </c>
      <c r="N467" s="13">
        <v>44359</v>
      </c>
      <c r="O467" s="29">
        <v>65.09</v>
      </c>
      <c r="P467" s="18" t="s">
        <v>14</v>
      </c>
      <c r="Q467" s="18">
        <v>1</v>
      </c>
      <c r="R467" s="13">
        <v>44897</v>
      </c>
      <c r="S467" s="21">
        <f>15+51/60+34/3600</f>
        <v>15.859444444444444</v>
      </c>
      <c r="T467" s="22">
        <v>0.75</v>
      </c>
      <c r="U467" s="22">
        <v>0.86</v>
      </c>
      <c r="V467" s="22">
        <f>4.21/5</f>
        <v>0.84199999999999997</v>
      </c>
      <c r="AB467" s="18">
        <f t="shared" si="14"/>
        <v>2022</v>
      </c>
      <c r="AC467" s="22">
        <f t="shared" si="15"/>
        <v>0.81733333333333336</v>
      </c>
    </row>
    <row r="468" spans="1:29">
      <c r="A468" s="8" t="s">
        <v>12627</v>
      </c>
      <c r="B468" s="17" t="s">
        <v>7800</v>
      </c>
      <c r="C468" s="13">
        <v>44854</v>
      </c>
      <c r="D468" s="13" t="s">
        <v>8465</v>
      </c>
      <c r="E468" s="10" t="s">
        <v>12636</v>
      </c>
      <c r="F468" s="10" t="s">
        <v>12636</v>
      </c>
      <c r="G468" s="11" t="s">
        <v>12627</v>
      </c>
      <c r="H468" s="2" t="s">
        <v>1518</v>
      </c>
      <c r="L468" s="18">
        <v>1</v>
      </c>
      <c r="N468" s="13">
        <v>44825</v>
      </c>
      <c r="O468" s="29">
        <v>2.99</v>
      </c>
      <c r="P468" s="18" t="s">
        <v>1107</v>
      </c>
      <c r="Q468" s="18">
        <v>1</v>
      </c>
      <c r="R468" s="13">
        <v>44857</v>
      </c>
      <c r="S468" s="21">
        <f>28+53/60</f>
        <v>28.883333333333333</v>
      </c>
      <c r="T468" s="22">
        <v>0.8</v>
      </c>
      <c r="V468" s="22">
        <f>3.97/5</f>
        <v>0.79400000000000004</v>
      </c>
      <c r="W468" s="14" t="s">
        <v>7777</v>
      </c>
      <c r="AB468" s="18">
        <f t="shared" si="14"/>
        <v>2022</v>
      </c>
      <c r="AC468" s="22">
        <f t="shared" si="15"/>
        <v>0.79700000000000004</v>
      </c>
    </row>
    <row r="469" spans="1:29">
      <c r="A469" s="8" t="s">
        <v>13091</v>
      </c>
      <c r="B469" s="17" t="s">
        <v>7800</v>
      </c>
      <c r="C469" s="13">
        <v>44849</v>
      </c>
      <c r="D469" s="13" t="s">
        <v>8465</v>
      </c>
      <c r="E469" s="10" t="s">
        <v>12127</v>
      </c>
      <c r="F469" s="10" t="s">
        <v>12127</v>
      </c>
      <c r="G469" s="11" t="s">
        <v>13138</v>
      </c>
      <c r="H469" s="2" t="s">
        <v>64</v>
      </c>
      <c r="L469" s="18">
        <v>1</v>
      </c>
      <c r="N469" s="13">
        <v>44925</v>
      </c>
      <c r="O469" s="29">
        <v>0.49</v>
      </c>
      <c r="P469" s="18" t="s">
        <v>1107</v>
      </c>
      <c r="Q469" s="18">
        <v>1</v>
      </c>
      <c r="R469" s="13">
        <v>44931</v>
      </c>
      <c r="S469" s="21">
        <f>15/60</f>
        <v>0.25</v>
      </c>
      <c r="T469" s="22">
        <v>0.4</v>
      </c>
      <c r="V469" s="22">
        <f>2/5</f>
        <v>0.4</v>
      </c>
      <c r="W469" s="14" t="s">
        <v>7777</v>
      </c>
      <c r="AB469" s="18">
        <f t="shared" si="14"/>
        <v>2022</v>
      </c>
      <c r="AC469" s="22">
        <f t="shared" si="15"/>
        <v>0.4</v>
      </c>
    </row>
    <row r="470" spans="1:29">
      <c r="A470" s="8" t="s">
        <v>14681</v>
      </c>
      <c r="B470" s="17" t="s">
        <v>7744</v>
      </c>
      <c r="C470" s="13">
        <v>44835</v>
      </c>
      <c r="D470" s="13" t="s">
        <v>8465</v>
      </c>
      <c r="E470" s="10" t="s">
        <v>14682</v>
      </c>
      <c r="F470" s="10" t="s">
        <v>14682</v>
      </c>
      <c r="H470" s="2" t="s">
        <v>21</v>
      </c>
      <c r="L470" s="18">
        <v>1</v>
      </c>
      <c r="N470" s="13">
        <v>45052</v>
      </c>
      <c r="O470" s="29">
        <v>2.39</v>
      </c>
      <c r="P470" s="18" t="s">
        <v>1107</v>
      </c>
      <c r="Q470" s="18">
        <v>1</v>
      </c>
      <c r="R470" s="13">
        <v>45058</v>
      </c>
      <c r="T470" s="22">
        <v>0.6</v>
      </c>
      <c r="V470" s="22">
        <f>4/5</f>
        <v>0.8</v>
      </c>
      <c r="AB470" s="18">
        <f t="shared" si="14"/>
        <v>2022</v>
      </c>
      <c r="AC470" s="22">
        <f t="shared" si="15"/>
        <v>0.7</v>
      </c>
    </row>
    <row r="471" spans="1:29" ht="25.5">
      <c r="A471" s="8" t="s">
        <v>15146</v>
      </c>
      <c r="B471" s="17" t="s">
        <v>7783</v>
      </c>
      <c r="C471" s="13">
        <v>44831</v>
      </c>
      <c r="D471" s="13" t="s">
        <v>8465</v>
      </c>
      <c r="E471" s="10" t="s">
        <v>14650</v>
      </c>
      <c r="F471" s="10" t="s">
        <v>8573</v>
      </c>
      <c r="H471" s="2" t="s">
        <v>3937</v>
      </c>
      <c r="L471" s="18">
        <v>0</v>
      </c>
      <c r="Q471" s="18">
        <v>1</v>
      </c>
      <c r="R471" s="13">
        <v>45096</v>
      </c>
      <c r="S471" s="21">
        <f>2+37/60</f>
        <v>2.6166666666666667</v>
      </c>
      <c r="T471" s="22">
        <v>0.6</v>
      </c>
      <c r="U471" s="22">
        <v>0.73</v>
      </c>
      <c r="W471" s="14" t="s">
        <v>14652</v>
      </c>
      <c r="AB471" s="18">
        <f t="shared" si="14"/>
        <v>2022</v>
      </c>
      <c r="AC471" s="22">
        <f t="shared" si="15"/>
        <v>0.66500000000000004</v>
      </c>
    </row>
    <row r="472" spans="1:29">
      <c r="A472" s="8" t="s">
        <v>13030</v>
      </c>
      <c r="B472" s="17" t="s">
        <v>7783</v>
      </c>
      <c r="C472" s="13">
        <v>44827</v>
      </c>
      <c r="D472" s="13" t="s">
        <v>8465</v>
      </c>
      <c r="E472" s="10" t="s">
        <v>4989</v>
      </c>
      <c r="F472" s="10" t="s">
        <v>13031</v>
      </c>
      <c r="G472" s="11" t="s">
        <v>4988</v>
      </c>
      <c r="H472" s="2" t="s">
        <v>1518</v>
      </c>
      <c r="L472" s="18">
        <v>0</v>
      </c>
      <c r="Q472" s="18">
        <v>1</v>
      </c>
      <c r="R472" s="13">
        <v>45046</v>
      </c>
      <c r="S472" s="21">
        <f>9+44/60+58/3600</f>
        <v>9.7494444444444444</v>
      </c>
      <c r="T472" s="22">
        <v>0.5</v>
      </c>
      <c r="U472" s="22">
        <v>0.79</v>
      </c>
      <c r="W472" s="14" t="s">
        <v>8572</v>
      </c>
      <c r="AB472" s="18">
        <f t="shared" si="14"/>
        <v>2022</v>
      </c>
      <c r="AC472" s="22">
        <f t="shared" si="15"/>
        <v>0.64500000000000002</v>
      </c>
    </row>
    <row r="473" spans="1:29">
      <c r="A473" s="8" t="s">
        <v>12794</v>
      </c>
      <c r="B473" s="17" t="s">
        <v>7744</v>
      </c>
      <c r="C473" s="13">
        <v>44826</v>
      </c>
      <c r="D473" s="13" t="s">
        <v>8465</v>
      </c>
      <c r="E473" s="10" t="s">
        <v>1082</v>
      </c>
      <c r="F473" s="10" t="s">
        <v>9775</v>
      </c>
      <c r="H473" s="2" t="s">
        <v>75</v>
      </c>
      <c r="L473" s="18">
        <v>1</v>
      </c>
      <c r="M473" s="14" t="s">
        <v>8462</v>
      </c>
      <c r="N473" s="13">
        <v>44749</v>
      </c>
      <c r="O473" s="29">
        <v>65.16</v>
      </c>
      <c r="P473" s="18" t="s">
        <v>14</v>
      </c>
      <c r="Q473" s="18">
        <v>1</v>
      </c>
      <c r="R473" s="13">
        <v>44850</v>
      </c>
      <c r="T473" s="22">
        <v>0.5</v>
      </c>
      <c r="U473" s="22">
        <v>0.74</v>
      </c>
      <c r="V473" s="22">
        <f>3.31/5</f>
        <v>0.66200000000000003</v>
      </c>
      <c r="AB473" s="18">
        <f t="shared" si="14"/>
        <v>2022</v>
      </c>
      <c r="AC473" s="22">
        <f t="shared" si="15"/>
        <v>0.63400000000000001</v>
      </c>
    </row>
    <row r="474" spans="1:29" ht="25.5">
      <c r="A474" s="8" t="s">
        <v>12422</v>
      </c>
      <c r="B474" s="17" t="s">
        <v>7744</v>
      </c>
      <c r="C474" s="13">
        <v>44817</v>
      </c>
      <c r="D474" s="13" t="s">
        <v>8465</v>
      </c>
      <c r="E474" s="10" t="s">
        <v>1082</v>
      </c>
      <c r="F474" s="10" t="s">
        <v>10790</v>
      </c>
      <c r="G474" s="11" t="s">
        <v>11138</v>
      </c>
      <c r="H474" s="2" t="s">
        <v>149</v>
      </c>
      <c r="L474" s="18">
        <v>1</v>
      </c>
      <c r="N474" s="13">
        <v>44806</v>
      </c>
      <c r="O474" s="29">
        <v>29.99</v>
      </c>
      <c r="P474" s="18" t="s">
        <v>1107</v>
      </c>
      <c r="Q474" s="18">
        <v>1</v>
      </c>
      <c r="R474" s="13">
        <v>44862</v>
      </c>
      <c r="S474" s="21">
        <f>10+30/60</f>
        <v>10.5</v>
      </c>
      <c r="T474" s="22">
        <v>0.5</v>
      </c>
      <c r="U474" s="22">
        <v>0.76</v>
      </c>
      <c r="V474" s="22">
        <f>3.6/5</f>
        <v>0.72</v>
      </c>
      <c r="AB474" s="18">
        <f t="shared" si="14"/>
        <v>2022</v>
      </c>
      <c r="AC474" s="22">
        <f t="shared" si="15"/>
        <v>0.66</v>
      </c>
    </row>
    <row r="475" spans="1:29">
      <c r="A475" s="8" t="s">
        <v>14649</v>
      </c>
      <c r="B475" s="17" t="s">
        <v>7783</v>
      </c>
      <c r="C475" s="13">
        <v>44812</v>
      </c>
      <c r="D475" s="13" t="s">
        <v>8465</v>
      </c>
      <c r="E475" s="10" t="s">
        <v>14650</v>
      </c>
      <c r="F475" s="10" t="s">
        <v>14651</v>
      </c>
      <c r="H475" s="2" t="s">
        <v>56</v>
      </c>
      <c r="L475" s="18">
        <v>0</v>
      </c>
      <c r="Q475" s="18">
        <v>1</v>
      </c>
      <c r="R475" s="13">
        <v>45052</v>
      </c>
      <c r="S475" s="21">
        <f>1+11/60</f>
        <v>1.1833333333333333</v>
      </c>
      <c r="T475" s="22">
        <v>0.4</v>
      </c>
      <c r="W475" s="14" t="s">
        <v>14652</v>
      </c>
      <c r="AB475" s="18">
        <f t="shared" si="14"/>
        <v>2022</v>
      </c>
      <c r="AC475" s="22">
        <f t="shared" si="15"/>
        <v>0.4</v>
      </c>
    </row>
    <row r="476" spans="1:29" ht="30">
      <c r="A476" s="8" t="s">
        <v>11958</v>
      </c>
      <c r="B476" s="17" t="s">
        <v>9431</v>
      </c>
      <c r="C476" s="13">
        <v>44806</v>
      </c>
      <c r="D476" s="13" t="s">
        <v>8465</v>
      </c>
      <c r="E476" s="10" t="s">
        <v>6107</v>
      </c>
      <c r="F476" s="10" t="s">
        <v>2646</v>
      </c>
      <c r="G476" s="11" t="s">
        <v>6064</v>
      </c>
      <c r="H476" s="2" t="s">
        <v>1168</v>
      </c>
      <c r="L476" s="18">
        <v>1</v>
      </c>
      <c r="M476" s="14" t="s">
        <v>8462</v>
      </c>
      <c r="N476" s="13">
        <v>44722</v>
      </c>
      <c r="O476" s="29">
        <v>76.03</v>
      </c>
      <c r="P476" s="18" t="s">
        <v>14</v>
      </c>
      <c r="Q476" s="18">
        <v>1</v>
      </c>
      <c r="R476" s="13">
        <v>44984</v>
      </c>
      <c r="S476" s="21">
        <f>13+43/60+7/3600</f>
        <v>13.718611111111111</v>
      </c>
      <c r="T476" s="22">
        <v>0.9</v>
      </c>
      <c r="U476" s="22">
        <v>0.89</v>
      </c>
      <c r="V476" s="22">
        <f>4.01/5</f>
        <v>0.80199999999999994</v>
      </c>
      <c r="AB476" s="18">
        <f t="shared" si="14"/>
        <v>2022</v>
      </c>
      <c r="AC476" s="22">
        <f t="shared" si="15"/>
        <v>0.86399999999999999</v>
      </c>
    </row>
    <row r="477" spans="1:29">
      <c r="A477" s="8" t="s">
        <v>13035</v>
      </c>
      <c r="B477" s="17" t="s">
        <v>7800</v>
      </c>
      <c r="C477" s="13">
        <v>44803</v>
      </c>
      <c r="D477" s="13" t="s">
        <v>8465</v>
      </c>
      <c r="E477" s="10" t="s">
        <v>11982</v>
      </c>
      <c r="F477" s="10" t="s">
        <v>8288</v>
      </c>
      <c r="H477" s="2" t="s">
        <v>1040</v>
      </c>
      <c r="L477" s="18">
        <v>1</v>
      </c>
      <c r="N477" s="13">
        <v>44922</v>
      </c>
      <c r="O477" s="29">
        <v>19.989999999999998</v>
      </c>
      <c r="P477" s="18" t="s">
        <v>1107</v>
      </c>
      <c r="Q477" s="18">
        <v>1</v>
      </c>
      <c r="R477" s="13">
        <v>44932</v>
      </c>
      <c r="S477" s="21">
        <f>5+26/60</f>
        <v>5.4333333333333336</v>
      </c>
      <c r="T477" s="22">
        <v>0.8</v>
      </c>
      <c r="U477" s="22">
        <v>0.77</v>
      </c>
      <c r="V477" s="22">
        <f>3.89/5</f>
        <v>0.77800000000000002</v>
      </c>
      <c r="W477" s="14" t="s">
        <v>7777</v>
      </c>
      <c r="AB477" s="18">
        <f t="shared" si="14"/>
        <v>2022</v>
      </c>
      <c r="AC477" s="22">
        <f t="shared" si="15"/>
        <v>0.78266666666666662</v>
      </c>
    </row>
    <row r="478" spans="1:29">
      <c r="A478" s="8" t="s">
        <v>1656</v>
      </c>
      <c r="B478" s="17" t="s">
        <v>7800</v>
      </c>
      <c r="C478" s="13">
        <v>44796</v>
      </c>
      <c r="D478" s="13" t="s">
        <v>8465</v>
      </c>
      <c r="E478" s="10" t="s">
        <v>1163</v>
      </c>
      <c r="F478" s="10" t="s">
        <v>1655</v>
      </c>
      <c r="G478" s="11" t="s">
        <v>1656</v>
      </c>
      <c r="H478" s="2" t="s">
        <v>1168</v>
      </c>
      <c r="L478" s="18">
        <v>1</v>
      </c>
      <c r="N478" s="13">
        <v>44483</v>
      </c>
      <c r="O478" s="29">
        <v>59.99</v>
      </c>
      <c r="P478" s="18" t="s">
        <v>1107</v>
      </c>
      <c r="Q478" s="18">
        <v>1</v>
      </c>
      <c r="R478" s="13">
        <v>44803</v>
      </c>
      <c r="S478" s="21">
        <f>12+14/60+50/3600</f>
        <v>12.247222222222222</v>
      </c>
      <c r="T478" s="22">
        <v>0.5</v>
      </c>
      <c r="U478" s="22">
        <v>0.66</v>
      </c>
      <c r="V478" s="22">
        <f>2.1/5</f>
        <v>0.42000000000000004</v>
      </c>
      <c r="W478" s="14" t="s">
        <v>7097</v>
      </c>
      <c r="AB478" s="18">
        <f t="shared" si="14"/>
        <v>2022</v>
      </c>
      <c r="AC478" s="22">
        <f t="shared" si="15"/>
        <v>0.52666666666666673</v>
      </c>
    </row>
    <row r="479" spans="1:29">
      <c r="A479" s="8" t="s">
        <v>12477</v>
      </c>
      <c r="B479" s="17" t="s">
        <v>7800</v>
      </c>
      <c r="C479" s="13">
        <v>44775</v>
      </c>
      <c r="D479" s="13" t="s">
        <v>8465</v>
      </c>
      <c r="E479" s="10" t="s">
        <v>12520</v>
      </c>
      <c r="F479" s="10" t="s">
        <v>12521</v>
      </c>
      <c r="H479" s="2" t="s">
        <v>1040</v>
      </c>
      <c r="L479" s="18">
        <v>1</v>
      </c>
      <c r="N479" s="13">
        <v>44819</v>
      </c>
      <c r="O479" s="29">
        <v>11.99</v>
      </c>
      <c r="P479" s="18" t="s">
        <v>1107</v>
      </c>
      <c r="Q479" s="18">
        <v>1</v>
      </c>
      <c r="R479" s="13">
        <v>44829</v>
      </c>
      <c r="S479" s="21">
        <f>5+33/60</f>
        <v>5.55</v>
      </c>
      <c r="T479" s="22">
        <v>0.5</v>
      </c>
      <c r="U479" s="22">
        <v>0.76</v>
      </c>
      <c r="V479" s="22">
        <f>3.17/5</f>
        <v>0.63400000000000001</v>
      </c>
      <c r="W479" s="14" t="s">
        <v>7777</v>
      </c>
      <c r="AB479" s="18">
        <f t="shared" si="14"/>
        <v>2022</v>
      </c>
      <c r="AC479" s="22">
        <f t="shared" si="15"/>
        <v>0.63133333333333341</v>
      </c>
    </row>
    <row r="480" spans="1:29" ht="25.5">
      <c r="A480" s="8" t="s">
        <v>11658</v>
      </c>
      <c r="B480" s="17" t="s">
        <v>7744</v>
      </c>
      <c r="C480" s="13">
        <v>44771</v>
      </c>
      <c r="D480" s="13" t="s">
        <v>8465</v>
      </c>
      <c r="E480" s="10" t="s">
        <v>86</v>
      </c>
      <c r="F480" s="10" t="s">
        <v>1145</v>
      </c>
      <c r="G480" s="11" t="s">
        <v>1146</v>
      </c>
      <c r="H480" s="2" t="s">
        <v>171</v>
      </c>
      <c r="L480" s="18">
        <v>1</v>
      </c>
      <c r="M480" s="14" t="s">
        <v>8462</v>
      </c>
      <c r="N480" s="13">
        <v>44671</v>
      </c>
      <c r="O480" s="29">
        <v>65.16</v>
      </c>
      <c r="P480" s="18" t="s">
        <v>14</v>
      </c>
      <c r="Q480" s="18">
        <v>1</v>
      </c>
      <c r="R480" s="13">
        <v>44819</v>
      </c>
      <c r="S480" s="21">
        <f>85+28/60</f>
        <v>85.466666666666669</v>
      </c>
      <c r="T480" s="22">
        <v>1</v>
      </c>
      <c r="U480" s="22">
        <v>0.89</v>
      </c>
      <c r="V480" s="22">
        <f>4.22/5</f>
        <v>0.84399999999999997</v>
      </c>
      <c r="AB480" s="18">
        <f t="shared" si="14"/>
        <v>2022</v>
      </c>
      <c r="AC480" s="22">
        <f t="shared" si="15"/>
        <v>0.91133333333333333</v>
      </c>
    </row>
    <row r="481" spans="1:29" ht="25.5">
      <c r="A481" s="8" t="s">
        <v>12855</v>
      </c>
      <c r="B481" s="17" t="s">
        <v>7744</v>
      </c>
      <c r="C481" s="13">
        <v>44770</v>
      </c>
      <c r="D481" s="13" t="s">
        <v>8463</v>
      </c>
      <c r="E481" s="10" t="s">
        <v>12972</v>
      </c>
      <c r="F481" s="10" t="s">
        <v>12997</v>
      </c>
      <c r="G481" s="11" t="s">
        <v>13598</v>
      </c>
      <c r="H481" s="2" t="s">
        <v>56</v>
      </c>
      <c r="K481" s="18">
        <v>2</v>
      </c>
      <c r="L481" s="18">
        <v>1</v>
      </c>
      <c r="M481" s="14" t="s">
        <v>8462</v>
      </c>
      <c r="N481" s="13">
        <v>44860</v>
      </c>
      <c r="O481" s="29">
        <v>31.99</v>
      </c>
      <c r="P481" s="18" t="s">
        <v>14</v>
      </c>
      <c r="Q481" s="18">
        <v>1</v>
      </c>
      <c r="R481" s="13">
        <v>44981</v>
      </c>
      <c r="S481" s="21">
        <v>1</v>
      </c>
      <c r="T481" s="22">
        <v>0.3</v>
      </c>
      <c r="V481" s="22">
        <f>3.1/5</f>
        <v>0.62</v>
      </c>
      <c r="AB481" s="18">
        <f t="shared" si="14"/>
        <v>2022</v>
      </c>
      <c r="AC481" s="22">
        <f t="shared" si="15"/>
        <v>0.45999999999999996</v>
      </c>
    </row>
    <row r="482" spans="1:29">
      <c r="A482" s="8" t="s">
        <v>11284</v>
      </c>
      <c r="B482" s="17" t="s">
        <v>7744</v>
      </c>
      <c r="C482" s="13">
        <v>44764</v>
      </c>
      <c r="D482" s="13" t="s">
        <v>8465</v>
      </c>
      <c r="E482" s="10" t="s">
        <v>86</v>
      </c>
      <c r="F482" s="10" t="s">
        <v>1082</v>
      </c>
      <c r="G482" s="11" t="s">
        <v>11284</v>
      </c>
      <c r="H482" s="2" t="s">
        <v>149</v>
      </c>
      <c r="L482" s="18">
        <v>1</v>
      </c>
      <c r="M482" s="14" t="s">
        <v>8462</v>
      </c>
      <c r="N482" s="13">
        <v>44613</v>
      </c>
      <c r="O482" s="29">
        <v>54.3</v>
      </c>
      <c r="P482" s="18" t="s">
        <v>14</v>
      </c>
      <c r="Q482" s="18">
        <v>1</v>
      </c>
      <c r="R482" s="13">
        <v>44840</v>
      </c>
      <c r="S482" s="21">
        <f>22+3/60+10/3600</f>
        <v>22.052777777777777</v>
      </c>
      <c r="T482" s="22">
        <v>0.7</v>
      </c>
      <c r="U482" s="22">
        <v>0.82</v>
      </c>
      <c r="V482" s="22">
        <f>4.17/5</f>
        <v>0.83399999999999996</v>
      </c>
      <c r="AB482" s="18">
        <f t="shared" si="14"/>
        <v>2022</v>
      </c>
      <c r="AC482" s="22">
        <f t="shared" si="15"/>
        <v>0.78466666666666673</v>
      </c>
    </row>
    <row r="483" spans="1:29">
      <c r="A483" s="8" t="s">
        <v>12254</v>
      </c>
      <c r="B483" s="17" t="s">
        <v>9431</v>
      </c>
      <c r="C483" s="13">
        <v>44761</v>
      </c>
      <c r="D483" s="13" t="s">
        <v>8465</v>
      </c>
      <c r="E483" s="10" t="s">
        <v>7300</v>
      </c>
      <c r="F483" s="10" t="s">
        <v>12648</v>
      </c>
      <c r="H483" s="2" t="s">
        <v>80</v>
      </c>
      <c r="L483" s="18">
        <v>1</v>
      </c>
      <c r="M483" s="14" t="s">
        <v>8462</v>
      </c>
      <c r="N483" s="13">
        <v>44778</v>
      </c>
      <c r="O483" s="29">
        <v>43.44</v>
      </c>
      <c r="P483" s="18" t="s">
        <v>14</v>
      </c>
      <c r="Q483" s="18">
        <v>1</v>
      </c>
      <c r="R483" s="13">
        <v>44831</v>
      </c>
      <c r="S483" s="21">
        <v>4</v>
      </c>
      <c r="T483" s="22">
        <v>0.8</v>
      </c>
      <c r="U483" s="22">
        <v>0.83</v>
      </c>
      <c r="V483" s="22">
        <f>3.96/5</f>
        <v>0.79200000000000004</v>
      </c>
      <c r="AB483" s="18">
        <f t="shared" si="14"/>
        <v>2022</v>
      </c>
      <c r="AC483" s="22">
        <f t="shared" si="15"/>
        <v>0.80733333333333324</v>
      </c>
    </row>
    <row r="484" spans="1:29" ht="25.5">
      <c r="A484" s="8" t="s">
        <v>12115</v>
      </c>
      <c r="B484" s="17" t="s">
        <v>7800</v>
      </c>
      <c r="C484" s="13">
        <v>44742</v>
      </c>
      <c r="D484" s="13" t="s">
        <v>8465</v>
      </c>
      <c r="E484" s="10" t="s">
        <v>3534</v>
      </c>
      <c r="F484" s="10" t="s">
        <v>3534</v>
      </c>
      <c r="G484" s="11" t="s">
        <v>3533</v>
      </c>
      <c r="H484" s="2" t="s">
        <v>56</v>
      </c>
      <c r="J484" s="18">
        <v>1</v>
      </c>
      <c r="L484" s="18">
        <v>1</v>
      </c>
      <c r="N484" s="13">
        <v>44746</v>
      </c>
      <c r="O484" s="29">
        <v>6.07</v>
      </c>
      <c r="P484" s="18" t="s">
        <v>1107</v>
      </c>
      <c r="Q484" s="18">
        <v>1</v>
      </c>
      <c r="R484" s="13">
        <v>44977</v>
      </c>
      <c r="S484" s="21">
        <f>11+12/60</f>
        <v>11.2</v>
      </c>
      <c r="T484" s="22">
        <v>0.8</v>
      </c>
      <c r="U484" s="22">
        <v>0.88</v>
      </c>
      <c r="V484" s="22">
        <f>4.23/5</f>
        <v>0.84600000000000009</v>
      </c>
      <c r="W484" s="14" t="s">
        <v>7777</v>
      </c>
      <c r="AB484" s="18">
        <f t="shared" si="14"/>
        <v>2022</v>
      </c>
      <c r="AC484" s="22">
        <f t="shared" si="15"/>
        <v>0.84200000000000008</v>
      </c>
    </row>
    <row r="485" spans="1:29">
      <c r="A485" s="8" t="s">
        <v>13090</v>
      </c>
      <c r="B485" s="17" t="s">
        <v>7800</v>
      </c>
      <c r="C485" s="13">
        <v>44735</v>
      </c>
      <c r="D485" s="13" t="s">
        <v>8465</v>
      </c>
      <c r="E485" s="10" t="s">
        <v>12127</v>
      </c>
      <c r="F485" s="10" t="s">
        <v>12127</v>
      </c>
      <c r="G485" s="11" t="s">
        <v>13087</v>
      </c>
      <c r="H485" s="2" t="s">
        <v>1040</v>
      </c>
      <c r="L485" s="18">
        <v>1</v>
      </c>
      <c r="N485" s="13">
        <v>44924</v>
      </c>
      <c r="O485" s="29">
        <v>0</v>
      </c>
      <c r="P485" s="18" t="s">
        <v>1107</v>
      </c>
      <c r="Q485" s="18">
        <v>1</v>
      </c>
      <c r="R485" s="13">
        <v>44932</v>
      </c>
      <c r="S485" s="21">
        <f>15/60</f>
        <v>0.25</v>
      </c>
      <c r="T485" s="22">
        <v>0.5</v>
      </c>
      <c r="W485" s="14" t="s">
        <v>8765</v>
      </c>
      <c r="AB485" s="18">
        <f t="shared" si="14"/>
        <v>2022</v>
      </c>
      <c r="AC485" s="22">
        <f t="shared" si="15"/>
        <v>0.5</v>
      </c>
    </row>
    <row r="486" spans="1:29">
      <c r="A486" s="8" t="s">
        <v>11316</v>
      </c>
      <c r="B486" s="17" t="s">
        <v>7744</v>
      </c>
      <c r="C486" s="13">
        <v>44729</v>
      </c>
      <c r="D486" s="13" t="s">
        <v>8465</v>
      </c>
      <c r="E486" s="10" t="s">
        <v>12083</v>
      </c>
      <c r="F486" s="10" t="s">
        <v>12083</v>
      </c>
      <c r="H486" s="2" t="s">
        <v>149</v>
      </c>
      <c r="L486" s="18">
        <v>1</v>
      </c>
      <c r="M486" s="14" t="s">
        <v>8462</v>
      </c>
      <c r="N486" s="13">
        <v>44621</v>
      </c>
      <c r="O486" s="29">
        <v>40.94</v>
      </c>
      <c r="P486" s="18" t="s">
        <v>14</v>
      </c>
      <c r="Q486" s="18">
        <v>1</v>
      </c>
      <c r="R486" s="13">
        <v>45053</v>
      </c>
      <c r="S486" s="21">
        <f>18+37/60</f>
        <v>18.616666666666667</v>
      </c>
      <c r="T486" s="22">
        <v>0.8</v>
      </c>
      <c r="V486" s="22">
        <f>4.24/5</f>
        <v>0.84800000000000009</v>
      </c>
      <c r="W486" s="14" t="s">
        <v>11317</v>
      </c>
      <c r="AB486" s="18">
        <f t="shared" si="14"/>
        <v>2022</v>
      </c>
      <c r="AC486" s="22">
        <f t="shared" si="15"/>
        <v>0.82400000000000007</v>
      </c>
    </row>
    <row r="487" spans="1:29">
      <c r="A487" s="8" t="s">
        <v>13036</v>
      </c>
      <c r="B487" s="17" t="s">
        <v>7800</v>
      </c>
      <c r="C487" s="13">
        <v>44728</v>
      </c>
      <c r="D487" s="13" t="s">
        <v>8465</v>
      </c>
      <c r="E487" s="10" t="s">
        <v>7300</v>
      </c>
      <c r="F487" s="10" t="s">
        <v>13037</v>
      </c>
      <c r="H487" s="2" t="s">
        <v>56</v>
      </c>
      <c r="L487" s="18">
        <v>1</v>
      </c>
      <c r="N487" s="13">
        <v>44922</v>
      </c>
      <c r="O487" s="29">
        <v>19.989999999999998</v>
      </c>
      <c r="P487" s="18" t="s">
        <v>1107</v>
      </c>
      <c r="Q487" s="18">
        <v>1</v>
      </c>
      <c r="R487" s="13">
        <v>45206</v>
      </c>
      <c r="S487" s="21">
        <f>11+38/60</f>
        <v>11.633333333333333</v>
      </c>
      <c r="T487" s="22">
        <v>0.8</v>
      </c>
      <c r="U487" s="22">
        <v>0.9</v>
      </c>
      <c r="V487" s="22">
        <f>4.14/5</f>
        <v>0.82799999999999996</v>
      </c>
      <c r="W487" s="14" t="s">
        <v>7777</v>
      </c>
      <c r="AB487" s="18">
        <f t="shared" si="14"/>
        <v>2022</v>
      </c>
      <c r="AC487" s="22">
        <f t="shared" si="15"/>
        <v>0.84266666666666667</v>
      </c>
    </row>
    <row r="488" spans="1:29" ht="38.25">
      <c r="A488" s="8" t="s">
        <v>11957</v>
      </c>
      <c r="B488" s="17" t="s">
        <v>7800</v>
      </c>
      <c r="C488" s="13">
        <v>44728</v>
      </c>
      <c r="D488" s="13" t="s">
        <v>8465</v>
      </c>
      <c r="E488" s="10" t="s">
        <v>1721</v>
      </c>
      <c r="F488" s="10" t="s">
        <v>4432</v>
      </c>
      <c r="G488" s="11" t="s">
        <v>215</v>
      </c>
      <c r="H488" s="2" t="s">
        <v>153</v>
      </c>
      <c r="L488" s="18">
        <v>1</v>
      </c>
      <c r="N488" s="13">
        <v>44827</v>
      </c>
      <c r="O488" s="29">
        <v>19.989999999999998</v>
      </c>
      <c r="P488" s="18" t="s">
        <v>1107</v>
      </c>
      <c r="Q488" s="18">
        <v>1</v>
      </c>
      <c r="R488" s="13">
        <v>44830</v>
      </c>
      <c r="S488" s="21">
        <f>115/60</f>
        <v>1.9166666666666667</v>
      </c>
      <c r="T488" s="22">
        <v>0.8</v>
      </c>
      <c r="U488" s="22">
        <v>0.84</v>
      </c>
      <c r="V488" s="22">
        <f>3.9/5</f>
        <v>0.78</v>
      </c>
      <c r="W488" s="14" t="s">
        <v>7777</v>
      </c>
      <c r="AB488" s="18">
        <f t="shared" si="14"/>
        <v>2022</v>
      </c>
      <c r="AC488" s="22">
        <f t="shared" si="15"/>
        <v>0.80666666666666664</v>
      </c>
    </row>
    <row r="489" spans="1:29">
      <c r="A489" s="8" t="s">
        <v>15430</v>
      </c>
      <c r="B489" s="17" t="s">
        <v>7800</v>
      </c>
      <c r="C489" s="13">
        <v>44728</v>
      </c>
      <c r="D489" s="13" t="s">
        <v>8465</v>
      </c>
      <c r="E489" s="10" t="s">
        <v>15350</v>
      </c>
      <c r="F489" s="10" t="s">
        <v>15431</v>
      </c>
      <c r="H489" s="2" t="s">
        <v>153</v>
      </c>
      <c r="L489" s="18">
        <v>1</v>
      </c>
      <c r="N489" s="13">
        <v>45131</v>
      </c>
      <c r="O489" s="29">
        <v>0</v>
      </c>
      <c r="P489" s="18" t="s">
        <v>1107</v>
      </c>
      <c r="Q489" s="18">
        <v>1</v>
      </c>
      <c r="R489" s="13">
        <v>45132</v>
      </c>
      <c r="S489" s="21">
        <f>68/60</f>
        <v>1.1333333333333333</v>
      </c>
      <c r="T489" s="22">
        <v>0.6</v>
      </c>
      <c r="V489" s="22">
        <f>3.93/5</f>
        <v>0.78600000000000003</v>
      </c>
      <c r="W489" s="14" t="s">
        <v>7777</v>
      </c>
      <c r="AB489" s="18">
        <f t="shared" si="14"/>
        <v>2022</v>
      </c>
      <c r="AC489" s="22">
        <f t="shared" si="15"/>
        <v>0.69300000000000006</v>
      </c>
    </row>
    <row r="490" spans="1:29">
      <c r="A490" s="8" t="s">
        <v>14219</v>
      </c>
      <c r="B490" s="17" t="s">
        <v>13799</v>
      </c>
      <c r="C490" s="13">
        <v>44693</v>
      </c>
      <c r="D490" s="13" t="s">
        <v>8465</v>
      </c>
      <c r="E490" s="10" t="s">
        <v>14220</v>
      </c>
      <c r="F490" s="10" t="s">
        <v>14220</v>
      </c>
      <c r="H490" s="2" t="s">
        <v>1057</v>
      </c>
      <c r="L490" s="18">
        <v>1</v>
      </c>
      <c r="N490" s="13">
        <v>45023</v>
      </c>
      <c r="O490" s="29">
        <v>0</v>
      </c>
      <c r="P490" s="18" t="s">
        <v>1107</v>
      </c>
      <c r="Q490" s="18">
        <v>1</v>
      </c>
      <c r="R490" s="13">
        <v>45193</v>
      </c>
      <c r="T490" s="22">
        <v>0.4</v>
      </c>
      <c r="W490" s="14" t="s">
        <v>8765</v>
      </c>
      <c r="AB490" s="18">
        <f t="shared" si="14"/>
        <v>2022</v>
      </c>
      <c r="AC490" s="22">
        <f t="shared" si="15"/>
        <v>0.4</v>
      </c>
    </row>
    <row r="491" spans="1:29" ht="25.5">
      <c r="A491" s="8" t="s">
        <v>12037</v>
      </c>
      <c r="B491" s="17" t="s">
        <v>7744</v>
      </c>
      <c r="C491" s="13">
        <v>44691</v>
      </c>
      <c r="D491" s="13" t="s">
        <v>8465</v>
      </c>
      <c r="E491" s="10" t="s">
        <v>1571</v>
      </c>
      <c r="F491" s="10" t="s">
        <v>7972</v>
      </c>
      <c r="G491" s="11" t="s">
        <v>12038</v>
      </c>
      <c r="H491" s="2" t="s">
        <v>171</v>
      </c>
      <c r="L491" s="18">
        <v>1</v>
      </c>
      <c r="N491" s="13">
        <v>44732</v>
      </c>
      <c r="O491" s="29">
        <v>11.65</v>
      </c>
      <c r="P491" s="18" t="s">
        <v>1107</v>
      </c>
      <c r="Q491" s="18">
        <v>1</v>
      </c>
      <c r="R491" s="13">
        <v>44743</v>
      </c>
      <c r="S491" s="21">
        <f>15+37/60</f>
        <v>15.616666666666667</v>
      </c>
      <c r="T491" s="22">
        <v>0.5</v>
      </c>
      <c r="U491" s="22">
        <v>0.65</v>
      </c>
      <c r="V491" s="22">
        <f>3.84/5</f>
        <v>0.76800000000000002</v>
      </c>
      <c r="AB491" s="18">
        <f t="shared" si="14"/>
        <v>2022</v>
      </c>
      <c r="AC491" s="22">
        <f t="shared" si="15"/>
        <v>0.63933333333333331</v>
      </c>
    </row>
    <row r="492" spans="1:29" ht="25.5">
      <c r="A492" s="8" t="s">
        <v>15475</v>
      </c>
      <c r="B492" s="17" t="s">
        <v>7800</v>
      </c>
      <c r="C492" s="13">
        <v>44683</v>
      </c>
      <c r="D492" s="13" t="s">
        <v>8465</v>
      </c>
      <c r="E492" s="10" t="s">
        <v>15476</v>
      </c>
      <c r="F492" s="10" t="s">
        <v>15476</v>
      </c>
      <c r="H492" s="2" t="s">
        <v>80</v>
      </c>
      <c r="L492" s="18">
        <v>1</v>
      </c>
      <c r="N492" s="13">
        <v>45138</v>
      </c>
      <c r="O492" s="29">
        <v>0.89</v>
      </c>
      <c r="P492" s="18" t="s">
        <v>1107</v>
      </c>
      <c r="Q492" s="18">
        <v>1</v>
      </c>
      <c r="R492" s="13">
        <v>45139</v>
      </c>
      <c r="S492" s="21">
        <f>14/60</f>
        <v>0.23333333333333334</v>
      </c>
      <c r="T492" s="22">
        <v>0.2</v>
      </c>
      <c r="V492" s="22">
        <f>1.83/5</f>
        <v>0.36599999999999999</v>
      </c>
      <c r="W492" s="14" t="s">
        <v>7777</v>
      </c>
      <c r="AB492" s="18">
        <f t="shared" si="14"/>
        <v>2022</v>
      </c>
      <c r="AC492" s="22">
        <f t="shared" si="15"/>
        <v>0.28300000000000003</v>
      </c>
    </row>
    <row r="493" spans="1:29">
      <c r="A493" s="8" t="s">
        <v>13344</v>
      </c>
      <c r="B493" s="17" t="s">
        <v>7800</v>
      </c>
      <c r="C493" s="13">
        <v>44679</v>
      </c>
      <c r="D493" s="13" t="s">
        <v>8465</v>
      </c>
      <c r="E493" s="10" t="s">
        <v>13345</v>
      </c>
      <c r="F493" s="10" t="s">
        <v>13345</v>
      </c>
      <c r="H493" s="2" t="s">
        <v>151</v>
      </c>
      <c r="L493" s="18">
        <v>1</v>
      </c>
      <c r="N493" s="13">
        <v>44946</v>
      </c>
      <c r="O493" s="29">
        <v>0</v>
      </c>
      <c r="P493" s="18" t="s">
        <v>1107</v>
      </c>
      <c r="Q493" s="18">
        <v>1</v>
      </c>
      <c r="R493" s="13">
        <v>45083</v>
      </c>
      <c r="S493" s="21">
        <f>8+15/60</f>
        <v>8.25</v>
      </c>
      <c r="T493" s="22">
        <v>0.75</v>
      </c>
      <c r="V493" s="22">
        <f>4.13/5</f>
        <v>0.82599999999999996</v>
      </c>
      <c r="W493" s="14" t="s">
        <v>7777</v>
      </c>
      <c r="AB493" s="18">
        <f t="shared" si="14"/>
        <v>2022</v>
      </c>
      <c r="AC493" s="22">
        <f t="shared" si="15"/>
        <v>0.78800000000000003</v>
      </c>
    </row>
    <row r="494" spans="1:29">
      <c r="A494" s="8" t="s">
        <v>12524</v>
      </c>
      <c r="B494" s="17" t="s">
        <v>7800</v>
      </c>
      <c r="C494" s="13">
        <v>44679</v>
      </c>
      <c r="D494" s="13" t="s">
        <v>8465</v>
      </c>
      <c r="E494" s="10" t="s">
        <v>12527</v>
      </c>
      <c r="F494" s="10" t="s">
        <v>12527</v>
      </c>
      <c r="G494" s="11" t="s">
        <v>12524</v>
      </c>
      <c r="H494" s="2" t="s">
        <v>78</v>
      </c>
      <c r="L494" s="18">
        <v>1</v>
      </c>
      <c r="N494" s="13">
        <v>44820</v>
      </c>
      <c r="O494" s="29">
        <v>2.09</v>
      </c>
      <c r="P494" s="18" t="s">
        <v>1107</v>
      </c>
      <c r="Q494" s="18">
        <v>1</v>
      </c>
      <c r="R494" s="13">
        <v>44821</v>
      </c>
      <c r="S494" s="21">
        <f>108/60</f>
        <v>1.8</v>
      </c>
      <c r="T494" s="22">
        <v>0.6</v>
      </c>
      <c r="V494" s="22">
        <f>3.3/5</f>
        <v>0.65999999999999992</v>
      </c>
      <c r="W494" s="14" t="s">
        <v>7777</v>
      </c>
      <c r="AB494" s="18">
        <f t="shared" si="14"/>
        <v>2022</v>
      </c>
      <c r="AC494" s="22">
        <f t="shared" si="15"/>
        <v>0.62999999999999989</v>
      </c>
    </row>
    <row r="495" spans="1:29" ht="30">
      <c r="A495" s="8" t="s">
        <v>15860</v>
      </c>
      <c r="B495" s="17" t="s">
        <v>13799</v>
      </c>
      <c r="C495" s="13">
        <v>44669</v>
      </c>
      <c r="D495" s="13" t="s">
        <v>8465</v>
      </c>
      <c r="E495" s="10" t="s">
        <v>15861</v>
      </c>
      <c r="F495" s="10" t="s">
        <v>15861</v>
      </c>
      <c r="H495" s="2" t="s">
        <v>67</v>
      </c>
      <c r="L495" s="18">
        <v>1</v>
      </c>
      <c r="O495" s="29">
        <v>0</v>
      </c>
      <c r="P495" s="18" t="s">
        <v>1107</v>
      </c>
      <c r="Q495" s="18">
        <v>1</v>
      </c>
      <c r="R495" s="13">
        <v>45196</v>
      </c>
      <c r="T495" s="22">
        <v>0.7</v>
      </c>
      <c r="V495" s="22">
        <f>3.75/5</f>
        <v>0.75</v>
      </c>
      <c r="AB495" s="18">
        <f t="shared" si="14"/>
        <v>2022</v>
      </c>
      <c r="AC495" s="22">
        <f t="shared" si="15"/>
        <v>0.72499999999999998</v>
      </c>
    </row>
    <row r="496" spans="1:29" ht="45">
      <c r="A496" s="8" t="s">
        <v>10585</v>
      </c>
      <c r="B496" s="17" t="s">
        <v>7744</v>
      </c>
      <c r="C496" s="13">
        <v>44656</v>
      </c>
      <c r="D496" s="13" t="s">
        <v>8465</v>
      </c>
      <c r="E496" s="10" t="s">
        <v>1156</v>
      </c>
      <c r="F496" s="10" t="s">
        <v>1309</v>
      </c>
      <c r="G496" s="11" t="s">
        <v>4310</v>
      </c>
      <c r="H496" s="2" t="s">
        <v>80</v>
      </c>
      <c r="L496" s="18">
        <v>1</v>
      </c>
      <c r="M496" s="14" t="s">
        <v>8462</v>
      </c>
      <c r="N496" s="13">
        <v>44500</v>
      </c>
      <c r="O496" s="29">
        <v>65.16</v>
      </c>
      <c r="P496" s="18" t="s">
        <v>14</v>
      </c>
      <c r="Q496" s="18">
        <v>1</v>
      </c>
      <c r="R496" s="13">
        <v>44663</v>
      </c>
      <c r="S496" s="21">
        <v>10</v>
      </c>
      <c r="T496" s="22">
        <v>0.6</v>
      </c>
      <c r="U496" s="22">
        <v>0.81</v>
      </c>
      <c r="V496" s="22">
        <f>4.03/5</f>
        <v>0.80600000000000005</v>
      </c>
      <c r="AB496" s="18">
        <f t="shared" si="14"/>
        <v>2022</v>
      </c>
      <c r="AC496" s="22">
        <f t="shared" si="15"/>
        <v>0.73866666666666669</v>
      </c>
    </row>
    <row r="497" spans="1:29">
      <c r="A497" s="8" t="s">
        <v>12273</v>
      </c>
      <c r="B497" s="17" t="s">
        <v>9431</v>
      </c>
      <c r="C497" s="13">
        <v>44649</v>
      </c>
      <c r="D497" s="13" t="s">
        <v>8465</v>
      </c>
      <c r="E497" s="10" t="s">
        <v>12317</v>
      </c>
      <c r="F497" s="10" t="s">
        <v>12318</v>
      </c>
      <c r="H497" s="2" t="s">
        <v>1061</v>
      </c>
      <c r="L497" s="18">
        <v>1</v>
      </c>
      <c r="M497" s="14" t="s">
        <v>8462</v>
      </c>
      <c r="N497" s="13">
        <v>44783</v>
      </c>
      <c r="O497" s="29">
        <v>14.99</v>
      </c>
      <c r="P497" s="18" t="s">
        <v>14</v>
      </c>
      <c r="Q497" s="18">
        <v>1</v>
      </c>
      <c r="R497" s="13">
        <v>44856</v>
      </c>
      <c r="S497" s="21">
        <v>1</v>
      </c>
      <c r="T497" s="22">
        <v>0.3</v>
      </c>
      <c r="U497" s="22">
        <v>0.64</v>
      </c>
      <c r="V497" s="22">
        <f>4.17/5</f>
        <v>0.83399999999999996</v>
      </c>
      <c r="AB497" s="18">
        <f t="shared" si="14"/>
        <v>2022</v>
      </c>
      <c r="AC497" s="22">
        <f t="shared" si="15"/>
        <v>0.59133333333333338</v>
      </c>
    </row>
    <row r="498" spans="1:29" ht="25.5">
      <c r="A498" s="8" t="s">
        <v>10504</v>
      </c>
      <c r="B498" s="17" t="s">
        <v>7744</v>
      </c>
      <c r="C498" s="13">
        <v>44645</v>
      </c>
      <c r="D498" s="13" t="s">
        <v>8465</v>
      </c>
      <c r="E498" s="10" t="s">
        <v>86</v>
      </c>
      <c r="F498" s="10" t="s">
        <v>30</v>
      </c>
      <c r="G498" s="11" t="s">
        <v>223</v>
      </c>
      <c r="H498" s="2" t="s">
        <v>1040</v>
      </c>
      <c r="L498" s="18">
        <v>1</v>
      </c>
      <c r="M498" s="14" t="s">
        <v>8462</v>
      </c>
      <c r="N498" s="13">
        <v>44463</v>
      </c>
      <c r="O498" s="29">
        <v>65.16</v>
      </c>
      <c r="P498" s="18" t="s">
        <v>14</v>
      </c>
      <c r="Q498" s="18">
        <v>1</v>
      </c>
      <c r="R498" s="13">
        <v>44656</v>
      </c>
      <c r="T498" s="22">
        <v>0.85</v>
      </c>
      <c r="U498" s="22">
        <v>0.84</v>
      </c>
      <c r="V498" s="22">
        <f>4.23/5</f>
        <v>0.84600000000000009</v>
      </c>
      <c r="AB498" s="18">
        <f t="shared" si="14"/>
        <v>2022</v>
      </c>
      <c r="AC498" s="22">
        <f t="shared" si="15"/>
        <v>0.84533333333333338</v>
      </c>
    </row>
    <row r="499" spans="1:29" ht="25.5">
      <c r="A499" s="8" t="s">
        <v>10515</v>
      </c>
      <c r="B499" s="17" t="s">
        <v>7800</v>
      </c>
      <c r="C499" s="13">
        <v>44645</v>
      </c>
      <c r="D499" s="13" t="s">
        <v>8465</v>
      </c>
      <c r="E499" s="10" t="s">
        <v>3310</v>
      </c>
      <c r="F499" s="10" t="s">
        <v>3154</v>
      </c>
      <c r="G499" s="11" t="s">
        <v>3356</v>
      </c>
      <c r="H499" s="2" t="s">
        <v>1050</v>
      </c>
      <c r="L499" s="18">
        <v>1</v>
      </c>
      <c r="N499" s="13">
        <v>44483</v>
      </c>
      <c r="O499" s="29">
        <v>59.99</v>
      </c>
      <c r="P499" s="18" t="s">
        <v>1107</v>
      </c>
      <c r="Q499" s="18">
        <v>1</v>
      </c>
      <c r="R499" s="13">
        <v>44759</v>
      </c>
      <c r="S499" s="21">
        <f>16+48/60+33/3600</f>
        <v>16.809166666666666</v>
      </c>
      <c r="T499" s="22">
        <v>0.75</v>
      </c>
      <c r="U499" s="22">
        <v>0.8</v>
      </c>
      <c r="V499" s="22">
        <f>3.52/5</f>
        <v>0.70399999999999996</v>
      </c>
      <c r="W499" s="14" t="s">
        <v>7097</v>
      </c>
      <c r="AB499" s="18">
        <f t="shared" si="14"/>
        <v>2022</v>
      </c>
      <c r="AC499" s="22">
        <f t="shared" si="15"/>
        <v>0.7513333333333333</v>
      </c>
    </row>
    <row r="500" spans="1:29">
      <c r="A500" s="8" t="s">
        <v>11162</v>
      </c>
      <c r="B500" s="17" t="s">
        <v>9431</v>
      </c>
      <c r="C500" s="13">
        <v>44645</v>
      </c>
      <c r="D500" s="13" t="s">
        <v>8465</v>
      </c>
      <c r="E500" s="10" t="s">
        <v>1690</v>
      </c>
      <c r="F500" s="10" t="s">
        <v>5306</v>
      </c>
      <c r="G500" s="11" t="s">
        <v>11162</v>
      </c>
      <c r="H500" s="2" t="s">
        <v>80</v>
      </c>
      <c r="L500" s="18">
        <v>1</v>
      </c>
      <c r="M500" s="14" t="s">
        <v>8462</v>
      </c>
      <c r="N500" s="13">
        <v>44598</v>
      </c>
      <c r="O500" s="29">
        <v>65.16</v>
      </c>
      <c r="P500" s="18" t="s">
        <v>14</v>
      </c>
      <c r="Q500" s="18">
        <v>1</v>
      </c>
      <c r="R500" s="13">
        <v>44842</v>
      </c>
      <c r="S500" s="21">
        <f>10+54/3600</f>
        <v>10.015000000000001</v>
      </c>
      <c r="T500" s="22">
        <v>0.7</v>
      </c>
      <c r="U500" s="22">
        <v>0.75</v>
      </c>
      <c r="V500" s="22">
        <f>3.66/5</f>
        <v>0.73199999999999998</v>
      </c>
      <c r="AB500" s="18">
        <f t="shared" si="14"/>
        <v>2022</v>
      </c>
      <c r="AC500" s="22">
        <f t="shared" si="15"/>
        <v>0.72733333333333328</v>
      </c>
    </row>
    <row r="501" spans="1:29">
      <c r="A501" s="8" t="s">
        <v>13520</v>
      </c>
      <c r="B501" s="17" t="s">
        <v>7800</v>
      </c>
      <c r="C501" s="13">
        <v>44644</v>
      </c>
      <c r="D501" s="13" t="s">
        <v>8465</v>
      </c>
      <c r="E501" s="10" t="s">
        <v>7300</v>
      </c>
      <c r="F501" s="10" t="s">
        <v>13521</v>
      </c>
      <c r="H501" s="2" t="s">
        <v>67</v>
      </c>
      <c r="L501" s="18">
        <v>0</v>
      </c>
      <c r="Q501" s="18">
        <v>1</v>
      </c>
      <c r="R501" s="13">
        <v>44968</v>
      </c>
      <c r="S501" s="21">
        <f>1+1/60</f>
        <v>1.0166666666666666</v>
      </c>
      <c r="T501" s="22">
        <v>0.6</v>
      </c>
      <c r="V501" s="22">
        <f>3.12/5</f>
        <v>0.624</v>
      </c>
      <c r="W501" s="14" t="s">
        <v>8280</v>
      </c>
      <c r="AB501" s="18">
        <f t="shared" si="14"/>
        <v>2022</v>
      </c>
      <c r="AC501" s="22">
        <f t="shared" si="15"/>
        <v>0.61199999999999999</v>
      </c>
    </row>
    <row r="502" spans="1:29" ht="25.5">
      <c r="A502" s="8" t="s">
        <v>10498</v>
      </c>
      <c r="B502" s="17" t="s">
        <v>9431</v>
      </c>
      <c r="C502" s="13">
        <v>44638</v>
      </c>
      <c r="D502" s="13" t="s">
        <v>8465</v>
      </c>
      <c r="E502" s="10" t="s">
        <v>1082</v>
      </c>
      <c r="F502" s="10" t="s">
        <v>1136</v>
      </c>
      <c r="G502" s="11" t="s">
        <v>126</v>
      </c>
      <c r="H502" s="2" t="s">
        <v>171</v>
      </c>
      <c r="L502" s="18">
        <v>1</v>
      </c>
      <c r="M502" s="14" t="s">
        <v>8462</v>
      </c>
      <c r="N502" s="13">
        <v>44479</v>
      </c>
      <c r="O502" s="29">
        <v>65.16</v>
      </c>
      <c r="P502" s="18" t="s">
        <v>14</v>
      </c>
      <c r="Q502" s="18">
        <v>1</v>
      </c>
      <c r="R502" s="13">
        <v>44750</v>
      </c>
      <c r="S502" s="21">
        <f>23+57/60+52/3600</f>
        <v>23.964444444444442</v>
      </c>
      <c r="T502" s="22">
        <v>0.8</v>
      </c>
      <c r="U502" s="22">
        <v>0.72</v>
      </c>
      <c r="V502" s="22">
        <f>3.8/5</f>
        <v>0.76</v>
      </c>
      <c r="AB502" s="18">
        <f t="shared" si="14"/>
        <v>2022</v>
      </c>
      <c r="AC502" s="22">
        <f t="shared" si="15"/>
        <v>0.76000000000000012</v>
      </c>
    </row>
    <row r="503" spans="1:29">
      <c r="A503" s="8" t="s">
        <v>11464</v>
      </c>
      <c r="B503" s="17" t="s">
        <v>7800</v>
      </c>
      <c r="C503" s="13">
        <v>44636</v>
      </c>
      <c r="D503" s="13" t="s">
        <v>8465</v>
      </c>
      <c r="E503" s="10" t="s">
        <v>8787</v>
      </c>
      <c r="F503" s="10" t="s">
        <v>11465</v>
      </c>
      <c r="H503" s="2" t="s">
        <v>80</v>
      </c>
      <c r="L503" s="18">
        <v>0</v>
      </c>
      <c r="Q503" s="18">
        <v>1</v>
      </c>
      <c r="R503" s="13">
        <v>44674</v>
      </c>
      <c r="S503" s="21">
        <f>9+59/60+24/3600</f>
        <v>9.9899999999999984</v>
      </c>
      <c r="T503" s="22">
        <v>0.85</v>
      </c>
      <c r="U503" s="22">
        <v>0.85</v>
      </c>
      <c r="V503" s="22">
        <f>3.62/5</f>
        <v>0.72399999999999998</v>
      </c>
      <c r="W503" s="14" t="s">
        <v>8280</v>
      </c>
      <c r="AB503" s="18">
        <f t="shared" si="14"/>
        <v>2022</v>
      </c>
      <c r="AC503" s="22">
        <f t="shared" si="15"/>
        <v>0.80799999999999994</v>
      </c>
    </row>
    <row r="504" spans="1:29">
      <c r="A504" s="8" t="s">
        <v>14438</v>
      </c>
      <c r="B504" s="17" t="s">
        <v>7781</v>
      </c>
      <c r="C504" s="13">
        <v>44633</v>
      </c>
      <c r="D504" s="13" t="s">
        <v>8465</v>
      </c>
      <c r="E504" s="10" t="s">
        <v>14439</v>
      </c>
      <c r="F504" s="10" t="s">
        <v>14439</v>
      </c>
      <c r="H504" s="2" t="s">
        <v>78</v>
      </c>
      <c r="L504" s="18">
        <v>0</v>
      </c>
      <c r="Q504" s="18">
        <v>1</v>
      </c>
      <c r="R504" s="13">
        <v>45039</v>
      </c>
      <c r="T504" s="22">
        <v>0.5</v>
      </c>
      <c r="AB504" s="18">
        <f t="shared" si="14"/>
        <v>2022</v>
      </c>
      <c r="AC504" s="22">
        <f t="shared" si="15"/>
        <v>0.5</v>
      </c>
    </row>
    <row r="505" spans="1:29" ht="25.5">
      <c r="A505" s="8" t="s">
        <v>11499</v>
      </c>
      <c r="B505" s="17" t="s">
        <v>7800</v>
      </c>
      <c r="C505" s="13">
        <v>44628</v>
      </c>
      <c r="D505" s="13" t="s">
        <v>8465</v>
      </c>
      <c r="E505" s="10" t="s">
        <v>1690</v>
      </c>
      <c r="F505" s="10" t="s">
        <v>5306</v>
      </c>
      <c r="G505" s="11" t="s">
        <v>11162</v>
      </c>
      <c r="H505" s="2" t="s">
        <v>1057</v>
      </c>
      <c r="L505" s="18">
        <v>1</v>
      </c>
      <c r="N505" s="13">
        <v>44645</v>
      </c>
      <c r="O505" s="29">
        <v>0</v>
      </c>
      <c r="P505" s="18" t="s">
        <v>1107</v>
      </c>
      <c r="Q505" s="18">
        <v>1</v>
      </c>
      <c r="R505" s="13">
        <v>44840</v>
      </c>
      <c r="S505" s="21">
        <f>31/60</f>
        <v>0.51666666666666672</v>
      </c>
      <c r="T505" s="22">
        <v>0.4</v>
      </c>
      <c r="W505" s="14" t="s">
        <v>7777</v>
      </c>
      <c r="AB505" s="18">
        <f t="shared" si="14"/>
        <v>2022</v>
      </c>
      <c r="AC505" s="22">
        <f t="shared" si="15"/>
        <v>0.4</v>
      </c>
    </row>
    <row r="506" spans="1:29">
      <c r="A506" s="8" t="s">
        <v>10503</v>
      </c>
      <c r="B506" s="17" t="s">
        <v>7744</v>
      </c>
      <c r="C506" s="13">
        <v>44624</v>
      </c>
      <c r="D506" s="13" t="s">
        <v>8465</v>
      </c>
      <c r="E506" s="10" t="s">
        <v>86</v>
      </c>
      <c r="F506" s="10" t="s">
        <v>8933</v>
      </c>
      <c r="H506" s="2" t="s">
        <v>75</v>
      </c>
      <c r="L506" s="18">
        <v>1</v>
      </c>
      <c r="M506" s="14" t="s">
        <v>8462</v>
      </c>
      <c r="N506" s="13">
        <v>44465</v>
      </c>
      <c r="O506" s="29">
        <v>65.16</v>
      </c>
      <c r="P506" s="18" t="s">
        <v>14</v>
      </c>
      <c r="Q506" s="18">
        <v>1</v>
      </c>
      <c r="R506" s="13">
        <v>44649</v>
      </c>
      <c r="S506" s="21">
        <f>34+40/60</f>
        <v>34.666666666666664</v>
      </c>
      <c r="T506" s="22">
        <v>0.9</v>
      </c>
      <c r="U506" s="22">
        <v>0.83</v>
      </c>
      <c r="V506" s="22">
        <f>4.22/5</f>
        <v>0.84399999999999997</v>
      </c>
      <c r="AB506" s="18">
        <f t="shared" si="14"/>
        <v>2022</v>
      </c>
      <c r="AC506" s="22">
        <f t="shared" si="15"/>
        <v>0.85799999999999998</v>
      </c>
    </row>
    <row r="507" spans="1:29">
      <c r="A507" s="8" t="s">
        <v>10778</v>
      </c>
      <c r="B507" s="17" t="s">
        <v>9431</v>
      </c>
      <c r="C507" s="13">
        <v>44623</v>
      </c>
      <c r="D507" s="13" t="s">
        <v>8465</v>
      </c>
      <c r="E507" s="10" t="s">
        <v>1082</v>
      </c>
      <c r="F507" s="10" t="s">
        <v>1058</v>
      </c>
      <c r="H507" s="2" t="s">
        <v>1059</v>
      </c>
      <c r="L507" s="18">
        <v>1</v>
      </c>
      <c r="M507" s="14" t="s">
        <v>8462</v>
      </c>
      <c r="N507" s="13">
        <v>44543</v>
      </c>
      <c r="O507" s="29">
        <v>65.16</v>
      </c>
      <c r="P507" s="18" t="s">
        <v>14</v>
      </c>
      <c r="Q507" s="18">
        <v>1</v>
      </c>
      <c r="R507" s="13">
        <v>44712</v>
      </c>
      <c r="S507" s="21">
        <f>8+38/60</f>
        <v>8.6333333333333329</v>
      </c>
      <c r="T507" s="22">
        <v>0.2</v>
      </c>
      <c r="U507" s="22">
        <v>0.41</v>
      </c>
      <c r="V507" s="22">
        <f>2.22/5</f>
        <v>0.44400000000000006</v>
      </c>
      <c r="AB507" s="18">
        <f t="shared" si="14"/>
        <v>2022</v>
      </c>
      <c r="AC507" s="22">
        <f t="shared" si="15"/>
        <v>0.35133333333333333</v>
      </c>
    </row>
    <row r="508" spans="1:29" ht="25.5">
      <c r="A508" s="8" t="s">
        <v>11894</v>
      </c>
      <c r="B508" s="17" t="s">
        <v>7800</v>
      </c>
      <c r="C508" s="13">
        <v>44621</v>
      </c>
      <c r="D508" s="13" t="s">
        <v>8465</v>
      </c>
      <c r="E508" s="10" t="s">
        <v>9438</v>
      </c>
      <c r="F508" s="10" t="s">
        <v>3600</v>
      </c>
      <c r="G508" s="11" t="s">
        <v>4849</v>
      </c>
      <c r="H508" s="2" t="s">
        <v>1518</v>
      </c>
      <c r="J508" s="18">
        <v>1</v>
      </c>
      <c r="L508" s="18">
        <v>1</v>
      </c>
      <c r="N508" s="13">
        <v>44714</v>
      </c>
      <c r="O508" s="29">
        <v>9.74</v>
      </c>
      <c r="P508" s="18" t="s">
        <v>1107</v>
      </c>
      <c r="Q508" s="18">
        <v>1</v>
      </c>
      <c r="R508" s="13">
        <v>45078</v>
      </c>
      <c r="S508" s="21">
        <f>54+17/60</f>
        <v>54.283333333333331</v>
      </c>
      <c r="T508" s="22">
        <v>0.9</v>
      </c>
      <c r="V508" s="22">
        <f>4/5</f>
        <v>0.8</v>
      </c>
      <c r="W508" s="14" t="s">
        <v>7777</v>
      </c>
      <c r="AB508" s="18">
        <f t="shared" si="14"/>
        <v>2022</v>
      </c>
      <c r="AC508" s="22">
        <f t="shared" si="15"/>
        <v>0.85000000000000009</v>
      </c>
    </row>
    <row r="509" spans="1:29">
      <c r="A509" s="8" t="s">
        <v>12486</v>
      </c>
      <c r="B509" s="17" t="s">
        <v>7800</v>
      </c>
      <c r="C509" s="13">
        <v>44621</v>
      </c>
      <c r="D509" s="13" t="s">
        <v>8465</v>
      </c>
      <c r="E509" s="10" t="s">
        <v>4070</v>
      </c>
      <c r="F509" s="10" t="s">
        <v>4070</v>
      </c>
      <c r="H509" s="2" t="s">
        <v>67</v>
      </c>
      <c r="L509" s="18">
        <v>1</v>
      </c>
      <c r="N509" s="13">
        <v>44813</v>
      </c>
      <c r="O509" s="29">
        <v>0</v>
      </c>
      <c r="P509" s="18" t="s">
        <v>1107</v>
      </c>
      <c r="Q509" s="18">
        <v>1</v>
      </c>
      <c r="R509" s="13">
        <v>44813</v>
      </c>
      <c r="S509" s="21">
        <f>30/60</f>
        <v>0.5</v>
      </c>
      <c r="T509" s="22">
        <v>0.6</v>
      </c>
      <c r="V509" s="22">
        <f>3.38/5</f>
        <v>0.67599999999999993</v>
      </c>
      <c r="W509" s="14" t="s">
        <v>7777</v>
      </c>
      <c r="AB509" s="18">
        <f t="shared" si="14"/>
        <v>2022</v>
      </c>
      <c r="AC509" s="22">
        <f t="shared" si="15"/>
        <v>0.6379999999999999</v>
      </c>
    </row>
    <row r="510" spans="1:29" ht="30">
      <c r="A510" s="8" t="s">
        <v>9918</v>
      </c>
      <c r="B510" s="17" t="s">
        <v>9431</v>
      </c>
      <c r="C510" s="13">
        <v>44617</v>
      </c>
      <c r="D510" s="13" t="s">
        <v>8465</v>
      </c>
      <c r="E510" s="10" t="s">
        <v>1604</v>
      </c>
      <c r="F510" s="10" t="s">
        <v>1580</v>
      </c>
      <c r="G510" s="11" t="s">
        <v>3566</v>
      </c>
      <c r="H510" s="2" t="s">
        <v>171</v>
      </c>
      <c r="L510" s="18">
        <v>1</v>
      </c>
      <c r="M510" s="14" t="s">
        <v>8462</v>
      </c>
      <c r="N510" s="13">
        <v>43626</v>
      </c>
      <c r="O510" s="29">
        <v>59.95</v>
      </c>
      <c r="P510" s="18" t="s">
        <v>14</v>
      </c>
      <c r="Q510" s="18">
        <v>1</v>
      </c>
      <c r="R510" s="13">
        <v>44692</v>
      </c>
      <c r="S510" s="21">
        <f>83+26/60+53/3600</f>
        <v>83.448055555555555</v>
      </c>
      <c r="T510" s="22">
        <v>1</v>
      </c>
      <c r="U510" s="22">
        <v>0.97</v>
      </c>
      <c r="V510" s="22">
        <f>4.37/5</f>
        <v>0.874</v>
      </c>
      <c r="AB510" s="18">
        <f t="shared" si="14"/>
        <v>2022</v>
      </c>
      <c r="AC510" s="22">
        <f t="shared" si="15"/>
        <v>0.94799999999999995</v>
      </c>
    </row>
    <row r="511" spans="1:29" ht="25.5">
      <c r="A511" s="8" t="s">
        <v>14631</v>
      </c>
      <c r="B511" s="17" t="s">
        <v>7783</v>
      </c>
      <c r="C511" s="13">
        <v>44617</v>
      </c>
      <c r="D511" s="13" t="s">
        <v>8465</v>
      </c>
      <c r="E511" s="10" t="s">
        <v>3181</v>
      </c>
      <c r="F511" s="10" t="s">
        <v>3181</v>
      </c>
      <c r="H511" s="2" t="s">
        <v>64</v>
      </c>
      <c r="L511" s="18">
        <v>0</v>
      </c>
      <c r="Q511" s="18">
        <v>1</v>
      </c>
      <c r="R511" s="13">
        <v>45051</v>
      </c>
      <c r="S511" s="21">
        <f>1+12/60+38/3600</f>
        <v>1.2105555555555556</v>
      </c>
      <c r="T511" s="22">
        <v>0.6</v>
      </c>
      <c r="W511" s="14" t="s">
        <v>8572</v>
      </c>
      <c r="AB511" s="18">
        <f t="shared" si="14"/>
        <v>2022</v>
      </c>
      <c r="AC511" s="22">
        <f t="shared" si="15"/>
        <v>0.6</v>
      </c>
    </row>
    <row r="512" spans="1:29">
      <c r="A512" s="8" t="s">
        <v>10361</v>
      </c>
      <c r="B512" s="17" t="s">
        <v>7744</v>
      </c>
      <c r="C512" s="13">
        <v>44614</v>
      </c>
      <c r="D512" s="13" t="s">
        <v>8465</v>
      </c>
      <c r="E512" s="10" t="s">
        <v>1062</v>
      </c>
      <c r="F512" s="10" t="s">
        <v>9775</v>
      </c>
      <c r="H512" s="2" t="s">
        <v>75</v>
      </c>
      <c r="L512" s="18">
        <v>1</v>
      </c>
      <c r="M512" s="14" t="s">
        <v>8462</v>
      </c>
      <c r="N512" s="13">
        <v>44378</v>
      </c>
      <c r="O512" s="29">
        <v>65.16</v>
      </c>
      <c r="P512" s="18" t="s">
        <v>14</v>
      </c>
      <c r="Q512" s="18">
        <v>1</v>
      </c>
      <c r="R512" s="13">
        <v>44699</v>
      </c>
      <c r="S512" s="21">
        <f>52+56/60+19/3600</f>
        <v>52.938611111111108</v>
      </c>
      <c r="T512" s="22">
        <v>0.5</v>
      </c>
      <c r="U512" s="22">
        <v>0.65</v>
      </c>
      <c r="V512" s="22">
        <f>3.1/5</f>
        <v>0.62</v>
      </c>
      <c r="W512" s="14" t="s">
        <v>10168</v>
      </c>
      <c r="AB512" s="18">
        <f t="shared" si="14"/>
        <v>2022</v>
      </c>
      <c r="AC512" s="22">
        <f t="shared" si="15"/>
        <v>0.59</v>
      </c>
    </row>
    <row r="513" spans="1:29" ht="30">
      <c r="A513" s="8" t="s">
        <v>10505</v>
      </c>
      <c r="B513" s="17" t="s">
        <v>9431</v>
      </c>
      <c r="C513" s="13">
        <v>44610</v>
      </c>
      <c r="D513" s="13" t="s">
        <v>8465</v>
      </c>
      <c r="E513" s="10" t="s">
        <v>6107</v>
      </c>
      <c r="F513" s="10" t="s">
        <v>5882</v>
      </c>
      <c r="G513" s="11" t="s">
        <v>6134</v>
      </c>
      <c r="H513" s="2" t="s">
        <v>80</v>
      </c>
      <c r="L513" s="18">
        <v>1</v>
      </c>
      <c r="M513" s="14" t="s">
        <v>8462</v>
      </c>
      <c r="N513" s="13">
        <v>44448</v>
      </c>
      <c r="O513" s="29">
        <v>76.03</v>
      </c>
      <c r="P513" s="18" t="s">
        <v>14</v>
      </c>
      <c r="Q513" s="18">
        <v>1</v>
      </c>
      <c r="R513" s="13">
        <v>44629</v>
      </c>
      <c r="S513" s="21">
        <f>32+3/60+9/3600</f>
        <v>32.052499999999995</v>
      </c>
      <c r="T513" s="22">
        <v>0.9</v>
      </c>
      <c r="U513" s="22">
        <v>0.88</v>
      </c>
      <c r="V513" s="22">
        <f>4.05/5</f>
        <v>0.80999999999999994</v>
      </c>
      <c r="AB513" s="18">
        <f t="shared" si="14"/>
        <v>2022</v>
      </c>
      <c r="AC513" s="22">
        <f t="shared" si="15"/>
        <v>0.86333333333333329</v>
      </c>
    </row>
    <row r="514" spans="1:29" ht="25.5">
      <c r="A514" s="8" t="s">
        <v>11139</v>
      </c>
      <c r="B514" s="17" t="s">
        <v>7744</v>
      </c>
      <c r="C514" s="13">
        <v>44609</v>
      </c>
      <c r="D514" s="13" t="s">
        <v>8465</v>
      </c>
      <c r="E514" s="10" t="s">
        <v>1082</v>
      </c>
      <c r="F514" s="10" t="s">
        <v>10790</v>
      </c>
      <c r="G514" s="11" t="s">
        <v>11138</v>
      </c>
      <c r="H514" s="2" t="s">
        <v>149</v>
      </c>
      <c r="L514" s="18">
        <v>1</v>
      </c>
      <c r="N514" s="13">
        <v>44599</v>
      </c>
      <c r="O514" s="29">
        <v>29.99</v>
      </c>
      <c r="P514" s="18" t="s">
        <v>1107</v>
      </c>
      <c r="Q514" s="18">
        <v>1</v>
      </c>
      <c r="R514" s="13">
        <v>44624</v>
      </c>
      <c r="S514" s="21">
        <f>15+58/60+5/3600</f>
        <v>15.968055555555555</v>
      </c>
      <c r="T514" s="22">
        <v>0.7</v>
      </c>
      <c r="U514" s="22">
        <v>0.78</v>
      </c>
      <c r="V514" s="22">
        <f>3.54/5</f>
        <v>0.70799999999999996</v>
      </c>
      <c r="AB514" s="18">
        <f t="shared" ref="AB514:AB577" si="16">IFERROR(YEAR(C514), "Early Access")</f>
        <v>2022</v>
      </c>
      <c r="AC514" s="22">
        <f t="shared" ref="AC514:AC577" si="17">AVERAGE(T514, U514, V514, IF(ISBLANK(X514), X514, X514/5))</f>
        <v>0.72933333333333328</v>
      </c>
    </row>
    <row r="515" spans="1:29">
      <c r="A515" s="8" t="s">
        <v>11378</v>
      </c>
      <c r="B515" s="17" t="s">
        <v>7800</v>
      </c>
      <c r="C515" s="13">
        <v>44603</v>
      </c>
      <c r="D515" s="13" t="s">
        <v>8465</v>
      </c>
      <c r="E515" s="10" t="s">
        <v>10792</v>
      </c>
      <c r="F515" s="10" t="s">
        <v>11379</v>
      </c>
      <c r="H515" s="2" t="s">
        <v>9780</v>
      </c>
      <c r="L515" s="18">
        <v>1</v>
      </c>
      <c r="O515" s="29">
        <v>0</v>
      </c>
      <c r="P515" s="18" t="s">
        <v>1107</v>
      </c>
      <c r="Q515" s="18">
        <v>1</v>
      </c>
      <c r="R515" s="13">
        <v>44805</v>
      </c>
      <c r="S515" s="21">
        <f>16+5/60</f>
        <v>16.083333333333332</v>
      </c>
      <c r="T515" s="22">
        <v>0.5</v>
      </c>
      <c r="U515" s="22">
        <v>0.81</v>
      </c>
      <c r="V515" s="22">
        <f>3.44/5</f>
        <v>0.68799999999999994</v>
      </c>
      <c r="W515" s="14" t="s">
        <v>7777</v>
      </c>
      <c r="AB515" s="18">
        <f t="shared" si="16"/>
        <v>2022</v>
      </c>
      <c r="AC515" s="22">
        <f t="shared" si="17"/>
        <v>0.66600000000000004</v>
      </c>
    </row>
    <row r="516" spans="1:29" ht="30">
      <c r="A516" s="8" t="s">
        <v>13427</v>
      </c>
      <c r="B516" s="17" t="s">
        <v>9440</v>
      </c>
      <c r="C516" s="13">
        <v>44602</v>
      </c>
      <c r="D516" s="13" t="s">
        <v>8465</v>
      </c>
      <c r="E516" s="10" t="s">
        <v>13428</v>
      </c>
      <c r="F516" s="10" t="s">
        <v>3130</v>
      </c>
      <c r="G516" s="11" t="s">
        <v>7348</v>
      </c>
      <c r="H516" s="2" t="s">
        <v>1050</v>
      </c>
      <c r="J516" s="18">
        <v>1</v>
      </c>
      <c r="L516" s="18">
        <v>0</v>
      </c>
      <c r="Q516" s="18">
        <v>1</v>
      </c>
      <c r="R516" s="13">
        <v>44963</v>
      </c>
      <c r="S516" s="21">
        <f>2+10/60</f>
        <v>2.1666666666666665</v>
      </c>
      <c r="T516" s="22">
        <v>0.3</v>
      </c>
      <c r="U516" s="22">
        <v>0.38</v>
      </c>
      <c r="V516" s="22">
        <f>4.2/5</f>
        <v>0.84000000000000008</v>
      </c>
      <c r="W516" s="14" t="s">
        <v>8280</v>
      </c>
      <c r="AB516" s="18">
        <f t="shared" si="16"/>
        <v>2022</v>
      </c>
      <c r="AC516" s="22">
        <f t="shared" si="17"/>
        <v>0.50666666666666671</v>
      </c>
    </row>
    <row r="517" spans="1:29">
      <c r="A517" s="8" t="s">
        <v>13119</v>
      </c>
      <c r="B517" s="17" t="s">
        <v>7800</v>
      </c>
      <c r="C517" s="13">
        <v>44599</v>
      </c>
      <c r="D517" s="13" t="s">
        <v>8465</v>
      </c>
      <c r="E517" s="10" t="s">
        <v>8205</v>
      </c>
      <c r="F517" s="10" t="s">
        <v>2478</v>
      </c>
      <c r="G517" s="11" t="s">
        <v>2441</v>
      </c>
      <c r="H517" s="2" t="s">
        <v>255</v>
      </c>
      <c r="L517" s="18">
        <v>1</v>
      </c>
      <c r="N517" s="13">
        <v>44929</v>
      </c>
      <c r="O517" s="29">
        <v>0</v>
      </c>
      <c r="P517" s="18" t="s">
        <v>1107</v>
      </c>
      <c r="Q517" s="18">
        <v>1</v>
      </c>
      <c r="R517" s="13">
        <v>44975</v>
      </c>
      <c r="S517" s="21">
        <f>4+42/60</f>
        <v>4.7</v>
      </c>
      <c r="T517" s="22">
        <v>0.75</v>
      </c>
      <c r="U517" s="22">
        <v>0.87</v>
      </c>
      <c r="V517" s="22">
        <f>3.46/5</f>
        <v>0.69199999999999995</v>
      </c>
      <c r="W517" s="14" t="s">
        <v>7777</v>
      </c>
      <c r="AB517" s="18">
        <f t="shared" si="16"/>
        <v>2022</v>
      </c>
      <c r="AC517" s="22">
        <f t="shared" si="17"/>
        <v>0.77066666666666672</v>
      </c>
    </row>
    <row r="518" spans="1:29" ht="25.5">
      <c r="A518" s="8" t="s">
        <v>9947</v>
      </c>
      <c r="B518" s="17" t="s">
        <v>7744</v>
      </c>
      <c r="C518" s="13">
        <v>44589</v>
      </c>
      <c r="D518" s="13" t="s">
        <v>8465</v>
      </c>
      <c r="E518" s="10" t="s">
        <v>86</v>
      </c>
      <c r="F518" s="10" t="s">
        <v>1354</v>
      </c>
      <c r="G518" s="11" t="s">
        <v>1470</v>
      </c>
      <c r="H518" s="2" t="s">
        <v>149</v>
      </c>
      <c r="L518" s="18">
        <v>1</v>
      </c>
      <c r="M518" s="14" t="s">
        <v>8462</v>
      </c>
      <c r="N518" s="13">
        <v>44281</v>
      </c>
      <c r="O518" s="29">
        <v>59.99</v>
      </c>
      <c r="P518" s="18" t="s">
        <v>14</v>
      </c>
      <c r="Q518" s="18">
        <v>1</v>
      </c>
      <c r="R518" s="13">
        <v>44605</v>
      </c>
      <c r="S518" s="21">
        <f>18+23/60</f>
        <v>18.383333333333333</v>
      </c>
      <c r="T518" s="22">
        <v>0.8</v>
      </c>
      <c r="U518" s="22">
        <v>0.85</v>
      </c>
      <c r="V518" s="22">
        <f>4.06/5</f>
        <v>0.81199999999999994</v>
      </c>
      <c r="AB518" s="18">
        <f t="shared" si="16"/>
        <v>2022</v>
      </c>
      <c r="AC518" s="22">
        <f t="shared" si="17"/>
        <v>0.82066666666666654</v>
      </c>
    </row>
    <row r="519" spans="1:29" ht="30">
      <c r="A519" s="8" t="s">
        <v>13349</v>
      </c>
      <c r="B519" s="17" t="s">
        <v>7800</v>
      </c>
      <c r="C519" s="13">
        <v>44581</v>
      </c>
      <c r="D519" s="13" t="s">
        <v>8465</v>
      </c>
      <c r="E519" s="10" t="s">
        <v>1680</v>
      </c>
      <c r="F519" s="10" t="s">
        <v>3113</v>
      </c>
      <c r="G519" s="11" t="s">
        <v>1682</v>
      </c>
      <c r="H519" s="2" t="s">
        <v>1170</v>
      </c>
      <c r="L519" s="18">
        <v>1</v>
      </c>
      <c r="N519" s="13">
        <v>44949</v>
      </c>
      <c r="O519" s="29">
        <v>1.99</v>
      </c>
      <c r="P519" s="18" t="s">
        <v>1107</v>
      </c>
      <c r="Q519" s="18">
        <v>1</v>
      </c>
      <c r="R519" s="13">
        <v>45007</v>
      </c>
      <c r="S519" s="21">
        <f>15/60</f>
        <v>0.25</v>
      </c>
      <c r="T519" s="22">
        <v>0.5</v>
      </c>
      <c r="U519" s="22">
        <v>0.75</v>
      </c>
      <c r="V519" s="22">
        <f>3.67/5</f>
        <v>0.73399999999999999</v>
      </c>
      <c r="W519" s="14" t="s">
        <v>7777</v>
      </c>
      <c r="AB519" s="18">
        <f t="shared" si="16"/>
        <v>2022</v>
      </c>
      <c r="AC519" s="22">
        <f t="shared" si="17"/>
        <v>0.66133333333333333</v>
      </c>
    </row>
    <row r="520" spans="1:29">
      <c r="A520" s="8" t="s">
        <v>11980</v>
      </c>
      <c r="B520" s="17" t="s">
        <v>7800</v>
      </c>
      <c r="C520" s="13">
        <v>44561</v>
      </c>
      <c r="D520" s="13" t="s">
        <v>8465</v>
      </c>
      <c r="E520" s="10" t="s">
        <v>11981</v>
      </c>
      <c r="F520" s="10" t="s">
        <v>11981</v>
      </c>
      <c r="H520" s="2" t="s">
        <v>149</v>
      </c>
      <c r="L520" s="18">
        <v>1</v>
      </c>
      <c r="N520" s="13">
        <v>44723</v>
      </c>
      <c r="O520" s="29">
        <v>0</v>
      </c>
      <c r="P520" s="18" t="s">
        <v>1107</v>
      </c>
      <c r="Q520" s="18">
        <v>0</v>
      </c>
      <c r="V520" s="22">
        <f>5/5</f>
        <v>1</v>
      </c>
      <c r="W520" s="14" t="s">
        <v>7777</v>
      </c>
      <c r="X520" s="3">
        <v>3</v>
      </c>
      <c r="AB520" s="18">
        <f t="shared" si="16"/>
        <v>2021</v>
      </c>
      <c r="AC520" s="22">
        <f t="shared" si="17"/>
        <v>0.8</v>
      </c>
    </row>
    <row r="521" spans="1:29" ht="30">
      <c r="A521" s="8" t="s">
        <v>15589</v>
      </c>
      <c r="B521" s="17" t="s">
        <v>7800</v>
      </c>
      <c r="C521" s="13">
        <v>44561</v>
      </c>
      <c r="D521" s="13" t="s">
        <v>8465</v>
      </c>
      <c r="E521" s="10" t="s">
        <v>15590</v>
      </c>
      <c r="F521" s="10" t="s">
        <v>15590</v>
      </c>
      <c r="H521" s="2" t="s">
        <v>1518</v>
      </c>
      <c r="L521" s="18">
        <v>1</v>
      </c>
      <c r="N521" s="13">
        <v>45162</v>
      </c>
      <c r="O521" s="29">
        <v>0</v>
      </c>
      <c r="P521" s="18" t="s">
        <v>1107</v>
      </c>
      <c r="Q521" s="18">
        <v>0</v>
      </c>
      <c r="W521" s="14" t="s">
        <v>7777</v>
      </c>
      <c r="X521" s="3">
        <v>2</v>
      </c>
      <c r="AB521" s="18">
        <f t="shared" si="16"/>
        <v>2021</v>
      </c>
      <c r="AC521" s="22">
        <f t="shared" si="17"/>
        <v>0.4</v>
      </c>
    </row>
    <row r="522" spans="1:29" ht="25.5">
      <c r="A522" s="8" t="s">
        <v>11984</v>
      </c>
      <c r="B522" s="17" t="s">
        <v>7800</v>
      </c>
      <c r="C522" s="13">
        <v>44558</v>
      </c>
      <c r="D522" s="13" t="s">
        <v>8465</v>
      </c>
      <c r="E522" s="10" t="s">
        <v>11982</v>
      </c>
      <c r="F522" s="10" t="s">
        <v>11983</v>
      </c>
      <c r="G522" s="11" t="s">
        <v>11985</v>
      </c>
      <c r="H522" s="2" t="s">
        <v>1061</v>
      </c>
      <c r="L522" s="18">
        <v>1</v>
      </c>
      <c r="N522" s="13">
        <v>44723</v>
      </c>
      <c r="O522" s="29">
        <v>0</v>
      </c>
      <c r="P522" s="18" t="s">
        <v>1107</v>
      </c>
      <c r="Q522" s="18">
        <v>0</v>
      </c>
      <c r="V522" s="22">
        <f>5/5</f>
        <v>1</v>
      </c>
      <c r="W522" s="14" t="s">
        <v>7777</v>
      </c>
      <c r="X522" s="3">
        <v>2</v>
      </c>
      <c r="Z522" s="23">
        <f>34/60</f>
        <v>0.56666666666666665</v>
      </c>
      <c r="AB522" s="18">
        <f t="shared" si="16"/>
        <v>2021</v>
      </c>
      <c r="AC522" s="22">
        <f t="shared" si="17"/>
        <v>0.7</v>
      </c>
    </row>
    <row r="523" spans="1:29">
      <c r="A523" s="8" t="s">
        <v>12096</v>
      </c>
      <c r="B523" s="17" t="s">
        <v>7800</v>
      </c>
      <c r="C523" s="13">
        <v>44554</v>
      </c>
      <c r="D523" s="13" t="s">
        <v>8465</v>
      </c>
      <c r="E523" s="10" t="s">
        <v>12097</v>
      </c>
      <c r="F523" s="10" t="s">
        <v>12097</v>
      </c>
      <c r="H523" s="2" t="s">
        <v>80</v>
      </c>
      <c r="L523" s="18">
        <v>1</v>
      </c>
      <c r="N523" s="13">
        <v>44744</v>
      </c>
      <c r="O523" s="29">
        <v>0</v>
      </c>
      <c r="P523" s="18" t="s">
        <v>1107</v>
      </c>
      <c r="Q523" s="18">
        <v>0</v>
      </c>
      <c r="W523" s="14" t="s">
        <v>8765</v>
      </c>
      <c r="X523" s="3">
        <v>3</v>
      </c>
      <c r="Z523" s="23">
        <v>3</v>
      </c>
      <c r="AB523" s="18">
        <f t="shared" si="16"/>
        <v>2021</v>
      </c>
      <c r="AC523" s="22">
        <f t="shared" si="17"/>
        <v>0.6</v>
      </c>
    </row>
    <row r="524" spans="1:29">
      <c r="A524" s="8" t="s">
        <v>13703</v>
      </c>
      <c r="B524" s="17" t="s">
        <v>7800</v>
      </c>
      <c r="C524" s="13">
        <v>44552</v>
      </c>
      <c r="D524" s="13" t="s">
        <v>8465</v>
      </c>
      <c r="E524" s="10" t="s">
        <v>13705</v>
      </c>
      <c r="F524" s="10" t="s">
        <v>13705</v>
      </c>
      <c r="H524" s="2" t="s">
        <v>151</v>
      </c>
      <c r="L524" s="18">
        <v>1</v>
      </c>
      <c r="N524" s="13">
        <v>45001</v>
      </c>
      <c r="O524" s="29">
        <v>0.79</v>
      </c>
      <c r="P524" s="18" t="s">
        <v>1107</v>
      </c>
      <c r="Q524" s="18">
        <v>0</v>
      </c>
      <c r="W524" s="14" t="s">
        <v>7777</v>
      </c>
      <c r="X524" s="3">
        <v>2</v>
      </c>
      <c r="AB524" s="18">
        <f t="shared" si="16"/>
        <v>2021</v>
      </c>
      <c r="AC524" s="22">
        <f t="shared" si="17"/>
        <v>0.4</v>
      </c>
    </row>
    <row r="525" spans="1:29" ht="25.5">
      <c r="A525" s="8" t="s">
        <v>14226</v>
      </c>
      <c r="B525" s="17" t="s">
        <v>7800</v>
      </c>
      <c r="C525" s="13">
        <v>44552</v>
      </c>
      <c r="D525" s="13" t="s">
        <v>8465</v>
      </c>
      <c r="E525" s="10" t="s">
        <v>12136</v>
      </c>
      <c r="F525" s="10" t="s">
        <v>12136</v>
      </c>
      <c r="H525" s="2" t="s">
        <v>1334</v>
      </c>
      <c r="L525" s="18">
        <v>1</v>
      </c>
      <c r="O525" s="29">
        <v>0</v>
      </c>
      <c r="P525" s="18" t="s">
        <v>1107</v>
      </c>
      <c r="Q525" s="18">
        <v>0</v>
      </c>
      <c r="W525" s="14" t="s">
        <v>8765</v>
      </c>
      <c r="X525" s="3">
        <v>2</v>
      </c>
      <c r="Z525" s="23">
        <v>3</v>
      </c>
      <c r="AB525" s="18">
        <f t="shared" si="16"/>
        <v>2021</v>
      </c>
      <c r="AC525" s="22">
        <f t="shared" si="17"/>
        <v>0.4</v>
      </c>
    </row>
    <row r="526" spans="1:29">
      <c r="A526" s="8" t="s">
        <v>15866</v>
      </c>
      <c r="B526" s="17" t="s">
        <v>7800</v>
      </c>
      <c r="C526" s="13">
        <v>44550</v>
      </c>
      <c r="D526" s="13" t="s">
        <v>8465</v>
      </c>
      <c r="E526" s="10" t="s">
        <v>12543</v>
      </c>
      <c r="F526" s="10" t="s">
        <v>12543</v>
      </c>
      <c r="H526" s="2" t="s">
        <v>151</v>
      </c>
      <c r="L526" s="18">
        <v>1</v>
      </c>
      <c r="N526" s="13">
        <v>45193</v>
      </c>
      <c r="O526" s="29">
        <v>0</v>
      </c>
      <c r="P526" s="18" t="s">
        <v>1107</v>
      </c>
      <c r="Q526" s="18">
        <v>0</v>
      </c>
      <c r="W526" s="14" t="s">
        <v>7777</v>
      </c>
      <c r="X526" s="3">
        <v>2</v>
      </c>
      <c r="Z526" s="23">
        <f>43/60</f>
        <v>0.71666666666666667</v>
      </c>
      <c r="AB526" s="18">
        <f t="shared" si="16"/>
        <v>2021</v>
      </c>
      <c r="AC526" s="22">
        <f t="shared" si="17"/>
        <v>0.4</v>
      </c>
    </row>
    <row r="527" spans="1:29">
      <c r="A527" s="8" t="s">
        <v>15830</v>
      </c>
      <c r="B527" s="17" t="s">
        <v>7800</v>
      </c>
      <c r="C527" s="13">
        <v>44547</v>
      </c>
      <c r="D527" s="13" t="s">
        <v>8465</v>
      </c>
      <c r="E527" s="10" t="s">
        <v>12563</v>
      </c>
      <c r="F527" s="10" t="s">
        <v>15831</v>
      </c>
      <c r="H527" s="2" t="s">
        <v>27</v>
      </c>
      <c r="L527" s="18">
        <v>1</v>
      </c>
      <c r="N527" s="13">
        <v>45185</v>
      </c>
      <c r="O527" s="29">
        <v>0</v>
      </c>
      <c r="P527" s="18" t="s">
        <v>1107</v>
      </c>
      <c r="Q527" s="18">
        <v>0</v>
      </c>
      <c r="V527" s="22">
        <f>3/5</f>
        <v>0.6</v>
      </c>
      <c r="W527" s="14" t="s">
        <v>7777</v>
      </c>
      <c r="X527" s="3">
        <v>2</v>
      </c>
      <c r="Z527" s="23">
        <v>3</v>
      </c>
      <c r="AB527" s="18">
        <f t="shared" si="16"/>
        <v>2021</v>
      </c>
      <c r="AC527" s="22">
        <f t="shared" si="17"/>
        <v>0.5</v>
      </c>
    </row>
    <row r="528" spans="1:29" ht="38.25">
      <c r="A528" s="8" t="s">
        <v>10985</v>
      </c>
      <c r="B528" s="17" t="s">
        <v>7744</v>
      </c>
      <c r="C528" s="13">
        <v>44546</v>
      </c>
      <c r="D528" s="13" t="s">
        <v>8463</v>
      </c>
      <c r="E528" s="10" t="s">
        <v>3136</v>
      </c>
      <c r="F528" s="10" t="s">
        <v>10957</v>
      </c>
      <c r="G528" s="11" t="s">
        <v>8413</v>
      </c>
      <c r="H528" s="2" t="s">
        <v>151</v>
      </c>
      <c r="K528" s="18">
        <v>2</v>
      </c>
      <c r="L528" s="18">
        <v>1</v>
      </c>
      <c r="M528" s="14" t="s">
        <v>8462</v>
      </c>
      <c r="N528" s="13">
        <v>44483</v>
      </c>
      <c r="O528" s="29">
        <v>35.99</v>
      </c>
      <c r="P528" s="18" t="s">
        <v>14</v>
      </c>
      <c r="Q528" s="18">
        <v>0</v>
      </c>
      <c r="U528" s="22">
        <v>0.83</v>
      </c>
      <c r="V528" s="22">
        <f>4.18/5</f>
        <v>0.83599999999999997</v>
      </c>
      <c r="X528" s="3">
        <v>4</v>
      </c>
      <c r="Z528" s="23">
        <v>5.5</v>
      </c>
      <c r="AB528" s="18">
        <f t="shared" si="16"/>
        <v>2021</v>
      </c>
      <c r="AC528" s="22">
        <f t="shared" si="17"/>
        <v>0.82200000000000006</v>
      </c>
    </row>
    <row r="529" spans="1:29">
      <c r="A529" s="8" t="s">
        <v>10587</v>
      </c>
      <c r="B529" s="17" t="s">
        <v>7744</v>
      </c>
      <c r="C529" s="13">
        <v>44546</v>
      </c>
      <c r="D529" s="13" t="s">
        <v>8463</v>
      </c>
      <c r="E529" s="10" t="s">
        <v>10899</v>
      </c>
      <c r="F529" s="10" t="s">
        <v>467</v>
      </c>
      <c r="G529" s="11" t="s">
        <v>10900</v>
      </c>
      <c r="H529" s="2" t="s">
        <v>21</v>
      </c>
      <c r="K529" s="18">
        <v>2</v>
      </c>
      <c r="L529" s="18">
        <v>1</v>
      </c>
      <c r="M529" s="14" t="s">
        <v>8462</v>
      </c>
      <c r="N529" s="13">
        <v>44501</v>
      </c>
      <c r="O529" s="29">
        <v>49.99</v>
      </c>
      <c r="P529" s="18" t="s">
        <v>14</v>
      </c>
      <c r="Q529" s="18">
        <v>0</v>
      </c>
      <c r="V529" s="22">
        <f>3.75/5</f>
        <v>0.75</v>
      </c>
      <c r="X529" s="3">
        <v>3</v>
      </c>
      <c r="Z529" s="23">
        <f>(49/60)+1</f>
        <v>1.8166666666666667</v>
      </c>
      <c r="AB529" s="18">
        <f t="shared" si="16"/>
        <v>2021</v>
      </c>
      <c r="AC529" s="22">
        <f t="shared" si="17"/>
        <v>0.67500000000000004</v>
      </c>
    </row>
    <row r="530" spans="1:29" ht="25.5">
      <c r="A530" s="8" t="s">
        <v>12213</v>
      </c>
      <c r="B530" s="17" t="s">
        <v>7800</v>
      </c>
      <c r="C530" s="13">
        <v>44546</v>
      </c>
      <c r="D530" s="13" t="s">
        <v>8465</v>
      </c>
      <c r="E530" s="10" t="s">
        <v>9795</v>
      </c>
      <c r="F530" s="10" t="s">
        <v>4877</v>
      </c>
      <c r="G530" s="11" t="s">
        <v>12214</v>
      </c>
      <c r="H530" s="2" t="s">
        <v>67</v>
      </c>
      <c r="L530" s="18">
        <v>1</v>
      </c>
      <c r="N530" s="13">
        <v>44771</v>
      </c>
      <c r="O530" s="29">
        <v>0</v>
      </c>
      <c r="P530" s="18" t="s">
        <v>1107</v>
      </c>
      <c r="Q530" s="18">
        <v>0</v>
      </c>
      <c r="U530" s="22">
        <v>0.68</v>
      </c>
      <c r="V530" s="22">
        <f>3/5</f>
        <v>0.6</v>
      </c>
      <c r="W530" s="14" t="s">
        <v>7777</v>
      </c>
      <c r="X530" s="3">
        <v>3</v>
      </c>
      <c r="Z530" s="23">
        <v>9.5</v>
      </c>
      <c r="AB530" s="18">
        <f t="shared" si="16"/>
        <v>2021</v>
      </c>
      <c r="AC530" s="22">
        <f t="shared" si="17"/>
        <v>0.62666666666666659</v>
      </c>
    </row>
    <row r="531" spans="1:29">
      <c r="A531" s="8" t="s">
        <v>10536</v>
      </c>
      <c r="B531" s="17" t="s">
        <v>7744</v>
      </c>
      <c r="C531" s="13">
        <v>44544</v>
      </c>
      <c r="D531" s="13" t="s">
        <v>8465</v>
      </c>
      <c r="E531" s="10" t="s">
        <v>10852</v>
      </c>
      <c r="F531" s="10" t="s">
        <v>10853</v>
      </c>
      <c r="G531" s="11" t="s">
        <v>10854</v>
      </c>
      <c r="H531" s="2" t="s">
        <v>151</v>
      </c>
      <c r="L531" s="18">
        <v>1</v>
      </c>
      <c r="M531" s="14" t="s">
        <v>8462</v>
      </c>
      <c r="N531" s="13">
        <v>44489</v>
      </c>
      <c r="O531" s="29">
        <v>32.58</v>
      </c>
      <c r="P531" s="18" t="s">
        <v>14</v>
      </c>
      <c r="Q531" s="18">
        <v>0</v>
      </c>
      <c r="V531" s="22">
        <f>4.14/5</f>
        <v>0.82799999999999996</v>
      </c>
      <c r="X531" s="3">
        <v>3</v>
      </c>
      <c r="Z531" s="23">
        <f>8+9</f>
        <v>17</v>
      </c>
      <c r="AB531" s="18">
        <f t="shared" si="16"/>
        <v>2021</v>
      </c>
      <c r="AC531" s="22">
        <f t="shared" si="17"/>
        <v>0.71399999999999997</v>
      </c>
    </row>
    <row r="532" spans="1:29">
      <c r="A532" s="8" t="s">
        <v>13696</v>
      </c>
      <c r="B532" s="17" t="s">
        <v>7800</v>
      </c>
      <c r="C532" s="13">
        <v>44544</v>
      </c>
      <c r="D532" s="13" t="s">
        <v>8465</v>
      </c>
      <c r="E532" s="10" t="s">
        <v>13697</v>
      </c>
      <c r="F532" s="10" t="s">
        <v>13697</v>
      </c>
      <c r="H532" s="2" t="s">
        <v>80</v>
      </c>
      <c r="L532" s="18">
        <v>1</v>
      </c>
      <c r="N532" s="13">
        <v>44995</v>
      </c>
      <c r="O532" s="29">
        <v>0</v>
      </c>
      <c r="P532" s="18" t="s">
        <v>1107</v>
      </c>
      <c r="Q532" s="18">
        <v>0</v>
      </c>
      <c r="U532" s="22">
        <v>0.61</v>
      </c>
      <c r="V532" s="22">
        <f>4/5</f>
        <v>0.8</v>
      </c>
      <c r="W532" s="14" t="s">
        <v>7777</v>
      </c>
      <c r="X532" s="3">
        <v>2</v>
      </c>
      <c r="Z532" s="23">
        <v>6.5</v>
      </c>
      <c r="AB532" s="18">
        <f t="shared" si="16"/>
        <v>2021</v>
      </c>
      <c r="AC532" s="22">
        <f t="shared" si="17"/>
        <v>0.60333333333333339</v>
      </c>
    </row>
    <row r="533" spans="1:29">
      <c r="A533" s="8" t="s">
        <v>13558</v>
      </c>
      <c r="B533" s="17" t="s">
        <v>7800</v>
      </c>
      <c r="C533" s="13">
        <v>44544</v>
      </c>
      <c r="D533" s="13" t="s">
        <v>8465</v>
      </c>
      <c r="E533" s="10" t="s">
        <v>3984</v>
      </c>
      <c r="F533" s="10" t="s">
        <v>13559</v>
      </c>
      <c r="H533" s="2" t="s">
        <v>64</v>
      </c>
      <c r="L533" s="18">
        <v>1</v>
      </c>
      <c r="N533" s="13">
        <v>44973</v>
      </c>
      <c r="O533" s="29">
        <v>0</v>
      </c>
      <c r="P533" s="18" t="s">
        <v>1107</v>
      </c>
      <c r="Q533" s="18">
        <v>0</v>
      </c>
      <c r="V533" s="22">
        <f>3.5/5</f>
        <v>0.7</v>
      </c>
      <c r="W533" s="14" t="s">
        <v>7799</v>
      </c>
      <c r="X533" s="3">
        <v>2</v>
      </c>
      <c r="Z533" s="23">
        <v>5</v>
      </c>
      <c r="AB533" s="18">
        <f t="shared" si="16"/>
        <v>2021</v>
      </c>
      <c r="AC533" s="22">
        <f t="shared" si="17"/>
        <v>0.55000000000000004</v>
      </c>
    </row>
    <row r="534" spans="1:29" ht="25.5">
      <c r="A534" s="8" t="s">
        <v>13634</v>
      </c>
      <c r="B534" s="17" t="s">
        <v>7800</v>
      </c>
      <c r="C534" s="13">
        <v>44544</v>
      </c>
      <c r="D534" s="13" t="s">
        <v>8465</v>
      </c>
      <c r="E534" s="10" t="s">
        <v>8331</v>
      </c>
      <c r="F534" s="10" t="s">
        <v>13635</v>
      </c>
      <c r="H534" s="2" t="s">
        <v>1518</v>
      </c>
      <c r="L534" s="18">
        <v>1</v>
      </c>
      <c r="N534" s="13">
        <v>44986</v>
      </c>
      <c r="O534" s="29">
        <v>0</v>
      </c>
      <c r="P534" s="18" t="s">
        <v>1107</v>
      </c>
      <c r="Q534" s="18">
        <v>0</v>
      </c>
      <c r="U534" s="22">
        <v>0.62</v>
      </c>
      <c r="V534" s="22">
        <f>1.5/5</f>
        <v>0.3</v>
      </c>
      <c r="W534" s="14" t="s">
        <v>7777</v>
      </c>
      <c r="X534" s="3">
        <v>2</v>
      </c>
      <c r="Z534" s="23">
        <v>4.5</v>
      </c>
      <c r="AB534" s="18">
        <f t="shared" si="16"/>
        <v>2021</v>
      </c>
      <c r="AC534" s="22">
        <f t="shared" si="17"/>
        <v>0.43999999999999995</v>
      </c>
    </row>
    <row r="535" spans="1:29" ht="30">
      <c r="A535" s="8" t="s">
        <v>15427</v>
      </c>
      <c r="B535" s="17" t="s">
        <v>7800</v>
      </c>
      <c r="C535" s="13">
        <v>44544</v>
      </c>
      <c r="D535" s="13" t="s">
        <v>8465</v>
      </c>
      <c r="E535" s="10" t="s">
        <v>15428</v>
      </c>
      <c r="F535" s="10" t="s">
        <v>15428</v>
      </c>
      <c r="H535" s="2" t="s">
        <v>151</v>
      </c>
      <c r="L535" s="18">
        <v>1</v>
      </c>
      <c r="N535" s="13">
        <v>45131</v>
      </c>
      <c r="O535" s="29">
        <v>14.99</v>
      </c>
      <c r="P535" s="18" t="s">
        <v>1107</v>
      </c>
      <c r="Q535" s="18">
        <v>0</v>
      </c>
      <c r="U535" s="22">
        <v>0.72</v>
      </c>
      <c r="V535" s="22">
        <f>3.9/5</f>
        <v>0.78</v>
      </c>
      <c r="W535" s="14" t="s">
        <v>7777</v>
      </c>
      <c r="X535" s="3">
        <v>3</v>
      </c>
      <c r="Z535" s="23">
        <v>35</v>
      </c>
      <c r="AB535" s="18">
        <f t="shared" si="16"/>
        <v>2021</v>
      </c>
      <c r="AC535" s="22">
        <f t="shared" si="17"/>
        <v>0.70000000000000007</v>
      </c>
    </row>
    <row r="536" spans="1:29" ht="25.5">
      <c r="A536" s="8" t="s">
        <v>14446</v>
      </c>
      <c r="B536" s="17" t="s">
        <v>7744</v>
      </c>
      <c r="C536" s="13">
        <v>44543</v>
      </c>
      <c r="D536" s="13" t="s">
        <v>8465</v>
      </c>
      <c r="E536" s="10" t="s">
        <v>4989</v>
      </c>
      <c r="F536" s="10" t="s">
        <v>14447</v>
      </c>
      <c r="G536" s="11" t="s">
        <v>4988</v>
      </c>
      <c r="H536" s="2" t="s">
        <v>31</v>
      </c>
      <c r="L536" s="18">
        <v>1</v>
      </c>
      <c r="N536" s="13">
        <v>45039</v>
      </c>
      <c r="O536" s="29">
        <v>9.99</v>
      </c>
      <c r="P536" s="18" t="s">
        <v>1107</v>
      </c>
      <c r="Q536" s="18">
        <v>0</v>
      </c>
      <c r="U536" s="22">
        <v>0.83</v>
      </c>
      <c r="V536" s="22">
        <f>3.83/5</f>
        <v>0.76600000000000001</v>
      </c>
      <c r="X536" s="3">
        <v>4</v>
      </c>
      <c r="Z536" s="23">
        <v>4.5</v>
      </c>
      <c r="AB536" s="18">
        <f t="shared" si="16"/>
        <v>2021</v>
      </c>
      <c r="AC536" s="22">
        <f t="shared" si="17"/>
        <v>0.79866666666666664</v>
      </c>
    </row>
    <row r="537" spans="1:29" ht="30">
      <c r="A537" s="8" t="s">
        <v>10775</v>
      </c>
      <c r="B537" s="17" t="s">
        <v>7744</v>
      </c>
      <c r="C537" s="13">
        <v>44539</v>
      </c>
      <c r="D537" s="13" t="s">
        <v>8465</v>
      </c>
      <c r="E537" s="10" t="s">
        <v>3063</v>
      </c>
      <c r="F537" s="10" t="s">
        <v>4719</v>
      </c>
      <c r="H537" s="2" t="s">
        <v>1518</v>
      </c>
      <c r="L537" s="18">
        <v>1</v>
      </c>
      <c r="M537" s="14" t="s">
        <v>8462</v>
      </c>
      <c r="N537" s="13">
        <v>44539</v>
      </c>
      <c r="O537" s="29">
        <v>33.869999999999997</v>
      </c>
      <c r="P537" s="18" t="s">
        <v>14</v>
      </c>
      <c r="Q537" s="18">
        <v>0</v>
      </c>
      <c r="U537" s="22">
        <v>0.84</v>
      </c>
      <c r="V537" s="22">
        <f>3.81/5</f>
        <v>0.76200000000000001</v>
      </c>
      <c r="W537" s="14" t="s">
        <v>8101</v>
      </c>
      <c r="X537" s="3">
        <v>4</v>
      </c>
      <c r="Z537" s="23">
        <v>28.5</v>
      </c>
      <c r="AB537" s="18">
        <f t="shared" si="16"/>
        <v>2021</v>
      </c>
      <c r="AC537" s="22">
        <f t="shared" si="17"/>
        <v>0.80066666666666675</v>
      </c>
    </row>
    <row r="538" spans="1:29">
      <c r="A538" s="8" t="s">
        <v>14636</v>
      </c>
      <c r="B538" s="17" t="s">
        <v>7800</v>
      </c>
      <c r="C538" s="13">
        <v>44539</v>
      </c>
      <c r="D538" s="13" t="s">
        <v>8465</v>
      </c>
      <c r="E538" s="10" t="s">
        <v>11312</v>
      </c>
      <c r="F538" s="10" t="s">
        <v>3193</v>
      </c>
      <c r="H538" s="2" t="s">
        <v>80</v>
      </c>
      <c r="L538" s="18">
        <v>1</v>
      </c>
      <c r="N538" s="13">
        <v>45051</v>
      </c>
      <c r="O538" s="29">
        <v>0</v>
      </c>
      <c r="P538" s="18" t="s">
        <v>1107</v>
      </c>
      <c r="Q538" s="18">
        <v>0</v>
      </c>
      <c r="U538" s="22">
        <v>0.78</v>
      </c>
      <c r="V538" s="22">
        <f>4/5</f>
        <v>0.8</v>
      </c>
      <c r="W538" s="14" t="s">
        <v>7777</v>
      </c>
      <c r="X538" s="3">
        <v>3</v>
      </c>
      <c r="Z538" s="23">
        <v>10.5</v>
      </c>
      <c r="AB538" s="18">
        <f t="shared" si="16"/>
        <v>2021</v>
      </c>
      <c r="AC538" s="22">
        <f t="shared" si="17"/>
        <v>0.72666666666666668</v>
      </c>
    </row>
    <row r="539" spans="1:29" ht="38.25">
      <c r="A539" s="8" t="s">
        <v>12899</v>
      </c>
      <c r="B539" s="17" t="s">
        <v>9431</v>
      </c>
      <c r="C539" s="13">
        <v>44539</v>
      </c>
      <c r="D539" s="13" t="s">
        <v>8465</v>
      </c>
      <c r="E539" s="10" t="s">
        <v>6304</v>
      </c>
      <c r="F539" s="10" t="s">
        <v>6304</v>
      </c>
      <c r="G539" s="11" t="s">
        <v>8136</v>
      </c>
      <c r="H539" s="2" t="s">
        <v>2820</v>
      </c>
      <c r="L539" s="18">
        <v>1</v>
      </c>
      <c r="N539" s="13">
        <v>44748</v>
      </c>
      <c r="O539" s="29">
        <v>0</v>
      </c>
      <c r="P539" s="18" t="s">
        <v>1107</v>
      </c>
      <c r="Q539" s="18">
        <v>0</v>
      </c>
      <c r="V539" s="22">
        <f>3.74/5</f>
        <v>0.748</v>
      </c>
      <c r="X539" s="3">
        <v>2</v>
      </c>
      <c r="Z539" s="23">
        <f>21/60</f>
        <v>0.35</v>
      </c>
      <c r="AB539" s="18">
        <f t="shared" si="16"/>
        <v>2021</v>
      </c>
      <c r="AC539" s="22">
        <f t="shared" si="17"/>
        <v>0.57400000000000007</v>
      </c>
    </row>
    <row r="540" spans="1:29">
      <c r="A540" s="8" t="s">
        <v>12864</v>
      </c>
      <c r="B540" s="17" t="s">
        <v>9431</v>
      </c>
      <c r="C540" s="13">
        <v>44537</v>
      </c>
      <c r="D540" s="13" t="s">
        <v>8465</v>
      </c>
      <c r="E540" s="10" t="s">
        <v>12865</v>
      </c>
      <c r="F540" s="10" t="s">
        <v>12865</v>
      </c>
      <c r="H540" s="2" t="s">
        <v>78</v>
      </c>
      <c r="L540" s="18">
        <v>1</v>
      </c>
      <c r="N540" s="13">
        <v>44866</v>
      </c>
      <c r="O540" s="29">
        <v>0</v>
      </c>
      <c r="P540" s="18" t="s">
        <v>1107</v>
      </c>
      <c r="Q540" s="18">
        <v>0</v>
      </c>
      <c r="U540" s="22">
        <v>0.75</v>
      </c>
      <c r="V540" s="22">
        <f>4.5/5</f>
        <v>0.9</v>
      </c>
      <c r="W540" s="14" t="s">
        <v>6072</v>
      </c>
      <c r="X540" s="3">
        <v>2</v>
      </c>
      <c r="Z540" s="23">
        <v>5</v>
      </c>
      <c r="AB540" s="18">
        <f t="shared" si="16"/>
        <v>2021</v>
      </c>
      <c r="AC540" s="22">
        <f t="shared" si="17"/>
        <v>0.68333333333333324</v>
      </c>
    </row>
    <row r="541" spans="1:29" ht="25.5">
      <c r="A541" s="8" t="s">
        <v>13592</v>
      </c>
      <c r="B541" s="17" t="s">
        <v>7800</v>
      </c>
      <c r="C541" s="13">
        <v>44537</v>
      </c>
      <c r="D541" s="13" t="s">
        <v>8465</v>
      </c>
      <c r="E541" s="10" t="s">
        <v>13382</v>
      </c>
      <c r="F541" s="10" t="s">
        <v>13382</v>
      </c>
      <c r="H541" s="2" t="s">
        <v>1334</v>
      </c>
      <c r="L541" s="18">
        <v>1</v>
      </c>
      <c r="N541" s="13">
        <v>44980</v>
      </c>
      <c r="O541" s="29">
        <v>0</v>
      </c>
      <c r="P541" s="18" t="s">
        <v>1107</v>
      </c>
      <c r="Q541" s="18">
        <v>0</v>
      </c>
      <c r="U541" s="22">
        <v>0.64</v>
      </c>
      <c r="V541" s="22">
        <f>3/5</f>
        <v>0.6</v>
      </c>
      <c r="W541" s="14" t="s">
        <v>7799</v>
      </c>
      <c r="X541" s="3">
        <v>3</v>
      </c>
      <c r="Z541" s="23">
        <v>2</v>
      </c>
      <c r="AB541" s="18">
        <f t="shared" si="16"/>
        <v>2021</v>
      </c>
      <c r="AC541" s="22">
        <f t="shared" si="17"/>
        <v>0.61333333333333329</v>
      </c>
    </row>
    <row r="542" spans="1:29" ht="38.25">
      <c r="A542" s="8" t="s">
        <v>12873</v>
      </c>
      <c r="B542" s="17" t="s">
        <v>7800</v>
      </c>
      <c r="C542" s="13">
        <v>44536</v>
      </c>
      <c r="D542" s="13" t="s">
        <v>8465</v>
      </c>
      <c r="E542" s="10" t="s">
        <v>3072</v>
      </c>
      <c r="F542" s="10" t="s">
        <v>8852</v>
      </c>
      <c r="G542" s="11" t="s">
        <v>12874</v>
      </c>
      <c r="H542" s="2" t="s">
        <v>245</v>
      </c>
      <c r="L542" s="18">
        <v>1</v>
      </c>
      <c r="N542" s="13">
        <v>44866</v>
      </c>
      <c r="O542" s="29">
        <v>0</v>
      </c>
      <c r="P542" s="18" t="s">
        <v>1107</v>
      </c>
      <c r="Q542" s="18">
        <v>0</v>
      </c>
      <c r="U542" s="22">
        <v>0.83</v>
      </c>
      <c r="W542" s="14" t="s">
        <v>7777</v>
      </c>
      <c r="X542" s="3">
        <v>3</v>
      </c>
      <c r="Z542" s="23">
        <v>7</v>
      </c>
      <c r="AB542" s="18">
        <f t="shared" si="16"/>
        <v>2021</v>
      </c>
      <c r="AC542" s="22">
        <f t="shared" si="17"/>
        <v>0.71499999999999997</v>
      </c>
    </row>
    <row r="543" spans="1:29" ht="25.5">
      <c r="A543" s="8" t="s">
        <v>10542</v>
      </c>
      <c r="B543" s="17" t="s">
        <v>7744</v>
      </c>
      <c r="C543" s="13">
        <v>44533</v>
      </c>
      <c r="D543" s="13" t="s">
        <v>8465</v>
      </c>
      <c r="E543" s="10" t="s">
        <v>2452</v>
      </c>
      <c r="F543" s="10" t="s">
        <v>2452</v>
      </c>
      <c r="G543" s="11" t="s">
        <v>3547</v>
      </c>
      <c r="H543" s="2" t="s">
        <v>1057</v>
      </c>
      <c r="L543" s="18">
        <v>1</v>
      </c>
      <c r="M543" s="14" t="s">
        <v>8462</v>
      </c>
      <c r="N543" s="13">
        <v>44491</v>
      </c>
      <c r="O543" s="29">
        <v>65.16</v>
      </c>
      <c r="P543" s="18" t="s">
        <v>14</v>
      </c>
      <c r="Q543" s="18">
        <v>0</v>
      </c>
      <c r="U543" s="22">
        <v>0.86</v>
      </c>
      <c r="V543" s="22">
        <f>4.21/5</f>
        <v>0.84199999999999997</v>
      </c>
      <c r="X543" s="3">
        <v>4</v>
      </c>
      <c r="Z543" s="23">
        <v>100</v>
      </c>
      <c r="AB543" s="18">
        <f t="shared" si="16"/>
        <v>2021</v>
      </c>
      <c r="AC543" s="22">
        <f t="shared" si="17"/>
        <v>0.83399999999999996</v>
      </c>
    </row>
    <row r="544" spans="1:29">
      <c r="A544" s="8" t="s">
        <v>10497</v>
      </c>
      <c r="B544" s="17" t="s">
        <v>9431</v>
      </c>
      <c r="C544" s="13">
        <v>44533</v>
      </c>
      <c r="D544" s="13" t="s">
        <v>8465</v>
      </c>
      <c r="E544" s="10" t="s">
        <v>1163</v>
      </c>
      <c r="F544" s="10" t="s">
        <v>10757</v>
      </c>
      <c r="H544" s="2" t="s">
        <v>6563</v>
      </c>
      <c r="L544" s="18">
        <v>1</v>
      </c>
      <c r="M544" s="14" t="s">
        <v>8462</v>
      </c>
      <c r="N544" s="13">
        <v>44479</v>
      </c>
      <c r="O544" s="29">
        <v>43.44</v>
      </c>
      <c r="P544" s="18" t="s">
        <v>14</v>
      </c>
      <c r="Q544" s="18">
        <v>0</v>
      </c>
      <c r="U544" s="22">
        <v>0.72</v>
      </c>
      <c r="V544" s="22">
        <f>3.22/5</f>
        <v>0.64400000000000002</v>
      </c>
      <c r="X544" s="3">
        <v>3</v>
      </c>
      <c r="Z544" s="23">
        <v>15</v>
      </c>
      <c r="AB544" s="18">
        <f t="shared" si="16"/>
        <v>2021</v>
      </c>
      <c r="AC544" s="22">
        <f t="shared" si="17"/>
        <v>0.65466666666666662</v>
      </c>
    </row>
    <row r="545" spans="1:29" ht="25.5">
      <c r="A545" s="8" t="s">
        <v>13542</v>
      </c>
      <c r="B545" s="17" t="s">
        <v>7744</v>
      </c>
      <c r="C545" s="13">
        <v>44533</v>
      </c>
      <c r="D545" s="13" t="s">
        <v>8465</v>
      </c>
      <c r="E545" s="10" t="s">
        <v>86</v>
      </c>
      <c r="F545" s="10" t="s">
        <v>86</v>
      </c>
      <c r="G545" s="11" t="s">
        <v>13543</v>
      </c>
      <c r="H545" s="2" t="s">
        <v>1142</v>
      </c>
      <c r="L545" s="18">
        <v>1</v>
      </c>
      <c r="M545" s="14" t="s">
        <v>8462</v>
      </c>
      <c r="N545" s="13">
        <v>44969</v>
      </c>
      <c r="O545" s="29">
        <v>21.71</v>
      </c>
      <c r="P545" s="18" t="s">
        <v>14</v>
      </c>
      <c r="Q545" s="18">
        <v>0</v>
      </c>
      <c r="U545" s="22">
        <v>0.73</v>
      </c>
      <c r="V545" s="22">
        <f>3.5/5</f>
        <v>0.7</v>
      </c>
      <c r="X545" s="3">
        <v>2</v>
      </c>
      <c r="Z545" s="23">
        <f>56/60</f>
        <v>0.93333333333333335</v>
      </c>
      <c r="AB545" s="18">
        <f t="shared" si="16"/>
        <v>2021</v>
      </c>
      <c r="AC545" s="22">
        <f t="shared" si="17"/>
        <v>0.61</v>
      </c>
    </row>
    <row r="546" spans="1:29">
      <c r="A546" s="8" t="s">
        <v>12629</v>
      </c>
      <c r="B546" s="17" t="s">
        <v>7800</v>
      </c>
      <c r="C546" s="13">
        <v>44533</v>
      </c>
      <c r="D546" s="13" t="s">
        <v>8465</v>
      </c>
      <c r="E546" s="10" t="s">
        <v>4143</v>
      </c>
      <c r="F546" s="10" t="s">
        <v>12638</v>
      </c>
      <c r="H546" s="2" t="s">
        <v>67</v>
      </c>
      <c r="L546" s="18">
        <v>1</v>
      </c>
      <c r="N546" s="13">
        <v>44825</v>
      </c>
      <c r="O546" s="29">
        <v>0</v>
      </c>
      <c r="P546" s="18" t="s">
        <v>1107</v>
      </c>
      <c r="Q546" s="18">
        <v>0</v>
      </c>
      <c r="V546" s="22">
        <f>2.8/5</f>
        <v>0.55999999999999994</v>
      </c>
      <c r="W546" s="14" t="s">
        <v>7097</v>
      </c>
      <c r="X546" s="3">
        <v>2</v>
      </c>
      <c r="Z546" s="23">
        <v>7.5</v>
      </c>
      <c r="AB546" s="18">
        <f t="shared" si="16"/>
        <v>2021</v>
      </c>
      <c r="AC546" s="22">
        <f t="shared" si="17"/>
        <v>0.48</v>
      </c>
    </row>
    <row r="547" spans="1:29">
      <c r="A547" s="8" t="s">
        <v>14779</v>
      </c>
      <c r="B547" s="17" t="s">
        <v>7800</v>
      </c>
      <c r="C547" s="13">
        <v>44532</v>
      </c>
      <c r="D547" s="13" t="s">
        <v>8465</v>
      </c>
      <c r="E547" s="10" t="s">
        <v>14780</v>
      </c>
      <c r="F547" s="10" t="s">
        <v>14781</v>
      </c>
      <c r="H547" s="2" t="s">
        <v>3937</v>
      </c>
      <c r="L547" s="18">
        <v>1</v>
      </c>
      <c r="N547" s="13">
        <v>45065</v>
      </c>
      <c r="O547" s="29">
        <v>0</v>
      </c>
      <c r="P547" s="18" t="s">
        <v>1107</v>
      </c>
      <c r="Q547" s="18">
        <v>0</v>
      </c>
      <c r="U547" s="22">
        <v>0.78</v>
      </c>
      <c r="V547" s="22">
        <f>3.75/5</f>
        <v>0.75</v>
      </c>
      <c r="W547" s="14" t="s">
        <v>7777</v>
      </c>
      <c r="X547" s="3">
        <v>3</v>
      </c>
      <c r="Z547" s="23">
        <v>9</v>
      </c>
      <c r="AB547" s="18">
        <f t="shared" si="16"/>
        <v>2021</v>
      </c>
      <c r="AC547" s="22">
        <f t="shared" si="17"/>
        <v>0.71</v>
      </c>
    </row>
    <row r="548" spans="1:29">
      <c r="A548" s="8" t="s">
        <v>12054</v>
      </c>
      <c r="B548" s="17" t="s">
        <v>7800</v>
      </c>
      <c r="C548" s="13">
        <v>44532</v>
      </c>
      <c r="D548" s="13" t="s">
        <v>8465</v>
      </c>
      <c r="E548" s="10" t="s">
        <v>12055</v>
      </c>
      <c r="F548" s="10" t="s">
        <v>12056</v>
      </c>
      <c r="H548" s="2" t="s">
        <v>1061</v>
      </c>
      <c r="L548" s="18">
        <v>1</v>
      </c>
      <c r="N548" s="13">
        <v>44735</v>
      </c>
      <c r="O548" s="29">
        <v>0.89</v>
      </c>
      <c r="P548" s="18" t="s">
        <v>1107</v>
      </c>
      <c r="Q548" s="18">
        <v>0</v>
      </c>
      <c r="W548" s="14" t="s">
        <v>7777</v>
      </c>
      <c r="X548" s="3">
        <v>2</v>
      </c>
      <c r="AB548" s="18">
        <f t="shared" si="16"/>
        <v>2021</v>
      </c>
      <c r="AC548" s="22">
        <f t="shared" si="17"/>
        <v>0.4</v>
      </c>
    </row>
    <row r="549" spans="1:29">
      <c r="A549" s="8" t="s">
        <v>15981</v>
      </c>
      <c r="B549" s="17" t="s">
        <v>7800</v>
      </c>
      <c r="C549" s="13">
        <v>44532</v>
      </c>
      <c r="D549" s="13" t="s">
        <v>8465</v>
      </c>
      <c r="E549" s="10" t="s">
        <v>9249</v>
      </c>
      <c r="F549" s="10" t="s">
        <v>15982</v>
      </c>
      <c r="H549" s="2" t="s">
        <v>1054</v>
      </c>
      <c r="L549" s="18">
        <v>1</v>
      </c>
      <c r="N549" s="13">
        <v>45196</v>
      </c>
      <c r="O549" s="29">
        <v>0</v>
      </c>
      <c r="P549" s="18" t="s">
        <v>1107</v>
      </c>
      <c r="Q549" s="18">
        <v>0</v>
      </c>
      <c r="U549" s="22">
        <v>0.82</v>
      </c>
      <c r="V549" s="22">
        <f>3.92/5</f>
        <v>0.78400000000000003</v>
      </c>
      <c r="W549" s="14" t="s">
        <v>7777</v>
      </c>
      <c r="X549" s="3">
        <v>3</v>
      </c>
      <c r="Z549" s="23">
        <v>9.5</v>
      </c>
      <c r="AB549" s="18">
        <f t="shared" si="16"/>
        <v>2021</v>
      </c>
      <c r="AC549" s="22">
        <f t="shared" si="17"/>
        <v>0.73466666666666669</v>
      </c>
    </row>
    <row r="550" spans="1:29">
      <c r="A550" s="8" t="s">
        <v>15321</v>
      </c>
      <c r="B550" s="17" t="s">
        <v>7800</v>
      </c>
      <c r="C550" s="13">
        <v>44531</v>
      </c>
      <c r="D550" s="13" t="s">
        <v>8465</v>
      </c>
      <c r="E550" s="10" t="s">
        <v>7300</v>
      </c>
      <c r="F550" s="10" t="s">
        <v>4149</v>
      </c>
      <c r="H550" s="2" t="s">
        <v>80</v>
      </c>
      <c r="L550" s="18">
        <v>1</v>
      </c>
      <c r="N550" s="13">
        <v>45108</v>
      </c>
      <c r="O550" s="29">
        <v>17.989999999999998</v>
      </c>
      <c r="P550" s="18" t="s">
        <v>1107</v>
      </c>
      <c r="Q550" s="18">
        <v>0</v>
      </c>
      <c r="U550" s="22">
        <v>0.78</v>
      </c>
      <c r="V550" s="22">
        <f>3.11/5</f>
        <v>0.622</v>
      </c>
      <c r="W550" s="14" t="s">
        <v>7777</v>
      </c>
      <c r="X550" s="3">
        <v>4</v>
      </c>
      <c r="Z550" s="23">
        <v>5.5</v>
      </c>
      <c r="AB550" s="18">
        <f t="shared" si="16"/>
        <v>2021</v>
      </c>
      <c r="AC550" s="22">
        <f t="shared" si="17"/>
        <v>0.73399999999999999</v>
      </c>
    </row>
    <row r="551" spans="1:29" ht="30">
      <c r="A551" s="8" t="s">
        <v>10774</v>
      </c>
      <c r="B551" s="17" t="s">
        <v>7744</v>
      </c>
      <c r="C551" s="13">
        <v>44523</v>
      </c>
      <c r="D551" s="13" t="s">
        <v>8465</v>
      </c>
      <c r="E551" s="10" t="s">
        <v>3063</v>
      </c>
      <c r="F551" s="10" t="s">
        <v>5417</v>
      </c>
      <c r="H551" s="2" t="s">
        <v>80</v>
      </c>
      <c r="L551" s="18">
        <v>1</v>
      </c>
      <c r="M551" s="14" t="s">
        <v>8462</v>
      </c>
      <c r="N551" s="13">
        <v>44539</v>
      </c>
      <c r="O551" s="29">
        <v>38.869999999999997</v>
      </c>
      <c r="P551" s="18" t="s">
        <v>14</v>
      </c>
      <c r="Q551" s="18">
        <v>0</v>
      </c>
      <c r="U551" s="22">
        <v>0.89</v>
      </c>
      <c r="V551" s="22">
        <f>4.05/5</f>
        <v>0.80999999999999994</v>
      </c>
      <c r="W551" s="14" t="s">
        <v>8101</v>
      </c>
      <c r="X551" s="3">
        <v>4</v>
      </c>
      <c r="Z551" s="23">
        <v>9</v>
      </c>
      <c r="AB551" s="18">
        <f t="shared" si="16"/>
        <v>2021</v>
      </c>
      <c r="AC551" s="22">
        <f t="shared" si="17"/>
        <v>0.83333333333333337</v>
      </c>
    </row>
    <row r="552" spans="1:29" ht="25.5">
      <c r="A552" s="8" t="s">
        <v>10707</v>
      </c>
      <c r="B552" s="17" t="s">
        <v>7783</v>
      </c>
      <c r="C552" s="13">
        <v>44519</v>
      </c>
      <c r="D552" s="13" t="s">
        <v>8465</v>
      </c>
      <c r="E552" s="10" t="s">
        <v>10708</v>
      </c>
      <c r="F552" s="10" t="s">
        <v>7461</v>
      </c>
      <c r="G552" s="11" t="s">
        <v>4310</v>
      </c>
      <c r="H552" s="2" t="s">
        <v>80</v>
      </c>
      <c r="L552" s="18">
        <v>0</v>
      </c>
      <c r="Q552" s="18">
        <v>0</v>
      </c>
      <c r="W552" s="14" t="s">
        <v>8572</v>
      </c>
      <c r="X552" s="3">
        <v>2</v>
      </c>
      <c r="AB552" s="18">
        <f t="shared" si="16"/>
        <v>2021</v>
      </c>
      <c r="AC552" s="22">
        <f t="shared" si="17"/>
        <v>0.4</v>
      </c>
    </row>
    <row r="553" spans="1:29" ht="25.5">
      <c r="A553" s="8" t="s">
        <v>12897</v>
      </c>
      <c r="B553" s="17" t="s">
        <v>7800</v>
      </c>
      <c r="C553" s="13">
        <v>44518</v>
      </c>
      <c r="D553" s="13" t="s">
        <v>8465</v>
      </c>
      <c r="E553" s="10" t="s">
        <v>6304</v>
      </c>
      <c r="F553" s="10" t="s">
        <v>12898</v>
      </c>
      <c r="H553" s="2" t="s">
        <v>2820</v>
      </c>
      <c r="L553" s="18">
        <v>1</v>
      </c>
      <c r="N553" s="13">
        <v>44872</v>
      </c>
      <c r="O553" s="29">
        <v>0</v>
      </c>
      <c r="P553" s="18" t="s">
        <v>1107</v>
      </c>
      <c r="Q553" s="18">
        <v>0</v>
      </c>
      <c r="V553" s="22">
        <f>3.18/5</f>
        <v>0.63600000000000001</v>
      </c>
      <c r="W553" s="14" t="s">
        <v>7097</v>
      </c>
      <c r="X553" s="3">
        <v>2</v>
      </c>
      <c r="Z553" s="23">
        <f>55/60</f>
        <v>0.91666666666666663</v>
      </c>
      <c r="AB553" s="18">
        <f t="shared" si="16"/>
        <v>2021</v>
      </c>
      <c r="AC553" s="22">
        <f t="shared" si="17"/>
        <v>0.51800000000000002</v>
      </c>
    </row>
    <row r="554" spans="1:29" ht="25.5">
      <c r="A554" s="8" t="s">
        <v>11683</v>
      </c>
      <c r="B554" s="17" t="s">
        <v>7744</v>
      </c>
      <c r="C554" s="13">
        <v>44516</v>
      </c>
      <c r="D554" s="13" t="s">
        <v>8465</v>
      </c>
      <c r="E554" s="10" t="s">
        <v>11684</v>
      </c>
      <c r="F554" s="10" t="s">
        <v>8354</v>
      </c>
      <c r="G554" s="11" t="s">
        <v>11685</v>
      </c>
      <c r="H554" s="2" t="s">
        <v>149</v>
      </c>
      <c r="L554" s="18">
        <v>1</v>
      </c>
      <c r="N554" s="13">
        <v>44680</v>
      </c>
      <c r="O554" s="29">
        <v>19.489999999999998</v>
      </c>
      <c r="P554" s="18" t="s">
        <v>1107</v>
      </c>
      <c r="Q554" s="18">
        <v>0</v>
      </c>
      <c r="U554" s="22">
        <v>0.81</v>
      </c>
      <c r="V554" s="22">
        <f>4.08/5</f>
        <v>0.81600000000000006</v>
      </c>
      <c r="X554" s="3">
        <v>4</v>
      </c>
      <c r="Z554" s="23">
        <v>22.5</v>
      </c>
      <c r="AB554" s="18">
        <f t="shared" si="16"/>
        <v>2021</v>
      </c>
      <c r="AC554" s="22">
        <f t="shared" si="17"/>
        <v>0.80866666666666676</v>
      </c>
    </row>
    <row r="555" spans="1:29">
      <c r="A555" s="8" t="s">
        <v>15275</v>
      </c>
      <c r="B555" s="17" t="s">
        <v>7800</v>
      </c>
      <c r="C555" s="13">
        <v>44516</v>
      </c>
      <c r="D555" s="13" t="s">
        <v>8465</v>
      </c>
      <c r="E555" s="10" t="s">
        <v>15276</v>
      </c>
      <c r="F555" s="10" t="s">
        <v>15277</v>
      </c>
      <c r="H555" s="2" t="s">
        <v>171</v>
      </c>
      <c r="L555" s="18">
        <v>1</v>
      </c>
      <c r="N555" s="13">
        <v>45099</v>
      </c>
      <c r="O555" s="29">
        <v>3.99</v>
      </c>
      <c r="P555" s="18" t="s">
        <v>1107</v>
      </c>
      <c r="Q555" s="18">
        <v>0</v>
      </c>
      <c r="V555" s="22">
        <f>3.75/5</f>
        <v>0.75</v>
      </c>
      <c r="W555" s="14" t="s">
        <v>7777</v>
      </c>
      <c r="X555" s="3">
        <v>4</v>
      </c>
      <c r="Z555" s="23">
        <v>3.5</v>
      </c>
      <c r="AB555" s="18">
        <f t="shared" si="16"/>
        <v>2021</v>
      </c>
      <c r="AC555" s="22">
        <f t="shared" si="17"/>
        <v>0.77500000000000002</v>
      </c>
    </row>
    <row r="556" spans="1:29" ht="25.5">
      <c r="A556" s="8" t="s">
        <v>13115</v>
      </c>
      <c r="B556" s="17" t="s">
        <v>7800</v>
      </c>
      <c r="C556" s="13">
        <v>44516</v>
      </c>
      <c r="D556" s="13" t="s">
        <v>8465</v>
      </c>
      <c r="E556" s="10" t="s">
        <v>1571</v>
      </c>
      <c r="F556" s="10" t="s">
        <v>13116</v>
      </c>
      <c r="H556" s="2" t="s">
        <v>1334</v>
      </c>
      <c r="L556" s="18">
        <v>1</v>
      </c>
      <c r="N556" s="13">
        <v>44929</v>
      </c>
      <c r="O556" s="29">
        <v>0</v>
      </c>
      <c r="P556" s="18" t="s">
        <v>1107</v>
      </c>
      <c r="Q556" s="18">
        <v>0</v>
      </c>
      <c r="U556" s="22">
        <v>0.78</v>
      </c>
      <c r="V556" s="22">
        <f>2.75/5</f>
        <v>0.55000000000000004</v>
      </c>
      <c r="W556" s="14" t="s">
        <v>7777</v>
      </c>
      <c r="X556" s="3">
        <v>2</v>
      </c>
      <c r="Z556" s="23">
        <v>32.5</v>
      </c>
      <c r="AB556" s="18">
        <f t="shared" si="16"/>
        <v>2021</v>
      </c>
      <c r="AC556" s="22">
        <f t="shared" si="17"/>
        <v>0.57666666666666666</v>
      </c>
    </row>
    <row r="557" spans="1:29" ht="25.5">
      <c r="A557" s="8" t="s">
        <v>11697</v>
      </c>
      <c r="B557" s="17" t="s">
        <v>7800</v>
      </c>
      <c r="C557" s="13">
        <v>44516</v>
      </c>
      <c r="D557" s="13" t="s">
        <v>8465</v>
      </c>
      <c r="E557" s="10" t="s">
        <v>3453</v>
      </c>
      <c r="F557" s="10" t="s">
        <v>11698</v>
      </c>
      <c r="H557" s="2" t="s">
        <v>1334</v>
      </c>
      <c r="L557" s="18">
        <v>1</v>
      </c>
      <c r="N557" s="13">
        <v>44691</v>
      </c>
      <c r="O557" s="29">
        <v>0</v>
      </c>
      <c r="P557" s="18" t="s">
        <v>1107</v>
      </c>
      <c r="Q557" s="18">
        <v>0</v>
      </c>
      <c r="V557" s="22">
        <f>2.63/5</f>
        <v>0.52600000000000002</v>
      </c>
      <c r="W557" s="14" t="s">
        <v>7777</v>
      </c>
      <c r="X557" s="3">
        <v>2</v>
      </c>
      <c r="Z557" s="23">
        <v>10</v>
      </c>
      <c r="AB557" s="18">
        <f t="shared" si="16"/>
        <v>2021</v>
      </c>
      <c r="AC557" s="22">
        <f t="shared" si="17"/>
        <v>0.46300000000000002</v>
      </c>
    </row>
    <row r="558" spans="1:29">
      <c r="A558" s="8" t="s">
        <v>10360</v>
      </c>
      <c r="B558" s="17" t="s">
        <v>7744</v>
      </c>
      <c r="C558" s="13">
        <v>44512</v>
      </c>
      <c r="D558" s="13" t="s">
        <v>8465</v>
      </c>
      <c r="E558" s="10" t="s">
        <v>455</v>
      </c>
      <c r="F558" s="10" t="s">
        <v>228</v>
      </c>
      <c r="G558" s="11" t="s">
        <v>1171</v>
      </c>
      <c r="H558" s="2" t="s">
        <v>149</v>
      </c>
      <c r="L558" s="18">
        <v>1</v>
      </c>
      <c r="M558" s="14" t="s">
        <v>8462</v>
      </c>
      <c r="N558" s="13">
        <v>44369</v>
      </c>
      <c r="O558" s="29">
        <v>65.16</v>
      </c>
      <c r="P558" s="18" t="s">
        <v>14</v>
      </c>
      <c r="Q558" s="18">
        <v>0</v>
      </c>
      <c r="U558" s="22">
        <v>0.85</v>
      </c>
      <c r="V558" s="22">
        <f>4.01/5</f>
        <v>0.80199999999999994</v>
      </c>
      <c r="W558" s="14" t="s">
        <v>10663</v>
      </c>
      <c r="X558" s="3">
        <v>5</v>
      </c>
      <c r="Z558" s="23">
        <v>35</v>
      </c>
      <c r="AB558" s="18">
        <f t="shared" si="16"/>
        <v>2021</v>
      </c>
      <c r="AC558" s="22">
        <f t="shared" si="17"/>
        <v>0.88400000000000001</v>
      </c>
    </row>
    <row r="559" spans="1:29" ht="38.25">
      <c r="A559" s="8" t="s">
        <v>11044</v>
      </c>
      <c r="B559" s="17" t="s">
        <v>9440</v>
      </c>
      <c r="C559" s="13">
        <v>44511</v>
      </c>
      <c r="D559" s="13" t="s">
        <v>8465</v>
      </c>
      <c r="E559" s="10" t="s">
        <v>1618</v>
      </c>
      <c r="F559" s="10" t="s">
        <v>11045</v>
      </c>
      <c r="G559" s="11" t="s">
        <v>2306</v>
      </c>
      <c r="H559" s="2" t="s">
        <v>1168</v>
      </c>
      <c r="L559" s="18">
        <v>1</v>
      </c>
      <c r="M559" s="14" t="s">
        <v>8462</v>
      </c>
      <c r="N559" s="13">
        <v>44578</v>
      </c>
      <c r="O559" s="29">
        <v>49.94</v>
      </c>
      <c r="P559" s="18" t="s">
        <v>14</v>
      </c>
      <c r="Q559" s="18">
        <v>0</v>
      </c>
      <c r="U559" s="22">
        <v>0.56000000000000005</v>
      </c>
      <c r="V559" s="22">
        <f>2.76/5</f>
        <v>0.55199999999999994</v>
      </c>
      <c r="X559" s="3">
        <v>2</v>
      </c>
      <c r="Z559" s="23">
        <v>52.5</v>
      </c>
      <c r="AB559" s="18">
        <f t="shared" si="16"/>
        <v>2021</v>
      </c>
      <c r="AC559" s="22">
        <f t="shared" si="17"/>
        <v>0.504</v>
      </c>
    </row>
    <row r="560" spans="1:29">
      <c r="A560" s="8" t="s">
        <v>12726</v>
      </c>
      <c r="B560" s="17" t="s">
        <v>7800</v>
      </c>
      <c r="C560" s="13">
        <v>44511</v>
      </c>
      <c r="D560" s="13" t="s">
        <v>8465</v>
      </c>
      <c r="E560" s="10" t="s">
        <v>1634</v>
      </c>
      <c r="F560" s="10" t="s">
        <v>12727</v>
      </c>
      <c r="H560" s="2" t="s">
        <v>1334</v>
      </c>
      <c r="L560" s="18">
        <v>1</v>
      </c>
      <c r="N560" s="13">
        <v>44838</v>
      </c>
      <c r="O560" s="29">
        <v>10.75</v>
      </c>
      <c r="P560" s="18" t="s">
        <v>1107</v>
      </c>
      <c r="Q560" s="18">
        <v>0</v>
      </c>
      <c r="V560" s="22">
        <f>2.5/5</f>
        <v>0.5</v>
      </c>
      <c r="W560" s="14" t="s">
        <v>7777</v>
      </c>
      <c r="X560" s="3">
        <v>2</v>
      </c>
      <c r="Z560" s="23">
        <v>32</v>
      </c>
      <c r="AB560" s="18">
        <f t="shared" si="16"/>
        <v>2021</v>
      </c>
      <c r="AC560" s="22">
        <f t="shared" si="17"/>
        <v>0.45</v>
      </c>
    </row>
    <row r="561" spans="1:29">
      <c r="A561" s="8" t="s">
        <v>10664</v>
      </c>
      <c r="B561" s="17" t="s">
        <v>7744</v>
      </c>
      <c r="C561" s="13">
        <v>44511</v>
      </c>
      <c r="D561" s="13" t="s">
        <v>8467</v>
      </c>
      <c r="E561" s="10" t="s">
        <v>1739</v>
      </c>
      <c r="F561" s="10" t="s">
        <v>10727</v>
      </c>
      <c r="H561" s="2" t="s">
        <v>1518</v>
      </c>
      <c r="L561" s="18">
        <v>1</v>
      </c>
      <c r="M561" s="14" t="s">
        <v>8462</v>
      </c>
      <c r="N561" s="13">
        <v>44511</v>
      </c>
      <c r="O561" s="29">
        <v>52.97</v>
      </c>
      <c r="P561" s="18" t="s">
        <v>14</v>
      </c>
      <c r="Q561" s="18">
        <v>0</v>
      </c>
      <c r="W561" s="14" t="s">
        <v>1739</v>
      </c>
      <c r="X561" s="3">
        <v>2</v>
      </c>
      <c r="AB561" s="18">
        <f t="shared" si="16"/>
        <v>2021</v>
      </c>
      <c r="AC561" s="22">
        <f t="shared" si="17"/>
        <v>0.4</v>
      </c>
    </row>
    <row r="562" spans="1:29" ht="25.5">
      <c r="A562" s="8" t="s">
        <v>13724</v>
      </c>
      <c r="B562" s="17" t="s">
        <v>7744</v>
      </c>
      <c r="C562" s="13">
        <v>44511</v>
      </c>
      <c r="D562" s="13" t="s">
        <v>8465</v>
      </c>
      <c r="E562" s="10" t="s">
        <v>10018</v>
      </c>
      <c r="F562" s="10" t="s">
        <v>15062</v>
      </c>
      <c r="G562" s="11" t="s">
        <v>11915</v>
      </c>
      <c r="H562" s="2" t="s">
        <v>75</v>
      </c>
      <c r="L562" s="18">
        <v>1</v>
      </c>
      <c r="M562" s="14" t="s">
        <v>8462</v>
      </c>
      <c r="N562" s="13">
        <v>44999</v>
      </c>
      <c r="O562" s="29">
        <v>48.87</v>
      </c>
      <c r="P562" s="18" t="s">
        <v>14</v>
      </c>
      <c r="Q562" s="18">
        <v>0</v>
      </c>
      <c r="V562" s="22">
        <f>4.25/5</f>
        <v>0.85</v>
      </c>
      <c r="X562" s="3">
        <v>2</v>
      </c>
      <c r="AB562" s="18">
        <f t="shared" si="16"/>
        <v>2021</v>
      </c>
      <c r="AC562" s="22">
        <f t="shared" si="17"/>
        <v>0.625</v>
      </c>
    </row>
    <row r="563" spans="1:29">
      <c r="A563" s="8" t="s">
        <v>10516</v>
      </c>
      <c r="B563" s="17" t="s">
        <v>9440</v>
      </c>
      <c r="C563" s="13">
        <v>44509</v>
      </c>
      <c r="D563" s="13" t="s">
        <v>8465</v>
      </c>
      <c r="E563" s="10" t="s">
        <v>6517</v>
      </c>
      <c r="F563" s="10" t="s">
        <v>10641</v>
      </c>
      <c r="G563" s="11" t="s">
        <v>10642</v>
      </c>
      <c r="H563" s="2" t="s">
        <v>150</v>
      </c>
      <c r="L563" s="18">
        <v>1</v>
      </c>
      <c r="M563" s="14" t="s">
        <v>8462</v>
      </c>
      <c r="N563" s="13">
        <v>44483</v>
      </c>
      <c r="O563" s="29">
        <v>65.16</v>
      </c>
      <c r="P563" s="18" t="s">
        <v>14</v>
      </c>
      <c r="Q563" s="18">
        <v>0</v>
      </c>
      <c r="U563" s="22">
        <v>0.92</v>
      </c>
      <c r="V563" s="22">
        <f>4.12/5</f>
        <v>0.82400000000000007</v>
      </c>
      <c r="X563" s="3">
        <v>4</v>
      </c>
      <c r="Z563" s="23">
        <v>21.5</v>
      </c>
      <c r="AB563" s="18">
        <f t="shared" si="16"/>
        <v>2021</v>
      </c>
      <c r="AC563" s="22">
        <f t="shared" si="17"/>
        <v>0.8480000000000002</v>
      </c>
    </row>
    <row r="564" spans="1:29" ht="25.5">
      <c r="A564" s="8" t="s">
        <v>10502</v>
      </c>
      <c r="B564" s="17" t="s">
        <v>7744</v>
      </c>
      <c r="C564" s="13">
        <v>44509</v>
      </c>
      <c r="D564" s="13" t="s">
        <v>8465</v>
      </c>
      <c r="E564" s="10" t="s">
        <v>1565</v>
      </c>
      <c r="F564" s="10" t="s">
        <v>1565</v>
      </c>
      <c r="G564" s="11" t="s">
        <v>10643</v>
      </c>
      <c r="H564" s="2" t="s">
        <v>149</v>
      </c>
      <c r="L564" s="18">
        <v>1</v>
      </c>
      <c r="M564" s="14" t="s">
        <v>8462</v>
      </c>
      <c r="N564" s="13">
        <v>44473</v>
      </c>
      <c r="O564" s="29">
        <v>65.16</v>
      </c>
      <c r="P564" s="18" t="s">
        <v>14</v>
      </c>
      <c r="Q564" s="18">
        <v>0</v>
      </c>
      <c r="U564" s="22">
        <v>0.78</v>
      </c>
      <c r="V564" s="22">
        <f>3.87/5</f>
        <v>0.77400000000000002</v>
      </c>
      <c r="X564" s="3">
        <v>4</v>
      </c>
      <c r="Z564" s="23">
        <v>28</v>
      </c>
      <c r="AB564" s="18">
        <f t="shared" si="16"/>
        <v>2021</v>
      </c>
      <c r="AC564" s="22">
        <f t="shared" si="17"/>
        <v>0.78466666666666673</v>
      </c>
    </row>
    <row r="565" spans="1:29" ht="25.5">
      <c r="A565" s="8" t="s">
        <v>15031</v>
      </c>
      <c r="B565" s="17" t="s">
        <v>9431</v>
      </c>
      <c r="C565" s="13">
        <v>44509</v>
      </c>
      <c r="D565" s="13" t="s">
        <v>8465</v>
      </c>
      <c r="E565" s="10" t="s">
        <v>10174</v>
      </c>
      <c r="F565" s="10" t="s">
        <v>4352</v>
      </c>
      <c r="G565" s="11" t="s">
        <v>2569</v>
      </c>
      <c r="H565" s="2" t="s">
        <v>1334</v>
      </c>
      <c r="L565" s="18">
        <v>1</v>
      </c>
      <c r="N565" s="13">
        <v>45083</v>
      </c>
      <c r="O565" s="29">
        <v>0</v>
      </c>
      <c r="P565" s="18" t="s">
        <v>1107</v>
      </c>
      <c r="Q565" s="18">
        <v>0</v>
      </c>
      <c r="U565" s="22">
        <v>0.78</v>
      </c>
      <c r="V565" s="22">
        <f>3.77/5</f>
        <v>0.754</v>
      </c>
      <c r="W565" s="14" t="s">
        <v>6072</v>
      </c>
      <c r="X565" s="3">
        <v>2</v>
      </c>
      <c r="Z565" s="23">
        <v>5.5</v>
      </c>
      <c r="AB565" s="18">
        <f t="shared" si="16"/>
        <v>2021</v>
      </c>
      <c r="AC565" s="22">
        <f t="shared" si="17"/>
        <v>0.64466666666666672</v>
      </c>
    </row>
    <row r="566" spans="1:29">
      <c r="A566" s="8" t="s">
        <v>10619</v>
      </c>
      <c r="B566" s="17" t="s">
        <v>7744</v>
      </c>
      <c r="C566" s="13">
        <v>44504</v>
      </c>
      <c r="D566" s="13" t="s">
        <v>8465</v>
      </c>
      <c r="E566" s="10" t="s">
        <v>10620</v>
      </c>
      <c r="F566" s="10" t="s">
        <v>5042</v>
      </c>
      <c r="G566" s="11" t="s">
        <v>10619</v>
      </c>
      <c r="H566" s="2" t="s">
        <v>1040</v>
      </c>
      <c r="L566" s="18">
        <v>1</v>
      </c>
      <c r="N566" s="13">
        <v>44503</v>
      </c>
      <c r="O566" s="29">
        <v>23.9</v>
      </c>
      <c r="P566" s="18" t="s">
        <v>1107</v>
      </c>
      <c r="Q566" s="18">
        <v>0</v>
      </c>
      <c r="U566" s="22">
        <v>0.78</v>
      </c>
      <c r="V566" s="22">
        <f>3.13/5</f>
        <v>0.626</v>
      </c>
      <c r="X566" s="3">
        <v>4</v>
      </c>
      <c r="Z566" s="23">
        <v>18.5</v>
      </c>
      <c r="AB566" s="18">
        <f t="shared" si="16"/>
        <v>2021</v>
      </c>
      <c r="AC566" s="22">
        <f t="shared" si="17"/>
        <v>0.73533333333333351</v>
      </c>
    </row>
    <row r="567" spans="1:29">
      <c r="A567" s="8" t="s">
        <v>15704</v>
      </c>
      <c r="B567" s="17" t="s">
        <v>7800</v>
      </c>
      <c r="C567" s="13">
        <v>44503</v>
      </c>
      <c r="D567" s="13" t="s">
        <v>8465</v>
      </c>
      <c r="E567" s="10" t="s">
        <v>4281</v>
      </c>
      <c r="F567" s="10" t="s">
        <v>4281</v>
      </c>
      <c r="H567" s="2" t="s">
        <v>1194</v>
      </c>
      <c r="L567" s="18">
        <v>1</v>
      </c>
      <c r="N567" s="13">
        <v>45170</v>
      </c>
      <c r="O567" s="29">
        <v>0</v>
      </c>
      <c r="P567" s="18" t="s">
        <v>1107</v>
      </c>
      <c r="Q567" s="18">
        <v>0</v>
      </c>
      <c r="U567" s="22">
        <v>0.56999999999999995</v>
      </c>
      <c r="W567" s="14" t="s">
        <v>7777</v>
      </c>
      <c r="X567" s="3">
        <v>2</v>
      </c>
      <c r="Z567" s="23">
        <v>1.5</v>
      </c>
      <c r="AB567" s="18">
        <f t="shared" si="16"/>
        <v>2021</v>
      </c>
      <c r="AC567" s="22">
        <f t="shared" si="17"/>
        <v>0.48499999999999999</v>
      </c>
    </row>
    <row r="568" spans="1:29">
      <c r="A568" s="8" t="s">
        <v>13593</v>
      </c>
      <c r="B568" s="17" t="s">
        <v>7800</v>
      </c>
      <c r="C568" s="13">
        <v>44502</v>
      </c>
      <c r="D568" s="13" t="s">
        <v>8465</v>
      </c>
      <c r="E568" s="10" t="s">
        <v>9529</v>
      </c>
      <c r="F568" s="10" t="s">
        <v>13594</v>
      </c>
      <c r="H568" s="2" t="s">
        <v>1518</v>
      </c>
      <c r="L568" s="18">
        <v>1</v>
      </c>
      <c r="N568" s="13">
        <v>44980</v>
      </c>
      <c r="O568" s="29">
        <v>0</v>
      </c>
      <c r="P568" s="18" t="s">
        <v>1107</v>
      </c>
      <c r="Q568" s="18">
        <v>0</v>
      </c>
      <c r="U568" s="22">
        <v>0.68</v>
      </c>
      <c r="V568" s="22">
        <f>3.13/5</f>
        <v>0.626</v>
      </c>
      <c r="W568" s="14" t="s">
        <v>7799</v>
      </c>
      <c r="X568" s="3">
        <v>2</v>
      </c>
      <c r="Z568" s="23">
        <v>7.5</v>
      </c>
      <c r="AB568" s="18">
        <f t="shared" si="16"/>
        <v>2021</v>
      </c>
      <c r="AC568" s="22">
        <f t="shared" si="17"/>
        <v>0.56866666666666665</v>
      </c>
    </row>
    <row r="569" spans="1:29" ht="25.5">
      <c r="A569" s="8" t="s">
        <v>11350</v>
      </c>
      <c r="B569" s="17" t="s">
        <v>7800</v>
      </c>
      <c r="C569" s="13">
        <v>44498</v>
      </c>
      <c r="D569" s="13" t="s">
        <v>8465</v>
      </c>
      <c r="E569" s="10" t="s">
        <v>11351</v>
      </c>
      <c r="F569" s="10" t="s">
        <v>11352</v>
      </c>
      <c r="H569" s="2" t="s">
        <v>1040</v>
      </c>
      <c r="L569" s="18">
        <v>1</v>
      </c>
      <c r="N569" s="13">
        <v>44627</v>
      </c>
      <c r="O569" s="29">
        <v>0</v>
      </c>
      <c r="P569" s="18" t="s">
        <v>1107</v>
      </c>
      <c r="Q569" s="18">
        <v>0</v>
      </c>
      <c r="V569" s="22">
        <f>4.75/5</f>
        <v>0.95</v>
      </c>
      <c r="W569" s="14" t="s">
        <v>8765</v>
      </c>
      <c r="X569" s="3">
        <v>4</v>
      </c>
      <c r="Z569" s="23">
        <v>3.5</v>
      </c>
      <c r="AB569" s="18">
        <f t="shared" si="16"/>
        <v>2021</v>
      </c>
      <c r="AC569" s="22">
        <f t="shared" si="17"/>
        <v>0.875</v>
      </c>
    </row>
    <row r="570" spans="1:29">
      <c r="A570" s="8" t="s">
        <v>10506</v>
      </c>
      <c r="B570" s="17" t="s">
        <v>7744</v>
      </c>
      <c r="C570" s="13">
        <v>44498</v>
      </c>
      <c r="D570" s="13" t="s">
        <v>8465</v>
      </c>
      <c r="E570" s="10" t="s">
        <v>86</v>
      </c>
      <c r="F570" s="10" t="s">
        <v>10575</v>
      </c>
      <c r="G570" s="11" t="s">
        <v>860</v>
      </c>
      <c r="H570" s="2" t="s">
        <v>1142</v>
      </c>
      <c r="L570" s="18">
        <v>1</v>
      </c>
      <c r="M570" s="14" t="s">
        <v>8462</v>
      </c>
      <c r="N570" s="13">
        <v>44429</v>
      </c>
      <c r="O570" s="29">
        <v>61.89</v>
      </c>
      <c r="P570" s="18" t="s">
        <v>14</v>
      </c>
      <c r="Q570" s="18">
        <v>0</v>
      </c>
      <c r="U570" s="22">
        <v>0.79</v>
      </c>
      <c r="V570" s="22">
        <f>4.04/5</f>
        <v>0.80800000000000005</v>
      </c>
      <c r="X570" s="3">
        <v>3</v>
      </c>
      <c r="Z570" s="23">
        <v>8.5</v>
      </c>
      <c r="AB570" s="18">
        <f t="shared" si="16"/>
        <v>2021</v>
      </c>
      <c r="AC570" s="22">
        <f t="shared" si="17"/>
        <v>0.73266666666666669</v>
      </c>
    </row>
    <row r="571" spans="1:29">
      <c r="A571" s="8" t="s">
        <v>14255</v>
      </c>
      <c r="B571" s="17" t="s">
        <v>7800</v>
      </c>
      <c r="C571" s="13">
        <v>44498</v>
      </c>
      <c r="D571" s="13" t="s">
        <v>8465</v>
      </c>
      <c r="E571" s="10" t="s">
        <v>14256</v>
      </c>
      <c r="F571" s="10" t="s">
        <v>14256</v>
      </c>
      <c r="H571" s="2" t="s">
        <v>80</v>
      </c>
      <c r="L571" s="18">
        <v>1</v>
      </c>
      <c r="O571" s="29">
        <v>0</v>
      </c>
      <c r="P571" s="18" t="s">
        <v>1107</v>
      </c>
      <c r="Q571" s="18">
        <v>0</v>
      </c>
      <c r="W571" s="14" t="s">
        <v>8765</v>
      </c>
      <c r="X571" s="3">
        <v>2</v>
      </c>
      <c r="AB571" s="18">
        <f t="shared" si="16"/>
        <v>2021</v>
      </c>
      <c r="AC571" s="22">
        <f t="shared" si="17"/>
        <v>0.4</v>
      </c>
    </row>
    <row r="572" spans="1:29" ht="25.5">
      <c r="A572" s="8" t="s">
        <v>10495</v>
      </c>
      <c r="B572" s="17" t="s">
        <v>7744</v>
      </c>
      <c r="C572" s="13">
        <v>44497</v>
      </c>
      <c r="D572" s="13" t="s">
        <v>8465</v>
      </c>
      <c r="E572" s="10" t="s">
        <v>1519</v>
      </c>
      <c r="F572" s="10" t="s">
        <v>8972</v>
      </c>
      <c r="H572" s="2" t="s">
        <v>1377</v>
      </c>
      <c r="L572" s="18">
        <v>1</v>
      </c>
      <c r="M572" s="14" t="s">
        <v>8462</v>
      </c>
      <c r="N572" s="13">
        <v>44480</v>
      </c>
      <c r="O572" s="29">
        <v>65.16</v>
      </c>
      <c r="P572" s="18" t="s">
        <v>14</v>
      </c>
      <c r="Q572" s="18">
        <v>0</v>
      </c>
      <c r="U572" s="22">
        <v>0.84</v>
      </c>
      <c r="V572" s="22">
        <f>4/5</f>
        <v>0.8</v>
      </c>
      <c r="X572" s="3">
        <v>4</v>
      </c>
      <c r="Z572" s="23">
        <v>31</v>
      </c>
      <c r="AB572" s="18">
        <f t="shared" si="16"/>
        <v>2021</v>
      </c>
      <c r="AC572" s="22">
        <f t="shared" si="17"/>
        <v>0.81333333333333346</v>
      </c>
    </row>
    <row r="573" spans="1:29" ht="25.5">
      <c r="A573" s="8" t="s">
        <v>10492</v>
      </c>
      <c r="B573" s="17" t="s">
        <v>7744</v>
      </c>
      <c r="C573" s="13">
        <v>44497</v>
      </c>
      <c r="D573" s="13" t="s">
        <v>9335</v>
      </c>
      <c r="E573" s="10" t="s">
        <v>1565</v>
      </c>
      <c r="F573" s="10" t="s">
        <v>1565</v>
      </c>
      <c r="G573" s="11" t="s">
        <v>1550</v>
      </c>
      <c r="H573" s="2" t="s">
        <v>1061</v>
      </c>
      <c r="K573" s="18">
        <v>2</v>
      </c>
      <c r="L573" s="18">
        <v>1</v>
      </c>
      <c r="M573" s="14" t="s">
        <v>8462</v>
      </c>
      <c r="N573" s="13">
        <v>44472</v>
      </c>
      <c r="O573" s="29">
        <v>43.89</v>
      </c>
      <c r="P573" s="18" t="s">
        <v>14</v>
      </c>
      <c r="Q573" s="18">
        <v>0</v>
      </c>
      <c r="U573" s="22">
        <v>0.73</v>
      </c>
      <c r="V573" s="22">
        <f>4.05/5</f>
        <v>0.80999999999999994</v>
      </c>
      <c r="X573" s="3">
        <v>4</v>
      </c>
      <c r="Z573" s="23">
        <v>15</v>
      </c>
      <c r="AB573" s="18">
        <f t="shared" si="16"/>
        <v>2021</v>
      </c>
      <c r="AC573" s="22">
        <f t="shared" si="17"/>
        <v>0.77999999999999992</v>
      </c>
    </row>
    <row r="574" spans="1:29">
      <c r="A574" s="8" t="s">
        <v>10576</v>
      </c>
      <c r="B574" s="17" t="s">
        <v>7744</v>
      </c>
      <c r="C574" s="13">
        <v>44497</v>
      </c>
      <c r="D574" s="13" t="s">
        <v>8463</v>
      </c>
      <c r="E574" s="10" t="s">
        <v>3568</v>
      </c>
      <c r="F574" s="10" t="s">
        <v>11049</v>
      </c>
      <c r="G574" s="11" t="s">
        <v>299</v>
      </c>
      <c r="H574" s="2" t="s">
        <v>75</v>
      </c>
      <c r="K574" s="18">
        <v>2</v>
      </c>
      <c r="L574" s="18">
        <v>1</v>
      </c>
      <c r="M574" s="14" t="s">
        <v>8462</v>
      </c>
      <c r="N574" s="13">
        <v>44499</v>
      </c>
      <c r="O574" s="29">
        <v>69.989999999999995</v>
      </c>
      <c r="P574" s="18" t="s">
        <v>14</v>
      </c>
      <c r="Q574" s="18">
        <v>0</v>
      </c>
      <c r="V574" s="22">
        <f>4.2/5</f>
        <v>0.84000000000000008</v>
      </c>
      <c r="X574" s="3">
        <v>3</v>
      </c>
      <c r="Z574" s="23">
        <v>37.5</v>
      </c>
      <c r="AB574" s="18">
        <f t="shared" si="16"/>
        <v>2021</v>
      </c>
      <c r="AC574" s="22">
        <f t="shared" si="17"/>
        <v>0.72</v>
      </c>
    </row>
    <row r="575" spans="1:29" ht="25.5">
      <c r="A575" s="8" t="s">
        <v>10527</v>
      </c>
      <c r="B575" s="17" t="s">
        <v>9431</v>
      </c>
      <c r="C575" s="13">
        <v>44495</v>
      </c>
      <c r="D575" s="13" t="s">
        <v>8465</v>
      </c>
      <c r="E575" s="10" t="s">
        <v>1082</v>
      </c>
      <c r="F575" s="10" t="s">
        <v>3647</v>
      </c>
      <c r="G575" s="11" t="s">
        <v>1308</v>
      </c>
      <c r="H575" s="2" t="s">
        <v>80</v>
      </c>
      <c r="L575" s="18">
        <v>1</v>
      </c>
      <c r="M575" s="14" t="s">
        <v>8462</v>
      </c>
      <c r="N575" s="13">
        <v>44485</v>
      </c>
      <c r="O575" s="29">
        <v>65.16</v>
      </c>
      <c r="P575" s="18" t="s">
        <v>14</v>
      </c>
      <c r="Q575" s="18">
        <v>0</v>
      </c>
      <c r="U575" s="22">
        <v>0.81</v>
      </c>
      <c r="V575" s="22">
        <f>4.06/5</f>
        <v>0.81199999999999994</v>
      </c>
      <c r="X575" s="3">
        <v>4</v>
      </c>
      <c r="Z575" s="23">
        <v>12</v>
      </c>
      <c r="AB575" s="18">
        <f t="shared" si="16"/>
        <v>2021</v>
      </c>
      <c r="AC575" s="22">
        <f t="shared" si="17"/>
        <v>0.80733333333333324</v>
      </c>
    </row>
    <row r="576" spans="1:29">
      <c r="A576" s="8" t="s">
        <v>13546</v>
      </c>
      <c r="B576" s="17" t="s">
        <v>7800</v>
      </c>
      <c r="C576" s="13">
        <v>44495</v>
      </c>
      <c r="D576" s="13" t="s">
        <v>8465</v>
      </c>
      <c r="E576" s="10" t="s">
        <v>4664</v>
      </c>
      <c r="F576" s="10" t="s">
        <v>13551</v>
      </c>
      <c r="H576" s="2" t="s">
        <v>67</v>
      </c>
      <c r="L576" s="18">
        <v>1</v>
      </c>
      <c r="O576" s="29">
        <v>0</v>
      </c>
      <c r="P576" s="18" t="s">
        <v>1107</v>
      </c>
      <c r="Q576" s="18">
        <v>0</v>
      </c>
      <c r="U576" s="22">
        <v>0.75</v>
      </c>
      <c r="W576" s="14" t="s">
        <v>3069</v>
      </c>
      <c r="X576" s="3">
        <v>3</v>
      </c>
      <c r="Z576" s="23">
        <v>4</v>
      </c>
      <c r="AB576" s="18">
        <f t="shared" si="16"/>
        <v>2021</v>
      </c>
      <c r="AC576" s="22">
        <f t="shared" si="17"/>
        <v>0.67500000000000004</v>
      </c>
    </row>
    <row r="577" spans="1:29">
      <c r="A577" s="8" t="s">
        <v>15047</v>
      </c>
      <c r="B577" s="17" t="s">
        <v>7800</v>
      </c>
      <c r="C577" s="13">
        <v>44495</v>
      </c>
      <c r="D577" s="13" t="s">
        <v>8465</v>
      </c>
      <c r="E577" s="10" t="s">
        <v>14437</v>
      </c>
      <c r="F577" s="10" t="s">
        <v>14437</v>
      </c>
      <c r="H577" s="2" t="s">
        <v>1057</v>
      </c>
      <c r="L577" s="18">
        <v>1</v>
      </c>
      <c r="N577" s="13">
        <v>45084</v>
      </c>
      <c r="O577" s="29">
        <v>0</v>
      </c>
      <c r="P577" s="18" t="s">
        <v>1107</v>
      </c>
      <c r="Q577" s="18">
        <v>0</v>
      </c>
      <c r="V577" s="22">
        <f>3.61/5</f>
        <v>0.72199999999999998</v>
      </c>
      <c r="W577" s="14" t="s">
        <v>7777</v>
      </c>
      <c r="X577" s="3">
        <v>3</v>
      </c>
      <c r="Z577" s="23">
        <v>1</v>
      </c>
      <c r="AB577" s="18">
        <f t="shared" si="16"/>
        <v>2021</v>
      </c>
      <c r="AC577" s="22">
        <f t="shared" si="17"/>
        <v>0.66100000000000003</v>
      </c>
    </row>
    <row r="578" spans="1:29" ht="30">
      <c r="A578" s="8" t="s">
        <v>10529</v>
      </c>
      <c r="B578" s="17" t="s">
        <v>7760</v>
      </c>
      <c r="C578" s="13">
        <v>44495</v>
      </c>
      <c r="D578" s="13" t="s">
        <v>8465</v>
      </c>
      <c r="E578" s="10" t="s">
        <v>1680</v>
      </c>
      <c r="F578" s="10" t="s">
        <v>3113</v>
      </c>
      <c r="G578" s="11" t="s">
        <v>1682</v>
      </c>
      <c r="H578" s="2" t="s">
        <v>1059</v>
      </c>
      <c r="L578" s="18">
        <v>1</v>
      </c>
      <c r="M578" s="14" t="s">
        <v>8462</v>
      </c>
      <c r="N578" s="13">
        <v>44486</v>
      </c>
      <c r="O578" s="29">
        <v>54.3</v>
      </c>
      <c r="P578" s="18" t="s">
        <v>14</v>
      </c>
      <c r="Q578" s="18">
        <v>0</v>
      </c>
      <c r="U578" s="22">
        <v>0.66</v>
      </c>
      <c r="V578" s="22">
        <f>3.43/5</f>
        <v>0.68600000000000005</v>
      </c>
      <c r="X578" s="3">
        <v>3</v>
      </c>
      <c r="Z578" s="23">
        <v>10</v>
      </c>
      <c r="AB578" s="18">
        <f t="shared" ref="AB578:AB641" si="18">IFERROR(YEAR(C578), "Early Access")</f>
        <v>2021</v>
      </c>
      <c r="AC578" s="22">
        <f t="shared" ref="AC578:AC641" si="19">AVERAGE(T578, U578, V578, IF(ISBLANK(X578), X578, X578/5))</f>
        <v>0.64866666666666672</v>
      </c>
    </row>
    <row r="579" spans="1:29" ht="25.5">
      <c r="A579" s="8" t="s">
        <v>11651</v>
      </c>
      <c r="B579" s="17" t="s">
        <v>7760</v>
      </c>
      <c r="C579" s="13">
        <v>44495</v>
      </c>
      <c r="D579" s="13" t="s">
        <v>8465</v>
      </c>
      <c r="E579" s="10" t="s">
        <v>1583</v>
      </c>
      <c r="F579" s="10" t="s">
        <v>3047</v>
      </c>
      <c r="G579" s="11" t="s">
        <v>1481</v>
      </c>
      <c r="H579" s="2" t="s">
        <v>6510</v>
      </c>
      <c r="L579" s="18">
        <v>1</v>
      </c>
      <c r="M579" s="14" t="s">
        <v>8462</v>
      </c>
      <c r="N579" s="13">
        <v>44661</v>
      </c>
      <c r="O579" s="29">
        <v>21.71</v>
      </c>
      <c r="P579" s="18" t="s">
        <v>14</v>
      </c>
      <c r="Q579" s="18">
        <v>0</v>
      </c>
      <c r="V579" s="22">
        <f>2.5/5</f>
        <v>0.5</v>
      </c>
      <c r="X579" s="3">
        <v>2</v>
      </c>
      <c r="Z579" s="23">
        <f>5.5+9</f>
        <v>14.5</v>
      </c>
      <c r="AB579" s="18">
        <f t="shared" si="18"/>
        <v>2021</v>
      </c>
      <c r="AC579" s="22">
        <f t="shared" si="19"/>
        <v>0.45</v>
      </c>
    </row>
    <row r="580" spans="1:29" ht="38.25">
      <c r="A580" s="8" t="s">
        <v>10547</v>
      </c>
      <c r="B580" s="17" t="s">
        <v>9431</v>
      </c>
      <c r="C580" s="13">
        <v>44491</v>
      </c>
      <c r="D580" s="13" t="s">
        <v>8465</v>
      </c>
      <c r="E580" s="10" t="s">
        <v>1604</v>
      </c>
      <c r="F580" s="10" t="s">
        <v>6200</v>
      </c>
      <c r="G580" s="11" t="s">
        <v>7714</v>
      </c>
      <c r="H580" s="2" t="s">
        <v>1061</v>
      </c>
      <c r="L580" s="18">
        <v>1</v>
      </c>
      <c r="M580" s="14" t="s">
        <v>8462</v>
      </c>
      <c r="N580" s="13">
        <v>44486</v>
      </c>
      <c r="O580" s="29">
        <v>32.58</v>
      </c>
      <c r="P580" s="18" t="s">
        <v>14</v>
      </c>
      <c r="Q580" s="18">
        <v>0</v>
      </c>
      <c r="U580" s="22">
        <v>0.73</v>
      </c>
      <c r="V580" s="22">
        <f>3.61/5</f>
        <v>0.72199999999999998</v>
      </c>
      <c r="X580" s="3">
        <v>3</v>
      </c>
      <c r="Z580" s="23">
        <v>5.5</v>
      </c>
      <c r="AB580" s="18">
        <f t="shared" si="18"/>
        <v>2021</v>
      </c>
      <c r="AC580" s="22">
        <f t="shared" si="19"/>
        <v>0.68400000000000005</v>
      </c>
    </row>
    <row r="581" spans="1:29" ht="45">
      <c r="A581" s="8" t="s">
        <v>12682</v>
      </c>
      <c r="B581" s="17" t="s">
        <v>7800</v>
      </c>
      <c r="C581" s="13">
        <v>44491</v>
      </c>
      <c r="D581" s="13" t="s">
        <v>8465</v>
      </c>
      <c r="E581" s="10" t="s">
        <v>12683</v>
      </c>
      <c r="F581" s="10" t="s">
        <v>12684</v>
      </c>
      <c r="H581" s="2" t="s">
        <v>67</v>
      </c>
      <c r="L581" s="18">
        <v>1</v>
      </c>
      <c r="N581" s="13">
        <v>44827</v>
      </c>
      <c r="O581" s="29">
        <v>0</v>
      </c>
      <c r="P581" s="18" t="s">
        <v>1107</v>
      </c>
      <c r="Q581" s="18">
        <v>0</v>
      </c>
      <c r="V581" s="22">
        <f>2.5/5</f>
        <v>0.5</v>
      </c>
      <c r="W581" s="14" t="s">
        <v>7777</v>
      </c>
      <c r="X581" s="3">
        <v>3</v>
      </c>
      <c r="Z581" s="23">
        <v>1.5</v>
      </c>
      <c r="AB581" s="18">
        <f t="shared" si="18"/>
        <v>2021</v>
      </c>
      <c r="AC581" s="22">
        <f t="shared" si="19"/>
        <v>0.55000000000000004</v>
      </c>
    </row>
    <row r="582" spans="1:29">
      <c r="A582" s="8" t="s">
        <v>920</v>
      </c>
      <c r="B582" s="17" t="s">
        <v>10521</v>
      </c>
      <c r="C582" s="13">
        <v>44490</v>
      </c>
      <c r="D582" s="13" t="s">
        <v>8465</v>
      </c>
      <c r="E582" s="10" t="s">
        <v>10796</v>
      </c>
      <c r="F582" s="10" t="s">
        <v>3270</v>
      </c>
      <c r="G582" s="11" t="s">
        <v>943</v>
      </c>
      <c r="H582" s="2" t="s">
        <v>1061</v>
      </c>
      <c r="I582" s="18">
        <v>1</v>
      </c>
      <c r="L582" s="18">
        <v>1</v>
      </c>
      <c r="N582" s="13">
        <v>44547</v>
      </c>
      <c r="O582" s="29">
        <v>29.99</v>
      </c>
      <c r="P582" s="18" t="s">
        <v>1107</v>
      </c>
      <c r="Q582" s="18">
        <v>0</v>
      </c>
      <c r="U582" s="22">
        <v>0.85</v>
      </c>
      <c r="V582" s="22">
        <f>4.29/5</f>
        <v>0.85799999999999998</v>
      </c>
      <c r="W582" s="14" t="s">
        <v>10524</v>
      </c>
      <c r="X582" s="3">
        <v>3</v>
      </c>
      <c r="Z582" s="23">
        <v>16</v>
      </c>
      <c r="AB582" s="18">
        <f t="shared" si="18"/>
        <v>2021</v>
      </c>
      <c r="AC582" s="22">
        <f t="shared" si="19"/>
        <v>0.76933333333333331</v>
      </c>
    </row>
    <row r="583" spans="1:29">
      <c r="A583" s="8" t="s">
        <v>12174</v>
      </c>
      <c r="B583" s="17" t="s">
        <v>7744</v>
      </c>
      <c r="C583" s="13">
        <v>44490</v>
      </c>
      <c r="D583" s="13" t="s">
        <v>8465</v>
      </c>
      <c r="E583" s="10" t="s">
        <v>11373</v>
      </c>
      <c r="F583" s="10" t="s">
        <v>12202</v>
      </c>
      <c r="H583" s="2" t="s">
        <v>56</v>
      </c>
      <c r="L583" s="18">
        <v>1</v>
      </c>
      <c r="M583" s="14" t="s">
        <v>8462</v>
      </c>
      <c r="N583" s="13">
        <v>44754</v>
      </c>
      <c r="O583" s="29">
        <v>21.71</v>
      </c>
      <c r="P583" s="18" t="s">
        <v>14</v>
      </c>
      <c r="Q583" s="18">
        <v>0</v>
      </c>
      <c r="V583" s="22">
        <f>4.19/5</f>
        <v>0.83800000000000008</v>
      </c>
      <c r="X583" s="3">
        <v>3</v>
      </c>
      <c r="Z583" s="23">
        <v>24</v>
      </c>
      <c r="AB583" s="18">
        <f t="shared" si="18"/>
        <v>2021</v>
      </c>
      <c r="AC583" s="22">
        <f t="shared" si="19"/>
        <v>0.71900000000000008</v>
      </c>
    </row>
    <row r="584" spans="1:29">
      <c r="A584" s="8" t="s">
        <v>12729</v>
      </c>
      <c r="B584" s="17" t="s">
        <v>7800</v>
      </c>
      <c r="C584" s="13">
        <v>44490</v>
      </c>
      <c r="D584" s="13" t="s">
        <v>8465</v>
      </c>
      <c r="E584" s="10" t="s">
        <v>3553</v>
      </c>
      <c r="F584" s="10" t="s">
        <v>8634</v>
      </c>
      <c r="G584" s="11" t="s">
        <v>3670</v>
      </c>
      <c r="H584" s="2" t="s">
        <v>1720</v>
      </c>
      <c r="L584" s="18">
        <v>1</v>
      </c>
      <c r="N584" s="13">
        <v>44838</v>
      </c>
      <c r="O584" s="29">
        <v>0</v>
      </c>
      <c r="P584" s="18" t="s">
        <v>1107</v>
      </c>
      <c r="Q584" s="18">
        <v>0</v>
      </c>
      <c r="U584" s="22">
        <v>0.72</v>
      </c>
      <c r="V584" s="22">
        <f>4.1/5</f>
        <v>0.82</v>
      </c>
      <c r="W584" s="14" t="s">
        <v>7777</v>
      </c>
      <c r="X584" s="3">
        <v>3</v>
      </c>
      <c r="Z584" s="23">
        <v>53</v>
      </c>
      <c r="AB584" s="18">
        <f t="shared" si="18"/>
        <v>2021</v>
      </c>
      <c r="AC584" s="22">
        <f t="shared" si="19"/>
        <v>0.71333333333333337</v>
      </c>
    </row>
    <row r="585" spans="1:29" ht="25.5">
      <c r="A585" s="8" t="s">
        <v>14819</v>
      </c>
      <c r="B585" s="17" t="s">
        <v>7800</v>
      </c>
      <c r="C585" s="13">
        <v>44489</v>
      </c>
      <c r="D585" s="13" t="s">
        <v>8465</v>
      </c>
      <c r="E585" s="10" t="s">
        <v>14820</v>
      </c>
      <c r="F585" s="10" t="s">
        <v>14821</v>
      </c>
      <c r="H585" s="2" t="s">
        <v>27</v>
      </c>
      <c r="L585" s="18">
        <v>1</v>
      </c>
      <c r="N585" s="13">
        <v>45069</v>
      </c>
      <c r="O585" s="29">
        <v>0</v>
      </c>
      <c r="P585" s="18" t="s">
        <v>1107</v>
      </c>
      <c r="Q585" s="18">
        <v>0</v>
      </c>
      <c r="U585" s="22">
        <v>0.73</v>
      </c>
      <c r="V585" s="22">
        <f>3.5/5</f>
        <v>0.7</v>
      </c>
      <c r="W585" s="14" t="s">
        <v>7799</v>
      </c>
      <c r="X585" s="3">
        <v>2</v>
      </c>
      <c r="Z585" s="23">
        <v>5</v>
      </c>
      <c r="AB585" s="18">
        <f t="shared" si="18"/>
        <v>2021</v>
      </c>
      <c r="AC585" s="22">
        <f t="shared" si="19"/>
        <v>0.61</v>
      </c>
    </row>
    <row r="586" spans="1:29">
      <c r="A586" s="8" t="s">
        <v>10364</v>
      </c>
      <c r="B586" s="17" t="s">
        <v>7744</v>
      </c>
      <c r="C586" s="13">
        <v>44488</v>
      </c>
      <c r="D586" s="13" t="s">
        <v>8465</v>
      </c>
      <c r="E586" s="10" t="s">
        <v>1062</v>
      </c>
      <c r="F586" s="10" t="s">
        <v>8799</v>
      </c>
      <c r="G586" s="11" t="s">
        <v>9803</v>
      </c>
      <c r="H586" s="2" t="s">
        <v>149</v>
      </c>
      <c r="L586" s="18">
        <v>1</v>
      </c>
      <c r="M586" s="14" t="s">
        <v>8462</v>
      </c>
      <c r="N586" s="13">
        <v>44406</v>
      </c>
      <c r="O586" s="29">
        <v>54.3</v>
      </c>
      <c r="P586" s="18" t="s">
        <v>14</v>
      </c>
      <c r="Q586" s="18">
        <v>0</v>
      </c>
      <c r="U586" s="22">
        <v>0.81</v>
      </c>
      <c r="V586" s="22">
        <f>3.94/5</f>
        <v>0.78800000000000003</v>
      </c>
      <c r="X586" s="3">
        <v>4</v>
      </c>
      <c r="Z586" s="23">
        <v>30</v>
      </c>
      <c r="AB586" s="18">
        <f t="shared" si="18"/>
        <v>2021</v>
      </c>
      <c r="AC586" s="22">
        <f t="shared" si="19"/>
        <v>0.79933333333333334</v>
      </c>
    </row>
    <row r="587" spans="1:29">
      <c r="A587" s="8" t="s">
        <v>10973</v>
      </c>
      <c r="B587" s="17" t="s">
        <v>7800</v>
      </c>
      <c r="C587" s="13">
        <v>44488</v>
      </c>
      <c r="D587" s="13" t="s">
        <v>8465</v>
      </c>
      <c r="E587" s="10" t="s">
        <v>10974</v>
      </c>
      <c r="F587" s="10" t="s">
        <v>10975</v>
      </c>
      <c r="H587" s="2" t="s">
        <v>1518</v>
      </c>
      <c r="L587" s="18">
        <v>1</v>
      </c>
      <c r="N587" s="13">
        <v>44568</v>
      </c>
      <c r="O587" s="29">
        <v>11</v>
      </c>
      <c r="P587" s="18" t="s">
        <v>1107</v>
      </c>
      <c r="Q587" s="18">
        <v>0</v>
      </c>
      <c r="V587" s="22">
        <f>3.75/5</f>
        <v>0.75</v>
      </c>
      <c r="W587" s="14" t="s">
        <v>7777</v>
      </c>
      <c r="X587" s="3">
        <v>3</v>
      </c>
      <c r="Z587" s="23">
        <v>3</v>
      </c>
      <c r="AB587" s="18">
        <f t="shared" si="18"/>
        <v>2021</v>
      </c>
      <c r="AC587" s="22">
        <f t="shared" si="19"/>
        <v>0.67500000000000004</v>
      </c>
    </row>
    <row r="588" spans="1:29" ht="25.5">
      <c r="A588" s="8" t="s">
        <v>13560</v>
      </c>
      <c r="B588" s="17" t="s">
        <v>7800</v>
      </c>
      <c r="C588" s="13">
        <v>44488</v>
      </c>
      <c r="D588" s="13" t="s">
        <v>8465</v>
      </c>
      <c r="E588" s="10" t="s">
        <v>13561</v>
      </c>
      <c r="F588" s="10" t="s">
        <v>13562</v>
      </c>
      <c r="H588" s="2" t="s">
        <v>56</v>
      </c>
      <c r="L588" s="18">
        <v>1</v>
      </c>
      <c r="N588" s="13">
        <v>44973</v>
      </c>
      <c r="O588" s="29">
        <v>0</v>
      </c>
      <c r="P588" s="18" t="s">
        <v>1107</v>
      </c>
      <c r="Q588" s="18">
        <v>0</v>
      </c>
      <c r="V588" s="22">
        <f>3.5/5</f>
        <v>0.7</v>
      </c>
      <c r="W588" s="14" t="s">
        <v>7799</v>
      </c>
      <c r="X588" s="3">
        <v>2</v>
      </c>
      <c r="Z588" s="23">
        <v>1</v>
      </c>
      <c r="AB588" s="18">
        <f t="shared" si="18"/>
        <v>2021</v>
      </c>
      <c r="AC588" s="22">
        <f t="shared" si="19"/>
        <v>0.55000000000000004</v>
      </c>
    </row>
    <row r="589" spans="1:29">
      <c r="A589" s="8" t="s">
        <v>13647</v>
      </c>
      <c r="B589" s="17" t="s">
        <v>7800</v>
      </c>
      <c r="C589" s="13">
        <v>44488</v>
      </c>
      <c r="D589" s="13" t="s">
        <v>8465</v>
      </c>
      <c r="E589" s="10" t="s">
        <v>9249</v>
      </c>
      <c r="F589" s="10" t="s">
        <v>13648</v>
      </c>
      <c r="H589" s="2" t="s">
        <v>1518</v>
      </c>
      <c r="L589" s="18">
        <v>1</v>
      </c>
      <c r="N589" s="13">
        <v>44986</v>
      </c>
      <c r="O589" s="29">
        <v>0</v>
      </c>
      <c r="P589" s="18" t="s">
        <v>1107</v>
      </c>
      <c r="Q589" s="18">
        <v>0</v>
      </c>
      <c r="U589" s="22">
        <v>0.67</v>
      </c>
      <c r="V589" s="22">
        <f>1.63/5</f>
        <v>0.32599999999999996</v>
      </c>
      <c r="W589" s="14" t="s">
        <v>7777</v>
      </c>
      <c r="X589" s="3">
        <v>2</v>
      </c>
      <c r="Z589" s="23">
        <v>6.5</v>
      </c>
      <c r="AB589" s="18">
        <f t="shared" si="18"/>
        <v>2021</v>
      </c>
      <c r="AC589" s="22">
        <f t="shared" si="19"/>
        <v>0.46533333333333332</v>
      </c>
    </row>
    <row r="590" spans="1:29" ht="38.25">
      <c r="A590" s="8" t="s">
        <v>11655</v>
      </c>
      <c r="B590" s="17" t="s">
        <v>7744</v>
      </c>
      <c r="C590" s="13">
        <v>44487</v>
      </c>
      <c r="D590" s="13" t="s">
        <v>8465</v>
      </c>
      <c r="E590" s="10" t="s">
        <v>11656</v>
      </c>
      <c r="F590" s="10" t="s">
        <v>11656</v>
      </c>
      <c r="H590" s="2" t="s">
        <v>1194</v>
      </c>
      <c r="L590" s="18">
        <v>1</v>
      </c>
      <c r="N590" s="13">
        <v>44665</v>
      </c>
      <c r="O590" s="29">
        <v>1.99</v>
      </c>
      <c r="P590" s="18" t="s">
        <v>1107</v>
      </c>
      <c r="Q590" s="18">
        <v>0</v>
      </c>
      <c r="V590" s="22">
        <f>3/5</f>
        <v>0.6</v>
      </c>
      <c r="X590" s="3">
        <v>2</v>
      </c>
      <c r="Z590" s="23">
        <v>3</v>
      </c>
      <c r="AB590" s="18">
        <f t="shared" si="18"/>
        <v>2021</v>
      </c>
      <c r="AC590" s="22">
        <f t="shared" si="19"/>
        <v>0.5</v>
      </c>
    </row>
    <row r="591" spans="1:29" ht="38.25">
      <c r="A591" s="8" t="s">
        <v>10638</v>
      </c>
      <c r="B591" s="17" t="s">
        <v>9431</v>
      </c>
      <c r="C591" s="13">
        <v>44484</v>
      </c>
      <c r="D591" s="13" t="s">
        <v>8465</v>
      </c>
      <c r="E591" s="10" t="s">
        <v>455</v>
      </c>
      <c r="F591" s="10" t="s">
        <v>2314</v>
      </c>
      <c r="G591" s="11" t="s">
        <v>10639</v>
      </c>
      <c r="H591" s="2" t="s">
        <v>459</v>
      </c>
      <c r="L591" s="18">
        <v>1</v>
      </c>
      <c r="M591" s="14" t="s">
        <v>8462</v>
      </c>
      <c r="N591" s="13">
        <v>44507</v>
      </c>
      <c r="O591" s="29">
        <v>39.14</v>
      </c>
      <c r="P591" s="18" t="s">
        <v>14</v>
      </c>
      <c r="Q591" s="18">
        <v>0</v>
      </c>
      <c r="U591" s="22">
        <v>0.72</v>
      </c>
      <c r="V591" s="22">
        <f>3.19/5</f>
        <v>0.63800000000000001</v>
      </c>
      <c r="X591" s="3">
        <v>3</v>
      </c>
      <c r="Z591" s="23">
        <v>7.5</v>
      </c>
      <c r="AB591" s="18">
        <f t="shared" si="18"/>
        <v>2021</v>
      </c>
      <c r="AC591" s="22">
        <f t="shared" si="19"/>
        <v>0.65266666666666673</v>
      </c>
    </row>
    <row r="592" spans="1:29">
      <c r="A592" s="8" t="s">
        <v>10810</v>
      </c>
      <c r="B592" s="17" t="s">
        <v>7744</v>
      </c>
      <c r="C592" s="13">
        <v>44483</v>
      </c>
      <c r="D592" s="13" t="s">
        <v>8465</v>
      </c>
      <c r="E592" s="10" t="s">
        <v>1082</v>
      </c>
      <c r="F592" s="10" t="s">
        <v>1082</v>
      </c>
      <c r="H592" s="2" t="s">
        <v>1377</v>
      </c>
      <c r="L592" s="18">
        <v>1</v>
      </c>
      <c r="N592" s="13">
        <v>44551</v>
      </c>
      <c r="O592" s="29">
        <v>22.79</v>
      </c>
      <c r="P592" s="18" t="s">
        <v>1107</v>
      </c>
      <c r="Q592" s="18">
        <v>0</v>
      </c>
      <c r="U592" s="22">
        <v>0.8</v>
      </c>
      <c r="V592" s="22">
        <f>4.05/5</f>
        <v>0.80999999999999994</v>
      </c>
      <c r="X592" s="3">
        <v>4</v>
      </c>
      <c r="Z592" s="23">
        <v>29.5</v>
      </c>
      <c r="AB592" s="18">
        <f t="shared" si="18"/>
        <v>2021</v>
      </c>
      <c r="AC592" s="22">
        <f t="shared" si="19"/>
        <v>0.80333333333333334</v>
      </c>
    </row>
    <row r="593" spans="1:29">
      <c r="A593" s="8" t="s">
        <v>10526</v>
      </c>
      <c r="B593" s="17" t="s">
        <v>7744</v>
      </c>
      <c r="C593" s="13">
        <v>44481</v>
      </c>
      <c r="D593" s="13" t="s">
        <v>8465</v>
      </c>
      <c r="E593" s="10" t="s">
        <v>8530</v>
      </c>
      <c r="F593" s="10" t="s">
        <v>10618</v>
      </c>
      <c r="H593" s="2" t="s">
        <v>149</v>
      </c>
      <c r="L593" s="18">
        <v>1</v>
      </c>
      <c r="M593" s="14" t="s">
        <v>8462</v>
      </c>
      <c r="N593" s="13">
        <v>44484</v>
      </c>
      <c r="O593" s="29">
        <v>32.58</v>
      </c>
      <c r="P593" s="18" t="s">
        <v>14</v>
      </c>
      <c r="Q593" s="18">
        <v>0</v>
      </c>
      <c r="U593" s="22">
        <v>0.56999999999999995</v>
      </c>
      <c r="V593" s="22">
        <f>3.15/5</f>
        <v>0.63</v>
      </c>
      <c r="X593" s="3">
        <v>3</v>
      </c>
      <c r="Z593" s="23">
        <v>12</v>
      </c>
      <c r="AB593" s="18">
        <f t="shared" si="18"/>
        <v>2021</v>
      </c>
      <c r="AC593" s="22">
        <f t="shared" si="19"/>
        <v>0.6</v>
      </c>
    </row>
    <row r="594" spans="1:29">
      <c r="A594" s="8" t="s">
        <v>10784</v>
      </c>
      <c r="B594" s="17" t="s">
        <v>7800</v>
      </c>
      <c r="C594" s="13">
        <v>44474</v>
      </c>
      <c r="D594" s="13" t="s">
        <v>8465</v>
      </c>
      <c r="E594" s="10" t="s">
        <v>9979</v>
      </c>
      <c r="F594" s="10" t="s">
        <v>9979</v>
      </c>
      <c r="H594" s="2" t="s">
        <v>80</v>
      </c>
      <c r="L594" s="18">
        <v>1</v>
      </c>
      <c r="N594" s="13">
        <v>44546</v>
      </c>
      <c r="O594" s="29">
        <v>12.49</v>
      </c>
      <c r="P594" s="18" t="s">
        <v>1107</v>
      </c>
      <c r="Q594" s="18">
        <v>0</v>
      </c>
      <c r="U594" s="22">
        <v>0.66</v>
      </c>
      <c r="W594" s="14" t="s">
        <v>7097</v>
      </c>
      <c r="X594" s="3">
        <v>4</v>
      </c>
      <c r="Z594" s="23">
        <v>8.5</v>
      </c>
      <c r="AB594" s="18">
        <f t="shared" si="18"/>
        <v>2021</v>
      </c>
      <c r="AC594" s="22">
        <f t="shared" si="19"/>
        <v>0.73</v>
      </c>
    </row>
    <row r="595" spans="1:29">
      <c r="A595" s="8" t="s">
        <v>15345</v>
      </c>
      <c r="B595" s="17" t="s">
        <v>9431</v>
      </c>
      <c r="C595" s="13">
        <v>44474</v>
      </c>
      <c r="D595" s="13" t="s">
        <v>8465</v>
      </c>
      <c r="E595" s="10" t="s">
        <v>6304</v>
      </c>
      <c r="F595" s="10" t="s">
        <v>3130</v>
      </c>
      <c r="G595" s="11" t="s">
        <v>3131</v>
      </c>
      <c r="H595" s="2" t="s">
        <v>1168</v>
      </c>
      <c r="L595" s="18">
        <v>1</v>
      </c>
      <c r="N595" s="13">
        <v>45111</v>
      </c>
      <c r="O595" s="29">
        <v>0</v>
      </c>
      <c r="P595" s="18" t="s">
        <v>1107</v>
      </c>
      <c r="Q595" s="18">
        <v>0</v>
      </c>
      <c r="U595" s="22">
        <v>0.79</v>
      </c>
      <c r="V595" s="22">
        <f>3.65/5</f>
        <v>0.73</v>
      </c>
      <c r="W595" s="14" t="s">
        <v>6072</v>
      </c>
      <c r="X595" s="3">
        <v>3</v>
      </c>
      <c r="Z595" s="23">
        <v>10</v>
      </c>
      <c r="AB595" s="18">
        <f t="shared" si="18"/>
        <v>2021</v>
      </c>
      <c r="AC595" s="22">
        <f t="shared" si="19"/>
        <v>0.70666666666666667</v>
      </c>
    </row>
    <row r="596" spans="1:29" ht="30">
      <c r="A596" s="8" t="s">
        <v>10702</v>
      </c>
      <c r="B596" s="17" t="s">
        <v>9431</v>
      </c>
      <c r="C596" s="13">
        <v>44474</v>
      </c>
      <c r="D596" s="13" t="s">
        <v>8465</v>
      </c>
      <c r="E596" s="10" t="s">
        <v>455</v>
      </c>
      <c r="F596" s="10" t="s">
        <v>6137</v>
      </c>
      <c r="G596" s="11" t="s">
        <v>1065</v>
      </c>
      <c r="H596" s="2" t="s">
        <v>1040</v>
      </c>
      <c r="L596" s="18">
        <v>1</v>
      </c>
      <c r="M596" s="14" t="s">
        <v>8462</v>
      </c>
      <c r="N596" s="13">
        <v>44519</v>
      </c>
      <c r="O596" s="29">
        <v>19.989999999999998</v>
      </c>
      <c r="P596" s="18" t="s">
        <v>14</v>
      </c>
      <c r="Q596" s="18">
        <v>0</v>
      </c>
      <c r="U596" s="22">
        <v>0.78</v>
      </c>
      <c r="V596" s="22">
        <f>3.67/5</f>
        <v>0.73399999999999999</v>
      </c>
      <c r="W596" s="14" t="s">
        <v>10748</v>
      </c>
      <c r="X596" s="3">
        <v>3</v>
      </c>
      <c r="Z596" s="23">
        <v>6</v>
      </c>
      <c r="AB596" s="18">
        <f t="shared" si="18"/>
        <v>2021</v>
      </c>
      <c r="AC596" s="22">
        <f t="shared" si="19"/>
        <v>0.70466666666666666</v>
      </c>
    </row>
    <row r="597" spans="1:29" ht="25.5">
      <c r="A597" s="8" t="s">
        <v>10785</v>
      </c>
      <c r="B597" s="17" t="s">
        <v>7800</v>
      </c>
      <c r="C597" s="13">
        <v>44472</v>
      </c>
      <c r="D597" s="13" t="s">
        <v>8465</v>
      </c>
      <c r="E597" s="10" t="s">
        <v>10786</v>
      </c>
      <c r="F597" s="10" t="s">
        <v>10787</v>
      </c>
      <c r="H597" s="2" t="s">
        <v>151</v>
      </c>
      <c r="L597" s="18">
        <v>1</v>
      </c>
      <c r="N597" s="13">
        <v>44546</v>
      </c>
      <c r="O597" s="29">
        <v>15.49</v>
      </c>
      <c r="P597" s="18" t="s">
        <v>1107</v>
      </c>
      <c r="Q597" s="18">
        <v>0</v>
      </c>
      <c r="U597" s="22">
        <v>0.79</v>
      </c>
      <c r="V597" s="22">
        <f>3.93/5</f>
        <v>0.78600000000000003</v>
      </c>
      <c r="W597" s="14" t="s">
        <v>7097</v>
      </c>
      <c r="X597" s="3">
        <v>4</v>
      </c>
      <c r="Z597" s="23">
        <v>13.5</v>
      </c>
      <c r="AB597" s="18">
        <f t="shared" si="18"/>
        <v>2021</v>
      </c>
      <c r="AC597" s="22">
        <f t="shared" si="19"/>
        <v>0.79200000000000015</v>
      </c>
    </row>
    <row r="598" spans="1:29">
      <c r="A598" s="8" t="s">
        <v>13656</v>
      </c>
      <c r="B598" s="17" t="s">
        <v>7800</v>
      </c>
      <c r="C598" s="13">
        <v>44469</v>
      </c>
      <c r="D598" s="13" t="s">
        <v>8465</v>
      </c>
      <c r="E598" s="10" t="s">
        <v>3061</v>
      </c>
      <c r="F598" s="10" t="s">
        <v>3061</v>
      </c>
      <c r="H598" s="2" t="s">
        <v>67</v>
      </c>
      <c r="L598" s="18">
        <v>1</v>
      </c>
      <c r="N598" s="13">
        <v>44987</v>
      </c>
      <c r="O598" s="29">
        <v>3.33</v>
      </c>
      <c r="P598" s="18" t="s">
        <v>1107</v>
      </c>
      <c r="Q598" s="18">
        <v>0</v>
      </c>
      <c r="U598" s="22">
        <v>0.8</v>
      </c>
      <c r="V598" s="22">
        <f>4.04/5</f>
        <v>0.80800000000000005</v>
      </c>
      <c r="W598" s="14" t="s">
        <v>7777</v>
      </c>
      <c r="X598" s="3">
        <v>4</v>
      </c>
      <c r="Z598" s="23">
        <v>4</v>
      </c>
      <c r="AB598" s="18">
        <f t="shared" si="18"/>
        <v>2021</v>
      </c>
      <c r="AC598" s="22">
        <f t="shared" si="19"/>
        <v>0.80266666666666675</v>
      </c>
    </row>
    <row r="599" spans="1:29">
      <c r="A599" s="8" t="s">
        <v>15271</v>
      </c>
      <c r="B599" s="17" t="s">
        <v>7744</v>
      </c>
      <c r="C599" s="13">
        <v>44469</v>
      </c>
      <c r="D599" s="13" t="s">
        <v>8465</v>
      </c>
      <c r="E599" s="10" t="s">
        <v>9249</v>
      </c>
      <c r="F599" s="10" t="s">
        <v>15272</v>
      </c>
      <c r="H599" s="2" t="s">
        <v>171</v>
      </c>
      <c r="L599" s="18">
        <v>1</v>
      </c>
      <c r="N599" s="13">
        <v>45099</v>
      </c>
      <c r="O599" s="29">
        <v>9.99</v>
      </c>
      <c r="P599" s="18" t="s">
        <v>1107</v>
      </c>
      <c r="Q599" s="18">
        <v>0</v>
      </c>
      <c r="U599" s="22">
        <v>0.88</v>
      </c>
      <c r="V599" s="22">
        <f>3.5/5</f>
        <v>0.7</v>
      </c>
      <c r="X599" s="3">
        <v>4</v>
      </c>
      <c r="Z599" s="23">
        <v>8.5</v>
      </c>
      <c r="AB599" s="18">
        <f t="shared" si="18"/>
        <v>2021</v>
      </c>
      <c r="AC599" s="22">
        <f t="shared" si="19"/>
        <v>0.79333333333333333</v>
      </c>
    </row>
    <row r="600" spans="1:29">
      <c r="A600" s="8" t="s">
        <v>12234</v>
      </c>
      <c r="B600" s="17" t="s">
        <v>7800</v>
      </c>
      <c r="C600" s="13">
        <v>44469</v>
      </c>
      <c r="D600" s="13" t="s">
        <v>8465</v>
      </c>
      <c r="E600" s="10" t="s">
        <v>12235</v>
      </c>
      <c r="F600" s="10" t="s">
        <v>12235</v>
      </c>
      <c r="G600" s="11" t="s">
        <v>12236</v>
      </c>
      <c r="H600" s="2" t="s">
        <v>150</v>
      </c>
      <c r="L600" s="18">
        <v>1</v>
      </c>
      <c r="N600" s="13">
        <v>44775</v>
      </c>
      <c r="O600" s="29">
        <v>0</v>
      </c>
      <c r="P600" s="18" t="s">
        <v>1107</v>
      </c>
      <c r="Q600" s="18">
        <v>0</v>
      </c>
      <c r="U600" s="22">
        <v>0.78</v>
      </c>
      <c r="V600" s="22">
        <f>3.64/5</f>
        <v>0.72799999999999998</v>
      </c>
      <c r="W600" s="14" t="s">
        <v>7777</v>
      </c>
      <c r="X600" s="3">
        <v>3</v>
      </c>
      <c r="Z600" s="23">
        <v>7.5</v>
      </c>
      <c r="AB600" s="18">
        <f t="shared" si="18"/>
        <v>2021</v>
      </c>
      <c r="AC600" s="22">
        <f t="shared" si="19"/>
        <v>0.70266666666666666</v>
      </c>
    </row>
    <row r="601" spans="1:29" ht="30">
      <c r="A601" s="8" t="s">
        <v>10478</v>
      </c>
      <c r="B601" s="17" t="s">
        <v>7760</v>
      </c>
      <c r="C601" s="13">
        <v>44469</v>
      </c>
      <c r="D601" s="13" t="s">
        <v>8465</v>
      </c>
      <c r="E601" s="10" t="s">
        <v>1680</v>
      </c>
      <c r="F601" s="10" t="s">
        <v>3113</v>
      </c>
      <c r="G601" s="11" t="s">
        <v>9363</v>
      </c>
      <c r="H601" s="2" t="s">
        <v>1377</v>
      </c>
      <c r="L601" s="18">
        <v>1</v>
      </c>
      <c r="M601" s="14" t="s">
        <v>8462</v>
      </c>
      <c r="N601" s="13">
        <v>44277</v>
      </c>
      <c r="O601" s="29">
        <v>49.99</v>
      </c>
      <c r="P601" s="18" t="s">
        <v>14</v>
      </c>
      <c r="Q601" s="18">
        <v>0</v>
      </c>
      <c r="V601" s="22">
        <f>3.75/5</f>
        <v>0.75</v>
      </c>
      <c r="X601" s="3">
        <v>3</v>
      </c>
      <c r="Z601" s="23">
        <v>48</v>
      </c>
      <c r="AB601" s="18">
        <f t="shared" si="18"/>
        <v>2021</v>
      </c>
      <c r="AC601" s="22">
        <f t="shared" si="19"/>
        <v>0.67500000000000004</v>
      </c>
    </row>
    <row r="602" spans="1:29">
      <c r="A602" s="8" t="s">
        <v>10568</v>
      </c>
      <c r="B602" s="17" t="s">
        <v>7744</v>
      </c>
      <c r="C602" s="13">
        <v>44469</v>
      </c>
      <c r="D602" s="13" t="s">
        <v>8465</v>
      </c>
      <c r="E602" s="10" t="s">
        <v>3808</v>
      </c>
      <c r="F602" s="10" t="s">
        <v>1681</v>
      </c>
      <c r="H602" s="2" t="s">
        <v>149</v>
      </c>
      <c r="L602" s="18">
        <v>1</v>
      </c>
      <c r="M602" s="14" t="s">
        <v>8462</v>
      </c>
      <c r="N602" s="13">
        <v>44493</v>
      </c>
      <c r="O602" s="29">
        <v>43.44</v>
      </c>
      <c r="P602" s="18" t="s">
        <v>14</v>
      </c>
      <c r="Q602" s="18">
        <v>0</v>
      </c>
      <c r="U602" s="22">
        <v>0.62</v>
      </c>
      <c r="V602" s="22">
        <f>3.62/5</f>
        <v>0.72399999999999998</v>
      </c>
      <c r="X602" s="3">
        <v>3</v>
      </c>
      <c r="Z602" s="23">
        <v>31</v>
      </c>
      <c r="AB602" s="18">
        <f t="shared" si="18"/>
        <v>2021</v>
      </c>
      <c r="AC602" s="22">
        <f t="shared" si="19"/>
        <v>0.64800000000000002</v>
      </c>
    </row>
    <row r="603" spans="1:29">
      <c r="A603" s="8" t="s">
        <v>12453</v>
      </c>
      <c r="B603" s="17" t="s">
        <v>7800</v>
      </c>
      <c r="C603" s="13">
        <v>44469</v>
      </c>
      <c r="D603" s="13" t="s">
        <v>8465</v>
      </c>
      <c r="E603" s="10" t="s">
        <v>1707</v>
      </c>
      <c r="F603" s="10" t="s">
        <v>12454</v>
      </c>
      <c r="H603" s="2" t="s">
        <v>1050</v>
      </c>
      <c r="L603" s="18">
        <v>1</v>
      </c>
      <c r="N603" s="13">
        <v>44810</v>
      </c>
      <c r="O603" s="29">
        <v>11</v>
      </c>
      <c r="P603" s="18" t="s">
        <v>1107</v>
      </c>
      <c r="Q603" s="18">
        <v>0</v>
      </c>
      <c r="U603" s="22">
        <v>0.67</v>
      </c>
      <c r="V603" s="22">
        <f>2.6/5</f>
        <v>0.52</v>
      </c>
      <c r="W603" s="14" t="s">
        <v>7777</v>
      </c>
      <c r="X603" s="3">
        <v>2</v>
      </c>
      <c r="Z603" s="23">
        <v>3</v>
      </c>
      <c r="AB603" s="18">
        <f t="shared" si="18"/>
        <v>2021</v>
      </c>
      <c r="AC603" s="22">
        <f t="shared" si="19"/>
        <v>0.52999999999999992</v>
      </c>
    </row>
    <row r="604" spans="1:29">
      <c r="A604" s="8" t="s">
        <v>15540</v>
      </c>
      <c r="B604" s="17" t="s">
        <v>7800</v>
      </c>
      <c r="C604" s="13">
        <v>44469</v>
      </c>
      <c r="D604" s="13" t="s">
        <v>8465</v>
      </c>
      <c r="E604" s="10" t="s">
        <v>15541</v>
      </c>
      <c r="F604" s="10" t="s">
        <v>15542</v>
      </c>
      <c r="H604" s="2" t="s">
        <v>153</v>
      </c>
      <c r="L604" s="18">
        <v>1</v>
      </c>
      <c r="N604" s="13">
        <v>45159</v>
      </c>
      <c r="O604" s="29">
        <v>2.2000000000000002</v>
      </c>
      <c r="P604" s="18" t="s">
        <v>1107</v>
      </c>
      <c r="Q604" s="18">
        <v>0</v>
      </c>
      <c r="U604" s="22">
        <v>0.86</v>
      </c>
      <c r="W604" s="14" t="s">
        <v>7777</v>
      </c>
      <c r="X604" s="3">
        <v>3</v>
      </c>
      <c r="AB604" s="18">
        <f t="shared" si="18"/>
        <v>2021</v>
      </c>
      <c r="AC604" s="22">
        <f t="shared" si="19"/>
        <v>0.73</v>
      </c>
    </row>
    <row r="605" spans="1:29">
      <c r="A605" s="8" t="s">
        <v>11660</v>
      </c>
      <c r="B605" s="17" t="s">
        <v>7800</v>
      </c>
      <c r="C605" s="13">
        <v>44468</v>
      </c>
      <c r="D605" s="13" t="s">
        <v>8465</v>
      </c>
      <c r="E605" s="10" t="s">
        <v>11305</v>
      </c>
      <c r="F605" s="10" t="s">
        <v>11661</v>
      </c>
      <c r="H605" s="2" t="s">
        <v>64</v>
      </c>
      <c r="L605" s="18">
        <v>1</v>
      </c>
      <c r="N605" s="13">
        <v>44673</v>
      </c>
      <c r="O605" s="29">
        <v>13</v>
      </c>
      <c r="P605" s="18" t="s">
        <v>1107</v>
      </c>
      <c r="Q605" s="18">
        <v>0</v>
      </c>
      <c r="U605" s="22">
        <v>0.74</v>
      </c>
      <c r="V605" s="22">
        <f>4/5</f>
        <v>0.8</v>
      </c>
      <c r="W605" s="14" t="s">
        <v>7777</v>
      </c>
      <c r="X605" s="3">
        <v>2</v>
      </c>
      <c r="Z605" s="23">
        <v>2</v>
      </c>
      <c r="AB605" s="18">
        <f t="shared" si="18"/>
        <v>2021</v>
      </c>
      <c r="AC605" s="22">
        <f t="shared" si="19"/>
        <v>0.64666666666666661</v>
      </c>
    </row>
    <row r="606" spans="1:29">
      <c r="A606" s="8" t="s">
        <v>14176</v>
      </c>
      <c r="B606" s="17" t="s">
        <v>7800</v>
      </c>
      <c r="C606" s="13">
        <v>44468</v>
      </c>
      <c r="D606" s="13" t="s">
        <v>8465</v>
      </c>
      <c r="E606" s="10" t="s">
        <v>14177</v>
      </c>
      <c r="F606" s="10" t="s">
        <v>14177</v>
      </c>
      <c r="H606" s="2" t="s">
        <v>80</v>
      </c>
      <c r="L606" s="18">
        <v>1</v>
      </c>
      <c r="O606" s="29">
        <v>0</v>
      </c>
      <c r="P606" s="18" t="s">
        <v>1107</v>
      </c>
      <c r="Q606" s="18">
        <v>0</v>
      </c>
      <c r="V606" s="22">
        <f>3.5/5</f>
        <v>0.7</v>
      </c>
      <c r="W606" s="14" t="s">
        <v>8765</v>
      </c>
      <c r="X606" s="3">
        <v>2</v>
      </c>
      <c r="Z606" s="23">
        <v>8</v>
      </c>
      <c r="AB606" s="18">
        <f t="shared" si="18"/>
        <v>2021</v>
      </c>
      <c r="AC606" s="22">
        <f t="shared" si="19"/>
        <v>0.55000000000000004</v>
      </c>
    </row>
    <row r="607" spans="1:29">
      <c r="A607" s="8" t="s">
        <v>12867</v>
      </c>
      <c r="B607" s="17" t="s">
        <v>7800</v>
      </c>
      <c r="C607" s="13">
        <v>44467</v>
      </c>
      <c r="D607" s="13" t="s">
        <v>8465</v>
      </c>
      <c r="E607" s="10" t="s">
        <v>3212</v>
      </c>
      <c r="F607" s="27" t="s">
        <v>7982</v>
      </c>
      <c r="H607" s="2" t="s">
        <v>245</v>
      </c>
      <c r="L607" s="18">
        <v>1</v>
      </c>
      <c r="N607" s="13">
        <v>44866</v>
      </c>
      <c r="O607" s="29">
        <v>12</v>
      </c>
      <c r="P607" s="18" t="s">
        <v>1107</v>
      </c>
      <c r="Q607" s="18">
        <v>0</v>
      </c>
      <c r="U607" s="22">
        <v>0.82</v>
      </c>
      <c r="V607" s="22">
        <f>4/5</f>
        <v>0.8</v>
      </c>
      <c r="W607" s="14" t="s">
        <v>7777</v>
      </c>
      <c r="X607" s="3">
        <v>3</v>
      </c>
      <c r="Z607" s="23">
        <v>10</v>
      </c>
      <c r="AB607" s="18">
        <f t="shared" si="18"/>
        <v>2021</v>
      </c>
      <c r="AC607" s="22">
        <f t="shared" si="19"/>
        <v>0.7400000000000001</v>
      </c>
    </row>
    <row r="608" spans="1:29">
      <c r="A608" s="8" t="s">
        <v>11394</v>
      </c>
      <c r="B608" s="17" t="s">
        <v>7800</v>
      </c>
      <c r="C608" s="13">
        <v>44467</v>
      </c>
      <c r="D608" s="13" t="s">
        <v>8465</v>
      </c>
      <c r="E608" s="10" t="s">
        <v>7894</v>
      </c>
      <c r="F608" s="10" t="s">
        <v>11395</v>
      </c>
      <c r="H608" s="2" t="s">
        <v>1061</v>
      </c>
      <c r="L608" s="18">
        <v>1</v>
      </c>
      <c r="N608" s="13">
        <v>44637</v>
      </c>
      <c r="O608" s="29">
        <v>0</v>
      </c>
      <c r="P608" s="18" t="s">
        <v>1107</v>
      </c>
      <c r="Q608" s="18">
        <v>0</v>
      </c>
      <c r="U608" s="22">
        <v>0.75</v>
      </c>
      <c r="V608" s="22">
        <f>3.53/5</f>
        <v>0.70599999999999996</v>
      </c>
      <c r="W608" s="14" t="s">
        <v>7777</v>
      </c>
      <c r="X608" s="3">
        <v>3</v>
      </c>
      <c r="Z608" s="23">
        <v>9.5</v>
      </c>
      <c r="AB608" s="18">
        <f t="shared" si="18"/>
        <v>2021</v>
      </c>
      <c r="AC608" s="22">
        <f t="shared" si="19"/>
        <v>0.68533333333333335</v>
      </c>
    </row>
    <row r="609" spans="1:29" ht="30">
      <c r="A609" s="8" t="s">
        <v>10791</v>
      </c>
      <c r="B609" s="17" t="s">
        <v>7800</v>
      </c>
      <c r="C609" s="13">
        <v>44467</v>
      </c>
      <c r="D609" s="13" t="s">
        <v>8465</v>
      </c>
      <c r="E609" s="10" t="s">
        <v>10792</v>
      </c>
      <c r="F609" s="10" t="s">
        <v>10793</v>
      </c>
      <c r="H609" s="2" t="s">
        <v>9780</v>
      </c>
      <c r="L609" s="18">
        <v>1</v>
      </c>
      <c r="N609" s="13">
        <v>44546</v>
      </c>
      <c r="O609" s="29">
        <v>0</v>
      </c>
      <c r="P609" s="18" t="s">
        <v>1107</v>
      </c>
      <c r="Q609" s="18">
        <v>0</v>
      </c>
      <c r="U609" s="22">
        <v>0.7</v>
      </c>
      <c r="V609" s="22">
        <f>3.08/5</f>
        <v>0.61599999999999999</v>
      </c>
      <c r="W609" s="14" t="s">
        <v>7777</v>
      </c>
      <c r="X609" s="3">
        <v>3</v>
      </c>
      <c r="Z609" s="23">
        <v>149</v>
      </c>
      <c r="AB609" s="18">
        <f t="shared" si="18"/>
        <v>2021</v>
      </c>
      <c r="AC609" s="22">
        <f t="shared" si="19"/>
        <v>0.6386666666666666</v>
      </c>
    </row>
    <row r="610" spans="1:29">
      <c r="A610" s="8" t="s">
        <v>15832</v>
      </c>
      <c r="B610" s="17" t="s">
        <v>7800</v>
      </c>
      <c r="C610" s="13">
        <v>44467</v>
      </c>
      <c r="D610" s="13" t="s">
        <v>8465</v>
      </c>
      <c r="E610" s="10" t="s">
        <v>12563</v>
      </c>
      <c r="F610" s="10" t="s">
        <v>15833</v>
      </c>
      <c r="H610" s="2" t="s">
        <v>67</v>
      </c>
      <c r="L610" s="18">
        <v>1</v>
      </c>
      <c r="N610" s="13">
        <v>45185</v>
      </c>
      <c r="O610" s="29">
        <v>0</v>
      </c>
      <c r="P610" s="18" t="s">
        <v>1107</v>
      </c>
      <c r="Q610" s="18">
        <v>0</v>
      </c>
      <c r="W610" s="14" t="s">
        <v>7777</v>
      </c>
      <c r="X610" s="3">
        <v>2</v>
      </c>
      <c r="Z610" s="23">
        <v>3</v>
      </c>
      <c r="AB610" s="18">
        <f t="shared" si="18"/>
        <v>2021</v>
      </c>
      <c r="AC610" s="22">
        <f t="shared" si="19"/>
        <v>0.4</v>
      </c>
    </row>
    <row r="611" spans="1:29" ht="30">
      <c r="A611" s="8" t="s">
        <v>13586</v>
      </c>
      <c r="B611" s="17" t="s">
        <v>7744</v>
      </c>
      <c r="C611" s="13">
        <v>44467</v>
      </c>
      <c r="D611" s="13" t="s">
        <v>8465</v>
      </c>
      <c r="E611" s="10" t="s">
        <v>4432</v>
      </c>
      <c r="F611" s="10" t="s">
        <v>16007</v>
      </c>
      <c r="H611" s="2" t="s">
        <v>56</v>
      </c>
      <c r="L611" s="18">
        <v>1</v>
      </c>
      <c r="M611" s="14" t="s">
        <v>8462</v>
      </c>
      <c r="N611" s="13">
        <v>44978</v>
      </c>
      <c r="O611" s="29">
        <v>41.99</v>
      </c>
      <c r="P611" s="18" t="s">
        <v>14</v>
      </c>
      <c r="Q611" s="18">
        <v>0</v>
      </c>
      <c r="U611" s="22">
        <v>0.75</v>
      </c>
      <c r="V611" s="22">
        <f>3.35/5</f>
        <v>0.67</v>
      </c>
      <c r="W611" s="14" t="s">
        <v>1134</v>
      </c>
      <c r="X611" s="3">
        <v>3</v>
      </c>
      <c r="Z611" s="23">
        <v>1</v>
      </c>
      <c r="AB611" s="18">
        <f t="shared" si="18"/>
        <v>2021</v>
      </c>
      <c r="AC611" s="22">
        <f t="shared" si="19"/>
        <v>0.67333333333333334</v>
      </c>
    </row>
    <row r="612" spans="1:29" ht="38.25">
      <c r="A612" s="8" t="s">
        <v>12212</v>
      </c>
      <c r="B612" s="17" t="s">
        <v>7800</v>
      </c>
      <c r="C612" s="13">
        <v>44466</v>
      </c>
      <c r="D612" s="13" t="s">
        <v>8465</v>
      </c>
      <c r="E612" s="10" t="s">
        <v>9795</v>
      </c>
      <c r="F612" s="10" t="s">
        <v>5358</v>
      </c>
      <c r="G612" s="11" t="s">
        <v>12211</v>
      </c>
      <c r="H612" s="2" t="s">
        <v>67</v>
      </c>
      <c r="L612" s="18">
        <v>1</v>
      </c>
      <c r="N612" s="13">
        <v>44771</v>
      </c>
      <c r="O612" s="29">
        <v>0</v>
      </c>
      <c r="P612" s="18" t="s">
        <v>1107</v>
      </c>
      <c r="Q612" s="18">
        <v>0</v>
      </c>
      <c r="V612" s="22">
        <f>4.17/5</f>
        <v>0.83399999999999996</v>
      </c>
      <c r="W612" s="14" t="s">
        <v>7777</v>
      </c>
      <c r="X612" s="3">
        <v>2</v>
      </c>
      <c r="Z612" s="23">
        <v>10</v>
      </c>
      <c r="AB612" s="18">
        <f t="shared" si="18"/>
        <v>2021</v>
      </c>
      <c r="AC612" s="22">
        <f t="shared" si="19"/>
        <v>0.61699999999999999</v>
      </c>
    </row>
    <row r="613" spans="1:29">
      <c r="A613" s="8" t="s">
        <v>12833</v>
      </c>
      <c r="B613" s="17" t="s">
        <v>7800</v>
      </c>
      <c r="C613" s="13">
        <v>44466</v>
      </c>
      <c r="D613" s="13" t="s">
        <v>8465</v>
      </c>
      <c r="E613" s="10" t="s">
        <v>12834</v>
      </c>
      <c r="F613" s="10" t="s">
        <v>12834</v>
      </c>
      <c r="H613" s="2" t="s">
        <v>64</v>
      </c>
      <c r="L613" s="18">
        <v>1</v>
      </c>
      <c r="N613" s="13">
        <v>44859</v>
      </c>
      <c r="O613" s="29">
        <v>0</v>
      </c>
      <c r="P613" s="18" t="s">
        <v>1107</v>
      </c>
      <c r="Q613" s="18">
        <v>0</v>
      </c>
      <c r="W613" s="14" t="s">
        <v>7777</v>
      </c>
      <c r="X613" s="3">
        <v>2</v>
      </c>
      <c r="Z613" s="23">
        <v>3</v>
      </c>
      <c r="AB613" s="18">
        <f t="shared" si="18"/>
        <v>2021</v>
      </c>
      <c r="AC613" s="22">
        <f t="shared" si="19"/>
        <v>0.4</v>
      </c>
    </row>
    <row r="614" spans="1:29">
      <c r="A614" s="8" t="s">
        <v>10637</v>
      </c>
      <c r="B614" s="17" t="s">
        <v>9431</v>
      </c>
      <c r="C614" s="13">
        <v>44463</v>
      </c>
      <c r="D614" s="13" t="s">
        <v>8465</v>
      </c>
      <c r="E614" s="10" t="s">
        <v>455</v>
      </c>
      <c r="F614" s="10" t="s">
        <v>6137</v>
      </c>
      <c r="G614" s="11" t="s">
        <v>5600</v>
      </c>
      <c r="H614" s="2" t="s">
        <v>80</v>
      </c>
      <c r="L614" s="18">
        <v>1</v>
      </c>
      <c r="M614" s="14" t="s">
        <v>8462</v>
      </c>
      <c r="N614" s="13">
        <v>44507</v>
      </c>
      <c r="O614" s="29">
        <v>39.14</v>
      </c>
      <c r="P614" s="18" t="s">
        <v>14</v>
      </c>
      <c r="Q614" s="18">
        <v>0</v>
      </c>
      <c r="U614" s="22">
        <v>0.82</v>
      </c>
      <c r="V614" s="22">
        <f>4.2/5</f>
        <v>0.84000000000000008</v>
      </c>
      <c r="X614" s="3">
        <v>4</v>
      </c>
      <c r="Z614" s="23">
        <v>22.5</v>
      </c>
      <c r="AB614" s="18">
        <f t="shared" si="18"/>
        <v>2021</v>
      </c>
      <c r="AC614" s="22">
        <f t="shared" si="19"/>
        <v>0.82</v>
      </c>
    </row>
    <row r="615" spans="1:29" ht="25.5">
      <c r="A615" s="8" t="s">
        <v>10551</v>
      </c>
      <c r="B615" s="17" t="s">
        <v>7800</v>
      </c>
      <c r="C615" s="13">
        <v>44463</v>
      </c>
      <c r="D615" s="13" t="s">
        <v>8465</v>
      </c>
      <c r="E615" s="10" t="s">
        <v>10552</v>
      </c>
      <c r="F615" s="10" t="s">
        <v>10552</v>
      </c>
      <c r="H615" s="2" t="s">
        <v>67</v>
      </c>
      <c r="I615" s="18">
        <v>1</v>
      </c>
      <c r="L615" s="18">
        <v>1</v>
      </c>
      <c r="N615" s="13">
        <v>44496</v>
      </c>
      <c r="O615" s="29">
        <v>0</v>
      </c>
      <c r="P615" s="18" t="s">
        <v>1107</v>
      </c>
      <c r="Q615" s="18">
        <v>0</v>
      </c>
      <c r="V615" s="22">
        <f>3.47/5</f>
        <v>0.69400000000000006</v>
      </c>
      <c r="W615" s="14" t="s">
        <v>7777</v>
      </c>
      <c r="X615" s="3">
        <v>3</v>
      </c>
      <c r="Z615" s="23">
        <f>29/60</f>
        <v>0.48333333333333334</v>
      </c>
      <c r="AB615" s="18">
        <f t="shared" si="18"/>
        <v>2021</v>
      </c>
      <c r="AC615" s="22">
        <f t="shared" si="19"/>
        <v>0.64700000000000002</v>
      </c>
    </row>
    <row r="616" spans="1:29">
      <c r="A616" s="8" t="s">
        <v>14634</v>
      </c>
      <c r="B616" s="17" t="s">
        <v>7800</v>
      </c>
      <c r="C616" s="13">
        <v>44462</v>
      </c>
      <c r="D616" s="13" t="s">
        <v>8465</v>
      </c>
      <c r="E616" s="10" t="s">
        <v>11312</v>
      </c>
      <c r="F616" s="10" t="s">
        <v>14635</v>
      </c>
      <c r="H616" s="2" t="s">
        <v>67</v>
      </c>
      <c r="L616" s="18">
        <v>1</v>
      </c>
      <c r="N616" s="13">
        <v>45051</v>
      </c>
      <c r="O616" s="29">
        <v>12</v>
      </c>
      <c r="P616" s="18" t="s">
        <v>1107</v>
      </c>
      <c r="Q616" s="18">
        <v>0</v>
      </c>
      <c r="V616" s="22">
        <f>4/5</f>
        <v>0.8</v>
      </c>
      <c r="W616" s="14" t="s">
        <v>7777</v>
      </c>
      <c r="X616" s="3">
        <v>3</v>
      </c>
      <c r="Z616" s="23">
        <v>2</v>
      </c>
      <c r="AB616" s="18">
        <f t="shared" si="18"/>
        <v>2021</v>
      </c>
      <c r="AC616" s="22">
        <f t="shared" si="19"/>
        <v>0.7</v>
      </c>
    </row>
    <row r="617" spans="1:29">
      <c r="A617" s="8" t="s">
        <v>10741</v>
      </c>
      <c r="B617" s="17" t="s">
        <v>7800</v>
      </c>
      <c r="C617" s="13">
        <v>44462</v>
      </c>
      <c r="D617" s="13" t="s">
        <v>8465</v>
      </c>
      <c r="E617" s="10" t="s">
        <v>10742</v>
      </c>
      <c r="F617" s="10" t="s">
        <v>10743</v>
      </c>
      <c r="H617" s="2" t="s">
        <v>1334</v>
      </c>
      <c r="L617" s="18">
        <v>1</v>
      </c>
      <c r="N617" s="13">
        <v>44531</v>
      </c>
      <c r="O617" s="29">
        <v>0</v>
      </c>
      <c r="P617" s="18" t="s">
        <v>1107</v>
      </c>
      <c r="Q617" s="18">
        <v>0</v>
      </c>
      <c r="V617" s="22">
        <f>3/5</f>
        <v>0.6</v>
      </c>
      <c r="W617" s="14" t="s">
        <v>7777</v>
      </c>
      <c r="X617" s="3">
        <v>2</v>
      </c>
      <c r="Z617" s="23">
        <v>7</v>
      </c>
      <c r="AB617" s="18">
        <f t="shared" si="18"/>
        <v>2021</v>
      </c>
      <c r="AC617" s="22">
        <f t="shared" si="19"/>
        <v>0.5</v>
      </c>
    </row>
    <row r="618" spans="1:29">
      <c r="A618" s="8" t="s">
        <v>14080</v>
      </c>
      <c r="B618" s="17" t="s">
        <v>7800</v>
      </c>
      <c r="C618" s="13">
        <v>44462</v>
      </c>
      <c r="D618" s="13" t="s">
        <v>8465</v>
      </c>
      <c r="E618" s="10" t="s">
        <v>14081</v>
      </c>
      <c r="F618" s="10" t="s">
        <v>14081</v>
      </c>
      <c r="H618" s="2" t="s">
        <v>149</v>
      </c>
      <c r="L618" s="18">
        <v>1</v>
      </c>
      <c r="O618" s="29">
        <v>0</v>
      </c>
      <c r="P618" s="18" t="s">
        <v>1107</v>
      </c>
      <c r="Q618" s="18">
        <v>0</v>
      </c>
      <c r="W618" s="14" t="s">
        <v>8765</v>
      </c>
      <c r="X618" s="3">
        <v>2</v>
      </c>
      <c r="AB618" s="18">
        <f t="shared" si="18"/>
        <v>2021</v>
      </c>
      <c r="AC618" s="22">
        <f t="shared" si="19"/>
        <v>0.4</v>
      </c>
    </row>
    <row r="619" spans="1:29">
      <c r="A619" s="8" t="s">
        <v>10496</v>
      </c>
      <c r="B619" s="17" t="s">
        <v>9431</v>
      </c>
      <c r="C619" s="13">
        <v>44460</v>
      </c>
      <c r="D619" s="13" t="s">
        <v>8465</v>
      </c>
      <c r="E619" s="10" t="s">
        <v>10698</v>
      </c>
      <c r="F619" s="10" t="s">
        <v>10698</v>
      </c>
      <c r="H619" s="2" t="s">
        <v>80</v>
      </c>
      <c r="L619" s="18">
        <v>1</v>
      </c>
      <c r="M619" s="14" t="s">
        <v>8462</v>
      </c>
      <c r="N619" s="13">
        <v>44479</v>
      </c>
      <c r="O619" s="29">
        <v>54.3</v>
      </c>
      <c r="P619" s="18" t="s">
        <v>14</v>
      </c>
      <c r="Q619" s="18">
        <v>0</v>
      </c>
      <c r="U619" s="22">
        <v>0.8</v>
      </c>
      <c r="V619" s="22">
        <f>3.96/5</f>
        <v>0.79200000000000004</v>
      </c>
      <c r="X619" s="3">
        <v>4</v>
      </c>
      <c r="Z619" s="23">
        <v>9.5</v>
      </c>
      <c r="AB619" s="18">
        <f t="shared" si="18"/>
        <v>2021</v>
      </c>
      <c r="AC619" s="22">
        <f t="shared" si="19"/>
        <v>0.79733333333333345</v>
      </c>
    </row>
    <row r="620" spans="1:29" ht="30">
      <c r="A620" s="8" t="s">
        <v>10490</v>
      </c>
      <c r="B620" s="17" t="s">
        <v>7800</v>
      </c>
      <c r="C620" s="13">
        <v>44460</v>
      </c>
      <c r="D620" s="13" t="s">
        <v>8465</v>
      </c>
      <c r="E620" s="10" t="s">
        <v>3178</v>
      </c>
      <c r="F620" s="10" t="s">
        <v>3178</v>
      </c>
      <c r="H620" s="2" t="s">
        <v>149</v>
      </c>
      <c r="L620" s="18">
        <v>1</v>
      </c>
      <c r="N620" s="13">
        <v>44481</v>
      </c>
      <c r="O620" s="29">
        <v>0</v>
      </c>
      <c r="P620" s="18" t="s">
        <v>1107</v>
      </c>
      <c r="Q620" s="18">
        <v>0</v>
      </c>
      <c r="V620" s="22">
        <f>4.33/5</f>
        <v>0.86599999999999999</v>
      </c>
      <c r="W620" s="14" t="s">
        <v>7777</v>
      </c>
      <c r="X620" s="3">
        <v>3</v>
      </c>
      <c r="Z620" s="23">
        <v>9.5</v>
      </c>
      <c r="AB620" s="18">
        <f t="shared" si="18"/>
        <v>2021</v>
      </c>
      <c r="AC620" s="22">
        <f t="shared" si="19"/>
        <v>0.73299999999999998</v>
      </c>
    </row>
    <row r="621" spans="1:29">
      <c r="A621" s="8" t="s">
        <v>14063</v>
      </c>
      <c r="B621" s="17" t="s">
        <v>9431</v>
      </c>
      <c r="C621" s="13">
        <v>44456</v>
      </c>
      <c r="D621" s="13" t="s">
        <v>8465</v>
      </c>
      <c r="E621" s="10" t="s">
        <v>9473</v>
      </c>
      <c r="F621" s="10" t="s">
        <v>14064</v>
      </c>
      <c r="H621" s="2" t="s">
        <v>171</v>
      </c>
      <c r="L621" s="18">
        <v>1</v>
      </c>
      <c r="N621" s="13">
        <v>45021</v>
      </c>
      <c r="O621" s="29">
        <v>0</v>
      </c>
      <c r="P621" s="18" t="s">
        <v>1107</v>
      </c>
      <c r="Q621" s="18">
        <v>0</v>
      </c>
      <c r="U621" s="22">
        <v>0.81</v>
      </c>
      <c r="V621" s="22">
        <f>3.23/5</f>
        <v>0.64600000000000002</v>
      </c>
      <c r="W621" s="14" t="s">
        <v>6072</v>
      </c>
      <c r="X621" s="3">
        <v>3</v>
      </c>
      <c r="Z621" s="23">
        <v>7</v>
      </c>
      <c r="AB621" s="18">
        <f t="shared" si="18"/>
        <v>2021</v>
      </c>
      <c r="AC621" s="22">
        <f t="shared" si="19"/>
        <v>0.68533333333333335</v>
      </c>
    </row>
    <row r="622" spans="1:29">
      <c r="A622" s="8" t="s">
        <v>12031</v>
      </c>
      <c r="B622" s="17" t="s">
        <v>7800</v>
      </c>
      <c r="C622" s="13">
        <v>44456</v>
      </c>
      <c r="D622" s="13" t="s">
        <v>8465</v>
      </c>
      <c r="E622" s="10" t="s">
        <v>12034</v>
      </c>
      <c r="F622" s="10" t="s">
        <v>12035</v>
      </c>
      <c r="H622" s="2" t="s">
        <v>1050</v>
      </c>
      <c r="L622" s="18">
        <v>1</v>
      </c>
      <c r="N622" s="13">
        <v>44730</v>
      </c>
      <c r="O622" s="29">
        <v>0</v>
      </c>
      <c r="P622" s="18" t="s">
        <v>1107</v>
      </c>
      <c r="Q622" s="18">
        <v>0</v>
      </c>
      <c r="U622" s="22">
        <v>0.74</v>
      </c>
      <c r="V622" s="22">
        <f>3.58/5</f>
        <v>0.71599999999999997</v>
      </c>
      <c r="W622" s="14" t="s">
        <v>7777</v>
      </c>
      <c r="X622" s="3">
        <v>3</v>
      </c>
      <c r="Z622" s="23">
        <v>2.5</v>
      </c>
      <c r="AB622" s="18">
        <f t="shared" si="18"/>
        <v>2021</v>
      </c>
      <c r="AC622" s="22">
        <f t="shared" si="19"/>
        <v>0.68533333333333335</v>
      </c>
    </row>
    <row r="623" spans="1:29">
      <c r="A623" s="8" t="s">
        <v>11899</v>
      </c>
      <c r="B623" s="17" t="s">
        <v>7800</v>
      </c>
      <c r="C623" s="13">
        <v>44455</v>
      </c>
      <c r="D623" s="13" t="s">
        <v>8465</v>
      </c>
      <c r="E623" s="10" t="s">
        <v>9913</v>
      </c>
      <c r="F623" s="10" t="s">
        <v>9913</v>
      </c>
      <c r="H623" s="2" t="s">
        <v>1720</v>
      </c>
      <c r="L623" s="18">
        <v>1</v>
      </c>
      <c r="N623" s="13">
        <v>44719</v>
      </c>
      <c r="O623" s="29">
        <v>0</v>
      </c>
      <c r="P623" s="18" t="s">
        <v>1107</v>
      </c>
      <c r="Q623" s="18">
        <v>0</v>
      </c>
      <c r="U623" s="22">
        <v>0.72</v>
      </c>
      <c r="V623" s="22">
        <f>3.88/5</f>
        <v>0.77600000000000002</v>
      </c>
      <c r="W623" s="14" t="s">
        <v>7777</v>
      </c>
      <c r="X623" s="3">
        <v>4</v>
      </c>
      <c r="Z623" s="23">
        <v>10.5</v>
      </c>
      <c r="AB623" s="18">
        <f t="shared" si="18"/>
        <v>2021</v>
      </c>
      <c r="AC623" s="22">
        <f t="shared" si="19"/>
        <v>0.76533333333333342</v>
      </c>
    </row>
    <row r="624" spans="1:29">
      <c r="A624" s="8" t="s">
        <v>10586</v>
      </c>
      <c r="B624" s="17" t="s">
        <v>7744</v>
      </c>
      <c r="C624" s="13">
        <v>44455</v>
      </c>
      <c r="D624" s="13" t="s">
        <v>8463</v>
      </c>
      <c r="E624" s="10" t="s">
        <v>10901</v>
      </c>
      <c r="F624" s="10" t="s">
        <v>10901</v>
      </c>
      <c r="H624" s="2" t="s">
        <v>1518</v>
      </c>
      <c r="K624" s="18">
        <v>2</v>
      </c>
      <c r="L624" s="18">
        <v>1</v>
      </c>
      <c r="M624" s="14" t="s">
        <v>8462</v>
      </c>
      <c r="N624" s="13">
        <v>44501</v>
      </c>
      <c r="O624" s="29">
        <v>39.99</v>
      </c>
      <c r="P624" s="18" t="s">
        <v>14</v>
      </c>
      <c r="Q624" s="18">
        <v>0</v>
      </c>
      <c r="U624" s="22">
        <v>0.73</v>
      </c>
      <c r="V624" s="22">
        <f>3.83/5</f>
        <v>0.76600000000000001</v>
      </c>
      <c r="X624" s="3">
        <v>3</v>
      </c>
      <c r="Z624" s="23">
        <v>16</v>
      </c>
      <c r="AB624" s="18">
        <f t="shared" si="18"/>
        <v>2021</v>
      </c>
      <c r="AC624" s="22">
        <f t="shared" si="19"/>
        <v>0.69866666666666666</v>
      </c>
    </row>
    <row r="625" spans="1:29">
      <c r="A625" s="8" t="s">
        <v>11896</v>
      </c>
      <c r="B625" s="17" t="s">
        <v>7800</v>
      </c>
      <c r="C625" s="13">
        <v>44455</v>
      </c>
      <c r="D625" s="13" t="s">
        <v>8465</v>
      </c>
      <c r="E625" s="10" t="s">
        <v>10742</v>
      </c>
      <c r="F625" s="10" t="s">
        <v>3615</v>
      </c>
      <c r="H625" s="2" t="s">
        <v>1040</v>
      </c>
      <c r="L625" s="18">
        <v>1</v>
      </c>
      <c r="N625" s="13">
        <v>44719</v>
      </c>
      <c r="O625" s="29">
        <v>0</v>
      </c>
      <c r="P625" s="18" t="s">
        <v>1107</v>
      </c>
      <c r="Q625" s="18">
        <v>0</v>
      </c>
      <c r="U625" s="22">
        <v>0.69</v>
      </c>
      <c r="V625" s="22">
        <f>3.86/5</f>
        <v>0.77200000000000002</v>
      </c>
      <c r="W625" s="14" t="s">
        <v>7777</v>
      </c>
      <c r="X625" s="3">
        <v>3</v>
      </c>
      <c r="Z625" s="23">
        <v>5.5</v>
      </c>
      <c r="AB625" s="18">
        <f t="shared" si="18"/>
        <v>2021</v>
      </c>
      <c r="AC625" s="22">
        <f t="shared" si="19"/>
        <v>0.68733333333333324</v>
      </c>
    </row>
    <row r="626" spans="1:29" ht="30">
      <c r="A626" s="8" t="s">
        <v>12087</v>
      </c>
      <c r="B626" s="17" t="s">
        <v>7800</v>
      </c>
      <c r="C626" s="13">
        <v>44455</v>
      </c>
      <c r="D626" s="13" t="s">
        <v>8465</v>
      </c>
      <c r="E626" s="10" t="s">
        <v>12088</v>
      </c>
      <c r="F626" s="10" t="s">
        <v>12089</v>
      </c>
      <c r="H626" s="2" t="s">
        <v>1061</v>
      </c>
      <c r="L626" s="18">
        <v>1</v>
      </c>
      <c r="N626" s="13">
        <v>44744</v>
      </c>
      <c r="O626" s="29">
        <v>0</v>
      </c>
      <c r="P626" s="18" t="s">
        <v>1107</v>
      </c>
      <c r="Q626" s="18">
        <v>0</v>
      </c>
      <c r="V626" s="22">
        <f>3.6/5</f>
        <v>0.72</v>
      </c>
      <c r="W626" s="14" t="s">
        <v>8765</v>
      </c>
      <c r="X626" s="3">
        <v>3</v>
      </c>
      <c r="Z626" s="23">
        <v>1</v>
      </c>
      <c r="AB626" s="18">
        <f t="shared" si="18"/>
        <v>2021</v>
      </c>
      <c r="AC626" s="22">
        <f t="shared" si="19"/>
        <v>0.65999999999999992</v>
      </c>
    </row>
    <row r="627" spans="1:29">
      <c r="A627" s="8" t="s">
        <v>11342</v>
      </c>
      <c r="B627" s="17" t="s">
        <v>7800</v>
      </c>
      <c r="C627" s="13">
        <v>44455</v>
      </c>
      <c r="D627" s="13" t="s">
        <v>8465</v>
      </c>
      <c r="E627" s="10" t="s">
        <v>11348</v>
      </c>
      <c r="F627" s="10" t="s">
        <v>11348</v>
      </c>
      <c r="H627" s="2" t="s">
        <v>255</v>
      </c>
      <c r="L627" s="18">
        <v>1</v>
      </c>
      <c r="N627" s="13">
        <v>44627</v>
      </c>
      <c r="O627" s="29">
        <v>10</v>
      </c>
      <c r="P627" s="18" t="s">
        <v>1107</v>
      </c>
      <c r="Q627" s="18">
        <v>0</v>
      </c>
      <c r="U627" s="22">
        <v>0.63</v>
      </c>
      <c r="V627" s="22">
        <f>2/5</f>
        <v>0.4</v>
      </c>
      <c r="W627" s="14" t="s">
        <v>8765</v>
      </c>
      <c r="X627" s="3">
        <v>3</v>
      </c>
      <c r="Z627" s="23">
        <v>5</v>
      </c>
      <c r="AB627" s="18">
        <f t="shared" si="18"/>
        <v>2021</v>
      </c>
      <c r="AC627" s="22">
        <f t="shared" si="19"/>
        <v>0.54333333333333333</v>
      </c>
    </row>
    <row r="628" spans="1:29">
      <c r="A628" s="8" t="s">
        <v>13649</v>
      </c>
      <c r="B628" s="17" t="s">
        <v>7800</v>
      </c>
      <c r="C628" s="13">
        <v>44454</v>
      </c>
      <c r="D628" s="13" t="s">
        <v>8465</v>
      </c>
      <c r="E628" s="10" t="s">
        <v>9249</v>
      </c>
      <c r="F628" s="10" t="s">
        <v>13650</v>
      </c>
      <c r="H628" s="2" t="s">
        <v>56</v>
      </c>
      <c r="L628" s="18">
        <v>1</v>
      </c>
      <c r="N628" s="13">
        <v>44986</v>
      </c>
      <c r="O628" s="29">
        <v>0</v>
      </c>
      <c r="P628" s="18" t="s">
        <v>1107</v>
      </c>
      <c r="Q628" s="18">
        <v>0</v>
      </c>
      <c r="U628" s="22">
        <v>0.81</v>
      </c>
      <c r="V628" s="22">
        <f>3.64/5</f>
        <v>0.72799999999999998</v>
      </c>
      <c r="W628" s="14" t="s">
        <v>7777</v>
      </c>
      <c r="X628" s="3">
        <v>3</v>
      </c>
      <c r="Z628" s="23">
        <v>6</v>
      </c>
      <c r="AB628" s="18">
        <f t="shared" si="18"/>
        <v>2021</v>
      </c>
      <c r="AC628" s="22">
        <f t="shared" si="19"/>
        <v>0.71266666666666667</v>
      </c>
    </row>
    <row r="629" spans="1:29" ht="25.5">
      <c r="A629" s="8" t="s">
        <v>14104</v>
      </c>
      <c r="B629" s="17" t="s">
        <v>7800</v>
      </c>
      <c r="C629" s="13">
        <v>44454</v>
      </c>
      <c r="D629" s="13" t="s">
        <v>8465</v>
      </c>
      <c r="E629" s="10" t="s">
        <v>14105</v>
      </c>
      <c r="F629" s="10" t="s">
        <v>10736</v>
      </c>
      <c r="G629" s="11" t="s">
        <v>14178</v>
      </c>
      <c r="H629" s="2" t="s">
        <v>13395</v>
      </c>
      <c r="L629" s="18">
        <v>1</v>
      </c>
      <c r="O629" s="29">
        <v>0</v>
      </c>
      <c r="P629" s="18" t="s">
        <v>1107</v>
      </c>
      <c r="Q629" s="18">
        <v>0</v>
      </c>
      <c r="W629" s="14" t="s">
        <v>8765</v>
      </c>
      <c r="X629" s="3">
        <v>3</v>
      </c>
      <c r="Z629" s="23">
        <v>1</v>
      </c>
      <c r="AB629" s="18">
        <f t="shared" si="18"/>
        <v>2021</v>
      </c>
      <c r="AC629" s="22">
        <f t="shared" si="19"/>
        <v>0.6</v>
      </c>
    </row>
    <row r="630" spans="1:29" ht="30">
      <c r="A630" s="8" t="s">
        <v>10703</v>
      </c>
      <c r="B630" s="17" t="s">
        <v>7744</v>
      </c>
      <c r="C630" s="13">
        <v>44453</v>
      </c>
      <c r="D630" s="13" t="s">
        <v>8465</v>
      </c>
      <c r="E630" s="10" t="s">
        <v>4009</v>
      </c>
      <c r="F630" s="10" t="s">
        <v>10724</v>
      </c>
      <c r="G630" s="11" t="s">
        <v>10725</v>
      </c>
      <c r="H630" s="2" t="s">
        <v>150</v>
      </c>
      <c r="L630" s="18">
        <v>1</v>
      </c>
      <c r="M630" s="14" t="s">
        <v>8462</v>
      </c>
      <c r="N630" s="13">
        <v>44520</v>
      </c>
      <c r="O630" s="29">
        <v>24.99</v>
      </c>
      <c r="P630" s="18" t="s">
        <v>14</v>
      </c>
      <c r="Q630" s="18">
        <v>0</v>
      </c>
      <c r="U630" s="22">
        <v>0.71</v>
      </c>
      <c r="V630" s="22">
        <f>4.14/5</f>
        <v>0.82799999999999996</v>
      </c>
      <c r="X630" s="3">
        <v>3</v>
      </c>
      <c r="Z630" s="23">
        <v>2</v>
      </c>
      <c r="AB630" s="18">
        <f t="shared" si="18"/>
        <v>2021</v>
      </c>
      <c r="AC630" s="22">
        <f t="shared" si="19"/>
        <v>0.71266666666666667</v>
      </c>
    </row>
    <row r="631" spans="1:29">
      <c r="A631" s="8" t="s">
        <v>12142</v>
      </c>
      <c r="B631" s="17" t="s">
        <v>7800</v>
      </c>
      <c r="C631" s="13">
        <v>44452</v>
      </c>
      <c r="D631" s="13" t="s">
        <v>8465</v>
      </c>
      <c r="E631" s="10" t="s">
        <v>12143</v>
      </c>
      <c r="F631" s="10" t="s">
        <v>12143</v>
      </c>
      <c r="G631" s="11" t="s">
        <v>12144</v>
      </c>
      <c r="H631" s="2" t="s">
        <v>1720</v>
      </c>
      <c r="L631" s="18">
        <v>1</v>
      </c>
      <c r="N631" s="13">
        <v>44747</v>
      </c>
      <c r="O631" s="29">
        <v>12</v>
      </c>
      <c r="P631" s="18" t="s">
        <v>1107</v>
      </c>
      <c r="Q631" s="18">
        <v>0</v>
      </c>
      <c r="U631" s="22">
        <v>0.8</v>
      </c>
      <c r="V631" s="22">
        <f>3.79/5</f>
        <v>0.75800000000000001</v>
      </c>
      <c r="W631" s="14" t="s">
        <v>7777</v>
      </c>
      <c r="X631" s="3">
        <v>2</v>
      </c>
      <c r="Z631" s="23">
        <v>26</v>
      </c>
      <c r="AB631" s="18">
        <f t="shared" si="18"/>
        <v>2021</v>
      </c>
      <c r="AC631" s="22">
        <f t="shared" si="19"/>
        <v>0.65266666666666673</v>
      </c>
    </row>
    <row r="632" spans="1:29" ht="30">
      <c r="A632" s="8" t="s">
        <v>9921</v>
      </c>
      <c r="B632" s="17" t="s">
        <v>9431</v>
      </c>
      <c r="C632" s="13">
        <v>44449</v>
      </c>
      <c r="D632" s="13" t="s">
        <v>8465</v>
      </c>
      <c r="E632" s="10" t="s">
        <v>1604</v>
      </c>
      <c r="F632" s="10" t="s">
        <v>1614</v>
      </c>
      <c r="G632" s="11" t="s">
        <v>1422</v>
      </c>
      <c r="H632" s="2" t="s">
        <v>171</v>
      </c>
      <c r="L632" s="18">
        <v>1</v>
      </c>
      <c r="M632" s="14" t="s">
        <v>8462</v>
      </c>
      <c r="N632" s="13">
        <v>44310</v>
      </c>
      <c r="O632" s="29">
        <v>65.09</v>
      </c>
      <c r="P632" s="18" t="s">
        <v>14</v>
      </c>
      <c r="Q632" s="18">
        <v>0</v>
      </c>
      <c r="U632" s="22">
        <v>0.87</v>
      </c>
      <c r="V632" s="22">
        <f>4.06/5</f>
        <v>0.81199999999999994</v>
      </c>
      <c r="X632" s="3">
        <v>4</v>
      </c>
      <c r="Z632" s="23">
        <v>43</v>
      </c>
      <c r="AB632" s="18">
        <f t="shared" si="18"/>
        <v>2021</v>
      </c>
      <c r="AC632" s="22">
        <f t="shared" si="19"/>
        <v>0.82733333333333337</v>
      </c>
    </row>
    <row r="633" spans="1:29" ht="25.5">
      <c r="A633" s="8" t="s">
        <v>10194</v>
      </c>
      <c r="B633" s="17" t="s">
        <v>7744</v>
      </c>
      <c r="C633" s="13">
        <v>44449</v>
      </c>
      <c r="D633" s="13" t="s">
        <v>8465</v>
      </c>
      <c r="E633" s="10" t="s">
        <v>86</v>
      </c>
      <c r="F633" s="10" t="s">
        <v>1138</v>
      </c>
      <c r="G633" s="11" t="s">
        <v>1516</v>
      </c>
      <c r="H633" s="2" t="s">
        <v>1142</v>
      </c>
      <c r="L633" s="18">
        <v>1</v>
      </c>
      <c r="M633" s="14" t="s">
        <v>8462</v>
      </c>
      <c r="N633" s="13">
        <v>44362</v>
      </c>
      <c r="O633" s="29">
        <v>49.99</v>
      </c>
      <c r="P633" s="18" t="s">
        <v>14</v>
      </c>
      <c r="Q633" s="18">
        <v>0</v>
      </c>
      <c r="U633" s="22">
        <v>0.76</v>
      </c>
      <c r="V633" s="22">
        <f>3.9/5</f>
        <v>0.78</v>
      </c>
      <c r="X633" s="3">
        <v>4</v>
      </c>
      <c r="Z633" s="23">
        <v>2.5</v>
      </c>
      <c r="AB633" s="18">
        <f t="shared" si="18"/>
        <v>2021</v>
      </c>
      <c r="AC633" s="22">
        <f t="shared" si="19"/>
        <v>0.77999999999999992</v>
      </c>
    </row>
    <row r="634" spans="1:29">
      <c r="A634" s="8" t="s">
        <v>13009</v>
      </c>
      <c r="B634" s="17" t="s">
        <v>7744</v>
      </c>
      <c r="C634" s="13">
        <v>44449</v>
      </c>
      <c r="D634" s="13" t="s">
        <v>8465</v>
      </c>
      <c r="E634" s="10" t="s">
        <v>231</v>
      </c>
      <c r="F634" s="10" t="s">
        <v>13010</v>
      </c>
      <c r="H634" s="2" t="s">
        <v>80</v>
      </c>
      <c r="L634" s="18">
        <v>1</v>
      </c>
      <c r="N634" s="13">
        <v>44917</v>
      </c>
      <c r="O634" s="29">
        <v>5.92</v>
      </c>
      <c r="P634" s="18" t="s">
        <v>1107</v>
      </c>
      <c r="Q634" s="18">
        <v>0</v>
      </c>
      <c r="U634" s="22">
        <v>0.78</v>
      </c>
      <c r="V634" s="22">
        <f>4/5</f>
        <v>0.8</v>
      </c>
      <c r="X634" s="3">
        <v>3</v>
      </c>
      <c r="Z634" s="23">
        <v>12.5</v>
      </c>
      <c r="AB634" s="18">
        <f t="shared" si="18"/>
        <v>2021</v>
      </c>
      <c r="AC634" s="22">
        <f t="shared" si="19"/>
        <v>0.72666666666666668</v>
      </c>
    </row>
    <row r="635" spans="1:29" ht="25.5">
      <c r="A635" s="8" t="s">
        <v>13133</v>
      </c>
      <c r="B635" s="17" t="s">
        <v>9431</v>
      </c>
      <c r="C635" s="13">
        <v>44449</v>
      </c>
      <c r="D635" s="13" t="s">
        <v>8465</v>
      </c>
      <c r="E635" s="10" t="s">
        <v>13134</v>
      </c>
      <c r="F635" s="10" t="s">
        <v>4323</v>
      </c>
      <c r="G635" s="11" t="s">
        <v>4320</v>
      </c>
      <c r="H635" s="2" t="s">
        <v>67</v>
      </c>
      <c r="L635" s="18">
        <v>1</v>
      </c>
      <c r="M635" s="14" t="s">
        <v>8462</v>
      </c>
      <c r="N635" s="13">
        <v>44926</v>
      </c>
      <c r="O635" s="29">
        <v>19.989999999999998</v>
      </c>
      <c r="P635" s="18" t="s">
        <v>14</v>
      </c>
      <c r="Q635" s="18">
        <v>0</v>
      </c>
      <c r="U635" s="22">
        <v>0.81</v>
      </c>
      <c r="V635" s="22">
        <f>3.82/5</f>
        <v>0.76400000000000001</v>
      </c>
      <c r="X635" s="3">
        <v>3</v>
      </c>
      <c r="Z635" s="23">
        <v>10</v>
      </c>
      <c r="AB635" s="18">
        <f t="shared" si="18"/>
        <v>2021</v>
      </c>
      <c r="AC635" s="22">
        <f t="shared" si="19"/>
        <v>0.72466666666666668</v>
      </c>
    </row>
    <row r="636" spans="1:29">
      <c r="A636" s="8" t="s">
        <v>10549</v>
      </c>
      <c r="B636" s="17" t="s">
        <v>7800</v>
      </c>
      <c r="C636" s="13">
        <v>44449</v>
      </c>
      <c r="D636" s="13" t="s">
        <v>8465</v>
      </c>
      <c r="E636" s="10" t="s">
        <v>10550</v>
      </c>
      <c r="F636" s="10" t="s">
        <v>10550</v>
      </c>
      <c r="H636" s="2" t="s">
        <v>67</v>
      </c>
      <c r="L636" s="18">
        <v>1</v>
      </c>
      <c r="N636" s="13">
        <v>44496</v>
      </c>
      <c r="O636" s="29">
        <v>0</v>
      </c>
      <c r="P636" s="18" t="s">
        <v>1107</v>
      </c>
      <c r="Q636" s="18">
        <v>0</v>
      </c>
      <c r="W636" s="14" t="s">
        <v>7777</v>
      </c>
      <c r="X636" s="3">
        <v>3</v>
      </c>
      <c r="Z636" s="23">
        <f>24/60</f>
        <v>0.4</v>
      </c>
      <c r="AB636" s="18">
        <f t="shared" si="18"/>
        <v>2021</v>
      </c>
      <c r="AC636" s="22">
        <f t="shared" si="19"/>
        <v>0.6</v>
      </c>
    </row>
    <row r="637" spans="1:29">
      <c r="A637" s="8" t="s">
        <v>13583</v>
      </c>
      <c r="B637" s="17" t="s">
        <v>7744</v>
      </c>
      <c r="C637" s="13">
        <v>44448</v>
      </c>
      <c r="D637" s="13" t="s">
        <v>8465</v>
      </c>
      <c r="E637" s="10" t="s">
        <v>7867</v>
      </c>
      <c r="F637" s="10" t="s">
        <v>13584</v>
      </c>
      <c r="H637" s="2" t="s">
        <v>1059</v>
      </c>
      <c r="L637" s="18">
        <v>1</v>
      </c>
      <c r="M637" s="14" t="s">
        <v>8462</v>
      </c>
      <c r="N637" s="13">
        <v>44975</v>
      </c>
      <c r="O637" s="29">
        <v>34.21</v>
      </c>
      <c r="P637" s="18" t="s">
        <v>14</v>
      </c>
      <c r="Q637" s="18">
        <v>0</v>
      </c>
      <c r="U637" s="22">
        <v>0.71</v>
      </c>
      <c r="V637" s="22">
        <f>3.45/5</f>
        <v>0.69000000000000006</v>
      </c>
      <c r="X637" s="3">
        <v>3</v>
      </c>
      <c r="Z637" s="23">
        <v>6</v>
      </c>
      <c r="AB637" s="18">
        <f t="shared" si="18"/>
        <v>2021</v>
      </c>
      <c r="AC637" s="22">
        <f t="shared" si="19"/>
        <v>0.66666666666666663</v>
      </c>
    </row>
    <row r="638" spans="1:29" ht="25.5">
      <c r="A638" s="8" t="s">
        <v>12708</v>
      </c>
      <c r="B638" s="17" t="s">
        <v>7800</v>
      </c>
      <c r="C638" s="13">
        <v>44448</v>
      </c>
      <c r="D638" s="13" t="s">
        <v>8465</v>
      </c>
      <c r="E638" s="10" t="s">
        <v>12460</v>
      </c>
      <c r="F638" s="10" t="s">
        <v>12709</v>
      </c>
      <c r="H638" s="2" t="s">
        <v>75</v>
      </c>
      <c r="L638" s="18">
        <v>1</v>
      </c>
      <c r="N638" s="13">
        <v>44832</v>
      </c>
      <c r="O638" s="29">
        <v>3.99</v>
      </c>
      <c r="P638" s="18" t="s">
        <v>1107</v>
      </c>
      <c r="Q638" s="18">
        <v>0</v>
      </c>
      <c r="V638" s="22">
        <f>2.25/5</f>
        <v>0.45</v>
      </c>
      <c r="W638" s="14" t="s">
        <v>7777</v>
      </c>
      <c r="X638" s="3">
        <v>2</v>
      </c>
      <c r="Z638" s="23">
        <v>65</v>
      </c>
      <c r="AB638" s="18">
        <f t="shared" si="18"/>
        <v>2021</v>
      </c>
      <c r="AC638" s="22">
        <f t="shared" si="19"/>
        <v>0.42500000000000004</v>
      </c>
    </row>
    <row r="639" spans="1:29" ht="25.5">
      <c r="A639" s="8" t="s">
        <v>13021</v>
      </c>
      <c r="B639" s="17" t="s">
        <v>7800</v>
      </c>
      <c r="C639" s="13">
        <v>44446</v>
      </c>
      <c r="D639" s="13" t="s">
        <v>8465</v>
      </c>
      <c r="E639" s="10" t="s">
        <v>13022</v>
      </c>
      <c r="F639" s="10" t="s">
        <v>13023</v>
      </c>
      <c r="H639" s="2" t="s">
        <v>1720</v>
      </c>
      <c r="L639" s="18">
        <v>1</v>
      </c>
      <c r="N639" s="13">
        <v>44918</v>
      </c>
      <c r="O639" s="29">
        <v>0</v>
      </c>
      <c r="P639" s="18" t="s">
        <v>1107</v>
      </c>
      <c r="Q639" s="18">
        <v>0</v>
      </c>
      <c r="U639" s="22">
        <v>0.73</v>
      </c>
      <c r="V639" s="22">
        <f>3.75/5</f>
        <v>0.75</v>
      </c>
      <c r="W639" s="14" t="s">
        <v>7777</v>
      </c>
      <c r="X639" s="3">
        <v>3</v>
      </c>
      <c r="Z639" s="23">
        <v>21.5</v>
      </c>
      <c r="AB639" s="18">
        <f t="shared" si="18"/>
        <v>2021</v>
      </c>
      <c r="AC639" s="22">
        <f t="shared" si="19"/>
        <v>0.69333333333333336</v>
      </c>
    </row>
    <row r="640" spans="1:29">
      <c r="A640" s="8" t="s">
        <v>15820</v>
      </c>
      <c r="B640" s="17" t="s">
        <v>7800</v>
      </c>
      <c r="C640" s="13">
        <v>44442</v>
      </c>
      <c r="D640" s="13" t="s">
        <v>8465</v>
      </c>
      <c r="E640" s="10" t="s">
        <v>12563</v>
      </c>
      <c r="F640" s="10" t="s">
        <v>12712</v>
      </c>
      <c r="H640" s="2" t="s">
        <v>27</v>
      </c>
      <c r="L640" s="18">
        <v>1</v>
      </c>
      <c r="N640" s="13">
        <v>44834</v>
      </c>
      <c r="O640" s="29">
        <v>4.99</v>
      </c>
      <c r="P640" s="18" t="s">
        <v>1107</v>
      </c>
      <c r="Q640" s="18">
        <v>0</v>
      </c>
      <c r="U640" s="22">
        <v>0.79</v>
      </c>
      <c r="V640" s="22">
        <f>3.25/5</f>
        <v>0.65</v>
      </c>
      <c r="W640" s="14" t="s">
        <v>7777</v>
      </c>
      <c r="X640" s="3">
        <v>3</v>
      </c>
      <c r="Z640" s="23">
        <v>2</v>
      </c>
      <c r="AB640" s="18">
        <f t="shared" si="18"/>
        <v>2021</v>
      </c>
      <c r="AC640" s="22">
        <f t="shared" si="19"/>
        <v>0.68</v>
      </c>
    </row>
    <row r="641" spans="1:29" ht="25.5">
      <c r="A641" s="8" t="s">
        <v>13445</v>
      </c>
      <c r="B641" s="17" t="s">
        <v>7800</v>
      </c>
      <c r="C641" s="13">
        <v>44441</v>
      </c>
      <c r="D641" s="13" t="s">
        <v>8465</v>
      </c>
      <c r="E641" s="10" t="s">
        <v>13446</v>
      </c>
      <c r="F641" s="10" t="s">
        <v>8346</v>
      </c>
      <c r="G641" s="11" t="s">
        <v>8347</v>
      </c>
      <c r="H641" s="2" t="s">
        <v>1720</v>
      </c>
      <c r="L641" s="18">
        <v>1</v>
      </c>
      <c r="N641" s="13">
        <v>44964</v>
      </c>
      <c r="O641" s="29">
        <v>0</v>
      </c>
      <c r="P641" s="18" t="s">
        <v>1107</v>
      </c>
      <c r="Q641" s="18">
        <v>0</v>
      </c>
      <c r="U641" s="22">
        <v>0.83</v>
      </c>
      <c r="V641" s="22">
        <f>4.32/5</f>
        <v>0.8640000000000001</v>
      </c>
      <c r="W641" s="14" t="s">
        <v>7777</v>
      </c>
      <c r="X641" s="3">
        <v>4</v>
      </c>
      <c r="Z641" s="23">
        <v>53</v>
      </c>
      <c r="AB641" s="18">
        <f t="shared" si="18"/>
        <v>2021</v>
      </c>
      <c r="AC641" s="22">
        <f t="shared" si="19"/>
        <v>0.83133333333333326</v>
      </c>
    </row>
    <row r="642" spans="1:29">
      <c r="A642" s="8" t="s">
        <v>10474</v>
      </c>
      <c r="B642" s="17" t="s">
        <v>7744</v>
      </c>
      <c r="C642" s="13">
        <v>44441</v>
      </c>
      <c r="D642" s="13" t="s">
        <v>8465</v>
      </c>
      <c r="E642" s="10" t="s">
        <v>7877</v>
      </c>
      <c r="F642" s="10" t="s">
        <v>10475</v>
      </c>
      <c r="H642" s="2" t="s">
        <v>171</v>
      </c>
      <c r="L642" s="18">
        <v>1</v>
      </c>
      <c r="N642" s="13">
        <v>44424</v>
      </c>
      <c r="O642" s="29">
        <v>13.79</v>
      </c>
      <c r="P642" s="18" t="s">
        <v>1107</v>
      </c>
      <c r="Q642" s="18">
        <v>0</v>
      </c>
      <c r="U642" s="22">
        <v>0.69</v>
      </c>
      <c r="V642" s="22">
        <f>3.67/5</f>
        <v>0.73399999999999999</v>
      </c>
      <c r="X642" s="3">
        <v>3</v>
      </c>
      <c r="Z642" s="23">
        <v>13.5</v>
      </c>
      <c r="AB642" s="18">
        <f t="shared" ref="AB642:AB705" si="20">IFERROR(YEAR(C642), "Early Access")</f>
        <v>2021</v>
      </c>
      <c r="AC642" s="22">
        <f t="shared" ref="AC642:AC705" si="21">AVERAGE(T642, U642, V642, IF(ISBLANK(X642), X642, X642/5))</f>
        <v>0.67466666666666664</v>
      </c>
    </row>
    <row r="643" spans="1:29" ht="30">
      <c r="A643" s="8" t="s">
        <v>10577</v>
      </c>
      <c r="B643" s="17" t="s">
        <v>7744</v>
      </c>
      <c r="C643" s="13">
        <v>44441</v>
      </c>
      <c r="D643" s="13" t="s">
        <v>9335</v>
      </c>
      <c r="E643" s="10" t="s">
        <v>11050</v>
      </c>
      <c r="F643" s="10" t="s">
        <v>1087</v>
      </c>
      <c r="G643" s="11" t="s">
        <v>9190</v>
      </c>
      <c r="H643" s="2" t="s">
        <v>1377</v>
      </c>
      <c r="K643" s="18">
        <v>2</v>
      </c>
      <c r="L643" s="18">
        <v>1</v>
      </c>
      <c r="M643" s="14" t="s">
        <v>8462</v>
      </c>
      <c r="N643" s="13">
        <v>44499</v>
      </c>
      <c r="O643" s="29">
        <v>59.99</v>
      </c>
      <c r="P643" s="18" t="s">
        <v>14</v>
      </c>
      <c r="Q643" s="18">
        <v>0</v>
      </c>
      <c r="V643" s="22">
        <f>3.33/5</f>
        <v>0.66600000000000004</v>
      </c>
      <c r="X643" s="3">
        <v>2</v>
      </c>
      <c r="Z643" s="23">
        <v>35</v>
      </c>
      <c r="AB643" s="18">
        <f t="shared" si="20"/>
        <v>2021</v>
      </c>
      <c r="AC643" s="22">
        <f t="shared" si="21"/>
        <v>0.53300000000000003</v>
      </c>
    </row>
    <row r="644" spans="1:29">
      <c r="A644" s="8" t="s">
        <v>13405</v>
      </c>
      <c r="B644" s="17" t="s">
        <v>7800</v>
      </c>
      <c r="C644" s="13">
        <v>44440</v>
      </c>
      <c r="D644" s="13" t="s">
        <v>8465</v>
      </c>
      <c r="E644" s="10" t="s">
        <v>11312</v>
      </c>
      <c r="F644" s="10" t="s">
        <v>13406</v>
      </c>
      <c r="H644" s="2" t="s">
        <v>67</v>
      </c>
      <c r="L644" s="18">
        <v>1</v>
      </c>
      <c r="N644" s="13">
        <v>44595</v>
      </c>
      <c r="O644" s="29">
        <v>0</v>
      </c>
      <c r="P644" s="18" t="s">
        <v>1107</v>
      </c>
      <c r="Q644" s="18">
        <v>0</v>
      </c>
      <c r="U644" s="22">
        <v>0.7</v>
      </c>
      <c r="V644" s="22">
        <f>3.05/5</f>
        <v>0.61</v>
      </c>
      <c r="W644" s="14" t="s">
        <v>7777</v>
      </c>
      <c r="X644" s="3">
        <v>3</v>
      </c>
      <c r="Z644" s="23">
        <v>6</v>
      </c>
      <c r="AB644" s="18">
        <f t="shared" si="20"/>
        <v>2021</v>
      </c>
      <c r="AC644" s="22">
        <f t="shared" si="21"/>
        <v>0.63666666666666671</v>
      </c>
    </row>
    <row r="645" spans="1:29">
      <c r="A645" s="8" t="s">
        <v>12141</v>
      </c>
      <c r="B645" s="17" t="s">
        <v>7800</v>
      </c>
      <c r="C645" s="13">
        <v>44440</v>
      </c>
      <c r="D645" s="13" t="s">
        <v>8465</v>
      </c>
      <c r="E645" s="10" t="s">
        <v>4238</v>
      </c>
      <c r="F645" s="10" t="s">
        <v>4238</v>
      </c>
      <c r="H645" s="2" t="s">
        <v>2820</v>
      </c>
      <c r="L645" s="18">
        <v>1</v>
      </c>
      <c r="O645" s="29">
        <v>0</v>
      </c>
      <c r="P645" s="18" t="s">
        <v>1107</v>
      </c>
      <c r="Q645" s="18">
        <v>0</v>
      </c>
      <c r="V645" s="22">
        <f>3.5/5</f>
        <v>0.7</v>
      </c>
      <c r="W645" s="14" t="s">
        <v>8765</v>
      </c>
      <c r="X645" s="3">
        <v>2</v>
      </c>
      <c r="Z645" s="23">
        <v>7</v>
      </c>
      <c r="AB645" s="18">
        <f t="shared" si="20"/>
        <v>2021</v>
      </c>
      <c r="AC645" s="22">
        <f t="shared" si="21"/>
        <v>0.55000000000000004</v>
      </c>
    </row>
    <row r="646" spans="1:29" ht="38.25">
      <c r="A646" s="8" t="s">
        <v>13723</v>
      </c>
      <c r="B646" s="17" t="s">
        <v>7760</v>
      </c>
      <c r="C646" s="13">
        <v>44440</v>
      </c>
      <c r="D646" s="13" t="s">
        <v>8465</v>
      </c>
      <c r="E646" s="10" t="s">
        <v>10018</v>
      </c>
      <c r="F646" s="10" t="s">
        <v>15062</v>
      </c>
      <c r="G646" s="11" t="s">
        <v>11915</v>
      </c>
      <c r="H646" s="2" t="s">
        <v>75</v>
      </c>
      <c r="L646" s="18">
        <v>1</v>
      </c>
      <c r="M646" s="14" t="s">
        <v>8462</v>
      </c>
      <c r="N646" s="13">
        <v>45002</v>
      </c>
      <c r="O646" s="29">
        <v>38.01</v>
      </c>
      <c r="P646" s="18" t="s">
        <v>14</v>
      </c>
      <c r="Q646" s="18">
        <v>0</v>
      </c>
      <c r="V646" s="22">
        <f>3.5/5</f>
        <v>0.7</v>
      </c>
      <c r="X646" s="3">
        <v>2</v>
      </c>
      <c r="Z646" s="23">
        <v>9.5</v>
      </c>
      <c r="AB646" s="18">
        <f t="shared" si="20"/>
        <v>2021</v>
      </c>
      <c r="AC646" s="22">
        <f t="shared" si="21"/>
        <v>0.55000000000000004</v>
      </c>
    </row>
    <row r="647" spans="1:29">
      <c r="A647" s="8" t="s">
        <v>10754</v>
      </c>
      <c r="B647" s="17" t="s">
        <v>7800</v>
      </c>
      <c r="C647" s="13">
        <v>44439</v>
      </c>
      <c r="D647" s="13" t="s">
        <v>8465</v>
      </c>
      <c r="E647" s="10" t="s">
        <v>9008</v>
      </c>
      <c r="F647" s="10" t="s">
        <v>10755</v>
      </c>
      <c r="H647" s="2" t="s">
        <v>67</v>
      </c>
      <c r="L647" s="18">
        <v>1</v>
      </c>
      <c r="N647" s="13">
        <v>44533</v>
      </c>
      <c r="O647" s="29">
        <v>3.33</v>
      </c>
      <c r="P647" s="18" t="s">
        <v>1107</v>
      </c>
      <c r="Q647" s="18">
        <v>0</v>
      </c>
      <c r="U647" s="22">
        <v>0.77</v>
      </c>
      <c r="V647" s="22">
        <f>3.5/5</f>
        <v>0.7</v>
      </c>
      <c r="W647" s="14" t="s">
        <v>7777</v>
      </c>
      <c r="X647" s="3">
        <v>3</v>
      </c>
      <c r="Z647" s="23">
        <v>4</v>
      </c>
      <c r="AB647" s="18">
        <f t="shared" si="20"/>
        <v>2021</v>
      </c>
      <c r="AC647" s="22">
        <f t="shared" si="21"/>
        <v>0.69</v>
      </c>
    </row>
    <row r="648" spans="1:29" ht="89.25">
      <c r="A648" s="8" t="s">
        <v>9946</v>
      </c>
      <c r="B648" s="17" t="s">
        <v>7744</v>
      </c>
      <c r="C648" s="13">
        <v>44439</v>
      </c>
      <c r="D648" s="13" t="s">
        <v>8465</v>
      </c>
      <c r="E648" s="10" t="s">
        <v>1062</v>
      </c>
      <c r="F648" s="10" t="s">
        <v>2285</v>
      </c>
      <c r="G648" s="11" t="s">
        <v>12384</v>
      </c>
      <c r="H648" s="2" t="s">
        <v>6510</v>
      </c>
      <c r="L648" s="18">
        <v>1</v>
      </c>
      <c r="M648" s="14" t="s">
        <v>8462</v>
      </c>
      <c r="N648" s="13">
        <v>44277</v>
      </c>
      <c r="O648" s="29">
        <v>59.99</v>
      </c>
      <c r="P648" s="18" t="s">
        <v>14</v>
      </c>
      <c r="Q648" s="18">
        <v>0</v>
      </c>
      <c r="U648" s="22">
        <v>0.72</v>
      </c>
      <c r="V648" s="22">
        <f>3.58/5</f>
        <v>0.71599999999999997</v>
      </c>
      <c r="W648" s="14" t="s">
        <v>10168</v>
      </c>
      <c r="X648" s="3">
        <v>3</v>
      </c>
      <c r="Z648" s="23">
        <f>45+28</f>
        <v>73</v>
      </c>
      <c r="AB648" s="18">
        <f t="shared" si="20"/>
        <v>2021</v>
      </c>
      <c r="AC648" s="22">
        <f t="shared" si="21"/>
        <v>0.67866666666666664</v>
      </c>
    </row>
    <row r="649" spans="1:29" ht="30">
      <c r="A649" s="8" t="s">
        <v>9919</v>
      </c>
      <c r="B649" s="17" t="s">
        <v>7744</v>
      </c>
      <c r="C649" s="13">
        <v>44435</v>
      </c>
      <c r="D649" s="13" t="s">
        <v>8465</v>
      </c>
      <c r="E649" s="10" t="s">
        <v>1505</v>
      </c>
      <c r="F649" s="10" t="s">
        <v>1505</v>
      </c>
      <c r="G649" s="11" t="s">
        <v>1012</v>
      </c>
      <c r="H649" s="2" t="s">
        <v>1059</v>
      </c>
      <c r="L649" s="18">
        <v>1</v>
      </c>
      <c r="M649" s="14" t="s">
        <v>8462</v>
      </c>
      <c r="N649" s="13">
        <v>43627</v>
      </c>
      <c r="O649" s="29">
        <v>59.99</v>
      </c>
      <c r="P649" s="18" t="s">
        <v>14</v>
      </c>
      <c r="Q649" s="18">
        <v>0</v>
      </c>
      <c r="U649" s="22">
        <v>0.75</v>
      </c>
      <c r="V649" s="22">
        <f>3.91/5</f>
        <v>0.78200000000000003</v>
      </c>
      <c r="X649" s="3">
        <v>4</v>
      </c>
      <c r="Z649" s="23">
        <v>12.5</v>
      </c>
      <c r="AB649" s="18">
        <f t="shared" si="20"/>
        <v>2021</v>
      </c>
      <c r="AC649" s="22">
        <f t="shared" si="21"/>
        <v>0.77733333333333332</v>
      </c>
    </row>
    <row r="650" spans="1:29">
      <c r="A650" s="8" t="s">
        <v>10816</v>
      </c>
      <c r="B650" s="17" t="s">
        <v>9431</v>
      </c>
      <c r="C650" s="13">
        <v>44435</v>
      </c>
      <c r="D650" s="13" t="s">
        <v>8465</v>
      </c>
      <c r="E650" s="10" t="s">
        <v>7877</v>
      </c>
      <c r="F650" s="10" t="s">
        <v>10817</v>
      </c>
      <c r="H650" s="2" t="s">
        <v>1061</v>
      </c>
      <c r="L650" s="18">
        <v>1</v>
      </c>
      <c r="M650" s="14" t="s">
        <v>8462</v>
      </c>
      <c r="N650" s="13">
        <v>44552</v>
      </c>
      <c r="O650" s="29">
        <v>27.15</v>
      </c>
      <c r="P650" s="18" t="s">
        <v>14</v>
      </c>
      <c r="Q650" s="18">
        <v>0</v>
      </c>
      <c r="U650" s="22">
        <v>0.72</v>
      </c>
      <c r="V650" s="22">
        <f>4.06/5</f>
        <v>0.81199999999999994</v>
      </c>
      <c r="X650" s="3">
        <v>4</v>
      </c>
      <c r="Z650" s="23">
        <v>8.5</v>
      </c>
      <c r="AB650" s="18">
        <f t="shared" si="20"/>
        <v>2021</v>
      </c>
      <c r="AC650" s="22">
        <f t="shared" si="21"/>
        <v>0.77733333333333332</v>
      </c>
    </row>
    <row r="651" spans="1:29" ht="25.5">
      <c r="A651" s="8" t="s">
        <v>13565</v>
      </c>
      <c r="B651" s="17" t="s">
        <v>7744</v>
      </c>
      <c r="C651" s="13">
        <v>44435</v>
      </c>
      <c r="D651" s="13" t="s">
        <v>8465</v>
      </c>
      <c r="E651" s="10" t="s">
        <v>13566</v>
      </c>
      <c r="F651" s="10" t="s">
        <v>13566</v>
      </c>
      <c r="H651" s="2" t="s">
        <v>80</v>
      </c>
      <c r="L651" s="18">
        <v>1</v>
      </c>
      <c r="M651" s="14" t="s">
        <v>8462</v>
      </c>
      <c r="N651" s="13">
        <v>44973</v>
      </c>
      <c r="O651" s="29">
        <v>32.58</v>
      </c>
      <c r="P651" s="18" t="s">
        <v>14</v>
      </c>
      <c r="Q651" s="18">
        <v>0</v>
      </c>
      <c r="U651" s="22">
        <v>0.59</v>
      </c>
      <c r="V651" s="22">
        <f>2.57/5</f>
        <v>0.51400000000000001</v>
      </c>
      <c r="X651" s="3">
        <v>2</v>
      </c>
      <c r="Z651" s="23">
        <v>35</v>
      </c>
      <c r="AB651" s="18">
        <f t="shared" si="20"/>
        <v>2021</v>
      </c>
      <c r="AC651" s="22">
        <f t="shared" si="21"/>
        <v>0.5013333333333333</v>
      </c>
    </row>
    <row r="652" spans="1:29">
      <c r="A652" s="8" t="s">
        <v>15552</v>
      </c>
      <c r="B652" s="17" t="s">
        <v>7800</v>
      </c>
      <c r="C652" s="13">
        <v>44435</v>
      </c>
      <c r="D652" s="13" t="s">
        <v>8465</v>
      </c>
      <c r="E652" s="10" t="s">
        <v>15553</v>
      </c>
      <c r="F652" s="10" t="s">
        <v>15554</v>
      </c>
      <c r="H652" s="2" t="s">
        <v>1061</v>
      </c>
      <c r="L652" s="18">
        <v>1</v>
      </c>
      <c r="N652" s="13">
        <v>45159</v>
      </c>
      <c r="O652" s="29">
        <v>2.2000000000000002</v>
      </c>
      <c r="P652" s="18" t="s">
        <v>1107</v>
      </c>
      <c r="Q652" s="18">
        <v>0</v>
      </c>
      <c r="U652" s="22">
        <v>0.74</v>
      </c>
      <c r="V652" s="22">
        <f>3.75/5</f>
        <v>0.75</v>
      </c>
      <c r="W652" s="14" t="s">
        <v>7777</v>
      </c>
      <c r="X652" s="3">
        <v>2</v>
      </c>
      <c r="Z652" s="23">
        <v>5</v>
      </c>
      <c r="AB652" s="18">
        <f t="shared" si="20"/>
        <v>2021</v>
      </c>
      <c r="AC652" s="22">
        <f t="shared" si="21"/>
        <v>0.63</v>
      </c>
    </row>
    <row r="653" spans="1:29" ht="25.5">
      <c r="A653" s="8" t="s">
        <v>11979</v>
      </c>
      <c r="B653" s="17" t="s">
        <v>7800</v>
      </c>
      <c r="C653" s="13">
        <v>44434</v>
      </c>
      <c r="D653" s="13" t="s">
        <v>8465</v>
      </c>
      <c r="E653" s="10" t="s">
        <v>11356</v>
      </c>
      <c r="F653" s="10" t="s">
        <v>11356</v>
      </c>
      <c r="G653" s="11" t="s">
        <v>11357</v>
      </c>
      <c r="H653" s="2" t="s">
        <v>1057</v>
      </c>
      <c r="L653" s="18">
        <v>1</v>
      </c>
      <c r="N653" s="13">
        <v>44723</v>
      </c>
      <c r="O653" s="29">
        <v>0</v>
      </c>
      <c r="P653" s="18" t="s">
        <v>1107</v>
      </c>
      <c r="Q653" s="18">
        <v>0</v>
      </c>
      <c r="W653" s="14" t="s">
        <v>7777</v>
      </c>
      <c r="X653" s="3">
        <v>2</v>
      </c>
      <c r="Z653" s="23">
        <f>49/60</f>
        <v>0.81666666666666665</v>
      </c>
      <c r="AB653" s="18">
        <f t="shared" si="20"/>
        <v>2021</v>
      </c>
      <c r="AC653" s="22">
        <f t="shared" si="21"/>
        <v>0.4</v>
      </c>
    </row>
    <row r="654" spans="1:29">
      <c r="A654" s="8" t="s">
        <v>15400</v>
      </c>
      <c r="B654" s="17" t="s">
        <v>7800</v>
      </c>
      <c r="C654" s="13">
        <v>44434</v>
      </c>
      <c r="D654" s="13" t="s">
        <v>8465</v>
      </c>
      <c r="E654" s="10" t="s">
        <v>6967</v>
      </c>
      <c r="F654" s="10" t="s">
        <v>6967</v>
      </c>
      <c r="G654" s="11" t="s">
        <v>15400</v>
      </c>
      <c r="H654" s="2" t="s">
        <v>67</v>
      </c>
      <c r="I654" s="18">
        <v>1</v>
      </c>
      <c r="L654" s="18">
        <v>1</v>
      </c>
      <c r="N654" s="13">
        <v>45128</v>
      </c>
      <c r="O654" s="29">
        <v>20</v>
      </c>
      <c r="P654" s="18" t="s">
        <v>1107</v>
      </c>
      <c r="Q654" s="18">
        <v>0</v>
      </c>
      <c r="U654" s="22">
        <v>0.78</v>
      </c>
      <c r="V654" s="22">
        <f>3.18/5</f>
        <v>0.63600000000000001</v>
      </c>
      <c r="W654" s="14" t="s">
        <v>7777</v>
      </c>
      <c r="X654" s="3">
        <v>3</v>
      </c>
      <c r="Z654" s="23">
        <v>5.5</v>
      </c>
      <c r="AB654" s="18">
        <f t="shared" si="20"/>
        <v>2021</v>
      </c>
      <c r="AC654" s="22">
        <f t="shared" si="21"/>
        <v>0.67200000000000004</v>
      </c>
    </row>
    <row r="655" spans="1:29" ht="30">
      <c r="A655" s="8" t="s">
        <v>12845</v>
      </c>
      <c r="B655" s="17" t="s">
        <v>9440</v>
      </c>
      <c r="C655" s="13">
        <v>44433</v>
      </c>
      <c r="D655" s="13" t="s">
        <v>8465</v>
      </c>
      <c r="E655" s="10" t="s">
        <v>1604</v>
      </c>
      <c r="F655" s="10" t="s">
        <v>4337</v>
      </c>
      <c r="G655" s="11" t="s">
        <v>4336</v>
      </c>
      <c r="H655" s="2" t="s">
        <v>27</v>
      </c>
      <c r="L655" s="18">
        <v>1</v>
      </c>
      <c r="M655" s="14" t="s">
        <v>8462</v>
      </c>
      <c r="N655" s="13">
        <v>44857</v>
      </c>
      <c r="O655" s="29">
        <v>15.21</v>
      </c>
      <c r="P655" s="18" t="s">
        <v>14</v>
      </c>
      <c r="Q655" s="18">
        <v>0</v>
      </c>
      <c r="U655" s="22">
        <v>0.79</v>
      </c>
      <c r="V655" s="22">
        <f>4.17/5</f>
        <v>0.83399999999999996</v>
      </c>
      <c r="X655" s="3">
        <v>3</v>
      </c>
      <c r="Z655" s="23">
        <v>5.5</v>
      </c>
      <c r="AB655" s="18">
        <f t="shared" si="20"/>
        <v>2021</v>
      </c>
      <c r="AC655" s="22">
        <f t="shared" si="21"/>
        <v>0.7413333333333334</v>
      </c>
    </row>
    <row r="656" spans="1:29" ht="25.5">
      <c r="A656" s="8" t="s">
        <v>15574</v>
      </c>
      <c r="B656" s="17" t="s">
        <v>7800</v>
      </c>
      <c r="C656" s="13">
        <v>44433</v>
      </c>
      <c r="D656" s="13" t="s">
        <v>8465</v>
      </c>
      <c r="E656" s="10" t="s">
        <v>6112</v>
      </c>
      <c r="F656" s="10" t="s">
        <v>15575</v>
      </c>
      <c r="H656" s="2" t="s">
        <v>78</v>
      </c>
      <c r="L656" s="18">
        <v>1</v>
      </c>
      <c r="N656" s="13">
        <v>45161</v>
      </c>
      <c r="O656" s="29">
        <v>1.6</v>
      </c>
      <c r="P656" s="18" t="s">
        <v>1107</v>
      </c>
      <c r="Q656" s="18">
        <v>0</v>
      </c>
      <c r="U656" s="22">
        <v>0.73</v>
      </c>
      <c r="V656" s="22">
        <f>3.63/5</f>
        <v>0.72599999999999998</v>
      </c>
      <c r="W656" s="14" t="s">
        <v>7777</v>
      </c>
      <c r="X656" s="3">
        <v>3</v>
      </c>
      <c r="Z656" s="23">
        <v>1</v>
      </c>
      <c r="AB656" s="18">
        <f t="shared" si="20"/>
        <v>2021</v>
      </c>
      <c r="AC656" s="22">
        <f t="shared" si="21"/>
        <v>0.68533333333333335</v>
      </c>
    </row>
    <row r="657" spans="1:29">
      <c r="A657" s="8" t="s">
        <v>12222</v>
      </c>
      <c r="B657" s="17" t="s">
        <v>7800</v>
      </c>
      <c r="C657" s="13">
        <v>44427</v>
      </c>
      <c r="D657" s="13" t="s">
        <v>8465</v>
      </c>
      <c r="E657" s="10" t="s">
        <v>3074</v>
      </c>
      <c r="F657" s="10" t="s">
        <v>12223</v>
      </c>
      <c r="H657" s="2" t="s">
        <v>151</v>
      </c>
      <c r="L657" s="18">
        <v>1</v>
      </c>
      <c r="N657" s="13">
        <v>44774</v>
      </c>
      <c r="O657" s="29">
        <v>0</v>
      </c>
      <c r="P657" s="18" t="s">
        <v>1107</v>
      </c>
      <c r="Q657" s="18">
        <v>0</v>
      </c>
      <c r="U657" s="22">
        <v>0.68</v>
      </c>
      <c r="V657" s="22">
        <f>3/5</f>
        <v>0.6</v>
      </c>
      <c r="W657" s="14" t="s">
        <v>7799</v>
      </c>
      <c r="X657" s="3">
        <v>2</v>
      </c>
      <c r="Z657" s="23">
        <v>4</v>
      </c>
      <c r="AB657" s="18">
        <f t="shared" si="20"/>
        <v>2021</v>
      </c>
      <c r="AC657" s="22">
        <f t="shared" si="21"/>
        <v>0.56000000000000005</v>
      </c>
    </row>
    <row r="658" spans="1:29" ht="30">
      <c r="A658" s="8" t="s">
        <v>6588</v>
      </c>
      <c r="B658" s="17" t="s">
        <v>7744</v>
      </c>
      <c r="C658" s="13">
        <v>44427</v>
      </c>
      <c r="D658" s="13" t="s">
        <v>8465</v>
      </c>
      <c r="E658" s="10" t="s">
        <v>1690</v>
      </c>
      <c r="F658" s="10" t="s">
        <v>8722</v>
      </c>
      <c r="G658" s="11" t="s">
        <v>6588</v>
      </c>
      <c r="H658" s="2" t="s">
        <v>1050</v>
      </c>
      <c r="L658" s="18">
        <v>1</v>
      </c>
      <c r="M658" s="14" t="s">
        <v>8462</v>
      </c>
      <c r="N658" s="13">
        <v>44769</v>
      </c>
      <c r="O658" s="29">
        <v>29.86</v>
      </c>
      <c r="P658" s="18" t="s">
        <v>14</v>
      </c>
      <c r="Q658" s="18">
        <v>0</v>
      </c>
      <c r="U658" s="22">
        <v>0.87</v>
      </c>
      <c r="V658" s="22">
        <f>4.26/5</f>
        <v>0.85199999999999998</v>
      </c>
      <c r="W658" s="14" t="s">
        <v>1134</v>
      </c>
      <c r="X658" s="3">
        <v>3</v>
      </c>
      <c r="Z658" s="23">
        <v>5.5</v>
      </c>
      <c r="AB658" s="18">
        <f t="shared" si="20"/>
        <v>2021</v>
      </c>
      <c r="AC658" s="22">
        <f t="shared" si="21"/>
        <v>0.77400000000000002</v>
      </c>
    </row>
    <row r="659" spans="1:29" ht="30">
      <c r="A659" s="8" t="s">
        <v>13019</v>
      </c>
      <c r="B659" s="17" t="s">
        <v>7800</v>
      </c>
      <c r="C659" s="13">
        <v>44425</v>
      </c>
      <c r="D659" s="13" t="s">
        <v>8465</v>
      </c>
      <c r="E659" s="10" t="s">
        <v>1634</v>
      </c>
      <c r="F659" s="10" t="s">
        <v>13020</v>
      </c>
      <c r="H659" s="2" t="s">
        <v>151</v>
      </c>
      <c r="L659" s="18">
        <v>1</v>
      </c>
      <c r="N659" s="13">
        <v>44918</v>
      </c>
      <c r="O659" s="29">
        <v>0</v>
      </c>
      <c r="P659" s="18" t="s">
        <v>1107</v>
      </c>
      <c r="Q659" s="18">
        <v>0</v>
      </c>
      <c r="U659" s="22">
        <v>0.72</v>
      </c>
      <c r="V659" s="22">
        <f>3.44/5</f>
        <v>0.68799999999999994</v>
      </c>
      <c r="W659" s="14" t="s">
        <v>7778</v>
      </c>
      <c r="X659" s="3">
        <v>3</v>
      </c>
      <c r="Z659" s="23">
        <v>6.5</v>
      </c>
      <c r="AB659" s="18">
        <f t="shared" si="20"/>
        <v>2021</v>
      </c>
      <c r="AC659" s="22">
        <f t="shared" si="21"/>
        <v>0.66933333333333334</v>
      </c>
    </row>
    <row r="660" spans="1:29">
      <c r="A660" s="8" t="s">
        <v>12700</v>
      </c>
      <c r="B660" s="17" t="s">
        <v>7800</v>
      </c>
      <c r="C660" s="13">
        <v>44424</v>
      </c>
      <c r="D660" s="13" t="s">
        <v>8465</v>
      </c>
      <c r="E660" s="10" t="s">
        <v>11047</v>
      </c>
      <c r="F660" s="10" t="s">
        <v>12701</v>
      </c>
      <c r="H660" s="2" t="s">
        <v>67</v>
      </c>
      <c r="L660" s="18">
        <v>1</v>
      </c>
      <c r="N660" s="13">
        <v>44831</v>
      </c>
      <c r="O660" s="29">
        <v>7.33</v>
      </c>
      <c r="P660" s="18" t="s">
        <v>1107</v>
      </c>
      <c r="Q660" s="18">
        <v>0</v>
      </c>
      <c r="U660" s="22">
        <v>0.79</v>
      </c>
      <c r="V660" s="22">
        <f>3.45/5</f>
        <v>0.69000000000000006</v>
      </c>
      <c r="W660" s="14" t="s">
        <v>7777</v>
      </c>
      <c r="X660" s="3">
        <v>3</v>
      </c>
      <c r="Z660" s="23">
        <v>7.5</v>
      </c>
      <c r="AB660" s="18">
        <f t="shared" si="20"/>
        <v>2021</v>
      </c>
      <c r="AC660" s="22">
        <f t="shared" si="21"/>
        <v>0.69333333333333336</v>
      </c>
    </row>
    <row r="661" spans="1:29" ht="38.25">
      <c r="A661" s="8" t="s">
        <v>13600</v>
      </c>
      <c r="B661" s="17" t="s">
        <v>7744</v>
      </c>
      <c r="C661" s="13">
        <v>44421</v>
      </c>
      <c r="D661" s="13" t="s">
        <v>8465</v>
      </c>
      <c r="E661" s="10" t="s">
        <v>7971</v>
      </c>
      <c r="F661" s="10" t="s">
        <v>13601</v>
      </c>
      <c r="H661" s="2" t="s">
        <v>149</v>
      </c>
      <c r="L661" s="18">
        <v>1</v>
      </c>
      <c r="M661" s="14" t="s">
        <v>8462</v>
      </c>
      <c r="N661" s="13">
        <v>44980</v>
      </c>
      <c r="O661" s="29">
        <v>37.92</v>
      </c>
      <c r="P661" s="18" t="s">
        <v>14</v>
      </c>
      <c r="Q661" s="18">
        <v>0</v>
      </c>
      <c r="U661" s="22">
        <v>0.57999999999999996</v>
      </c>
      <c r="V661" s="22">
        <f>3.7/5</f>
        <v>0.74</v>
      </c>
      <c r="X661" s="3">
        <v>2</v>
      </c>
      <c r="Z661" s="23">
        <v>13</v>
      </c>
      <c r="AB661" s="18">
        <f t="shared" si="20"/>
        <v>2021</v>
      </c>
      <c r="AC661" s="22">
        <f t="shared" si="21"/>
        <v>0.57333333333333325</v>
      </c>
    </row>
    <row r="662" spans="1:29" ht="30">
      <c r="A662" s="8" t="s">
        <v>10578</v>
      </c>
      <c r="B662" s="17" t="s">
        <v>7744</v>
      </c>
      <c r="C662" s="13">
        <v>44419</v>
      </c>
      <c r="D662" s="13" t="s">
        <v>8465</v>
      </c>
      <c r="E662" s="10" t="s">
        <v>1153</v>
      </c>
      <c r="F662" s="10" t="s">
        <v>1153</v>
      </c>
      <c r="G662" s="11" t="s">
        <v>1117</v>
      </c>
      <c r="H662" s="2" t="s">
        <v>151</v>
      </c>
      <c r="L662" s="18">
        <v>1</v>
      </c>
      <c r="M662" s="14" t="s">
        <v>8462</v>
      </c>
      <c r="N662" s="13">
        <v>44499</v>
      </c>
      <c r="O662" s="29">
        <v>49.99</v>
      </c>
      <c r="P662" s="18" t="s">
        <v>14</v>
      </c>
      <c r="Q662" s="18">
        <v>0</v>
      </c>
      <c r="V662" s="22">
        <f>4.3/5</f>
        <v>0.86</v>
      </c>
      <c r="W662" s="14" t="s">
        <v>1134</v>
      </c>
      <c r="X662" s="3">
        <v>4</v>
      </c>
      <c r="Z662" s="23">
        <f>10.5+8.5</f>
        <v>19</v>
      </c>
      <c r="AB662" s="18">
        <f t="shared" si="20"/>
        <v>2021</v>
      </c>
      <c r="AC662" s="22">
        <f t="shared" si="21"/>
        <v>0.83000000000000007</v>
      </c>
    </row>
    <row r="663" spans="1:29">
      <c r="A663" s="8" t="s">
        <v>15046</v>
      </c>
      <c r="B663" s="17" t="s">
        <v>7800</v>
      </c>
      <c r="C663" s="13">
        <v>44419</v>
      </c>
      <c r="D663" s="13" t="s">
        <v>8465</v>
      </c>
      <c r="E663" s="10" t="s">
        <v>4478</v>
      </c>
      <c r="F663" s="10" t="s">
        <v>4478</v>
      </c>
      <c r="H663" s="2" t="s">
        <v>1518</v>
      </c>
      <c r="L663" s="18">
        <v>1</v>
      </c>
      <c r="N663" s="13">
        <v>45084</v>
      </c>
      <c r="O663" s="29">
        <v>0</v>
      </c>
      <c r="P663" s="18" t="s">
        <v>1107</v>
      </c>
      <c r="Q663" s="18">
        <v>0</v>
      </c>
      <c r="U663" s="22">
        <v>0.7</v>
      </c>
      <c r="V663" s="22">
        <f>2.45/5</f>
        <v>0.49000000000000005</v>
      </c>
      <c r="W663" s="14" t="s">
        <v>7777</v>
      </c>
      <c r="X663" s="3">
        <v>3</v>
      </c>
      <c r="Z663" s="23">
        <v>5</v>
      </c>
      <c r="AB663" s="18">
        <f t="shared" si="20"/>
        <v>2021</v>
      </c>
      <c r="AC663" s="22">
        <f t="shared" si="21"/>
        <v>0.59666666666666668</v>
      </c>
    </row>
    <row r="664" spans="1:29" ht="25.5">
      <c r="A664" s="8" t="s">
        <v>10701</v>
      </c>
      <c r="B664" s="17" t="s">
        <v>7744</v>
      </c>
      <c r="C664" s="13">
        <v>44418</v>
      </c>
      <c r="D664" s="13" t="s">
        <v>8465</v>
      </c>
      <c r="E664" s="10" t="s">
        <v>1534</v>
      </c>
      <c r="F664" s="10" t="s">
        <v>10744</v>
      </c>
      <c r="G664" s="11" t="s">
        <v>10745</v>
      </c>
      <c r="H664" s="2" t="s">
        <v>3411</v>
      </c>
      <c r="L664" s="18">
        <v>1</v>
      </c>
      <c r="M664" s="14" t="s">
        <v>8462</v>
      </c>
      <c r="N664" s="13">
        <v>44519</v>
      </c>
      <c r="O664" s="29">
        <v>21.66</v>
      </c>
      <c r="P664" s="18" t="s">
        <v>14</v>
      </c>
      <c r="Q664" s="18">
        <v>0</v>
      </c>
      <c r="U664" s="22">
        <v>0.82</v>
      </c>
      <c r="V664" s="22">
        <f>4.33/5</f>
        <v>0.86599999999999999</v>
      </c>
      <c r="X664" s="3">
        <v>3</v>
      </c>
      <c r="Z664" s="23">
        <v>30</v>
      </c>
      <c r="AB664" s="18">
        <f t="shared" si="20"/>
        <v>2021</v>
      </c>
      <c r="AC664" s="22">
        <f t="shared" si="21"/>
        <v>0.76200000000000001</v>
      </c>
    </row>
    <row r="665" spans="1:29">
      <c r="A665" s="8" t="s">
        <v>11107</v>
      </c>
      <c r="B665" s="17" t="s">
        <v>7800</v>
      </c>
      <c r="C665" s="13">
        <v>44418</v>
      </c>
      <c r="D665" s="13" t="s">
        <v>8465</v>
      </c>
      <c r="E665" s="10" t="s">
        <v>9529</v>
      </c>
      <c r="F665" s="10" t="s">
        <v>11108</v>
      </c>
      <c r="H665" s="2" t="s">
        <v>3937</v>
      </c>
      <c r="L665" s="18">
        <v>1</v>
      </c>
      <c r="N665" s="13">
        <v>44593</v>
      </c>
      <c r="O665" s="29">
        <v>0</v>
      </c>
      <c r="P665" s="18" t="s">
        <v>1107</v>
      </c>
      <c r="Q665" s="18">
        <v>0</v>
      </c>
      <c r="U665" s="22">
        <v>0.75</v>
      </c>
      <c r="V665" s="22">
        <f>3.75/5</f>
        <v>0.75</v>
      </c>
      <c r="W665" s="14" t="s">
        <v>7777</v>
      </c>
      <c r="X665" s="3">
        <v>2</v>
      </c>
      <c r="Z665" s="23">
        <v>25.5</v>
      </c>
      <c r="AB665" s="18">
        <f t="shared" si="20"/>
        <v>2021</v>
      </c>
      <c r="AC665" s="22">
        <f t="shared" si="21"/>
        <v>0.6333333333333333</v>
      </c>
    </row>
    <row r="666" spans="1:29" ht="25.5">
      <c r="A666" s="8" t="s">
        <v>12145</v>
      </c>
      <c r="B666" s="17" t="s">
        <v>7800</v>
      </c>
      <c r="C666" s="13">
        <v>44418</v>
      </c>
      <c r="D666" s="13" t="s">
        <v>8465</v>
      </c>
      <c r="E666" s="10" t="s">
        <v>10742</v>
      </c>
      <c r="F666" s="10" t="s">
        <v>12146</v>
      </c>
      <c r="H666" s="2" t="s">
        <v>1334</v>
      </c>
      <c r="L666" s="18">
        <v>1</v>
      </c>
      <c r="N666" s="13">
        <v>44747</v>
      </c>
      <c r="O666" s="29">
        <v>0</v>
      </c>
      <c r="P666" s="18" t="s">
        <v>1107</v>
      </c>
      <c r="Q666" s="18">
        <v>0</v>
      </c>
      <c r="U666" s="22">
        <v>0.69</v>
      </c>
      <c r="V666" s="22">
        <f>3.39/5</f>
        <v>0.67800000000000005</v>
      </c>
      <c r="W666" s="14" t="s">
        <v>7777</v>
      </c>
      <c r="X666" s="3">
        <v>2</v>
      </c>
      <c r="Z666" s="23">
        <v>3.5</v>
      </c>
      <c r="AB666" s="18">
        <f t="shared" si="20"/>
        <v>2021</v>
      </c>
      <c r="AC666" s="22">
        <f t="shared" si="21"/>
        <v>0.58933333333333326</v>
      </c>
    </row>
    <row r="667" spans="1:29">
      <c r="A667" s="8" t="s">
        <v>14166</v>
      </c>
      <c r="B667" s="17" t="s">
        <v>7800</v>
      </c>
      <c r="C667" s="13">
        <v>44417</v>
      </c>
      <c r="D667" s="13" t="s">
        <v>8465</v>
      </c>
      <c r="E667" s="10" t="s">
        <v>14167</v>
      </c>
      <c r="F667" s="10" t="s">
        <v>14167</v>
      </c>
      <c r="H667" s="2" t="s">
        <v>67</v>
      </c>
      <c r="L667" s="18">
        <v>1</v>
      </c>
      <c r="O667" s="29">
        <v>0</v>
      </c>
      <c r="P667" s="18" t="s">
        <v>1107</v>
      </c>
      <c r="Q667" s="18">
        <v>0</v>
      </c>
      <c r="U667" s="22">
        <v>0.7</v>
      </c>
      <c r="W667" s="14" t="s">
        <v>8765</v>
      </c>
      <c r="X667" s="3">
        <v>2</v>
      </c>
      <c r="Z667" s="23">
        <v>3</v>
      </c>
      <c r="AB667" s="18">
        <f t="shared" si="20"/>
        <v>2021</v>
      </c>
      <c r="AC667" s="22">
        <f t="shared" si="21"/>
        <v>0.55000000000000004</v>
      </c>
    </row>
    <row r="668" spans="1:29">
      <c r="A668" s="8" t="s">
        <v>12160</v>
      </c>
      <c r="B668" s="17" t="s">
        <v>7744</v>
      </c>
      <c r="C668" s="13">
        <v>44414</v>
      </c>
      <c r="D668" s="13" t="s">
        <v>8465</v>
      </c>
      <c r="E668" s="10" t="s">
        <v>7877</v>
      </c>
      <c r="F668" s="10" t="s">
        <v>12161</v>
      </c>
      <c r="H668" s="2" t="s">
        <v>171</v>
      </c>
      <c r="L668" s="18">
        <v>1</v>
      </c>
      <c r="M668" s="14" t="s">
        <v>8462</v>
      </c>
      <c r="N668" s="13">
        <v>44746</v>
      </c>
      <c r="O668" s="29">
        <v>27.12</v>
      </c>
      <c r="P668" s="18" t="s">
        <v>14</v>
      </c>
      <c r="Q668" s="18">
        <v>0</v>
      </c>
      <c r="V668" s="22">
        <f>2/5</f>
        <v>0.4</v>
      </c>
      <c r="X668" s="3">
        <v>3</v>
      </c>
      <c r="Z668" s="23">
        <v>1.5</v>
      </c>
      <c r="AB668" s="18">
        <f t="shared" si="20"/>
        <v>2021</v>
      </c>
      <c r="AC668" s="22">
        <f t="shared" si="21"/>
        <v>0.5</v>
      </c>
    </row>
    <row r="669" spans="1:29">
      <c r="A669" s="8" t="s">
        <v>13100</v>
      </c>
      <c r="B669" s="17" t="s">
        <v>7744</v>
      </c>
      <c r="C669" s="13">
        <v>44413</v>
      </c>
      <c r="D669" s="13" t="s">
        <v>8465</v>
      </c>
      <c r="E669" s="10" t="s">
        <v>9249</v>
      </c>
      <c r="F669" s="10" t="s">
        <v>13105</v>
      </c>
      <c r="H669" s="2" t="s">
        <v>171</v>
      </c>
      <c r="L669" s="18">
        <v>1</v>
      </c>
      <c r="M669" s="14" t="s">
        <v>8462</v>
      </c>
      <c r="N669" s="13">
        <v>44925</v>
      </c>
      <c r="O669" s="29">
        <v>26.06</v>
      </c>
      <c r="P669" s="18" t="s">
        <v>14</v>
      </c>
      <c r="Q669" s="18">
        <v>0</v>
      </c>
      <c r="U669" s="22">
        <v>0.81</v>
      </c>
      <c r="V669" s="22">
        <f>3.91/5</f>
        <v>0.78200000000000003</v>
      </c>
      <c r="X669" s="3">
        <v>4</v>
      </c>
      <c r="Z669" s="23">
        <v>10</v>
      </c>
      <c r="AB669" s="18">
        <f t="shared" si="20"/>
        <v>2021</v>
      </c>
      <c r="AC669" s="22">
        <f t="shared" si="21"/>
        <v>0.79733333333333345</v>
      </c>
    </row>
    <row r="670" spans="1:29" ht="25.5">
      <c r="A670" s="8" t="s">
        <v>11620</v>
      </c>
      <c r="B670" s="17" t="s">
        <v>7744</v>
      </c>
      <c r="C670" s="13">
        <v>44413</v>
      </c>
      <c r="D670" s="13" t="s">
        <v>8465</v>
      </c>
      <c r="E670" s="10" t="s">
        <v>1794</v>
      </c>
      <c r="F670" s="10" t="s">
        <v>1794</v>
      </c>
      <c r="G670" s="11" t="s">
        <v>10286</v>
      </c>
      <c r="H670" s="2" t="s">
        <v>78</v>
      </c>
      <c r="L670" s="18">
        <v>1</v>
      </c>
      <c r="N670" s="13">
        <v>44659</v>
      </c>
      <c r="O670" s="29">
        <v>7.99</v>
      </c>
      <c r="P670" s="18" t="s">
        <v>1107</v>
      </c>
      <c r="Q670" s="18">
        <v>0</v>
      </c>
      <c r="V670" s="22">
        <f>4/5</f>
        <v>0.8</v>
      </c>
      <c r="X670" s="3">
        <v>3</v>
      </c>
      <c r="Z670" s="23">
        <v>13.5</v>
      </c>
      <c r="AB670" s="18">
        <f t="shared" si="20"/>
        <v>2021</v>
      </c>
      <c r="AC670" s="22">
        <f t="shared" si="21"/>
        <v>0.7</v>
      </c>
    </row>
    <row r="671" spans="1:29">
      <c r="A671" s="8" t="s">
        <v>12704</v>
      </c>
      <c r="B671" s="17" t="s">
        <v>7800</v>
      </c>
      <c r="C671" s="13">
        <v>44413</v>
      </c>
      <c r="D671" s="13" t="s">
        <v>8465</v>
      </c>
      <c r="E671" s="10" t="s">
        <v>12705</v>
      </c>
      <c r="F671" s="10" t="s">
        <v>12706</v>
      </c>
      <c r="H671" s="2" t="s">
        <v>171</v>
      </c>
      <c r="L671" s="18">
        <v>1</v>
      </c>
      <c r="N671" s="13">
        <v>44831</v>
      </c>
      <c r="O671" s="29">
        <v>7.33</v>
      </c>
      <c r="P671" s="18" t="s">
        <v>1107</v>
      </c>
      <c r="Q671" s="18">
        <v>0</v>
      </c>
      <c r="U671" s="22">
        <v>0.8</v>
      </c>
      <c r="V671" s="22">
        <f>3.7/5</f>
        <v>0.74</v>
      </c>
      <c r="W671" s="14" t="s">
        <v>7777</v>
      </c>
      <c r="X671" s="3">
        <v>3</v>
      </c>
      <c r="Z671" s="23">
        <v>12.5</v>
      </c>
      <c r="AB671" s="18">
        <f t="shared" si="20"/>
        <v>2021</v>
      </c>
      <c r="AC671" s="22">
        <f t="shared" si="21"/>
        <v>0.71333333333333337</v>
      </c>
    </row>
    <row r="672" spans="1:29">
      <c r="A672" s="8" t="s">
        <v>13338</v>
      </c>
      <c r="B672" s="17" t="s">
        <v>7800</v>
      </c>
      <c r="C672" s="13">
        <v>44413</v>
      </c>
      <c r="D672" s="13" t="s">
        <v>8465</v>
      </c>
      <c r="E672" s="10" t="s">
        <v>13339</v>
      </c>
      <c r="F672" s="10" t="s">
        <v>13340</v>
      </c>
      <c r="H672" s="2" t="s">
        <v>67</v>
      </c>
      <c r="L672" s="18">
        <v>1</v>
      </c>
      <c r="N672" s="13">
        <v>44946</v>
      </c>
      <c r="O672" s="29">
        <v>0</v>
      </c>
      <c r="P672" s="18" t="s">
        <v>1107</v>
      </c>
      <c r="Q672" s="18">
        <v>0</v>
      </c>
      <c r="V672" s="22">
        <f>2.75/5</f>
        <v>0.55000000000000004</v>
      </c>
      <c r="W672" s="14" t="s">
        <v>7778</v>
      </c>
      <c r="X672" s="3">
        <v>4</v>
      </c>
      <c r="Z672" s="23">
        <v>3</v>
      </c>
      <c r="AB672" s="18">
        <f t="shared" si="20"/>
        <v>2021</v>
      </c>
      <c r="AC672" s="22">
        <f t="shared" si="21"/>
        <v>0.67500000000000004</v>
      </c>
    </row>
    <row r="673" spans="1:29">
      <c r="A673" s="8" t="s">
        <v>15568</v>
      </c>
      <c r="B673" s="17" t="s">
        <v>7800</v>
      </c>
      <c r="C673" s="13">
        <v>44413</v>
      </c>
      <c r="D673" s="13" t="s">
        <v>8465</v>
      </c>
      <c r="E673" s="10" t="s">
        <v>15569</v>
      </c>
      <c r="F673" s="10" t="s">
        <v>15570</v>
      </c>
      <c r="H673" s="2" t="s">
        <v>1518</v>
      </c>
      <c r="L673" s="18">
        <v>1</v>
      </c>
      <c r="N673" s="13">
        <v>45159</v>
      </c>
      <c r="O673" s="29">
        <v>0</v>
      </c>
      <c r="P673" s="18" t="s">
        <v>1107</v>
      </c>
      <c r="Q673" s="18">
        <v>0</v>
      </c>
      <c r="U673" s="22">
        <v>0.78</v>
      </c>
      <c r="V673" s="22">
        <f>3.75/5</f>
        <v>0.75</v>
      </c>
      <c r="W673" s="14" t="s">
        <v>7777</v>
      </c>
      <c r="X673" s="3">
        <v>2</v>
      </c>
      <c r="Z673" s="23">
        <v>9</v>
      </c>
      <c r="AB673" s="18">
        <f t="shared" si="20"/>
        <v>2021</v>
      </c>
      <c r="AC673" s="22">
        <f t="shared" si="21"/>
        <v>0.64333333333333342</v>
      </c>
    </row>
    <row r="674" spans="1:29" ht="30">
      <c r="A674" s="8" t="s">
        <v>10375</v>
      </c>
      <c r="B674" s="17" t="s">
        <v>7744</v>
      </c>
      <c r="C674" s="13">
        <v>44411</v>
      </c>
      <c r="D674" s="13" t="s">
        <v>8465</v>
      </c>
      <c r="E674" s="10" t="s">
        <v>1680</v>
      </c>
      <c r="F674" s="10" t="s">
        <v>3861</v>
      </c>
      <c r="H674" s="2" t="s">
        <v>149</v>
      </c>
      <c r="L674" s="18">
        <v>1</v>
      </c>
      <c r="M674" s="14" t="s">
        <v>8462</v>
      </c>
      <c r="N674" s="13">
        <v>44408</v>
      </c>
      <c r="O674" s="32">
        <v>49.23</v>
      </c>
      <c r="P674" s="18" t="s">
        <v>14</v>
      </c>
      <c r="Q674" s="18">
        <v>0</v>
      </c>
      <c r="U674" s="22">
        <v>0.7</v>
      </c>
      <c r="V674" s="22">
        <f>4.29/5</f>
        <v>0.85799999999999998</v>
      </c>
      <c r="X674" s="3">
        <v>4</v>
      </c>
      <c r="Z674" s="23">
        <v>16</v>
      </c>
      <c r="AB674" s="18">
        <f t="shared" si="20"/>
        <v>2021</v>
      </c>
      <c r="AC674" s="22">
        <f t="shared" si="21"/>
        <v>0.78599999999999992</v>
      </c>
    </row>
    <row r="675" spans="1:29">
      <c r="A675" s="8" t="s">
        <v>14625</v>
      </c>
      <c r="B675" s="17" t="s">
        <v>7800</v>
      </c>
      <c r="C675" s="13">
        <v>44410</v>
      </c>
      <c r="D675" s="13" t="s">
        <v>8465</v>
      </c>
      <c r="E675" s="10" t="s">
        <v>6112</v>
      </c>
      <c r="F675" s="10" t="s">
        <v>14626</v>
      </c>
      <c r="G675" s="11" t="s">
        <v>14625</v>
      </c>
      <c r="H675" s="2" t="s">
        <v>151</v>
      </c>
      <c r="L675" s="18">
        <v>1</v>
      </c>
      <c r="N675" s="13">
        <v>45049</v>
      </c>
      <c r="O675" s="29">
        <v>0</v>
      </c>
      <c r="P675" s="18" t="s">
        <v>1107</v>
      </c>
      <c r="Q675" s="18">
        <v>0</v>
      </c>
      <c r="U675" s="22">
        <v>0.81</v>
      </c>
      <c r="V675" s="22">
        <f>3.67/5</f>
        <v>0.73399999999999999</v>
      </c>
      <c r="W675" s="14" t="s">
        <v>7799</v>
      </c>
      <c r="X675" s="3">
        <v>3</v>
      </c>
      <c r="Z675" s="23">
        <v>12</v>
      </c>
      <c r="AB675" s="18">
        <f t="shared" si="20"/>
        <v>2021</v>
      </c>
      <c r="AC675" s="22">
        <f t="shared" si="21"/>
        <v>0.71466666666666667</v>
      </c>
    </row>
    <row r="676" spans="1:29">
      <c r="A676" s="8" t="s">
        <v>10758</v>
      </c>
      <c r="B676" s="17" t="s">
        <v>7800</v>
      </c>
      <c r="C676" s="13">
        <v>44407</v>
      </c>
      <c r="D676" s="13" t="s">
        <v>8465</v>
      </c>
      <c r="E676" s="10" t="s">
        <v>4063</v>
      </c>
      <c r="F676" s="10" t="s">
        <v>10759</v>
      </c>
      <c r="H676" s="2" t="s">
        <v>67</v>
      </c>
      <c r="L676" s="18">
        <v>1</v>
      </c>
      <c r="N676" s="13">
        <v>44533</v>
      </c>
      <c r="O676" s="29">
        <v>4.99</v>
      </c>
      <c r="P676" s="18" t="s">
        <v>1107</v>
      </c>
      <c r="Q676" s="18">
        <v>0</v>
      </c>
      <c r="U676" s="22">
        <v>0.73</v>
      </c>
      <c r="W676" s="14" t="s">
        <v>8765</v>
      </c>
      <c r="X676" s="3">
        <v>3</v>
      </c>
      <c r="Z676" s="23">
        <v>2</v>
      </c>
      <c r="AB676" s="18">
        <f t="shared" si="20"/>
        <v>2021</v>
      </c>
      <c r="AC676" s="22">
        <f t="shared" si="21"/>
        <v>0.66500000000000004</v>
      </c>
    </row>
    <row r="677" spans="1:29">
      <c r="A677" s="8" t="s">
        <v>10560</v>
      </c>
      <c r="B677" s="17" t="s">
        <v>7800</v>
      </c>
      <c r="C677" s="13">
        <v>44407</v>
      </c>
      <c r="D677" s="13" t="s">
        <v>8465</v>
      </c>
      <c r="E677" s="10" t="s">
        <v>10564</v>
      </c>
      <c r="F677" s="10" t="s">
        <v>10564</v>
      </c>
      <c r="H677" s="2" t="s">
        <v>149</v>
      </c>
      <c r="L677" s="18">
        <v>1</v>
      </c>
      <c r="N677" s="13">
        <v>44497</v>
      </c>
      <c r="O677" s="29">
        <v>2.99</v>
      </c>
      <c r="P677" s="18" t="s">
        <v>1107</v>
      </c>
      <c r="Q677" s="18">
        <v>0</v>
      </c>
      <c r="W677" s="14" t="s">
        <v>7777</v>
      </c>
      <c r="X677" s="3">
        <v>3</v>
      </c>
      <c r="Z677" s="23">
        <v>3.5</v>
      </c>
      <c r="AB677" s="18">
        <f t="shared" si="20"/>
        <v>2021</v>
      </c>
      <c r="AC677" s="22">
        <f t="shared" si="21"/>
        <v>0.6</v>
      </c>
    </row>
    <row r="678" spans="1:29">
      <c r="A678" s="8" t="s">
        <v>13972</v>
      </c>
      <c r="B678" s="17" t="s">
        <v>7744</v>
      </c>
      <c r="C678" s="13">
        <v>44407</v>
      </c>
      <c r="D678" s="13" t="s">
        <v>8465</v>
      </c>
      <c r="E678" s="10" t="s">
        <v>13973</v>
      </c>
      <c r="F678" s="10" t="s">
        <v>13973</v>
      </c>
      <c r="G678" s="11" t="s">
        <v>13974</v>
      </c>
      <c r="H678" s="2" t="s">
        <v>1061</v>
      </c>
      <c r="L678" s="18">
        <v>1</v>
      </c>
      <c r="M678" s="14" t="s">
        <v>8462</v>
      </c>
      <c r="N678" s="13">
        <v>44969</v>
      </c>
      <c r="O678" s="29">
        <v>38.01</v>
      </c>
      <c r="P678" s="18" t="s">
        <v>14</v>
      </c>
      <c r="Q678" s="18">
        <v>0</v>
      </c>
      <c r="V678" s="22">
        <f>3.5/5</f>
        <v>0.7</v>
      </c>
      <c r="X678" s="3">
        <v>2</v>
      </c>
      <c r="Z678" s="23">
        <v>2.5</v>
      </c>
      <c r="AB678" s="18">
        <f t="shared" si="20"/>
        <v>2021</v>
      </c>
      <c r="AC678" s="22">
        <f t="shared" si="21"/>
        <v>0.55000000000000004</v>
      </c>
    </row>
    <row r="679" spans="1:29">
      <c r="A679" s="8" t="s">
        <v>10356</v>
      </c>
      <c r="B679" s="17" t="s">
        <v>7744</v>
      </c>
      <c r="C679" s="13">
        <v>44406</v>
      </c>
      <c r="D679" s="13" t="s">
        <v>8465</v>
      </c>
      <c r="E679" s="10" t="s">
        <v>1070</v>
      </c>
      <c r="F679" s="10" t="s">
        <v>1070</v>
      </c>
      <c r="G679" s="11" t="s">
        <v>208</v>
      </c>
      <c r="H679" s="2" t="s">
        <v>151</v>
      </c>
      <c r="L679" s="18">
        <v>1</v>
      </c>
      <c r="N679" s="13">
        <v>44379</v>
      </c>
      <c r="O679" s="29">
        <v>11.99</v>
      </c>
      <c r="P679" s="18" t="s">
        <v>1107</v>
      </c>
      <c r="Q679" s="18">
        <v>0</v>
      </c>
      <c r="U679" s="22">
        <v>0.8</v>
      </c>
      <c r="V679" s="22">
        <f>3.98/5</f>
        <v>0.79600000000000004</v>
      </c>
      <c r="X679" s="3">
        <v>4</v>
      </c>
      <c r="Z679" s="23">
        <v>10</v>
      </c>
      <c r="AB679" s="18">
        <f t="shared" si="20"/>
        <v>2021</v>
      </c>
      <c r="AC679" s="22">
        <f t="shared" si="21"/>
        <v>0.79866666666666664</v>
      </c>
    </row>
    <row r="680" spans="1:29" ht="25.5">
      <c r="A680" s="8" t="s">
        <v>10376</v>
      </c>
      <c r="B680" s="17" t="s">
        <v>7744</v>
      </c>
      <c r="C680" s="13">
        <v>44406</v>
      </c>
      <c r="D680" s="13" t="s">
        <v>8465</v>
      </c>
      <c r="E680" s="10" t="s">
        <v>2314</v>
      </c>
      <c r="F680" s="10" t="s">
        <v>2314</v>
      </c>
      <c r="G680" s="11" t="s">
        <v>10377</v>
      </c>
      <c r="H680" s="2" t="s">
        <v>75</v>
      </c>
      <c r="L680" s="18">
        <v>1</v>
      </c>
      <c r="N680" s="13">
        <v>44400</v>
      </c>
      <c r="O680" s="29">
        <v>39.479999999999997</v>
      </c>
      <c r="P680" s="18" t="s">
        <v>1107</v>
      </c>
      <c r="Q680" s="18">
        <v>0</v>
      </c>
      <c r="U680" s="22">
        <v>0.8</v>
      </c>
      <c r="V680" s="22">
        <f>4.21/5</f>
        <v>0.84199999999999997</v>
      </c>
      <c r="X680" s="3">
        <v>3</v>
      </c>
      <c r="Z680" s="23">
        <v>15</v>
      </c>
      <c r="AB680" s="18">
        <f t="shared" si="20"/>
        <v>2021</v>
      </c>
      <c r="AC680" s="22">
        <f t="shared" si="21"/>
        <v>0.74733333333333329</v>
      </c>
    </row>
    <row r="681" spans="1:29">
      <c r="A681" s="8" t="s">
        <v>12702</v>
      </c>
      <c r="B681" s="17" t="s">
        <v>7800</v>
      </c>
      <c r="C681" s="13">
        <v>44406</v>
      </c>
      <c r="D681" s="13" t="s">
        <v>8465</v>
      </c>
      <c r="E681" s="10" t="s">
        <v>9473</v>
      </c>
      <c r="F681" s="10" t="s">
        <v>12703</v>
      </c>
      <c r="H681" s="2" t="s">
        <v>171</v>
      </c>
      <c r="L681" s="18">
        <v>1</v>
      </c>
      <c r="N681" s="13">
        <v>44831</v>
      </c>
      <c r="O681" s="29">
        <v>7.33</v>
      </c>
      <c r="P681" s="18" t="s">
        <v>1107</v>
      </c>
      <c r="Q681" s="18">
        <v>0</v>
      </c>
      <c r="U681" s="22">
        <v>0.76</v>
      </c>
      <c r="V681" s="22">
        <f>3.67/5</f>
        <v>0.73399999999999999</v>
      </c>
      <c r="W681" s="14" t="s">
        <v>7777</v>
      </c>
      <c r="X681" s="3">
        <v>3</v>
      </c>
      <c r="Z681" s="23">
        <v>5</v>
      </c>
      <c r="AB681" s="18">
        <f t="shared" si="20"/>
        <v>2021</v>
      </c>
      <c r="AC681" s="22">
        <f t="shared" si="21"/>
        <v>0.69799999999999995</v>
      </c>
    </row>
    <row r="682" spans="1:29">
      <c r="A682" s="8" t="s">
        <v>12227</v>
      </c>
      <c r="B682" s="17" t="s">
        <v>7800</v>
      </c>
      <c r="C682" s="13">
        <v>44405</v>
      </c>
      <c r="D682" s="13" t="s">
        <v>8465</v>
      </c>
      <c r="E682" s="10" t="s">
        <v>12228</v>
      </c>
      <c r="F682" s="10" t="s">
        <v>12229</v>
      </c>
      <c r="H682" s="2" t="s">
        <v>80</v>
      </c>
      <c r="L682" s="18">
        <v>1</v>
      </c>
      <c r="N682" s="13">
        <v>44775</v>
      </c>
      <c r="O682" s="29">
        <v>12</v>
      </c>
      <c r="P682" s="18" t="s">
        <v>1107</v>
      </c>
      <c r="Q682" s="18">
        <v>0</v>
      </c>
      <c r="U682" s="22">
        <v>0.76</v>
      </c>
      <c r="V682" s="22">
        <f>3.18/5</f>
        <v>0.63600000000000001</v>
      </c>
      <c r="W682" s="14" t="s">
        <v>7777</v>
      </c>
      <c r="X682" s="3">
        <v>3</v>
      </c>
      <c r="Z682" s="23">
        <v>3.5</v>
      </c>
      <c r="AB682" s="18">
        <f t="shared" si="20"/>
        <v>2021</v>
      </c>
      <c r="AC682" s="22">
        <f t="shared" si="21"/>
        <v>0.66533333333333333</v>
      </c>
    </row>
    <row r="683" spans="1:29" ht="30">
      <c r="A683" s="8" t="s">
        <v>10359</v>
      </c>
      <c r="B683" s="17" t="s">
        <v>7744</v>
      </c>
      <c r="C683" s="13">
        <v>44404</v>
      </c>
      <c r="D683" s="13" t="s">
        <v>8465</v>
      </c>
      <c r="E683" s="10" t="s">
        <v>1082</v>
      </c>
      <c r="F683" s="10" t="s">
        <v>1521</v>
      </c>
      <c r="G683" s="11" t="s">
        <v>1696</v>
      </c>
      <c r="H683" s="2" t="s">
        <v>171</v>
      </c>
      <c r="L683" s="18">
        <v>1</v>
      </c>
      <c r="M683" s="14" t="s">
        <v>8462</v>
      </c>
      <c r="N683" s="13">
        <v>44299</v>
      </c>
      <c r="O683" s="29">
        <v>65.09</v>
      </c>
      <c r="P683" s="18" t="s">
        <v>14</v>
      </c>
      <c r="Q683" s="18">
        <v>0</v>
      </c>
      <c r="U683" s="22">
        <v>0.81</v>
      </c>
      <c r="V683" s="22">
        <f>4.2/5</f>
        <v>0.84000000000000008</v>
      </c>
      <c r="X683" s="3">
        <v>4</v>
      </c>
      <c r="Z683" s="23">
        <v>34.5</v>
      </c>
      <c r="AB683" s="18">
        <f t="shared" si="20"/>
        <v>2021</v>
      </c>
      <c r="AC683" s="22">
        <f t="shared" si="21"/>
        <v>0.81666666666666676</v>
      </c>
    </row>
    <row r="684" spans="1:29" ht="25.5">
      <c r="A684" s="8" t="s">
        <v>10188</v>
      </c>
      <c r="B684" s="17" t="s">
        <v>7744</v>
      </c>
      <c r="C684" s="13">
        <v>44404</v>
      </c>
      <c r="D684" s="13" t="s">
        <v>8465</v>
      </c>
      <c r="E684" s="10" t="s">
        <v>73</v>
      </c>
      <c r="F684" s="10" t="s">
        <v>73</v>
      </c>
      <c r="G684" s="11" t="s">
        <v>2323</v>
      </c>
      <c r="H684" s="2" t="s">
        <v>67</v>
      </c>
      <c r="L684" s="18">
        <v>1</v>
      </c>
      <c r="M684" s="14" t="s">
        <v>8462</v>
      </c>
      <c r="N684" s="13">
        <v>44309</v>
      </c>
      <c r="O684" s="29">
        <v>43.39</v>
      </c>
      <c r="P684" s="18" t="s">
        <v>14</v>
      </c>
      <c r="Q684" s="18">
        <v>0</v>
      </c>
      <c r="U684" s="22">
        <v>0.88</v>
      </c>
      <c r="V684" s="22">
        <f>3.51/5</f>
        <v>0.70199999999999996</v>
      </c>
      <c r="X684" s="3">
        <v>4</v>
      </c>
      <c r="Z684" s="23">
        <f>30+35.5</f>
        <v>65.5</v>
      </c>
      <c r="AB684" s="18">
        <f t="shared" si="20"/>
        <v>2021</v>
      </c>
      <c r="AC684" s="22">
        <f t="shared" si="21"/>
        <v>0.79399999999999993</v>
      </c>
    </row>
    <row r="685" spans="1:29">
      <c r="A685" s="8" t="s">
        <v>10640</v>
      </c>
      <c r="B685" s="17" t="s">
        <v>7760</v>
      </c>
      <c r="C685" s="13">
        <v>44404</v>
      </c>
      <c r="D685" s="13" t="s">
        <v>8465</v>
      </c>
      <c r="E685" s="10" t="s">
        <v>1565</v>
      </c>
      <c r="F685" s="10" t="s">
        <v>1471</v>
      </c>
      <c r="G685" s="11" t="s">
        <v>2465</v>
      </c>
      <c r="H685" s="2" t="s">
        <v>1059</v>
      </c>
      <c r="L685" s="18">
        <v>1</v>
      </c>
      <c r="M685" s="14" t="s">
        <v>8462</v>
      </c>
      <c r="N685" s="13">
        <v>44507</v>
      </c>
      <c r="O685" s="29">
        <v>39.14</v>
      </c>
      <c r="P685" s="18" t="s">
        <v>14</v>
      </c>
      <c r="Q685" s="18">
        <v>0</v>
      </c>
      <c r="U685" s="22">
        <v>0.75</v>
      </c>
      <c r="V685" s="22">
        <f>3.66/5</f>
        <v>0.73199999999999998</v>
      </c>
      <c r="X685" s="3">
        <v>3</v>
      </c>
      <c r="Z685" s="23">
        <v>18.5</v>
      </c>
      <c r="AB685" s="18">
        <f t="shared" si="20"/>
        <v>2021</v>
      </c>
      <c r="AC685" s="22">
        <f t="shared" si="21"/>
        <v>0.69399999999999995</v>
      </c>
    </row>
    <row r="686" spans="1:29">
      <c r="A686" s="8" t="s">
        <v>13117</v>
      </c>
      <c r="B686" s="17" t="s">
        <v>7800</v>
      </c>
      <c r="C686" s="13">
        <v>44404</v>
      </c>
      <c r="D686" s="13" t="s">
        <v>8465</v>
      </c>
      <c r="E686" s="10" t="s">
        <v>9438</v>
      </c>
      <c r="F686" s="10" t="s">
        <v>13118</v>
      </c>
      <c r="H686" s="2" t="s">
        <v>1518</v>
      </c>
      <c r="L686" s="18">
        <v>1</v>
      </c>
      <c r="N686" s="13">
        <v>44929</v>
      </c>
      <c r="O686" s="29">
        <v>0</v>
      </c>
      <c r="P686" s="18" t="s">
        <v>1107</v>
      </c>
      <c r="Q686" s="18">
        <v>0</v>
      </c>
      <c r="U686" s="22">
        <v>0.73</v>
      </c>
      <c r="V686" s="22">
        <f>2.67/5</f>
        <v>0.53400000000000003</v>
      </c>
      <c r="W686" s="14" t="s">
        <v>7777</v>
      </c>
      <c r="X686" s="3">
        <v>2</v>
      </c>
      <c r="Z686" s="23">
        <v>17.5</v>
      </c>
      <c r="AB686" s="18">
        <f t="shared" si="20"/>
        <v>2021</v>
      </c>
      <c r="AC686" s="22">
        <f t="shared" si="21"/>
        <v>0.55466666666666675</v>
      </c>
    </row>
    <row r="687" spans="1:29">
      <c r="A687" s="8" t="s">
        <v>12713</v>
      </c>
      <c r="B687" s="17" t="s">
        <v>7800</v>
      </c>
      <c r="C687" s="13">
        <v>44403</v>
      </c>
      <c r="D687" s="13" t="s">
        <v>8465</v>
      </c>
      <c r="E687" s="10" t="s">
        <v>12714</v>
      </c>
      <c r="F687" s="10" t="s">
        <v>12714</v>
      </c>
      <c r="H687" s="2" t="s">
        <v>245</v>
      </c>
      <c r="L687" s="18">
        <v>1</v>
      </c>
      <c r="N687" s="13">
        <v>44834</v>
      </c>
      <c r="O687" s="29">
        <v>0</v>
      </c>
      <c r="P687" s="18" t="s">
        <v>1107</v>
      </c>
      <c r="Q687" s="18">
        <v>0</v>
      </c>
      <c r="V687" s="22">
        <f>4/5</f>
        <v>0.8</v>
      </c>
      <c r="W687" s="14" t="s">
        <v>7777</v>
      </c>
      <c r="X687" s="3">
        <v>3</v>
      </c>
      <c r="Z687" s="23">
        <v>8</v>
      </c>
      <c r="AB687" s="18">
        <f t="shared" si="20"/>
        <v>2021</v>
      </c>
      <c r="AC687" s="22">
        <f t="shared" si="21"/>
        <v>0.7</v>
      </c>
    </row>
    <row r="688" spans="1:29">
      <c r="A688" s="8" t="s">
        <v>12626</v>
      </c>
      <c r="B688" s="17" t="s">
        <v>7800</v>
      </c>
      <c r="C688" s="13">
        <v>44399</v>
      </c>
      <c r="D688" s="13" t="s">
        <v>8465</v>
      </c>
      <c r="E688" s="10" t="s">
        <v>5141</v>
      </c>
      <c r="F688" s="10" t="s">
        <v>5141</v>
      </c>
      <c r="G688" s="11" t="s">
        <v>12635</v>
      </c>
      <c r="H688" s="2" t="s">
        <v>255</v>
      </c>
      <c r="L688" s="18">
        <v>1</v>
      </c>
      <c r="P688" s="18" t="s">
        <v>1107</v>
      </c>
      <c r="Q688" s="18">
        <v>0</v>
      </c>
      <c r="W688" s="14" t="s">
        <v>7777</v>
      </c>
      <c r="X688" s="3">
        <v>2</v>
      </c>
      <c r="AB688" s="18">
        <f t="shared" si="20"/>
        <v>2021</v>
      </c>
      <c r="AC688" s="22">
        <f t="shared" si="21"/>
        <v>0.4</v>
      </c>
    </row>
    <row r="689" spans="1:29">
      <c r="A689" s="8" t="s">
        <v>13107</v>
      </c>
      <c r="B689" s="17" t="s">
        <v>7744</v>
      </c>
      <c r="C689" s="13">
        <v>44398</v>
      </c>
      <c r="D689" s="13" t="s">
        <v>8465</v>
      </c>
      <c r="E689" s="10" t="s">
        <v>5992</v>
      </c>
      <c r="F689" s="10" t="s">
        <v>13364</v>
      </c>
      <c r="H689" s="2" t="s">
        <v>1057</v>
      </c>
      <c r="L689" s="18">
        <v>1</v>
      </c>
      <c r="M689" s="14" t="s">
        <v>8462</v>
      </c>
      <c r="N689" s="13">
        <v>44928</v>
      </c>
      <c r="O689" s="29">
        <v>39.99</v>
      </c>
      <c r="P689" s="18" t="s">
        <v>14</v>
      </c>
      <c r="Q689" s="18">
        <v>0</v>
      </c>
      <c r="V689" s="22">
        <f>3.75/5</f>
        <v>0.75</v>
      </c>
      <c r="X689" s="3">
        <v>3</v>
      </c>
      <c r="Z689" s="23">
        <v>15.5</v>
      </c>
      <c r="AB689" s="18">
        <f t="shared" si="20"/>
        <v>2021</v>
      </c>
      <c r="AC689" s="22">
        <f t="shared" si="21"/>
        <v>0.67500000000000004</v>
      </c>
    </row>
    <row r="690" spans="1:29">
      <c r="A690" s="8" t="s">
        <v>15561</v>
      </c>
      <c r="B690" s="17" t="s">
        <v>7800</v>
      </c>
      <c r="C690" s="13">
        <v>44398</v>
      </c>
      <c r="D690" s="13" t="s">
        <v>8465</v>
      </c>
      <c r="E690" s="10" t="s">
        <v>15562</v>
      </c>
      <c r="F690" s="10" t="s">
        <v>15562</v>
      </c>
      <c r="H690" s="2" t="s">
        <v>1061</v>
      </c>
      <c r="L690" s="18">
        <v>1</v>
      </c>
      <c r="N690" s="13">
        <v>45159</v>
      </c>
      <c r="O690" s="29">
        <v>1</v>
      </c>
      <c r="P690" s="18" t="s">
        <v>1107</v>
      </c>
      <c r="Q690" s="18">
        <v>0</v>
      </c>
      <c r="V690" s="22">
        <f>2.2/5</f>
        <v>0.44000000000000006</v>
      </c>
      <c r="W690" s="14" t="s">
        <v>8765</v>
      </c>
      <c r="X690" s="3">
        <v>3</v>
      </c>
      <c r="Z690" s="23">
        <v>1.5</v>
      </c>
      <c r="AB690" s="18">
        <f t="shared" si="20"/>
        <v>2021</v>
      </c>
      <c r="AC690" s="22">
        <f t="shared" si="21"/>
        <v>0.52</v>
      </c>
    </row>
    <row r="691" spans="1:29">
      <c r="A691" s="9" t="s">
        <v>9924</v>
      </c>
      <c r="B691" s="17" t="s">
        <v>7744</v>
      </c>
      <c r="C691" s="13">
        <v>44397</v>
      </c>
      <c r="D691" s="13" t="s">
        <v>8465</v>
      </c>
      <c r="E691" s="10" t="s">
        <v>7894</v>
      </c>
      <c r="F691" s="10" t="s">
        <v>10354</v>
      </c>
      <c r="H691" s="2" t="s">
        <v>149</v>
      </c>
      <c r="L691" s="18">
        <v>1</v>
      </c>
      <c r="M691" s="14" t="s">
        <v>8462</v>
      </c>
      <c r="N691" s="13">
        <v>44035</v>
      </c>
      <c r="O691" s="29">
        <v>39.99</v>
      </c>
      <c r="P691" s="18" t="s">
        <v>14</v>
      </c>
      <c r="Q691" s="18">
        <v>0</v>
      </c>
      <c r="U691" s="22">
        <v>0.73</v>
      </c>
      <c r="V691" s="22">
        <f>3.28/5</f>
        <v>0.65599999999999992</v>
      </c>
      <c r="X691" s="3">
        <v>4</v>
      </c>
      <c r="Z691" s="23">
        <v>21</v>
      </c>
      <c r="AB691" s="18">
        <f t="shared" si="20"/>
        <v>2021</v>
      </c>
      <c r="AC691" s="22">
        <f t="shared" si="21"/>
        <v>0.72866666666666668</v>
      </c>
    </row>
    <row r="692" spans="1:29">
      <c r="A692" s="8" t="s">
        <v>10357</v>
      </c>
      <c r="B692" s="17" t="s">
        <v>7763</v>
      </c>
      <c r="C692" s="13">
        <v>44396</v>
      </c>
      <c r="D692" s="13" t="s">
        <v>8465</v>
      </c>
      <c r="E692" s="10" t="s">
        <v>5398</v>
      </c>
      <c r="F692" s="10" t="s">
        <v>5398</v>
      </c>
      <c r="H692" s="2" t="s">
        <v>143</v>
      </c>
      <c r="L692" s="18">
        <v>1</v>
      </c>
      <c r="N692" s="13">
        <v>44400</v>
      </c>
      <c r="O692" s="29">
        <v>14.99</v>
      </c>
      <c r="P692" s="18" t="s">
        <v>1107</v>
      </c>
      <c r="Q692" s="18">
        <v>0</v>
      </c>
      <c r="X692" s="3">
        <v>3</v>
      </c>
      <c r="Z692" s="23">
        <v>19.5</v>
      </c>
      <c r="AB692" s="18">
        <f t="shared" si="20"/>
        <v>2021</v>
      </c>
      <c r="AC692" s="22">
        <f t="shared" si="21"/>
        <v>0.6</v>
      </c>
    </row>
    <row r="693" spans="1:29" ht="25.5">
      <c r="A693" s="8" t="s">
        <v>9935</v>
      </c>
      <c r="B693" s="17" t="s">
        <v>7744</v>
      </c>
      <c r="C693" s="13">
        <v>44393</v>
      </c>
      <c r="D693" s="13" t="s">
        <v>8465</v>
      </c>
      <c r="E693" s="10" t="s">
        <v>86</v>
      </c>
      <c r="F693" s="10" t="s">
        <v>10344</v>
      </c>
      <c r="G693" s="11" t="s">
        <v>85</v>
      </c>
      <c r="H693" s="2" t="s">
        <v>80</v>
      </c>
      <c r="L693" s="18">
        <v>1</v>
      </c>
      <c r="M693" s="14" t="s">
        <v>8462</v>
      </c>
      <c r="N693" s="13">
        <v>44245</v>
      </c>
      <c r="O693" s="29">
        <v>65.040000000000006</v>
      </c>
      <c r="P693" s="18" t="s">
        <v>14</v>
      </c>
      <c r="Q693" s="18">
        <v>0</v>
      </c>
      <c r="U693" s="22">
        <v>0.82</v>
      </c>
      <c r="V693" s="22">
        <f>4.06/5</f>
        <v>0.81199999999999994</v>
      </c>
      <c r="X693" s="3">
        <v>4</v>
      </c>
      <c r="Z693" s="23">
        <v>29</v>
      </c>
      <c r="AB693" s="18">
        <f t="shared" si="20"/>
        <v>2021</v>
      </c>
      <c r="AC693" s="22">
        <f t="shared" si="21"/>
        <v>0.81066666666666665</v>
      </c>
    </row>
    <row r="694" spans="1:29" ht="25.5">
      <c r="A694" s="8" t="s">
        <v>11472</v>
      </c>
      <c r="B694" s="17" t="s">
        <v>7766</v>
      </c>
      <c r="C694" s="13">
        <v>44392</v>
      </c>
      <c r="D694" s="13" t="s">
        <v>8465</v>
      </c>
      <c r="E694" s="10" t="s">
        <v>1667</v>
      </c>
      <c r="F694" s="10" t="s">
        <v>1667</v>
      </c>
      <c r="G694" s="11" t="s">
        <v>11473</v>
      </c>
      <c r="H694" s="2" t="s">
        <v>153</v>
      </c>
      <c r="L694" s="18">
        <v>1</v>
      </c>
      <c r="N694" s="13">
        <v>44643</v>
      </c>
      <c r="O694" s="29">
        <v>0</v>
      </c>
      <c r="P694" s="18" t="s">
        <v>1107</v>
      </c>
      <c r="Q694" s="18">
        <v>0</v>
      </c>
      <c r="U694" s="22">
        <v>0.53</v>
      </c>
      <c r="V694" s="22">
        <f>2.9/5</f>
        <v>0.57999999999999996</v>
      </c>
      <c r="X694" s="3">
        <v>2</v>
      </c>
      <c r="Z694" s="23">
        <f>43/60</f>
        <v>0.71666666666666667</v>
      </c>
      <c r="AB694" s="18">
        <f t="shared" si="20"/>
        <v>2021</v>
      </c>
      <c r="AC694" s="22">
        <f t="shared" si="21"/>
        <v>0.5033333333333333</v>
      </c>
    </row>
    <row r="695" spans="1:29" ht="25.5">
      <c r="A695" s="8" t="s">
        <v>10187</v>
      </c>
      <c r="B695" s="17" t="s">
        <v>7744</v>
      </c>
      <c r="C695" s="13">
        <v>44386</v>
      </c>
      <c r="D695" s="13" t="s">
        <v>8465</v>
      </c>
      <c r="E695" s="10" t="s">
        <v>73</v>
      </c>
      <c r="F695" s="10" t="s">
        <v>73</v>
      </c>
      <c r="G695" s="11" t="s">
        <v>1141</v>
      </c>
      <c r="H695" s="2" t="s">
        <v>149</v>
      </c>
      <c r="L695" s="18">
        <v>1</v>
      </c>
      <c r="M695" s="14" t="s">
        <v>8462</v>
      </c>
      <c r="N695" s="13">
        <v>44309</v>
      </c>
      <c r="O695" s="29">
        <v>65.09</v>
      </c>
      <c r="P695" s="18" t="s">
        <v>14</v>
      </c>
      <c r="Q695" s="18">
        <v>0</v>
      </c>
      <c r="U695" s="22">
        <v>0.8</v>
      </c>
      <c r="V695" s="22">
        <f>4.2/5</f>
        <v>0.84000000000000008</v>
      </c>
      <c r="X695" s="3">
        <v>4</v>
      </c>
      <c r="Z695" s="23">
        <v>25</v>
      </c>
      <c r="AB695" s="18">
        <f t="shared" si="20"/>
        <v>2021</v>
      </c>
      <c r="AC695" s="22">
        <f t="shared" si="21"/>
        <v>0.81333333333333346</v>
      </c>
    </row>
    <row r="696" spans="1:29" ht="30">
      <c r="A696" s="8" t="s">
        <v>9945</v>
      </c>
      <c r="B696" s="17" t="s">
        <v>7744</v>
      </c>
      <c r="C696" s="13">
        <v>44383</v>
      </c>
      <c r="D696" s="13" t="s">
        <v>8465</v>
      </c>
      <c r="E696" s="10" t="s">
        <v>1062</v>
      </c>
      <c r="F696" s="10" t="s">
        <v>1505</v>
      </c>
      <c r="G696" s="11" t="s">
        <v>8912</v>
      </c>
      <c r="H696" s="2" t="s">
        <v>1057</v>
      </c>
      <c r="L696" s="18">
        <v>1</v>
      </c>
      <c r="M696" s="14" t="s">
        <v>8462</v>
      </c>
      <c r="N696" s="13">
        <v>44277</v>
      </c>
      <c r="O696" s="29">
        <v>59.99</v>
      </c>
      <c r="P696" s="18" t="s">
        <v>14</v>
      </c>
      <c r="Q696" s="18">
        <v>0</v>
      </c>
      <c r="U696" s="22">
        <v>0.76</v>
      </c>
      <c r="V696" s="22">
        <f>3.6/5</f>
        <v>0.72</v>
      </c>
      <c r="W696" s="14" t="s">
        <v>10168</v>
      </c>
      <c r="X696" s="3">
        <v>4</v>
      </c>
      <c r="Z696" s="23">
        <v>47</v>
      </c>
      <c r="AB696" s="18">
        <f t="shared" si="20"/>
        <v>2021</v>
      </c>
      <c r="AC696" s="22">
        <f t="shared" si="21"/>
        <v>0.76000000000000012</v>
      </c>
    </row>
    <row r="697" spans="1:29">
      <c r="A697" s="8" t="s">
        <v>11637</v>
      </c>
      <c r="B697" s="17" t="s">
        <v>9431</v>
      </c>
      <c r="C697" s="13">
        <v>44379</v>
      </c>
      <c r="D697" s="13" t="s">
        <v>8465</v>
      </c>
      <c r="E697" s="10" t="s">
        <v>7877</v>
      </c>
      <c r="F697" s="10" t="s">
        <v>11648</v>
      </c>
      <c r="H697" s="2" t="s">
        <v>27</v>
      </c>
      <c r="L697" s="18">
        <v>1</v>
      </c>
      <c r="M697" s="14" t="s">
        <v>8462</v>
      </c>
      <c r="N697" s="13">
        <v>44659</v>
      </c>
      <c r="O697" s="29">
        <v>17.37</v>
      </c>
      <c r="P697" s="18" t="s">
        <v>14</v>
      </c>
      <c r="Q697" s="18">
        <v>0</v>
      </c>
      <c r="V697" s="22">
        <f>3.5/5</f>
        <v>0.7</v>
      </c>
      <c r="X697" s="3">
        <v>3</v>
      </c>
      <c r="Z697" s="23">
        <v>5.5</v>
      </c>
      <c r="AB697" s="18">
        <f t="shared" si="20"/>
        <v>2021</v>
      </c>
      <c r="AC697" s="22">
        <f t="shared" si="21"/>
        <v>0.64999999999999991</v>
      </c>
    </row>
    <row r="698" spans="1:29">
      <c r="A698" s="8" t="s">
        <v>14405</v>
      </c>
      <c r="B698" s="17" t="s">
        <v>7744</v>
      </c>
      <c r="C698" s="13">
        <v>44379</v>
      </c>
      <c r="D698" s="13" t="s">
        <v>8465</v>
      </c>
      <c r="E698" s="10" t="s">
        <v>1134</v>
      </c>
      <c r="F698" s="10" t="s">
        <v>9533</v>
      </c>
      <c r="H698" s="2" t="s">
        <v>78</v>
      </c>
      <c r="L698" s="18">
        <v>1</v>
      </c>
      <c r="N698" s="13">
        <v>45038</v>
      </c>
      <c r="O698" s="29">
        <v>2.4900000000000002</v>
      </c>
      <c r="P698" s="18" t="s">
        <v>1107</v>
      </c>
      <c r="Q698" s="18">
        <v>0</v>
      </c>
      <c r="V698" s="22">
        <f>2.33/5</f>
        <v>0.46600000000000003</v>
      </c>
      <c r="X698" s="3">
        <v>3</v>
      </c>
      <c r="AB698" s="18">
        <f t="shared" si="20"/>
        <v>2021</v>
      </c>
      <c r="AC698" s="22">
        <f t="shared" si="21"/>
        <v>0.53300000000000003</v>
      </c>
    </row>
    <row r="699" spans="1:29" ht="25.5">
      <c r="A699" s="8" t="s">
        <v>13796</v>
      </c>
      <c r="B699" s="17" t="s">
        <v>7800</v>
      </c>
      <c r="C699" s="13">
        <v>44379</v>
      </c>
      <c r="D699" s="13" t="s">
        <v>8465</v>
      </c>
      <c r="E699" s="10" t="s">
        <v>13797</v>
      </c>
      <c r="F699" s="10" t="s">
        <v>13797</v>
      </c>
      <c r="G699" s="11" t="s">
        <v>13798</v>
      </c>
      <c r="H699" s="2" t="s">
        <v>1061</v>
      </c>
      <c r="L699" s="18">
        <v>1</v>
      </c>
      <c r="N699" s="13">
        <v>45004</v>
      </c>
      <c r="O699" s="29">
        <v>0</v>
      </c>
      <c r="P699" s="18" t="s">
        <v>1107</v>
      </c>
      <c r="Q699" s="18">
        <v>0</v>
      </c>
      <c r="V699" s="22">
        <f>2.75/5</f>
        <v>0.55000000000000004</v>
      </c>
      <c r="W699" s="14" t="s">
        <v>7777</v>
      </c>
      <c r="X699" s="3">
        <v>2</v>
      </c>
      <c r="Z699" s="23">
        <f>25/60</f>
        <v>0.41666666666666669</v>
      </c>
      <c r="AB699" s="18">
        <f t="shared" si="20"/>
        <v>2021</v>
      </c>
      <c r="AC699" s="22">
        <f t="shared" si="21"/>
        <v>0.47500000000000003</v>
      </c>
    </row>
    <row r="700" spans="1:29" ht="30">
      <c r="A700" s="8" t="s">
        <v>10700</v>
      </c>
      <c r="B700" s="17" t="s">
        <v>7744</v>
      </c>
      <c r="C700" s="13">
        <v>44377</v>
      </c>
      <c r="D700" s="13" t="s">
        <v>8465</v>
      </c>
      <c r="E700" s="10" t="s">
        <v>8774</v>
      </c>
      <c r="F700" s="10" t="s">
        <v>3694</v>
      </c>
      <c r="G700" s="11" t="s">
        <v>3693</v>
      </c>
      <c r="H700" s="2" t="s">
        <v>1057</v>
      </c>
      <c r="L700" s="18">
        <v>1</v>
      </c>
      <c r="M700" s="14" t="s">
        <v>8462</v>
      </c>
      <c r="N700" s="13">
        <v>44519</v>
      </c>
      <c r="O700" s="29">
        <v>16.66</v>
      </c>
      <c r="P700" s="18" t="s">
        <v>14</v>
      </c>
      <c r="Q700" s="18">
        <v>0</v>
      </c>
      <c r="U700" s="22">
        <v>0.85</v>
      </c>
      <c r="V700" s="22">
        <f>4.12/5</f>
        <v>0.82400000000000007</v>
      </c>
      <c r="X700" s="3">
        <v>4</v>
      </c>
      <c r="Z700" s="23">
        <v>4.5</v>
      </c>
      <c r="AB700" s="18">
        <f t="shared" si="20"/>
        <v>2021</v>
      </c>
      <c r="AC700" s="22">
        <f t="shared" si="21"/>
        <v>0.82466666666666677</v>
      </c>
    </row>
    <row r="701" spans="1:29" ht="30">
      <c r="A701" s="8" t="s">
        <v>9927</v>
      </c>
      <c r="B701" s="17" t="s">
        <v>7744</v>
      </c>
      <c r="C701" s="13">
        <v>44376</v>
      </c>
      <c r="D701" s="13" t="s">
        <v>8465</v>
      </c>
      <c r="E701" s="10" t="s">
        <v>1062</v>
      </c>
      <c r="F701" s="10" t="s">
        <v>2285</v>
      </c>
      <c r="G701" s="11" t="s">
        <v>2302</v>
      </c>
      <c r="H701" s="2" t="s">
        <v>75</v>
      </c>
      <c r="L701" s="18">
        <v>1</v>
      </c>
      <c r="M701" s="14" t="s">
        <v>8462</v>
      </c>
      <c r="N701" s="13">
        <v>44096</v>
      </c>
      <c r="O701" s="29">
        <v>59.99</v>
      </c>
      <c r="P701" s="18" t="s">
        <v>14</v>
      </c>
      <c r="Q701" s="18">
        <v>0</v>
      </c>
      <c r="U701" s="22">
        <v>0.75</v>
      </c>
      <c r="V701" s="22">
        <f>3.6/5</f>
        <v>0.72</v>
      </c>
      <c r="W701" s="14" t="s">
        <v>10300</v>
      </c>
      <c r="X701" s="3">
        <v>3</v>
      </c>
      <c r="Z701" s="23">
        <v>30.5</v>
      </c>
      <c r="AB701" s="18">
        <f t="shared" si="20"/>
        <v>2021</v>
      </c>
      <c r="AC701" s="22">
        <f t="shared" si="21"/>
        <v>0.69</v>
      </c>
    </row>
    <row r="702" spans="1:29" ht="30">
      <c r="A702" s="8" t="s">
        <v>9922</v>
      </c>
      <c r="B702" s="17" t="s">
        <v>9431</v>
      </c>
      <c r="C702" s="13">
        <v>44372</v>
      </c>
      <c r="D702" s="13" t="s">
        <v>8465</v>
      </c>
      <c r="E702" s="10" t="s">
        <v>1604</v>
      </c>
      <c r="F702" s="10" t="s">
        <v>1614</v>
      </c>
      <c r="H702" s="2" t="s">
        <v>171</v>
      </c>
      <c r="L702" s="18">
        <v>1</v>
      </c>
      <c r="M702" s="14" t="s">
        <v>8462</v>
      </c>
      <c r="N702" s="13">
        <v>43983</v>
      </c>
      <c r="O702" s="29">
        <v>65.09</v>
      </c>
      <c r="P702" s="18" t="s">
        <v>14</v>
      </c>
      <c r="Q702" s="18">
        <v>0</v>
      </c>
      <c r="U702" s="22">
        <v>0.8</v>
      </c>
      <c r="V702" s="22">
        <f>3.8/5</f>
        <v>0.76</v>
      </c>
      <c r="X702" s="3">
        <v>4</v>
      </c>
      <c r="Z702" s="23">
        <v>23.5</v>
      </c>
      <c r="AB702" s="18">
        <f t="shared" si="20"/>
        <v>2021</v>
      </c>
      <c r="AC702" s="22">
        <f t="shared" si="21"/>
        <v>0.78666666666666674</v>
      </c>
    </row>
    <row r="703" spans="1:29" ht="30">
      <c r="A703" s="8" t="s">
        <v>9936</v>
      </c>
      <c r="B703" s="17" t="s">
        <v>7744</v>
      </c>
      <c r="C703" s="13">
        <v>44372</v>
      </c>
      <c r="D703" s="13" t="s">
        <v>8465</v>
      </c>
      <c r="E703" s="10" t="s">
        <v>86</v>
      </c>
      <c r="F703" s="10" t="s">
        <v>1160</v>
      </c>
      <c r="G703" s="11" t="s">
        <v>875</v>
      </c>
      <c r="H703" s="2" t="s">
        <v>255</v>
      </c>
      <c r="L703" s="18">
        <v>1</v>
      </c>
      <c r="M703" s="14" t="s">
        <v>8462</v>
      </c>
      <c r="N703" s="13">
        <v>44246</v>
      </c>
      <c r="O703" s="29">
        <v>59.88</v>
      </c>
      <c r="P703" s="18" t="s">
        <v>14</v>
      </c>
      <c r="Q703" s="18">
        <v>0</v>
      </c>
      <c r="U703" s="22">
        <v>0.7</v>
      </c>
      <c r="V703" s="22">
        <f>3.43/5</f>
        <v>0.68600000000000005</v>
      </c>
      <c r="X703" s="3">
        <v>3</v>
      </c>
      <c r="Z703" s="23">
        <v>7.5</v>
      </c>
      <c r="AB703" s="18">
        <f t="shared" si="20"/>
        <v>2021</v>
      </c>
      <c r="AC703" s="22">
        <f t="shared" si="21"/>
        <v>0.66200000000000003</v>
      </c>
    </row>
    <row r="704" spans="1:29">
      <c r="A704" s="8" t="s">
        <v>2942</v>
      </c>
      <c r="B704" s="17" t="s">
        <v>7744</v>
      </c>
      <c r="C704" s="13">
        <v>44371</v>
      </c>
      <c r="D704" s="13" t="s">
        <v>8465</v>
      </c>
      <c r="E704" s="10" t="s">
        <v>1082</v>
      </c>
      <c r="F704" s="10" t="s">
        <v>1081</v>
      </c>
      <c r="G704" s="11" t="s">
        <v>1253</v>
      </c>
      <c r="H704" s="2" t="s">
        <v>171</v>
      </c>
      <c r="L704" s="18">
        <v>1</v>
      </c>
      <c r="M704" s="14" t="s">
        <v>8462</v>
      </c>
      <c r="N704" s="13">
        <v>44294</v>
      </c>
      <c r="O704" s="29">
        <v>53.39</v>
      </c>
      <c r="P704" s="18" t="s">
        <v>14</v>
      </c>
      <c r="Q704" s="18">
        <v>0</v>
      </c>
      <c r="U704" s="22">
        <v>0.72</v>
      </c>
      <c r="V704" s="22">
        <f>4.08/5</f>
        <v>0.81600000000000006</v>
      </c>
      <c r="X704" s="3">
        <v>4</v>
      </c>
      <c r="Z704" s="23">
        <v>18.5</v>
      </c>
      <c r="AB704" s="18">
        <f t="shared" si="20"/>
        <v>2021</v>
      </c>
      <c r="AC704" s="22">
        <f t="shared" si="21"/>
        <v>0.77866666666666673</v>
      </c>
    </row>
    <row r="705" spans="1:29">
      <c r="A705" s="8" t="s">
        <v>15856</v>
      </c>
      <c r="B705" s="17" t="s">
        <v>7800</v>
      </c>
      <c r="C705" s="13">
        <v>44370</v>
      </c>
      <c r="D705" s="13" t="s">
        <v>8465</v>
      </c>
      <c r="E705" s="10" t="s">
        <v>14820</v>
      </c>
      <c r="F705" s="10" t="s">
        <v>3639</v>
      </c>
      <c r="H705" s="2" t="s">
        <v>27</v>
      </c>
      <c r="L705" s="18">
        <v>1</v>
      </c>
      <c r="N705" s="13">
        <v>45192</v>
      </c>
      <c r="O705" s="29">
        <v>0</v>
      </c>
      <c r="P705" s="18" t="s">
        <v>1107</v>
      </c>
      <c r="Q705" s="18">
        <v>0</v>
      </c>
      <c r="U705" s="22">
        <v>0.69</v>
      </c>
      <c r="V705" s="22">
        <f>3/5</f>
        <v>0.6</v>
      </c>
      <c r="W705" s="14" t="s">
        <v>7097</v>
      </c>
      <c r="X705" s="3">
        <v>2</v>
      </c>
      <c r="Z705" s="23">
        <v>3</v>
      </c>
      <c r="AB705" s="18">
        <f t="shared" si="20"/>
        <v>2021</v>
      </c>
      <c r="AC705" s="22">
        <f t="shared" si="21"/>
        <v>0.56333333333333335</v>
      </c>
    </row>
    <row r="706" spans="1:29" ht="25.5">
      <c r="A706" s="8" t="s">
        <v>11382</v>
      </c>
      <c r="B706" s="17" t="s">
        <v>7744</v>
      </c>
      <c r="C706" s="13">
        <v>44369</v>
      </c>
      <c r="D706" s="13" t="s">
        <v>8465</v>
      </c>
      <c r="E706" s="10" t="s">
        <v>12979</v>
      </c>
      <c r="F706" s="10" t="s">
        <v>12980</v>
      </c>
      <c r="H706" s="2" t="s">
        <v>151</v>
      </c>
      <c r="L706" s="18">
        <v>1</v>
      </c>
      <c r="M706" s="14" t="s">
        <v>8462</v>
      </c>
      <c r="N706" s="13">
        <v>44631</v>
      </c>
      <c r="O706" s="29">
        <v>39.99</v>
      </c>
      <c r="P706" s="18" t="s">
        <v>14</v>
      </c>
      <c r="Q706" s="18">
        <v>0</v>
      </c>
      <c r="U706" s="22">
        <v>0.84</v>
      </c>
      <c r="V706" s="22">
        <f>3.99/5</f>
        <v>0.79800000000000004</v>
      </c>
      <c r="X706" s="3">
        <v>4</v>
      </c>
      <c r="Z706" s="23">
        <v>12.5</v>
      </c>
      <c r="AB706" s="18">
        <f t="shared" ref="AB706:AB769" si="22">IFERROR(YEAR(C706), "Early Access")</f>
        <v>2021</v>
      </c>
      <c r="AC706" s="22">
        <f t="shared" ref="AC706:AC769" si="23">AVERAGE(T706, U706, V706, IF(ISBLANK(X706), X706, X706/5))</f>
        <v>0.81266666666666654</v>
      </c>
    </row>
    <row r="707" spans="1:29">
      <c r="A707" s="8" t="s">
        <v>12989</v>
      </c>
      <c r="B707" s="17" t="s">
        <v>7800</v>
      </c>
      <c r="C707" s="13">
        <v>44369</v>
      </c>
      <c r="D707" s="13" t="s">
        <v>8465</v>
      </c>
      <c r="E707" s="10" t="s">
        <v>1634</v>
      </c>
      <c r="F707" s="10" t="s">
        <v>12990</v>
      </c>
      <c r="H707" s="2" t="s">
        <v>27</v>
      </c>
      <c r="L707" s="18">
        <v>1</v>
      </c>
      <c r="N707" s="13">
        <v>44901</v>
      </c>
      <c r="O707" s="29">
        <v>12</v>
      </c>
      <c r="P707" s="18" t="s">
        <v>1107</v>
      </c>
      <c r="Q707" s="18">
        <v>0</v>
      </c>
      <c r="U707" s="22">
        <v>0.8</v>
      </c>
      <c r="V707" s="22">
        <f>3.5/5</f>
        <v>0.7</v>
      </c>
      <c r="W707" s="14" t="s">
        <v>7777</v>
      </c>
      <c r="X707" s="3">
        <v>2</v>
      </c>
      <c r="Z707" s="23">
        <v>6.5</v>
      </c>
      <c r="AB707" s="18">
        <f t="shared" si="22"/>
        <v>2021</v>
      </c>
      <c r="AC707" s="22">
        <f t="shared" si="23"/>
        <v>0.6333333333333333</v>
      </c>
    </row>
    <row r="708" spans="1:29" ht="25.5">
      <c r="A708" s="8" t="s">
        <v>11959</v>
      </c>
      <c r="B708" s="17" t="s">
        <v>9431</v>
      </c>
      <c r="C708" s="13">
        <v>44369</v>
      </c>
      <c r="D708" s="13" t="s">
        <v>8465</v>
      </c>
      <c r="E708" s="10" t="s">
        <v>11999</v>
      </c>
      <c r="F708" s="10" t="s">
        <v>12000</v>
      </c>
      <c r="G708" s="11" t="s">
        <v>445</v>
      </c>
      <c r="H708" s="2" t="s">
        <v>171</v>
      </c>
      <c r="L708" s="18">
        <v>1</v>
      </c>
      <c r="M708" s="14" t="s">
        <v>8462</v>
      </c>
      <c r="N708" s="13">
        <v>44722</v>
      </c>
      <c r="O708" s="29">
        <v>10.85</v>
      </c>
      <c r="P708" s="18" t="s">
        <v>14</v>
      </c>
      <c r="Q708" s="18">
        <v>0</v>
      </c>
      <c r="U708" s="22">
        <v>0.56999999999999995</v>
      </c>
      <c r="V708" s="22">
        <f>2.65/5</f>
        <v>0.53</v>
      </c>
      <c r="X708" s="3">
        <v>3</v>
      </c>
      <c r="Z708" s="23">
        <v>11.5</v>
      </c>
      <c r="AB708" s="18">
        <f t="shared" si="22"/>
        <v>2021</v>
      </c>
      <c r="AC708" s="22">
        <f t="shared" si="23"/>
        <v>0.56666666666666676</v>
      </c>
    </row>
    <row r="709" spans="1:29">
      <c r="A709" s="8" t="s">
        <v>15314</v>
      </c>
      <c r="B709" s="17" t="s">
        <v>7800</v>
      </c>
      <c r="C709" s="13">
        <v>44364</v>
      </c>
      <c r="D709" s="13" t="s">
        <v>8465</v>
      </c>
      <c r="E709" s="10" t="s">
        <v>9552</v>
      </c>
      <c r="F709" s="10" t="s">
        <v>15315</v>
      </c>
      <c r="H709" s="2" t="s">
        <v>3411</v>
      </c>
      <c r="L709" s="18">
        <v>1</v>
      </c>
      <c r="N709" s="13">
        <v>45107</v>
      </c>
      <c r="O709" s="29">
        <v>0</v>
      </c>
      <c r="P709" s="18" t="s">
        <v>1107</v>
      </c>
      <c r="Q709" s="18">
        <v>0</v>
      </c>
      <c r="U709" s="22">
        <v>0.78</v>
      </c>
      <c r="V709" s="22">
        <f>3.44/5</f>
        <v>0.68799999999999994</v>
      </c>
      <c r="W709" s="14" t="s">
        <v>7799</v>
      </c>
      <c r="X709" s="3">
        <v>2</v>
      </c>
      <c r="Z709" s="23">
        <v>8.5</v>
      </c>
      <c r="AB709" s="18">
        <f t="shared" si="22"/>
        <v>2021</v>
      </c>
      <c r="AC709" s="22">
        <f t="shared" si="23"/>
        <v>0.62266666666666659</v>
      </c>
    </row>
    <row r="710" spans="1:29">
      <c r="A710" s="8" t="s">
        <v>15697</v>
      </c>
      <c r="B710" s="17" t="s">
        <v>7800</v>
      </c>
      <c r="C710" s="13">
        <v>44364</v>
      </c>
      <c r="D710" s="13" t="s">
        <v>8465</v>
      </c>
      <c r="E710" s="10" t="s">
        <v>15698</v>
      </c>
      <c r="F710" s="10" t="s">
        <v>15699</v>
      </c>
      <c r="H710" s="2" t="s">
        <v>67</v>
      </c>
      <c r="L710" s="18">
        <v>1</v>
      </c>
      <c r="N710" s="13">
        <v>45169</v>
      </c>
      <c r="O710" s="29">
        <v>0</v>
      </c>
      <c r="P710" s="18" t="s">
        <v>1107</v>
      </c>
      <c r="Q710" s="18">
        <v>0</v>
      </c>
      <c r="W710" s="14" t="s">
        <v>15705</v>
      </c>
      <c r="X710" s="3">
        <v>2</v>
      </c>
      <c r="Z710" s="23">
        <v>2</v>
      </c>
      <c r="AB710" s="18">
        <f t="shared" si="22"/>
        <v>2021</v>
      </c>
      <c r="AC710" s="22">
        <f t="shared" si="23"/>
        <v>0.4</v>
      </c>
    </row>
    <row r="711" spans="1:29">
      <c r="A711" s="8" t="s">
        <v>13398</v>
      </c>
      <c r="B711" s="17" t="s">
        <v>7800</v>
      </c>
      <c r="C711" s="13">
        <v>44363</v>
      </c>
      <c r="D711" s="13" t="s">
        <v>8465</v>
      </c>
      <c r="E711" s="10" t="s">
        <v>13399</v>
      </c>
      <c r="F711" s="10" t="s">
        <v>13400</v>
      </c>
      <c r="H711" s="2" t="s">
        <v>1334</v>
      </c>
      <c r="L711" s="18">
        <v>1</v>
      </c>
      <c r="N711" s="13">
        <v>44595</v>
      </c>
      <c r="O711" s="29">
        <v>0</v>
      </c>
      <c r="P711" s="18" t="s">
        <v>1107</v>
      </c>
      <c r="Q711" s="18">
        <v>0</v>
      </c>
      <c r="V711" s="22">
        <f>3.8/5</f>
        <v>0.76</v>
      </c>
      <c r="W711" s="14" t="s">
        <v>7777</v>
      </c>
      <c r="X711" s="3">
        <v>2</v>
      </c>
      <c r="Z711" s="23">
        <v>2.5</v>
      </c>
      <c r="AB711" s="18">
        <f t="shared" si="22"/>
        <v>2021</v>
      </c>
      <c r="AC711" s="22">
        <f t="shared" si="23"/>
        <v>0.58000000000000007</v>
      </c>
    </row>
    <row r="712" spans="1:29">
      <c r="A712" s="8" t="s">
        <v>10729</v>
      </c>
      <c r="B712" s="17" t="s">
        <v>7800</v>
      </c>
      <c r="C712" s="13">
        <v>44362</v>
      </c>
      <c r="D712" s="13" t="s">
        <v>8465</v>
      </c>
      <c r="E712" s="10" t="s">
        <v>10730</v>
      </c>
      <c r="F712" s="10" t="s">
        <v>10730</v>
      </c>
      <c r="H712" s="2" t="s">
        <v>149</v>
      </c>
      <c r="L712" s="18">
        <v>1</v>
      </c>
      <c r="N712" s="13">
        <v>44531</v>
      </c>
      <c r="O712" s="29">
        <v>139.26</v>
      </c>
      <c r="P712" s="18" t="s">
        <v>1107</v>
      </c>
      <c r="Q712" s="18">
        <v>0</v>
      </c>
      <c r="U712" s="22">
        <v>0.87</v>
      </c>
      <c r="V712" s="22">
        <f>3.83/5</f>
        <v>0.76600000000000001</v>
      </c>
      <c r="W712" s="14" t="s">
        <v>7777</v>
      </c>
      <c r="X712" s="3">
        <v>4</v>
      </c>
      <c r="Z712" s="23">
        <v>6.5</v>
      </c>
      <c r="AB712" s="18">
        <f t="shared" si="22"/>
        <v>2021</v>
      </c>
      <c r="AC712" s="22">
        <f t="shared" si="23"/>
        <v>0.81199999999999994</v>
      </c>
    </row>
    <row r="713" spans="1:29">
      <c r="A713" s="8" t="s">
        <v>15037</v>
      </c>
      <c r="B713" s="17" t="s">
        <v>7800</v>
      </c>
      <c r="C713" s="13">
        <v>44362</v>
      </c>
      <c r="D713" s="13" t="s">
        <v>8465</v>
      </c>
      <c r="E713" s="10" t="s">
        <v>12705</v>
      </c>
      <c r="F713" s="10" t="s">
        <v>15038</v>
      </c>
      <c r="H713" s="2" t="s">
        <v>75</v>
      </c>
      <c r="L713" s="18">
        <v>1</v>
      </c>
      <c r="N713" s="13">
        <v>45084</v>
      </c>
      <c r="O713" s="29">
        <v>0</v>
      </c>
      <c r="P713" s="18" t="s">
        <v>1107</v>
      </c>
      <c r="Q713" s="18">
        <v>0</v>
      </c>
      <c r="U713" s="22">
        <v>0.8</v>
      </c>
      <c r="V713" s="22">
        <f>3.33/5</f>
        <v>0.66600000000000004</v>
      </c>
      <c r="W713" s="14" t="s">
        <v>7777</v>
      </c>
      <c r="X713" s="3">
        <v>4</v>
      </c>
      <c r="Z713" s="23">
        <v>24</v>
      </c>
      <c r="AB713" s="18">
        <f t="shared" si="22"/>
        <v>2021</v>
      </c>
      <c r="AC713" s="22">
        <f t="shared" si="23"/>
        <v>0.7553333333333333</v>
      </c>
    </row>
    <row r="714" spans="1:29" ht="30">
      <c r="A714" s="8" t="s">
        <v>546</v>
      </c>
      <c r="B714" s="17" t="s">
        <v>7744</v>
      </c>
      <c r="C714" s="13">
        <v>44362</v>
      </c>
      <c r="D714" s="13" t="s">
        <v>8465</v>
      </c>
      <c r="E714" s="10" t="s">
        <v>12207</v>
      </c>
      <c r="F714" s="10" t="s">
        <v>467</v>
      </c>
      <c r="G714" s="11" t="s">
        <v>546</v>
      </c>
      <c r="H714" s="2" t="s">
        <v>21</v>
      </c>
      <c r="L714" s="18">
        <v>1</v>
      </c>
      <c r="M714" s="14" t="s">
        <v>8462</v>
      </c>
      <c r="N714" s="13">
        <v>44499</v>
      </c>
      <c r="O714" s="29">
        <v>39.99</v>
      </c>
      <c r="P714" s="18" t="s">
        <v>14</v>
      </c>
      <c r="Q714" s="18">
        <v>0</v>
      </c>
      <c r="U714" s="22">
        <v>0.84</v>
      </c>
      <c r="V714" s="22">
        <f>4/5</f>
        <v>0.8</v>
      </c>
      <c r="W714" s="14" t="s">
        <v>1134</v>
      </c>
      <c r="X714" s="3">
        <v>3</v>
      </c>
      <c r="Z714" s="23">
        <f>51/60</f>
        <v>0.85</v>
      </c>
      <c r="AB714" s="18">
        <f t="shared" si="22"/>
        <v>2021</v>
      </c>
      <c r="AC714" s="22">
        <f t="shared" si="23"/>
        <v>0.7466666666666667</v>
      </c>
    </row>
    <row r="715" spans="1:29">
      <c r="A715" s="8" t="s">
        <v>13014</v>
      </c>
      <c r="B715" s="17" t="s">
        <v>7800</v>
      </c>
      <c r="C715" s="13">
        <v>44362</v>
      </c>
      <c r="D715" s="13" t="s">
        <v>8465</v>
      </c>
      <c r="E715" s="10" t="s">
        <v>13015</v>
      </c>
      <c r="F715" s="10" t="s">
        <v>13015</v>
      </c>
      <c r="H715" s="2" t="s">
        <v>1050</v>
      </c>
      <c r="L715" s="18">
        <v>1</v>
      </c>
      <c r="N715" s="13">
        <v>44917</v>
      </c>
      <c r="O715" s="29">
        <v>9.99</v>
      </c>
      <c r="P715" s="18" t="s">
        <v>1107</v>
      </c>
      <c r="Q715" s="18">
        <v>0</v>
      </c>
      <c r="U715" s="22">
        <v>0.89</v>
      </c>
      <c r="V715" s="22">
        <f>3.96/5</f>
        <v>0.79200000000000004</v>
      </c>
      <c r="W715" s="14" t="s">
        <v>7777</v>
      </c>
      <c r="X715" s="3">
        <v>4</v>
      </c>
      <c r="Z715" s="23">
        <v>5.5</v>
      </c>
      <c r="AB715" s="18">
        <f t="shared" si="22"/>
        <v>2021</v>
      </c>
      <c r="AC715" s="22">
        <f t="shared" si="23"/>
        <v>0.82733333333333337</v>
      </c>
    </row>
    <row r="716" spans="1:29">
      <c r="A716" s="8" t="s">
        <v>14389</v>
      </c>
      <c r="B716" s="17" t="s">
        <v>7744</v>
      </c>
      <c r="C716" s="13">
        <v>44360</v>
      </c>
      <c r="D716" s="13" t="s">
        <v>8465</v>
      </c>
      <c r="E716" s="10" t="s">
        <v>11305</v>
      </c>
      <c r="F716" s="10" t="s">
        <v>11437</v>
      </c>
      <c r="H716" s="2" t="s">
        <v>67</v>
      </c>
      <c r="L716" s="18">
        <v>1</v>
      </c>
      <c r="N716" s="13">
        <v>45037</v>
      </c>
      <c r="O716" s="29">
        <v>3.99</v>
      </c>
      <c r="P716" s="18" t="s">
        <v>1107</v>
      </c>
      <c r="Q716" s="18">
        <v>0</v>
      </c>
      <c r="V716" s="22">
        <f>3/5</f>
        <v>0.6</v>
      </c>
      <c r="X716" s="3">
        <v>3</v>
      </c>
      <c r="Z716" s="23">
        <v>5.5</v>
      </c>
      <c r="AB716" s="18">
        <f t="shared" si="22"/>
        <v>2021</v>
      </c>
      <c r="AC716" s="22">
        <f t="shared" si="23"/>
        <v>0.6</v>
      </c>
    </row>
    <row r="717" spans="1:29" ht="25.5">
      <c r="A717" s="8" t="s">
        <v>12220</v>
      </c>
      <c r="B717" s="17" t="s">
        <v>7800</v>
      </c>
      <c r="C717" s="13">
        <v>44359</v>
      </c>
      <c r="D717" s="13" t="s">
        <v>8465</v>
      </c>
      <c r="E717" s="10" t="s">
        <v>11312</v>
      </c>
      <c r="F717" s="10" t="s">
        <v>12221</v>
      </c>
      <c r="H717" s="2" t="s">
        <v>67</v>
      </c>
      <c r="L717" s="18">
        <v>1</v>
      </c>
      <c r="N717" s="13">
        <v>44774</v>
      </c>
      <c r="O717" s="29">
        <v>0</v>
      </c>
      <c r="P717" s="18" t="s">
        <v>1107</v>
      </c>
      <c r="Q717" s="18">
        <v>0</v>
      </c>
      <c r="V717" s="22">
        <f>3/5</f>
        <v>0.6</v>
      </c>
      <c r="W717" s="14" t="s">
        <v>7777</v>
      </c>
      <c r="X717" s="3">
        <v>2</v>
      </c>
      <c r="Z717" s="23">
        <v>2</v>
      </c>
      <c r="AB717" s="18">
        <f t="shared" si="22"/>
        <v>2021</v>
      </c>
      <c r="AC717" s="22">
        <f t="shared" si="23"/>
        <v>0.5</v>
      </c>
    </row>
    <row r="718" spans="1:29">
      <c r="A718" s="8" t="s">
        <v>9934</v>
      </c>
      <c r="B718" s="17" t="s">
        <v>9431</v>
      </c>
      <c r="C718" s="13">
        <v>44358</v>
      </c>
      <c r="D718" s="13" t="s">
        <v>8465</v>
      </c>
      <c r="E718" s="10" t="s">
        <v>479</v>
      </c>
      <c r="F718" s="10" t="s">
        <v>479</v>
      </c>
      <c r="G718" s="11" t="s">
        <v>447</v>
      </c>
      <c r="H718" s="2" t="s">
        <v>459</v>
      </c>
      <c r="L718" s="18">
        <v>1</v>
      </c>
      <c r="M718" s="14" t="s">
        <v>8462</v>
      </c>
      <c r="N718" s="13">
        <v>44244</v>
      </c>
      <c r="O718" s="29">
        <v>65.09</v>
      </c>
      <c r="P718" s="18" t="s">
        <v>14</v>
      </c>
      <c r="Q718" s="18">
        <v>0</v>
      </c>
      <c r="U718" s="22">
        <v>0.87</v>
      </c>
      <c r="V718" s="22">
        <f>3.84/5</f>
        <v>0.76800000000000002</v>
      </c>
      <c r="X718" s="3">
        <v>3</v>
      </c>
      <c r="Z718" s="23">
        <v>5.5</v>
      </c>
      <c r="AB718" s="18">
        <f t="shared" si="22"/>
        <v>2021</v>
      </c>
      <c r="AC718" s="22">
        <f t="shared" si="23"/>
        <v>0.746</v>
      </c>
    </row>
    <row r="719" spans="1:29">
      <c r="A719" s="8" t="s">
        <v>10525</v>
      </c>
      <c r="B719" s="17" t="s">
        <v>7744</v>
      </c>
      <c r="C719" s="13">
        <v>44358</v>
      </c>
      <c r="D719" s="13" t="s">
        <v>8465</v>
      </c>
      <c r="E719" s="10" t="s">
        <v>86</v>
      </c>
      <c r="F719" s="10" t="s">
        <v>1138</v>
      </c>
      <c r="H719" s="2" t="s">
        <v>9833</v>
      </c>
      <c r="L719" s="18">
        <v>1</v>
      </c>
      <c r="M719" s="14" t="s">
        <v>8462</v>
      </c>
      <c r="N719" s="13">
        <v>44482</v>
      </c>
      <c r="O719" s="29">
        <v>32.46</v>
      </c>
      <c r="P719" s="18" t="s">
        <v>14</v>
      </c>
      <c r="Q719" s="18">
        <v>0</v>
      </c>
      <c r="U719" s="22">
        <v>0.77</v>
      </c>
      <c r="V719" s="22">
        <f>3.84/5</f>
        <v>0.76800000000000002</v>
      </c>
      <c r="X719" s="3">
        <v>2</v>
      </c>
      <c r="Z719" s="23">
        <v>8.5</v>
      </c>
      <c r="AB719" s="18">
        <f t="shared" si="22"/>
        <v>2021</v>
      </c>
      <c r="AC719" s="22">
        <f t="shared" si="23"/>
        <v>0.64600000000000002</v>
      </c>
    </row>
    <row r="720" spans="1:29" ht="25.5">
      <c r="A720" s="8" t="s">
        <v>9944</v>
      </c>
      <c r="B720" s="17" t="s">
        <v>7744</v>
      </c>
      <c r="C720" s="13">
        <v>44357</v>
      </c>
      <c r="D720" s="13" t="s">
        <v>8465</v>
      </c>
      <c r="E720" s="10" t="s">
        <v>1565</v>
      </c>
      <c r="F720" s="10" t="s">
        <v>1565</v>
      </c>
      <c r="G720" s="11" t="s">
        <v>139</v>
      </c>
      <c r="H720" s="2" t="s">
        <v>1059</v>
      </c>
      <c r="L720" s="18">
        <v>1</v>
      </c>
      <c r="M720" s="14" t="s">
        <v>8462</v>
      </c>
      <c r="N720" s="13">
        <v>44275</v>
      </c>
      <c r="O720" s="29">
        <v>53.39</v>
      </c>
      <c r="P720" s="18" t="s">
        <v>14</v>
      </c>
      <c r="Q720" s="18">
        <v>0</v>
      </c>
      <c r="U720" s="22">
        <v>0.72</v>
      </c>
      <c r="V720" s="22">
        <f>4.1/5</f>
        <v>0.82</v>
      </c>
      <c r="X720" s="3">
        <v>3</v>
      </c>
      <c r="Z720" s="23">
        <v>31</v>
      </c>
      <c r="AB720" s="18">
        <f t="shared" si="22"/>
        <v>2021</v>
      </c>
      <c r="AC720" s="22">
        <f t="shared" si="23"/>
        <v>0.71333333333333337</v>
      </c>
    </row>
    <row r="721" spans="1:29" ht="30">
      <c r="A721" s="8" t="s">
        <v>10180</v>
      </c>
      <c r="B721" s="17" t="s">
        <v>9431</v>
      </c>
      <c r="C721" s="13">
        <v>44355</v>
      </c>
      <c r="D721" s="13" t="s">
        <v>8465</v>
      </c>
      <c r="E721" s="10" t="s">
        <v>1680</v>
      </c>
      <c r="F721" s="10" t="s">
        <v>3113</v>
      </c>
      <c r="G721" s="11" t="s">
        <v>1682</v>
      </c>
      <c r="H721" s="2" t="s">
        <v>149</v>
      </c>
      <c r="L721" s="18">
        <v>1</v>
      </c>
      <c r="M721" s="14" t="s">
        <v>8462</v>
      </c>
      <c r="N721" s="13">
        <v>44211</v>
      </c>
      <c r="O721" s="29">
        <v>49.99</v>
      </c>
      <c r="P721" s="18" t="s">
        <v>14</v>
      </c>
      <c r="Q721" s="18">
        <v>0</v>
      </c>
      <c r="U721" s="22">
        <v>0.75</v>
      </c>
      <c r="V721" s="22">
        <f>3.75/5</f>
        <v>0.75</v>
      </c>
      <c r="X721" s="3">
        <v>3</v>
      </c>
      <c r="Z721" s="23">
        <v>20</v>
      </c>
      <c r="AB721" s="18">
        <f t="shared" si="22"/>
        <v>2021</v>
      </c>
      <c r="AC721" s="22">
        <f t="shared" si="23"/>
        <v>0.70000000000000007</v>
      </c>
    </row>
    <row r="722" spans="1:29">
      <c r="A722" s="8" t="s">
        <v>11343</v>
      </c>
      <c r="B722" s="17" t="s">
        <v>7800</v>
      </c>
      <c r="C722" s="13">
        <v>44355</v>
      </c>
      <c r="D722" s="13" t="s">
        <v>8465</v>
      </c>
      <c r="E722" s="10" t="s">
        <v>3544</v>
      </c>
      <c r="F722" s="10" t="s">
        <v>11349</v>
      </c>
      <c r="H722" s="2" t="s">
        <v>67</v>
      </c>
      <c r="L722" s="18">
        <v>1</v>
      </c>
      <c r="N722" s="13">
        <v>44627</v>
      </c>
      <c r="O722" s="29">
        <v>0</v>
      </c>
      <c r="P722" s="18" t="s">
        <v>1107</v>
      </c>
      <c r="Q722" s="18">
        <v>0</v>
      </c>
      <c r="U722" s="22">
        <v>0.72</v>
      </c>
      <c r="V722" s="22">
        <f>2.5/5</f>
        <v>0.5</v>
      </c>
      <c r="W722" s="14" t="s">
        <v>7777</v>
      </c>
      <c r="X722" s="3">
        <v>3</v>
      </c>
      <c r="Z722" s="23">
        <v>4.5</v>
      </c>
      <c r="AB722" s="18">
        <f t="shared" si="22"/>
        <v>2021</v>
      </c>
      <c r="AC722" s="22">
        <f t="shared" si="23"/>
        <v>0.60666666666666658</v>
      </c>
    </row>
    <row r="723" spans="1:29">
      <c r="A723" s="8" t="s">
        <v>14223</v>
      </c>
      <c r="B723" s="17" t="s">
        <v>7800</v>
      </c>
      <c r="C723" s="13">
        <v>44352</v>
      </c>
      <c r="D723" s="13" t="s">
        <v>8465</v>
      </c>
      <c r="E723" s="10" t="s">
        <v>14224</v>
      </c>
      <c r="F723" s="10" t="s">
        <v>7191</v>
      </c>
      <c r="H723" s="2" t="s">
        <v>64</v>
      </c>
      <c r="L723" s="18">
        <v>1</v>
      </c>
      <c r="O723" s="29">
        <v>0</v>
      </c>
      <c r="P723" s="18" t="s">
        <v>1107</v>
      </c>
      <c r="Q723" s="18">
        <v>0</v>
      </c>
      <c r="U723" s="22">
        <v>0.81</v>
      </c>
      <c r="V723" s="22">
        <f>3.5/5</f>
        <v>0.7</v>
      </c>
      <c r="W723" s="14" t="s">
        <v>8765</v>
      </c>
      <c r="X723" s="3">
        <v>2</v>
      </c>
      <c r="Z723" s="23">
        <v>1</v>
      </c>
      <c r="AB723" s="18">
        <f t="shared" si="22"/>
        <v>2021</v>
      </c>
      <c r="AC723" s="22">
        <f t="shared" si="23"/>
        <v>0.63666666666666671</v>
      </c>
    </row>
    <row r="724" spans="1:29">
      <c r="A724" s="8" t="s">
        <v>10169</v>
      </c>
      <c r="B724" s="17" t="s">
        <v>7763</v>
      </c>
      <c r="C724" s="13">
        <v>44351</v>
      </c>
      <c r="D724" s="13" t="s">
        <v>9335</v>
      </c>
      <c r="E724" s="10" t="s">
        <v>3195</v>
      </c>
      <c r="F724" s="10" t="s">
        <v>3195</v>
      </c>
      <c r="G724" s="11" t="s">
        <v>10157</v>
      </c>
      <c r="H724" s="2" t="s">
        <v>21</v>
      </c>
      <c r="K724" s="18">
        <v>2</v>
      </c>
      <c r="L724" s="18">
        <v>1</v>
      </c>
      <c r="M724" s="14" t="s">
        <v>8462</v>
      </c>
      <c r="N724" s="13">
        <v>44329</v>
      </c>
      <c r="O724" s="29">
        <v>41.14</v>
      </c>
      <c r="P724" s="18" t="s">
        <v>14</v>
      </c>
      <c r="Q724" s="18">
        <v>0</v>
      </c>
      <c r="V724" s="22">
        <f>4/5</f>
        <v>0.8</v>
      </c>
      <c r="W724" s="14" t="s">
        <v>7524</v>
      </c>
      <c r="X724" s="3">
        <v>3</v>
      </c>
      <c r="Z724" s="23">
        <v>7.5</v>
      </c>
      <c r="AB724" s="18">
        <f t="shared" si="22"/>
        <v>2021</v>
      </c>
      <c r="AC724" s="22">
        <f t="shared" si="23"/>
        <v>0.7</v>
      </c>
    </row>
    <row r="725" spans="1:29" ht="30">
      <c r="A725" s="8" t="s">
        <v>11116</v>
      </c>
      <c r="B725" s="17" t="s">
        <v>7744</v>
      </c>
      <c r="C725" s="13">
        <v>44350</v>
      </c>
      <c r="D725" s="13" t="s">
        <v>8465</v>
      </c>
      <c r="E725" s="10" t="s">
        <v>7867</v>
      </c>
      <c r="F725" s="10" t="s">
        <v>12922</v>
      </c>
      <c r="H725" s="2" t="s">
        <v>151</v>
      </c>
      <c r="L725" s="18">
        <v>1</v>
      </c>
      <c r="M725" s="14" t="s">
        <v>8462</v>
      </c>
      <c r="N725" s="13">
        <v>44586</v>
      </c>
      <c r="O725" s="29">
        <v>42.95</v>
      </c>
      <c r="P725" s="18" t="s">
        <v>14</v>
      </c>
      <c r="Q725" s="18">
        <v>0</v>
      </c>
      <c r="U725" s="22">
        <v>0.82</v>
      </c>
      <c r="V725" s="22">
        <f>3.86/5</f>
        <v>0.77200000000000002</v>
      </c>
      <c r="W725" s="14" t="s">
        <v>1134</v>
      </c>
      <c r="X725" s="3">
        <v>3</v>
      </c>
      <c r="Z725" s="23">
        <v>11</v>
      </c>
      <c r="AB725" s="18">
        <f t="shared" si="22"/>
        <v>2021</v>
      </c>
      <c r="AC725" s="22">
        <f t="shared" si="23"/>
        <v>0.73066666666666669</v>
      </c>
    </row>
    <row r="726" spans="1:29">
      <c r="A726" s="8" t="s">
        <v>10602</v>
      </c>
      <c r="B726" s="17" t="s">
        <v>7760</v>
      </c>
      <c r="C726" s="13">
        <v>44350</v>
      </c>
      <c r="D726" s="13" t="s">
        <v>8465</v>
      </c>
      <c r="E726" s="10" t="s">
        <v>10603</v>
      </c>
      <c r="F726" s="10" t="s">
        <v>10603</v>
      </c>
      <c r="H726" s="2" t="s">
        <v>1061</v>
      </c>
      <c r="I726" s="18">
        <v>1</v>
      </c>
      <c r="L726" s="18">
        <v>1</v>
      </c>
      <c r="N726" s="13">
        <v>44502</v>
      </c>
      <c r="O726" s="29">
        <v>0</v>
      </c>
      <c r="P726" s="18" t="s">
        <v>1107</v>
      </c>
      <c r="Q726" s="18">
        <v>0</v>
      </c>
      <c r="U726" s="22">
        <v>0.78</v>
      </c>
      <c r="V726" s="22">
        <f>3.06/5</f>
        <v>0.61199999999999999</v>
      </c>
      <c r="W726" s="14" t="s">
        <v>6072</v>
      </c>
      <c r="X726" s="3">
        <v>3</v>
      </c>
      <c r="Z726" s="23">
        <v>10.5</v>
      </c>
      <c r="AB726" s="18">
        <f t="shared" si="22"/>
        <v>2021</v>
      </c>
      <c r="AC726" s="22">
        <f t="shared" si="23"/>
        <v>0.66400000000000003</v>
      </c>
    </row>
    <row r="727" spans="1:29" ht="25.5">
      <c r="A727" s="8" t="s">
        <v>12147</v>
      </c>
      <c r="B727" s="17" t="s">
        <v>7800</v>
      </c>
      <c r="C727" s="13">
        <v>44347</v>
      </c>
      <c r="D727" s="13" t="s">
        <v>8465</v>
      </c>
      <c r="E727" s="10" t="s">
        <v>12148</v>
      </c>
      <c r="F727" s="10" t="s">
        <v>3765</v>
      </c>
      <c r="G727" s="11" t="s">
        <v>5534</v>
      </c>
      <c r="H727" s="2" t="s">
        <v>1050</v>
      </c>
      <c r="L727" s="18">
        <v>1</v>
      </c>
      <c r="N727" s="13">
        <v>44747</v>
      </c>
      <c r="O727" s="29">
        <v>0</v>
      </c>
      <c r="P727" s="18" t="s">
        <v>1107</v>
      </c>
      <c r="Q727" s="18">
        <v>0</v>
      </c>
      <c r="U727" s="22">
        <v>0.62</v>
      </c>
      <c r="V727" s="22">
        <f>3.33/5</f>
        <v>0.66600000000000004</v>
      </c>
      <c r="W727" s="14" t="s">
        <v>7777</v>
      </c>
      <c r="X727" s="3">
        <v>3</v>
      </c>
      <c r="Z727" s="23">
        <v>8</v>
      </c>
      <c r="AB727" s="18">
        <f t="shared" si="22"/>
        <v>2021</v>
      </c>
      <c r="AC727" s="22">
        <f t="shared" si="23"/>
        <v>0.62866666666666671</v>
      </c>
    </row>
    <row r="728" spans="1:29" ht="25.5">
      <c r="A728" s="8" t="s">
        <v>9948</v>
      </c>
      <c r="B728" s="17" t="s">
        <v>7744</v>
      </c>
      <c r="C728" s="13">
        <v>44344</v>
      </c>
      <c r="D728" s="13" t="s">
        <v>8465</v>
      </c>
      <c r="E728" s="10" t="s">
        <v>8933</v>
      </c>
      <c r="F728" s="10" t="s">
        <v>10167</v>
      </c>
      <c r="G728" s="11" t="s">
        <v>1727</v>
      </c>
      <c r="H728" s="2" t="s">
        <v>64</v>
      </c>
      <c r="L728" s="18">
        <v>1</v>
      </c>
      <c r="M728" s="14" t="s">
        <v>8462</v>
      </c>
      <c r="N728" s="13">
        <v>44281</v>
      </c>
      <c r="O728" s="29">
        <v>39.99</v>
      </c>
      <c r="P728" s="18" t="s">
        <v>14</v>
      </c>
      <c r="Q728" s="18">
        <v>0</v>
      </c>
      <c r="U728" s="22">
        <v>0.69</v>
      </c>
      <c r="V728" s="22">
        <f>3.74/5</f>
        <v>0.748</v>
      </c>
      <c r="X728" s="3">
        <v>3</v>
      </c>
      <c r="Z728" s="23">
        <v>5</v>
      </c>
      <c r="AB728" s="18">
        <f t="shared" si="22"/>
        <v>2021</v>
      </c>
      <c r="AC728" s="22">
        <f t="shared" si="23"/>
        <v>0.67933333333333323</v>
      </c>
    </row>
    <row r="729" spans="1:29">
      <c r="A729" s="8" t="s">
        <v>9938</v>
      </c>
      <c r="B729" s="17" t="s">
        <v>7744</v>
      </c>
      <c r="C729" s="13">
        <v>44344</v>
      </c>
      <c r="D729" s="13" t="s">
        <v>8465</v>
      </c>
      <c r="E729" s="10" t="s">
        <v>1062</v>
      </c>
      <c r="F729" s="10" t="s">
        <v>10166</v>
      </c>
      <c r="H729" s="2" t="s">
        <v>80</v>
      </c>
      <c r="L729" s="18">
        <v>1</v>
      </c>
      <c r="M729" s="14" t="s">
        <v>8462</v>
      </c>
      <c r="N729" s="13">
        <v>44248</v>
      </c>
      <c r="O729" s="29">
        <v>54.24</v>
      </c>
      <c r="P729" s="18" t="s">
        <v>14</v>
      </c>
      <c r="Q729" s="18">
        <v>0</v>
      </c>
      <c r="U729" s="22">
        <v>0.66</v>
      </c>
      <c r="V729" s="22">
        <f>3.05/5</f>
        <v>0.61</v>
      </c>
      <c r="W729" s="14" t="s">
        <v>10168</v>
      </c>
      <c r="X729" s="3">
        <v>3</v>
      </c>
      <c r="Z729" s="23">
        <v>5</v>
      </c>
      <c r="AB729" s="18">
        <f t="shared" si="22"/>
        <v>2021</v>
      </c>
      <c r="AC729" s="22">
        <f t="shared" si="23"/>
        <v>0.62333333333333341</v>
      </c>
    </row>
    <row r="730" spans="1:29" ht="25.5">
      <c r="A730" s="8" t="s">
        <v>14782</v>
      </c>
      <c r="B730" s="17" t="s">
        <v>7800</v>
      </c>
      <c r="C730" s="13">
        <v>44343</v>
      </c>
      <c r="D730" s="13" t="s">
        <v>8465</v>
      </c>
      <c r="E730" s="10" t="s">
        <v>14783</v>
      </c>
      <c r="F730" s="10" t="s">
        <v>14784</v>
      </c>
      <c r="G730" s="11" t="s">
        <v>14785</v>
      </c>
      <c r="H730" s="2" t="s">
        <v>3411</v>
      </c>
      <c r="L730" s="18">
        <v>1</v>
      </c>
      <c r="N730" s="13">
        <v>45065</v>
      </c>
      <c r="O730" s="29">
        <v>0</v>
      </c>
      <c r="P730" s="18" t="s">
        <v>1107</v>
      </c>
      <c r="Q730" s="18">
        <v>0</v>
      </c>
      <c r="U730" s="22">
        <v>0.82</v>
      </c>
      <c r="V730" s="22">
        <f>3.69/5</f>
        <v>0.73799999999999999</v>
      </c>
      <c r="W730" s="14" t="s">
        <v>7777</v>
      </c>
      <c r="X730" s="3">
        <v>2</v>
      </c>
      <c r="Z730" s="23">
        <v>14.5</v>
      </c>
      <c r="AB730" s="18">
        <f t="shared" si="22"/>
        <v>2021</v>
      </c>
      <c r="AC730" s="22">
        <f t="shared" si="23"/>
        <v>0.65266666666666662</v>
      </c>
    </row>
    <row r="731" spans="1:29">
      <c r="A731" s="8" t="s">
        <v>14133</v>
      </c>
      <c r="B731" s="17" t="s">
        <v>7800</v>
      </c>
      <c r="C731" s="13">
        <v>44343</v>
      </c>
      <c r="D731" s="13" t="s">
        <v>8465</v>
      </c>
      <c r="E731" s="10" t="s">
        <v>14134</v>
      </c>
      <c r="F731" s="10" t="s">
        <v>14135</v>
      </c>
      <c r="H731" s="2" t="s">
        <v>31</v>
      </c>
      <c r="L731" s="18">
        <v>1</v>
      </c>
      <c r="O731" s="29">
        <v>0</v>
      </c>
      <c r="P731" s="18" t="s">
        <v>1107</v>
      </c>
      <c r="Q731" s="18">
        <v>0</v>
      </c>
      <c r="W731" s="14" t="s">
        <v>8765</v>
      </c>
      <c r="X731" s="3">
        <v>2</v>
      </c>
      <c r="Z731" s="23">
        <v>4</v>
      </c>
      <c r="AB731" s="18">
        <f t="shared" si="22"/>
        <v>2021</v>
      </c>
      <c r="AC731" s="22">
        <f t="shared" si="23"/>
        <v>0.4</v>
      </c>
    </row>
    <row r="732" spans="1:29">
      <c r="A732" s="8" t="s">
        <v>13356</v>
      </c>
      <c r="B732" s="17" t="s">
        <v>7800</v>
      </c>
      <c r="C732" s="13">
        <v>44342</v>
      </c>
      <c r="D732" s="13" t="s">
        <v>8465</v>
      </c>
      <c r="E732" s="10" t="s">
        <v>13357</v>
      </c>
      <c r="F732" s="10" t="s">
        <v>13357</v>
      </c>
      <c r="H732" s="2" t="s">
        <v>67</v>
      </c>
      <c r="L732" s="18">
        <v>1</v>
      </c>
      <c r="N732" s="13">
        <v>44952</v>
      </c>
      <c r="O732" s="29">
        <v>1.49</v>
      </c>
      <c r="P732" s="18" t="s">
        <v>1107</v>
      </c>
      <c r="Q732" s="18">
        <v>0</v>
      </c>
      <c r="U732" s="22">
        <v>0.78</v>
      </c>
      <c r="V732" s="22">
        <f>4.08/5</f>
        <v>0.81600000000000006</v>
      </c>
      <c r="W732" s="14" t="s">
        <v>7777</v>
      </c>
      <c r="X732" s="3">
        <v>3</v>
      </c>
      <c r="Z732" s="23">
        <v>2.5</v>
      </c>
      <c r="AB732" s="18">
        <f t="shared" si="22"/>
        <v>2021</v>
      </c>
      <c r="AC732" s="22">
        <f t="shared" si="23"/>
        <v>0.7320000000000001</v>
      </c>
    </row>
    <row r="733" spans="1:29">
      <c r="A733" s="8" t="s">
        <v>13327</v>
      </c>
      <c r="B733" s="17" t="s">
        <v>7800</v>
      </c>
      <c r="C733" s="13">
        <v>44341</v>
      </c>
      <c r="D733" s="13" t="s">
        <v>8465</v>
      </c>
      <c r="E733" s="10" t="s">
        <v>3066</v>
      </c>
      <c r="F733" s="10" t="s">
        <v>4743</v>
      </c>
      <c r="H733" s="2" t="s">
        <v>67</v>
      </c>
      <c r="L733" s="18">
        <v>1</v>
      </c>
      <c r="N733" s="13">
        <v>44937</v>
      </c>
      <c r="O733" s="29">
        <v>10</v>
      </c>
      <c r="P733" s="18" t="s">
        <v>1107</v>
      </c>
      <c r="Q733" s="18">
        <v>0</v>
      </c>
      <c r="U733" s="22">
        <v>0.77</v>
      </c>
      <c r="V733" s="22">
        <f>4.17/5</f>
        <v>0.83399999999999996</v>
      </c>
      <c r="W733" s="14" t="s">
        <v>7777</v>
      </c>
      <c r="X733" s="3">
        <v>4</v>
      </c>
      <c r="Z733" s="23">
        <v>4</v>
      </c>
      <c r="AB733" s="18">
        <f t="shared" si="22"/>
        <v>2021</v>
      </c>
      <c r="AC733" s="22">
        <f t="shared" si="23"/>
        <v>0.80133333333333334</v>
      </c>
    </row>
    <row r="734" spans="1:29" ht="38.25">
      <c r="A734" s="8" t="s">
        <v>10162</v>
      </c>
      <c r="B734" s="17" t="s">
        <v>7744</v>
      </c>
      <c r="C734" s="13">
        <v>44341</v>
      </c>
      <c r="D734" s="13" t="s">
        <v>8465</v>
      </c>
      <c r="E734" s="10" t="s">
        <v>455</v>
      </c>
      <c r="F734" s="10" t="s">
        <v>228</v>
      </c>
      <c r="G734" s="11" t="s">
        <v>1171</v>
      </c>
      <c r="H734" s="2" t="s">
        <v>149</v>
      </c>
      <c r="L734" s="18">
        <v>1</v>
      </c>
      <c r="M734" s="14" t="s">
        <v>8462</v>
      </c>
      <c r="N734" s="13">
        <v>44278</v>
      </c>
      <c r="O734" s="29">
        <v>54.24</v>
      </c>
      <c r="P734" s="18" t="s">
        <v>14</v>
      </c>
      <c r="Q734" s="18">
        <v>0</v>
      </c>
      <c r="U734" s="22">
        <v>0.77</v>
      </c>
      <c r="V734" s="22">
        <f>3.6/5</f>
        <v>0.72</v>
      </c>
      <c r="X734" s="3">
        <v>4</v>
      </c>
      <c r="Z734" s="23">
        <v>53</v>
      </c>
      <c r="AB734" s="18">
        <f t="shared" si="22"/>
        <v>2021</v>
      </c>
      <c r="AC734" s="22">
        <f t="shared" si="23"/>
        <v>0.76333333333333331</v>
      </c>
    </row>
    <row r="735" spans="1:29">
      <c r="A735" s="8" t="s">
        <v>10714</v>
      </c>
      <c r="B735" s="17" t="s">
        <v>7760</v>
      </c>
      <c r="C735" s="13">
        <v>44341</v>
      </c>
      <c r="D735" s="13" t="s">
        <v>8465</v>
      </c>
      <c r="E735" s="10" t="s">
        <v>1583</v>
      </c>
      <c r="F735" s="10" t="s">
        <v>10728</v>
      </c>
      <c r="H735" s="2" t="s">
        <v>80</v>
      </c>
      <c r="L735" s="18">
        <v>1</v>
      </c>
      <c r="M735" s="14" t="s">
        <v>8462</v>
      </c>
      <c r="N735" s="13">
        <v>44522</v>
      </c>
      <c r="O735" s="29">
        <v>14.11</v>
      </c>
      <c r="P735" s="18" t="s">
        <v>14</v>
      </c>
      <c r="Q735" s="18">
        <v>0</v>
      </c>
      <c r="U735" s="22">
        <v>0.64</v>
      </c>
      <c r="V735" s="22">
        <f>3.62/5</f>
        <v>0.72399999999999998</v>
      </c>
      <c r="X735" s="3">
        <v>3</v>
      </c>
      <c r="Z735" s="23">
        <v>11</v>
      </c>
      <c r="AB735" s="18">
        <f t="shared" si="22"/>
        <v>2021</v>
      </c>
      <c r="AC735" s="22">
        <f t="shared" si="23"/>
        <v>0.65466666666666662</v>
      </c>
    </row>
    <row r="736" spans="1:29" ht="25.5">
      <c r="A736" s="8" t="s">
        <v>13381</v>
      </c>
      <c r="B736" s="17" t="s">
        <v>7800</v>
      </c>
      <c r="C736" s="13">
        <v>44341</v>
      </c>
      <c r="D736" s="13" t="s">
        <v>8465</v>
      </c>
      <c r="E736" s="10" t="s">
        <v>13382</v>
      </c>
      <c r="F736" s="10" t="s">
        <v>13382</v>
      </c>
      <c r="H736" s="2" t="s">
        <v>67</v>
      </c>
      <c r="L736" s="18">
        <v>1</v>
      </c>
      <c r="N736" s="13">
        <v>44958</v>
      </c>
      <c r="O736" s="29">
        <v>10</v>
      </c>
      <c r="P736" s="18" t="s">
        <v>1107</v>
      </c>
      <c r="Q736" s="18">
        <v>0</v>
      </c>
      <c r="U736" s="22">
        <v>0.64</v>
      </c>
      <c r="V736" s="22">
        <f>3.25/5</f>
        <v>0.65</v>
      </c>
      <c r="W736" s="14" t="s">
        <v>7777</v>
      </c>
      <c r="X736" s="3">
        <v>3</v>
      </c>
      <c r="Z736" s="23">
        <v>5</v>
      </c>
      <c r="AB736" s="18">
        <f t="shared" si="22"/>
        <v>2021</v>
      </c>
      <c r="AC736" s="22">
        <f t="shared" si="23"/>
        <v>0.63</v>
      </c>
    </row>
    <row r="737" spans="1:29">
      <c r="A737" s="8" t="s">
        <v>9937</v>
      </c>
      <c r="B737" s="17" t="s">
        <v>7744</v>
      </c>
      <c r="C737" s="13">
        <v>44337</v>
      </c>
      <c r="D737" s="13" t="s">
        <v>8465</v>
      </c>
      <c r="E737" s="10" t="s">
        <v>86</v>
      </c>
      <c r="F737" s="10" t="s">
        <v>1138</v>
      </c>
      <c r="H737" s="2" t="s">
        <v>149</v>
      </c>
      <c r="L737" s="18">
        <v>1</v>
      </c>
      <c r="M737" s="14" t="s">
        <v>8462</v>
      </c>
      <c r="N737" s="13">
        <v>44247</v>
      </c>
      <c r="O737" s="29">
        <v>54.12</v>
      </c>
      <c r="P737" s="18" t="s">
        <v>14</v>
      </c>
      <c r="Q737" s="18">
        <v>0</v>
      </c>
      <c r="U737" s="22">
        <v>0.71</v>
      </c>
      <c r="V737" s="22">
        <f>4.19/5</f>
        <v>0.83800000000000008</v>
      </c>
      <c r="X737" s="3">
        <v>3</v>
      </c>
      <c r="Z737" s="23">
        <v>29</v>
      </c>
      <c r="AB737" s="18">
        <f t="shared" si="22"/>
        <v>2021</v>
      </c>
      <c r="AC737" s="22">
        <f t="shared" si="23"/>
        <v>0.71600000000000008</v>
      </c>
    </row>
    <row r="738" spans="1:29">
      <c r="A738" s="8" t="s">
        <v>12231</v>
      </c>
      <c r="B738" s="17" t="s">
        <v>7800</v>
      </c>
      <c r="C738" s="13">
        <v>44336</v>
      </c>
      <c r="D738" s="13" t="s">
        <v>8465</v>
      </c>
      <c r="E738" s="10" t="s">
        <v>12232</v>
      </c>
      <c r="F738" s="10" t="s">
        <v>12233</v>
      </c>
      <c r="H738" s="2" t="s">
        <v>1334</v>
      </c>
      <c r="L738" s="18">
        <v>1</v>
      </c>
      <c r="N738" s="13">
        <v>44775</v>
      </c>
      <c r="O738" s="29">
        <v>0</v>
      </c>
      <c r="P738" s="18" t="s">
        <v>1107</v>
      </c>
      <c r="Q738" s="18">
        <v>0</v>
      </c>
      <c r="U738" s="22">
        <v>0.76</v>
      </c>
      <c r="V738" s="22">
        <f>3.83/5</f>
        <v>0.76600000000000001</v>
      </c>
      <c r="W738" s="14" t="s">
        <v>7777</v>
      </c>
      <c r="X738" s="3">
        <v>2</v>
      </c>
      <c r="Z738" s="23">
        <v>4</v>
      </c>
      <c r="AB738" s="18">
        <f t="shared" si="22"/>
        <v>2021</v>
      </c>
      <c r="AC738" s="22">
        <f t="shared" si="23"/>
        <v>0.64200000000000002</v>
      </c>
    </row>
    <row r="739" spans="1:29" ht="25.5">
      <c r="A739" s="8" t="s">
        <v>12509</v>
      </c>
      <c r="B739" s="17" t="s">
        <v>7800</v>
      </c>
      <c r="C739" s="13">
        <v>44336</v>
      </c>
      <c r="D739" s="13" t="s">
        <v>8465</v>
      </c>
      <c r="E739" s="10" t="s">
        <v>11982</v>
      </c>
      <c r="F739" s="10" t="s">
        <v>12510</v>
      </c>
      <c r="H739" s="2" t="s">
        <v>80</v>
      </c>
      <c r="L739" s="18">
        <v>1</v>
      </c>
      <c r="N739" s="13">
        <v>44818</v>
      </c>
      <c r="O739" s="29">
        <v>0</v>
      </c>
      <c r="P739" s="18" t="s">
        <v>1107</v>
      </c>
      <c r="Q739" s="18">
        <v>0</v>
      </c>
      <c r="W739" s="14" t="s">
        <v>7777</v>
      </c>
      <c r="X739" s="3">
        <v>2</v>
      </c>
      <c r="Z739" s="23">
        <v>6</v>
      </c>
      <c r="AB739" s="18">
        <f t="shared" si="22"/>
        <v>2021</v>
      </c>
      <c r="AC739" s="22">
        <f t="shared" si="23"/>
        <v>0.4</v>
      </c>
    </row>
    <row r="740" spans="1:29" ht="30">
      <c r="A740" s="8" t="s">
        <v>10652</v>
      </c>
      <c r="B740" s="17" t="s">
        <v>7800</v>
      </c>
      <c r="C740" s="13">
        <v>44335</v>
      </c>
      <c r="D740" s="13" t="s">
        <v>8465</v>
      </c>
      <c r="E740" s="10" t="s">
        <v>1707</v>
      </c>
      <c r="F740" s="10" t="s">
        <v>10653</v>
      </c>
      <c r="G740" s="11" t="s">
        <v>10652</v>
      </c>
      <c r="H740" s="2" t="s">
        <v>64</v>
      </c>
      <c r="L740" s="18">
        <v>1</v>
      </c>
      <c r="N740" s="13">
        <v>44510</v>
      </c>
      <c r="O740" s="29">
        <v>8.39</v>
      </c>
      <c r="P740" s="18" t="s">
        <v>1107</v>
      </c>
      <c r="Q740" s="18">
        <v>0</v>
      </c>
      <c r="U740" s="22">
        <v>0.74</v>
      </c>
      <c r="V740" s="22">
        <f>2.5/5</f>
        <v>0.5</v>
      </c>
      <c r="W740" s="14" t="s">
        <v>7777</v>
      </c>
      <c r="X740" s="3">
        <v>4</v>
      </c>
      <c r="Z740" s="23">
        <v>1.5</v>
      </c>
      <c r="AB740" s="18">
        <f t="shared" si="22"/>
        <v>2021</v>
      </c>
      <c r="AC740" s="22">
        <f t="shared" si="23"/>
        <v>0.68</v>
      </c>
    </row>
    <row r="741" spans="1:29">
      <c r="A741" s="8" t="s">
        <v>12789</v>
      </c>
      <c r="B741" s="17" t="s">
        <v>7800</v>
      </c>
      <c r="C741" s="13">
        <v>44335</v>
      </c>
      <c r="D741" s="13" t="s">
        <v>8465</v>
      </c>
      <c r="E741" s="10" t="s">
        <v>10083</v>
      </c>
      <c r="F741" s="10" t="s">
        <v>12790</v>
      </c>
      <c r="H741" s="2" t="s">
        <v>1518</v>
      </c>
      <c r="L741" s="18">
        <v>1</v>
      </c>
      <c r="N741" s="13">
        <v>44840</v>
      </c>
      <c r="O741" s="29">
        <v>0</v>
      </c>
      <c r="P741" s="18" t="s">
        <v>1107</v>
      </c>
      <c r="Q741" s="18">
        <v>0</v>
      </c>
      <c r="V741" s="22">
        <f>3.57/5</f>
        <v>0.71399999999999997</v>
      </c>
      <c r="W741" s="14" t="s">
        <v>7097</v>
      </c>
      <c r="X741" s="3">
        <v>2</v>
      </c>
      <c r="Z741" s="23">
        <v>3.5</v>
      </c>
      <c r="AB741" s="18">
        <f t="shared" si="22"/>
        <v>2021</v>
      </c>
      <c r="AC741" s="22">
        <f t="shared" si="23"/>
        <v>0.55699999999999994</v>
      </c>
    </row>
    <row r="742" spans="1:29" ht="30">
      <c r="A742" s="8" t="s">
        <v>10652</v>
      </c>
      <c r="B742" s="17" t="s">
        <v>7744</v>
      </c>
      <c r="C742" s="13">
        <v>44335</v>
      </c>
      <c r="D742" s="13" t="s">
        <v>8467</v>
      </c>
      <c r="E742" s="10" t="s">
        <v>1707</v>
      </c>
      <c r="F742" s="10" t="s">
        <v>10653</v>
      </c>
      <c r="G742" s="11" t="s">
        <v>10652</v>
      </c>
      <c r="H742" s="2" t="s">
        <v>64</v>
      </c>
      <c r="L742" s="18">
        <v>1</v>
      </c>
      <c r="M742" s="14" t="s">
        <v>8462</v>
      </c>
      <c r="N742" s="13">
        <v>44771</v>
      </c>
      <c r="O742" s="29">
        <v>48.24</v>
      </c>
      <c r="P742" s="18" t="s">
        <v>14</v>
      </c>
      <c r="Q742" s="18">
        <v>0</v>
      </c>
      <c r="U742" s="22">
        <v>0.66</v>
      </c>
      <c r="V742" s="22">
        <f>3.75/5</f>
        <v>0.75</v>
      </c>
      <c r="W742" s="14" t="s">
        <v>1739</v>
      </c>
      <c r="X742" s="3">
        <v>2</v>
      </c>
      <c r="Z742" s="23">
        <v>1.5</v>
      </c>
      <c r="AB742" s="18">
        <f t="shared" si="22"/>
        <v>2021</v>
      </c>
      <c r="AC742" s="22">
        <f t="shared" si="23"/>
        <v>0.60333333333333339</v>
      </c>
    </row>
    <row r="743" spans="1:29">
      <c r="A743" s="8" t="s">
        <v>15979</v>
      </c>
      <c r="B743" s="17" t="s">
        <v>7800</v>
      </c>
      <c r="C743" s="13">
        <v>44335</v>
      </c>
      <c r="D743" s="13" t="s">
        <v>8465</v>
      </c>
      <c r="E743" s="10" t="s">
        <v>9249</v>
      </c>
      <c r="F743" s="10" t="s">
        <v>15980</v>
      </c>
      <c r="H743" s="2" t="s">
        <v>80</v>
      </c>
      <c r="L743" s="18">
        <v>1</v>
      </c>
      <c r="N743" s="13">
        <v>45196</v>
      </c>
      <c r="O743" s="29">
        <v>0</v>
      </c>
      <c r="P743" s="18" t="s">
        <v>1107</v>
      </c>
      <c r="Q743" s="18">
        <v>0</v>
      </c>
      <c r="U743" s="22">
        <v>0.76</v>
      </c>
      <c r="V743" s="22">
        <f>3.83/5</f>
        <v>0.76600000000000001</v>
      </c>
      <c r="W743" s="14" t="s">
        <v>7777</v>
      </c>
      <c r="X743" s="3">
        <v>3</v>
      </c>
      <c r="Z743" s="23">
        <v>11.5</v>
      </c>
      <c r="AB743" s="18">
        <f t="shared" si="22"/>
        <v>2021</v>
      </c>
      <c r="AC743" s="22">
        <f t="shared" si="23"/>
        <v>0.70866666666666667</v>
      </c>
    </row>
    <row r="744" spans="1:29">
      <c r="A744" s="8" t="s">
        <v>10543</v>
      </c>
      <c r="B744" s="17" t="s">
        <v>7744</v>
      </c>
      <c r="C744" s="13">
        <v>44334</v>
      </c>
      <c r="D744" s="13" t="s">
        <v>8465</v>
      </c>
      <c r="E744" s="10" t="s">
        <v>3493</v>
      </c>
      <c r="F744" s="10" t="s">
        <v>7904</v>
      </c>
      <c r="G744" s="11" t="s">
        <v>9466</v>
      </c>
      <c r="H744" s="2" t="s">
        <v>1334</v>
      </c>
      <c r="L744" s="18">
        <v>1</v>
      </c>
      <c r="M744" s="14" t="s">
        <v>8462</v>
      </c>
      <c r="N744" s="13">
        <v>44488</v>
      </c>
      <c r="O744" s="29">
        <v>21.71</v>
      </c>
      <c r="P744" s="18" t="s">
        <v>14</v>
      </c>
      <c r="Q744" s="18">
        <v>0</v>
      </c>
      <c r="U744" s="22">
        <v>0.75</v>
      </c>
      <c r="V744" s="22">
        <f>4/5</f>
        <v>0.8</v>
      </c>
      <c r="X744" s="3">
        <v>2</v>
      </c>
      <c r="Z744" s="23">
        <v>99.5</v>
      </c>
      <c r="AB744" s="18">
        <f t="shared" si="22"/>
        <v>2021</v>
      </c>
      <c r="AC744" s="22">
        <f t="shared" si="23"/>
        <v>0.65</v>
      </c>
    </row>
    <row r="745" spans="1:29">
      <c r="A745" s="8" t="s">
        <v>14242</v>
      </c>
      <c r="B745" s="17" t="s">
        <v>7800</v>
      </c>
      <c r="C745" s="13">
        <v>44333</v>
      </c>
      <c r="D745" s="13" t="s">
        <v>8465</v>
      </c>
      <c r="E745" s="10" t="s">
        <v>14243</v>
      </c>
      <c r="F745" s="10" t="s">
        <v>14243</v>
      </c>
      <c r="H745" s="2" t="s">
        <v>78</v>
      </c>
      <c r="L745" s="18">
        <v>1</v>
      </c>
      <c r="O745" s="29">
        <v>0</v>
      </c>
      <c r="P745" s="18" t="s">
        <v>1107</v>
      </c>
      <c r="Q745" s="18">
        <v>0</v>
      </c>
      <c r="V745" s="22">
        <f>3/5</f>
        <v>0.6</v>
      </c>
      <c r="W745" s="14" t="s">
        <v>8765</v>
      </c>
      <c r="X745" s="3">
        <v>2</v>
      </c>
      <c r="Z745" s="23">
        <f>46/60</f>
        <v>0.76666666666666672</v>
      </c>
      <c r="AB745" s="18">
        <f t="shared" si="22"/>
        <v>2021</v>
      </c>
      <c r="AC745" s="22">
        <f t="shared" si="23"/>
        <v>0.5</v>
      </c>
    </row>
    <row r="746" spans="1:29">
      <c r="A746" s="8" t="s">
        <v>14244</v>
      </c>
      <c r="B746" s="17" t="s">
        <v>7800</v>
      </c>
      <c r="C746" s="13">
        <v>44330</v>
      </c>
      <c r="D746" s="13" t="s">
        <v>8465</v>
      </c>
      <c r="E746" s="10" t="s">
        <v>14245</v>
      </c>
      <c r="F746" s="10" t="s">
        <v>14245</v>
      </c>
      <c r="H746" s="2" t="s">
        <v>255</v>
      </c>
      <c r="L746" s="18">
        <v>1</v>
      </c>
      <c r="O746" s="29">
        <v>0</v>
      </c>
      <c r="P746" s="18" t="s">
        <v>1107</v>
      </c>
      <c r="Q746" s="18">
        <v>0</v>
      </c>
      <c r="W746" s="14" t="s">
        <v>8765</v>
      </c>
      <c r="X746" s="3">
        <v>2</v>
      </c>
      <c r="AB746" s="18">
        <f t="shared" si="22"/>
        <v>2021</v>
      </c>
      <c r="AC746" s="22">
        <f t="shared" si="23"/>
        <v>0.4</v>
      </c>
    </row>
    <row r="747" spans="1:29" ht="25.5">
      <c r="A747" s="8" t="s">
        <v>12474</v>
      </c>
      <c r="B747" s="17" t="s">
        <v>7800</v>
      </c>
      <c r="C747" s="13">
        <v>44329</v>
      </c>
      <c r="D747" s="13" t="s">
        <v>8465</v>
      </c>
      <c r="E747" s="10" t="s">
        <v>12475</v>
      </c>
      <c r="F747" s="10" t="s">
        <v>12475</v>
      </c>
      <c r="H747" s="2" t="s">
        <v>1334</v>
      </c>
      <c r="L747" s="18">
        <v>1</v>
      </c>
      <c r="N747" s="13">
        <v>44812</v>
      </c>
      <c r="O747" s="29">
        <v>0</v>
      </c>
      <c r="P747" s="18" t="s">
        <v>1107</v>
      </c>
      <c r="Q747" s="18">
        <v>0</v>
      </c>
      <c r="U747" s="22">
        <v>0.74</v>
      </c>
      <c r="V747" s="22">
        <f>3.13/5</f>
        <v>0.626</v>
      </c>
      <c r="W747" s="14" t="s">
        <v>7097</v>
      </c>
      <c r="X747" s="3">
        <v>2</v>
      </c>
      <c r="Z747" s="23">
        <v>3</v>
      </c>
      <c r="AB747" s="18">
        <f t="shared" si="22"/>
        <v>2021</v>
      </c>
      <c r="AC747" s="22">
        <f t="shared" si="23"/>
        <v>0.58866666666666667</v>
      </c>
    </row>
    <row r="748" spans="1:29" ht="30">
      <c r="A748" s="8" t="s">
        <v>11103</v>
      </c>
      <c r="B748" s="17" t="s">
        <v>7800</v>
      </c>
      <c r="C748" s="13">
        <v>44329</v>
      </c>
      <c r="D748" s="13" t="s">
        <v>8465</v>
      </c>
      <c r="E748" s="10" t="s">
        <v>1634</v>
      </c>
      <c r="F748" s="10" t="s">
        <v>11104</v>
      </c>
      <c r="H748" s="2" t="s">
        <v>1334</v>
      </c>
      <c r="L748" s="18">
        <v>1</v>
      </c>
      <c r="N748" s="13">
        <v>44593</v>
      </c>
      <c r="O748" s="29">
        <v>0</v>
      </c>
      <c r="P748" s="18" t="s">
        <v>1107</v>
      </c>
      <c r="Q748" s="18">
        <v>0</v>
      </c>
      <c r="U748" s="22">
        <v>0.72</v>
      </c>
      <c r="V748" s="22">
        <f>3.04/5</f>
        <v>0.60799999999999998</v>
      </c>
      <c r="W748" s="14" t="s">
        <v>7777</v>
      </c>
      <c r="X748" s="3">
        <v>2</v>
      </c>
      <c r="Z748" s="23">
        <v>10.5</v>
      </c>
      <c r="AB748" s="18">
        <f t="shared" si="22"/>
        <v>2021</v>
      </c>
      <c r="AC748" s="22">
        <f t="shared" si="23"/>
        <v>0.57599999999999996</v>
      </c>
    </row>
    <row r="749" spans="1:29" ht="25.5">
      <c r="A749" s="8" t="s">
        <v>9941</v>
      </c>
      <c r="B749" s="17" t="s">
        <v>7744</v>
      </c>
      <c r="C749" s="13">
        <v>44322</v>
      </c>
      <c r="D749" s="13" t="s">
        <v>8465</v>
      </c>
      <c r="E749" s="10" t="s">
        <v>10149</v>
      </c>
      <c r="F749" s="10" t="s">
        <v>4780</v>
      </c>
      <c r="G749" s="11" t="s">
        <v>397</v>
      </c>
      <c r="H749" s="2" t="s">
        <v>21</v>
      </c>
      <c r="L749" s="18">
        <v>1</v>
      </c>
      <c r="M749" s="14" t="s">
        <v>8462</v>
      </c>
      <c r="N749" s="13">
        <v>44258</v>
      </c>
      <c r="O749" s="29">
        <v>29.99</v>
      </c>
      <c r="P749" s="18" t="s">
        <v>14</v>
      </c>
      <c r="Q749" s="18">
        <v>0</v>
      </c>
      <c r="U749" s="22">
        <v>0.87</v>
      </c>
      <c r="V749" s="22">
        <f>3.83/5</f>
        <v>0.76600000000000001</v>
      </c>
      <c r="X749" s="3">
        <v>2</v>
      </c>
      <c r="Z749" s="23">
        <f>50/60</f>
        <v>0.83333333333333337</v>
      </c>
      <c r="AB749" s="18">
        <f t="shared" si="22"/>
        <v>2021</v>
      </c>
      <c r="AC749" s="22">
        <f t="shared" si="23"/>
        <v>0.67866666666666664</v>
      </c>
    </row>
    <row r="750" spans="1:29" ht="25.5">
      <c r="A750" s="8" t="s">
        <v>14938</v>
      </c>
      <c r="B750" s="17" t="s">
        <v>7800</v>
      </c>
      <c r="C750" s="13">
        <v>44317</v>
      </c>
      <c r="D750" s="13" t="s">
        <v>8465</v>
      </c>
      <c r="E750" s="10" t="s">
        <v>14939</v>
      </c>
      <c r="F750" s="10" t="s">
        <v>14939</v>
      </c>
      <c r="H750" s="2" t="s">
        <v>67</v>
      </c>
      <c r="L750" s="18">
        <v>1</v>
      </c>
      <c r="N750" s="13">
        <v>45073</v>
      </c>
      <c r="O750" s="29">
        <v>0</v>
      </c>
      <c r="P750" s="18" t="s">
        <v>1107</v>
      </c>
      <c r="Q750" s="18">
        <v>0</v>
      </c>
      <c r="W750" s="14" t="s">
        <v>7777</v>
      </c>
      <c r="X750" s="3">
        <v>2</v>
      </c>
      <c r="Z750" s="23">
        <f>41/60</f>
        <v>0.68333333333333335</v>
      </c>
      <c r="AB750" s="18">
        <f t="shared" si="22"/>
        <v>2021</v>
      </c>
      <c r="AC750" s="22">
        <f t="shared" si="23"/>
        <v>0.4</v>
      </c>
    </row>
    <row r="751" spans="1:29" ht="30">
      <c r="A751" s="8" t="s">
        <v>9931</v>
      </c>
      <c r="B751" s="17" t="s">
        <v>7744</v>
      </c>
      <c r="C751" s="13">
        <v>44316</v>
      </c>
      <c r="D751" s="13" t="s">
        <v>8465</v>
      </c>
      <c r="E751" s="10" t="s">
        <v>1062</v>
      </c>
      <c r="F751" s="10" t="s">
        <v>8689</v>
      </c>
      <c r="G751" s="11" t="s">
        <v>404</v>
      </c>
      <c r="H751" s="2" t="s">
        <v>21</v>
      </c>
      <c r="L751" s="18">
        <v>1</v>
      </c>
      <c r="M751" s="14" t="s">
        <v>8462</v>
      </c>
      <c r="N751" s="13">
        <v>44213</v>
      </c>
      <c r="O751" s="29">
        <v>49.99</v>
      </c>
      <c r="P751" s="18" t="s">
        <v>14</v>
      </c>
      <c r="Q751" s="18">
        <v>0</v>
      </c>
      <c r="U751" s="22">
        <v>0.68</v>
      </c>
      <c r="V751" s="22">
        <f>4.02/5</f>
        <v>0.80399999999999994</v>
      </c>
      <c r="W751" s="14" t="s">
        <v>10141</v>
      </c>
      <c r="X751" s="3">
        <v>2</v>
      </c>
      <c r="Z751" s="23">
        <v>3</v>
      </c>
      <c r="AB751" s="18">
        <f t="shared" si="22"/>
        <v>2021</v>
      </c>
      <c r="AC751" s="22">
        <f t="shared" si="23"/>
        <v>0.628</v>
      </c>
    </row>
    <row r="752" spans="1:29" ht="25.5">
      <c r="A752" s="8" t="s">
        <v>15442</v>
      </c>
      <c r="B752" s="17" t="s">
        <v>9431</v>
      </c>
      <c r="C752" s="13">
        <v>44316</v>
      </c>
      <c r="D752" s="13" t="s">
        <v>8465</v>
      </c>
      <c r="E752" s="10" t="s">
        <v>15443</v>
      </c>
      <c r="F752" s="10" t="s">
        <v>13732</v>
      </c>
      <c r="G752" s="11" t="s">
        <v>15444</v>
      </c>
      <c r="H752" s="2" t="s">
        <v>1050</v>
      </c>
      <c r="L752" s="18">
        <v>1</v>
      </c>
      <c r="M752" s="14" t="s">
        <v>8462</v>
      </c>
      <c r="N752" s="13">
        <v>45129</v>
      </c>
      <c r="O752" s="29">
        <v>32.590000000000003</v>
      </c>
      <c r="P752" s="18" t="s">
        <v>14</v>
      </c>
      <c r="Q752" s="18">
        <v>0</v>
      </c>
      <c r="U752" s="22">
        <v>0.62</v>
      </c>
      <c r="V752" s="22">
        <f>3.79/5</f>
        <v>0.75800000000000001</v>
      </c>
      <c r="X752" s="3">
        <v>3</v>
      </c>
      <c r="Z752" s="23">
        <v>9.5</v>
      </c>
      <c r="AB752" s="18">
        <f t="shared" si="22"/>
        <v>2021</v>
      </c>
      <c r="AC752" s="22">
        <f t="shared" si="23"/>
        <v>0.65933333333333344</v>
      </c>
    </row>
    <row r="753" spans="1:29" ht="38.25">
      <c r="A753" s="8" t="s">
        <v>15681</v>
      </c>
      <c r="B753" s="17" t="s">
        <v>7800</v>
      </c>
      <c r="C753" s="13">
        <v>44316</v>
      </c>
      <c r="D753" s="13" t="s">
        <v>8465</v>
      </c>
      <c r="E753" s="10" t="s">
        <v>12060</v>
      </c>
      <c r="F753" s="10" t="s">
        <v>12060</v>
      </c>
      <c r="G753" s="11" t="s">
        <v>12061</v>
      </c>
      <c r="H753" s="2" t="s">
        <v>80</v>
      </c>
      <c r="L753" s="18">
        <v>1</v>
      </c>
      <c r="N753" s="13">
        <v>45167</v>
      </c>
      <c r="O753" s="29">
        <v>3.99</v>
      </c>
      <c r="P753" s="18" t="s">
        <v>1107</v>
      </c>
      <c r="Q753" s="18">
        <v>0</v>
      </c>
      <c r="W753" s="14" t="s">
        <v>7777</v>
      </c>
      <c r="X753" s="3">
        <v>2</v>
      </c>
      <c r="AB753" s="18">
        <f t="shared" si="22"/>
        <v>2021</v>
      </c>
      <c r="AC753" s="22">
        <f t="shared" si="23"/>
        <v>0.4</v>
      </c>
    </row>
    <row r="754" spans="1:29">
      <c r="A754" s="8" t="s">
        <v>16025</v>
      </c>
      <c r="B754" s="17" t="s">
        <v>7800</v>
      </c>
      <c r="C754" s="13">
        <v>44315</v>
      </c>
      <c r="D754" s="13" t="s">
        <v>8465</v>
      </c>
      <c r="E754" s="10" t="s">
        <v>3072</v>
      </c>
      <c r="F754" s="10" t="s">
        <v>16026</v>
      </c>
      <c r="H754" s="2" t="s">
        <v>80</v>
      </c>
      <c r="L754" s="18">
        <v>1</v>
      </c>
      <c r="O754" s="29">
        <v>0</v>
      </c>
      <c r="P754" s="18" t="s">
        <v>1107</v>
      </c>
      <c r="Q754" s="18">
        <v>0</v>
      </c>
      <c r="U754" s="22">
        <v>0.74</v>
      </c>
      <c r="V754" s="22">
        <f>3.43/5</f>
        <v>0.68600000000000005</v>
      </c>
      <c r="W754" s="14" t="s">
        <v>7097</v>
      </c>
      <c r="X754" s="3">
        <v>2</v>
      </c>
      <c r="Z754" s="23">
        <v>6.5</v>
      </c>
      <c r="AB754" s="18">
        <f t="shared" si="22"/>
        <v>2021</v>
      </c>
      <c r="AC754" s="22">
        <f t="shared" si="23"/>
        <v>0.60866666666666669</v>
      </c>
    </row>
    <row r="755" spans="1:29">
      <c r="A755" s="8" t="s">
        <v>14253</v>
      </c>
      <c r="B755" s="17" t="s">
        <v>7800</v>
      </c>
      <c r="C755" s="13">
        <v>44309</v>
      </c>
      <c r="D755" s="13" t="s">
        <v>8465</v>
      </c>
      <c r="E755" s="10" t="s">
        <v>14254</v>
      </c>
      <c r="F755" s="10" t="s">
        <v>14254</v>
      </c>
      <c r="H755" s="2" t="s">
        <v>151</v>
      </c>
      <c r="L755" s="18">
        <v>1</v>
      </c>
      <c r="O755" s="29">
        <v>0</v>
      </c>
      <c r="P755" s="18" t="s">
        <v>1107</v>
      </c>
      <c r="Q755" s="18">
        <v>0</v>
      </c>
      <c r="W755" s="14" t="s">
        <v>8765</v>
      </c>
      <c r="X755" s="3">
        <v>2</v>
      </c>
      <c r="AB755" s="18">
        <f t="shared" si="22"/>
        <v>2021</v>
      </c>
      <c r="AC755" s="22">
        <f t="shared" si="23"/>
        <v>0.4</v>
      </c>
    </row>
    <row r="756" spans="1:29" ht="25.5">
      <c r="A756" s="8" t="s">
        <v>9932</v>
      </c>
      <c r="B756" s="17" t="s">
        <v>7744</v>
      </c>
      <c r="C756" s="13">
        <v>44308</v>
      </c>
      <c r="D756" s="13" t="s">
        <v>9335</v>
      </c>
      <c r="E756" s="10" t="s">
        <v>1565</v>
      </c>
      <c r="F756" s="10" t="s">
        <v>1566</v>
      </c>
      <c r="G756" s="11" t="s">
        <v>1567</v>
      </c>
      <c r="H756" s="2" t="s">
        <v>149</v>
      </c>
      <c r="K756" s="18">
        <v>2</v>
      </c>
      <c r="L756" s="18">
        <v>1</v>
      </c>
      <c r="M756" s="14" t="s">
        <v>8462</v>
      </c>
      <c r="N756" s="13">
        <v>44232</v>
      </c>
      <c r="O756" s="29">
        <v>91.39</v>
      </c>
      <c r="P756" s="18" t="s">
        <v>14</v>
      </c>
      <c r="Q756" s="18">
        <v>0</v>
      </c>
      <c r="U756" s="22">
        <v>0.85</v>
      </c>
      <c r="V756" s="22">
        <f>4.25/5</f>
        <v>0.85</v>
      </c>
      <c r="X756" s="3">
        <v>4</v>
      </c>
      <c r="Z756" s="23">
        <f>37.5+42.5+25.5</f>
        <v>105.5</v>
      </c>
      <c r="AB756" s="18">
        <f t="shared" si="22"/>
        <v>2021</v>
      </c>
      <c r="AC756" s="22">
        <f t="shared" si="23"/>
        <v>0.83333333333333337</v>
      </c>
    </row>
    <row r="757" spans="1:29">
      <c r="A757" s="8" t="s">
        <v>11968</v>
      </c>
      <c r="B757" s="17" t="s">
        <v>7744</v>
      </c>
      <c r="C757" s="13">
        <v>44308</v>
      </c>
      <c r="D757" s="13" t="s">
        <v>8465</v>
      </c>
      <c r="E757" s="10" t="s">
        <v>1794</v>
      </c>
      <c r="F757" s="10" t="s">
        <v>1794</v>
      </c>
      <c r="G757" s="11" t="s">
        <v>10286</v>
      </c>
      <c r="H757" s="2" t="s">
        <v>78</v>
      </c>
      <c r="L757" s="18">
        <v>1</v>
      </c>
      <c r="N757" s="13">
        <v>44723</v>
      </c>
      <c r="O757" s="29">
        <v>6.99</v>
      </c>
      <c r="P757" s="18" t="s">
        <v>1107</v>
      </c>
      <c r="Q757" s="18">
        <v>0</v>
      </c>
      <c r="U757" s="22">
        <v>0.77</v>
      </c>
      <c r="V757" s="22">
        <f>4.25/5</f>
        <v>0.85</v>
      </c>
      <c r="X757" s="3">
        <v>3</v>
      </c>
      <c r="Z757" s="23">
        <v>21</v>
      </c>
      <c r="AB757" s="18">
        <f t="shared" si="22"/>
        <v>2021</v>
      </c>
      <c r="AC757" s="22">
        <f t="shared" si="23"/>
        <v>0.7400000000000001</v>
      </c>
    </row>
    <row r="758" spans="1:29" ht="25.5">
      <c r="A758" s="8" t="s">
        <v>10605</v>
      </c>
      <c r="B758" s="17" t="s">
        <v>7800</v>
      </c>
      <c r="C758" s="13">
        <v>44308</v>
      </c>
      <c r="D758" s="13" t="s">
        <v>8465</v>
      </c>
      <c r="E758" s="10" t="s">
        <v>7039</v>
      </c>
      <c r="F758" s="10" t="s">
        <v>10606</v>
      </c>
      <c r="H758" s="2" t="s">
        <v>80</v>
      </c>
      <c r="L758" s="18">
        <v>1</v>
      </c>
      <c r="N758" s="13">
        <v>44502</v>
      </c>
      <c r="O758" s="29">
        <v>0</v>
      </c>
      <c r="P758" s="18" t="s">
        <v>1107</v>
      </c>
      <c r="Q758" s="18">
        <v>0</v>
      </c>
      <c r="U758" s="22">
        <v>0.72</v>
      </c>
      <c r="V758" s="22">
        <f>3.81/5</f>
        <v>0.76200000000000001</v>
      </c>
      <c r="W758" s="14" t="s">
        <v>7777</v>
      </c>
      <c r="X758" s="3">
        <v>2</v>
      </c>
      <c r="Z758" s="23">
        <v>2</v>
      </c>
      <c r="AB758" s="18">
        <f t="shared" si="22"/>
        <v>2021</v>
      </c>
      <c r="AC758" s="22">
        <f t="shared" si="23"/>
        <v>0.62733333333333341</v>
      </c>
    </row>
    <row r="759" spans="1:29">
      <c r="A759" s="8" t="s">
        <v>10365</v>
      </c>
      <c r="B759" s="17" t="s">
        <v>7800</v>
      </c>
      <c r="C759" s="13">
        <v>44306</v>
      </c>
      <c r="D759" s="13" t="s">
        <v>8465</v>
      </c>
      <c r="E759" s="10" t="s">
        <v>10366</v>
      </c>
      <c r="F759" s="10" t="s">
        <v>10367</v>
      </c>
      <c r="H759" s="2" t="s">
        <v>67</v>
      </c>
      <c r="I759" s="18">
        <v>1</v>
      </c>
      <c r="L759" s="18">
        <v>1</v>
      </c>
      <c r="N759" s="13">
        <v>44407</v>
      </c>
      <c r="O759" s="29">
        <v>1</v>
      </c>
      <c r="P759" s="18" t="s">
        <v>1107</v>
      </c>
      <c r="Q759" s="18">
        <v>0</v>
      </c>
      <c r="U759" s="22">
        <v>0.75</v>
      </c>
      <c r="V759" s="22">
        <f>4.5/5</f>
        <v>0.9</v>
      </c>
      <c r="W759" s="14" t="s">
        <v>7777</v>
      </c>
      <c r="X759" s="3">
        <v>2</v>
      </c>
      <c r="Z759" s="23">
        <v>5</v>
      </c>
      <c r="AB759" s="18">
        <f t="shared" si="22"/>
        <v>2021</v>
      </c>
      <c r="AC759" s="22">
        <f t="shared" si="23"/>
        <v>0.68333333333333324</v>
      </c>
    </row>
    <row r="760" spans="1:29">
      <c r="A760" s="8" t="s">
        <v>15713</v>
      </c>
      <c r="B760" s="17" t="s">
        <v>7800</v>
      </c>
      <c r="C760" s="13">
        <v>44305</v>
      </c>
      <c r="D760" s="13" t="s">
        <v>8465</v>
      </c>
      <c r="E760" s="10" t="s">
        <v>15714</v>
      </c>
      <c r="F760" s="10" t="s">
        <v>15714</v>
      </c>
      <c r="H760" s="2" t="s">
        <v>3411</v>
      </c>
      <c r="L760" s="18">
        <v>1</v>
      </c>
      <c r="N760" s="13">
        <v>45177</v>
      </c>
      <c r="O760" s="29">
        <v>0</v>
      </c>
      <c r="P760" s="18" t="s">
        <v>1107</v>
      </c>
      <c r="Q760" s="18">
        <v>0</v>
      </c>
      <c r="V760" s="22">
        <f>3/5</f>
        <v>0.6</v>
      </c>
      <c r="W760" s="14" t="s">
        <v>7097</v>
      </c>
      <c r="X760" s="3">
        <v>2</v>
      </c>
      <c r="AB760" s="18">
        <f t="shared" si="22"/>
        <v>2021</v>
      </c>
      <c r="AC760" s="22">
        <f t="shared" si="23"/>
        <v>0.5</v>
      </c>
    </row>
    <row r="761" spans="1:29">
      <c r="A761" s="8" t="s">
        <v>12230</v>
      </c>
      <c r="B761" s="17" t="s">
        <v>7800</v>
      </c>
      <c r="C761" s="13">
        <v>44302</v>
      </c>
      <c r="D761" s="13" t="s">
        <v>8465</v>
      </c>
      <c r="E761" s="10" t="s">
        <v>3791</v>
      </c>
      <c r="F761" s="10" t="s">
        <v>3791</v>
      </c>
      <c r="G761" s="11" t="s">
        <v>3790</v>
      </c>
      <c r="H761" s="2" t="s">
        <v>67</v>
      </c>
      <c r="L761" s="18">
        <v>1</v>
      </c>
      <c r="N761" s="13">
        <v>44775</v>
      </c>
      <c r="O761" s="29">
        <v>0</v>
      </c>
      <c r="P761" s="18" t="s">
        <v>1107</v>
      </c>
      <c r="Q761" s="18">
        <v>0</v>
      </c>
      <c r="V761" s="22">
        <f>4.17/5</f>
        <v>0.83399999999999996</v>
      </c>
      <c r="W761" s="14" t="s">
        <v>7777</v>
      </c>
      <c r="X761" s="3">
        <v>3</v>
      </c>
      <c r="Z761" s="23">
        <v>4</v>
      </c>
      <c r="AB761" s="18">
        <f t="shared" si="22"/>
        <v>2021</v>
      </c>
      <c r="AC761" s="22">
        <f t="shared" si="23"/>
        <v>0.71699999999999997</v>
      </c>
    </row>
    <row r="762" spans="1:29" ht="25.5">
      <c r="A762" s="8" t="s">
        <v>9943</v>
      </c>
      <c r="B762" s="17" t="s">
        <v>7744</v>
      </c>
      <c r="C762" s="13">
        <v>44301</v>
      </c>
      <c r="D762" s="13" t="s">
        <v>9335</v>
      </c>
      <c r="E762" s="10" t="s">
        <v>1082</v>
      </c>
      <c r="F762" s="10" t="s">
        <v>10183</v>
      </c>
      <c r="G762" s="11" t="s">
        <v>9517</v>
      </c>
      <c r="H762" s="2" t="s">
        <v>149</v>
      </c>
      <c r="K762" s="18">
        <v>2</v>
      </c>
      <c r="L762" s="18">
        <v>1</v>
      </c>
      <c r="M762" s="14" t="s">
        <v>8462</v>
      </c>
      <c r="N762" s="13">
        <v>44264</v>
      </c>
      <c r="O762" s="29">
        <v>43.89</v>
      </c>
      <c r="P762" s="18" t="s">
        <v>14</v>
      </c>
      <c r="Q762" s="18">
        <v>0</v>
      </c>
      <c r="U762" s="22">
        <v>0.71</v>
      </c>
      <c r="V762" s="22">
        <f>4.25/5</f>
        <v>0.85</v>
      </c>
      <c r="X762" s="3">
        <v>4</v>
      </c>
      <c r="Z762" s="23">
        <v>13</v>
      </c>
      <c r="AB762" s="18">
        <f t="shared" si="22"/>
        <v>2021</v>
      </c>
      <c r="AC762" s="22">
        <f t="shared" si="23"/>
        <v>0.78666666666666674</v>
      </c>
    </row>
    <row r="763" spans="1:29" ht="38.25">
      <c r="A763" s="8" t="s">
        <v>12047</v>
      </c>
      <c r="B763" s="17" t="s">
        <v>7800</v>
      </c>
      <c r="C763" s="13">
        <v>44301</v>
      </c>
      <c r="D763" s="13" t="s">
        <v>8465</v>
      </c>
      <c r="E763" s="10" t="s">
        <v>6112</v>
      </c>
      <c r="F763" s="10" t="s">
        <v>5295</v>
      </c>
      <c r="G763" s="11" t="s">
        <v>5294</v>
      </c>
      <c r="H763" s="2" t="s">
        <v>67</v>
      </c>
      <c r="L763" s="18">
        <v>1</v>
      </c>
      <c r="N763" s="13">
        <v>44733</v>
      </c>
      <c r="O763" s="29">
        <v>0</v>
      </c>
      <c r="P763" s="18" t="s">
        <v>1107</v>
      </c>
      <c r="Q763" s="18">
        <v>0</v>
      </c>
      <c r="U763" s="22">
        <v>0.84</v>
      </c>
      <c r="V763" s="22">
        <f>3.88/5</f>
        <v>0.77600000000000002</v>
      </c>
      <c r="W763" s="14" t="s">
        <v>7799</v>
      </c>
      <c r="X763" s="3">
        <v>3</v>
      </c>
      <c r="Z763" s="23">
        <v>7.5</v>
      </c>
      <c r="AB763" s="18">
        <f t="shared" si="22"/>
        <v>2021</v>
      </c>
      <c r="AC763" s="22">
        <f t="shared" si="23"/>
        <v>0.73866666666666669</v>
      </c>
    </row>
    <row r="764" spans="1:29" ht="25.5">
      <c r="A764" s="8" t="s">
        <v>11280</v>
      </c>
      <c r="B764" s="17" t="s">
        <v>7800</v>
      </c>
      <c r="C764" s="13">
        <v>44301</v>
      </c>
      <c r="D764" s="13" t="s">
        <v>8465</v>
      </c>
      <c r="E764" s="10" t="s">
        <v>8722</v>
      </c>
      <c r="F764" s="10" t="s">
        <v>8722</v>
      </c>
      <c r="G764" s="11" t="s">
        <v>4956</v>
      </c>
      <c r="H764" s="2" t="s">
        <v>80</v>
      </c>
      <c r="L764" s="18">
        <v>1</v>
      </c>
      <c r="N764" s="13">
        <v>44617</v>
      </c>
      <c r="O764" s="29">
        <v>0</v>
      </c>
      <c r="P764" s="18" t="s">
        <v>1107</v>
      </c>
      <c r="Q764" s="18">
        <v>0</v>
      </c>
      <c r="U764" s="22">
        <v>0.67</v>
      </c>
      <c r="V764" s="22">
        <f>3.96/5</f>
        <v>0.79200000000000004</v>
      </c>
      <c r="W764" s="14" t="s">
        <v>7777</v>
      </c>
      <c r="X764" s="3">
        <v>3</v>
      </c>
      <c r="Z764" s="23">
        <v>19</v>
      </c>
      <c r="AB764" s="18">
        <f t="shared" si="22"/>
        <v>2021</v>
      </c>
      <c r="AC764" s="22">
        <f t="shared" si="23"/>
        <v>0.68733333333333346</v>
      </c>
    </row>
    <row r="765" spans="1:29">
      <c r="A765" s="8" t="s">
        <v>15041</v>
      </c>
      <c r="B765" s="17" t="s">
        <v>7800</v>
      </c>
      <c r="C765" s="13">
        <v>44301</v>
      </c>
      <c r="D765" s="13" t="s">
        <v>8465</v>
      </c>
      <c r="E765" s="10" t="s">
        <v>12705</v>
      </c>
      <c r="F765" s="10" t="s">
        <v>15042</v>
      </c>
      <c r="H765" s="2" t="s">
        <v>1054</v>
      </c>
      <c r="L765" s="18">
        <v>1</v>
      </c>
      <c r="N765" s="13">
        <v>45084</v>
      </c>
      <c r="O765" s="29">
        <v>0</v>
      </c>
      <c r="P765" s="18" t="s">
        <v>1107</v>
      </c>
      <c r="Q765" s="18">
        <v>0</v>
      </c>
      <c r="U765" s="22">
        <v>0.68</v>
      </c>
      <c r="W765" s="14" t="s">
        <v>7777</v>
      </c>
      <c r="X765" s="3">
        <v>3</v>
      </c>
      <c r="Z765" s="23">
        <v>2.5</v>
      </c>
      <c r="AB765" s="18">
        <f t="shared" si="22"/>
        <v>2021</v>
      </c>
      <c r="AC765" s="22">
        <f t="shared" si="23"/>
        <v>0.64</v>
      </c>
    </row>
    <row r="766" spans="1:29">
      <c r="A766" s="8" t="s">
        <v>11111</v>
      </c>
      <c r="B766" s="17" t="s">
        <v>7800</v>
      </c>
      <c r="C766" s="13">
        <v>44301</v>
      </c>
      <c r="D766" s="13" t="s">
        <v>8465</v>
      </c>
      <c r="E766" s="10" t="s">
        <v>3074</v>
      </c>
      <c r="F766" s="10" t="s">
        <v>11112</v>
      </c>
      <c r="H766" s="2" t="s">
        <v>1699</v>
      </c>
      <c r="L766" s="18">
        <v>1</v>
      </c>
      <c r="N766" s="13">
        <v>44593</v>
      </c>
      <c r="O766" s="29">
        <v>0</v>
      </c>
      <c r="P766" s="18" t="s">
        <v>1107</v>
      </c>
      <c r="Q766" s="18">
        <v>0</v>
      </c>
      <c r="U766" s="22">
        <v>0.61</v>
      </c>
      <c r="V766" s="22">
        <f>2.75/5</f>
        <v>0.55000000000000004</v>
      </c>
      <c r="W766" s="14" t="s">
        <v>7799</v>
      </c>
      <c r="X766" s="3">
        <v>2</v>
      </c>
      <c r="Z766" s="23">
        <v>2</v>
      </c>
      <c r="AB766" s="18">
        <f t="shared" si="22"/>
        <v>2021</v>
      </c>
      <c r="AC766" s="22">
        <f t="shared" si="23"/>
        <v>0.52</v>
      </c>
    </row>
    <row r="767" spans="1:29" ht="25.5">
      <c r="A767" s="8" t="s">
        <v>12512</v>
      </c>
      <c r="B767" s="17" t="s">
        <v>7800</v>
      </c>
      <c r="C767" s="13">
        <v>44301</v>
      </c>
      <c r="D767" s="13" t="s">
        <v>8465</v>
      </c>
      <c r="E767" s="10" t="s">
        <v>3212</v>
      </c>
      <c r="F767" s="10" t="s">
        <v>12513</v>
      </c>
      <c r="H767" s="2" t="s">
        <v>67</v>
      </c>
      <c r="L767" s="18">
        <v>1</v>
      </c>
      <c r="N767" s="13">
        <v>44818</v>
      </c>
      <c r="O767" s="29">
        <v>0</v>
      </c>
      <c r="P767" s="18" t="s">
        <v>1107</v>
      </c>
      <c r="Q767" s="18">
        <v>0</v>
      </c>
      <c r="W767" s="14" t="s">
        <v>7777</v>
      </c>
      <c r="X767" s="3">
        <v>2</v>
      </c>
      <c r="Z767" s="23">
        <v>2.5</v>
      </c>
      <c r="AB767" s="18">
        <f t="shared" si="22"/>
        <v>2021</v>
      </c>
      <c r="AC767" s="22">
        <f t="shared" si="23"/>
        <v>0.4</v>
      </c>
    </row>
    <row r="768" spans="1:29" ht="30">
      <c r="A768" s="8" t="s">
        <v>9928</v>
      </c>
      <c r="B768" s="17" t="s">
        <v>7744</v>
      </c>
      <c r="C768" s="13">
        <v>44299</v>
      </c>
      <c r="D768" s="13" t="s">
        <v>8465</v>
      </c>
      <c r="E768" s="10" t="s">
        <v>1062</v>
      </c>
      <c r="F768" s="10" t="s">
        <v>2285</v>
      </c>
      <c r="H768" s="2" t="s">
        <v>171</v>
      </c>
      <c r="L768" s="18">
        <v>1</v>
      </c>
      <c r="M768" s="14" t="s">
        <v>8462</v>
      </c>
      <c r="N768" s="13">
        <v>44096</v>
      </c>
      <c r="O768" s="29">
        <v>39.99</v>
      </c>
      <c r="P768" s="18" t="s">
        <v>14</v>
      </c>
      <c r="Q768" s="18">
        <v>0</v>
      </c>
      <c r="U768" s="22">
        <v>0.57999999999999996</v>
      </c>
      <c r="V768" s="22">
        <f>3.62/5</f>
        <v>0.72399999999999998</v>
      </c>
      <c r="W768" s="14" t="s">
        <v>10087</v>
      </c>
      <c r="X768" s="3">
        <v>2</v>
      </c>
      <c r="Z768" s="23">
        <v>10</v>
      </c>
      <c r="AB768" s="18">
        <f t="shared" si="22"/>
        <v>2021</v>
      </c>
      <c r="AC768" s="22">
        <f t="shared" si="23"/>
        <v>0.56799999999999995</v>
      </c>
    </row>
    <row r="769" spans="1:29">
      <c r="A769" s="8" t="s">
        <v>11436</v>
      </c>
      <c r="B769" s="17" t="s">
        <v>7800</v>
      </c>
      <c r="C769" s="13">
        <v>44295</v>
      </c>
      <c r="D769" s="13" t="s">
        <v>8465</v>
      </c>
      <c r="E769" s="10" t="s">
        <v>8331</v>
      </c>
      <c r="F769" s="10" t="s">
        <v>11437</v>
      </c>
      <c r="H769" s="2" t="s">
        <v>67</v>
      </c>
      <c r="L769" s="18">
        <v>1</v>
      </c>
      <c r="N769" s="13">
        <v>44638</v>
      </c>
      <c r="O769" s="29">
        <v>0</v>
      </c>
      <c r="P769" s="18" t="s">
        <v>1107</v>
      </c>
      <c r="Q769" s="18">
        <v>0</v>
      </c>
      <c r="U769" s="22">
        <v>0.67</v>
      </c>
      <c r="V769" s="22">
        <f>3.29/5</f>
        <v>0.65800000000000003</v>
      </c>
      <c r="W769" s="14" t="s">
        <v>7777</v>
      </c>
      <c r="X769" s="3">
        <v>3</v>
      </c>
      <c r="Z769" s="23">
        <v>2</v>
      </c>
      <c r="AB769" s="18">
        <f t="shared" si="22"/>
        <v>2021</v>
      </c>
      <c r="AC769" s="22">
        <f t="shared" si="23"/>
        <v>0.64266666666666661</v>
      </c>
    </row>
    <row r="770" spans="1:29">
      <c r="A770" s="8" t="s">
        <v>10948</v>
      </c>
      <c r="B770" s="17" t="s">
        <v>7800</v>
      </c>
      <c r="C770" s="13">
        <v>44294</v>
      </c>
      <c r="D770" s="13" t="s">
        <v>8465</v>
      </c>
      <c r="E770" s="10" t="s">
        <v>9008</v>
      </c>
      <c r="F770" s="10" t="s">
        <v>10949</v>
      </c>
      <c r="H770" s="2" t="s">
        <v>67</v>
      </c>
      <c r="L770" s="18">
        <v>1</v>
      </c>
      <c r="N770" s="13">
        <v>44566</v>
      </c>
      <c r="O770" s="29">
        <v>3.33</v>
      </c>
      <c r="P770" s="18" t="s">
        <v>1107</v>
      </c>
      <c r="Q770" s="18">
        <v>0</v>
      </c>
      <c r="U770" s="22">
        <v>0.77</v>
      </c>
      <c r="V770" s="22">
        <f>3.98/5</f>
        <v>0.79600000000000004</v>
      </c>
      <c r="W770" s="14" t="s">
        <v>7777</v>
      </c>
      <c r="X770" s="3">
        <v>3</v>
      </c>
      <c r="Z770" s="23">
        <v>1.5</v>
      </c>
      <c r="AB770" s="18">
        <f t="shared" ref="AB770:AB833" si="24">IFERROR(YEAR(C770), "Early Access")</f>
        <v>2021</v>
      </c>
      <c r="AC770" s="22">
        <f t="shared" ref="AC770:AC833" si="25">AVERAGE(T770, U770, V770, IF(ISBLANK(X770), X770, X770/5))</f>
        <v>0.72199999999999998</v>
      </c>
    </row>
    <row r="771" spans="1:29" ht="25.5">
      <c r="A771" s="8" t="s">
        <v>10719</v>
      </c>
      <c r="B771" s="17" t="s">
        <v>7744</v>
      </c>
      <c r="C771" s="13">
        <v>44294</v>
      </c>
      <c r="D771" s="13" t="s">
        <v>8465</v>
      </c>
      <c r="E771" s="10" t="s">
        <v>9127</v>
      </c>
      <c r="F771" s="10" t="s">
        <v>10723</v>
      </c>
      <c r="H771" s="2" t="s">
        <v>1143</v>
      </c>
      <c r="L771" s="18">
        <v>1</v>
      </c>
      <c r="N771" s="13">
        <v>44526</v>
      </c>
      <c r="O771" s="29">
        <v>3.19</v>
      </c>
      <c r="P771" s="18" t="s">
        <v>1107</v>
      </c>
      <c r="Q771" s="18">
        <v>0</v>
      </c>
      <c r="X771" s="3">
        <v>2</v>
      </c>
      <c r="Z771" s="23">
        <v>8</v>
      </c>
      <c r="AB771" s="18">
        <f t="shared" si="24"/>
        <v>2021</v>
      </c>
      <c r="AC771" s="22">
        <f t="shared" si="25"/>
        <v>0.4</v>
      </c>
    </row>
    <row r="772" spans="1:29" ht="25.5">
      <c r="A772" s="8" t="s">
        <v>12045</v>
      </c>
      <c r="B772" s="17" t="s">
        <v>7800</v>
      </c>
      <c r="C772" s="13">
        <v>44293</v>
      </c>
      <c r="D772" s="13" t="s">
        <v>8465</v>
      </c>
      <c r="E772" s="10" t="s">
        <v>11373</v>
      </c>
      <c r="F772" s="10" t="s">
        <v>12046</v>
      </c>
      <c r="H772" s="2" t="s">
        <v>151</v>
      </c>
      <c r="L772" s="18">
        <v>1</v>
      </c>
      <c r="N772" s="13">
        <v>44733</v>
      </c>
      <c r="O772" s="29">
        <v>0</v>
      </c>
      <c r="P772" s="18" t="s">
        <v>1107</v>
      </c>
      <c r="Q772" s="18">
        <v>0</v>
      </c>
      <c r="V772" s="22">
        <f>2.83/5</f>
        <v>0.56600000000000006</v>
      </c>
      <c r="W772" s="14" t="s">
        <v>7799</v>
      </c>
      <c r="X772" s="3">
        <v>3</v>
      </c>
      <c r="Z772" s="23">
        <v>8.5</v>
      </c>
      <c r="AB772" s="18">
        <f t="shared" si="24"/>
        <v>2021</v>
      </c>
      <c r="AC772" s="22">
        <f t="shared" si="25"/>
        <v>0.58299999999999996</v>
      </c>
    </row>
    <row r="773" spans="1:29">
      <c r="A773" s="8" t="s">
        <v>9891</v>
      </c>
      <c r="B773" s="17" t="s">
        <v>9431</v>
      </c>
      <c r="C773" s="13">
        <v>44292</v>
      </c>
      <c r="D773" s="13" t="s">
        <v>8465</v>
      </c>
      <c r="E773" s="10" t="s">
        <v>4577</v>
      </c>
      <c r="F773" s="10" t="s">
        <v>4577</v>
      </c>
      <c r="G773" s="11" t="s">
        <v>4578</v>
      </c>
      <c r="H773" s="2" t="s">
        <v>1267</v>
      </c>
      <c r="L773" s="18">
        <v>1</v>
      </c>
      <c r="N773" s="13">
        <v>44292</v>
      </c>
      <c r="O773" s="29">
        <v>0</v>
      </c>
      <c r="P773" s="18" t="s">
        <v>1107</v>
      </c>
      <c r="Q773" s="18">
        <v>0</v>
      </c>
      <c r="U773" s="22">
        <v>0.76</v>
      </c>
      <c r="V773" s="22">
        <f>2.92/5</f>
        <v>0.58399999999999996</v>
      </c>
      <c r="W773" s="14" t="s">
        <v>6072</v>
      </c>
      <c r="X773" s="3">
        <v>3</v>
      </c>
      <c r="Z773" s="23">
        <v>20</v>
      </c>
      <c r="AB773" s="18">
        <f t="shared" si="24"/>
        <v>2021</v>
      </c>
      <c r="AC773" s="22">
        <f t="shared" si="25"/>
        <v>0.64800000000000002</v>
      </c>
    </row>
    <row r="774" spans="1:29" ht="25.5">
      <c r="A774" s="8" t="s">
        <v>11578</v>
      </c>
      <c r="B774" s="17" t="s">
        <v>7800</v>
      </c>
      <c r="C774" s="13">
        <v>44286</v>
      </c>
      <c r="D774" s="13" t="s">
        <v>8465</v>
      </c>
      <c r="E774" s="10" t="s">
        <v>3809</v>
      </c>
      <c r="F774" s="10" t="s">
        <v>3809</v>
      </c>
      <c r="G774" s="11" t="s">
        <v>11579</v>
      </c>
      <c r="H774" s="2" t="s">
        <v>80</v>
      </c>
      <c r="L774" s="18">
        <v>1</v>
      </c>
      <c r="N774" s="13">
        <v>44652</v>
      </c>
      <c r="O774" s="29">
        <v>0</v>
      </c>
      <c r="P774" s="18" t="s">
        <v>1107</v>
      </c>
      <c r="Q774" s="18">
        <v>0</v>
      </c>
      <c r="U774" s="22">
        <v>0.68</v>
      </c>
      <c r="V774" s="22">
        <f>3.33/5</f>
        <v>0.66600000000000004</v>
      </c>
      <c r="W774" s="14" t="s">
        <v>7799</v>
      </c>
      <c r="X774" s="3">
        <v>3</v>
      </c>
      <c r="Z774" s="23">
        <v>4.5</v>
      </c>
      <c r="AB774" s="18">
        <f t="shared" si="24"/>
        <v>2021</v>
      </c>
      <c r="AC774" s="22">
        <f t="shared" si="25"/>
        <v>0.64866666666666672</v>
      </c>
    </row>
    <row r="775" spans="1:29">
      <c r="A775" s="8" t="s">
        <v>11695</v>
      </c>
      <c r="B775" s="17" t="s">
        <v>7800</v>
      </c>
      <c r="C775" s="13">
        <v>44281</v>
      </c>
      <c r="D775" s="13" t="s">
        <v>8465</v>
      </c>
      <c r="E775" s="10" t="s">
        <v>4063</v>
      </c>
      <c r="F775" s="10" t="s">
        <v>11696</v>
      </c>
      <c r="H775" s="2" t="s">
        <v>67</v>
      </c>
      <c r="L775" s="18">
        <v>1</v>
      </c>
      <c r="N775" s="13">
        <v>44691</v>
      </c>
      <c r="O775" s="29">
        <v>12</v>
      </c>
      <c r="P775" s="18" t="s">
        <v>1107</v>
      </c>
      <c r="Q775" s="18">
        <v>0</v>
      </c>
      <c r="U775" s="22">
        <v>0.77</v>
      </c>
      <c r="V775" s="22">
        <f>3.07/5</f>
        <v>0.61399999999999999</v>
      </c>
      <c r="W775" s="14" t="s">
        <v>7777</v>
      </c>
      <c r="X775" s="3">
        <v>4</v>
      </c>
      <c r="Z775" s="23">
        <v>5</v>
      </c>
      <c r="AB775" s="18">
        <f t="shared" si="24"/>
        <v>2021</v>
      </c>
      <c r="AC775" s="22">
        <f t="shared" si="25"/>
        <v>0.72800000000000009</v>
      </c>
    </row>
    <row r="776" spans="1:29">
      <c r="A776" s="8" t="s">
        <v>9857</v>
      </c>
      <c r="B776" s="17" t="s">
        <v>7744</v>
      </c>
      <c r="C776" s="13">
        <v>44281</v>
      </c>
      <c r="D776" s="13" t="s">
        <v>8465</v>
      </c>
      <c r="E776" s="10" t="s">
        <v>73</v>
      </c>
      <c r="F776" s="10" t="s">
        <v>73</v>
      </c>
      <c r="G776" s="11" t="s">
        <v>1141</v>
      </c>
      <c r="H776" s="2" t="s">
        <v>171</v>
      </c>
      <c r="L776" s="18">
        <v>1</v>
      </c>
      <c r="M776" s="14" t="s">
        <v>8462</v>
      </c>
      <c r="N776" s="13">
        <v>44103</v>
      </c>
      <c r="O776" s="29">
        <v>65.09</v>
      </c>
      <c r="P776" s="18" t="s">
        <v>14</v>
      </c>
      <c r="Q776" s="18">
        <v>0</v>
      </c>
      <c r="U776" s="22">
        <v>0.88</v>
      </c>
      <c r="V776" s="22">
        <f>4.26/5</f>
        <v>0.85199999999999998</v>
      </c>
      <c r="X776" s="3">
        <v>3</v>
      </c>
      <c r="Z776" s="23">
        <v>16</v>
      </c>
      <c r="AB776" s="18">
        <f t="shared" si="24"/>
        <v>2021</v>
      </c>
      <c r="AC776" s="22">
        <f t="shared" si="25"/>
        <v>0.77733333333333332</v>
      </c>
    </row>
    <row r="777" spans="1:29" ht="25.5">
      <c r="A777" s="8" t="s">
        <v>9949</v>
      </c>
      <c r="B777" s="17" t="s">
        <v>7744</v>
      </c>
      <c r="C777" s="13">
        <v>44281</v>
      </c>
      <c r="D777" s="13" t="s">
        <v>8465</v>
      </c>
      <c r="E777" s="10" t="s">
        <v>8530</v>
      </c>
      <c r="F777" s="10" t="s">
        <v>10163</v>
      </c>
      <c r="H777" s="2" t="s">
        <v>64</v>
      </c>
      <c r="L777" s="18">
        <v>1</v>
      </c>
      <c r="M777" s="14" t="s">
        <v>8462</v>
      </c>
      <c r="N777" s="13">
        <v>44282</v>
      </c>
      <c r="O777" s="29">
        <v>32.54</v>
      </c>
      <c r="P777" s="18" t="s">
        <v>14</v>
      </c>
      <c r="Q777" s="18">
        <v>0</v>
      </c>
      <c r="U777" s="22">
        <v>0.79</v>
      </c>
      <c r="V777" s="22">
        <f>3.94/5</f>
        <v>0.78800000000000003</v>
      </c>
      <c r="X777" s="3">
        <v>3</v>
      </c>
      <c r="Z777" s="23">
        <v>5.5</v>
      </c>
      <c r="AB777" s="18">
        <f t="shared" si="24"/>
        <v>2021</v>
      </c>
      <c r="AC777" s="22">
        <f t="shared" si="25"/>
        <v>0.72599999999999998</v>
      </c>
    </row>
    <row r="778" spans="1:29">
      <c r="A778" s="8" t="s">
        <v>10052</v>
      </c>
      <c r="B778" s="17" t="s">
        <v>7800</v>
      </c>
      <c r="C778" s="13">
        <v>44281</v>
      </c>
      <c r="D778" s="13" t="s">
        <v>8465</v>
      </c>
      <c r="E778" s="10" t="s">
        <v>10053</v>
      </c>
      <c r="F778" s="10" t="s">
        <v>10053</v>
      </c>
      <c r="H778" s="2" t="s">
        <v>75</v>
      </c>
      <c r="L778" s="18">
        <v>1</v>
      </c>
      <c r="N778" s="13">
        <v>44294</v>
      </c>
      <c r="O778" s="29">
        <v>0</v>
      </c>
      <c r="P778" s="18" t="s">
        <v>1107</v>
      </c>
      <c r="Q778" s="18">
        <v>0</v>
      </c>
      <c r="W778" s="14" t="s">
        <v>7777</v>
      </c>
      <c r="X778" s="3">
        <v>2</v>
      </c>
      <c r="AB778" s="18">
        <f t="shared" si="24"/>
        <v>2021</v>
      </c>
      <c r="AC778" s="22">
        <f t="shared" si="25"/>
        <v>0.4</v>
      </c>
    </row>
    <row r="779" spans="1:29">
      <c r="A779" s="8" t="s">
        <v>9856</v>
      </c>
      <c r="B779" s="17" t="s">
        <v>7744</v>
      </c>
      <c r="C779" s="13">
        <v>44281</v>
      </c>
      <c r="D779" s="13" t="s">
        <v>8465</v>
      </c>
      <c r="E779" s="10" t="s">
        <v>1082</v>
      </c>
      <c r="F779" s="10" t="s">
        <v>2455</v>
      </c>
      <c r="H779" s="2" t="s">
        <v>1040</v>
      </c>
      <c r="L779" s="18">
        <v>1</v>
      </c>
      <c r="M779" s="14" t="s">
        <v>8462</v>
      </c>
      <c r="N779" s="13">
        <v>44095</v>
      </c>
      <c r="O779" s="29">
        <v>65.09</v>
      </c>
      <c r="P779" s="18" t="s">
        <v>14</v>
      </c>
      <c r="Q779" s="18">
        <v>0</v>
      </c>
      <c r="U779" s="22">
        <v>0.33</v>
      </c>
      <c r="V779" s="22">
        <f>1.68/5</f>
        <v>0.33599999999999997</v>
      </c>
      <c r="X779" s="3">
        <v>2</v>
      </c>
      <c r="Z779" s="23">
        <v>10</v>
      </c>
      <c r="AB779" s="18">
        <f t="shared" si="24"/>
        <v>2021</v>
      </c>
      <c r="AC779" s="22">
        <f t="shared" si="25"/>
        <v>0.35533333333333328</v>
      </c>
    </row>
    <row r="780" spans="1:29">
      <c r="A780" s="9" t="s">
        <v>12116</v>
      </c>
      <c r="B780" s="17" t="s">
        <v>7800</v>
      </c>
      <c r="C780" s="13">
        <v>44280</v>
      </c>
      <c r="D780" s="13" t="s">
        <v>8465</v>
      </c>
      <c r="E780" s="10" t="s">
        <v>8541</v>
      </c>
      <c r="F780" s="10" t="s">
        <v>12117</v>
      </c>
      <c r="H780" s="2" t="s">
        <v>1054</v>
      </c>
      <c r="L780" s="18">
        <v>1</v>
      </c>
      <c r="O780" s="29">
        <v>0</v>
      </c>
      <c r="P780" s="18" t="s">
        <v>1107</v>
      </c>
      <c r="Q780" s="18">
        <v>0</v>
      </c>
      <c r="V780" s="22">
        <f>3.25/5</f>
        <v>0.65</v>
      </c>
      <c r="W780" s="14" t="s">
        <v>7777</v>
      </c>
      <c r="X780" s="3">
        <v>2</v>
      </c>
      <c r="Z780" s="23">
        <v>1.5</v>
      </c>
      <c r="AB780" s="18">
        <f t="shared" si="24"/>
        <v>2021</v>
      </c>
      <c r="AC780" s="22">
        <f t="shared" si="25"/>
        <v>0.52500000000000002</v>
      </c>
    </row>
    <row r="781" spans="1:29">
      <c r="A781" s="8" t="s">
        <v>11101</v>
      </c>
      <c r="B781" s="17" t="s">
        <v>7800</v>
      </c>
      <c r="C781" s="13">
        <v>44279</v>
      </c>
      <c r="D781" s="13" t="s">
        <v>8465</v>
      </c>
      <c r="E781" s="10" t="s">
        <v>10384</v>
      </c>
      <c r="F781" s="10" t="s">
        <v>11102</v>
      </c>
      <c r="H781" s="2" t="s">
        <v>67</v>
      </c>
      <c r="L781" s="18">
        <v>1</v>
      </c>
      <c r="N781" s="13">
        <v>44593</v>
      </c>
      <c r="O781" s="29">
        <v>0</v>
      </c>
      <c r="P781" s="18" t="s">
        <v>1107</v>
      </c>
      <c r="Q781" s="18">
        <v>0</v>
      </c>
      <c r="U781" s="22">
        <v>0.57999999999999996</v>
      </c>
      <c r="V781" s="22">
        <f>3.5/5</f>
        <v>0.7</v>
      </c>
      <c r="W781" s="14" t="s">
        <v>7777</v>
      </c>
      <c r="X781" s="3">
        <v>3</v>
      </c>
      <c r="Z781" s="23">
        <v>3</v>
      </c>
      <c r="AB781" s="18">
        <f t="shared" si="24"/>
        <v>2021</v>
      </c>
      <c r="AC781" s="22">
        <f t="shared" si="25"/>
        <v>0.62666666666666659</v>
      </c>
    </row>
    <row r="782" spans="1:29" ht="25.5">
      <c r="A782" s="8" t="s">
        <v>14826</v>
      </c>
      <c r="B782" s="17" t="s">
        <v>7744</v>
      </c>
      <c r="C782" s="13">
        <v>44278</v>
      </c>
      <c r="D782" s="13" t="s">
        <v>8465</v>
      </c>
      <c r="E782" s="10" t="s">
        <v>1534</v>
      </c>
      <c r="F782" s="10" t="s">
        <v>11867</v>
      </c>
      <c r="G782" s="11" t="s">
        <v>2463</v>
      </c>
      <c r="H782" s="2" t="s">
        <v>1334</v>
      </c>
      <c r="L782" s="18">
        <v>1</v>
      </c>
      <c r="M782" s="14" t="s">
        <v>8462</v>
      </c>
      <c r="N782" s="13">
        <v>45068</v>
      </c>
      <c r="O782" s="29">
        <v>21.71</v>
      </c>
      <c r="P782" s="18" t="s">
        <v>14</v>
      </c>
      <c r="Q782" s="18">
        <v>0</v>
      </c>
      <c r="U782" s="22">
        <v>0.71</v>
      </c>
      <c r="V782" s="22">
        <f>3.56/5</f>
        <v>0.71199999999999997</v>
      </c>
      <c r="X782" s="3">
        <v>2</v>
      </c>
      <c r="Z782" s="23">
        <v>45</v>
      </c>
      <c r="AB782" s="18">
        <f t="shared" si="24"/>
        <v>2021</v>
      </c>
      <c r="AC782" s="22">
        <f t="shared" si="25"/>
        <v>0.60733333333333339</v>
      </c>
    </row>
    <row r="783" spans="1:29">
      <c r="A783" s="8" t="s">
        <v>13223</v>
      </c>
      <c r="B783" s="17" t="s">
        <v>7800</v>
      </c>
      <c r="C783" s="13">
        <v>44274</v>
      </c>
      <c r="D783" s="13" t="s">
        <v>8465</v>
      </c>
      <c r="E783" s="10" t="s">
        <v>13224</v>
      </c>
      <c r="F783" s="10" t="s">
        <v>13224</v>
      </c>
      <c r="H783" s="2" t="s">
        <v>78</v>
      </c>
      <c r="L783" s="18">
        <v>1</v>
      </c>
      <c r="P783" s="18" t="s">
        <v>1107</v>
      </c>
      <c r="Q783" s="18">
        <v>0</v>
      </c>
      <c r="V783" s="22">
        <f>3.75/5</f>
        <v>0.75</v>
      </c>
      <c r="W783" s="14" t="s">
        <v>7777</v>
      </c>
      <c r="X783" s="3">
        <v>2</v>
      </c>
      <c r="Z783" s="23">
        <v>1</v>
      </c>
      <c r="AB783" s="18">
        <f t="shared" si="24"/>
        <v>2021</v>
      </c>
      <c r="AC783" s="22">
        <f t="shared" si="25"/>
        <v>0.57499999999999996</v>
      </c>
    </row>
    <row r="784" spans="1:29">
      <c r="A784" s="8" t="s">
        <v>10450</v>
      </c>
      <c r="B784" s="17" t="s">
        <v>7783</v>
      </c>
      <c r="C784" s="13">
        <v>44273</v>
      </c>
      <c r="D784" s="13" t="s">
        <v>8465</v>
      </c>
      <c r="E784" s="10" t="s">
        <v>10451</v>
      </c>
      <c r="F784" s="10" t="s">
        <v>10451</v>
      </c>
      <c r="H784" s="2" t="s">
        <v>1334</v>
      </c>
      <c r="L784" s="18">
        <v>0</v>
      </c>
      <c r="Q784" s="18">
        <v>0</v>
      </c>
      <c r="W784" s="14" t="s">
        <v>8572</v>
      </c>
      <c r="X784" s="3">
        <v>3</v>
      </c>
      <c r="Z784" s="23">
        <v>65</v>
      </c>
      <c r="AB784" s="18">
        <f t="shared" si="24"/>
        <v>2021</v>
      </c>
      <c r="AC784" s="22">
        <f t="shared" si="25"/>
        <v>0.6</v>
      </c>
    </row>
    <row r="785" spans="1:29" ht="30">
      <c r="A785" s="8" t="s">
        <v>10189</v>
      </c>
      <c r="B785" s="17" t="s">
        <v>7744</v>
      </c>
      <c r="C785" s="13">
        <v>44272</v>
      </c>
      <c r="D785" s="13" t="s">
        <v>8465</v>
      </c>
      <c r="E785" s="10" t="s">
        <v>170</v>
      </c>
      <c r="F785" s="10" t="s">
        <v>170</v>
      </c>
      <c r="H785" s="2" t="s">
        <v>6510</v>
      </c>
      <c r="L785" s="18">
        <v>1</v>
      </c>
      <c r="M785" s="14" t="s">
        <v>8462</v>
      </c>
      <c r="N785" s="13">
        <v>44330</v>
      </c>
      <c r="O785" s="29">
        <v>39.99</v>
      </c>
      <c r="P785" s="18" t="s">
        <v>14</v>
      </c>
      <c r="Q785" s="18">
        <v>0</v>
      </c>
      <c r="U785" s="22">
        <v>0.79</v>
      </c>
      <c r="V785" s="22">
        <f>4.19/5</f>
        <v>0.83800000000000008</v>
      </c>
      <c r="W785" s="14" t="s">
        <v>1134</v>
      </c>
      <c r="X785" s="3">
        <v>2</v>
      </c>
      <c r="Z785" s="23">
        <f>37/60+37/60+29/60+25/60+17/60+41/60+4+1+1.5+2</f>
        <v>11.6</v>
      </c>
      <c r="AB785" s="18">
        <f t="shared" si="24"/>
        <v>2021</v>
      </c>
      <c r="AC785" s="22">
        <f t="shared" si="25"/>
        <v>0.67600000000000005</v>
      </c>
    </row>
    <row r="786" spans="1:29" ht="38.25">
      <c r="A786" s="8" t="s">
        <v>9843</v>
      </c>
      <c r="B786" s="17" t="s">
        <v>7744</v>
      </c>
      <c r="C786" s="13">
        <v>44271</v>
      </c>
      <c r="D786" s="13" t="s">
        <v>8465</v>
      </c>
      <c r="E786" s="10" t="s">
        <v>1062</v>
      </c>
      <c r="F786" s="10" t="s">
        <v>8972</v>
      </c>
      <c r="G786" s="11" t="s">
        <v>9844</v>
      </c>
      <c r="H786" s="2" t="s">
        <v>1377</v>
      </c>
      <c r="L786" s="18">
        <v>1</v>
      </c>
      <c r="M786" s="14" t="s">
        <v>8462</v>
      </c>
      <c r="N786" s="13">
        <v>44049</v>
      </c>
      <c r="O786" s="29">
        <v>54.24</v>
      </c>
      <c r="P786" s="18" t="s">
        <v>14</v>
      </c>
      <c r="Q786" s="18">
        <v>0</v>
      </c>
      <c r="U786" s="22">
        <v>0.8</v>
      </c>
      <c r="V786" s="22">
        <f>3.92/5</f>
        <v>0.78400000000000003</v>
      </c>
      <c r="X786" s="3">
        <v>3</v>
      </c>
      <c r="Z786" s="23">
        <f>15+46</f>
        <v>61</v>
      </c>
      <c r="AB786" s="18">
        <f t="shared" si="24"/>
        <v>2021</v>
      </c>
      <c r="AC786" s="22">
        <f t="shared" si="25"/>
        <v>0.72800000000000009</v>
      </c>
    </row>
    <row r="787" spans="1:29">
      <c r="A787" s="8" t="s">
        <v>13354</v>
      </c>
      <c r="B787" s="17" t="s">
        <v>7800</v>
      </c>
      <c r="C787" s="13">
        <v>44271</v>
      </c>
      <c r="D787" s="13" t="s">
        <v>8465</v>
      </c>
      <c r="E787" s="10" t="s">
        <v>13355</v>
      </c>
      <c r="F787" s="10" t="s">
        <v>13355</v>
      </c>
      <c r="H787" s="2" t="s">
        <v>67</v>
      </c>
      <c r="L787" s="18">
        <v>1</v>
      </c>
      <c r="N787" s="13">
        <v>44952</v>
      </c>
      <c r="O787" s="29">
        <v>0</v>
      </c>
      <c r="P787" s="18" t="s">
        <v>1107</v>
      </c>
      <c r="Q787" s="18">
        <v>0</v>
      </c>
      <c r="U787" s="22">
        <v>0.78</v>
      </c>
      <c r="V787" s="22">
        <f>2.97/5</f>
        <v>0.59400000000000008</v>
      </c>
      <c r="W787" s="14" t="s">
        <v>7097</v>
      </c>
      <c r="X787" s="3">
        <v>3</v>
      </c>
      <c r="Z787" s="23">
        <v>1.5</v>
      </c>
      <c r="AB787" s="18">
        <f t="shared" si="24"/>
        <v>2021</v>
      </c>
      <c r="AC787" s="22">
        <f t="shared" si="25"/>
        <v>0.65800000000000003</v>
      </c>
    </row>
    <row r="788" spans="1:29" ht="30">
      <c r="A788" s="8" t="s">
        <v>10950</v>
      </c>
      <c r="B788" s="17" t="s">
        <v>7800</v>
      </c>
      <c r="C788" s="13">
        <v>44259</v>
      </c>
      <c r="D788" s="13" t="s">
        <v>8465</v>
      </c>
      <c r="E788" s="10" t="s">
        <v>10951</v>
      </c>
      <c r="F788" s="10" t="s">
        <v>10952</v>
      </c>
      <c r="G788" s="11" t="s">
        <v>10950</v>
      </c>
      <c r="H788" s="2" t="s">
        <v>10953</v>
      </c>
      <c r="L788" s="18">
        <v>1</v>
      </c>
      <c r="N788" s="13">
        <v>44566</v>
      </c>
      <c r="O788" s="29">
        <v>3.33</v>
      </c>
      <c r="P788" s="18" t="s">
        <v>1107</v>
      </c>
      <c r="Q788" s="18">
        <v>0</v>
      </c>
      <c r="U788" s="22">
        <v>0.84</v>
      </c>
      <c r="V788" s="22">
        <f>4.09/5</f>
        <v>0.81799999999999995</v>
      </c>
      <c r="W788" s="14" t="s">
        <v>7777</v>
      </c>
      <c r="X788" s="3">
        <v>4</v>
      </c>
      <c r="Z788" s="23">
        <v>6.5</v>
      </c>
      <c r="AB788" s="18">
        <f t="shared" si="24"/>
        <v>2021</v>
      </c>
      <c r="AC788" s="22">
        <f t="shared" si="25"/>
        <v>0.81933333333333336</v>
      </c>
    </row>
    <row r="789" spans="1:29">
      <c r="A789" s="8" t="s">
        <v>10406</v>
      </c>
      <c r="B789" s="17" t="s">
        <v>7744</v>
      </c>
      <c r="C789" s="13">
        <v>44259</v>
      </c>
      <c r="D789" s="13" t="s">
        <v>8465</v>
      </c>
      <c r="E789" s="10" t="s">
        <v>3136</v>
      </c>
      <c r="F789" s="10" t="s">
        <v>10407</v>
      </c>
      <c r="H789" s="2" t="s">
        <v>67</v>
      </c>
      <c r="L789" s="18">
        <v>1</v>
      </c>
      <c r="N789" s="13">
        <v>44414</v>
      </c>
      <c r="O789" s="29">
        <v>19.920000000000002</v>
      </c>
      <c r="P789" s="18" t="s">
        <v>1107</v>
      </c>
      <c r="Q789" s="18">
        <v>0</v>
      </c>
      <c r="U789" s="22">
        <v>0.82</v>
      </c>
      <c r="V789" s="22">
        <f>3.96/5</f>
        <v>0.79200000000000004</v>
      </c>
      <c r="X789" s="3">
        <v>3</v>
      </c>
      <c r="Z789" s="23">
        <v>18.5</v>
      </c>
      <c r="AB789" s="18">
        <f t="shared" si="24"/>
        <v>2021</v>
      </c>
      <c r="AC789" s="22">
        <f t="shared" si="25"/>
        <v>0.7373333333333334</v>
      </c>
    </row>
    <row r="790" spans="1:29" ht="25.5">
      <c r="A790" s="8" t="s">
        <v>14058</v>
      </c>
      <c r="B790" s="17" t="s">
        <v>7800</v>
      </c>
      <c r="C790" s="13">
        <v>44259</v>
      </c>
      <c r="D790" s="13" t="s">
        <v>8465</v>
      </c>
      <c r="E790" s="10" t="s">
        <v>14059</v>
      </c>
      <c r="F790" s="10" t="s">
        <v>14060</v>
      </c>
      <c r="H790" s="2" t="s">
        <v>1720</v>
      </c>
      <c r="L790" s="18">
        <v>1</v>
      </c>
      <c r="N790" s="13">
        <v>45020</v>
      </c>
      <c r="O790" s="29">
        <v>0</v>
      </c>
      <c r="P790" s="18" t="s">
        <v>1107</v>
      </c>
      <c r="Q790" s="18">
        <v>0</v>
      </c>
      <c r="U790" s="22">
        <v>0.82</v>
      </c>
      <c r="V790" s="22">
        <f>3.88/5</f>
        <v>0.77600000000000002</v>
      </c>
      <c r="W790" s="14" t="s">
        <v>7777</v>
      </c>
      <c r="X790" s="3">
        <v>3</v>
      </c>
      <c r="Z790" s="23">
        <v>9</v>
      </c>
      <c r="AB790" s="18">
        <f t="shared" si="24"/>
        <v>2021</v>
      </c>
      <c r="AC790" s="22">
        <f t="shared" si="25"/>
        <v>0.7320000000000001</v>
      </c>
    </row>
    <row r="791" spans="1:29" ht="25.5">
      <c r="A791" s="8" t="s">
        <v>10402</v>
      </c>
      <c r="B791" s="17" t="s">
        <v>7744</v>
      </c>
      <c r="C791" s="13">
        <v>44259</v>
      </c>
      <c r="D791" s="13" t="s">
        <v>8465</v>
      </c>
      <c r="E791" s="10" t="s">
        <v>10403</v>
      </c>
      <c r="F791" s="10" t="s">
        <v>10404</v>
      </c>
      <c r="G791" s="11" t="s">
        <v>10405</v>
      </c>
      <c r="H791" s="2" t="s">
        <v>21</v>
      </c>
      <c r="L791" s="18">
        <v>1</v>
      </c>
      <c r="N791" s="13">
        <v>44413</v>
      </c>
      <c r="O791" s="29">
        <v>1.26</v>
      </c>
      <c r="P791" s="18" t="s">
        <v>1107</v>
      </c>
      <c r="Q791" s="18">
        <v>0</v>
      </c>
      <c r="V791" s="22">
        <f>3.7/5</f>
        <v>0.74</v>
      </c>
      <c r="X791" s="3">
        <v>3</v>
      </c>
      <c r="Z791" s="23">
        <v>1.5</v>
      </c>
      <c r="AB791" s="18">
        <f t="shared" si="24"/>
        <v>2021</v>
      </c>
      <c r="AC791" s="22">
        <f t="shared" si="25"/>
        <v>0.66999999999999993</v>
      </c>
    </row>
    <row r="792" spans="1:29">
      <c r="A792" s="8" t="s">
        <v>9825</v>
      </c>
      <c r="B792" s="17" t="s">
        <v>9431</v>
      </c>
      <c r="C792" s="13">
        <v>44257</v>
      </c>
      <c r="D792" s="13" t="s">
        <v>8465</v>
      </c>
      <c r="E792" s="10" t="s">
        <v>7300</v>
      </c>
      <c r="F792" s="10" t="s">
        <v>9826</v>
      </c>
      <c r="H792" s="2" t="s">
        <v>78</v>
      </c>
      <c r="L792" s="18">
        <v>1</v>
      </c>
      <c r="N792" s="13">
        <v>44257</v>
      </c>
      <c r="O792" s="29">
        <v>0</v>
      </c>
      <c r="P792" s="18" t="s">
        <v>1107</v>
      </c>
      <c r="Q792" s="18">
        <v>0</v>
      </c>
      <c r="U792" s="22">
        <v>0.7</v>
      </c>
      <c r="V792" s="22">
        <f>2.73/5</f>
        <v>0.54600000000000004</v>
      </c>
      <c r="W792" s="14" t="s">
        <v>6072</v>
      </c>
      <c r="X792" s="3">
        <v>3</v>
      </c>
      <c r="Z792" s="23">
        <v>3.5</v>
      </c>
      <c r="AB792" s="18">
        <f t="shared" si="24"/>
        <v>2021</v>
      </c>
      <c r="AC792" s="22">
        <f t="shared" si="25"/>
        <v>0.6153333333333334</v>
      </c>
    </row>
    <row r="793" spans="1:29" ht="30">
      <c r="A793" s="8" t="s">
        <v>9830</v>
      </c>
      <c r="B793" s="17" t="s">
        <v>7760</v>
      </c>
      <c r="C793" s="13">
        <v>44257</v>
      </c>
      <c r="D793" s="13" t="s">
        <v>8465</v>
      </c>
      <c r="E793" s="10" t="s">
        <v>1680</v>
      </c>
      <c r="F793" s="10" t="s">
        <v>3861</v>
      </c>
      <c r="G793" s="11" t="s">
        <v>1682</v>
      </c>
      <c r="H793" s="2" t="s">
        <v>171</v>
      </c>
      <c r="L793" s="18">
        <v>1</v>
      </c>
      <c r="M793" s="14" t="s">
        <v>8462</v>
      </c>
      <c r="N793" s="13">
        <v>44211</v>
      </c>
      <c r="O793" s="29">
        <v>49.99</v>
      </c>
      <c r="P793" s="18" t="s">
        <v>14</v>
      </c>
      <c r="Q793" s="18">
        <v>0</v>
      </c>
      <c r="U793" s="22">
        <v>0.57999999999999996</v>
      </c>
      <c r="V793" s="22">
        <f>3.34/5</f>
        <v>0.66799999999999993</v>
      </c>
      <c r="X793" s="3">
        <v>2</v>
      </c>
      <c r="Z793" s="23">
        <v>15.5</v>
      </c>
      <c r="AB793" s="18">
        <f t="shared" si="24"/>
        <v>2021</v>
      </c>
      <c r="AC793" s="22">
        <f t="shared" si="25"/>
        <v>0.54933333333333323</v>
      </c>
    </row>
    <row r="794" spans="1:29">
      <c r="A794" s="8" t="s">
        <v>12668</v>
      </c>
      <c r="B794" s="17" t="s">
        <v>7800</v>
      </c>
      <c r="C794" s="13">
        <v>44256</v>
      </c>
      <c r="D794" s="13" t="s">
        <v>8465</v>
      </c>
      <c r="E794" s="10" t="s">
        <v>10670</v>
      </c>
      <c r="F794" s="10" t="s">
        <v>10670</v>
      </c>
      <c r="H794" s="2" t="s">
        <v>56</v>
      </c>
      <c r="L794" s="18">
        <v>1</v>
      </c>
      <c r="N794" s="13">
        <v>44823</v>
      </c>
      <c r="O794" s="29">
        <v>4.99</v>
      </c>
      <c r="P794" s="18" t="s">
        <v>1107</v>
      </c>
      <c r="Q794" s="18">
        <v>0</v>
      </c>
      <c r="U794" s="22">
        <v>0.71</v>
      </c>
      <c r="V794" s="22">
        <f>3.35/5</f>
        <v>0.67</v>
      </c>
      <c r="W794" s="14" t="s">
        <v>7777</v>
      </c>
      <c r="X794" s="3">
        <v>3</v>
      </c>
      <c r="Z794" s="23">
        <v>7</v>
      </c>
      <c r="AB794" s="18">
        <f t="shared" si="24"/>
        <v>2021</v>
      </c>
      <c r="AC794" s="22">
        <f t="shared" si="25"/>
        <v>0.66</v>
      </c>
    </row>
    <row r="795" spans="1:29" ht="30">
      <c r="A795" s="8" t="s">
        <v>14112</v>
      </c>
      <c r="B795" s="17" t="s">
        <v>7800</v>
      </c>
      <c r="C795" s="13">
        <v>44254</v>
      </c>
      <c r="D795" s="13" t="s">
        <v>8465</v>
      </c>
      <c r="E795" s="10" t="s">
        <v>14113</v>
      </c>
      <c r="F795" s="10" t="s">
        <v>14113</v>
      </c>
      <c r="H795" s="2" t="s">
        <v>171</v>
      </c>
      <c r="L795" s="18">
        <v>1</v>
      </c>
      <c r="O795" s="29">
        <v>0</v>
      </c>
      <c r="P795" s="18" t="s">
        <v>1107</v>
      </c>
      <c r="Q795" s="18">
        <v>0</v>
      </c>
      <c r="W795" s="14" t="s">
        <v>8765</v>
      </c>
      <c r="X795" s="3">
        <v>2</v>
      </c>
      <c r="AB795" s="18">
        <f t="shared" si="24"/>
        <v>2021</v>
      </c>
      <c r="AC795" s="22">
        <f t="shared" si="25"/>
        <v>0.4</v>
      </c>
    </row>
    <row r="796" spans="1:29">
      <c r="A796" s="8" t="s">
        <v>9807</v>
      </c>
      <c r="B796" s="17" t="s">
        <v>7744</v>
      </c>
      <c r="C796" s="13">
        <v>44253</v>
      </c>
      <c r="D796" s="13" t="s">
        <v>8465</v>
      </c>
      <c r="E796" s="10" t="s">
        <v>86</v>
      </c>
      <c r="F796" s="10" t="s">
        <v>9808</v>
      </c>
      <c r="G796" s="11" t="s">
        <v>2362</v>
      </c>
      <c r="H796" s="2" t="s">
        <v>149</v>
      </c>
      <c r="L796" s="18">
        <v>1</v>
      </c>
      <c r="M796" s="14" t="s">
        <v>8462</v>
      </c>
      <c r="N796" s="13">
        <v>43975</v>
      </c>
      <c r="O796" s="29">
        <v>59.99</v>
      </c>
      <c r="P796" s="18" t="s">
        <v>14</v>
      </c>
      <c r="Q796" s="18">
        <v>0</v>
      </c>
      <c r="U796" s="22">
        <v>0.76</v>
      </c>
      <c r="V796" s="22">
        <f>4.06/5</f>
        <v>0.81199999999999994</v>
      </c>
      <c r="X796" s="3">
        <v>4</v>
      </c>
      <c r="Z796" s="23">
        <v>40.5</v>
      </c>
      <c r="AB796" s="18">
        <f t="shared" si="24"/>
        <v>2021</v>
      </c>
      <c r="AC796" s="22">
        <f t="shared" si="25"/>
        <v>0.79066666666666663</v>
      </c>
    </row>
    <row r="797" spans="1:29" ht="25.5">
      <c r="A797" s="8" t="s">
        <v>9800</v>
      </c>
      <c r="B797" s="17" t="s">
        <v>7744</v>
      </c>
      <c r="C797" s="13">
        <v>44252</v>
      </c>
      <c r="D797" s="13" t="s">
        <v>8465</v>
      </c>
      <c r="E797" s="10" t="s">
        <v>73</v>
      </c>
      <c r="F797" s="10" t="s">
        <v>73</v>
      </c>
      <c r="G797" s="11" t="s">
        <v>79</v>
      </c>
      <c r="H797" s="2" t="s">
        <v>56</v>
      </c>
      <c r="L797" s="18">
        <v>1</v>
      </c>
      <c r="N797" s="13">
        <v>44250</v>
      </c>
      <c r="O797" s="29">
        <v>0</v>
      </c>
      <c r="P797" s="18" t="s">
        <v>1107</v>
      </c>
      <c r="Q797" s="18">
        <v>0</v>
      </c>
      <c r="U797" s="22">
        <v>0.74</v>
      </c>
      <c r="V797" s="22">
        <f>4.1/5</f>
        <v>0.82</v>
      </c>
      <c r="X797" s="3">
        <v>3</v>
      </c>
      <c r="Z797" s="23">
        <v>5</v>
      </c>
      <c r="AB797" s="18">
        <f t="shared" si="24"/>
        <v>2021</v>
      </c>
      <c r="AC797" s="22">
        <f t="shared" si="25"/>
        <v>0.72000000000000008</v>
      </c>
    </row>
    <row r="798" spans="1:29">
      <c r="A798" s="8" t="s">
        <v>9829</v>
      </c>
      <c r="B798" s="17" t="s">
        <v>7744</v>
      </c>
      <c r="C798" s="13">
        <v>44252</v>
      </c>
      <c r="D798" s="13" t="s">
        <v>8465</v>
      </c>
      <c r="E798" s="10" t="s">
        <v>3464</v>
      </c>
      <c r="F798" s="10" t="s">
        <v>9831</v>
      </c>
      <c r="H798" s="2" t="s">
        <v>171</v>
      </c>
      <c r="L798" s="18">
        <v>1</v>
      </c>
      <c r="M798" s="14" t="s">
        <v>8462</v>
      </c>
      <c r="N798" s="13">
        <v>44096</v>
      </c>
      <c r="O798" s="29">
        <v>34.99</v>
      </c>
      <c r="P798" s="18" t="s">
        <v>14</v>
      </c>
      <c r="Q798" s="18">
        <v>0</v>
      </c>
      <c r="U798" s="22">
        <v>0.51</v>
      </c>
      <c r="V798" s="22">
        <f>2.5/5</f>
        <v>0.5</v>
      </c>
      <c r="X798" s="3">
        <v>3</v>
      </c>
      <c r="Z798" s="23">
        <v>14.5</v>
      </c>
      <c r="AB798" s="18">
        <f t="shared" si="24"/>
        <v>2021</v>
      </c>
      <c r="AC798" s="22">
        <f t="shared" si="25"/>
        <v>0.53666666666666663</v>
      </c>
    </row>
    <row r="799" spans="1:29">
      <c r="A799" s="8" t="s">
        <v>9528</v>
      </c>
      <c r="B799" s="17" t="s">
        <v>7800</v>
      </c>
      <c r="C799" s="13">
        <v>44252</v>
      </c>
      <c r="D799" s="13" t="s">
        <v>8465</v>
      </c>
      <c r="E799" s="10" t="s">
        <v>9529</v>
      </c>
      <c r="F799" s="10" t="s">
        <v>9530</v>
      </c>
      <c r="H799" s="2" t="s">
        <v>1699</v>
      </c>
      <c r="L799" s="18">
        <v>1</v>
      </c>
      <c r="N799" s="13">
        <v>44189</v>
      </c>
      <c r="O799" s="29">
        <v>0</v>
      </c>
      <c r="P799" s="18" t="s">
        <v>1107</v>
      </c>
      <c r="Q799" s="18">
        <v>0</v>
      </c>
      <c r="U799" s="22">
        <v>0.7</v>
      </c>
      <c r="V799" s="22">
        <f>3.41/5</f>
        <v>0.68200000000000005</v>
      </c>
      <c r="W799" s="14" t="s">
        <v>7777</v>
      </c>
      <c r="X799" s="3">
        <v>2</v>
      </c>
      <c r="Z799" s="23">
        <v>16</v>
      </c>
      <c r="AB799" s="18">
        <f t="shared" si="24"/>
        <v>2021</v>
      </c>
      <c r="AC799" s="22">
        <f t="shared" si="25"/>
        <v>0.59399999999999997</v>
      </c>
    </row>
    <row r="800" spans="1:29">
      <c r="A800" s="8" t="s">
        <v>15242</v>
      </c>
      <c r="B800" s="17" t="s">
        <v>7760</v>
      </c>
      <c r="C800" s="13">
        <v>44250</v>
      </c>
      <c r="D800" s="13" t="s">
        <v>8465</v>
      </c>
      <c r="E800" s="10" t="s">
        <v>3493</v>
      </c>
      <c r="F800" s="10" t="s">
        <v>12450</v>
      </c>
      <c r="H800" s="2" t="s">
        <v>171</v>
      </c>
      <c r="L800" s="18">
        <v>1</v>
      </c>
      <c r="N800" s="13">
        <v>44694</v>
      </c>
      <c r="O800" s="29">
        <v>0</v>
      </c>
      <c r="P800" s="18" t="s">
        <v>1107</v>
      </c>
      <c r="Q800" s="18">
        <v>0</v>
      </c>
      <c r="U800" s="22">
        <v>0.79</v>
      </c>
      <c r="V800" s="22">
        <f>2.97/5</f>
        <v>0.59400000000000008</v>
      </c>
      <c r="W800" s="14" t="s">
        <v>6072</v>
      </c>
      <c r="X800" s="3">
        <v>3</v>
      </c>
      <c r="Z800" s="23">
        <v>21</v>
      </c>
      <c r="AB800" s="18">
        <f t="shared" si="24"/>
        <v>2021</v>
      </c>
      <c r="AC800" s="22">
        <f t="shared" si="25"/>
        <v>0.66133333333333333</v>
      </c>
    </row>
    <row r="801" spans="1:29">
      <c r="A801" s="8" t="s">
        <v>10350</v>
      </c>
      <c r="B801" s="17" t="s">
        <v>7800</v>
      </c>
      <c r="C801" s="13">
        <v>44246</v>
      </c>
      <c r="D801" s="13" t="s">
        <v>8465</v>
      </c>
      <c r="E801" s="10" t="s">
        <v>10351</v>
      </c>
      <c r="F801" s="10" t="s">
        <v>10351</v>
      </c>
      <c r="H801" s="2" t="s">
        <v>1061</v>
      </c>
      <c r="L801" s="18">
        <v>1</v>
      </c>
      <c r="N801" s="13">
        <v>44396</v>
      </c>
      <c r="O801" s="29">
        <v>7.19</v>
      </c>
      <c r="P801" s="18" t="s">
        <v>1107</v>
      </c>
      <c r="Q801" s="18">
        <v>0</v>
      </c>
      <c r="U801" s="22">
        <v>0.61</v>
      </c>
      <c r="V801" s="22">
        <f>2.63/5</f>
        <v>0.52600000000000002</v>
      </c>
      <c r="W801" s="14" t="s">
        <v>7777</v>
      </c>
      <c r="X801" s="3">
        <v>3</v>
      </c>
      <c r="Z801" s="23">
        <v>2</v>
      </c>
      <c r="AB801" s="18">
        <f t="shared" si="24"/>
        <v>2021</v>
      </c>
      <c r="AC801" s="22">
        <f t="shared" si="25"/>
        <v>0.57866666666666677</v>
      </c>
    </row>
    <row r="802" spans="1:29" ht="30">
      <c r="A802" s="8" t="s">
        <v>11345</v>
      </c>
      <c r="B802" s="17" t="s">
        <v>7800</v>
      </c>
      <c r="C802" s="13">
        <v>44245</v>
      </c>
      <c r="D802" s="13" t="s">
        <v>8465</v>
      </c>
      <c r="E802" s="10" t="s">
        <v>3063</v>
      </c>
      <c r="F802" s="10" t="s">
        <v>4457</v>
      </c>
      <c r="G802" s="11" t="s">
        <v>4456</v>
      </c>
      <c r="H802" s="2" t="s">
        <v>150</v>
      </c>
      <c r="L802" s="18">
        <v>1</v>
      </c>
      <c r="N802" s="13">
        <v>44627</v>
      </c>
      <c r="O802" s="29">
        <v>0</v>
      </c>
      <c r="P802" s="18" t="s">
        <v>1107</v>
      </c>
      <c r="Q802" s="18">
        <v>0</v>
      </c>
      <c r="V802" s="22">
        <f>3.83/5</f>
        <v>0.76600000000000001</v>
      </c>
      <c r="W802" s="14" t="s">
        <v>8765</v>
      </c>
      <c r="X802" s="3">
        <v>3</v>
      </c>
      <c r="Z802" s="23">
        <f>27/60</f>
        <v>0.45</v>
      </c>
      <c r="AB802" s="18">
        <f t="shared" si="24"/>
        <v>2021</v>
      </c>
      <c r="AC802" s="22">
        <f t="shared" si="25"/>
        <v>0.68300000000000005</v>
      </c>
    </row>
    <row r="803" spans="1:29">
      <c r="A803" s="8" t="s">
        <v>11403</v>
      </c>
      <c r="B803" s="17" t="s">
        <v>7800</v>
      </c>
      <c r="C803" s="13">
        <v>44245</v>
      </c>
      <c r="D803" s="13" t="s">
        <v>8465</v>
      </c>
      <c r="E803" s="10" t="s">
        <v>7894</v>
      </c>
      <c r="F803" s="10" t="s">
        <v>11404</v>
      </c>
      <c r="H803" s="2" t="s">
        <v>80</v>
      </c>
      <c r="L803" s="18">
        <v>1</v>
      </c>
      <c r="N803" s="13">
        <v>44638</v>
      </c>
      <c r="O803" s="29">
        <v>0</v>
      </c>
      <c r="P803" s="18" t="s">
        <v>1107</v>
      </c>
      <c r="Q803" s="18">
        <v>0</v>
      </c>
      <c r="U803" s="22">
        <v>0.65</v>
      </c>
      <c r="V803" s="22">
        <f>2.64/5</f>
        <v>0.52800000000000002</v>
      </c>
      <c r="W803" s="14" t="s">
        <v>7777</v>
      </c>
      <c r="X803" s="3">
        <v>3</v>
      </c>
      <c r="Z803" s="23">
        <v>7</v>
      </c>
      <c r="AB803" s="18">
        <f t="shared" si="24"/>
        <v>2021</v>
      </c>
      <c r="AC803" s="22">
        <f t="shared" si="25"/>
        <v>0.59266666666666667</v>
      </c>
    </row>
    <row r="804" spans="1:29">
      <c r="A804" s="8" t="s">
        <v>15419</v>
      </c>
      <c r="B804" s="17" t="s">
        <v>7800</v>
      </c>
      <c r="C804" s="13">
        <v>44245</v>
      </c>
      <c r="D804" s="13" t="s">
        <v>8465</v>
      </c>
      <c r="E804" s="10" t="s">
        <v>15420</v>
      </c>
      <c r="F804" s="10" t="s">
        <v>15420</v>
      </c>
      <c r="H804" s="2" t="s">
        <v>1334</v>
      </c>
      <c r="L804" s="18">
        <v>1</v>
      </c>
      <c r="N804" s="13">
        <v>45128</v>
      </c>
      <c r="O804" s="29">
        <v>0</v>
      </c>
      <c r="P804" s="18" t="s">
        <v>1107</v>
      </c>
      <c r="Q804" s="18">
        <v>0</v>
      </c>
      <c r="W804" s="14" t="s">
        <v>7777</v>
      </c>
      <c r="X804" s="3">
        <v>2</v>
      </c>
      <c r="Z804" s="23">
        <v>12</v>
      </c>
      <c r="AB804" s="18">
        <f t="shared" si="24"/>
        <v>2021</v>
      </c>
      <c r="AC804" s="22">
        <f t="shared" si="25"/>
        <v>0.4</v>
      </c>
    </row>
    <row r="805" spans="1:29" ht="25.5">
      <c r="A805" s="8" t="s">
        <v>14822</v>
      </c>
      <c r="B805" s="17" t="s">
        <v>7800</v>
      </c>
      <c r="C805" s="13">
        <v>44244</v>
      </c>
      <c r="D805" s="13" t="s">
        <v>8465</v>
      </c>
      <c r="E805" s="10" t="s">
        <v>14823</v>
      </c>
      <c r="F805" s="10" t="s">
        <v>14823</v>
      </c>
      <c r="H805" s="2" t="s">
        <v>171</v>
      </c>
      <c r="L805" s="18">
        <v>1</v>
      </c>
      <c r="N805" s="13">
        <v>45069</v>
      </c>
      <c r="O805" s="29">
        <v>0</v>
      </c>
      <c r="P805" s="18" t="s">
        <v>1107</v>
      </c>
      <c r="Q805" s="18">
        <v>0</v>
      </c>
      <c r="U805" s="22">
        <v>0.68</v>
      </c>
      <c r="V805" s="22">
        <f>2.75/5</f>
        <v>0.55000000000000004</v>
      </c>
      <c r="W805" s="14" t="s">
        <v>7799</v>
      </c>
      <c r="X805" s="3">
        <v>2</v>
      </c>
      <c r="Z805" s="23">
        <v>15.5</v>
      </c>
      <c r="AB805" s="18">
        <f t="shared" si="24"/>
        <v>2021</v>
      </c>
      <c r="AC805" s="22">
        <f t="shared" si="25"/>
        <v>0.54333333333333333</v>
      </c>
    </row>
    <row r="806" spans="1:29" ht="30">
      <c r="A806" s="8" t="s">
        <v>16029</v>
      </c>
      <c r="B806" s="17" t="s">
        <v>7744</v>
      </c>
      <c r="C806" s="13">
        <v>44244</v>
      </c>
      <c r="D806" s="13" t="s">
        <v>8465</v>
      </c>
      <c r="E806" s="10" t="s">
        <v>1373</v>
      </c>
      <c r="F806" s="10" t="s">
        <v>1373</v>
      </c>
      <c r="H806" s="2" t="s">
        <v>56</v>
      </c>
      <c r="L806" s="18">
        <v>0</v>
      </c>
      <c r="Q806" s="18">
        <v>0</v>
      </c>
      <c r="V806" s="22">
        <f>3.03/5</f>
        <v>0.60599999999999998</v>
      </c>
      <c r="W806" s="14" t="s">
        <v>13693</v>
      </c>
      <c r="X806" s="3">
        <v>2</v>
      </c>
      <c r="Z806" s="23">
        <v>1</v>
      </c>
      <c r="AB806" s="18">
        <f t="shared" si="24"/>
        <v>2021</v>
      </c>
      <c r="AC806" s="22">
        <f t="shared" si="25"/>
        <v>0.503</v>
      </c>
    </row>
    <row r="807" spans="1:29" ht="30">
      <c r="A807" s="8" t="s">
        <v>9782</v>
      </c>
      <c r="B807" s="17" t="s">
        <v>7744</v>
      </c>
      <c r="C807" s="13">
        <v>44243</v>
      </c>
      <c r="D807" s="13" t="s">
        <v>8465</v>
      </c>
      <c r="E807" s="10" t="s">
        <v>1680</v>
      </c>
      <c r="F807" s="10" t="s">
        <v>8698</v>
      </c>
      <c r="G807" s="11" t="s">
        <v>9783</v>
      </c>
      <c r="H807" s="2" t="s">
        <v>7245</v>
      </c>
      <c r="L807" s="18">
        <v>1</v>
      </c>
      <c r="M807" s="14" t="s">
        <v>8462</v>
      </c>
      <c r="N807" s="13">
        <v>44173</v>
      </c>
      <c r="O807" s="29">
        <v>49.99</v>
      </c>
      <c r="P807" s="18" t="s">
        <v>14</v>
      </c>
      <c r="Q807" s="18">
        <v>0</v>
      </c>
      <c r="U807" s="22">
        <v>0.63</v>
      </c>
      <c r="V807" s="22">
        <f>3.83/5</f>
        <v>0.76600000000000001</v>
      </c>
      <c r="X807" s="3">
        <v>3</v>
      </c>
      <c r="Z807" s="23">
        <v>10.5</v>
      </c>
      <c r="AB807" s="18">
        <f t="shared" si="24"/>
        <v>2021</v>
      </c>
      <c r="AC807" s="22">
        <f t="shared" si="25"/>
        <v>0.66533333333333333</v>
      </c>
    </row>
    <row r="808" spans="1:29">
      <c r="A808" s="8" t="s">
        <v>14087</v>
      </c>
      <c r="B808" s="17" t="s">
        <v>7734</v>
      </c>
      <c r="C808" s="13">
        <v>44240</v>
      </c>
      <c r="D808" s="13" t="s">
        <v>8465</v>
      </c>
      <c r="E808" s="10" t="s">
        <v>14088</v>
      </c>
      <c r="F808" s="10" t="s">
        <v>14088</v>
      </c>
      <c r="H808" s="2" t="s">
        <v>153</v>
      </c>
      <c r="L808" s="18">
        <v>1</v>
      </c>
      <c r="O808" s="29">
        <v>0</v>
      </c>
      <c r="P808" s="18" t="s">
        <v>1107</v>
      </c>
      <c r="Q808" s="18">
        <v>0</v>
      </c>
      <c r="W808" s="14" t="s">
        <v>8765</v>
      </c>
      <c r="X808" s="3">
        <v>2</v>
      </c>
      <c r="AB808" s="18">
        <f t="shared" si="24"/>
        <v>2021</v>
      </c>
      <c r="AC808" s="22">
        <f t="shared" si="25"/>
        <v>0.4</v>
      </c>
    </row>
    <row r="809" spans="1:29">
      <c r="A809" s="8" t="s">
        <v>14050</v>
      </c>
      <c r="B809" s="17" t="s">
        <v>7800</v>
      </c>
      <c r="C809" s="13">
        <v>44239</v>
      </c>
      <c r="D809" s="13" t="s">
        <v>8465</v>
      </c>
      <c r="E809" s="10" t="s">
        <v>10570</v>
      </c>
      <c r="F809" s="10" t="s">
        <v>10570</v>
      </c>
      <c r="H809" s="2" t="s">
        <v>149</v>
      </c>
      <c r="L809" s="18">
        <v>1</v>
      </c>
      <c r="N809" s="13">
        <v>45019</v>
      </c>
      <c r="O809" s="29">
        <v>1.99</v>
      </c>
      <c r="P809" s="18" t="s">
        <v>1107</v>
      </c>
      <c r="Q809" s="18">
        <v>0</v>
      </c>
      <c r="V809" s="22">
        <f>3.5/5</f>
        <v>0.7</v>
      </c>
      <c r="W809" s="14" t="s">
        <v>7777</v>
      </c>
      <c r="X809" s="3">
        <v>2</v>
      </c>
      <c r="AB809" s="18">
        <f t="shared" si="24"/>
        <v>2021</v>
      </c>
      <c r="AC809" s="22">
        <f t="shared" si="25"/>
        <v>0.55000000000000004</v>
      </c>
    </row>
    <row r="810" spans="1:29" ht="30">
      <c r="A810" s="8" t="s">
        <v>10408</v>
      </c>
      <c r="B810" s="17" t="s">
        <v>7744</v>
      </c>
      <c r="C810" s="13">
        <v>44231</v>
      </c>
      <c r="D810" s="13" t="s">
        <v>8467</v>
      </c>
      <c r="E810" s="10" t="s">
        <v>479</v>
      </c>
      <c r="F810" s="10" t="s">
        <v>8238</v>
      </c>
      <c r="G810" s="11" t="s">
        <v>10409</v>
      </c>
      <c r="H810" s="2" t="s">
        <v>1377</v>
      </c>
      <c r="L810" s="18">
        <v>1</v>
      </c>
      <c r="M810" s="14" t="s">
        <v>8462</v>
      </c>
      <c r="N810" s="13">
        <v>44407</v>
      </c>
      <c r="O810" s="29">
        <v>46.12</v>
      </c>
      <c r="P810" s="18" t="s">
        <v>14</v>
      </c>
      <c r="Q810" s="18">
        <v>0</v>
      </c>
      <c r="U810" s="22">
        <v>0.72</v>
      </c>
      <c r="V810" s="22">
        <f>4.12/5</f>
        <v>0.82400000000000007</v>
      </c>
      <c r="X810" s="3">
        <v>4</v>
      </c>
      <c r="AB810" s="18">
        <f t="shared" si="24"/>
        <v>2021</v>
      </c>
      <c r="AC810" s="22">
        <f t="shared" si="25"/>
        <v>0.78133333333333344</v>
      </c>
    </row>
    <row r="811" spans="1:29">
      <c r="A811" s="8" t="s">
        <v>10198</v>
      </c>
      <c r="B811" s="17" t="s">
        <v>7744</v>
      </c>
      <c r="C811" s="13">
        <v>44231</v>
      </c>
      <c r="D811" s="13" t="s">
        <v>8465</v>
      </c>
      <c r="E811" s="10" t="s">
        <v>7039</v>
      </c>
      <c r="F811" s="10" t="s">
        <v>10199</v>
      </c>
      <c r="H811" s="2" t="s">
        <v>171</v>
      </c>
      <c r="L811" s="18">
        <v>1</v>
      </c>
      <c r="N811" s="13">
        <v>44363</v>
      </c>
      <c r="O811" s="29">
        <v>12.57</v>
      </c>
      <c r="P811" s="18" t="s">
        <v>1107</v>
      </c>
      <c r="Q811" s="18">
        <v>0</v>
      </c>
      <c r="U811" s="22">
        <v>0.71</v>
      </c>
      <c r="V811" s="22">
        <f>3.87/5</f>
        <v>0.77400000000000002</v>
      </c>
      <c r="X811" s="3">
        <v>4</v>
      </c>
      <c r="Z811" s="23">
        <v>10.5</v>
      </c>
      <c r="AB811" s="18">
        <f t="shared" si="24"/>
        <v>2021</v>
      </c>
      <c r="AC811" s="22">
        <f t="shared" si="25"/>
        <v>0.76133333333333331</v>
      </c>
    </row>
    <row r="812" spans="1:29">
      <c r="A812" s="8" t="s">
        <v>10427</v>
      </c>
      <c r="B812" s="17" t="s">
        <v>7800</v>
      </c>
      <c r="C812" s="13">
        <v>44231</v>
      </c>
      <c r="D812" s="13" t="s">
        <v>8465</v>
      </c>
      <c r="E812" s="10" t="s">
        <v>10440</v>
      </c>
      <c r="F812" s="10" t="s">
        <v>10440</v>
      </c>
      <c r="H812" s="2" t="s">
        <v>67</v>
      </c>
      <c r="L812" s="18">
        <v>1</v>
      </c>
      <c r="N812" s="13">
        <v>44834</v>
      </c>
      <c r="O812" s="29">
        <v>0</v>
      </c>
      <c r="P812" s="18" t="s">
        <v>1107</v>
      </c>
      <c r="Q812" s="18">
        <v>0</v>
      </c>
      <c r="U812" s="22">
        <v>0.7</v>
      </c>
      <c r="V812" s="22">
        <f>3/5</f>
        <v>0.6</v>
      </c>
      <c r="W812" s="14" t="s">
        <v>7777</v>
      </c>
      <c r="X812" s="3">
        <v>2</v>
      </c>
      <c r="Z812" s="23">
        <v>3.5</v>
      </c>
      <c r="AB812" s="18">
        <f t="shared" si="24"/>
        <v>2021</v>
      </c>
      <c r="AC812" s="22">
        <f t="shared" si="25"/>
        <v>0.56666666666666654</v>
      </c>
    </row>
    <row r="813" spans="1:29" ht="38.25">
      <c r="A813" s="8" t="s">
        <v>10726</v>
      </c>
      <c r="B813" s="17" t="s">
        <v>9431</v>
      </c>
      <c r="C813" s="13">
        <v>44231</v>
      </c>
      <c r="D813" s="13" t="s">
        <v>8465</v>
      </c>
      <c r="E813" s="10" t="s">
        <v>9552</v>
      </c>
      <c r="F813" s="10" t="s">
        <v>3959</v>
      </c>
      <c r="G813" s="11" t="s">
        <v>10747</v>
      </c>
      <c r="H813" s="2" t="s">
        <v>171</v>
      </c>
      <c r="L813" s="18">
        <v>1</v>
      </c>
      <c r="M813" s="14" t="s">
        <v>8462</v>
      </c>
      <c r="N813" s="13">
        <v>44527</v>
      </c>
      <c r="O813" s="29">
        <v>16.28</v>
      </c>
      <c r="P813" s="18" t="s">
        <v>14</v>
      </c>
      <c r="Q813" s="18">
        <v>0</v>
      </c>
      <c r="U813" s="22">
        <v>0.54</v>
      </c>
      <c r="V813" s="22">
        <f>2.63/5</f>
        <v>0.52600000000000002</v>
      </c>
      <c r="X813" s="3">
        <v>2</v>
      </c>
      <c r="Z813" s="23">
        <v>8</v>
      </c>
      <c r="AB813" s="18">
        <f t="shared" si="24"/>
        <v>2021</v>
      </c>
      <c r="AC813" s="22">
        <f t="shared" si="25"/>
        <v>0.48866666666666675</v>
      </c>
    </row>
    <row r="814" spans="1:29" ht="30">
      <c r="A814" s="8" t="s">
        <v>13587</v>
      </c>
      <c r="B814" s="17" t="s">
        <v>7744</v>
      </c>
      <c r="C814" s="13">
        <v>44224</v>
      </c>
      <c r="D814" s="13" t="s">
        <v>8465</v>
      </c>
      <c r="E814" s="10" t="s">
        <v>13971</v>
      </c>
      <c r="F814" s="10" t="s">
        <v>13971</v>
      </c>
      <c r="G814" s="11" t="s">
        <v>13587</v>
      </c>
      <c r="H814" s="2" t="s">
        <v>1518</v>
      </c>
      <c r="L814" s="18">
        <v>1</v>
      </c>
      <c r="M814" s="14" t="s">
        <v>8462</v>
      </c>
      <c r="N814" s="13">
        <v>44972</v>
      </c>
      <c r="O814" s="29">
        <v>38.01</v>
      </c>
      <c r="P814" s="18" t="s">
        <v>14</v>
      </c>
      <c r="Q814" s="18">
        <v>0</v>
      </c>
      <c r="U814" s="22">
        <v>0.57999999999999996</v>
      </c>
      <c r="V814" s="22">
        <f>4.06/5</f>
        <v>0.81199999999999994</v>
      </c>
      <c r="X814" s="3">
        <v>3</v>
      </c>
      <c r="Z814" s="23">
        <v>9</v>
      </c>
      <c r="AB814" s="18">
        <f t="shared" si="24"/>
        <v>2021</v>
      </c>
      <c r="AC814" s="22">
        <f t="shared" si="25"/>
        <v>0.66400000000000003</v>
      </c>
    </row>
    <row r="815" spans="1:29">
      <c r="A815" s="8" t="s">
        <v>10172</v>
      </c>
      <c r="B815" s="17" t="s">
        <v>7800</v>
      </c>
      <c r="C815" s="13">
        <v>44224</v>
      </c>
      <c r="D815" s="13" t="s">
        <v>8465</v>
      </c>
      <c r="E815" s="10" t="s">
        <v>10174</v>
      </c>
      <c r="F815" s="10" t="s">
        <v>10173</v>
      </c>
      <c r="H815" s="2" t="s">
        <v>171</v>
      </c>
      <c r="L815" s="18">
        <v>1</v>
      </c>
      <c r="N815" s="13">
        <v>44350</v>
      </c>
      <c r="O815" s="29">
        <v>12</v>
      </c>
      <c r="P815" s="18" t="s">
        <v>1107</v>
      </c>
      <c r="Q815" s="18">
        <v>0</v>
      </c>
      <c r="U815" s="22">
        <v>0.67</v>
      </c>
      <c r="V815" s="22">
        <f>1.25/5</f>
        <v>0.25</v>
      </c>
      <c r="W815" s="14" t="s">
        <v>7778</v>
      </c>
      <c r="X815" s="3">
        <v>2</v>
      </c>
      <c r="Z815" s="23">
        <v>7.5</v>
      </c>
      <c r="AB815" s="18">
        <f t="shared" si="24"/>
        <v>2021</v>
      </c>
      <c r="AC815" s="22">
        <f t="shared" si="25"/>
        <v>0.44</v>
      </c>
    </row>
    <row r="816" spans="1:29">
      <c r="A816" s="8" t="s">
        <v>11372</v>
      </c>
      <c r="B816" s="17" t="s">
        <v>7800</v>
      </c>
      <c r="C816" s="13">
        <v>44223</v>
      </c>
      <c r="D816" s="13" t="s">
        <v>8465</v>
      </c>
      <c r="E816" s="10" t="s">
        <v>11373</v>
      </c>
      <c r="F816" s="10" t="s">
        <v>11374</v>
      </c>
      <c r="H816" s="2" t="s">
        <v>56</v>
      </c>
      <c r="L816" s="18">
        <v>1</v>
      </c>
      <c r="P816" s="18" t="s">
        <v>1107</v>
      </c>
      <c r="Q816" s="18">
        <v>0</v>
      </c>
      <c r="U816" s="22">
        <v>0.64</v>
      </c>
      <c r="V816" s="22">
        <f>3.38/5</f>
        <v>0.67599999999999993</v>
      </c>
      <c r="W816" s="14" t="s">
        <v>7777</v>
      </c>
      <c r="X816" s="3">
        <v>3</v>
      </c>
      <c r="Z816" s="23">
        <v>6.5</v>
      </c>
      <c r="AB816" s="18">
        <f t="shared" si="24"/>
        <v>2021</v>
      </c>
      <c r="AC816" s="22">
        <f t="shared" si="25"/>
        <v>0.6386666666666666</v>
      </c>
    </row>
    <row r="817" spans="1:29" ht="30">
      <c r="A817" s="8" t="s">
        <v>10751</v>
      </c>
      <c r="B817" s="17" t="s">
        <v>7800</v>
      </c>
      <c r="C817" s="13">
        <v>44222</v>
      </c>
      <c r="D817" s="13" t="s">
        <v>8465</v>
      </c>
      <c r="E817" s="10" t="s">
        <v>10752</v>
      </c>
      <c r="F817" s="10" t="s">
        <v>10753</v>
      </c>
      <c r="H817" s="2" t="s">
        <v>67</v>
      </c>
      <c r="L817" s="18">
        <v>1</v>
      </c>
      <c r="N817" s="13">
        <v>44533</v>
      </c>
      <c r="O817" s="29">
        <v>3.33</v>
      </c>
      <c r="P817" s="18" t="s">
        <v>1107</v>
      </c>
      <c r="Q817" s="18">
        <v>0</v>
      </c>
      <c r="U817" s="22">
        <v>0.66</v>
      </c>
      <c r="V817" s="22">
        <f>2.5/5</f>
        <v>0.5</v>
      </c>
      <c r="W817" s="14" t="s">
        <v>7777</v>
      </c>
      <c r="X817" s="3">
        <v>2</v>
      </c>
      <c r="Z817" s="23">
        <v>9</v>
      </c>
      <c r="AB817" s="18">
        <f t="shared" si="24"/>
        <v>2021</v>
      </c>
      <c r="AC817" s="22">
        <f t="shared" si="25"/>
        <v>0.52</v>
      </c>
    </row>
    <row r="818" spans="1:29" ht="38.25">
      <c r="A818" s="8" t="s">
        <v>9569</v>
      </c>
      <c r="B818" s="17" t="s">
        <v>7744</v>
      </c>
      <c r="C818" s="13">
        <v>44210</v>
      </c>
      <c r="D818" s="13" t="s">
        <v>8465</v>
      </c>
      <c r="E818" s="10" t="s">
        <v>1047</v>
      </c>
      <c r="F818" s="10" t="s">
        <v>1048</v>
      </c>
      <c r="G818" s="11" t="s">
        <v>9570</v>
      </c>
      <c r="H818" s="2" t="s">
        <v>153</v>
      </c>
      <c r="L818" s="18">
        <v>1</v>
      </c>
      <c r="M818" s="14" t="s">
        <v>8462</v>
      </c>
      <c r="N818" s="13">
        <v>44211</v>
      </c>
      <c r="O818" s="29">
        <v>34.99</v>
      </c>
      <c r="P818" s="18" t="s">
        <v>14</v>
      </c>
      <c r="Q818" s="18">
        <v>0</v>
      </c>
      <c r="U818" s="22">
        <v>0.79</v>
      </c>
      <c r="V818" s="22">
        <f>3.87/5</f>
        <v>0.77400000000000002</v>
      </c>
      <c r="W818" s="14" t="s">
        <v>1134</v>
      </c>
      <c r="X818" s="3">
        <v>2</v>
      </c>
      <c r="Z818" s="23">
        <v>5</v>
      </c>
      <c r="AB818" s="18">
        <f t="shared" si="24"/>
        <v>2021</v>
      </c>
      <c r="AC818" s="22">
        <f t="shared" si="25"/>
        <v>0.65466666666666662</v>
      </c>
    </row>
    <row r="819" spans="1:29" ht="25.5">
      <c r="A819" s="8" t="s">
        <v>14356</v>
      </c>
      <c r="B819" s="17" t="s">
        <v>7744</v>
      </c>
      <c r="C819" s="13">
        <v>44203</v>
      </c>
      <c r="D819" s="13" t="s">
        <v>9335</v>
      </c>
      <c r="E819" s="10" t="s">
        <v>12520</v>
      </c>
      <c r="F819" s="10" t="s">
        <v>14357</v>
      </c>
      <c r="H819" s="2" t="s">
        <v>1061</v>
      </c>
      <c r="K819" s="18">
        <v>2</v>
      </c>
      <c r="L819" s="18">
        <v>1</v>
      </c>
      <c r="M819" s="14" t="s">
        <v>8462</v>
      </c>
      <c r="N819" s="13">
        <v>45011</v>
      </c>
      <c r="O819" s="29">
        <v>28.49</v>
      </c>
      <c r="P819" s="18" t="s">
        <v>14</v>
      </c>
      <c r="Q819" s="18">
        <v>0</v>
      </c>
      <c r="U819" s="22">
        <v>0.55000000000000004</v>
      </c>
      <c r="V819" s="22">
        <f>3.5/5</f>
        <v>0.7</v>
      </c>
      <c r="W819" s="14" t="s">
        <v>7524</v>
      </c>
      <c r="X819" s="3">
        <v>2</v>
      </c>
      <c r="Z819" s="23">
        <v>5</v>
      </c>
      <c r="AB819" s="18">
        <f t="shared" si="24"/>
        <v>2021</v>
      </c>
      <c r="AC819" s="22">
        <f t="shared" si="25"/>
        <v>0.54999999999999993</v>
      </c>
    </row>
    <row r="820" spans="1:29" ht="30">
      <c r="A820" s="8" t="s">
        <v>11308</v>
      </c>
      <c r="B820" s="17" t="s">
        <v>7800</v>
      </c>
      <c r="C820" s="13">
        <v>44201</v>
      </c>
      <c r="D820" s="13" t="s">
        <v>8465</v>
      </c>
      <c r="E820" s="10" t="s">
        <v>4009</v>
      </c>
      <c r="F820" s="10" t="s">
        <v>11309</v>
      </c>
      <c r="G820" s="11" t="s">
        <v>11310</v>
      </c>
      <c r="H820" s="2" t="s">
        <v>153</v>
      </c>
      <c r="L820" s="18">
        <v>1</v>
      </c>
      <c r="N820" s="13">
        <v>44620</v>
      </c>
      <c r="O820" s="29">
        <v>0</v>
      </c>
      <c r="P820" s="18" t="s">
        <v>1107</v>
      </c>
      <c r="Q820" s="18">
        <v>0</v>
      </c>
      <c r="V820" s="22">
        <f>3.83/5</f>
        <v>0.76600000000000001</v>
      </c>
      <c r="W820" s="14" t="s">
        <v>7777</v>
      </c>
      <c r="X820" s="3">
        <v>2</v>
      </c>
      <c r="Z820" s="23">
        <v>9</v>
      </c>
      <c r="AB820" s="18">
        <f t="shared" si="24"/>
        <v>2021</v>
      </c>
      <c r="AC820" s="22">
        <f t="shared" si="25"/>
        <v>0.58299999999999996</v>
      </c>
    </row>
    <row r="821" spans="1:29">
      <c r="A821" s="8" t="s">
        <v>13580</v>
      </c>
      <c r="B821" s="17" t="s">
        <v>9440</v>
      </c>
      <c r="C821" s="13">
        <v>44546</v>
      </c>
      <c r="D821" s="13" t="s">
        <v>8465</v>
      </c>
      <c r="E821" s="10" t="s">
        <v>8331</v>
      </c>
      <c r="F821" s="10" t="s">
        <v>2480</v>
      </c>
      <c r="H821" s="2" t="s">
        <v>80</v>
      </c>
      <c r="L821" s="18">
        <v>0</v>
      </c>
      <c r="Q821" s="18">
        <v>1</v>
      </c>
      <c r="R821" s="13">
        <v>44977</v>
      </c>
      <c r="S821" s="21">
        <f>4+2/60</f>
        <v>4.0333333333333332</v>
      </c>
      <c r="T821" s="22">
        <v>0.7</v>
      </c>
      <c r="U821" s="22">
        <v>0.7</v>
      </c>
      <c r="V821" s="22">
        <f>3.46/5</f>
        <v>0.69199999999999995</v>
      </c>
      <c r="W821" s="14" t="s">
        <v>8280</v>
      </c>
      <c r="AB821" s="18">
        <f t="shared" si="24"/>
        <v>2021</v>
      </c>
      <c r="AC821" s="22">
        <f t="shared" si="25"/>
        <v>0.69733333333333325</v>
      </c>
    </row>
    <row r="822" spans="1:29" ht="25.5">
      <c r="A822" s="8" t="s">
        <v>10783</v>
      </c>
      <c r="B822" s="17" t="s">
        <v>7744</v>
      </c>
      <c r="C822" s="13">
        <v>44545</v>
      </c>
      <c r="D822" s="13" t="s">
        <v>8465</v>
      </c>
      <c r="E822" s="10" t="s">
        <v>8787</v>
      </c>
      <c r="F822" s="10" t="s">
        <v>5530</v>
      </c>
      <c r="H822" s="2" t="s">
        <v>80</v>
      </c>
      <c r="L822" s="18">
        <v>1</v>
      </c>
      <c r="N822" s="13">
        <v>44545</v>
      </c>
      <c r="O822" s="29">
        <v>19.829999999999998</v>
      </c>
      <c r="P822" s="18" t="s">
        <v>1107</v>
      </c>
      <c r="Q822" s="18">
        <v>1</v>
      </c>
      <c r="R822" s="13">
        <v>44557</v>
      </c>
      <c r="S822" s="21">
        <f>7+28/60+5/3600</f>
        <v>7.4680555555555559</v>
      </c>
      <c r="T822" s="22">
        <v>0.75</v>
      </c>
      <c r="U822" s="22">
        <v>0.9</v>
      </c>
      <c r="V822" s="22">
        <f>3.75/5</f>
        <v>0.75</v>
      </c>
      <c r="AB822" s="18">
        <f t="shared" si="24"/>
        <v>2021</v>
      </c>
      <c r="AC822" s="22">
        <f t="shared" si="25"/>
        <v>0.79999999999999993</v>
      </c>
    </row>
    <row r="823" spans="1:29" ht="30">
      <c r="A823" s="8" t="s">
        <v>15222</v>
      </c>
      <c r="B823" s="17" t="s">
        <v>7744</v>
      </c>
      <c r="C823" s="13">
        <v>44544</v>
      </c>
      <c r="D823" s="13" t="s">
        <v>8465</v>
      </c>
      <c r="E823" s="10" t="s">
        <v>7971</v>
      </c>
      <c r="F823" s="10" t="s">
        <v>8445</v>
      </c>
      <c r="H823" s="2" t="s">
        <v>56</v>
      </c>
      <c r="L823" s="18">
        <v>1</v>
      </c>
      <c r="N823" s="13">
        <v>45098</v>
      </c>
      <c r="O823" s="29">
        <v>2.4900000000000002</v>
      </c>
      <c r="P823" s="18" t="s">
        <v>1107</v>
      </c>
      <c r="Q823" s="18">
        <v>1</v>
      </c>
      <c r="R823" s="13">
        <v>45219</v>
      </c>
      <c r="S823" s="21">
        <v>1</v>
      </c>
      <c r="T823" s="22">
        <v>0.4</v>
      </c>
      <c r="U823" s="22">
        <v>0.7</v>
      </c>
      <c r="V823" s="22">
        <f>3.95/5</f>
        <v>0.79</v>
      </c>
      <c r="AB823" s="18">
        <f t="shared" si="24"/>
        <v>2021</v>
      </c>
      <c r="AC823" s="22">
        <f t="shared" si="25"/>
        <v>0.63</v>
      </c>
    </row>
    <row r="824" spans="1:29" ht="25.5">
      <c r="A824" s="8" t="s">
        <v>10780</v>
      </c>
      <c r="B824" s="17" t="s">
        <v>7800</v>
      </c>
      <c r="C824" s="13">
        <v>44539</v>
      </c>
      <c r="D824" s="13" t="s">
        <v>8465</v>
      </c>
      <c r="E824" s="10" t="s">
        <v>1578</v>
      </c>
      <c r="F824" s="10" t="s">
        <v>1578</v>
      </c>
      <c r="G824" s="11" t="s">
        <v>3428</v>
      </c>
      <c r="H824" s="2" t="s">
        <v>245</v>
      </c>
      <c r="L824" s="18">
        <v>1</v>
      </c>
      <c r="N824" s="13">
        <v>44544</v>
      </c>
      <c r="O824" s="29">
        <v>0</v>
      </c>
      <c r="P824" s="18" t="s">
        <v>1107</v>
      </c>
      <c r="Q824" s="18">
        <v>1</v>
      </c>
      <c r="R824" s="13">
        <v>44559</v>
      </c>
      <c r="S824" s="21">
        <f>34/60</f>
        <v>0.56666666666666665</v>
      </c>
      <c r="T824" s="22">
        <v>0.5</v>
      </c>
      <c r="V824" s="22">
        <f>2.8/5</f>
        <v>0.55999999999999994</v>
      </c>
      <c r="W824" s="14" t="s">
        <v>7777</v>
      </c>
      <c r="AB824" s="18">
        <f t="shared" si="24"/>
        <v>2021</v>
      </c>
      <c r="AC824" s="22">
        <f t="shared" si="25"/>
        <v>0.53</v>
      </c>
    </row>
    <row r="825" spans="1:29">
      <c r="A825" s="8" t="s">
        <v>9929</v>
      </c>
      <c r="B825" s="17" t="s">
        <v>9440</v>
      </c>
      <c r="C825" s="13">
        <v>44538</v>
      </c>
      <c r="D825" s="13" t="s">
        <v>8465</v>
      </c>
      <c r="E825" s="10" t="s">
        <v>6517</v>
      </c>
      <c r="F825" s="10" t="s">
        <v>4078</v>
      </c>
      <c r="G825" s="11" t="s">
        <v>4079</v>
      </c>
      <c r="H825" s="2" t="s">
        <v>1050</v>
      </c>
      <c r="L825" s="18">
        <v>1</v>
      </c>
      <c r="M825" s="14" t="s">
        <v>8462</v>
      </c>
      <c r="N825" s="13">
        <v>44096</v>
      </c>
      <c r="O825" s="29">
        <v>59.99</v>
      </c>
      <c r="P825" s="18" t="s">
        <v>14</v>
      </c>
      <c r="Q825" s="18">
        <v>1</v>
      </c>
      <c r="R825" s="13">
        <v>44615</v>
      </c>
      <c r="S825" s="21">
        <f>12+42/60</f>
        <v>12.7</v>
      </c>
      <c r="T825" s="22">
        <v>0.85</v>
      </c>
      <c r="U825" s="22">
        <v>0.86</v>
      </c>
      <c r="V825" s="22">
        <f>3.78/5</f>
        <v>0.75600000000000001</v>
      </c>
      <c r="AB825" s="18">
        <f t="shared" si="24"/>
        <v>2021</v>
      </c>
      <c r="AC825" s="22">
        <f t="shared" si="25"/>
        <v>0.82200000000000006</v>
      </c>
    </row>
    <row r="826" spans="1:29" ht="30">
      <c r="A826" s="8" t="s">
        <v>10750</v>
      </c>
      <c r="B826" s="17" t="s">
        <v>7800</v>
      </c>
      <c r="C826" s="13">
        <v>44537</v>
      </c>
      <c r="D826" s="13" t="s">
        <v>8465</v>
      </c>
      <c r="E826" s="10" t="s">
        <v>1082</v>
      </c>
      <c r="F826" s="10" t="s">
        <v>9752</v>
      </c>
      <c r="G826" s="11" t="s">
        <v>126</v>
      </c>
      <c r="H826" s="2" t="s">
        <v>9780</v>
      </c>
      <c r="L826" s="18">
        <v>1</v>
      </c>
      <c r="N826" s="13">
        <v>44387</v>
      </c>
      <c r="O826" s="29">
        <v>39.99</v>
      </c>
      <c r="P826" s="18" t="s">
        <v>1107</v>
      </c>
      <c r="Q826" s="18">
        <v>1</v>
      </c>
      <c r="R826" s="13">
        <v>44550</v>
      </c>
      <c r="S826" s="21">
        <f>120+13/60</f>
        <v>120.21666666666667</v>
      </c>
      <c r="T826" s="22">
        <v>1</v>
      </c>
      <c r="U826" s="22">
        <v>0.91</v>
      </c>
      <c r="V826" s="22">
        <f>4.18/5</f>
        <v>0.83599999999999997</v>
      </c>
      <c r="W826" s="14" t="s">
        <v>1082</v>
      </c>
      <c r="AB826" s="18">
        <f t="shared" si="24"/>
        <v>2021</v>
      </c>
      <c r="AC826" s="22">
        <f t="shared" si="25"/>
        <v>0.91533333333333333</v>
      </c>
    </row>
    <row r="827" spans="1:29">
      <c r="A827" s="8" t="s">
        <v>15322</v>
      </c>
      <c r="B827" s="17" t="s">
        <v>7800</v>
      </c>
      <c r="C827" s="13">
        <v>44532</v>
      </c>
      <c r="D827" s="13" t="s">
        <v>8465</v>
      </c>
      <c r="E827" s="10" t="s">
        <v>12392</v>
      </c>
      <c r="F827" s="10" t="s">
        <v>15323</v>
      </c>
      <c r="H827" s="2" t="s">
        <v>1040</v>
      </c>
      <c r="L827" s="18">
        <v>1</v>
      </c>
      <c r="N827" s="13">
        <v>45108</v>
      </c>
      <c r="O827" s="29">
        <v>4.07</v>
      </c>
      <c r="P827" s="18" t="s">
        <v>1107</v>
      </c>
      <c r="Q827" s="18">
        <v>1</v>
      </c>
      <c r="R827" s="13">
        <v>45205</v>
      </c>
      <c r="S827" s="21">
        <f>3+37/60</f>
        <v>3.6166666666666667</v>
      </c>
      <c r="T827" s="22">
        <v>0.5</v>
      </c>
      <c r="W827" s="14" t="s">
        <v>7777</v>
      </c>
      <c r="AB827" s="18">
        <f t="shared" si="24"/>
        <v>2021</v>
      </c>
      <c r="AC827" s="22">
        <f t="shared" si="25"/>
        <v>0.5</v>
      </c>
    </row>
    <row r="828" spans="1:29" ht="25.5">
      <c r="A828" s="8" t="s">
        <v>9942</v>
      </c>
      <c r="B828" s="17" t="s">
        <v>7744</v>
      </c>
      <c r="C828" s="13">
        <v>44519</v>
      </c>
      <c r="D828" s="13" t="s">
        <v>8465</v>
      </c>
      <c r="E828" s="10" t="s">
        <v>86</v>
      </c>
      <c r="F828" s="10" t="s">
        <v>10697</v>
      </c>
      <c r="G828" s="11" t="s">
        <v>1470</v>
      </c>
      <c r="H828" s="2" t="s">
        <v>149</v>
      </c>
      <c r="L828" s="18">
        <v>1</v>
      </c>
      <c r="M828" s="14" t="s">
        <v>8462</v>
      </c>
      <c r="N828" s="13">
        <v>44263</v>
      </c>
      <c r="O828" s="29">
        <v>59.88</v>
      </c>
      <c r="P828" s="18" t="s">
        <v>14</v>
      </c>
      <c r="Q828" s="18">
        <v>1</v>
      </c>
      <c r="R828" s="13">
        <v>44543</v>
      </c>
      <c r="S828" s="21">
        <f>19+19/60</f>
        <v>19.316666666666666</v>
      </c>
      <c r="T828" s="22">
        <v>0.7</v>
      </c>
      <c r="U828" s="22">
        <v>0.77</v>
      </c>
      <c r="V828" s="22">
        <f>3.53/5</f>
        <v>0.70599999999999996</v>
      </c>
      <c r="AB828" s="18">
        <f t="shared" si="24"/>
        <v>2021</v>
      </c>
      <c r="AC828" s="22">
        <f t="shared" si="25"/>
        <v>0.72533333333333339</v>
      </c>
    </row>
    <row r="829" spans="1:29">
      <c r="A829" s="8" t="s">
        <v>12163</v>
      </c>
      <c r="B829" s="17" t="s">
        <v>8555</v>
      </c>
      <c r="C829" s="13">
        <v>44510</v>
      </c>
      <c r="D829" s="13" t="s">
        <v>8465</v>
      </c>
      <c r="E829" s="10" t="s">
        <v>8331</v>
      </c>
      <c r="F829" s="10" t="s">
        <v>8004</v>
      </c>
      <c r="H829" s="2" t="s">
        <v>80</v>
      </c>
      <c r="L829" s="18">
        <v>0</v>
      </c>
      <c r="Q829" s="18">
        <v>1</v>
      </c>
      <c r="R829" s="13">
        <v>44751</v>
      </c>
      <c r="S829" s="21">
        <f>3+17/60</f>
        <v>3.2833333333333332</v>
      </c>
      <c r="T829" s="22">
        <v>0.7</v>
      </c>
      <c r="V829" s="22">
        <f>5/5</f>
        <v>1</v>
      </c>
      <c r="W829" s="14" t="s">
        <v>8695</v>
      </c>
      <c r="AB829" s="18">
        <f t="shared" si="24"/>
        <v>2021</v>
      </c>
      <c r="AC829" s="22">
        <f t="shared" si="25"/>
        <v>0.85</v>
      </c>
    </row>
    <row r="830" spans="1:29">
      <c r="A830" s="8" t="s">
        <v>10528</v>
      </c>
      <c r="B830" s="17" t="s">
        <v>9440</v>
      </c>
      <c r="C830" s="13">
        <v>44505</v>
      </c>
      <c r="D830" s="13" t="s">
        <v>8465</v>
      </c>
      <c r="E830" s="10" t="s">
        <v>1273</v>
      </c>
      <c r="F830" s="10" t="s">
        <v>7892</v>
      </c>
      <c r="G830" s="11" t="s">
        <v>3401</v>
      </c>
      <c r="H830" s="2" t="s">
        <v>1050</v>
      </c>
      <c r="L830" s="18">
        <v>1</v>
      </c>
      <c r="M830" s="14" t="s">
        <v>8462</v>
      </c>
      <c r="N830" s="13">
        <v>44486</v>
      </c>
      <c r="O830" s="29">
        <v>65.16</v>
      </c>
      <c r="P830" s="18" t="s">
        <v>14</v>
      </c>
      <c r="Q830" s="18">
        <v>1</v>
      </c>
      <c r="R830" s="13">
        <v>44536</v>
      </c>
      <c r="S830" s="21">
        <f>5+33/60</f>
        <v>5.55</v>
      </c>
      <c r="T830" s="22">
        <v>0.7</v>
      </c>
      <c r="U830" s="22">
        <v>0.74</v>
      </c>
      <c r="V830" s="22">
        <f>2.91/5</f>
        <v>0.58200000000000007</v>
      </c>
      <c r="AB830" s="18">
        <f t="shared" si="24"/>
        <v>2021</v>
      </c>
      <c r="AC830" s="22">
        <f t="shared" si="25"/>
        <v>0.67400000000000004</v>
      </c>
    </row>
    <row r="831" spans="1:29">
      <c r="A831" s="8" t="s">
        <v>10635</v>
      </c>
      <c r="B831" s="17" t="s">
        <v>7800</v>
      </c>
      <c r="C831" s="13">
        <v>44501</v>
      </c>
      <c r="D831" s="13" t="s">
        <v>8465</v>
      </c>
      <c r="E831" s="10" t="s">
        <v>9249</v>
      </c>
      <c r="F831" s="10" t="s">
        <v>3228</v>
      </c>
      <c r="H831" s="2" t="s">
        <v>78</v>
      </c>
      <c r="L831" s="18">
        <v>0</v>
      </c>
      <c r="Q831" s="18">
        <v>1</v>
      </c>
      <c r="R831" s="13">
        <v>44517</v>
      </c>
      <c r="S831" s="21">
        <f>2+22/60</f>
        <v>2.3666666666666667</v>
      </c>
      <c r="T831" s="22">
        <v>0.75</v>
      </c>
      <c r="U831" s="22">
        <v>0.84</v>
      </c>
      <c r="V831" s="22">
        <f>3.54/5</f>
        <v>0.70799999999999996</v>
      </c>
      <c r="W831" s="14" t="s">
        <v>8280</v>
      </c>
      <c r="AB831" s="18">
        <f t="shared" si="24"/>
        <v>2021</v>
      </c>
      <c r="AC831" s="22">
        <f t="shared" si="25"/>
        <v>0.76600000000000001</v>
      </c>
    </row>
    <row r="832" spans="1:29" ht="25.5">
      <c r="A832" s="8" t="s">
        <v>10789</v>
      </c>
      <c r="B832" s="17" t="s">
        <v>7744</v>
      </c>
      <c r="C832" s="13">
        <v>44497</v>
      </c>
      <c r="D832" s="13" t="s">
        <v>8465</v>
      </c>
      <c r="E832" s="10" t="s">
        <v>1082</v>
      </c>
      <c r="F832" s="10" t="s">
        <v>10790</v>
      </c>
      <c r="G832" s="11" t="s">
        <v>11138</v>
      </c>
      <c r="H832" s="2" t="s">
        <v>149</v>
      </c>
      <c r="L832" s="18">
        <v>1</v>
      </c>
      <c r="N832" s="13">
        <v>44546</v>
      </c>
      <c r="O832" s="29">
        <v>23.9</v>
      </c>
      <c r="P832" s="18" t="s">
        <v>1107</v>
      </c>
      <c r="Q832" s="18">
        <v>1</v>
      </c>
      <c r="R832" s="13">
        <v>44562</v>
      </c>
      <c r="S832" s="21">
        <f>14+3/60+19/3600</f>
        <v>14.055277777777778</v>
      </c>
      <c r="T832" s="22">
        <v>0.75</v>
      </c>
      <c r="U832" s="22">
        <v>0.77</v>
      </c>
      <c r="V832" s="22">
        <f>3.67/5</f>
        <v>0.73399999999999999</v>
      </c>
      <c r="AB832" s="18">
        <f t="shared" si="24"/>
        <v>2021</v>
      </c>
      <c r="AC832" s="22">
        <f t="shared" si="25"/>
        <v>0.7513333333333333</v>
      </c>
    </row>
    <row r="833" spans="1:29">
      <c r="A833" s="8" t="s">
        <v>10706</v>
      </c>
      <c r="B833" s="17" t="s">
        <v>7800</v>
      </c>
      <c r="C833" s="13">
        <v>44488</v>
      </c>
      <c r="D833" s="13" t="s">
        <v>8465</v>
      </c>
      <c r="E833" s="10" t="s">
        <v>3063</v>
      </c>
      <c r="F833" s="10" t="s">
        <v>4727</v>
      </c>
      <c r="H833" s="2" t="s">
        <v>3411</v>
      </c>
      <c r="L833" s="18">
        <v>1</v>
      </c>
      <c r="N833" s="13">
        <v>44520</v>
      </c>
      <c r="O833" s="29">
        <v>14.39</v>
      </c>
      <c r="P833" s="18" t="s">
        <v>1107</v>
      </c>
      <c r="Q833" s="18">
        <v>1</v>
      </c>
      <c r="R833" s="13">
        <v>44563</v>
      </c>
      <c r="S833" s="21">
        <f>8+48/60</f>
        <v>8.8000000000000007</v>
      </c>
      <c r="T833" s="22">
        <v>0.9</v>
      </c>
      <c r="U833" s="22">
        <v>0.84</v>
      </c>
      <c r="V833" s="22">
        <f>4.08/5</f>
        <v>0.81600000000000006</v>
      </c>
      <c r="W833" s="14" t="s">
        <v>7777</v>
      </c>
      <c r="AB833" s="18">
        <f t="shared" si="24"/>
        <v>2021</v>
      </c>
      <c r="AC833" s="22">
        <f t="shared" si="25"/>
        <v>0.85199999999999998</v>
      </c>
    </row>
    <row r="834" spans="1:29" ht="25.5">
      <c r="A834" s="8" t="s">
        <v>13089</v>
      </c>
      <c r="B834" s="17" t="s">
        <v>7800</v>
      </c>
      <c r="C834" s="13">
        <v>44484</v>
      </c>
      <c r="D834" s="13" t="s">
        <v>8465</v>
      </c>
      <c r="E834" s="10" t="s">
        <v>12127</v>
      </c>
      <c r="F834" s="10" t="s">
        <v>12127</v>
      </c>
      <c r="G834" s="11" t="s">
        <v>13087</v>
      </c>
      <c r="H834" s="2" t="s">
        <v>1040</v>
      </c>
      <c r="L834" s="18">
        <v>1</v>
      </c>
      <c r="N834" s="13">
        <v>44924</v>
      </c>
      <c r="O834" s="29">
        <v>0</v>
      </c>
      <c r="P834" s="18" t="s">
        <v>1107</v>
      </c>
      <c r="Q834" s="18">
        <v>1</v>
      </c>
      <c r="R834" s="13">
        <v>44932</v>
      </c>
      <c r="S834" s="21">
        <f>28/60</f>
        <v>0.46666666666666667</v>
      </c>
      <c r="T834" s="22">
        <v>0.5</v>
      </c>
      <c r="W834" s="14" t="s">
        <v>8765</v>
      </c>
      <c r="AB834" s="18">
        <f t="shared" ref="AB834:AB897" si="26">IFERROR(YEAR(C834), "Early Access")</f>
        <v>2021</v>
      </c>
      <c r="AC834" s="22">
        <f t="shared" ref="AC834:AC897" si="27">AVERAGE(T834, U834, V834, IF(ISBLANK(X834), X834, X834/5))</f>
        <v>0.5</v>
      </c>
    </row>
    <row r="835" spans="1:29" ht="45">
      <c r="A835" s="8" t="s">
        <v>10553</v>
      </c>
      <c r="B835" s="17" t="s">
        <v>7800</v>
      </c>
      <c r="C835" s="13">
        <v>44481</v>
      </c>
      <c r="D835" s="13" t="s">
        <v>8465</v>
      </c>
      <c r="E835" s="10" t="s">
        <v>1156</v>
      </c>
      <c r="F835" s="10" t="s">
        <v>10554</v>
      </c>
      <c r="H835" s="2" t="s">
        <v>1050</v>
      </c>
      <c r="L835" s="18">
        <v>0</v>
      </c>
      <c r="Q835" s="18">
        <v>1</v>
      </c>
      <c r="R835" s="13">
        <v>44504</v>
      </c>
      <c r="S835" s="21">
        <f>9+24/60</f>
        <v>9.4</v>
      </c>
      <c r="T835" s="22">
        <v>0.7</v>
      </c>
      <c r="U835" s="22">
        <v>0.78</v>
      </c>
      <c r="V835" s="22">
        <f>3.21/5</f>
        <v>0.64200000000000002</v>
      </c>
      <c r="W835" s="14" t="s">
        <v>8280</v>
      </c>
      <c r="AB835" s="18">
        <f t="shared" si="26"/>
        <v>2021</v>
      </c>
      <c r="AC835" s="22">
        <f t="shared" si="27"/>
        <v>0.70733333333333326</v>
      </c>
    </row>
    <row r="836" spans="1:29">
      <c r="A836" s="8" t="s">
        <v>10195</v>
      </c>
      <c r="B836" s="17" t="s">
        <v>7744</v>
      </c>
      <c r="C836" s="13">
        <v>44477</v>
      </c>
      <c r="D836" s="13" t="s">
        <v>8465</v>
      </c>
      <c r="E836" s="10" t="s">
        <v>86</v>
      </c>
      <c r="F836" s="10" t="s">
        <v>2456</v>
      </c>
      <c r="G836" s="11" t="s">
        <v>109</v>
      </c>
      <c r="H836" s="2" t="s">
        <v>151</v>
      </c>
      <c r="L836" s="18">
        <v>1</v>
      </c>
      <c r="M836" s="14" t="s">
        <v>8462</v>
      </c>
      <c r="N836" s="13">
        <v>44362</v>
      </c>
      <c r="O836" s="29">
        <v>65.09</v>
      </c>
      <c r="P836" s="18" t="s">
        <v>14</v>
      </c>
      <c r="Q836" s="18">
        <v>1</v>
      </c>
      <c r="R836" s="13">
        <v>44490</v>
      </c>
      <c r="S836" s="21">
        <f>8+12/60+7/3600</f>
        <v>8.2019444444444431</v>
      </c>
      <c r="T836" s="22">
        <v>0.9</v>
      </c>
      <c r="U836" s="22">
        <v>0.89</v>
      </c>
      <c r="V836" s="22">
        <f>4.18/5</f>
        <v>0.83599999999999997</v>
      </c>
      <c r="AB836" s="18">
        <f t="shared" si="26"/>
        <v>2021</v>
      </c>
      <c r="AC836" s="22">
        <f t="shared" si="27"/>
        <v>0.8753333333333333</v>
      </c>
    </row>
    <row r="837" spans="1:29">
      <c r="A837" s="8" t="s">
        <v>9028</v>
      </c>
      <c r="B837" s="17" t="s">
        <v>7800</v>
      </c>
      <c r="C837" s="13">
        <v>44476</v>
      </c>
      <c r="D837" s="13" t="s">
        <v>8465</v>
      </c>
      <c r="E837" s="10" t="s">
        <v>1047</v>
      </c>
      <c r="F837" s="10" t="s">
        <v>1671</v>
      </c>
      <c r="G837" s="11" t="s">
        <v>1049</v>
      </c>
      <c r="H837" s="2" t="s">
        <v>1050</v>
      </c>
      <c r="L837" s="18">
        <v>1</v>
      </c>
      <c r="N837" s="13">
        <v>44245</v>
      </c>
      <c r="O837" s="29">
        <v>59.99</v>
      </c>
      <c r="P837" s="18" t="s">
        <v>1107</v>
      </c>
      <c r="Q837" s="18">
        <v>1</v>
      </c>
      <c r="R837" s="13">
        <v>44501</v>
      </c>
      <c r="S837" s="21">
        <f>22+24/60+14/3600</f>
        <v>22.403888888888886</v>
      </c>
      <c r="T837" s="22">
        <v>0.7</v>
      </c>
      <c r="U837" s="22">
        <v>0.76</v>
      </c>
      <c r="V837" s="22">
        <f>3.27/5</f>
        <v>0.65400000000000003</v>
      </c>
      <c r="W837" s="14" t="s">
        <v>7097</v>
      </c>
      <c r="AB837" s="18">
        <f t="shared" si="26"/>
        <v>2021</v>
      </c>
      <c r="AC837" s="22">
        <f t="shared" si="27"/>
        <v>0.70466666666666666</v>
      </c>
    </row>
    <row r="838" spans="1:29">
      <c r="A838" s="8" t="s">
        <v>13088</v>
      </c>
      <c r="B838" s="17" t="s">
        <v>7800</v>
      </c>
      <c r="C838" s="13">
        <v>44469</v>
      </c>
      <c r="D838" s="13" t="s">
        <v>8465</v>
      </c>
      <c r="E838" s="10" t="s">
        <v>12127</v>
      </c>
      <c r="F838" s="10" t="s">
        <v>12127</v>
      </c>
      <c r="G838" s="11" t="s">
        <v>13087</v>
      </c>
      <c r="H838" s="2" t="s">
        <v>1040</v>
      </c>
      <c r="L838" s="18">
        <v>1</v>
      </c>
      <c r="N838" s="13">
        <v>44924</v>
      </c>
      <c r="O838" s="29">
        <v>0.49</v>
      </c>
      <c r="P838" s="18" t="s">
        <v>1107</v>
      </c>
      <c r="Q838" s="18">
        <v>1</v>
      </c>
      <c r="R838" s="13">
        <v>44931</v>
      </c>
      <c r="S838" s="21">
        <f>23/60</f>
        <v>0.38333333333333336</v>
      </c>
      <c r="T838" s="22">
        <v>0.6</v>
      </c>
      <c r="V838" s="22">
        <f>3.88/5</f>
        <v>0.77600000000000002</v>
      </c>
      <c r="W838" s="14" t="s">
        <v>7777</v>
      </c>
      <c r="AB838" s="18">
        <f t="shared" si="26"/>
        <v>2021</v>
      </c>
      <c r="AC838" s="22">
        <f t="shared" si="27"/>
        <v>0.68799999999999994</v>
      </c>
    </row>
    <row r="839" spans="1:29">
      <c r="A839" s="8" t="s">
        <v>10696</v>
      </c>
      <c r="B839" s="17" t="s">
        <v>7800</v>
      </c>
      <c r="C839" s="13">
        <v>44462</v>
      </c>
      <c r="D839" s="13" t="s">
        <v>8465</v>
      </c>
      <c r="E839" s="10" t="s">
        <v>1296</v>
      </c>
      <c r="F839" s="10" t="s">
        <v>1296</v>
      </c>
      <c r="G839" s="11" t="s">
        <v>1589</v>
      </c>
      <c r="H839" s="2" t="s">
        <v>171</v>
      </c>
      <c r="L839" s="18">
        <v>1</v>
      </c>
      <c r="N839" s="13">
        <v>44519</v>
      </c>
      <c r="O839" s="29">
        <v>29.99</v>
      </c>
      <c r="P839" s="18" t="s">
        <v>1107</v>
      </c>
      <c r="Q839" s="18">
        <v>1</v>
      </c>
      <c r="R839" s="13">
        <v>45225</v>
      </c>
      <c r="T839" s="22">
        <v>0.75</v>
      </c>
      <c r="U839" s="22">
        <v>0.8</v>
      </c>
      <c r="V839" s="22">
        <f>3.86/5</f>
        <v>0.77200000000000002</v>
      </c>
      <c r="W839" s="14" t="s">
        <v>7797</v>
      </c>
      <c r="AB839" s="18">
        <f t="shared" si="26"/>
        <v>2021</v>
      </c>
      <c r="AC839" s="22">
        <f t="shared" si="27"/>
        <v>0.77400000000000002</v>
      </c>
    </row>
    <row r="840" spans="1:29">
      <c r="A840" s="8" t="s">
        <v>12498</v>
      </c>
      <c r="B840" s="17" t="s">
        <v>7800</v>
      </c>
      <c r="C840" s="13">
        <v>44462</v>
      </c>
      <c r="D840" s="13" t="s">
        <v>8465</v>
      </c>
      <c r="E840" s="10" t="s">
        <v>3544</v>
      </c>
      <c r="F840" s="10" t="s">
        <v>12499</v>
      </c>
      <c r="H840" s="2" t="s">
        <v>80</v>
      </c>
      <c r="L840" s="18">
        <v>1</v>
      </c>
      <c r="N840" s="13">
        <v>44816</v>
      </c>
      <c r="O840" s="29">
        <v>12.99</v>
      </c>
      <c r="P840" s="18" t="s">
        <v>1107</v>
      </c>
      <c r="Q840" s="18">
        <v>1</v>
      </c>
      <c r="R840" s="13">
        <v>44825</v>
      </c>
      <c r="S840" s="21">
        <f>10+30/60</f>
        <v>10.5</v>
      </c>
      <c r="T840" s="22">
        <v>0.75</v>
      </c>
      <c r="U840" s="22">
        <v>0.76</v>
      </c>
      <c r="V840" s="22">
        <f>3.24/5</f>
        <v>0.64800000000000002</v>
      </c>
      <c r="W840" s="14" t="s">
        <v>7777</v>
      </c>
      <c r="AB840" s="18">
        <f t="shared" si="26"/>
        <v>2021</v>
      </c>
      <c r="AC840" s="22">
        <f t="shared" si="27"/>
        <v>0.71933333333333327</v>
      </c>
    </row>
    <row r="841" spans="1:29">
      <c r="A841" s="8" t="s">
        <v>11662</v>
      </c>
      <c r="B841" s="17" t="s">
        <v>7800</v>
      </c>
      <c r="C841" s="13">
        <v>44456</v>
      </c>
      <c r="D841" s="13" t="s">
        <v>8465</v>
      </c>
      <c r="E841" s="10" t="s">
        <v>11663</v>
      </c>
      <c r="F841" s="10" t="s">
        <v>11663</v>
      </c>
      <c r="H841" s="2" t="s">
        <v>67</v>
      </c>
      <c r="L841" s="18">
        <v>1</v>
      </c>
      <c r="N841" s="13">
        <v>44673</v>
      </c>
      <c r="O841" s="29">
        <v>0</v>
      </c>
      <c r="P841" s="18" t="s">
        <v>1107</v>
      </c>
      <c r="Q841" s="18">
        <v>1</v>
      </c>
      <c r="R841" s="13">
        <v>44843</v>
      </c>
      <c r="S841" s="21">
        <f>2+4/60</f>
        <v>2.0666666666666669</v>
      </c>
      <c r="T841" s="22">
        <v>0.8</v>
      </c>
      <c r="U841" s="22">
        <v>0.79</v>
      </c>
      <c r="V841" s="22">
        <f>4.38/5</f>
        <v>0.876</v>
      </c>
      <c r="W841" s="14" t="s">
        <v>7777</v>
      </c>
      <c r="AB841" s="18">
        <f t="shared" si="26"/>
        <v>2021</v>
      </c>
      <c r="AC841" s="22">
        <f t="shared" si="27"/>
        <v>0.82200000000000006</v>
      </c>
    </row>
    <row r="842" spans="1:29">
      <c r="A842" s="8" t="s">
        <v>10533</v>
      </c>
      <c r="B842" s="17" t="s">
        <v>7744</v>
      </c>
      <c r="C842" s="13">
        <v>44455</v>
      </c>
      <c r="D842" s="13" t="s">
        <v>8465</v>
      </c>
      <c r="E842" s="10" t="s">
        <v>4850</v>
      </c>
      <c r="F842" s="10" t="s">
        <v>10534</v>
      </c>
      <c r="H842" s="2" t="s">
        <v>80</v>
      </c>
      <c r="L842" s="18">
        <v>1</v>
      </c>
      <c r="N842" s="13">
        <v>44424</v>
      </c>
      <c r="O842" s="29">
        <v>22.49</v>
      </c>
      <c r="P842" s="18" t="s">
        <v>1107</v>
      </c>
      <c r="Q842" s="18">
        <v>1</v>
      </c>
      <c r="R842" s="13">
        <v>44506</v>
      </c>
      <c r="S842" s="21">
        <f>18+42/60+21/3600</f>
        <v>18.705833333333331</v>
      </c>
      <c r="T842" s="22">
        <v>0.75</v>
      </c>
      <c r="U842" s="22">
        <v>0.79</v>
      </c>
      <c r="V842" s="22">
        <f>3.93/5</f>
        <v>0.78600000000000003</v>
      </c>
      <c r="AB842" s="18">
        <f t="shared" si="26"/>
        <v>2021</v>
      </c>
      <c r="AC842" s="22">
        <f t="shared" si="27"/>
        <v>0.77533333333333332</v>
      </c>
    </row>
    <row r="843" spans="1:29" ht="30">
      <c r="A843" s="8" t="s">
        <v>15950</v>
      </c>
      <c r="B843" s="17" t="s">
        <v>13799</v>
      </c>
      <c r="C843" s="13">
        <v>44455</v>
      </c>
      <c r="D843" s="13" t="s">
        <v>8465</v>
      </c>
      <c r="E843" s="10" t="s">
        <v>15951</v>
      </c>
      <c r="F843" s="10" t="s">
        <v>15951</v>
      </c>
      <c r="H843" s="2" t="s">
        <v>78</v>
      </c>
      <c r="L843" s="18">
        <v>1</v>
      </c>
      <c r="O843" s="29">
        <v>0</v>
      </c>
      <c r="P843" s="18" t="s">
        <v>1107</v>
      </c>
      <c r="Q843" s="18">
        <v>1</v>
      </c>
      <c r="R843" s="13">
        <v>45208</v>
      </c>
      <c r="T843" s="22">
        <v>0.6</v>
      </c>
      <c r="AB843" s="18">
        <f t="shared" si="26"/>
        <v>2021</v>
      </c>
      <c r="AC843" s="22">
        <f t="shared" si="27"/>
        <v>0.6</v>
      </c>
    </row>
    <row r="844" spans="1:29">
      <c r="A844" s="8" t="s">
        <v>15948</v>
      </c>
      <c r="B844" s="17" t="s">
        <v>13799</v>
      </c>
      <c r="C844" s="13">
        <v>44454</v>
      </c>
      <c r="D844" s="13" t="s">
        <v>8465</v>
      </c>
      <c r="E844" s="10" t="s">
        <v>15949</v>
      </c>
      <c r="F844" s="10" t="s">
        <v>15949</v>
      </c>
      <c r="H844" s="2" t="s">
        <v>1057</v>
      </c>
      <c r="L844" s="18">
        <v>1</v>
      </c>
      <c r="O844" s="29">
        <v>0</v>
      </c>
      <c r="P844" s="18" t="s">
        <v>1107</v>
      </c>
      <c r="Q844" s="18">
        <v>1</v>
      </c>
      <c r="R844" s="13">
        <v>45220</v>
      </c>
      <c r="S844" s="21">
        <f>1+13/60+8/3600</f>
        <v>1.2188888888888889</v>
      </c>
      <c r="T844" s="22">
        <v>0.6</v>
      </c>
      <c r="AB844" s="18">
        <f t="shared" si="26"/>
        <v>2021</v>
      </c>
      <c r="AC844" s="22">
        <f t="shared" si="27"/>
        <v>0.6</v>
      </c>
    </row>
    <row r="845" spans="1:29">
      <c r="A845" s="8" t="s">
        <v>10548</v>
      </c>
      <c r="B845" s="17" t="s">
        <v>7800</v>
      </c>
      <c r="C845" s="13">
        <v>44453</v>
      </c>
      <c r="D845" s="13" t="s">
        <v>8465</v>
      </c>
      <c r="E845" s="10" t="s">
        <v>1690</v>
      </c>
      <c r="F845" s="10" t="s">
        <v>3218</v>
      </c>
      <c r="H845" s="2" t="s">
        <v>1050</v>
      </c>
      <c r="L845" s="18">
        <v>1</v>
      </c>
      <c r="N845" s="13">
        <v>44495</v>
      </c>
      <c r="O845" s="29">
        <v>31.71</v>
      </c>
      <c r="P845" s="18" t="s">
        <v>1107</v>
      </c>
      <c r="Q845" s="18">
        <v>1</v>
      </c>
      <c r="R845" s="13">
        <v>44515</v>
      </c>
      <c r="S845" s="21">
        <f>9+51/60</f>
        <v>9.85</v>
      </c>
      <c r="T845" s="22">
        <v>0.8</v>
      </c>
      <c r="U845" s="22">
        <v>0.87</v>
      </c>
      <c r="V845" s="22">
        <f>3.51/5</f>
        <v>0.70199999999999996</v>
      </c>
      <c r="W845" s="14" t="s">
        <v>7777</v>
      </c>
      <c r="AB845" s="18">
        <f t="shared" si="26"/>
        <v>2021</v>
      </c>
      <c r="AC845" s="22">
        <f t="shared" si="27"/>
        <v>0.79066666666666663</v>
      </c>
    </row>
    <row r="846" spans="1:29">
      <c r="A846" s="8" t="s">
        <v>10845</v>
      </c>
      <c r="B846" s="17" t="s">
        <v>7800</v>
      </c>
      <c r="C846" s="13">
        <v>44448</v>
      </c>
      <c r="D846" s="13" t="s">
        <v>8465</v>
      </c>
      <c r="E846" s="10" t="s">
        <v>7300</v>
      </c>
      <c r="F846" s="10" t="s">
        <v>10846</v>
      </c>
      <c r="H846" s="2" t="s">
        <v>64</v>
      </c>
      <c r="L846" s="18">
        <v>0</v>
      </c>
      <c r="Q846" s="18">
        <v>1</v>
      </c>
      <c r="R846" s="13">
        <v>44559</v>
      </c>
      <c r="S846" s="21">
        <f>3+24/60</f>
        <v>3.4</v>
      </c>
      <c r="T846" s="22">
        <v>0.65</v>
      </c>
      <c r="U846" s="22">
        <v>0.8</v>
      </c>
      <c r="V846" s="22">
        <f>3.36/5</f>
        <v>0.67199999999999993</v>
      </c>
      <c r="W846" s="14" t="s">
        <v>8280</v>
      </c>
      <c r="AB846" s="18">
        <f t="shared" si="26"/>
        <v>2021</v>
      </c>
      <c r="AC846" s="22">
        <f t="shared" si="27"/>
        <v>0.70733333333333326</v>
      </c>
    </row>
    <row r="847" spans="1:29">
      <c r="A847" s="8" t="s">
        <v>14136</v>
      </c>
      <c r="B847" s="17" t="s">
        <v>7800</v>
      </c>
      <c r="C847" s="13">
        <v>44440</v>
      </c>
      <c r="D847" s="13" t="s">
        <v>8465</v>
      </c>
      <c r="E847" s="10" t="s">
        <v>14137</v>
      </c>
      <c r="F847" s="10" t="s">
        <v>14137</v>
      </c>
      <c r="H847" s="2" t="s">
        <v>67</v>
      </c>
      <c r="L847" s="18">
        <v>1</v>
      </c>
      <c r="O847" s="29">
        <v>0</v>
      </c>
      <c r="P847" s="18" t="s">
        <v>1107</v>
      </c>
      <c r="Q847" s="18">
        <v>1</v>
      </c>
      <c r="R847" s="13">
        <v>45027</v>
      </c>
      <c r="S847" s="21">
        <f>7/60</f>
        <v>0.11666666666666667</v>
      </c>
      <c r="T847" s="22">
        <v>0.2</v>
      </c>
      <c r="W847" s="14" t="s">
        <v>8765</v>
      </c>
      <c r="AB847" s="18">
        <f t="shared" si="26"/>
        <v>2021</v>
      </c>
      <c r="AC847" s="22">
        <f t="shared" si="27"/>
        <v>0.2</v>
      </c>
    </row>
    <row r="848" spans="1:29" ht="30">
      <c r="A848" s="8" t="s">
        <v>12803</v>
      </c>
      <c r="B848" s="17" t="s">
        <v>9440</v>
      </c>
      <c r="C848" s="13">
        <v>44433</v>
      </c>
      <c r="D848" s="13" t="s">
        <v>8465</v>
      </c>
      <c r="E848" s="10" t="s">
        <v>6517</v>
      </c>
      <c r="F848" s="10" t="s">
        <v>12804</v>
      </c>
      <c r="G848" s="11" t="s">
        <v>4754</v>
      </c>
      <c r="H848" s="2" t="s">
        <v>1040</v>
      </c>
      <c r="L848" s="18">
        <v>1</v>
      </c>
      <c r="M848" s="14" t="s">
        <v>8462</v>
      </c>
      <c r="N848" s="13">
        <v>44756</v>
      </c>
      <c r="O848" s="29">
        <v>76.03</v>
      </c>
      <c r="P848" s="18" t="s">
        <v>14</v>
      </c>
      <c r="Q848" s="18">
        <v>1</v>
      </c>
      <c r="R848" s="13">
        <v>44881</v>
      </c>
      <c r="S848" s="21">
        <f>12+51/60</f>
        <v>12.85</v>
      </c>
      <c r="T848" s="22">
        <v>0.8</v>
      </c>
      <c r="U848" s="22">
        <v>0.87</v>
      </c>
      <c r="V848" s="22">
        <f>4.07/5</f>
        <v>0.81400000000000006</v>
      </c>
      <c r="W848" s="14" t="s">
        <v>12805</v>
      </c>
      <c r="AB848" s="18">
        <f t="shared" si="26"/>
        <v>2021</v>
      </c>
      <c r="AC848" s="22">
        <f t="shared" si="27"/>
        <v>0.82799999999999996</v>
      </c>
    </row>
    <row r="849" spans="1:29">
      <c r="A849" s="8" t="s">
        <v>10565</v>
      </c>
      <c r="B849" s="17" t="s">
        <v>7800</v>
      </c>
      <c r="C849" s="13">
        <v>44431</v>
      </c>
      <c r="D849" s="13" t="s">
        <v>8465</v>
      </c>
      <c r="E849" s="10" t="s">
        <v>3493</v>
      </c>
      <c r="F849" s="10" t="s">
        <v>10566</v>
      </c>
      <c r="G849" s="11" t="s">
        <v>442</v>
      </c>
      <c r="H849" s="2" t="s">
        <v>1168</v>
      </c>
      <c r="L849" s="18">
        <v>1</v>
      </c>
      <c r="N849" s="13">
        <v>44497</v>
      </c>
      <c r="O849" s="29">
        <v>31.99</v>
      </c>
      <c r="P849" s="18" t="s">
        <v>1107</v>
      </c>
      <c r="Q849" s="18">
        <v>1</v>
      </c>
      <c r="R849" s="13">
        <v>44577</v>
      </c>
      <c r="S849" s="21">
        <f>5+21/60</f>
        <v>5.35</v>
      </c>
      <c r="T849" s="22">
        <v>0.4</v>
      </c>
      <c r="U849" s="22">
        <v>0.69</v>
      </c>
      <c r="V849" s="22">
        <f>3.6/5</f>
        <v>0.72</v>
      </c>
      <c r="W849" s="14" t="s">
        <v>7777</v>
      </c>
      <c r="AB849" s="18">
        <f t="shared" si="26"/>
        <v>2021</v>
      </c>
      <c r="AC849" s="22">
        <f t="shared" si="27"/>
        <v>0.60333333333333328</v>
      </c>
    </row>
    <row r="850" spans="1:29">
      <c r="A850" s="8" t="s">
        <v>10419</v>
      </c>
      <c r="B850" s="17" t="s">
        <v>7783</v>
      </c>
      <c r="C850" s="13">
        <v>44421</v>
      </c>
      <c r="D850" s="13" t="s">
        <v>8465</v>
      </c>
      <c r="E850" s="10" t="s">
        <v>1548</v>
      </c>
      <c r="F850" s="10" t="s">
        <v>1548</v>
      </c>
      <c r="H850" s="2" t="s">
        <v>149</v>
      </c>
      <c r="L850" s="18">
        <v>0</v>
      </c>
      <c r="Q850" s="18">
        <v>1</v>
      </c>
      <c r="R850" s="13">
        <v>44598</v>
      </c>
      <c r="S850" s="21">
        <f>51+49/60</f>
        <v>51.81666666666667</v>
      </c>
      <c r="T850" s="22">
        <v>0.8</v>
      </c>
      <c r="U850" s="22">
        <v>0.79</v>
      </c>
      <c r="V850" s="22">
        <f>4.36/5</f>
        <v>0.87200000000000011</v>
      </c>
      <c r="W850" s="14" t="s">
        <v>8572</v>
      </c>
      <c r="AB850" s="18">
        <f t="shared" si="26"/>
        <v>2021</v>
      </c>
      <c r="AC850" s="22">
        <f t="shared" si="27"/>
        <v>0.82066666666666677</v>
      </c>
    </row>
    <row r="851" spans="1:29">
      <c r="A851" s="8" t="s">
        <v>13039</v>
      </c>
      <c r="B851" s="17" t="s">
        <v>7800</v>
      </c>
      <c r="C851" s="13">
        <v>44419</v>
      </c>
      <c r="D851" s="13" t="s">
        <v>8465</v>
      </c>
      <c r="E851" s="10" t="s">
        <v>9452</v>
      </c>
      <c r="F851" s="10" t="s">
        <v>13040</v>
      </c>
      <c r="H851" s="2" t="s">
        <v>80</v>
      </c>
      <c r="L851" s="18">
        <v>1</v>
      </c>
      <c r="N851" s="13">
        <v>44922</v>
      </c>
      <c r="O851" s="29">
        <v>9.99</v>
      </c>
      <c r="P851" s="18" t="s">
        <v>1107</v>
      </c>
      <c r="Q851" s="18">
        <v>1</v>
      </c>
      <c r="R851" s="13">
        <v>44950</v>
      </c>
      <c r="S851" s="21">
        <f>10+14/60</f>
        <v>10.233333333333333</v>
      </c>
      <c r="T851" s="22">
        <v>0.5</v>
      </c>
      <c r="U851" s="22">
        <v>0.7</v>
      </c>
      <c r="V851" s="22">
        <f>4/5</f>
        <v>0.8</v>
      </c>
      <c r="W851" s="14" t="s">
        <v>7777</v>
      </c>
      <c r="AB851" s="18">
        <f t="shared" si="26"/>
        <v>2021</v>
      </c>
      <c r="AC851" s="22">
        <f t="shared" si="27"/>
        <v>0.66666666666666663</v>
      </c>
    </row>
    <row r="852" spans="1:29">
      <c r="A852" s="8" t="s">
        <v>15413</v>
      </c>
      <c r="B852" s="17" t="s">
        <v>7800</v>
      </c>
      <c r="C852" s="13">
        <v>44411</v>
      </c>
      <c r="D852" s="13" t="s">
        <v>8465</v>
      </c>
      <c r="E852" s="10" t="s">
        <v>3070</v>
      </c>
      <c r="F852" s="10" t="s">
        <v>15414</v>
      </c>
      <c r="H852" s="2" t="s">
        <v>1040</v>
      </c>
      <c r="L852" s="18">
        <v>1</v>
      </c>
      <c r="N852" s="13">
        <v>45128</v>
      </c>
      <c r="O852" s="29">
        <v>13</v>
      </c>
      <c r="P852" s="18" t="s">
        <v>1107</v>
      </c>
      <c r="Q852" s="18">
        <v>1</v>
      </c>
      <c r="R852" s="13">
        <v>45146</v>
      </c>
      <c r="S852" s="21">
        <f>6+21/60</f>
        <v>6.35</v>
      </c>
      <c r="T852" s="22">
        <v>0.7</v>
      </c>
      <c r="V852" s="22">
        <f>2.75/5</f>
        <v>0.55000000000000004</v>
      </c>
      <c r="W852" s="14" t="s">
        <v>7777</v>
      </c>
      <c r="AB852" s="18">
        <f t="shared" si="26"/>
        <v>2021</v>
      </c>
      <c r="AC852" s="22">
        <f t="shared" si="27"/>
        <v>0.625</v>
      </c>
    </row>
    <row r="853" spans="1:29">
      <c r="A853" s="8" t="s">
        <v>12237</v>
      </c>
      <c r="B853" s="17" t="s">
        <v>7800</v>
      </c>
      <c r="C853" s="13">
        <v>44406</v>
      </c>
      <c r="D853" s="13" t="s">
        <v>8465</v>
      </c>
      <c r="E853" s="10" t="s">
        <v>10742</v>
      </c>
      <c r="F853" s="10" t="s">
        <v>12238</v>
      </c>
      <c r="H853" s="2" t="s">
        <v>1054</v>
      </c>
      <c r="L853" s="18">
        <v>1</v>
      </c>
      <c r="N853" s="13">
        <v>44775</v>
      </c>
      <c r="O853" s="29">
        <v>0</v>
      </c>
      <c r="P853" s="18" t="s">
        <v>1107</v>
      </c>
      <c r="Q853" s="18">
        <v>1</v>
      </c>
      <c r="R853" s="13">
        <v>44815</v>
      </c>
      <c r="S853" s="21">
        <f>9+5/60</f>
        <v>9.0833333333333339</v>
      </c>
      <c r="T853" s="22">
        <v>0.6</v>
      </c>
      <c r="U853" s="22">
        <v>0.74</v>
      </c>
      <c r="V853" s="22">
        <f>3.22/5</f>
        <v>0.64400000000000002</v>
      </c>
      <c r="W853" s="14" t="s">
        <v>7777</v>
      </c>
      <c r="AB853" s="18">
        <f t="shared" si="26"/>
        <v>2021</v>
      </c>
      <c r="AC853" s="22">
        <f t="shared" si="27"/>
        <v>0.66133333333333333</v>
      </c>
    </row>
    <row r="854" spans="1:29" ht="30">
      <c r="A854" s="8" t="s">
        <v>14302</v>
      </c>
      <c r="B854" s="17" t="s">
        <v>7800</v>
      </c>
      <c r="C854" s="13">
        <v>44406</v>
      </c>
      <c r="D854" s="13" t="s">
        <v>8465</v>
      </c>
      <c r="E854" s="10" t="s">
        <v>14303</v>
      </c>
      <c r="F854" s="10" t="s">
        <v>14304</v>
      </c>
      <c r="H854" s="2" t="s">
        <v>1040</v>
      </c>
      <c r="L854" s="18">
        <v>1</v>
      </c>
      <c r="N854" s="13">
        <v>45027</v>
      </c>
      <c r="O854" s="29">
        <v>0</v>
      </c>
      <c r="P854" s="18" t="s">
        <v>1107</v>
      </c>
      <c r="Q854" s="18">
        <v>1</v>
      </c>
      <c r="R854" s="13">
        <v>45084</v>
      </c>
      <c r="S854" s="21">
        <f>7/60</f>
        <v>0.11666666666666667</v>
      </c>
      <c r="T854" s="22">
        <v>0.3</v>
      </c>
      <c r="V854" s="22">
        <f>3.38/5</f>
        <v>0.67599999999999993</v>
      </c>
      <c r="W854" s="14" t="s">
        <v>7777</v>
      </c>
      <c r="AB854" s="18">
        <f t="shared" si="26"/>
        <v>2021</v>
      </c>
      <c r="AC854" s="22">
        <f t="shared" si="27"/>
        <v>0.48799999999999999</v>
      </c>
    </row>
    <row r="855" spans="1:29">
      <c r="A855" s="8" t="s">
        <v>10692</v>
      </c>
      <c r="B855" s="17" t="s">
        <v>7800</v>
      </c>
      <c r="C855" s="13">
        <v>44405</v>
      </c>
      <c r="D855" s="13" t="s">
        <v>8465</v>
      </c>
      <c r="E855" s="10" t="s">
        <v>10693</v>
      </c>
      <c r="F855" s="10" t="s">
        <v>10694</v>
      </c>
      <c r="H855" s="2" t="s">
        <v>80</v>
      </c>
      <c r="L855" s="18">
        <v>0</v>
      </c>
      <c r="Q855" s="18">
        <v>1</v>
      </c>
      <c r="R855" s="13">
        <v>44518</v>
      </c>
      <c r="S855" s="21">
        <f>5+2/60</f>
        <v>5.0333333333333332</v>
      </c>
      <c r="T855" s="22">
        <v>0.85</v>
      </c>
      <c r="U855" s="22">
        <v>0.85</v>
      </c>
      <c r="V855" s="22">
        <f>4.03/5</f>
        <v>0.80600000000000005</v>
      </c>
      <c r="W855" s="14" t="s">
        <v>8280</v>
      </c>
      <c r="AB855" s="18">
        <f t="shared" si="26"/>
        <v>2021</v>
      </c>
      <c r="AC855" s="22">
        <f t="shared" si="27"/>
        <v>0.83533333333333337</v>
      </c>
    </row>
    <row r="856" spans="1:29">
      <c r="A856" s="8" t="s">
        <v>10494</v>
      </c>
      <c r="B856" s="17" t="s">
        <v>9431</v>
      </c>
      <c r="C856" s="13">
        <v>44399</v>
      </c>
      <c r="D856" s="13" t="s">
        <v>8463</v>
      </c>
      <c r="E856" s="10" t="s">
        <v>8708</v>
      </c>
      <c r="F856" s="10" t="s">
        <v>8708</v>
      </c>
      <c r="G856" s="11" t="s">
        <v>8709</v>
      </c>
      <c r="H856" s="2" t="s">
        <v>1059</v>
      </c>
      <c r="K856" s="18">
        <v>0</v>
      </c>
      <c r="L856" s="18">
        <v>1</v>
      </c>
      <c r="M856" s="14" t="s">
        <v>8462</v>
      </c>
      <c r="N856" s="13">
        <v>44483</v>
      </c>
      <c r="O856" s="29">
        <v>53.99</v>
      </c>
      <c r="P856" s="18" t="s">
        <v>14</v>
      </c>
      <c r="Q856" s="18">
        <v>1</v>
      </c>
      <c r="R856" s="13">
        <v>44601</v>
      </c>
      <c r="S856" s="21">
        <v>6</v>
      </c>
      <c r="T856" s="22">
        <v>0.6</v>
      </c>
      <c r="AB856" s="18">
        <f t="shared" si="26"/>
        <v>2021</v>
      </c>
      <c r="AC856" s="22">
        <f t="shared" si="27"/>
        <v>0.6</v>
      </c>
    </row>
    <row r="857" spans="1:29" ht="25.5">
      <c r="A857" s="8" t="s">
        <v>10355</v>
      </c>
      <c r="B857" s="17" t="s">
        <v>7744</v>
      </c>
      <c r="C857" s="13">
        <v>44397</v>
      </c>
      <c r="D857" s="13" t="s">
        <v>8465</v>
      </c>
      <c r="E857" s="10" t="s">
        <v>7422</v>
      </c>
      <c r="F857" s="10" t="s">
        <v>3029</v>
      </c>
      <c r="G857" s="11" t="s">
        <v>8873</v>
      </c>
      <c r="H857" s="2" t="s">
        <v>153</v>
      </c>
      <c r="L857" s="18">
        <v>1</v>
      </c>
      <c r="N857" s="13">
        <v>44381</v>
      </c>
      <c r="O857" s="29">
        <v>39.99</v>
      </c>
      <c r="P857" s="18" t="s">
        <v>1107</v>
      </c>
      <c r="Q857" s="18">
        <v>1</v>
      </c>
      <c r="R857" s="13">
        <v>44486</v>
      </c>
      <c r="S857" s="21">
        <v>5</v>
      </c>
      <c r="T857" s="22">
        <v>0.1</v>
      </c>
      <c r="U857" s="22">
        <v>0.54</v>
      </c>
      <c r="V857" s="22">
        <f>3.77/5</f>
        <v>0.754</v>
      </c>
      <c r="AB857" s="18">
        <f t="shared" si="26"/>
        <v>2021</v>
      </c>
      <c r="AC857" s="22">
        <f t="shared" si="27"/>
        <v>0.46466666666666673</v>
      </c>
    </row>
    <row r="858" spans="1:29" ht="25.5">
      <c r="A858" s="8" t="s">
        <v>10303</v>
      </c>
      <c r="B858" s="17" t="s">
        <v>7744</v>
      </c>
      <c r="C858" s="13">
        <v>44369</v>
      </c>
      <c r="D858" s="13" t="s">
        <v>8465</v>
      </c>
      <c r="E858" s="10" t="s">
        <v>4388</v>
      </c>
      <c r="F858" s="10" t="s">
        <v>10304</v>
      </c>
      <c r="G858" s="11" t="s">
        <v>2508</v>
      </c>
      <c r="H858" s="2" t="s">
        <v>64</v>
      </c>
      <c r="L858" s="18">
        <v>1</v>
      </c>
      <c r="N858" s="13">
        <v>44378</v>
      </c>
      <c r="O858" s="29">
        <v>17.78</v>
      </c>
      <c r="P858" s="18" t="s">
        <v>1107</v>
      </c>
      <c r="Q858" s="18">
        <v>1</v>
      </c>
      <c r="R858" s="13">
        <v>44380</v>
      </c>
      <c r="S858" s="21">
        <v>2</v>
      </c>
      <c r="T858" s="22">
        <v>0.4</v>
      </c>
      <c r="U858" s="22">
        <v>0.64</v>
      </c>
      <c r="V858" s="22">
        <f>3.27/5</f>
        <v>0.65400000000000003</v>
      </c>
      <c r="AB858" s="18">
        <f t="shared" si="26"/>
        <v>2021</v>
      </c>
      <c r="AC858" s="22">
        <f t="shared" si="27"/>
        <v>0.56466666666666665</v>
      </c>
    </row>
    <row r="859" spans="1:29" ht="30">
      <c r="A859" s="8" t="s">
        <v>9933</v>
      </c>
      <c r="B859" s="17" t="s">
        <v>9431</v>
      </c>
      <c r="C859" s="13">
        <v>44358</v>
      </c>
      <c r="D859" s="13" t="s">
        <v>8465</v>
      </c>
      <c r="E859" s="10" t="s">
        <v>6107</v>
      </c>
      <c r="F859" s="10" t="s">
        <v>3039</v>
      </c>
      <c r="G859" s="11" t="s">
        <v>5853</v>
      </c>
      <c r="H859" s="2" t="s">
        <v>80</v>
      </c>
      <c r="L859" s="18">
        <v>1</v>
      </c>
      <c r="M859" s="14" t="s">
        <v>8462</v>
      </c>
      <c r="N859" s="13">
        <v>44239</v>
      </c>
      <c r="O859" s="29">
        <v>74.87</v>
      </c>
      <c r="P859" s="18" t="s">
        <v>14</v>
      </c>
      <c r="Q859" s="18">
        <v>1</v>
      </c>
      <c r="R859" s="13">
        <v>44375</v>
      </c>
      <c r="S859" s="21">
        <v>6</v>
      </c>
      <c r="T859" s="22">
        <v>0.9</v>
      </c>
      <c r="U859" s="22">
        <v>0.89</v>
      </c>
      <c r="V859" s="22">
        <f>4.29/5</f>
        <v>0.85799999999999998</v>
      </c>
      <c r="W859" s="14" t="s">
        <v>8840</v>
      </c>
      <c r="AB859" s="18">
        <f t="shared" si="26"/>
        <v>2021</v>
      </c>
      <c r="AC859" s="22">
        <f t="shared" si="27"/>
        <v>0.88266666666666671</v>
      </c>
    </row>
    <row r="860" spans="1:29" ht="38.25">
      <c r="A860" s="8" t="s">
        <v>10185</v>
      </c>
      <c r="B860" s="17" t="s">
        <v>9431</v>
      </c>
      <c r="C860" s="13">
        <v>44357</v>
      </c>
      <c r="D860" s="13" t="s">
        <v>8465</v>
      </c>
      <c r="E860" s="10" t="s">
        <v>1082</v>
      </c>
      <c r="F860" s="10" t="s">
        <v>8559</v>
      </c>
      <c r="G860" s="11" t="s">
        <v>126</v>
      </c>
      <c r="H860" s="2" t="s">
        <v>171</v>
      </c>
      <c r="J860" s="18">
        <v>1</v>
      </c>
      <c r="L860" s="18">
        <v>1</v>
      </c>
      <c r="N860" s="13">
        <v>44357</v>
      </c>
      <c r="O860" s="29">
        <v>19.989999999999998</v>
      </c>
      <c r="P860" s="18" t="s">
        <v>1107</v>
      </c>
      <c r="Q860" s="18">
        <v>1</v>
      </c>
      <c r="R860" s="13">
        <v>44359</v>
      </c>
      <c r="S860" s="21">
        <f>4+5/60+59/3600</f>
        <v>4.0997222222222218</v>
      </c>
      <c r="T860" s="22">
        <v>0.8</v>
      </c>
      <c r="U860" s="22">
        <v>0.78</v>
      </c>
      <c r="V860" s="22">
        <f>4.18/5</f>
        <v>0.83599999999999997</v>
      </c>
      <c r="AB860" s="18">
        <f t="shared" si="26"/>
        <v>2021</v>
      </c>
      <c r="AC860" s="22">
        <f t="shared" si="27"/>
        <v>0.80533333333333335</v>
      </c>
    </row>
    <row r="861" spans="1:29" ht="38.25">
      <c r="A861" s="8" t="s">
        <v>9806</v>
      </c>
      <c r="B861" s="17" t="s">
        <v>7744</v>
      </c>
      <c r="C861" s="13">
        <v>44330</v>
      </c>
      <c r="D861" s="13" t="s">
        <v>8465</v>
      </c>
      <c r="E861" s="10" t="s">
        <v>86</v>
      </c>
      <c r="F861" s="10" t="s">
        <v>8973</v>
      </c>
      <c r="G861" s="11" t="s">
        <v>9805</v>
      </c>
      <c r="H861" s="2" t="s">
        <v>67</v>
      </c>
      <c r="L861" s="18">
        <v>1</v>
      </c>
      <c r="N861" s="13">
        <v>44244</v>
      </c>
      <c r="O861" s="29">
        <v>34.74</v>
      </c>
      <c r="P861" s="18" t="s">
        <v>1107</v>
      </c>
      <c r="Q861" s="18">
        <v>1</v>
      </c>
      <c r="R861" s="13">
        <v>44376</v>
      </c>
      <c r="S861" s="21">
        <v>5</v>
      </c>
      <c r="T861" s="22">
        <v>0.7</v>
      </c>
      <c r="U861" s="22">
        <v>0.74</v>
      </c>
      <c r="V861" s="22">
        <f>3.94/5</f>
        <v>0.78800000000000003</v>
      </c>
      <c r="AB861" s="18">
        <f t="shared" si="26"/>
        <v>2021</v>
      </c>
      <c r="AC861" s="22">
        <f t="shared" si="27"/>
        <v>0.74266666666666659</v>
      </c>
    </row>
    <row r="862" spans="1:29" ht="25.5">
      <c r="A862" s="8" t="s">
        <v>9804</v>
      </c>
      <c r="B862" s="17" t="s">
        <v>7744</v>
      </c>
      <c r="C862" s="13">
        <v>44330</v>
      </c>
      <c r="D862" s="13" t="s">
        <v>8465</v>
      </c>
      <c r="E862" s="10" t="s">
        <v>86</v>
      </c>
      <c r="F862" s="10" t="s">
        <v>8973</v>
      </c>
      <c r="G862" s="11" t="s">
        <v>9805</v>
      </c>
      <c r="H862" s="2" t="s">
        <v>67</v>
      </c>
      <c r="L862" s="18">
        <v>1</v>
      </c>
      <c r="N862" s="13">
        <v>44244</v>
      </c>
      <c r="O862" s="29">
        <v>23.25</v>
      </c>
      <c r="P862" s="18" t="s">
        <v>1107</v>
      </c>
      <c r="Q862" s="18">
        <v>1</v>
      </c>
      <c r="R862" s="13">
        <v>44356</v>
      </c>
      <c r="S862" s="21">
        <v>5</v>
      </c>
      <c r="T862" s="22">
        <v>0.6</v>
      </c>
      <c r="U862" s="22">
        <v>0.73</v>
      </c>
      <c r="V862" s="22">
        <f>3.74/5</f>
        <v>0.748</v>
      </c>
      <c r="AB862" s="18">
        <f t="shared" si="26"/>
        <v>2021</v>
      </c>
      <c r="AC862" s="22">
        <f t="shared" si="27"/>
        <v>0.69266666666666676</v>
      </c>
    </row>
    <row r="863" spans="1:29">
      <c r="A863" s="8" t="s">
        <v>9680</v>
      </c>
      <c r="B863" s="17" t="s">
        <v>7800</v>
      </c>
      <c r="C863" s="13">
        <v>44323</v>
      </c>
      <c r="D863" s="13" t="s">
        <v>8465</v>
      </c>
      <c r="E863" s="10" t="s">
        <v>73</v>
      </c>
      <c r="F863" s="10" t="s">
        <v>73</v>
      </c>
      <c r="G863" s="11" t="s">
        <v>943</v>
      </c>
      <c r="H863" s="2" t="s">
        <v>1061</v>
      </c>
      <c r="L863" s="18">
        <v>1</v>
      </c>
      <c r="N863" s="13">
        <v>44220</v>
      </c>
      <c r="O863" s="29">
        <v>47.99</v>
      </c>
      <c r="P863" s="18" t="s">
        <v>1107</v>
      </c>
      <c r="Q863" s="18">
        <v>1</v>
      </c>
      <c r="R863" s="13">
        <v>44344</v>
      </c>
      <c r="S863" s="21">
        <f>7+33/60+31/3600</f>
        <v>7.5586111111111105</v>
      </c>
      <c r="T863" s="22">
        <v>0.8</v>
      </c>
      <c r="U863" s="22">
        <v>0.85</v>
      </c>
      <c r="V863" s="22">
        <f>4.04/5</f>
        <v>0.80800000000000005</v>
      </c>
      <c r="W863" s="14" t="s">
        <v>7777</v>
      </c>
      <c r="AB863" s="18">
        <f t="shared" si="26"/>
        <v>2021</v>
      </c>
      <c r="AC863" s="22">
        <f t="shared" si="27"/>
        <v>0.81933333333333336</v>
      </c>
    </row>
    <row r="864" spans="1:29" ht="30">
      <c r="A864" s="8" t="s">
        <v>9930</v>
      </c>
      <c r="B864" s="17" t="s">
        <v>9431</v>
      </c>
      <c r="C864" s="13">
        <v>44316</v>
      </c>
      <c r="D864" s="13" t="s">
        <v>8465</v>
      </c>
      <c r="E864" s="10" t="s">
        <v>6107</v>
      </c>
      <c r="F864" s="10" t="s">
        <v>4535</v>
      </c>
      <c r="H864" s="2" t="s">
        <v>1518</v>
      </c>
      <c r="L864" s="18">
        <v>1</v>
      </c>
      <c r="M864" s="14" t="s">
        <v>8462</v>
      </c>
      <c r="N864" s="13">
        <v>44178</v>
      </c>
      <c r="O864" s="29">
        <v>69.989999999999995</v>
      </c>
      <c r="P864" s="18" t="s">
        <v>14</v>
      </c>
      <c r="Q864" s="18">
        <v>1</v>
      </c>
      <c r="R864" s="13">
        <v>44837</v>
      </c>
      <c r="S864" s="21">
        <f>10+3/60+30/3600</f>
        <v>10.058333333333334</v>
      </c>
      <c r="T864" s="22">
        <v>0.9</v>
      </c>
      <c r="U864" s="22">
        <v>0.86</v>
      </c>
      <c r="V864" s="22">
        <f>3.79/5</f>
        <v>0.75800000000000001</v>
      </c>
      <c r="AB864" s="18">
        <f t="shared" si="26"/>
        <v>2021</v>
      </c>
      <c r="AC864" s="22">
        <f t="shared" si="27"/>
        <v>0.83933333333333326</v>
      </c>
    </row>
    <row r="865" spans="1:29">
      <c r="A865" s="8" t="s">
        <v>9923</v>
      </c>
      <c r="B865" s="17" t="s">
        <v>7744</v>
      </c>
      <c r="C865" s="13">
        <v>44316</v>
      </c>
      <c r="D865" s="13" t="s">
        <v>8465</v>
      </c>
      <c r="E865" s="10" t="s">
        <v>86</v>
      </c>
      <c r="F865" s="10" t="s">
        <v>1614</v>
      </c>
      <c r="G865" s="11" t="s">
        <v>1470</v>
      </c>
      <c r="H865" s="2" t="s">
        <v>1170</v>
      </c>
      <c r="L865" s="18">
        <v>1</v>
      </c>
      <c r="M865" s="14" t="s">
        <v>8462</v>
      </c>
      <c r="N865" s="13">
        <v>44028</v>
      </c>
      <c r="O865" s="29">
        <v>59.88</v>
      </c>
      <c r="P865" s="18" t="s">
        <v>14</v>
      </c>
      <c r="Q865" s="18">
        <v>1</v>
      </c>
      <c r="R865" s="13">
        <v>44326</v>
      </c>
      <c r="S865" s="21">
        <f>7+44/60+47/3600</f>
        <v>7.7463888888888892</v>
      </c>
      <c r="T865" s="22">
        <v>0.75</v>
      </c>
      <c r="U865" s="22">
        <v>0.8</v>
      </c>
      <c r="V865" s="22">
        <f>4.06/5</f>
        <v>0.81199999999999994</v>
      </c>
      <c r="AB865" s="18">
        <f t="shared" si="26"/>
        <v>2021</v>
      </c>
      <c r="AC865" s="22">
        <f t="shared" si="27"/>
        <v>0.78733333333333333</v>
      </c>
    </row>
    <row r="866" spans="1:29" ht="25.5">
      <c r="A866" s="8" t="s">
        <v>9681</v>
      </c>
      <c r="B866" s="17" t="s">
        <v>7800</v>
      </c>
      <c r="C866" s="13">
        <v>44309</v>
      </c>
      <c r="D866" s="13" t="s">
        <v>8465</v>
      </c>
      <c r="E866" s="10" t="s">
        <v>1082</v>
      </c>
      <c r="F866" s="10" t="s">
        <v>9682</v>
      </c>
      <c r="G866" s="11" t="s">
        <v>4538</v>
      </c>
      <c r="H866" s="2" t="s">
        <v>171</v>
      </c>
      <c r="L866" s="18">
        <v>1</v>
      </c>
      <c r="N866" s="13">
        <v>44220</v>
      </c>
      <c r="O866" s="29">
        <v>46.79</v>
      </c>
      <c r="P866" s="18" t="s">
        <v>1107</v>
      </c>
      <c r="Q866" s="18">
        <v>1</v>
      </c>
      <c r="R866" s="13">
        <v>44356</v>
      </c>
      <c r="S866" s="21">
        <f>32.1</f>
        <v>32.1</v>
      </c>
      <c r="T866" s="22">
        <v>0.8</v>
      </c>
      <c r="U866" s="22">
        <v>0.8</v>
      </c>
      <c r="V866" s="22">
        <f>3.97/5</f>
        <v>0.79400000000000004</v>
      </c>
      <c r="W866" s="14" t="s">
        <v>7777</v>
      </c>
      <c r="AB866" s="18">
        <f t="shared" si="26"/>
        <v>2021</v>
      </c>
      <c r="AC866" s="22">
        <f t="shared" si="27"/>
        <v>0.79800000000000004</v>
      </c>
    </row>
    <row r="867" spans="1:29">
      <c r="A867" s="8" t="s">
        <v>13086</v>
      </c>
      <c r="B867" s="17" t="s">
        <v>7800</v>
      </c>
      <c r="C867" s="13">
        <v>44295</v>
      </c>
      <c r="D867" s="13" t="s">
        <v>8465</v>
      </c>
      <c r="E867" s="10" t="s">
        <v>12127</v>
      </c>
      <c r="F867" s="10" t="s">
        <v>12127</v>
      </c>
      <c r="G867" s="11" t="s">
        <v>13087</v>
      </c>
      <c r="H867" s="2" t="s">
        <v>1040</v>
      </c>
      <c r="L867" s="18">
        <v>1</v>
      </c>
      <c r="N867" s="13">
        <v>44924</v>
      </c>
      <c r="O867" s="29">
        <v>0.49</v>
      </c>
      <c r="P867" s="18" t="s">
        <v>1107</v>
      </c>
      <c r="Q867" s="18">
        <v>1</v>
      </c>
      <c r="R867" s="13">
        <v>44931</v>
      </c>
      <c r="S867" s="21">
        <f>30/60</f>
        <v>0.5</v>
      </c>
      <c r="T867" s="22">
        <v>0.6</v>
      </c>
      <c r="V867" s="22">
        <f>3.5/5</f>
        <v>0.7</v>
      </c>
      <c r="W867" s="14" t="s">
        <v>7777</v>
      </c>
      <c r="AB867" s="18">
        <f t="shared" si="26"/>
        <v>2021</v>
      </c>
      <c r="AC867" s="22">
        <f t="shared" si="27"/>
        <v>0.64999999999999991</v>
      </c>
    </row>
    <row r="868" spans="1:29">
      <c r="A868" s="8" t="s">
        <v>10132</v>
      </c>
      <c r="B868" s="17" t="s">
        <v>9440</v>
      </c>
      <c r="C868" s="13">
        <v>44287</v>
      </c>
      <c r="D868" s="13" t="s">
        <v>8465</v>
      </c>
      <c r="E868" s="10" t="s">
        <v>1082</v>
      </c>
      <c r="F868" s="10" t="s">
        <v>3384</v>
      </c>
      <c r="H868" s="2" t="s">
        <v>1168</v>
      </c>
      <c r="L868" s="18">
        <v>0</v>
      </c>
      <c r="Q868" s="18">
        <v>1</v>
      </c>
      <c r="R868" s="13">
        <v>44307</v>
      </c>
      <c r="S868" s="21">
        <f>13+14/60</f>
        <v>13.233333333333333</v>
      </c>
      <c r="T868" s="22">
        <v>0.6</v>
      </c>
      <c r="U868" s="22">
        <v>0.74</v>
      </c>
      <c r="V868" s="22">
        <f>3.8/5</f>
        <v>0.76</v>
      </c>
      <c r="W868" s="14" t="s">
        <v>8280</v>
      </c>
      <c r="AB868" s="18">
        <f t="shared" si="26"/>
        <v>2021</v>
      </c>
      <c r="AC868" s="22">
        <f t="shared" si="27"/>
        <v>0.69999999999999984</v>
      </c>
    </row>
    <row r="869" spans="1:29">
      <c r="A869" s="8" t="s">
        <v>11462</v>
      </c>
      <c r="B869" s="17" t="s">
        <v>7800</v>
      </c>
      <c r="C869" s="13">
        <v>44285</v>
      </c>
      <c r="D869" s="13" t="s">
        <v>8465</v>
      </c>
      <c r="E869" s="10" t="s">
        <v>1634</v>
      </c>
      <c r="F869" s="10" t="s">
        <v>11463</v>
      </c>
      <c r="H869" s="2" t="s">
        <v>80</v>
      </c>
      <c r="L869" s="18">
        <v>0</v>
      </c>
      <c r="Q869" s="18">
        <v>1</v>
      </c>
      <c r="R869" s="13">
        <v>44647</v>
      </c>
      <c r="S869" s="21">
        <f>6+9/60</f>
        <v>6.15</v>
      </c>
      <c r="T869" s="22">
        <v>0.5</v>
      </c>
      <c r="U869" s="22">
        <v>0.74</v>
      </c>
      <c r="V869" s="22">
        <f>3.34/5</f>
        <v>0.66799999999999993</v>
      </c>
      <c r="W869" s="14" t="s">
        <v>8280</v>
      </c>
      <c r="AB869" s="18">
        <f t="shared" si="26"/>
        <v>2021</v>
      </c>
      <c r="AC869" s="22">
        <f t="shared" si="27"/>
        <v>0.63600000000000001</v>
      </c>
    </row>
    <row r="870" spans="1:29">
      <c r="A870" s="8" t="s">
        <v>10193</v>
      </c>
      <c r="B870" s="17" t="s">
        <v>7800</v>
      </c>
      <c r="C870" s="13">
        <v>44281</v>
      </c>
      <c r="D870" s="13" t="s">
        <v>8465</v>
      </c>
      <c r="E870" s="10" t="s">
        <v>231</v>
      </c>
      <c r="F870" s="10" t="s">
        <v>9223</v>
      </c>
      <c r="H870" s="2" t="s">
        <v>80</v>
      </c>
      <c r="L870" s="18">
        <v>1</v>
      </c>
      <c r="N870" s="13">
        <v>44360</v>
      </c>
      <c r="O870" s="29">
        <v>29.99</v>
      </c>
      <c r="P870" s="18" t="s">
        <v>1107</v>
      </c>
      <c r="Q870" s="18">
        <v>1</v>
      </c>
      <c r="R870" s="13">
        <v>44436</v>
      </c>
      <c r="S870" s="21">
        <f>11+57/60</f>
        <v>11.95</v>
      </c>
      <c r="T870" s="22">
        <v>0.8</v>
      </c>
      <c r="U870" s="22">
        <v>0.88</v>
      </c>
      <c r="V870" s="22">
        <f>4.1/5</f>
        <v>0.82</v>
      </c>
      <c r="W870" s="14" t="s">
        <v>7777</v>
      </c>
      <c r="AB870" s="18">
        <f t="shared" si="26"/>
        <v>2021</v>
      </c>
      <c r="AC870" s="22">
        <f t="shared" si="27"/>
        <v>0.83333333333333337</v>
      </c>
    </row>
    <row r="871" spans="1:29" ht="38.25">
      <c r="A871" s="8" t="s">
        <v>15494</v>
      </c>
      <c r="B871" s="17" t="s">
        <v>7800</v>
      </c>
      <c r="C871" s="13">
        <v>44273</v>
      </c>
      <c r="D871" s="13" t="s">
        <v>8465</v>
      </c>
      <c r="E871" s="10" t="s">
        <v>1690</v>
      </c>
      <c r="F871" s="10" t="s">
        <v>1889</v>
      </c>
      <c r="G871" s="11" t="s">
        <v>1890</v>
      </c>
      <c r="H871" s="2" t="s">
        <v>1050</v>
      </c>
      <c r="J871" s="18">
        <v>1</v>
      </c>
      <c r="L871" s="18">
        <v>1</v>
      </c>
      <c r="N871" s="13">
        <v>45145</v>
      </c>
      <c r="O871" s="29">
        <v>0</v>
      </c>
      <c r="P871" s="18" t="s">
        <v>1107</v>
      </c>
      <c r="Q871" s="18">
        <v>1</v>
      </c>
      <c r="R871" s="13">
        <v>45214</v>
      </c>
      <c r="S871" s="21">
        <f>2+50/60</f>
        <v>2.8333333333333335</v>
      </c>
      <c r="T871" s="22">
        <v>0.75</v>
      </c>
      <c r="U871" s="22">
        <v>0.78</v>
      </c>
      <c r="V871" s="22">
        <f>4.17/5</f>
        <v>0.83399999999999996</v>
      </c>
      <c r="W871" s="14" t="s">
        <v>7777</v>
      </c>
      <c r="AB871" s="18">
        <f t="shared" si="26"/>
        <v>2021</v>
      </c>
      <c r="AC871" s="22">
        <f t="shared" si="27"/>
        <v>0.78799999999999992</v>
      </c>
    </row>
    <row r="872" spans="1:29" ht="25.5">
      <c r="A872" s="8" t="s">
        <v>15140</v>
      </c>
      <c r="B872" s="17" t="s">
        <v>9440</v>
      </c>
      <c r="C872" s="13">
        <v>44259</v>
      </c>
      <c r="D872" s="13" t="s">
        <v>8465</v>
      </c>
      <c r="E872" s="10" t="s">
        <v>9417</v>
      </c>
      <c r="F872" s="10" t="s">
        <v>9418</v>
      </c>
      <c r="H872" s="2" t="s">
        <v>171</v>
      </c>
      <c r="L872" s="18">
        <v>1</v>
      </c>
      <c r="M872" s="14" t="s">
        <v>8462</v>
      </c>
      <c r="N872" s="13">
        <v>44080</v>
      </c>
      <c r="O872" s="29">
        <v>29.99</v>
      </c>
      <c r="P872" s="18" t="s">
        <v>14</v>
      </c>
      <c r="Q872" s="18">
        <v>1</v>
      </c>
      <c r="R872" s="13">
        <v>45097</v>
      </c>
      <c r="S872" s="21">
        <f>8+11/60+23/3600</f>
        <v>8.1897222222222226</v>
      </c>
      <c r="T872" s="22">
        <v>0.6</v>
      </c>
      <c r="U872" s="22">
        <v>0.75</v>
      </c>
      <c r="V872" s="22">
        <f>3.9/5</f>
        <v>0.78</v>
      </c>
      <c r="AB872" s="18">
        <f t="shared" si="26"/>
        <v>2021</v>
      </c>
      <c r="AC872" s="22">
        <f t="shared" si="27"/>
        <v>0.71</v>
      </c>
    </row>
    <row r="873" spans="1:29">
      <c r="A873" s="8" t="s">
        <v>9791</v>
      </c>
      <c r="B873" s="17" t="s">
        <v>7760</v>
      </c>
      <c r="C873" s="13">
        <v>44250</v>
      </c>
      <c r="D873" s="13" t="s">
        <v>8465</v>
      </c>
      <c r="E873" s="10" t="s">
        <v>228</v>
      </c>
      <c r="F873" s="10" t="s">
        <v>1471</v>
      </c>
      <c r="G873" s="11" t="s">
        <v>1171</v>
      </c>
      <c r="H873" s="2" t="s">
        <v>171</v>
      </c>
      <c r="L873" s="18">
        <v>1</v>
      </c>
      <c r="M873" s="14" t="s">
        <v>8462</v>
      </c>
      <c r="N873" s="13">
        <v>44175</v>
      </c>
      <c r="O873" s="29">
        <v>65.09</v>
      </c>
      <c r="P873" s="18" t="s">
        <v>14</v>
      </c>
      <c r="Q873" s="18">
        <v>1</v>
      </c>
      <c r="R873" s="13">
        <v>44296</v>
      </c>
      <c r="S873" s="21">
        <f>35+55/60</f>
        <v>35.916666666666664</v>
      </c>
      <c r="T873" s="22">
        <v>0.9</v>
      </c>
      <c r="U873" s="22">
        <v>0.84</v>
      </c>
      <c r="V873" s="22">
        <f>3.97/5</f>
        <v>0.79400000000000004</v>
      </c>
      <c r="AB873" s="18">
        <f t="shared" si="26"/>
        <v>2021</v>
      </c>
      <c r="AC873" s="22">
        <f t="shared" si="27"/>
        <v>0.84466666666666657</v>
      </c>
    </row>
    <row r="874" spans="1:29" ht="25.5">
      <c r="A874" s="8" t="s">
        <v>9773</v>
      </c>
      <c r="B874" s="17" t="s">
        <v>7744</v>
      </c>
      <c r="C874" s="13">
        <v>44239</v>
      </c>
      <c r="D874" s="13" t="s">
        <v>8465</v>
      </c>
      <c r="E874" s="10" t="s">
        <v>86</v>
      </c>
      <c r="F874" s="10" t="s">
        <v>1138</v>
      </c>
      <c r="G874" s="11" t="s">
        <v>137</v>
      </c>
      <c r="H874" s="2" t="s">
        <v>1040</v>
      </c>
      <c r="L874" s="18">
        <v>1</v>
      </c>
      <c r="M874" s="14" t="s">
        <v>8462</v>
      </c>
      <c r="N874" s="13">
        <v>44077</v>
      </c>
      <c r="O874" s="29">
        <v>65.09</v>
      </c>
      <c r="P874" s="18" t="s">
        <v>14</v>
      </c>
      <c r="Q874" s="18">
        <v>1</v>
      </c>
      <c r="R874" s="13">
        <v>44329</v>
      </c>
      <c r="S874" s="21">
        <v>5</v>
      </c>
      <c r="T874" s="22">
        <v>0.8</v>
      </c>
      <c r="U874" s="22">
        <v>0.89</v>
      </c>
      <c r="V874" s="22">
        <f>4.29/5</f>
        <v>0.85799999999999998</v>
      </c>
      <c r="AB874" s="18">
        <f t="shared" si="26"/>
        <v>2021</v>
      </c>
      <c r="AC874" s="22">
        <f t="shared" si="27"/>
        <v>0.84933333333333338</v>
      </c>
    </row>
    <row r="875" spans="1:29">
      <c r="A875" s="8" t="s">
        <v>9766</v>
      </c>
      <c r="B875" s="17" t="s">
        <v>7744</v>
      </c>
      <c r="C875" s="13">
        <v>44239</v>
      </c>
      <c r="D875" s="13" t="s">
        <v>8465</v>
      </c>
      <c r="E875" s="10" t="s">
        <v>7877</v>
      </c>
      <c r="F875" s="10" t="s">
        <v>1070</v>
      </c>
      <c r="G875" s="11" t="s">
        <v>9294</v>
      </c>
      <c r="H875" s="2" t="s">
        <v>1170</v>
      </c>
      <c r="L875" s="18">
        <v>1</v>
      </c>
      <c r="M875" s="14" t="s">
        <v>8462</v>
      </c>
      <c r="N875" s="13">
        <v>44173</v>
      </c>
      <c r="O875" s="29">
        <v>49.99</v>
      </c>
      <c r="P875" s="18" t="s">
        <v>14</v>
      </c>
      <c r="Q875" s="18">
        <v>1</v>
      </c>
      <c r="R875" s="13">
        <v>44336</v>
      </c>
      <c r="S875" s="21">
        <v>1</v>
      </c>
      <c r="T875" s="22">
        <v>0.3</v>
      </c>
      <c r="U875" s="22">
        <v>0.68</v>
      </c>
      <c r="V875" s="22">
        <f>3.96/5</f>
        <v>0.79200000000000004</v>
      </c>
      <c r="AB875" s="18">
        <f t="shared" si="26"/>
        <v>2021</v>
      </c>
      <c r="AC875" s="22">
        <f t="shared" si="27"/>
        <v>0.59066666666666667</v>
      </c>
    </row>
    <row r="876" spans="1:29">
      <c r="A876" s="8" t="s">
        <v>9735</v>
      </c>
      <c r="B876" s="17" t="s">
        <v>7760</v>
      </c>
      <c r="C876" s="13">
        <v>44229</v>
      </c>
      <c r="D876" s="13" t="s">
        <v>8465</v>
      </c>
      <c r="E876" s="10" t="s">
        <v>1062</v>
      </c>
      <c r="F876" s="10" t="s">
        <v>1245</v>
      </c>
      <c r="G876" s="11" t="s">
        <v>304</v>
      </c>
      <c r="H876" s="2" t="s">
        <v>171</v>
      </c>
      <c r="L876" s="18">
        <v>1</v>
      </c>
      <c r="M876" s="14" t="s">
        <v>8462</v>
      </c>
      <c r="N876" s="13">
        <v>44007</v>
      </c>
      <c r="O876" s="29">
        <v>65.09</v>
      </c>
      <c r="P876" s="18" t="s">
        <v>14</v>
      </c>
      <c r="Q876" s="18">
        <v>1</v>
      </c>
      <c r="R876" s="13">
        <v>44307</v>
      </c>
      <c r="S876" s="21">
        <f>26+58/60+9/3600</f>
        <v>26.969166666666666</v>
      </c>
      <c r="T876" s="22">
        <v>0.7</v>
      </c>
      <c r="U876" s="22">
        <v>0.8</v>
      </c>
      <c r="V876" s="22">
        <f>4.1/5</f>
        <v>0.82</v>
      </c>
      <c r="W876" s="14" t="s">
        <v>9736</v>
      </c>
      <c r="AB876" s="18">
        <f t="shared" si="26"/>
        <v>2021</v>
      </c>
      <c r="AC876" s="22">
        <f t="shared" si="27"/>
        <v>0.77333333333333332</v>
      </c>
    </row>
    <row r="877" spans="1:29">
      <c r="A877" s="8" t="s">
        <v>9731</v>
      </c>
      <c r="B877" s="17" t="s">
        <v>9440</v>
      </c>
      <c r="C877" s="13">
        <v>44224</v>
      </c>
      <c r="D877" s="13" t="s">
        <v>8465</v>
      </c>
      <c r="E877" s="10" t="s">
        <v>3048</v>
      </c>
      <c r="F877" s="10" t="s">
        <v>3048</v>
      </c>
      <c r="H877" s="2" t="s">
        <v>1061</v>
      </c>
      <c r="L877" s="18">
        <v>0</v>
      </c>
      <c r="Q877" s="18">
        <v>1</v>
      </c>
      <c r="R877" s="13">
        <v>44228</v>
      </c>
      <c r="S877" s="21">
        <f>6+32/60</f>
        <v>6.5333333333333332</v>
      </c>
      <c r="T877" s="22">
        <v>0.75</v>
      </c>
      <c r="U877" s="22">
        <v>0.71</v>
      </c>
      <c r="V877" s="22">
        <f>3.68/5</f>
        <v>0.73599999999999999</v>
      </c>
      <c r="W877" s="14" t="s">
        <v>8280</v>
      </c>
      <c r="AB877" s="18">
        <f t="shared" si="26"/>
        <v>2021</v>
      </c>
      <c r="AC877" s="22">
        <f t="shared" si="27"/>
        <v>0.73199999999999987</v>
      </c>
    </row>
    <row r="878" spans="1:29" ht="38.25">
      <c r="A878" s="8" t="s">
        <v>9719</v>
      </c>
      <c r="B878" s="17" t="s">
        <v>7744</v>
      </c>
      <c r="C878" s="13">
        <v>44222</v>
      </c>
      <c r="D878" s="13" t="s">
        <v>8465</v>
      </c>
      <c r="E878" s="10" t="s">
        <v>1565</v>
      </c>
      <c r="F878" s="10" t="s">
        <v>1566</v>
      </c>
      <c r="G878" s="11" t="s">
        <v>1567</v>
      </c>
      <c r="H878" s="2" t="s">
        <v>149</v>
      </c>
      <c r="L878" s="18">
        <v>1</v>
      </c>
      <c r="M878" s="14" t="s">
        <v>8462</v>
      </c>
      <c r="N878" s="13">
        <v>44124</v>
      </c>
      <c r="O878" s="29">
        <v>65.09</v>
      </c>
      <c r="P878" s="18" t="s">
        <v>14</v>
      </c>
      <c r="Q878" s="18">
        <v>1</v>
      </c>
      <c r="R878" s="13">
        <v>44286</v>
      </c>
      <c r="S878" s="21">
        <f>30+51/60+37/3600</f>
        <v>30.860277777777778</v>
      </c>
      <c r="T878" s="22">
        <v>0.75</v>
      </c>
      <c r="U878" s="22">
        <v>0.8</v>
      </c>
      <c r="V878" s="22">
        <f>4.1/5</f>
        <v>0.82</v>
      </c>
      <c r="AB878" s="18">
        <f t="shared" si="26"/>
        <v>2021</v>
      </c>
      <c r="AC878" s="22">
        <f t="shared" si="27"/>
        <v>0.79</v>
      </c>
    </row>
    <row r="879" spans="1:29" ht="30">
      <c r="A879" s="8" t="s">
        <v>9557</v>
      </c>
      <c r="B879" s="17" t="s">
        <v>7800</v>
      </c>
      <c r="C879" s="13">
        <v>44222</v>
      </c>
      <c r="D879" s="13" t="s">
        <v>8465</v>
      </c>
      <c r="E879" s="10" t="s">
        <v>4989</v>
      </c>
      <c r="F879" s="10" t="s">
        <v>9558</v>
      </c>
      <c r="H879" s="2" t="s">
        <v>56</v>
      </c>
      <c r="L879" s="18">
        <v>1</v>
      </c>
      <c r="N879" s="13">
        <v>44198</v>
      </c>
      <c r="O879" s="29">
        <v>14.99</v>
      </c>
      <c r="P879" s="18" t="s">
        <v>1107</v>
      </c>
      <c r="Q879" s="18">
        <v>1</v>
      </c>
      <c r="R879" s="13">
        <v>44227</v>
      </c>
      <c r="S879" s="21">
        <f>6+23/60+54/3600</f>
        <v>6.3983333333333334</v>
      </c>
      <c r="T879" s="22">
        <v>0.75</v>
      </c>
      <c r="U879" s="22">
        <v>0.81</v>
      </c>
      <c r="V879" s="22">
        <f>3.7/5</f>
        <v>0.74</v>
      </c>
      <c r="W879" s="14" t="s">
        <v>7777</v>
      </c>
      <c r="AB879" s="18">
        <f t="shared" si="26"/>
        <v>2021</v>
      </c>
      <c r="AC879" s="22">
        <f t="shared" si="27"/>
        <v>0.76666666666666661</v>
      </c>
    </row>
    <row r="880" spans="1:29">
      <c r="A880" s="8" t="s">
        <v>9568</v>
      </c>
      <c r="B880" s="17" t="s">
        <v>7800</v>
      </c>
      <c r="C880" s="13">
        <v>44216</v>
      </c>
      <c r="D880" s="13" t="s">
        <v>8465</v>
      </c>
      <c r="E880" s="10" t="s">
        <v>4118</v>
      </c>
      <c r="F880" s="10" t="s">
        <v>4118</v>
      </c>
      <c r="G880" s="11" t="s">
        <v>4117</v>
      </c>
      <c r="H880" s="2" t="s">
        <v>245</v>
      </c>
      <c r="L880" s="18">
        <v>1</v>
      </c>
      <c r="N880" s="13">
        <v>44209</v>
      </c>
      <c r="O880" s="29">
        <v>53.99</v>
      </c>
      <c r="P880" s="18" t="s">
        <v>1107</v>
      </c>
      <c r="Q880" s="18">
        <v>1</v>
      </c>
      <c r="R880" s="13">
        <v>44223</v>
      </c>
      <c r="S880" s="21">
        <f>7+54/60+39/3600</f>
        <v>7.9108333333333336</v>
      </c>
      <c r="T880" s="22">
        <v>0.75</v>
      </c>
      <c r="U880" s="22">
        <v>0.88</v>
      </c>
      <c r="V880" s="22">
        <f>4/5</f>
        <v>0.8</v>
      </c>
      <c r="W880" s="14" t="s">
        <v>7097</v>
      </c>
      <c r="AB880" s="18">
        <f t="shared" si="26"/>
        <v>2021</v>
      </c>
      <c r="AC880" s="22">
        <f t="shared" si="27"/>
        <v>0.80999999999999994</v>
      </c>
    </row>
    <row r="881" spans="1:29">
      <c r="A881" s="9" t="s">
        <v>10764</v>
      </c>
      <c r="B881" s="17" t="s">
        <v>7800</v>
      </c>
      <c r="C881" s="13">
        <v>44210</v>
      </c>
      <c r="D881" s="13" t="s">
        <v>8465</v>
      </c>
      <c r="E881" s="10" t="s">
        <v>1559</v>
      </c>
      <c r="F881" s="10" t="s">
        <v>1559</v>
      </c>
      <c r="H881" s="2" t="s">
        <v>67</v>
      </c>
      <c r="L881" s="18">
        <v>1</v>
      </c>
      <c r="N881" s="13">
        <v>44533</v>
      </c>
      <c r="O881" s="29">
        <v>0</v>
      </c>
      <c r="P881" s="18" t="s">
        <v>1107</v>
      </c>
      <c r="Q881" s="18">
        <v>1</v>
      </c>
      <c r="R881" s="13">
        <v>45209</v>
      </c>
      <c r="S881" s="21">
        <f>33/60</f>
        <v>0.55000000000000004</v>
      </c>
      <c r="T881" s="22">
        <v>0.2</v>
      </c>
      <c r="U881" s="22">
        <v>0.83</v>
      </c>
      <c r="V881" s="22">
        <f>3/5</f>
        <v>0.6</v>
      </c>
      <c r="W881" s="14" t="s">
        <v>7777</v>
      </c>
      <c r="AB881" s="18">
        <f t="shared" si="26"/>
        <v>2021</v>
      </c>
      <c r="AC881" s="22">
        <f t="shared" si="27"/>
        <v>0.54333333333333333</v>
      </c>
    </row>
    <row r="882" spans="1:29" ht="38.25">
      <c r="A882" s="8" t="s">
        <v>9569</v>
      </c>
      <c r="B882" s="17" t="s">
        <v>7800</v>
      </c>
      <c r="C882" s="13">
        <v>44210</v>
      </c>
      <c r="D882" s="13" t="s">
        <v>8465</v>
      </c>
      <c r="E882" s="10" t="s">
        <v>1047</v>
      </c>
      <c r="F882" s="10" t="s">
        <v>1048</v>
      </c>
      <c r="G882" s="11" t="s">
        <v>9570</v>
      </c>
      <c r="H882" s="2" t="s">
        <v>153</v>
      </c>
      <c r="L882" s="18">
        <v>1</v>
      </c>
      <c r="N882" s="13">
        <v>44210</v>
      </c>
      <c r="O882" s="29">
        <v>13.73</v>
      </c>
      <c r="P882" s="18" t="s">
        <v>1107</v>
      </c>
      <c r="Q882" s="18">
        <v>1</v>
      </c>
      <c r="R882" s="13">
        <v>44216</v>
      </c>
      <c r="S882" s="21">
        <f>4+43/60</f>
        <v>4.7166666666666668</v>
      </c>
      <c r="T882" s="22">
        <v>0.7</v>
      </c>
      <c r="U882" s="22">
        <v>0.73</v>
      </c>
      <c r="V882" s="22">
        <f>3.9/5</f>
        <v>0.78</v>
      </c>
      <c r="W882" s="14" t="s">
        <v>7798</v>
      </c>
      <c r="AB882" s="18">
        <f t="shared" si="26"/>
        <v>2021</v>
      </c>
      <c r="AC882" s="22">
        <f t="shared" si="27"/>
        <v>0.73666666666666669</v>
      </c>
    </row>
    <row r="883" spans="1:29" ht="25.5">
      <c r="A883" s="8" t="s">
        <v>12965</v>
      </c>
      <c r="B883" s="17" t="s">
        <v>7744</v>
      </c>
      <c r="C883" s="13">
        <v>44189</v>
      </c>
      <c r="D883" s="13" t="s">
        <v>9335</v>
      </c>
      <c r="E883" s="10" t="s">
        <v>2298</v>
      </c>
      <c r="F883" s="10" t="s">
        <v>7985</v>
      </c>
      <c r="G883" s="11" t="s">
        <v>665</v>
      </c>
      <c r="H883" s="2" t="s">
        <v>1168</v>
      </c>
      <c r="K883" s="18">
        <v>2</v>
      </c>
      <c r="L883" s="18">
        <v>1</v>
      </c>
      <c r="M883" s="14" t="s">
        <v>8462</v>
      </c>
      <c r="N883" s="13">
        <v>44878</v>
      </c>
      <c r="O883" s="29">
        <v>32.99</v>
      </c>
      <c r="P883" s="18" t="s">
        <v>14</v>
      </c>
      <c r="Q883" s="18">
        <v>0</v>
      </c>
      <c r="U883" s="22">
        <v>0.69</v>
      </c>
      <c r="V883" s="22">
        <f>4.13/5</f>
        <v>0.82599999999999996</v>
      </c>
      <c r="X883" s="3">
        <v>2</v>
      </c>
      <c r="Z883" s="23">
        <v>12</v>
      </c>
      <c r="AB883" s="18">
        <f t="shared" si="26"/>
        <v>2020</v>
      </c>
      <c r="AC883" s="22">
        <f t="shared" si="27"/>
        <v>0.6386666666666666</v>
      </c>
    </row>
    <row r="884" spans="1:29" ht="25.5">
      <c r="A884" s="8" t="s">
        <v>13005</v>
      </c>
      <c r="B884" s="17" t="s">
        <v>7800</v>
      </c>
      <c r="C884" s="13">
        <v>44188</v>
      </c>
      <c r="D884" s="13" t="s">
        <v>8465</v>
      </c>
      <c r="E884" s="10" t="s">
        <v>5205</v>
      </c>
      <c r="F884" s="10" t="s">
        <v>5205</v>
      </c>
      <c r="G884" s="11" t="s">
        <v>5206</v>
      </c>
      <c r="H884" s="2" t="s">
        <v>64</v>
      </c>
      <c r="L884" s="18">
        <v>1</v>
      </c>
      <c r="N884" s="13">
        <v>44912</v>
      </c>
      <c r="O884" s="29">
        <v>2.79</v>
      </c>
      <c r="P884" s="18" t="s">
        <v>1107</v>
      </c>
      <c r="Q884" s="18">
        <v>0</v>
      </c>
      <c r="U884" s="22">
        <v>0.7</v>
      </c>
      <c r="V884" s="22">
        <f>3.2/5</f>
        <v>0.64</v>
      </c>
      <c r="W884" s="14" t="s">
        <v>7097</v>
      </c>
      <c r="X884" s="3">
        <v>3</v>
      </c>
      <c r="Z884" s="23">
        <v>4</v>
      </c>
      <c r="AB884" s="18">
        <f t="shared" si="26"/>
        <v>2020</v>
      </c>
      <c r="AC884" s="22">
        <f t="shared" si="27"/>
        <v>0.64666666666666661</v>
      </c>
    </row>
    <row r="885" spans="1:29" ht="25.5">
      <c r="A885" s="8" t="s">
        <v>15556</v>
      </c>
      <c r="B885" s="17" t="s">
        <v>7800</v>
      </c>
      <c r="C885" s="13">
        <v>44187</v>
      </c>
      <c r="D885" s="13" t="s">
        <v>8465</v>
      </c>
      <c r="E885" s="10" t="s">
        <v>7894</v>
      </c>
      <c r="F885" s="10" t="s">
        <v>15558</v>
      </c>
      <c r="G885" s="11" t="s">
        <v>15557</v>
      </c>
      <c r="H885" s="2" t="s">
        <v>459</v>
      </c>
      <c r="L885" s="18">
        <v>1</v>
      </c>
      <c r="N885" s="13">
        <v>45159</v>
      </c>
      <c r="O885" s="29">
        <v>2.2000000000000002</v>
      </c>
      <c r="P885" s="18" t="s">
        <v>1107</v>
      </c>
      <c r="Q885" s="18">
        <v>0</v>
      </c>
      <c r="U885" s="22">
        <v>0.61</v>
      </c>
      <c r="V885" s="22">
        <f>1.5/5</f>
        <v>0.3</v>
      </c>
      <c r="W885" s="14" t="s">
        <v>7777</v>
      </c>
      <c r="X885" s="3">
        <v>2</v>
      </c>
      <c r="Z885" s="23">
        <v>15</v>
      </c>
      <c r="AB885" s="18">
        <f t="shared" si="26"/>
        <v>2020</v>
      </c>
      <c r="AC885" s="22">
        <f t="shared" si="27"/>
        <v>0.4366666666666667</v>
      </c>
    </row>
    <row r="886" spans="1:29">
      <c r="A886" s="8" t="s">
        <v>15524</v>
      </c>
      <c r="B886" s="17" t="s">
        <v>7800</v>
      </c>
      <c r="C886" s="13">
        <v>44183</v>
      </c>
      <c r="D886" s="13" t="s">
        <v>8465</v>
      </c>
      <c r="E886" s="10" t="s">
        <v>7300</v>
      </c>
      <c r="F886" s="10" t="s">
        <v>8605</v>
      </c>
      <c r="H886" s="2" t="s">
        <v>80</v>
      </c>
      <c r="L886" s="18">
        <v>1</v>
      </c>
      <c r="N886" s="13">
        <v>45153</v>
      </c>
      <c r="O886" s="29">
        <v>4.99</v>
      </c>
      <c r="P886" s="18" t="s">
        <v>1107</v>
      </c>
      <c r="Q886" s="18">
        <v>0</v>
      </c>
      <c r="U886" s="22">
        <v>0.74</v>
      </c>
      <c r="V886" s="22">
        <f>3.64/5</f>
        <v>0.72799999999999998</v>
      </c>
      <c r="W886" s="14" t="s">
        <v>7777</v>
      </c>
      <c r="X886" s="3">
        <v>3</v>
      </c>
      <c r="Z886" s="23">
        <v>3</v>
      </c>
      <c r="AB886" s="18">
        <f t="shared" si="26"/>
        <v>2020</v>
      </c>
      <c r="AC886" s="22">
        <f t="shared" si="27"/>
        <v>0.68933333333333335</v>
      </c>
    </row>
    <row r="887" spans="1:29">
      <c r="A887" s="8" t="s">
        <v>15891</v>
      </c>
      <c r="B887" s="17" t="s">
        <v>13485</v>
      </c>
      <c r="C887" s="13">
        <v>44183</v>
      </c>
      <c r="D887" s="13" t="s">
        <v>8465</v>
      </c>
      <c r="E887" s="10" t="s">
        <v>15889</v>
      </c>
      <c r="F887" s="10" t="s">
        <v>15892</v>
      </c>
      <c r="G887" s="11" t="s">
        <v>15868</v>
      </c>
      <c r="H887" s="2" t="s">
        <v>1267</v>
      </c>
      <c r="L887" s="18">
        <v>0</v>
      </c>
      <c r="Q887" s="18">
        <v>0</v>
      </c>
      <c r="X887" s="3">
        <v>2</v>
      </c>
      <c r="AB887" s="18">
        <f t="shared" si="26"/>
        <v>2020</v>
      </c>
      <c r="AC887" s="22">
        <f t="shared" si="27"/>
        <v>0.4</v>
      </c>
    </row>
    <row r="888" spans="1:29">
      <c r="A888" s="8" t="s">
        <v>11098</v>
      </c>
      <c r="B888" s="17" t="s">
        <v>7800</v>
      </c>
      <c r="C888" s="13">
        <v>44180</v>
      </c>
      <c r="D888" s="13" t="s">
        <v>8465</v>
      </c>
      <c r="E888" s="10" t="s">
        <v>11099</v>
      </c>
      <c r="F888" s="10" t="s">
        <v>11100</v>
      </c>
      <c r="H888" s="2" t="s">
        <v>1334</v>
      </c>
      <c r="L888" s="18">
        <v>1</v>
      </c>
      <c r="N888" s="13">
        <v>44593</v>
      </c>
      <c r="O888" s="29">
        <v>11.99</v>
      </c>
      <c r="P888" s="18" t="s">
        <v>1107</v>
      </c>
      <c r="Q888" s="18">
        <v>0</v>
      </c>
      <c r="U888" s="22">
        <v>0.56999999999999995</v>
      </c>
      <c r="V888" s="22">
        <f>2.88/5</f>
        <v>0.57599999999999996</v>
      </c>
      <c r="W888" s="14" t="s">
        <v>7777</v>
      </c>
      <c r="X888" s="3">
        <v>3</v>
      </c>
      <c r="Z888" s="23">
        <v>4.5</v>
      </c>
      <c r="AB888" s="18">
        <f t="shared" si="26"/>
        <v>2020</v>
      </c>
      <c r="AC888" s="22">
        <f t="shared" si="27"/>
        <v>0.58199999999999996</v>
      </c>
    </row>
    <row r="889" spans="1:29" ht="30">
      <c r="A889" s="8" t="s">
        <v>10170</v>
      </c>
      <c r="B889" s="17" t="s">
        <v>7744</v>
      </c>
      <c r="C889" s="13">
        <v>44176</v>
      </c>
      <c r="D889" s="13" t="s">
        <v>8467</v>
      </c>
      <c r="E889" s="10" t="s">
        <v>1740</v>
      </c>
      <c r="F889" s="10" t="s">
        <v>10171</v>
      </c>
      <c r="G889" s="11" t="s">
        <v>1088</v>
      </c>
      <c r="H889" s="2" t="s">
        <v>6510</v>
      </c>
      <c r="L889" s="18">
        <v>1</v>
      </c>
      <c r="M889" s="14" t="s">
        <v>8462</v>
      </c>
      <c r="N889" s="13">
        <v>44010</v>
      </c>
      <c r="O889" s="29">
        <v>80.989999999999995</v>
      </c>
      <c r="P889" s="18" t="s">
        <v>14</v>
      </c>
      <c r="Q889" s="18">
        <v>0</v>
      </c>
      <c r="V889" s="22">
        <f>3.89/5</f>
        <v>0.77800000000000002</v>
      </c>
      <c r="W889" s="14" t="s">
        <v>1740</v>
      </c>
      <c r="X889" s="3">
        <v>1</v>
      </c>
      <c r="Z889" s="23">
        <f>26/60+32/60+5+1+21/60</f>
        <v>7.3166666666666664</v>
      </c>
      <c r="AB889" s="18">
        <f t="shared" si="26"/>
        <v>2020</v>
      </c>
      <c r="AC889" s="22">
        <f t="shared" si="27"/>
        <v>0.48899999999999999</v>
      </c>
    </row>
    <row r="890" spans="1:29">
      <c r="A890" s="8" t="s">
        <v>12219</v>
      </c>
      <c r="B890" s="17" t="s">
        <v>7744</v>
      </c>
      <c r="C890" s="13">
        <v>44175</v>
      </c>
      <c r="D890" s="13" t="s">
        <v>8465</v>
      </c>
      <c r="E890" s="10" t="s">
        <v>2127</v>
      </c>
      <c r="F890" s="10" t="s">
        <v>2127</v>
      </c>
      <c r="G890" s="11" t="s">
        <v>4707</v>
      </c>
      <c r="H890" s="2" t="s">
        <v>78</v>
      </c>
      <c r="L890" s="18">
        <v>1</v>
      </c>
      <c r="N890" s="13">
        <v>44774</v>
      </c>
      <c r="O890" s="29">
        <v>3.92</v>
      </c>
      <c r="P890" s="18" t="s">
        <v>1107</v>
      </c>
      <c r="Q890" s="18">
        <v>0</v>
      </c>
      <c r="U890" s="22">
        <v>0.78</v>
      </c>
      <c r="V890" s="22">
        <f>4/5</f>
        <v>0.8</v>
      </c>
      <c r="X890" s="3">
        <v>3</v>
      </c>
      <c r="AB890" s="18">
        <f t="shared" si="26"/>
        <v>2020</v>
      </c>
      <c r="AC890" s="22">
        <f t="shared" si="27"/>
        <v>0.72666666666666668</v>
      </c>
    </row>
    <row r="891" spans="1:29">
      <c r="A891" s="8" t="s">
        <v>13441</v>
      </c>
      <c r="B891" s="17" t="s">
        <v>7800</v>
      </c>
      <c r="C891" s="13">
        <v>44175</v>
      </c>
      <c r="D891" s="13" t="s">
        <v>8465</v>
      </c>
      <c r="E891" s="10" t="s">
        <v>12148</v>
      </c>
      <c r="F891" s="10" t="s">
        <v>13442</v>
      </c>
      <c r="H891" s="2" t="s">
        <v>64</v>
      </c>
      <c r="L891" s="18">
        <v>1</v>
      </c>
      <c r="N891" s="13">
        <v>44964</v>
      </c>
      <c r="O891" s="29">
        <v>0</v>
      </c>
      <c r="P891" s="18" t="s">
        <v>1107</v>
      </c>
      <c r="Q891" s="18">
        <v>0</v>
      </c>
      <c r="U891" s="22">
        <v>0.78</v>
      </c>
      <c r="V891" s="22">
        <f>3.79/5</f>
        <v>0.75800000000000001</v>
      </c>
      <c r="W891" s="14" t="s">
        <v>7777</v>
      </c>
      <c r="X891" s="3">
        <v>3</v>
      </c>
      <c r="Z891" s="23">
        <v>5</v>
      </c>
      <c r="AB891" s="18">
        <f t="shared" si="26"/>
        <v>2020</v>
      </c>
      <c r="AC891" s="22">
        <f t="shared" si="27"/>
        <v>0.71266666666666667</v>
      </c>
    </row>
    <row r="892" spans="1:29" ht="25.5">
      <c r="A892" s="8" t="s">
        <v>10958</v>
      </c>
      <c r="B892" s="17" t="s">
        <v>7744</v>
      </c>
      <c r="C892" s="13">
        <v>44175</v>
      </c>
      <c r="D892" s="13" t="s">
        <v>8463</v>
      </c>
      <c r="E892" s="10" t="s">
        <v>8708</v>
      </c>
      <c r="F892" s="10" t="s">
        <v>8708</v>
      </c>
      <c r="G892" s="11" t="s">
        <v>7405</v>
      </c>
      <c r="H892" s="2" t="s">
        <v>1469</v>
      </c>
      <c r="K892" s="18">
        <v>2</v>
      </c>
      <c r="L892" s="18">
        <v>1</v>
      </c>
      <c r="M892" s="14" t="s">
        <v>8462</v>
      </c>
      <c r="N892" s="13">
        <v>44483</v>
      </c>
      <c r="O892" s="29">
        <v>19.989999999999998</v>
      </c>
      <c r="P892" s="18" t="s">
        <v>14</v>
      </c>
      <c r="Q892" s="18">
        <v>0</v>
      </c>
      <c r="V892" s="22">
        <f>4.17/5</f>
        <v>0.83399999999999996</v>
      </c>
      <c r="X892" s="3">
        <v>2</v>
      </c>
      <c r="AB892" s="18">
        <f t="shared" si="26"/>
        <v>2020</v>
      </c>
      <c r="AC892" s="22">
        <f t="shared" si="27"/>
        <v>0.61699999999999999</v>
      </c>
    </row>
    <row r="893" spans="1:29">
      <c r="A893" s="8" t="s">
        <v>13805</v>
      </c>
      <c r="B893" s="17" t="s">
        <v>7744</v>
      </c>
      <c r="C893" s="13">
        <v>44175</v>
      </c>
      <c r="D893" s="13" t="s">
        <v>8465</v>
      </c>
      <c r="E893" s="10" t="s">
        <v>13806</v>
      </c>
      <c r="F893" s="10" t="s">
        <v>13807</v>
      </c>
      <c r="H893" s="2" t="s">
        <v>56</v>
      </c>
      <c r="L893" s="18">
        <v>1</v>
      </c>
      <c r="N893" s="13">
        <v>45006</v>
      </c>
      <c r="O893" s="29">
        <v>2.99</v>
      </c>
      <c r="P893" s="18" t="s">
        <v>1107</v>
      </c>
      <c r="Q893" s="18">
        <v>0</v>
      </c>
      <c r="U893" s="22">
        <v>0.72</v>
      </c>
      <c r="V893" s="22">
        <f>3.67/5</f>
        <v>0.73399999999999999</v>
      </c>
      <c r="X893" s="3">
        <v>2</v>
      </c>
      <c r="Z893" s="23">
        <v>2</v>
      </c>
      <c r="AB893" s="18">
        <f t="shared" si="26"/>
        <v>2020</v>
      </c>
      <c r="AC893" s="22">
        <f t="shared" si="27"/>
        <v>0.61799999999999999</v>
      </c>
    </row>
    <row r="894" spans="1:29">
      <c r="A894" s="8" t="s">
        <v>10838</v>
      </c>
      <c r="B894" s="17" t="s">
        <v>7800</v>
      </c>
      <c r="C894" s="13">
        <v>44175</v>
      </c>
      <c r="D894" s="13" t="s">
        <v>8465</v>
      </c>
      <c r="E894" s="10" t="s">
        <v>3047</v>
      </c>
      <c r="F894" s="10" t="s">
        <v>10843</v>
      </c>
      <c r="H894" s="2" t="s">
        <v>78</v>
      </c>
      <c r="L894" s="18">
        <v>1</v>
      </c>
      <c r="O894" s="29">
        <v>0</v>
      </c>
      <c r="P894" s="18" t="s">
        <v>1107</v>
      </c>
      <c r="Q894" s="18">
        <v>0</v>
      </c>
      <c r="U894" s="22">
        <v>0.74</v>
      </c>
      <c r="V894" s="22">
        <f>3.5/5</f>
        <v>0.7</v>
      </c>
      <c r="W894" s="14" t="s">
        <v>7799</v>
      </c>
      <c r="X894" s="3">
        <v>2</v>
      </c>
      <c r="Z894" s="23">
        <v>3</v>
      </c>
      <c r="AB894" s="18">
        <f t="shared" si="26"/>
        <v>2020</v>
      </c>
      <c r="AC894" s="22">
        <f t="shared" si="27"/>
        <v>0.61333333333333329</v>
      </c>
    </row>
    <row r="895" spans="1:29">
      <c r="A895" s="8" t="s">
        <v>11611</v>
      </c>
      <c r="B895" s="17" t="s">
        <v>7800</v>
      </c>
      <c r="C895" s="13">
        <v>44173</v>
      </c>
      <c r="D895" s="13" t="s">
        <v>8465</v>
      </c>
      <c r="E895" s="10" t="s">
        <v>1634</v>
      </c>
      <c r="F895" s="10" t="s">
        <v>11612</v>
      </c>
      <c r="H895" s="2" t="s">
        <v>149</v>
      </c>
      <c r="L895" s="18">
        <v>1</v>
      </c>
      <c r="N895" s="13">
        <v>44656</v>
      </c>
      <c r="O895" s="29">
        <v>11.99</v>
      </c>
      <c r="P895" s="18" t="s">
        <v>1107</v>
      </c>
      <c r="Q895" s="18">
        <v>0</v>
      </c>
      <c r="U895" s="22">
        <v>0.8</v>
      </c>
      <c r="V895" s="22">
        <f>3.64/5</f>
        <v>0.72799999999999998</v>
      </c>
      <c r="W895" s="14" t="s">
        <v>7777</v>
      </c>
      <c r="X895" s="3">
        <v>3</v>
      </c>
      <c r="Z895" s="23">
        <v>29.5</v>
      </c>
      <c r="AB895" s="18">
        <f t="shared" si="26"/>
        <v>2020</v>
      </c>
      <c r="AC895" s="22">
        <f t="shared" si="27"/>
        <v>0.70933333333333337</v>
      </c>
    </row>
    <row r="896" spans="1:29">
      <c r="A896" s="8" t="s">
        <v>9497</v>
      </c>
      <c r="B896" s="17" t="s">
        <v>9431</v>
      </c>
      <c r="C896" s="13">
        <v>44173</v>
      </c>
      <c r="D896" s="13" t="s">
        <v>8465</v>
      </c>
      <c r="E896" s="10" t="s">
        <v>455</v>
      </c>
      <c r="F896" s="10" t="s">
        <v>455</v>
      </c>
      <c r="G896" s="11" t="s">
        <v>1211</v>
      </c>
      <c r="H896" s="2" t="s">
        <v>78</v>
      </c>
      <c r="L896" s="18">
        <v>1</v>
      </c>
      <c r="M896" s="14" t="s">
        <v>8462</v>
      </c>
      <c r="N896" s="13">
        <v>44070</v>
      </c>
      <c r="O896" s="29">
        <v>43.39</v>
      </c>
      <c r="P896" s="18" t="s">
        <v>14</v>
      </c>
      <c r="Q896" s="18">
        <v>0</v>
      </c>
      <c r="U896" s="22">
        <v>0.77</v>
      </c>
      <c r="V896" s="22">
        <f>3.05/5</f>
        <v>0.61</v>
      </c>
      <c r="X896" s="3">
        <v>3</v>
      </c>
      <c r="Z896" s="23">
        <v>8</v>
      </c>
      <c r="AB896" s="18">
        <f t="shared" si="26"/>
        <v>2020</v>
      </c>
      <c r="AC896" s="22">
        <f t="shared" si="27"/>
        <v>0.66</v>
      </c>
    </row>
    <row r="897" spans="1:29">
      <c r="A897" s="8" t="s">
        <v>14100</v>
      </c>
      <c r="B897" s="17" t="s">
        <v>7800</v>
      </c>
      <c r="C897" s="13">
        <v>44172</v>
      </c>
      <c r="D897" s="13" t="s">
        <v>8465</v>
      </c>
      <c r="E897" s="10" t="s">
        <v>14101</v>
      </c>
      <c r="F897" s="10" t="s">
        <v>14101</v>
      </c>
      <c r="H897" s="2" t="s">
        <v>27</v>
      </c>
      <c r="L897" s="18">
        <v>1</v>
      </c>
      <c r="O897" s="29">
        <v>0</v>
      </c>
      <c r="P897" s="18" t="s">
        <v>1107</v>
      </c>
      <c r="Q897" s="18">
        <v>0</v>
      </c>
      <c r="V897" s="22">
        <f>3/5</f>
        <v>0.6</v>
      </c>
      <c r="W897" s="14" t="s">
        <v>8765</v>
      </c>
      <c r="X897" s="3">
        <v>2</v>
      </c>
      <c r="Z897" s="23">
        <v>2</v>
      </c>
      <c r="AB897" s="18">
        <f t="shared" si="26"/>
        <v>2020</v>
      </c>
      <c r="AC897" s="22">
        <f t="shared" si="27"/>
        <v>0.5</v>
      </c>
    </row>
    <row r="898" spans="1:29" ht="25.5">
      <c r="A898" s="8" t="s">
        <v>15864</v>
      </c>
      <c r="B898" s="17" t="s">
        <v>7800</v>
      </c>
      <c r="C898" s="13">
        <v>44170</v>
      </c>
      <c r="D898" s="13" t="s">
        <v>8465</v>
      </c>
      <c r="E898" s="10" t="s">
        <v>12543</v>
      </c>
      <c r="F898" s="10" t="s">
        <v>12543</v>
      </c>
      <c r="G898" s="11" t="s">
        <v>15865</v>
      </c>
      <c r="H898" s="2" t="s">
        <v>1050</v>
      </c>
      <c r="L898" s="18">
        <v>1</v>
      </c>
      <c r="N898" s="13">
        <v>45193</v>
      </c>
      <c r="O898" s="29">
        <v>0</v>
      </c>
      <c r="P898" s="18" t="s">
        <v>1107</v>
      </c>
      <c r="Q898" s="18">
        <v>0</v>
      </c>
      <c r="W898" s="14" t="s">
        <v>7777</v>
      </c>
      <c r="X898" s="3">
        <v>2</v>
      </c>
      <c r="Z898" s="23">
        <v>1.5</v>
      </c>
      <c r="AB898" s="18">
        <f t="shared" ref="AB898:AB961" si="28">IFERROR(YEAR(C898), "Early Access")</f>
        <v>2020</v>
      </c>
      <c r="AC898" s="22">
        <f t="shared" ref="AC898:AC961" si="29">AVERAGE(T898, U898, V898, IF(ISBLANK(X898), X898, X898/5))</f>
        <v>0.4</v>
      </c>
    </row>
    <row r="899" spans="1:29">
      <c r="A899" s="8" t="s">
        <v>12120</v>
      </c>
      <c r="B899" s="17" t="s">
        <v>7800</v>
      </c>
      <c r="C899" s="13">
        <v>44169</v>
      </c>
      <c r="D899" s="13" t="s">
        <v>8465</v>
      </c>
      <c r="E899" s="10" t="s">
        <v>12121</v>
      </c>
      <c r="F899" s="10" t="s">
        <v>12121</v>
      </c>
      <c r="H899" s="2" t="s">
        <v>67</v>
      </c>
      <c r="L899" s="18">
        <v>1</v>
      </c>
      <c r="O899" s="29">
        <v>0</v>
      </c>
      <c r="P899" s="18" t="s">
        <v>1107</v>
      </c>
      <c r="Q899" s="18">
        <v>0</v>
      </c>
      <c r="W899" s="14" t="s">
        <v>8765</v>
      </c>
      <c r="X899" s="3">
        <v>4</v>
      </c>
      <c r="Z899" s="23">
        <f>56/60</f>
        <v>0.93333333333333335</v>
      </c>
      <c r="AB899" s="18">
        <f t="shared" si="28"/>
        <v>2020</v>
      </c>
      <c r="AC899" s="22">
        <f t="shared" si="29"/>
        <v>0.8</v>
      </c>
    </row>
    <row r="900" spans="1:29" ht="38.25">
      <c r="A900" s="8" t="s">
        <v>13024</v>
      </c>
      <c r="B900" s="17" t="s">
        <v>7744</v>
      </c>
      <c r="C900" s="13">
        <v>44169</v>
      </c>
      <c r="D900" s="13" t="s">
        <v>8467</v>
      </c>
      <c r="E900" s="10" t="s">
        <v>1082</v>
      </c>
      <c r="F900" s="10" t="s">
        <v>1082</v>
      </c>
      <c r="G900" s="11" t="s">
        <v>126</v>
      </c>
      <c r="H900" s="2" t="s">
        <v>149</v>
      </c>
      <c r="L900" s="18">
        <v>1</v>
      </c>
      <c r="M900" s="14" t="s">
        <v>8462</v>
      </c>
      <c r="N900" s="13">
        <v>44916</v>
      </c>
      <c r="O900" s="29">
        <v>31.59</v>
      </c>
      <c r="P900" s="18" t="s">
        <v>14</v>
      </c>
      <c r="Q900" s="18">
        <v>0</v>
      </c>
      <c r="V900" s="22">
        <f>4.31/5</f>
        <v>0.86199999999999988</v>
      </c>
      <c r="X900" s="3">
        <v>3</v>
      </c>
      <c r="Z900" s="23">
        <f>36.5+40</f>
        <v>76.5</v>
      </c>
      <c r="AB900" s="18">
        <f t="shared" si="28"/>
        <v>2020</v>
      </c>
      <c r="AC900" s="22">
        <f t="shared" si="29"/>
        <v>0.73099999999999987</v>
      </c>
    </row>
    <row r="901" spans="1:29" ht="38.25">
      <c r="A901" s="8" t="s">
        <v>9395</v>
      </c>
      <c r="B901" s="17" t="s">
        <v>7744</v>
      </c>
      <c r="C901" s="13">
        <v>44169</v>
      </c>
      <c r="D901" s="13" t="s">
        <v>8465</v>
      </c>
      <c r="E901" s="10" t="s">
        <v>86</v>
      </c>
      <c r="F901" s="10" t="s">
        <v>1069</v>
      </c>
      <c r="G901" s="11" t="s">
        <v>305</v>
      </c>
      <c r="H901" s="2" t="s">
        <v>75</v>
      </c>
      <c r="L901" s="18">
        <v>1</v>
      </c>
      <c r="N901" s="13">
        <v>44126</v>
      </c>
      <c r="O901" s="29">
        <v>5.99</v>
      </c>
      <c r="P901" s="18" t="s">
        <v>1107</v>
      </c>
      <c r="Q901" s="18">
        <v>0</v>
      </c>
      <c r="U901" s="22">
        <v>0.63</v>
      </c>
      <c r="V901" s="22">
        <f>3.41/5</f>
        <v>0.68200000000000005</v>
      </c>
      <c r="X901" s="3">
        <v>3</v>
      </c>
      <c r="Z901" s="23">
        <v>28</v>
      </c>
      <c r="AB901" s="18">
        <f t="shared" si="28"/>
        <v>2020</v>
      </c>
      <c r="AC901" s="22">
        <f t="shared" si="29"/>
        <v>0.63733333333333331</v>
      </c>
    </row>
    <row r="902" spans="1:29">
      <c r="A902" s="8" t="s">
        <v>13548</v>
      </c>
      <c r="B902" s="17" t="s">
        <v>7800</v>
      </c>
      <c r="C902" s="13">
        <v>44169</v>
      </c>
      <c r="D902" s="13" t="s">
        <v>8465</v>
      </c>
      <c r="E902" s="10" t="s">
        <v>13553</v>
      </c>
      <c r="F902" s="10" t="s">
        <v>13553</v>
      </c>
      <c r="H902" s="2" t="s">
        <v>67</v>
      </c>
      <c r="L902" s="18">
        <v>1</v>
      </c>
      <c r="O902" s="29">
        <v>0</v>
      </c>
      <c r="P902" s="18" t="s">
        <v>1107</v>
      </c>
      <c r="Q902" s="18">
        <v>0</v>
      </c>
      <c r="V902" s="22">
        <f>2.75/5</f>
        <v>0.55000000000000004</v>
      </c>
      <c r="W902" s="14" t="s">
        <v>3069</v>
      </c>
      <c r="X902" s="3">
        <v>2</v>
      </c>
      <c r="Z902" s="23">
        <f>27/60</f>
        <v>0.45</v>
      </c>
      <c r="AB902" s="18">
        <f t="shared" si="28"/>
        <v>2020</v>
      </c>
      <c r="AC902" s="22">
        <f t="shared" si="29"/>
        <v>0.47500000000000003</v>
      </c>
    </row>
    <row r="903" spans="1:29" ht="25.5">
      <c r="A903" s="8" t="s">
        <v>11665</v>
      </c>
      <c r="B903" s="17" t="s">
        <v>7800</v>
      </c>
      <c r="C903" s="13">
        <v>44168</v>
      </c>
      <c r="D903" s="13" t="s">
        <v>8465</v>
      </c>
      <c r="E903" s="10" t="s">
        <v>3984</v>
      </c>
      <c r="F903" s="10" t="s">
        <v>11666</v>
      </c>
      <c r="H903" s="2" t="s">
        <v>245</v>
      </c>
      <c r="L903" s="18">
        <v>1</v>
      </c>
      <c r="N903" s="13">
        <v>44673</v>
      </c>
      <c r="O903" s="29">
        <v>0</v>
      </c>
      <c r="P903" s="18" t="s">
        <v>1107</v>
      </c>
      <c r="Q903" s="18">
        <v>0</v>
      </c>
      <c r="U903" s="22">
        <v>0.74</v>
      </c>
      <c r="V903" s="22">
        <f>2/5</f>
        <v>0.4</v>
      </c>
      <c r="W903" s="14" t="s">
        <v>7777</v>
      </c>
      <c r="X903" s="3">
        <v>3</v>
      </c>
      <c r="Z903" s="23">
        <v>5</v>
      </c>
      <c r="AB903" s="18">
        <f t="shared" si="28"/>
        <v>2020</v>
      </c>
      <c r="AC903" s="22">
        <f t="shared" si="29"/>
        <v>0.58000000000000007</v>
      </c>
    </row>
    <row r="904" spans="1:29" ht="25.5">
      <c r="A904" s="8" t="s">
        <v>12029</v>
      </c>
      <c r="B904" s="17" t="s">
        <v>7800</v>
      </c>
      <c r="C904" s="13">
        <v>44168</v>
      </c>
      <c r="D904" s="13" t="s">
        <v>8465</v>
      </c>
      <c r="E904" s="10" t="s">
        <v>4388</v>
      </c>
      <c r="F904" s="10" t="s">
        <v>12032</v>
      </c>
      <c r="H904" s="2" t="s">
        <v>171</v>
      </c>
      <c r="L904" s="18">
        <v>1</v>
      </c>
      <c r="N904" s="13">
        <v>44730</v>
      </c>
      <c r="O904" s="29">
        <v>0</v>
      </c>
      <c r="P904" s="18" t="s">
        <v>1107</v>
      </c>
      <c r="Q904" s="18">
        <v>0</v>
      </c>
      <c r="U904" s="22">
        <v>0.71</v>
      </c>
      <c r="V904" s="22">
        <f>3.6/5</f>
        <v>0.72</v>
      </c>
      <c r="W904" s="14" t="s">
        <v>7777</v>
      </c>
      <c r="X904" s="3">
        <v>2</v>
      </c>
      <c r="Z904" s="23">
        <v>7</v>
      </c>
      <c r="AB904" s="18">
        <f t="shared" si="28"/>
        <v>2020</v>
      </c>
      <c r="AC904" s="22">
        <f t="shared" si="29"/>
        <v>0.61</v>
      </c>
    </row>
    <row r="905" spans="1:29">
      <c r="A905" s="8" t="s">
        <v>11105</v>
      </c>
      <c r="B905" s="17" t="s">
        <v>7800</v>
      </c>
      <c r="C905" s="13">
        <v>44168</v>
      </c>
      <c r="D905" s="13" t="s">
        <v>8465</v>
      </c>
      <c r="E905" s="10" t="s">
        <v>3544</v>
      </c>
      <c r="F905" s="10" t="s">
        <v>11106</v>
      </c>
      <c r="H905" s="2" t="s">
        <v>1334</v>
      </c>
      <c r="L905" s="18">
        <v>1</v>
      </c>
      <c r="N905" s="13">
        <v>44593</v>
      </c>
      <c r="O905" s="29">
        <v>0</v>
      </c>
      <c r="P905" s="18" t="s">
        <v>1107</v>
      </c>
      <c r="Q905" s="18">
        <v>0</v>
      </c>
      <c r="U905" s="22">
        <v>0.79</v>
      </c>
      <c r="V905" s="22">
        <f>2.83/5</f>
        <v>0.56600000000000006</v>
      </c>
      <c r="W905" s="14" t="s">
        <v>7777</v>
      </c>
      <c r="X905" s="3">
        <v>2</v>
      </c>
      <c r="Z905" s="23">
        <v>17.5</v>
      </c>
      <c r="AB905" s="18">
        <f t="shared" si="28"/>
        <v>2020</v>
      </c>
      <c r="AC905" s="22">
        <f t="shared" si="29"/>
        <v>0.58533333333333337</v>
      </c>
    </row>
    <row r="906" spans="1:29">
      <c r="A906" s="8" t="s">
        <v>15576</v>
      </c>
      <c r="B906" s="17" t="s">
        <v>7800</v>
      </c>
      <c r="C906" s="13">
        <v>44168</v>
      </c>
      <c r="D906" s="13" t="s">
        <v>8465</v>
      </c>
      <c r="E906" s="10" t="s">
        <v>12563</v>
      </c>
      <c r="F906" s="10" t="s">
        <v>15577</v>
      </c>
      <c r="H906" s="2" t="s">
        <v>80</v>
      </c>
      <c r="L906" s="18">
        <v>1</v>
      </c>
      <c r="N906" s="13">
        <v>45161</v>
      </c>
      <c r="O906" s="29">
        <v>1.6</v>
      </c>
      <c r="P906" s="18" t="s">
        <v>1107</v>
      </c>
      <c r="Q906" s="18">
        <v>0</v>
      </c>
      <c r="U906" s="22">
        <v>0.79</v>
      </c>
      <c r="V906" s="22">
        <f>3.17/5</f>
        <v>0.63400000000000001</v>
      </c>
      <c r="W906" s="14" t="s">
        <v>7777</v>
      </c>
      <c r="X906" s="3">
        <v>3</v>
      </c>
      <c r="Z906" s="23">
        <v>4</v>
      </c>
      <c r="AB906" s="18">
        <f t="shared" si="28"/>
        <v>2020</v>
      </c>
      <c r="AC906" s="22">
        <f t="shared" si="29"/>
        <v>0.67466666666666664</v>
      </c>
    </row>
    <row r="907" spans="1:29">
      <c r="A907" s="8" t="s">
        <v>10597</v>
      </c>
      <c r="B907" s="17" t="s">
        <v>7800</v>
      </c>
      <c r="C907" s="13">
        <v>44166</v>
      </c>
      <c r="D907" s="13" t="s">
        <v>8465</v>
      </c>
      <c r="E907" s="10" t="s">
        <v>9249</v>
      </c>
      <c r="F907" s="10" t="s">
        <v>10598</v>
      </c>
      <c r="H907" s="2" t="s">
        <v>7594</v>
      </c>
      <c r="L907" s="18">
        <v>1</v>
      </c>
      <c r="N907" s="13">
        <v>44502</v>
      </c>
      <c r="O907" s="29">
        <v>0</v>
      </c>
      <c r="P907" s="18" t="s">
        <v>1107</v>
      </c>
      <c r="Q907" s="18">
        <v>0</v>
      </c>
      <c r="U907" s="22">
        <v>0.75</v>
      </c>
      <c r="V907" s="22">
        <f>4/5</f>
        <v>0.8</v>
      </c>
      <c r="W907" s="14" t="s">
        <v>7777</v>
      </c>
      <c r="X907" s="3">
        <v>2</v>
      </c>
      <c r="Z907" s="23">
        <v>11</v>
      </c>
      <c r="AB907" s="18">
        <f t="shared" si="28"/>
        <v>2020</v>
      </c>
      <c r="AC907" s="22">
        <f t="shared" si="29"/>
        <v>0.65</v>
      </c>
    </row>
    <row r="908" spans="1:29" ht="25.5">
      <c r="A908" s="8" t="s">
        <v>15520</v>
      </c>
      <c r="B908" s="17" t="s">
        <v>7800</v>
      </c>
      <c r="C908" s="13">
        <v>44166</v>
      </c>
      <c r="D908" s="13" t="s">
        <v>8465</v>
      </c>
      <c r="E908" s="10" t="s">
        <v>1583</v>
      </c>
      <c r="F908" s="10" t="s">
        <v>3581</v>
      </c>
      <c r="G908" s="11" t="s">
        <v>15521</v>
      </c>
      <c r="H908" s="2" t="s">
        <v>171</v>
      </c>
      <c r="L908" s="18">
        <v>1</v>
      </c>
      <c r="N908" s="13">
        <v>45153</v>
      </c>
      <c r="O908" s="29">
        <v>2.99</v>
      </c>
      <c r="P908" s="18" t="s">
        <v>1107</v>
      </c>
      <c r="Q908" s="18">
        <v>0</v>
      </c>
      <c r="U908" s="22">
        <v>0.67</v>
      </c>
      <c r="V908" s="22">
        <f>2.67/5</f>
        <v>0.53400000000000003</v>
      </c>
      <c r="W908" s="14" t="s">
        <v>7777</v>
      </c>
      <c r="X908" s="3">
        <v>2</v>
      </c>
      <c r="Z908" s="23">
        <v>8</v>
      </c>
      <c r="AB908" s="18">
        <f t="shared" si="28"/>
        <v>2020</v>
      </c>
      <c r="AC908" s="22">
        <f t="shared" si="29"/>
        <v>0.53466666666666673</v>
      </c>
    </row>
    <row r="909" spans="1:29">
      <c r="A909" s="8" t="s">
        <v>13631</v>
      </c>
      <c r="B909" s="17" t="s">
        <v>7800</v>
      </c>
      <c r="C909" s="13">
        <v>44165</v>
      </c>
      <c r="D909" s="13" t="s">
        <v>8465</v>
      </c>
      <c r="E909" s="10" t="s">
        <v>13632</v>
      </c>
      <c r="F909" s="10" t="s">
        <v>13632</v>
      </c>
      <c r="H909" s="2" t="s">
        <v>78</v>
      </c>
      <c r="L909" s="18">
        <v>1</v>
      </c>
      <c r="N909" s="13">
        <v>44986</v>
      </c>
      <c r="O909" s="29">
        <v>0</v>
      </c>
      <c r="P909" s="18" t="s">
        <v>1107</v>
      </c>
      <c r="Q909" s="18">
        <v>0</v>
      </c>
      <c r="W909" s="14" t="s">
        <v>7777</v>
      </c>
      <c r="X909" s="3">
        <v>2</v>
      </c>
      <c r="AB909" s="18">
        <f t="shared" si="28"/>
        <v>2020</v>
      </c>
      <c r="AC909" s="22">
        <f t="shared" si="29"/>
        <v>0.4</v>
      </c>
    </row>
    <row r="910" spans="1:29">
      <c r="A910" s="8" t="s">
        <v>12719</v>
      </c>
      <c r="B910" s="17" t="s">
        <v>7800</v>
      </c>
      <c r="C910" s="13">
        <v>44163</v>
      </c>
      <c r="D910" s="13" t="s">
        <v>8465</v>
      </c>
      <c r="E910" s="10" t="s">
        <v>12723</v>
      </c>
      <c r="F910" s="10" t="s">
        <v>12723</v>
      </c>
      <c r="H910" s="2" t="s">
        <v>67</v>
      </c>
      <c r="I910" s="18">
        <v>1</v>
      </c>
      <c r="L910" s="18">
        <v>1</v>
      </c>
      <c r="N910" s="13">
        <v>44837</v>
      </c>
      <c r="O910" s="29">
        <v>4.99</v>
      </c>
      <c r="P910" s="18" t="s">
        <v>1107</v>
      </c>
      <c r="Q910" s="18">
        <v>0</v>
      </c>
      <c r="W910" s="14" t="s">
        <v>7777</v>
      </c>
      <c r="X910" s="3">
        <v>3</v>
      </c>
      <c r="AB910" s="18">
        <f t="shared" si="28"/>
        <v>2020</v>
      </c>
      <c r="AC910" s="22">
        <f t="shared" si="29"/>
        <v>0.6</v>
      </c>
    </row>
    <row r="911" spans="1:29">
      <c r="A911" s="8" t="s">
        <v>11967</v>
      </c>
      <c r="B911" s="17" t="s">
        <v>7744</v>
      </c>
      <c r="C911" s="13">
        <v>44161</v>
      </c>
      <c r="D911" s="13" t="s">
        <v>8465</v>
      </c>
      <c r="E911" s="10" t="s">
        <v>1794</v>
      </c>
      <c r="F911" s="10" t="s">
        <v>1794</v>
      </c>
      <c r="G911" s="11" t="s">
        <v>10286</v>
      </c>
      <c r="H911" s="2" t="s">
        <v>78</v>
      </c>
      <c r="L911" s="18">
        <v>1</v>
      </c>
      <c r="N911" s="13">
        <v>44723</v>
      </c>
      <c r="O911" s="29">
        <v>6.99</v>
      </c>
      <c r="P911" s="18" t="s">
        <v>1107</v>
      </c>
      <c r="Q911" s="18">
        <v>0</v>
      </c>
      <c r="U911" s="22">
        <v>0.71</v>
      </c>
      <c r="V911" s="22">
        <f>4/5</f>
        <v>0.8</v>
      </c>
      <c r="X911" s="3">
        <v>3</v>
      </c>
      <c r="Z911" s="23">
        <v>27</v>
      </c>
      <c r="AB911" s="18">
        <f t="shared" si="28"/>
        <v>2020</v>
      </c>
      <c r="AC911" s="22">
        <f t="shared" si="29"/>
        <v>0.70333333333333325</v>
      </c>
    </row>
    <row r="912" spans="1:29" ht="38.25">
      <c r="A912" s="8" t="s">
        <v>12981</v>
      </c>
      <c r="B912" s="17" t="s">
        <v>7744</v>
      </c>
      <c r="C912" s="13">
        <v>44161</v>
      </c>
      <c r="D912" s="13" t="s">
        <v>8465</v>
      </c>
      <c r="E912" s="10" t="s">
        <v>5574</v>
      </c>
      <c r="F912" s="10" t="s">
        <v>12982</v>
      </c>
      <c r="H912" s="2" t="s">
        <v>1057</v>
      </c>
      <c r="L912" s="18">
        <v>1</v>
      </c>
      <c r="M912" s="14" t="s">
        <v>8462</v>
      </c>
      <c r="N912" s="13">
        <v>44893</v>
      </c>
      <c r="O912" s="29">
        <v>29.99</v>
      </c>
      <c r="P912" s="18" t="s">
        <v>14</v>
      </c>
      <c r="Q912" s="18">
        <v>0</v>
      </c>
      <c r="U912" s="22">
        <v>0.78</v>
      </c>
      <c r="V912" s="22">
        <f>2.67/5</f>
        <v>0.53400000000000003</v>
      </c>
      <c r="X912" s="3">
        <v>3</v>
      </c>
      <c r="Z912" s="23">
        <v>34.5</v>
      </c>
      <c r="AB912" s="18">
        <f t="shared" si="28"/>
        <v>2020</v>
      </c>
      <c r="AC912" s="22">
        <f t="shared" si="29"/>
        <v>0.63800000000000001</v>
      </c>
    </row>
    <row r="913" spans="1:29">
      <c r="A913" s="8" t="s">
        <v>9793</v>
      </c>
      <c r="B913" s="17" t="s">
        <v>7800</v>
      </c>
      <c r="C913" s="13">
        <v>44160</v>
      </c>
      <c r="D913" s="13" t="s">
        <v>8465</v>
      </c>
      <c r="E913" s="10" t="s">
        <v>7724</v>
      </c>
      <c r="F913" s="10" t="s">
        <v>7724</v>
      </c>
      <c r="G913" s="11" t="s">
        <v>7725</v>
      </c>
      <c r="H913" s="2" t="s">
        <v>67</v>
      </c>
      <c r="L913" s="18">
        <v>1</v>
      </c>
      <c r="N913" s="13">
        <v>44250</v>
      </c>
      <c r="O913" s="29">
        <v>0</v>
      </c>
      <c r="P913" s="18" t="s">
        <v>1107</v>
      </c>
      <c r="Q913" s="18">
        <v>0</v>
      </c>
      <c r="V913" s="22">
        <f>2.5/5</f>
        <v>0.5</v>
      </c>
      <c r="W913" s="14" t="s">
        <v>7777</v>
      </c>
      <c r="X913" s="3">
        <v>2</v>
      </c>
      <c r="Z913" s="23">
        <v>5</v>
      </c>
      <c r="AB913" s="18">
        <f t="shared" si="28"/>
        <v>2020</v>
      </c>
      <c r="AC913" s="22">
        <f t="shared" si="29"/>
        <v>0.45</v>
      </c>
    </row>
    <row r="914" spans="1:29">
      <c r="A914" s="8" t="s">
        <v>12168</v>
      </c>
      <c r="B914" s="17" t="s">
        <v>7744</v>
      </c>
      <c r="C914" s="13">
        <v>44154</v>
      </c>
      <c r="D914" s="13" t="s">
        <v>8465</v>
      </c>
      <c r="E914" s="10" t="s">
        <v>3544</v>
      </c>
      <c r="F914" s="10" t="s">
        <v>12169</v>
      </c>
      <c r="H914" s="2" t="s">
        <v>75</v>
      </c>
      <c r="L914" s="18">
        <v>1</v>
      </c>
      <c r="M914" s="14" t="s">
        <v>8462</v>
      </c>
      <c r="N914" s="13">
        <v>44754</v>
      </c>
      <c r="O914" s="29">
        <v>19.54</v>
      </c>
      <c r="P914" s="18" t="s">
        <v>14</v>
      </c>
      <c r="Q914" s="18">
        <v>0</v>
      </c>
      <c r="U914" s="22">
        <v>0.67</v>
      </c>
      <c r="V914" s="22">
        <f>3.93/5</f>
        <v>0.78600000000000003</v>
      </c>
      <c r="X914" s="3">
        <v>3</v>
      </c>
      <c r="Z914" s="23">
        <v>9.5</v>
      </c>
      <c r="AB914" s="18">
        <f t="shared" si="28"/>
        <v>2020</v>
      </c>
      <c r="AC914" s="22">
        <f t="shared" si="29"/>
        <v>0.68533333333333335</v>
      </c>
    </row>
    <row r="915" spans="1:29">
      <c r="A915" s="8" t="s">
        <v>13794</v>
      </c>
      <c r="B915" s="17" t="s">
        <v>7800</v>
      </c>
      <c r="C915" s="13">
        <v>44154</v>
      </c>
      <c r="D915" s="13" t="s">
        <v>8465</v>
      </c>
      <c r="E915" s="10" t="s">
        <v>13795</v>
      </c>
      <c r="F915" s="10" t="s">
        <v>13795</v>
      </c>
      <c r="H915" s="2" t="s">
        <v>150</v>
      </c>
      <c r="L915" s="18">
        <v>1</v>
      </c>
      <c r="N915" s="13">
        <v>45004</v>
      </c>
      <c r="O915" s="29">
        <v>0.99</v>
      </c>
      <c r="P915" s="18" t="s">
        <v>1107</v>
      </c>
      <c r="Q915" s="18">
        <v>0</v>
      </c>
      <c r="V915" s="22">
        <f>3.6/5</f>
        <v>0.72</v>
      </c>
      <c r="W915" s="14" t="s">
        <v>7777</v>
      </c>
      <c r="X915" s="3">
        <v>2</v>
      </c>
      <c r="Z915" s="23">
        <v>5.5</v>
      </c>
      <c r="AB915" s="18">
        <f t="shared" si="28"/>
        <v>2020</v>
      </c>
      <c r="AC915" s="22">
        <f t="shared" si="29"/>
        <v>0.56000000000000005</v>
      </c>
    </row>
    <row r="916" spans="1:29">
      <c r="A916" s="8" t="s">
        <v>13437</v>
      </c>
      <c r="B916" s="17" t="s">
        <v>7800</v>
      </c>
      <c r="C916" s="13">
        <v>44152</v>
      </c>
      <c r="D916" s="13" t="s">
        <v>8465</v>
      </c>
      <c r="E916" s="10" t="s">
        <v>4281</v>
      </c>
      <c r="F916" s="10" t="s">
        <v>13438</v>
      </c>
      <c r="H916" s="2" t="s">
        <v>1194</v>
      </c>
      <c r="L916" s="18">
        <v>1</v>
      </c>
      <c r="N916" s="13">
        <v>44964</v>
      </c>
      <c r="O916" s="29">
        <v>12</v>
      </c>
      <c r="P916" s="18" t="s">
        <v>1107</v>
      </c>
      <c r="Q916" s="18">
        <v>0</v>
      </c>
      <c r="U916" s="22">
        <v>0.64</v>
      </c>
      <c r="V916" s="22">
        <f>2.67/5</f>
        <v>0.53400000000000003</v>
      </c>
      <c r="W916" s="14" t="s">
        <v>7777</v>
      </c>
      <c r="X916" s="3">
        <v>2</v>
      </c>
      <c r="Z916" s="23">
        <v>2</v>
      </c>
      <c r="AB916" s="18">
        <f t="shared" si="28"/>
        <v>2020</v>
      </c>
      <c r="AC916" s="22">
        <f t="shared" si="29"/>
        <v>0.52466666666666661</v>
      </c>
    </row>
    <row r="917" spans="1:29" ht="25.5">
      <c r="A917" s="8" t="s">
        <v>9441</v>
      </c>
      <c r="B917" s="17" t="s">
        <v>7744</v>
      </c>
      <c r="C917" s="13">
        <v>44148</v>
      </c>
      <c r="D917" s="13" t="s">
        <v>8465</v>
      </c>
      <c r="E917" s="10" t="s">
        <v>1082</v>
      </c>
      <c r="F917" s="10" t="s">
        <v>1165</v>
      </c>
      <c r="G917" s="11" t="s">
        <v>1957</v>
      </c>
      <c r="H917" s="2" t="s">
        <v>1220</v>
      </c>
      <c r="L917" s="18">
        <v>1</v>
      </c>
      <c r="M917" s="14" t="s">
        <v>8462</v>
      </c>
      <c r="N917" s="13">
        <v>44069</v>
      </c>
      <c r="O917" s="29">
        <v>65.09</v>
      </c>
      <c r="P917" s="18" t="s">
        <v>14</v>
      </c>
      <c r="Q917" s="18">
        <v>0</v>
      </c>
      <c r="U917" s="22">
        <v>0.81</v>
      </c>
      <c r="V917" s="22">
        <f>4/5</f>
        <v>0.8</v>
      </c>
      <c r="X917" s="3">
        <v>2</v>
      </c>
      <c r="Z917" s="23">
        <v>9.5</v>
      </c>
      <c r="AB917" s="18">
        <f t="shared" si="28"/>
        <v>2020</v>
      </c>
      <c r="AC917" s="22">
        <f t="shared" si="29"/>
        <v>0.67</v>
      </c>
    </row>
    <row r="918" spans="1:29">
      <c r="A918" s="8" t="s">
        <v>9502</v>
      </c>
      <c r="B918" s="17" t="s">
        <v>9431</v>
      </c>
      <c r="C918" s="13">
        <v>44147</v>
      </c>
      <c r="D918" s="13" t="s">
        <v>8465</v>
      </c>
      <c r="E918" s="10" t="s">
        <v>7300</v>
      </c>
      <c r="F918" s="10" t="s">
        <v>9503</v>
      </c>
      <c r="H918" s="2" t="s">
        <v>80</v>
      </c>
      <c r="L918" s="18">
        <v>1</v>
      </c>
      <c r="M918" s="14" t="s">
        <v>8462</v>
      </c>
      <c r="N918" s="13">
        <v>44140</v>
      </c>
      <c r="O918" s="29">
        <v>54.24</v>
      </c>
      <c r="P918" s="18" t="s">
        <v>14</v>
      </c>
      <c r="Q918" s="18">
        <v>0</v>
      </c>
      <c r="U918" s="22">
        <v>0.77</v>
      </c>
      <c r="V918" s="22">
        <f>3.91/5</f>
        <v>0.78200000000000003</v>
      </c>
      <c r="X918" s="3">
        <v>4</v>
      </c>
      <c r="Z918" s="23">
        <v>6</v>
      </c>
      <c r="AB918" s="18">
        <f t="shared" si="28"/>
        <v>2020</v>
      </c>
      <c r="AC918" s="22">
        <f t="shared" si="29"/>
        <v>0.78400000000000014</v>
      </c>
    </row>
    <row r="919" spans="1:29" ht="30">
      <c r="A919" s="8" t="s">
        <v>9427</v>
      </c>
      <c r="B919" s="17" t="s">
        <v>7760</v>
      </c>
      <c r="C919" s="13">
        <v>44145</v>
      </c>
      <c r="D919" s="13" t="s">
        <v>8465</v>
      </c>
      <c r="E919" s="10" t="s">
        <v>455</v>
      </c>
      <c r="F919" s="10" t="s">
        <v>6137</v>
      </c>
      <c r="G919" s="11" t="s">
        <v>5600</v>
      </c>
      <c r="H919" s="2" t="s">
        <v>149</v>
      </c>
      <c r="L919" s="18">
        <v>1</v>
      </c>
      <c r="M919" s="14" t="s">
        <v>8462</v>
      </c>
      <c r="N919" s="13">
        <v>43975</v>
      </c>
      <c r="O919" s="29">
        <v>49.94</v>
      </c>
      <c r="P919" s="18" t="s">
        <v>14</v>
      </c>
      <c r="Q919" s="18">
        <v>0</v>
      </c>
      <c r="U919" s="22">
        <v>0.84</v>
      </c>
      <c r="V919" s="22">
        <f>4.28/5</f>
        <v>0.85600000000000009</v>
      </c>
      <c r="W919" s="14" t="s">
        <v>9428</v>
      </c>
      <c r="X919" s="3">
        <v>4</v>
      </c>
      <c r="Z919" s="23">
        <v>47</v>
      </c>
      <c r="AB919" s="18">
        <f t="shared" si="28"/>
        <v>2020</v>
      </c>
      <c r="AC919" s="22">
        <f t="shared" si="29"/>
        <v>0.83200000000000018</v>
      </c>
    </row>
    <row r="920" spans="1:29">
      <c r="A920" s="8" t="s">
        <v>9442</v>
      </c>
      <c r="B920" s="17" t="s">
        <v>9440</v>
      </c>
      <c r="C920" s="13">
        <v>44145</v>
      </c>
      <c r="D920" s="13" t="s">
        <v>8465</v>
      </c>
      <c r="E920" s="10" t="s">
        <v>1714</v>
      </c>
      <c r="F920" s="10" t="s">
        <v>9443</v>
      </c>
      <c r="H920" s="2" t="s">
        <v>7594</v>
      </c>
      <c r="L920" s="18">
        <v>1</v>
      </c>
      <c r="M920" s="14" t="s">
        <v>8462</v>
      </c>
      <c r="N920" s="13">
        <v>44098</v>
      </c>
      <c r="O920" s="29">
        <v>43.39</v>
      </c>
      <c r="P920" s="18" t="s">
        <v>14</v>
      </c>
      <c r="Q920" s="18">
        <v>0</v>
      </c>
      <c r="U920" s="22">
        <v>0.66</v>
      </c>
      <c r="V920" s="22">
        <f>2.5/5</f>
        <v>0.5</v>
      </c>
      <c r="X920" s="3">
        <v>3</v>
      </c>
      <c r="Z920" s="23">
        <v>8.5</v>
      </c>
      <c r="AB920" s="18">
        <f t="shared" si="28"/>
        <v>2020</v>
      </c>
      <c r="AC920" s="22">
        <f t="shared" si="29"/>
        <v>0.58666666666666678</v>
      </c>
    </row>
    <row r="921" spans="1:29">
      <c r="A921" s="8" t="s">
        <v>10452</v>
      </c>
      <c r="B921" s="17" t="s">
        <v>7783</v>
      </c>
      <c r="C921" s="13">
        <v>44141</v>
      </c>
      <c r="D921" s="13" t="s">
        <v>8465</v>
      </c>
      <c r="E921" s="10" t="s">
        <v>3063</v>
      </c>
      <c r="F921" s="10" t="s">
        <v>10453</v>
      </c>
      <c r="G921" s="11" t="s">
        <v>10454</v>
      </c>
      <c r="H921" s="2" t="s">
        <v>3411</v>
      </c>
      <c r="L921" s="18">
        <v>0</v>
      </c>
      <c r="Q921" s="18">
        <v>0</v>
      </c>
      <c r="W921" s="14" t="s">
        <v>8572</v>
      </c>
      <c r="X921" s="3">
        <v>2</v>
      </c>
      <c r="AB921" s="18">
        <f t="shared" si="28"/>
        <v>2020</v>
      </c>
      <c r="AC921" s="22">
        <f t="shared" si="29"/>
        <v>0.4</v>
      </c>
    </row>
    <row r="922" spans="1:29">
      <c r="A922" s="8" t="s">
        <v>10762</v>
      </c>
      <c r="B922" s="17" t="s">
        <v>7800</v>
      </c>
      <c r="C922" s="13">
        <v>44140</v>
      </c>
      <c r="D922" s="13" t="s">
        <v>8465</v>
      </c>
      <c r="E922" s="10" t="s">
        <v>10763</v>
      </c>
      <c r="F922" s="10" t="s">
        <v>10763</v>
      </c>
      <c r="H922" s="2" t="s">
        <v>67</v>
      </c>
      <c r="L922" s="18">
        <v>1</v>
      </c>
      <c r="N922" s="13">
        <v>44533</v>
      </c>
      <c r="O922" s="29">
        <v>0</v>
      </c>
      <c r="P922" s="18" t="s">
        <v>1107</v>
      </c>
      <c r="Q922" s="18">
        <v>0</v>
      </c>
      <c r="V922" s="22">
        <f>4.25/5</f>
        <v>0.85</v>
      </c>
      <c r="W922" s="14" t="s">
        <v>8765</v>
      </c>
      <c r="X922" s="3">
        <v>2</v>
      </c>
      <c r="Z922" s="23">
        <v>1</v>
      </c>
      <c r="AB922" s="18">
        <f t="shared" si="28"/>
        <v>2020</v>
      </c>
      <c r="AC922" s="22">
        <f t="shared" si="29"/>
        <v>0.625</v>
      </c>
    </row>
    <row r="923" spans="1:29" ht="25.5">
      <c r="A923" s="8" t="s">
        <v>11613</v>
      </c>
      <c r="B923" s="17" t="s">
        <v>7800</v>
      </c>
      <c r="C923" s="13">
        <v>44140</v>
      </c>
      <c r="D923" s="13" t="s">
        <v>8465</v>
      </c>
      <c r="E923" s="10" t="s">
        <v>3984</v>
      </c>
      <c r="F923" s="10" t="s">
        <v>11614</v>
      </c>
      <c r="H923" s="2" t="s">
        <v>1057</v>
      </c>
      <c r="L923" s="18">
        <v>1</v>
      </c>
      <c r="N923" s="13">
        <v>44656</v>
      </c>
      <c r="O923" s="29">
        <v>0</v>
      </c>
      <c r="P923" s="18" t="s">
        <v>1107</v>
      </c>
      <c r="Q923" s="18">
        <v>0</v>
      </c>
      <c r="U923" s="22">
        <v>0.82</v>
      </c>
      <c r="V923" s="22">
        <f>3.75/5</f>
        <v>0.75</v>
      </c>
      <c r="W923" s="14" t="s">
        <v>7777</v>
      </c>
      <c r="X923" s="3">
        <v>2</v>
      </c>
      <c r="Z923" s="23">
        <v>6.5</v>
      </c>
      <c r="AB923" s="18">
        <f t="shared" si="28"/>
        <v>2020</v>
      </c>
      <c r="AC923" s="22">
        <f t="shared" si="29"/>
        <v>0.65666666666666662</v>
      </c>
    </row>
    <row r="924" spans="1:29">
      <c r="A924" s="8" t="s">
        <v>10589</v>
      </c>
      <c r="B924" s="17" t="s">
        <v>7800</v>
      </c>
      <c r="C924" s="13">
        <v>44140</v>
      </c>
      <c r="D924" s="13" t="s">
        <v>8465</v>
      </c>
      <c r="E924" s="10" t="s">
        <v>5085</v>
      </c>
      <c r="F924" s="10" t="s">
        <v>5085</v>
      </c>
      <c r="H924" s="2" t="s">
        <v>3937</v>
      </c>
      <c r="L924" s="18">
        <v>1</v>
      </c>
      <c r="N924" s="13">
        <v>44502</v>
      </c>
      <c r="O924" s="29">
        <v>12</v>
      </c>
      <c r="P924" s="18" t="s">
        <v>1107</v>
      </c>
      <c r="Q924" s="18">
        <v>0</v>
      </c>
      <c r="W924" s="14" t="s">
        <v>7777</v>
      </c>
      <c r="X924" s="3">
        <v>2</v>
      </c>
      <c r="Z924" s="23">
        <v>32</v>
      </c>
      <c r="AB924" s="18">
        <f t="shared" si="28"/>
        <v>2020</v>
      </c>
      <c r="AC924" s="22">
        <f t="shared" si="29"/>
        <v>0.4</v>
      </c>
    </row>
    <row r="925" spans="1:29" ht="45">
      <c r="A925" s="8" t="s">
        <v>9415</v>
      </c>
      <c r="B925" s="17" t="s">
        <v>7744</v>
      </c>
      <c r="C925" s="13">
        <v>44138</v>
      </c>
      <c r="D925" s="13" t="s">
        <v>8465</v>
      </c>
      <c r="E925" s="10" t="s">
        <v>1156</v>
      </c>
      <c r="F925" s="10" t="s">
        <v>1084</v>
      </c>
      <c r="G925" s="11" t="s">
        <v>9416</v>
      </c>
      <c r="H925" s="2" t="s">
        <v>171</v>
      </c>
      <c r="L925" s="18">
        <v>1</v>
      </c>
      <c r="M925" s="14" t="s">
        <v>8462</v>
      </c>
      <c r="N925" s="13">
        <v>44025</v>
      </c>
      <c r="O925" s="29">
        <v>54.18</v>
      </c>
      <c r="P925" s="18" t="s">
        <v>14</v>
      </c>
      <c r="Q925" s="18">
        <v>0</v>
      </c>
      <c r="U925" s="22">
        <v>0.48</v>
      </c>
      <c r="V925" s="22">
        <f>3.54/5</f>
        <v>0.70799999999999996</v>
      </c>
      <c r="X925" s="3">
        <v>2</v>
      </c>
      <c r="Z925" s="23">
        <v>20</v>
      </c>
      <c r="AB925" s="18">
        <f t="shared" si="28"/>
        <v>2020</v>
      </c>
      <c r="AC925" s="22">
        <f t="shared" si="29"/>
        <v>0.52933333333333332</v>
      </c>
    </row>
    <row r="926" spans="1:29">
      <c r="A926" s="8" t="s">
        <v>9411</v>
      </c>
      <c r="B926" s="17" t="s">
        <v>7744</v>
      </c>
      <c r="C926" s="13">
        <v>44134</v>
      </c>
      <c r="D926" s="13" t="s">
        <v>8465</v>
      </c>
      <c r="E926" s="10" t="s">
        <v>86</v>
      </c>
      <c r="F926" s="10" t="s">
        <v>461</v>
      </c>
      <c r="G926" s="11" t="s">
        <v>953</v>
      </c>
      <c r="H926" s="2" t="s">
        <v>1143</v>
      </c>
      <c r="L926" s="18">
        <v>1</v>
      </c>
      <c r="M926" s="14" t="s">
        <v>8462</v>
      </c>
      <c r="N926" s="13">
        <v>44049</v>
      </c>
      <c r="O926" s="29">
        <v>64.97</v>
      </c>
      <c r="P926" s="18" t="s">
        <v>14</v>
      </c>
      <c r="Q926" s="18">
        <v>0</v>
      </c>
      <c r="U926" s="22">
        <v>0.84</v>
      </c>
      <c r="V926" s="22">
        <f>4.27/5</f>
        <v>0.85399999999999987</v>
      </c>
      <c r="X926" s="3">
        <v>4</v>
      </c>
      <c r="Z926" s="23">
        <v>12</v>
      </c>
      <c r="AB926" s="18">
        <f t="shared" si="28"/>
        <v>2020</v>
      </c>
      <c r="AC926" s="22">
        <f t="shared" si="29"/>
        <v>0.83133333333333326</v>
      </c>
    </row>
    <row r="927" spans="1:29" ht="25.5">
      <c r="A927" s="8" t="s">
        <v>12078</v>
      </c>
      <c r="B927" s="17" t="s">
        <v>7800</v>
      </c>
      <c r="C927" s="13">
        <v>44134</v>
      </c>
      <c r="D927" s="13" t="s">
        <v>8465</v>
      </c>
      <c r="E927" s="10" t="s">
        <v>12079</v>
      </c>
      <c r="F927" s="10" t="s">
        <v>12080</v>
      </c>
      <c r="H927" s="2" t="s">
        <v>78</v>
      </c>
      <c r="L927" s="18">
        <v>1</v>
      </c>
      <c r="N927" s="13">
        <v>44744</v>
      </c>
      <c r="O927" s="29">
        <f>10.03/2</f>
        <v>5.0149999999999997</v>
      </c>
      <c r="P927" s="18" t="s">
        <v>1107</v>
      </c>
      <c r="Q927" s="18">
        <v>0</v>
      </c>
      <c r="V927" s="22">
        <f>3.5/5</f>
        <v>0.7</v>
      </c>
      <c r="W927" s="14" t="s">
        <v>7777</v>
      </c>
      <c r="X927" s="3">
        <v>3</v>
      </c>
      <c r="Z927" s="23">
        <v>8</v>
      </c>
      <c r="AB927" s="18">
        <f t="shared" si="28"/>
        <v>2020</v>
      </c>
      <c r="AC927" s="22">
        <f t="shared" si="29"/>
        <v>0.64999999999999991</v>
      </c>
    </row>
    <row r="928" spans="1:29" ht="30">
      <c r="A928" s="8" t="s">
        <v>10545</v>
      </c>
      <c r="B928" s="17" t="s">
        <v>7760</v>
      </c>
      <c r="C928" s="13">
        <v>44134</v>
      </c>
      <c r="D928" s="13" t="s">
        <v>8465</v>
      </c>
      <c r="E928" s="10" t="s">
        <v>1604</v>
      </c>
      <c r="F928" s="10" t="s">
        <v>6200</v>
      </c>
      <c r="G928" s="11" t="s">
        <v>7714</v>
      </c>
      <c r="H928" s="2" t="s">
        <v>1061</v>
      </c>
      <c r="L928" s="18">
        <v>1</v>
      </c>
      <c r="M928" s="14" t="s">
        <v>8462</v>
      </c>
      <c r="N928" s="13">
        <v>43983</v>
      </c>
      <c r="O928" s="29">
        <v>29.99</v>
      </c>
      <c r="P928" s="18" t="s">
        <v>14</v>
      </c>
      <c r="Q928" s="18">
        <v>0</v>
      </c>
      <c r="U928" s="22">
        <v>0.7</v>
      </c>
      <c r="V928" s="22">
        <f>3.36/5</f>
        <v>0.67199999999999993</v>
      </c>
      <c r="X928" s="3">
        <v>3</v>
      </c>
      <c r="Z928" s="23">
        <v>5</v>
      </c>
      <c r="AB928" s="18">
        <f t="shared" si="28"/>
        <v>2020</v>
      </c>
      <c r="AC928" s="22">
        <f t="shared" si="29"/>
        <v>0.65733333333333333</v>
      </c>
    </row>
    <row r="929" spans="1:29">
      <c r="A929" s="8" t="s">
        <v>10430</v>
      </c>
      <c r="B929" s="17" t="s">
        <v>7783</v>
      </c>
      <c r="C929" s="13">
        <v>44134</v>
      </c>
      <c r="D929" s="13" t="s">
        <v>8465</v>
      </c>
      <c r="E929" s="10" t="s">
        <v>10442</v>
      </c>
      <c r="F929" s="10" t="s">
        <v>10442</v>
      </c>
      <c r="H929" s="2" t="s">
        <v>67</v>
      </c>
      <c r="L929" s="18">
        <v>0</v>
      </c>
      <c r="Q929" s="18">
        <v>0</v>
      </c>
      <c r="U929" s="22">
        <v>0.84</v>
      </c>
      <c r="W929" s="14" t="s">
        <v>8572</v>
      </c>
      <c r="X929" s="3">
        <v>2</v>
      </c>
      <c r="Z929" s="23">
        <v>3.5</v>
      </c>
      <c r="AB929" s="18">
        <f t="shared" si="28"/>
        <v>2020</v>
      </c>
      <c r="AC929" s="22">
        <f t="shared" si="29"/>
        <v>0.62</v>
      </c>
    </row>
    <row r="930" spans="1:29" ht="25.5">
      <c r="A930" s="8" t="s">
        <v>10295</v>
      </c>
      <c r="B930" s="17" t="s">
        <v>7800</v>
      </c>
      <c r="C930" s="13">
        <v>44134</v>
      </c>
      <c r="D930" s="13" t="s">
        <v>8465</v>
      </c>
      <c r="E930" s="10" t="s">
        <v>7877</v>
      </c>
      <c r="F930" s="10" t="s">
        <v>10298</v>
      </c>
      <c r="G930" s="11" t="s">
        <v>10296</v>
      </c>
      <c r="H930" s="2" t="s">
        <v>1061</v>
      </c>
      <c r="I930" s="18">
        <v>1</v>
      </c>
      <c r="L930" s="18">
        <v>1</v>
      </c>
      <c r="N930" s="13">
        <v>44376</v>
      </c>
      <c r="O930" s="29">
        <v>3.74</v>
      </c>
      <c r="P930" s="18" t="s">
        <v>1107</v>
      </c>
      <c r="Q930" s="18">
        <v>0</v>
      </c>
      <c r="V930" s="22">
        <f>3/5</f>
        <v>0.6</v>
      </c>
      <c r="W930" s="14" t="s">
        <v>7777</v>
      </c>
      <c r="X930" s="3">
        <v>3</v>
      </c>
      <c r="AB930" s="18">
        <f t="shared" si="28"/>
        <v>2020</v>
      </c>
      <c r="AC930" s="22">
        <f t="shared" si="29"/>
        <v>0.6</v>
      </c>
    </row>
    <row r="931" spans="1:29">
      <c r="A931" s="8" t="s">
        <v>14128</v>
      </c>
      <c r="B931" s="17" t="s">
        <v>7800</v>
      </c>
      <c r="C931" s="13">
        <v>44134</v>
      </c>
      <c r="D931" s="13" t="s">
        <v>8465</v>
      </c>
      <c r="E931" s="10" t="s">
        <v>14129</v>
      </c>
      <c r="F931" s="10" t="s">
        <v>14129</v>
      </c>
      <c r="H931" s="2" t="s">
        <v>21</v>
      </c>
      <c r="L931" s="18">
        <v>1</v>
      </c>
      <c r="O931" s="29">
        <v>0</v>
      </c>
      <c r="P931" s="18" t="s">
        <v>1107</v>
      </c>
      <c r="Q931" s="18">
        <v>0</v>
      </c>
      <c r="V931" s="22">
        <f>2.25/5</f>
        <v>0.45</v>
      </c>
      <c r="W931" s="14" t="s">
        <v>8765</v>
      </c>
      <c r="X931" s="3">
        <v>2</v>
      </c>
      <c r="Z931" s="23">
        <v>2</v>
      </c>
      <c r="AB931" s="18">
        <f t="shared" si="28"/>
        <v>2020</v>
      </c>
      <c r="AC931" s="22">
        <f t="shared" si="29"/>
        <v>0.42500000000000004</v>
      </c>
    </row>
    <row r="932" spans="1:29" ht="30">
      <c r="A932" s="8" t="s">
        <v>1012</v>
      </c>
      <c r="B932" s="17" t="s">
        <v>7744</v>
      </c>
      <c r="C932" s="13">
        <v>44132</v>
      </c>
      <c r="D932" s="13" t="s">
        <v>8465</v>
      </c>
      <c r="E932" s="10" t="s">
        <v>1534</v>
      </c>
      <c r="F932" s="10" t="s">
        <v>1505</v>
      </c>
      <c r="G932" s="11" t="s">
        <v>1012</v>
      </c>
      <c r="H932" s="2" t="s">
        <v>1059</v>
      </c>
      <c r="L932" s="18">
        <v>1</v>
      </c>
      <c r="M932" s="14" t="s">
        <v>8462</v>
      </c>
      <c r="N932" s="13">
        <v>44267</v>
      </c>
      <c r="O932" s="29">
        <v>34.99</v>
      </c>
      <c r="P932" s="18" t="s">
        <v>14</v>
      </c>
      <c r="Q932" s="18">
        <v>0</v>
      </c>
      <c r="U932" s="22">
        <v>0.82</v>
      </c>
      <c r="V932" s="22">
        <f>3.99/5</f>
        <v>0.79800000000000004</v>
      </c>
      <c r="W932" s="14" t="s">
        <v>1134</v>
      </c>
      <c r="X932" s="3">
        <v>4</v>
      </c>
      <c r="Z932" s="23">
        <v>10.5</v>
      </c>
      <c r="AB932" s="18">
        <f t="shared" si="28"/>
        <v>2020</v>
      </c>
      <c r="AC932" s="22">
        <f t="shared" si="29"/>
        <v>0.80600000000000005</v>
      </c>
    </row>
    <row r="933" spans="1:29" ht="30">
      <c r="A933" s="8" t="s">
        <v>1013</v>
      </c>
      <c r="B933" s="17" t="s">
        <v>7744</v>
      </c>
      <c r="C933" s="13">
        <v>44132</v>
      </c>
      <c r="D933" s="13" t="s">
        <v>8465</v>
      </c>
      <c r="E933" s="10" t="s">
        <v>1534</v>
      </c>
      <c r="F933" s="10" t="s">
        <v>1505</v>
      </c>
      <c r="G933" s="11" t="s">
        <v>1012</v>
      </c>
      <c r="H933" s="2" t="s">
        <v>1059</v>
      </c>
      <c r="L933" s="18">
        <v>1</v>
      </c>
      <c r="M933" s="14" t="s">
        <v>8462</v>
      </c>
      <c r="N933" s="13">
        <v>44267</v>
      </c>
      <c r="O933" s="29">
        <v>34.99</v>
      </c>
      <c r="P933" s="18" t="s">
        <v>14</v>
      </c>
      <c r="Q933" s="18">
        <v>0</v>
      </c>
      <c r="U933" s="22">
        <v>0.82</v>
      </c>
      <c r="V933" s="22">
        <f>3.56/5</f>
        <v>0.71199999999999997</v>
      </c>
      <c r="W933" s="14" t="s">
        <v>1134</v>
      </c>
      <c r="X933" s="3">
        <v>4</v>
      </c>
      <c r="Z933" s="23">
        <v>8</v>
      </c>
      <c r="AB933" s="18">
        <f t="shared" si="28"/>
        <v>2020</v>
      </c>
      <c r="AC933" s="22">
        <f t="shared" si="29"/>
        <v>0.77733333333333332</v>
      </c>
    </row>
    <row r="934" spans="1:29">
      <c r="A934" s="8" t="s">
        <v>12050</v>
      </c>
      <c r="B934" s="17" t="s">
        <v>7744</v>
      </c>
      <c r="C934" s="13">
        <v>44132</v>
      </c>
      <c r="D934" s="13" t="s">
        <v>8465</v>
      </c>
      <c r="E934" s="10" t="s">
        <v>86</v>
      </c>
      <c r="F934" s="10" t="s">
        <v>30</v>
      </c>
      <c r="H934" s="2" t="s">
        <v>78</v>
      </c>
      <c r="L934" s="18">
        <v>1</v>
      </c>
      <c r="N934" s="13">
        <v>44735</v>
      </c>
      <c r="O934" s="29">
        <v>6.29</v>
      </c>
      <c r="P934" s="18" t="s">
        <v>1107</v>
      </c>
      <c r="Q934" s="18">
        <v>0</v>
      </c>
      <c r="U934" s="22">
        <v>0.78</v>
      </c>
      <c r="V934" s="22">
        <f>4.02/5</f>
        <v>0.80399999999999994</v>
      </c>
      <c r="X934" s="3">
        <v>3</v>
      </c>
      <c r="Z934" s="23">
        <v>4</v>
      </c>
      <c r="AB934" s="18">
        <f t="shared" si="28"/>
        <v>2020</v>
      </c>
      <c r="AC934" s="22">
        <f t="shared" si="29"/>
        <v>0.72800000000000009</v>
      </c>
    </row>
    <row r="935" spans="1:29" ht="25.5">
      <c r="A935" s="8" t="s">
        <v>9406</v>
      </c>
      <c r="B935" s="17" t="s">
        <v>7760</v>
      </c>
      <c r="C935" s="13">
        <v>44131</v>
      </c>
      <c r="D935" s="13" t="s">
        <v>8465</v>
      </c>
      <c r="E935" s="10" t="s">
        <v>1062</v>
      </c>
      <c r="F935" s="10" t="s">
        <v>1245</v>
      </c>
      <c r="G935" s="11" t="s">
        <v>2892</v>
      </c>
      <c r="H935" s="2" t="s">
        <v>149</v>
      </c>
      <c r="L935" s="18">
        <v>1</v>
      </c>
      <c r="M935" s="14" t="s">
        <v>8462</v>
      </c>
      <c r="N935" s="13">
        <v>44131</v>
      </c>
      <c r="O935" s="29">
        <v>65.09</v>
      </c>
      <c r="P935" s="18" t="s">
        <v>14</v>
      </c>
      <c r="Q935" s="18">
        <v>0</v>
      </c>
      <c r="U935" s="22">
        <v>0.83</v>
      </c>
      <c r="V935" s="22">
        <f>4.27/5</f>
        <v>0.85399999999999987</v>
      </c>
      <c r="W935" s="14" t="s">
        <v>9407</v>
      </c>
      <c r="X935" s="3">
        <v>4</v>
      </c>
      <c r="Z935" s="23">
        <v>45</v>
      </c>
      <c r="AB935" s="18">
        <f t="shared" si="28"/>
        <v>2020</v>
      </c>
      <c r="AC935" s="22">
        <f t="shared" si="29"/>
        <v>0.82799999999999996</v>
      </c>
    </row>
    <row r="936" spans="1:29">
      <c r="A936" s="8" t="s">
        <v>9404</v>
      </c>
      <c r="B936" s="17" t="s">
        <v>7800</v>
      </c>
      <c r="C936" s="13">
        <v>44131</v>
      </c>
      <c r="D936" s="13" t="s">
        <v>8465</v>
      </c>
      <c r="E936" s="10" t="s">
        <v>1571</v>
      </c>
      <c r="F936" s="10" t="s">
        <v>7776</v>
      </c>
      <c r="H936" s="2" t="s">
        <v>56</v>
      </c>
      <c r="L936" s="18">
        <v>1</v>
      </c>
      <c r="N936" s="13">
        <v>44131</v>
      </c>
      <c r="O936" s="29">
        <v>23.99</v>
      </c>
      <c r="P936" s="18" t="s">
        <v>1107</v>
      </c>
      <c r="Q936" s="18">
        <v>0</v>
      </c>
      <c r="U936" s="22">
        <v>0.83</v>
      </c>
      <c r="V936" s="22">
        <f>3.83/5</f>
        <v>0.76600000000000001</v>
      </c>
      <c r="W936" s="14" t="s">
        <v>7777</v>
      </c>
      <c r="X936" s="3">
        <v>4</v>
      </c>
      <c r="Z936" s="23">
        <v>6.5</v>
      </c>
      <c r="AB936" s="18">
        <f t="shared" si="28"/>
        <v>2020</v>
      </c>
      <c r="AC936" s="22">
        <f t="shared" si="29"/>
        <v>0.79866666666666664</v>
      </c>
    </row>
    <row r="937" spans="1:29" ht="25.5">
      <c r="A937" s="8" t="s">
        <v>9396</v>
      </c>
      <c r="B937" s="17" t="s">
        <v>7744</v>
      </c>
      <c r="C937" s="13">
        <v>44127</v>
      </c>
      <c r="D937" s="13" t="s">
        <v>8465</v>
      </c>
      <c r="E937" s="10" t="s">
        <v>9397</v>
      </c>
      <c r="F937" s="10" t="s">
        <v>9398</v>
      </c>
      <c r="G937" s="11" t="s">
        <v>6198</v>
      </c>
      <c r="H937" s="2" t="s">
        <v>3937</v>
      </c>
      <c r="L937" s="18">
        <v>1</v>
      </c>
      <c r="M937" s="14" t="s">
        <v>8462</v>
      </c>
      <c r="N937" s="13">
        <v>44000</v>
      </c>
      <c r="O937" s="29">
        <v>39.99</v>
      </c>
      <c r="P937" s="18" t="s">
        <v>14</v>
      </c>
      <c r="Q937" s="18">
        <v>0</v>
      </c>
      <c r="U937" s="22">
        <v>0.68</v>
      </c>
      <c r="V937" s="22">
        <f>4/5</f>
        <v>0.8</v>
      </c>
      <c r="X937" s="3">
        <v>2</v>
      </c>
      <c r="Z937" s="23">
        <v>6</v>
      </c>
      <c r="AB937" s="18">
        <f t="shared" si="28"/>
        <v>2020</v>
      </c>
      <c r="AC937" s="22">
        <f t="shared" si="29"/>
        <v>0.62666666666666659</v>
      </c>
    </row>
    <row r="938" spans="1:29">
      <c r="A938" s="8" t="s">
        <v>10739</v>
      </c>
      <c r="B938" s="17" t="s">
        <v>7800</v>
      </c>
      <c r="C938" s="13">
        <v>44126</v>
      </c>
      <c r="D938" s="13" t="s">
        <v>8465</v>
      </c>
      <c r="E938" s="10" t="s">
        <v>3063</v>
      </c>
      <c r="F938" s="10" t="s">
        <v>10740</v>
      </c>
      <c r="H938" s="2" t="s">
        <v>143</v>
      </c>
      <c r="L938" s="18">
        <v>1</v>
      </c>
      <c r="N938" s="13">
        <v>44531</v>
      </c>
      <c r="O938" s="29">
        <v>0</v>
      </c>
      <c r="P938" s="18" t="s">
        <v>1107</v>
      </c>
      <c r="Q938" s="18">
        <v>0</v>
      </c>
      <c r="U938" s="22">
        <v>0.83</v>
      </c>
      <c r="V938" s="22">
        <f>3.14/5</f>
        <v>0.628</v>
      </c>
      <c r="W938" s="14" t="s">
        <v>7777</v>
      </c>
      <c r="X938" s="3">
        <v>3</v>
      </c>
      <c r="Z938" s="23">
        <v>2.5</v>
      </c>
      <c r="AB938" s="18">
        <f t="shared" si="28"/>
        <v>2020</v>
      </c>
      <c r="AC938" s="22">
        <f t="shared" si="29"/>
        <v>0.68599999999999994</v>
      </c>
    </row>
    <row r="939" spans="1:29">
      <c r="A939" s="8" t="s">
        <v>12224</v>
      </c>
      <c r="B939" s="17" t="s">
        <v>7800</v>
      </c>
      <c r="C939" s="13">
        <v>44125</v>
      </c>
      <c r="D939" s="13" t="s">
        <v>8465</v>
      </c>
      <c r="E939" s="10" t="s">
        <v>3074</v>
      </c>
      <c r="F939" s="10" t="s">
        <v>4528</v>
      </c>
      <c r="H939" s="2" t="s">
        <v>56</v>
      </c>
      <c r="L939" s="18">
        <v>1</v>
      </c>
      <c r="N939" s="13">
        <v>44774</v>
      </c>
      <c r="O939" s="29">
        <v>0</v>
      </c>
      <c r="P939" s="18" t="s">
        <v>1107</v>
      </c>
      <c r="Q939" s="18">
        <v>0</v>
      </c>
      <c r="U939" s="22">
        <v>0.76</v>
      </c>
      <c r="V939" s="22">
        <f>3.4/5</f>
        <v>0.67999999999999994</v>
      </c>
      <c r="W939" s="14" t="s">
        <v>7777</v>
      </c>
      <c r="X939" s="3">
        <v>3</v>
      </c>
      <c r="Z939" s="23">
        <v>8.5</v>
      </c>
      <c r="AB939" s="18">
        <f t="shared" si="28"/>
        <v>2020</v>
      </c>
      <c r="AC939" s="22">
        <f t="shared" si="29"/>
        <v>0.68</v>
      </c>
    </row>
    <row r="940" spans="1:29">
      <c r="A940" s="8" t="s">
        <v>12457</v>
      </c>
      <c r="B940" s="17" t="s">
        <v>7800</v>
      </c>
      <c r="C940" s="13">
        <v>44120</v>
      </c>
      <c r="D940" s="13" t="s">
        <v>8465</v>
      </c>
      <c r="E940" s="10" t="s">
        <v>1634</v>
      </c>
      <c r="F940" s="10" t="s">
        <v>12458</v>
      </c>
      <c r="H940" s="2" t="s">
        <v>1518</v>
      </c>
      <c r="L940" s="18">
        <v>1</v>
      </c>
      <c r="N940" s="13">
        <v>44810</v>
      </c>
      <c r="O940" s="29">
        <v>0</v>
      </c>
      <c r="P940" s="18" t="s">
        <v>1107</v>
      </c>
      <c r="Q940" s="18">
        <v>0</v>
      </c>
      <c r="U940" s="22">
        <v>0.83</v>
      </c>
      <c r="V940" s="22">
        <f>3.31/5</f>
        <v>0.66200000000000003</v>
      </c>
      <c r="W940" s="14" t="s">
        <v>7777</v>
      </c>
      <c r="X940" s="3">
        <v>3</v>
      </c>
      <c r="Z940" s="23">
        <v>17.5</v>
      </c>
      <c r="AB940" s="18">
        <f t="shared" si="28"/>
        <v>2020</v>
      </c>
      <c r="AC940" s="22">
        <f t="shared" si="29"/>
        <v>0.69733333333333336</v>
      </c>
    </row>
    <row r="941" spans="1:29">
      <c r="A941" s="8" t="s">
        <v>11344</v>
      </c>
      <c r="B941" s="17" t="s">
        <v>7800</v>
      </c>
      <c r="C941" s="13">
        <v>44119</v>
      </c>
      <c r="D941" s="13" t="s">
        <v>8465</v>
      </c>
      <c r="E941" s="10" t="s">
        <v>4478</v>
      </c>
      <c r="F941" s="10" t="s">
        <v>4478</v>
      </c>
      <c r="H941" s="2" t="s">
        <v>67</v>
      </c>
      <c r="L941" s="18">
        <v>1</v>
      </c>
      <c r="N941" s="13">
        <v>44627</v>
      </c>
      <c r="O941" s="29">
        <v>0</v>
      </c>
      <c r="P941" s="18" t="s">
        <v>1107</v>
      </c>
      <c r="Q941" s="18">
        <v>0</v>
      </c>
      <c r="U941" s="22">
        <v>0.76</v>
      </c>
      <c r="V941" s="22">
        <f>3.75/5</f>
        <v>0.75</v>
      </c>
      <c r="W941" s="14" t="s">
        <v>8765</v>
      </c>
      <c r="X941" s="3">
        <v>3</v>
      </c>
      <c r="Z941" s="23">
        <v>2</v>
      </c>
      <c r="AB941" s="18">
        <f t="shared" si="28"/>
        <v>2020</v>
      </c>
      <c r="AC941" s="22">
        <f t="shared" si="29"/>
        <v>0.70333333333333325</v>
      </c>
    </row>
    <row r="942" spans="1:29" ht="25.5">
      <c r="A942" s="8" t="s">
        <v>14164</v>
      </c>
      <c r="B942" s="17" t="s">
        <v>7800</v>
      </c>
      <c r="C942" s="13">
        <v>44119</v>
      </c>
      <c r="D942" s="13" t="s">
        <v>8465</v>
      </c>
      <c r="E942" s="10" t="s">
        <v>7867</v>
      </c>
      <c r="F942" s="10" t="s">
        <v>14165</v>
      </c>
      <c r="H942" s="2" t="s">
        <v>151</v>
      </c>
      <c r="L942" s="18">
        <v>1</v>
      </c>
      <c r="O942" s="29">
        <v>0</v>
      </c>
      <c r="P942" s="18" t="s">
        <v>1107</v>
      </c>
      <c r="Q942" s="18">
        <v>0</v>
      </c>
      <c r="U942" s="22">
        <v>0.82</v>
      </c>
      <c r="V942" s="22">
        <f>3/5</f>
        <v>0.6</v>
      </c>
      <c r="W942" s="14" t="s">
        <v>8765</v>
      </c>
      <c r="X942" s="3">
        <v>3</v>
      </c>
      <c r="Z942" s="23">
        <v>13.5</v>
      </c>
      <c r="AB942" s="18">
        <f t="shared" si="28"/>
        <v>2020</v>
      </c>
      <c r="AC942" s="22">
        <f t="shared" si="29"/>
        <v>0.67333333333333334</v>
      </c>
    </row>
    <row r="943" spans="1:29">
      <c r="A943" s="8" t="s">
        <v>13016</v>
      </c>
      <c r="B943" s="17" t="s">
        <v>7800</v>
      </c>
      <c r="C943" s="13">
        <v>44119</v>
      </c>
      <c r="D943" s="13" t="s">
        <v>8465</v>
      </c>
      <c r="E943" s="10" t="s">
        <v>13017</v>
      </c>
      <c r="F943" s="10" t="s">
        <v>13017</v>
      </c>
      <c r="H943" s="2" t="s">
        <v>80</v>
      </c>
      <c r="L943" s="18">
        <v>1</v>
      </c>
      <c r="N943" s="13">
        <v>44917</v>
      </c>
      <c r="O943" s="29">
        <v>2.2400000000000002</v>
      </c>
      <c r="P943" s="18" t="s">
        <v>1107</v>
      </c>
      <c r="Q943" s="18">
        <v>0</v>
      </c>
      <c r="V943" s="22">
        <f>4.5/5</f>
        <v>0.9</v>
      </c>
      <c r="W943" s="14" t="s">
        <v>7777</v>
      </c>
      <c r="X943" s="3">
        <v>2</v>
      </c>
      <c r="Z943" s="23">
        <v>9.5</v>
      </c>
      <c r="AB943" s="18">
        <f t="shared" si="28"/>
        <v>2020</v>
      </c>
      <c r="AC943" s="22">
        <f t="shared" si="29"/>
        <v>0.65</v>
      </c>
    </row>
    <row r="944" spans="1:29" ht="30">
      <c r="A944" s="8" t="s">
        <v>9444</v>
      </c>
      <c r="B944" s="17" t="s">
        <v>7744</v>
      </c>
      <c r="C944" s="13">
        <v>44119</v>
      </c>
      <c r="D944" s="13" t="s">
        <v>8467</v>
      </c>
      <c r="E944" s="10" t="s">
        <v>9445</v>
      </c>
      <c r="F944" s="10" t="s">
        <v>9446</v>
      </c>
      <c r="H944" s="2" t="s">
        <v>67</v>
      </c>
      <c r="L944" s="18">
        <v>1</v>
      </c>
      <c r="M944" s="14" t="s">
        <v>8462</v>
      </c>
      <c r="N944" s="13">
        <v>44007</v>
      </c>
      <c r="O944" s="29">
        <v>44.08</v>
      </c>
      <c r="P944" s="18" t="s">
        <v>14</v>
      </c>
      <c r="Q944" s="18">
        <v>0</v>
      </c>
      <c r="U944" s="22">
        <v>0.53</v>
      </c>
      <c r="V944" s="22">
        <f>3.83/5</f>
        <v>0.76600000000000001</v>
      </c>
      <c r="X944" s="3">
        <v>3</v>
      </c>
      <c r="Z944" s="23">
        <v>9.5</v>
      </c>
      <c r="AB944" s="18">
        <f t="shared" si="28"/>
        <v>2020</v>
      </c>
      <c r="AC944" s="22">
        <f t="shared" si="29"/>
        <v>0.63200000000000001</v>
      </c>
    </row>
    <row r="945" spans="1:29">
      <c r="A945" s="8" t="s">
        <v>9499</v>
      </c>
      <c r="B945" s="17" t="s">
        <v>7800</v>
      </c>
      <c r="C945" s="13">
        <v>44119</v>
      </c>
      <c r="D945" s="13" t="s">
        <v>8465</v>
      </c>
      <c r="E945" s="10" t="s">
        <v>9500</v>
      </c>
      <c r="F945" s="10" t="s">
        <v>9501</v>
      </c>
      <c r="H945" s="2" t="s">
        <v>80</v>
      </c>
      <c r="L945" s="18">
        <v>1</v>
      </c>
      <c r="N945" s="13">
        <v>44174</v>
      </c>
      <c r="O945" s="29">
        <v>18.739999999999998</v>
      </c>
      <c r="P945" s="18" t="s">
        <v>1107</v>
      </c>
      <c r="Q945" s="18">
        <v>0</v>
      </c>
      <c r="U945" s="22">
        <v>0.67</v>
      </c>
      <c r="V945" s="22">
        <f>3.1/5</f>
        <v>0.62</v>
      </c>
      <c r="W945" s="14" t="s">
        <v>7777</v>
      </c>
      <c r="X945" s="3">
        <v>3</v>
      </c>
      <c r="Z945" s="23">
        <v>4.5</v>
      </c>
      <c r="AB945" s="18">
        <f t="shared" si="28"/>
        <v>2020</v>
      </c>
      <c r="AC945" s="22">
        <f t="shared" si="29"/>
        <v>0.63</v>
      </c>
    </row>
    <row r="946" spans="1:29">
      <c r="A946" s="8" t="s">
        <v>11411</v>
      </c>
      <c r="B946" s="17" t="s">
        <v>7800</v>
      </c>
      <c r="C946" s="13">
        <v>44119</v>
      </c>
      <c r="D946" s="13" t="s">
        <v>8465</v>
      </c>
      <c r="E946" s="10" t="s">
        <v>9249</v>
      </c>
      <c r="F946" s="10" t="s">
        <v>11412</v>
      </c>
      <c r="H946" s="2" t="s">
        <v>3411</v>
      </c>
      <c r="L946" s="18">
        <v>1</v>
      </c>
      <c r="N946" s="13">
        <v>44638</v>
      </c>
      <c r="O946" s="29">
        <v>0</v>
      </c>
      <c r="P946" s="18" t="s">
        <v>1107</v>
      </c>
      <c r="Q946" s="18">
        <v>0</v>
      </c>
      <c r="U946" s="22">
        <v>0.74</v>
      </c>
      <c r="V946" s="22">
        <f>3.71/5</f>
        <v>0.74199999999999999</v>
      </c>
      <c r="W946" s="14" t="s">
        <v>7777</v>
      </c>
      <c r="X946" s="3">
        <v>2</v>
      </c>
      <c r="Z946" s="23">
        <v>7.5</v>
      </c>
      <c r="AB946" s="18">
        <f t="shared" si="28"/>
        <v>2020</v>
      </c>
      <c r="AC946" s="22">
        <f t="shared" si="29"/>
        <v>0.62733333333333341</v>
      </c>
    </row>
    <row r="947" spans="1:29" ht="25.5">
      <c r="A947" s="8" t="s">
        <v>11664</v>
      </c>
      <c r="B947" s="17" t="s">
        <v>7800</v>
      </c>
      <c r="C947" s="13">
        <v>44119</v>
      </c>
      <c r="D947" s="13" t="s">
        <v>8465</v>
      </c>
      <c r="E947" s="10" t="s">
        <v>10742</v>
      </c>
      <c r="F947" s="10" t="s">
        <v>7006</v>
      </c>
      <c r="G947" s="11" t="s">
        <v>7005</v>
      </c>
      <c r="H947" s="2" t="s">
        <v>1334</v>
      </c>
      <c r="L947" s="18">
        <v>1</v>
      </c>
      <c r="N947" s="13">
        <v>44673</v>
      </c>
      <c r="O947" s="29">
        <v>0</v>
      </c>
      <c r="P947" s="18" t="s">
        <v>1107</v>
      </c>
      <c r="Q947" s="18">
        <v>0</v>
      </c>
      <c r="U947" s="22">
        <v>0.59</v>
      </c>
      <c r="W947" s="14" t="s">
        <v>7777</v>
      </c>
      <c r="X947" s="3">
        <v>2</v>
      </c>
      <c r="Z947" s="23">
        <v>18</v>
      </c>
      <c r="AB947" s="18">
        <f t="shared" si="28"/>
        <v>2020</v>
      </c>
      <c r="AC947" s="22">
        <f t="shared" si="29"/>
        <v>0.495</v>
      </c>
    </row>
    <row r="948" spans="1:29">
      <c r="A948" s="8" t="s">
        <v>9389</v>
      </c>
      <c r="B948" s="17" t="s">
        <v>7760</v>
      </c>
      <c r="C948" s="13">
        <v>44118</v>
      </c>
      <c r="D948" s="13" t="s">
        <v>9335</v>
      </c>
      <c r="E948" s="10" t="s">
        <v>2298</v>
      </c>
      <c r="F948" s="10" t="s">
        <v>7413</v>
      </c>
      <c r="G948" s="11" t="s">
        <v>7414</v>
      </c>
      <c r="H948" s="2" t="s">
        <v>1059</v>
      </c>
      <c r="K948" s="18">
        <v>2</v>
      </c>
      <c r="L948" s="18">
        <v>1</v>
      </c>
      <c r="M948" s="14" t="s">
        <v>8462</v>
      </c>
      <c r="N948" s="13">
        <v>44096</v>
      </c>
      <c r="O948" s="29">
        <v>68.89</v>
      </c>
      <c r="P948" s="18" t="s">
        <v>14</v>
      </c>
      <c r="Q948" s="18">
        <v>0</v>
      </c>
      <c r="U948" s="22">
        <v>0.71</v>
      </c>
      <c r="V948" s="22">
        <f>3.6/5</f>
        <v>0.72</v>
      </c>
      <c r="X948" s="3">
        <v>3</v>
      </c>
      <c r="Z948" s="23">
        <v>8</v>
      </c>
      <c r="AB948" s="18">
        <f t="shared" si="28"/>
        <v>2020</v>
      </c>
      <c r="AC948" s="22">
        <f t="shared" si="29"/>
        <v>0.67666666666666664</v>
      </c>
    </row>
    <row r="949" spans="1:29" ht="25.5">
      <c r="A949" s="8" t="s">
        <v>12028</v>
      </c>
      <c r="B949" s="17" t="s">
        <v>7800</v>
      </c>
      <c r="C949" s="13">
        <v>44118</v>
      </c>
      <c r="D949" s="13" t="s">
        <v>8465</v>
      </c>
      <c r="E949" s="10" t="s">
        <v>3496</v>
      </c>
      <c r="F949" s="10" t="s">
        <v>3496</v>
      </c>
      <c r="G949" s="11" t="s">
        <v>8776</v>
      </c>
      <c r="H949" s="2" t="s">
        <v>1334</v>
      </c>
      <c r="L949" s="18">
        <v>1</v>
      </c>
      <c r="N949" s="13">
        <v>44730</v>
      </c>
      <c r="O949" s="29">
        <v>6.99</v>
      </c>
      <c r="P949" s="18" t="s">
        <v>1107</v>
      </c>
      <c r="Q949" s="18">
        <v>0</v>
      </c>
      <c r="U949" s="22">
        <v>0.79</v>
      </c>
      <c r="V949" s="22">
        <f>3.5/5</f>
        <v>0.7</v>
      </c>
      <c r="W949" s="14" t="s">
        <v>7777</v>
      </c>
      <c r="X949" s="3">
        <v>2</v>
      </c>
      <c r="Z949" s="23">
        <v>39.5</v>
      </c>
      <c r="AB949" s="18">
        <f t="shared" si="28"/>
        <v>2020</v>
      </c>
      <c r="AC949" s="22">
        <f t="shared" si="29"/>
        <v>0.63</v>
      </c>
    </row>
    <row r="950" spans="1:29" ht="25.5">
      <c r="A950" s="8" t="s">
        <v>15594</v>
      </c>
      <c r="B950" s="17" t="s">
        <v>7800</v>
      </c>
      <c r="C950" s="13">
        <v>44118</v>
      </c>
      <c r="D950" s="13" t="s">
        <v>8465</v>
      </c>
      <c r="E950" s="10" t="s">
        <v>15595</v>
      </c>
      <c r="F950" s="10" t="s">
        <v>15595</v>
      </c>
      <c r="H950" s="2" t="s">
        <v>151</v>
      </c>
      <c r="L950" s="18">
        <v>0</v>
      </c>
      <c r="Q950" s="18">
        <v>0</v>
      </c>
      <c r="U950" s="22">
        <v>0.75</v>
      </c>
      <c r="V950" s="22">
        <f>3.58/5</f>
        <v>0.71599999999999997</v>
      </c>
      <c r="W950" s="14" t="s">
        <v>9890</v>
      </c>
      <c r="X950" s="3">
        <v>2</v>
      </c>
      <c r="Y950" s="18">
        <v>1</v>
      </c>
      <c r="Z950" s="23">
        <v>12</v>
      </c>
      <c r="AB950" s="18">
        <f t="shared" si="28"/>
        <v>2020</v>
      </c>
      <c r="AC950" s="22">
        <f t="shared" si="29"/>
        <v>0.622</v>
      </c>
    </row>
    <row r="951" spans="1:29" ht="30">
      <c r="A951" s="8" t="s">
        <v>9365</v>
      </c>
      <c r="B951" s="17" t="s">
        <v>7744</v>
      </c>
      <c r="C951" s="13">
        <v>44117</v>
      </c>
      <c r="D951" s="13" t="s">
        <v>8465</v>
      </c>
      <c r="E951" s="10" t="s">
        <v>2285</v>
      </c>
      <c r="F951" s="10" t="s">
        <v>2285</v>
      </c>
      <c r="G951" s="11" t="s">
        <v>6266</v>
      </c>
      <c r="H951" s="2" t="s">
        <v>56</v>
      </c>
      <c r="L951" s="18">
        <v>1</v>
      </c>
      <c r="M951" s="14" t="s">
        <v>8462</v>
      </c>
      <c r="N951" s="13">
        <v>44039</v>
      </c>
      <c r="O951" s="29">
        <v>65.09</v>
      </c>
      <c r="P951" s="18" t="s">
        <v>14</v>
      </c>
      <c r="Q951" s="18">
        <v>0</v>
      </c>
      <c r="U951" s="22">
        <v>0.7</v>
      </c>
      <c r="V951" s="22">
        <f>3.78/5</f>
        <v>0.75600000000000001</v>
      </c>
      <c r="W951" s="14" t="s">
        <v>9366</v>
      </c>
      <c r="X951" s="3">
        <v>3</v>
      </c>
      <c r="Z951" s="23">
        <v>19</v>
      </c>
      <c r="AB951" s="18">
        <f t="shared" si="28"/>
        <v>2020</v>
      </c>
      <c r="AC951" s="22">
        <f t="shared" si="29"/>
        <v>0.68533333333333335</v>
      </c>
    </row>
    <row r="952" spans="1:29" ht="25.5">
      <c r="A952" s="8" t="s">
        <v>9901</v>
      </c>
      <c r="B952" s="17" t="s">
        <v>7800</v>
      </c>
      <c r="C952" s="13">
        <v>44117</v>
      </c>
      <c r="D952" s="13" t="s">
        <v>8465</v>
      </c>
      <c r="E952" s="10" t="s">
        <v>7894</v>
      </c>
      <c r="F952" s="10" t="s">
        <v>8371</v>
      </c>
      <c r="G952" s="11" t="s">
        <v>8372</v>
      </c>
      <c r="H952" s="2" t="s">
        <v>1061</v>
      </c>
      <c r="L952" s="18">
        <v>1</v>
      </c>
      <c r="N952" s="13">
        <v>44292</v>
      </c>
      <c r="O952" s="29">
        <v>0</v>
      </c>
      <c r="P952" s="18" t="s">
        <v>1107</v>
      </c>
      <c r="Q952" s="18">
        <v>0</v>
      </c>
      <c r="U952" s="22">
        <v>0.39</v>
      </c>
      <c r="V952" s="22">
        <f>2.75/5</f>
        <v>0.55000000000000004</v>
      </c>
      <c r="W952" s="14" t="s">
        <v>7777</v>
      </c>
      <c r="X952" s="3">
        <v>3</v>
      </c>
      <c r="Z952" s="23">
        <v>6</v>
      </c>
      <c r="AB952" s="18">
        <f t="shared" si="28"/>
        <v>2020</v>
      </c>
      <c r="AC952" s="22">
        <f t="shared" si="29"/>
        <v>0.51333333333333331</v>
      </c>
    </row>
    <row r="953" spans="1:29" ht="25.5">
      <c r="A953" s="8" t="s">
        <v>9367</v>
      </c>
      <c r="B953" s="17" t="s">
        <v>7744</v>
      </c>
      <c r="C953" s="13">
        <v>44117</v>
      </c>
      <c r="D953" s="13" t="s">
        <v>8465</v>
      </c>
      <c r="E953" s="10" t="s">
        <v>2452</v>
      </c>
      <c r="F953" s="10" t="s">
        <v>4687</v>
      </c>
      <c r="G953" s="11" t="s">
        <v>9368</v>
      </c>
      <c r="H953" s="2" t="s">
        <v>1057</v>
      </c>
      <c r="L953" s="18">
        <v>1</v>
      </c>
      <c r="M953" s="14" t="s">
        <v>8462</v>
      </c>
      <c r="N953" s="13">
        <v>43983</v>
      </c>
      <c r="O953" s="29">
        <v>65.09</v>
      </c>
      <c r="P953" s="18" t="s">
        <v>14</v>
      </c>
      <c r="Q953" s="18">
        <v>0</v>
      </c>
      <c r="V953" s="22">
        <f>3.05/5</f>
        <v>0.61</v>
      </c>
      <c r="W953" s="14" t="s">
        <v>9136</v>
      </c>
      <c r="X953" s="3">
        <v>2</v>
      </c>
      <c r="Z953" s="23">
        <f>19.5+12</f>
        <v>31.5</v>
      </c>
      <c r="AB953" s="18">
        <f t="shared" si="28"/>
        <v>2020</v>
      </c>
      <c r="AC953" s="22">
        <f t="shared" si="29"/>
        <v>0.505</v>
      </c>
    </row>
    <row r="954" spans="1:29">
      <c r="A954" s="8" t="s">
        <v>12516</v>
      </c>
      <c r="B954" s="17" t="s">
        <v>7800</v>
      </c>
      <c r="C954" s="13">
        <v>44116</v>
      </c>
      <c r="D954" s="13" t="s">
        <v>8465</v>
      </c>
      <c r="E954" s="10" t="s">
        <v>3212</v>
      </c>
      <c r="F954" s="10" t="s">
        <v>7028</v>
      </c>
      <c r="H954" s="2" t="s">
        <v>3411</v>
      </c>
      <c r="L954" s="18">
        <v>1</v>
      </c>
      <c r="N954" s="13">
        <v>44818</v>
      </c>
      <c r="O954" s="29">
        <v>0</v>
      </c>
      <c r="P954" s="18" t="s">
        <v>1107</v>
      </c>
      <c r="Q954" s="18">
        <v>0</v>
      </c>
      <c r="V954" s="22">
        <f>4/5</f>
        <v>0.8</v>
      </c>
      <c r="W954" s="14" t="s">
        <v>7777</v>
      </c>
      <c r="X954" s="3">
        <v>2</v>
      </c>
      <c r="Z954" s="23">
        <v>12</v>
      </c>
      <c r="AB954" s="18">
        <f t="shared" si="28"/>
        <v>2020</v>
      </c>
      <c r="AC954" s="22">
        <f t="shared" si="29"/>
        <v>0.60000000000000009</v>
      </c>
    </row>
    <row r="955" spans="1:29">
      <c r="A955" s="8" t="s">
        <v>15865</v>
      </c>
      <c r="B955" s="17" t="s">
        <v>7800</v>
      </c>
      <c r="C955" s="13">
        <v>44114</v>
      </c>
      <c r="D955" s="13" t="s">
        <v>8465</v>
      </c>
      <c r="E955" s="10" t="s">
        <v>12543</v>
      </c>
      <c r="F955" s="10" t="s">
        <v>12543</v>
      </c>
      <c r="G955" s="11" t="s">
        <v>15865</v>
      </c>
      <c r="H955" s="2" t="s">
        <v>1050</v>
      </c>
      <c r="L955" s="18">
        <v>1</v>
      </c>
      <c r="N955" s="13">
        <v>45193</v>
      </c>
      <c r="O955" s="29">
        <v>0</v>
      </c>
      <c r="P955" s="18" t="s">
        <v>1107</v>
      </c>
      <c r="Q955" s="18">
        <v>0</v>
      </c>
      <c r="W955" s="14" t="s">
        <v>8765</v>
      </c>
      <c r="X955" s="3">
        <v>2</v>
      </c>
      <c r="Z955" s="23">
        <f>45/60</f>
        <v>0.75</v>
      </c>
      <c r="AB955" s="18">
        <f t="shared" si="28"/>
        <v>2020</v>
      </c>
      <c r="AC955" s="22">
        <f t="shared" si="29"/>
        <v>0.4</v>
      </c>
    </row>
    <row r="956" spans="1:29">
      <c r="A956" s="8" t="s">
        <v>12182</v>
      </c>
      <c r="B956" s="17" t="s">
        <v>7800</v>
      </c>
      <c r="C956" s="13">
        <v>44113</v>
      </c>
      <c r="D956" s="13" t="s">
        <v>8465</v>
      </c>
      <c r="E956" s="10" t="s">
        <v>9397</v>
      </c>
      <c r="F956" s="10" t="s">
        <v>12183</v>
      </c>
      <c r="G956" s="11" t="s">
        <v>12184</v>
      </c>
      <c r="H956" s="2" t="s">
        <v>80</v>
      </c>
      <c r="L956" s="18">
        <v>1</v>
      </c>
      <c r="N956" s="13">
        <v>44758</v>
      </c>
      <c r="O956" s="29">
        <v>0</v>
      </c>
      <c r="P956" s="18" t="s">
        <v>1107</v>
      </c>
      <c r="Q956" s="18">
        <v>0</v>
      </c>
      <c r="V956" s="22">
        <f>3.33/5</f>
        <v>0.66600000000000004</v>
      </c>
      <c r="W956" s="14" t="s">
        <v>7777</v>
      </c>
      <c r="X956" s="3">
        <v>2</v>
      </c>
      <c r="Z956" s="23">
        <v>4.5</v>
      </c>
      <c r="AB956" s="18">
        <f t="shared" si="28"/>
        <v>2020</v>
      </c>
      <c r="AC956" s="22">
        <f t="shared" si="29"/>
        <v>0.53300000000000003</v>
      </c>
    </row>
    <row r="957" spans="1:29">
      <c r="A957" s="8" t="s">
        <v>10178</v>
      </c>
      <c r="B957" s="17" t="s">
        <v>7800</v>
      </c>
      <c r="C957" s="13">
        <v>44112</v>
      </c>
      <c r="D957" s="13" t="s">
        <v>8465</v>
      </c>
      <c r="E957" s="10" t="s">
        <v>9249</v>
      </c>
      <c r="F957" s="10" t="s">
        <v>10179</v>
      </c>
      <c r="H957" s="2" t="s">
        <v>75</v>
      </c>
      <c r="L957" s="18">
        <v>1</v>
      </c>
      <c r="N957" s="13">
        <v>44350</v>
      </c>
      <c r="O957" s="29">
        <v>0</v>
      </c>
      <c r="P957" s="18" t="s">
        <v>1107</v>
      </c>
      <c r="Q957" s="18">
        <v>0</v>
      </c>
      <c r="U957" s="22">
        <v>0.69</v>
      </c>
      <c r="V957" s="22">
        <f>3.3/5</f>
        <v>0.65999999999999992</v>
      </c>
      <c r="W957" s="14" t="s">
        <v>7777</v>
      </c>
      <c r="X957" s="3">
        <v>4</v>
      </c>
      <c r="Z957" s="23">
        <v>18</v>
      </c>
      <c r="AB957" s="18">
        <f t="shared" si="28"/>
        <v>2020</v>
      </c>
      <c r="AC957" s="22">
        <f t="shared" si="29"/>
        <v>0.71666666666666667</v>
      </c>
    </row>
    <row r="958" spans="1:29">
      <c r="A958" s="8" t="s">
        <v>9512</v>
      </c>
      <c r="B958" s="17" t="s">
        <v>7744</v>
      </c>
      <c r="C958" s="13">
        <v>44112</v>
      </c>
      <c r="D958" s="13" t="s">
        <v>8467</v>
      </c>
      <c r="E958" s="10" t="s">
        <v>9513</v>
      </c>
      <c r="F958" s="10" t="s">
        <v>9513</v>
      </c>
      <c r="H958" s="2" t="s">
        <v>171</v>
      </c>
      <c r="L958" s="18">
        <v>1</v>
      </c>
      <c r="M958" s="14" t="s">
        <v>8462</v>
      </c>
      <c r="N958" s="13">
        <v>44161</v>
      </c>
      <c r="O958" s="29">
        <v>49.51</v>
      </c>
      <c r="P958" s="18" t="s">
        <v>14</v>
      </c>
      <c r="Q958" s="18">
        <v>0</v>
      </c>
      <c r="V958" s="22">
        <f>4/5</f>
        <v>0.8</v>
      </c>
      <c r="W958" s="14" t="s">
        <v>1739</v>
      </c>
      <c r="X958" s="3">
        <v>3</v>
      </c>
      <c r="Z958" s="23">
        <v>10.5</v>
      </c>
      <c r="AB958" s="18">
        <f t="shared" si="28"/>
        <v>2020</v>
      </c>
      <c r="AC958" s="22">
        <f t="shared" si="29"/>
        <v>0.7</v>
      </c>
    </row>
    <row r="959" spans="1:29" ht="25.5">
      <c r="A959" s="8" t="s">
        <v>9359</v>
      </c>
      <c r="B959" s="17" t="s">
        <v>7760</v>
      </c>
      <c r="C959" s="13">
        <v>44106</v>
      </c>
      <c r="D959" s="13" t="s">
        <v>8465</v>
      </c>
      <c r="E959" s="10" t="s">
        <v>1273</v>
      </c>
      <c r="F959" s="10" t="s">
        <v>3035</v>
      </c>
      <c r="G959" s="11" t="s">
        <v>1576</v>
      </c>
      <c r="H959" s="2" t="s">
        <v>1040</v>
      </c>
      <c r="L959" s="18">
        <v>1</v>
      </c>
      <c r="M959" s="14" t="s">
        <v>8462</v>
      </c>
      <c r="N959" s="13">
        <v>44106</v>
      </c>
      <c r="O959" s="29">
        <v>65.09</v>
      </c>
      <c r="P959" s="18" t="s">
        <v>14</v>
      </c>
      <c r="Q959" s="18">
        <v>0</v>
      </c>
      <c r="U959" s="22">
        <v>0.85</v>
      </c>
      <c r="V959" s="22">
        <f>3.74/5</f>
        <v>0.748</v>
      </c>
      <c r="X959" s="3">
        <v>4</v>
      </c>
      <c r="Z959" s="23">
        <v>7</v>
      </c>
      <c r="AB959" s="18">
        <f t="shared" si="28"/>
        <v>2020</v>
      </c>
      <c r="AC959" s="22">
        <f t="shared" si="29"/>
        <v>0.79933333333333323</v>
      </c>
    </row>
    <row r="960" spans="1:29" ht="30">
      <c r="A960" s="8" t="s">
        <v>5614</v>
      </c>
      <c r="B960" s="17" t="s">
        <v>7744</v>
      </c>
      <c r="C960" s="13">
        <v>44105</v>
      </c>
      <c r="D960" s="13" t="s">
        <v>8465</v>
      </c>
      <c r="E960" s="10" t="s">
        <v>1721</v>
      </c>
      <c r="F960" s="10" t="s">
        <v>1245</v>
      </c>
      <c r="G960" s="11" t="s">
        <v>304</v>
      </c>
      <c r="H960" s="2" t="s">
        <v>171</v>
      </c>
      <c r="L960" s="18">
        <v>1</v>
      </c>
      <c r="M960" s="14" t="s">
        <v>8462</v>
      </c>
      <c r="N960" s="13">
        <v>44112</v>
      </c>
      <c r="O960" s="29">
        <v>38.119999999999997</v>
      </c>
      <c r="P960" s="18" t="s">
        <v>14</v>
      </c>
      <c r="Q960" s="18">
        <v>0</v>
      </c>
      <c r="U960" s="22">
        <v>0.81</v>
      </c>
      <c r="V960" s="22">
        <f>3.81/5</f>
        <v>0.76200000000000001</v>
      </c>
      <c r="W960" s="14" t="s">
        <v>1134</v>
      </c>
      <c r="X960" s="3">
        <v>4</v>
      </c>
      <c r="Z960" s="23">
        <v>11.5</v>
      </c>
      <c r="AB960" s="18">
        <f t="shared" si="28"/>
        <v>2020</v>
      </c>
      <c r="AC960" s="22">
        <f t="shared" si="29"/>
        <v>0.79066666666666663</v>
      </c>
    </row>
    <row r="961" spans="1:29">
      <c r="A961" s="8" t="s">
        <v>10164</v>
      </c>
      <c r="B961" s="17" t="s">
        <v>7760</v>
      </c>
      <c r="C961" s="13">
        <v>44104</v>
      </c>
      <c r="D961" s="13" t="s">
        <v>8465</v>
      </c>
      <c r="E961" s="10" t="s">
        <v>10165</v>
      </c>
      <c r="F961" s="10" t="s">
        <v>3782</v>
      </c>
      <c r="G961" s="11" t="s">
        <v>3781</v>
      </c>
      <c r="H961" s="2" t="s">
        <v>64</v>
      </c>
      <c r="L961" s="18">
        <v>1</v>
      </c>
      <c r="M961" s="14" t="s">
        <v>8462</v>
      </c>
      <c r="N961" s="13">
        <v>44341</v>
      </c>
      <c r="O961" s="29">
        <v>31.94</v>
      </c>
      <c r="P961" s="18" t="s">
        <v>14</v>
      </c>
      <c r="Q961" s="18">
        <v>0</v>
      </c>
      <c r="W961" s="14" t="s">
        <v>8216</v>
      </c>
      <c r="X961" s="3">
        <v>4</v>
      </c>
      <c r="Z961" s="23">
        <v>4.5</v>
      </c>
      <c r="AB961" s="18">
        <f t="shared" si="28"/>
        <v>2020</v>
      </c>
      <c r="AC961" s="22">
        <f t="shared" si="29"/>
        <v>0.8</v>
      </c>
    </row>
    <row r="962" spans="1:29">
      <c r="A962" s="8" t="s">
        <v>12826</v>
      </c>
      <c r="B962" s="17" t="s">
        <v>7800</v>
      </c>
      <c r="C962" s="13">
        <v>44103</v>
      </c>
      <c r="D962" s="13" t="s">
        <v>8465</v>
      </c>
      <c r="E962" s="10" t="s">
        <v>5091</v>
      </c>
      <c r="F962" s="10" t="s">
        <v>5091</v>
      </c>
      <c r="G962" s="11" t="s">
        <v>5090</v>
      </c>
      <c r="H962" s="2" t="s">
        <v>1518</v>
      </c>
      <c r="L962" s="18">
        <v>1</v>
      </c>
      <c r="N962" s="13">
        <v>44854</v>
      </c>
      <c r="O962" s="29">
        <v>9.99</v>
      </c>
      <c r="P962" s="18" t="s">
        <v>1107</v>
      </c>
      <c r="Q962" s="18">
        <v>0</v>
      </c>
      <c r="U962" s="22">
        <v>0.91</v>
      </c>
      <c r="V962" s="22">
        <f>3.9/5</f>
        <v>0.78</v>
      </c>
      <c r="W962" s="14" t="s">
        <v>7777</v>
      </c>
      <c r="X962" s="3">
        <v>4</v>
      </c>
      <c r="Z962" s="23">
        <v>27.5</v>
      </c>
      <c r="AB962" s="18">
        <f t="shared" ref="AB962:AB1025" si="30">IFERROR(YEAR(C962), "Early Access")</f>
        <v>2020</v>
      </c>
      <c r="AC962" s="22">
        <f t="shared" ref="AC962:AC1025" si="31">AVERAGE(T962, U962, V962, IF(ISBLANK(X962), X962, X962/5))</f>
        <v>0.83000000000000007</v>
      </c>
    </row>
    <row r="963" spans="1:29">
      <c r="A963" s="8" t="s">
        <v>10604</v>
      </c>
      <c r="B963" s="17" t="s">
        <v>7760</v>
      </c>
      <c r="C963" s="13">
        <v>44103</v>
      </c>
      <c r="D963" s="13" t="s">
        <v>8465</v>
      </c>
      <c r="E963" s="10" t="s">
        <v>3797</v>
      </c>
      <c r="F963" s="10" t="s">
        <v>3797</v>
      </c>
      <c r="H963" s="2" t="s">
        <v>1059</v>
      </c>
      <c r="I963" s="18">
        <v>1</v>
      </c>
      <c r="L963" s="18">
        <v>1</v>
      </c>
      <c r="N963" s="13">
        <v>44502</v>
      </c>
      <c r="O963" s="29">
        <v>0</v>
      </c>
      <c r="P963" s="18" t="s">
        <v>1107</v>
      </c>
      <c r="Q963" s="18">
        <v>0</v>
      </c>
      <c r="U963" s="22">
        <v>0.85</v>
      </c>
      <c r="V963" s="22">
        <f>3.58/5</f>
        <v>0.71599999999999997</v>
      </c>
      <c r="W963" s="14" t="s">
        <v>6072</v>
      </c>
      <c r="X963" s="3">
        <v>2</v>
      </c>
      <c r="Z963" s="23">
        <v>8</v>
      </c>
      <c r="AB963" s="18">
        <f t="shared" si="30"/>
        <v>2020</v>
      </c>
      <c r="AC963" s="22">
        <f t="shared" si="31"/>
        <v>0.65533333333333321</v>
      </c>
    </row>
    <row r="964" spans="1:29" ht="25.5">
      <c r="A964" s="8" t="s">
        <v>15218</v>
      </c>
      <c r="B964" s="17" t="s">
        <v>7800</v>
      </c>
      <c r="C964" s="13">
        <v>44103</v>
      </c>
      <c r="D964" s="13" t="s">
        <v>8465</v>
      </c>
      <c r="E964" s="10" t="s">
        <v>9423</v>
      </c>
      <c r="F964" s="10" t="s">
        <v>9423</v>
      </c>
      <c r="G964" s="11" t="s">
        <v>5388</v>
      </c>
      <c r="H964" s="2" t="s">
        <v>1050</v>
      </c>
      <c r="I964" s="18">
        <v>1</v>
      </c>
      <c r="L964" s="18">
        <v>1</v>
      </c>
      <c r="N964" s="13">
        <v>45097</v>
      </c>
      <c r="O964" s="29">
        <v>0</v>
      </c>
      <c r="P964" s="18" t="s">
        <v>1107</v>
      </c>
      <c r="Q964" s="18">
        <v>0</v>
      </c>
      <c r="U964" s="22">
        <v>0.56000000000000005</v>
      </c>
      <c r="W964" s="14" t="s">
        <v>7777</v>
      </c>
      <c r="X964" s="3">
        <v>2</v>
      </c>
      <c r="Z964" s="23">
        <v>8</v>
      </c>
      <c r="AB964" s="18">
        <f t="shared" si="30"/>
        <v>2020</v>
      </c>
      <c r="AC964" s="22">
        <f t="shared" si="31"/>
        <v>0.48000000000000004</v>
      </c>
    </row>
    <row r="965" spans="1:29">
      <c r="A965" s="8" t="s">
        <v>9509</v>
      </c>
      <c r="B965" s="17" t="s">
        <v>7760</v>
      </c>
      <c r="C965" s="13">
        <v>44102</v>
      </c>
      <c r="D965" s="13" t="s">
        <v>8465</v>
      </c>
      <c r="E965" s="10" t="s">
        <v>9510</v>
      </c>
      <c r="F965" s="10" t="s">
        <v>9510</v>
      </c>
      <c r="H965" s="2" t="s">
        <v>171</v>
      </c>
      <c r="L965" s="18">
        <v>0</v>
      </c>
      <c r="P965" s="18" t="s">
        <v>1107</v>
      </c>
      <c r="Q965" s="18">
        <v>0</v>
      </c>
      <c r="U965" s="22">
        <v>0.81</v>
      </c>
      <c r="V965" s="22">
        <f>3.61/5</f>
        <v>0.72199999999999998</v>
      </c>
      <c r="X965" s="3">
        <v>2</v>
      </c>
      <c r="Z965" s="23">
        <v>41.5</v>
      </c>
      <c r="AB965" s="18">
        <f t="shared" si="30"/>
        <v>2020</v>
      </c>
      <c r="AC965" s="22">
        <f t="shared" si="31"/>
        <v>0.64400000000000002</v>
      </c>
    </row>
    <row r="966" spans="1:29">
      <c r="A966" s="8" t="s">
        <v>10175</v>
      </c>
      <c r="B966" s="17" t="s">
        <v>7800</v>
      </c>
      <c r="C966" s="13">
        <v>44098</v>
      </c>
      <c r="D966" s="13" t="s">
        <v>8465</v>
      </c>
      <c r="E966" s="10" t="s">
        <v>1634</v>
      </c>
      <c r="F966" s="10" t="s">
        <v>10176</v>
      </c>
      <c r="H966" s="2" t="s">
        <v>1518</v>
      </c>
      <c r="L966" s="18">
        <v>1</v>
      </c>
      <c r="N966" s="13">
        <v>44350</v>
      </c>
      <c r="O966" s="29">
        <v>0</v>
      </c>
      <c r="P966" s="18" t="s">
        <v>1107</v>
      </c>
      <c r="Q966" s="18">
        <v>0</v>
      </c>
      <c r="U966" s="22">
        <v>0.78</v>
      </c>
      <c r="V966" s="22">
        <f>3.38/5</f>
        <v>0.67599999999999993</v>
      </c>
      <c r="W966" s="14" t="s">
        <v>7777</v>
      </c>
      <c r="X966" s="3">
        <v>4</v>
      </c>
      <c r="Z966" s="23">
        <v>8</v>
      </c>
      <c r="AB966" s="18">
        <f t="shared" si="30"/>
        <v>2020</v>
      </c>
      <c r="AC966" s="22">
        <f t="shared" si="31"/>
        <v>0.75200000000000011</v>
      </c>
    </row>
    <row r="967" spans="1:29">
      <c r="A967" s="8" t="s">
        <v>9817</v>
      </c>
      <c r="B967" s="17" t="s">
        <v>7800</v>
      </c>
      <c r="C967" s="13">
        <v>44098</v>
      </c>
      <c r="D967" s="13" t="s">
        <v>8465</v>
      </c>
      <c r="E967" s="10" t="s">
        <v>7039</v>
      </c>
      <c r="F967" s="10" t="s">
        <v>9818</v>
      </c>
      <c r="H967" s="2" t="s">
        <v>1040</v>
      </c>
      <c r="L967" s="18">
        <v>1</v>
      </c>
      <c r="N967" s="13">
        <v>44257</v>
      </c>
      <c r="O967" s="29">
        <v>0</v>
      </c>
      <c r="P967" s="18" t="s">
        <v>1107</v>
      </c>
      <c r="Q967" s="18">
        <v>0</v>
      </c>
      <c r="V967" s="22">
        <f>4.13/5</f>
        <v>0.82599999999999996</v>
      </c>
      <c r="W967" s="14" t="s">
        <v>7777</v>
      </c>
      <c r="X967" s="3">
        <v>2</v>
      </c>
      <c r="Z967" s="23">
        <v>3.5</v>
      </c>
      <c r="AB967" s="18">
        <f t="shared" si="30"/>
        <v>2020</v>
      </c>
      <c r="AC967" s="22">
        <f t="shared" si="31"/>
        <v>0.61299999999999999</v>
      </c>
    </row>
    <row r="968" spans="1:29">
      <c r="A968" s="8" t="s">
        <v>12641</v>
      </c>
      <c r="B968" s="17" t="s">
        <v>7800</v>
      </c>
      <c r="C968" s="13">
        <v>44098</v>
      </c>
      <c r="D968" s="13" t="s">
        <v>8465</v>
      </c>
      <c r="E968" s="10" t="s">
        <v>3063</v>
      </c>
      <c r="F968" s="10" t="s">
        <v>4942</v>
      </c>
      <c r="G968" s="11" t="s">
        <v>4943</v>
      </c>
      <c r="H968" s="2" t="s">
        <v>1050</v>
      </c>
      <c r="L968" s="18">
        <v>1</v>
      </c>
      <c r="N968" s="13">
        <v>44825</v>
      </c>
      <c r="O968" s="29">
        <v>20</v>
      </c>
      <c r="P968" s="18" t="s">
        <v>1107</v>
      </c>
      <c r="Q968" s="18">
        <v>0</v>
      </c>
      <c r="U968" s="22">
        <v>0.68</v>
      </c>
      <c r="V968" s="22">
        <f>3.51/5</f>
        <v>0.70199999999999996</v>
      </c>
      <c r="W968" s="14" t="s">
        <v>7777</v>
      </c>
      <c r="X968" s="3">
        <v>4</v>
      </c>
      <c r="Z968" s="23">
        <v>9</v>
      </c>
      <c r="AB968" s="18">
        <f t="shared" si="30"/>
        <v>2020</v>
      </c>
      <c r="AC968" s="22">
        <f t="shared" si="31"/>
        <v>0.7273333333333335</v>
      </c>
    </row>
    <row r="969" spans="1:29">
      <c r="A969" s="8" t="s">
        <v>12801</v>
      </c>
      <c r="B969" s="17" t="s">
        <v>7744</v>
      </c>
      <c r="C969" s="13">
        <v>44097</v>
      </c>
      <c r="D969" s="13" t="s">
        <v>8465</v>
      </c>
      <c r="E969" s="10" t="s">
        <v>86</v>
      </c>
      <c r="F969" s="10" t="s">
        <v>30</v>
      </c>
      <c r="G969" s="11" t="s">
        <v>223</v>
      </c>
      <c r="H969" s="2" t="s">
        <v>459</v>
      </c>
      <c r="L969" s="18">
        <v>1</v>
      </c>
      <c r="N969" s="13">
        <v>44847</v>
      </c>
      <c r="O969" s="29">
        <v>12.49</v>
      </c>
      <c r="P969" s="18" t="s">
        <v>1107</v>
      </c>
      <c r="Q969" s="18">
        <v>0</v>
      </c>
      <c r="U969" s="22">
        <v>0.65</v>
      </c>
      <c r="V969" s="22">
        <f>3.65/5</f>
        <v>0.73</v>
      </c>
      <c r="X969" s="3">
        <v>2</v>
      </c>
      <c r="Z969" s="23">
        <v>4</v>
      </c>
      <c r="AB969" s="18">
        <f t="shared" si="30"/>
        <v>2020</v>
      </c>
      <c r="AC969" s="22">
        <f t="shared" si="31"/>
        <v>0.59333333333333327</v>
      </c>
    </row>
    <row r="970" spans="1:29">
      <c r="A970" s="8" t="s">
        <v>9308</v>
      </c>
      <c r="B970" s="17" t="s">
        <v>7760</v>
      </c>
      <c r="C970" s="13">
        <v>44096</v>
      </c>
      <c r="D970" s="13" t="s">
        <v>8465</v>
      </c>
      <c r="E970" s="10" t="s">
        <v>2461</v>
      </c>
      <c r="F970" s="10" t="s">
        <v>1553</v>
      </c>
      <c r="H970" s="2" t="s">
        <v>1143</v>
      </c>
      <c r="L970" s="18">
        <v>1</v>
      </c>
      <c r="M970" s="14" t="s">
        <v>8462</v>
      </c>
      <c r="N970" s="13">
        <v>44096</v>
      </c>
      <c r="O970" s="29">
        <v>65.09</v>
      </c>
      <c r="P970" s="18" t="s">
        <v>14</v>
      </c>
      <c r="Q970" s="18">
        <v>0</v>
      </c>
      <c r="U970" s="22">
        <v>0.86</v>
      </c>
      <c r="V970" s="22">
        <f>4.27/5</f>
        <v>0.85399999999999987</v>
      </c>
      <c r="X970" s="3">
        <v>4</v>
      </c>
      <c r="Z970" s="23">
        <v>28.5</v>
      </c>
      <c r="AB970" s="18">
        <f t="shared" si="30"/>
        <v>2020</v>
      </c>
      <c r="AC970" s="22">
        <f t="shared" si="31"/>
        <v>0.83800000000000008</v>
      </c>
    </row>
    <row r="971" spans="1:29" ht="25.5">
      <c r="A971" s="8" t="s">
        <v>13483</v>
      </c>
      <c r="B971" s="17" t="s">
        <v>7800</v>
      </c>
      <c r="C971" s="13">
        <v>44096</v>
      </c>
      <c r="D971" s="13" t="s">
        <v>8465</v>
      </c>
      <c r="E971" s="10" t="s">
        <v>10083</v>
      </c>
      <c r="F971" s="10" t="s">
        <v>13484</v>
      </c>
      <c r="H971" s="2" t="s">
        <v>67</v>
      </c>
      <c r="L971" s="18">
        <v>1</v>
      </c>
      <c r="N971" s="13">
        <v>44965</v>
      </c>
      <c r="O971" s="29">
        <v>0</v>
      </c>
      <c r="P971" s="18" t="s">
        <v>1107</v>
      </c>
      <c r="Q971" s="18">
        <v>0</v>
      </c>
      <c r="U971" s="22">
        <v>0.77</v>
      </c>
      <c r="V971" s="22">
        <f>3.82/5</f>
        <v>0.76400000000000001</v>
      </c>
      <c r="W971" s="14" t="s">
        <v>7777</v>
      </c>
      <c r="X971" s="3">
        <v>3</v>
      </c>
      <c r="Z971" s="23">
        <v>1.5</v>
      </c>
      <c r="AB971" s="18">
        <f t="shared" si="30"/>
        <v>2020</v>
      </c>
      <c r="AC971" s="22">
        <f t="shared" si="31"/>
        <v>0.71133333333333326</v>
      </c>
    </row>
    <row r="972" spans="1:29">
      <c r="A972" s="8" t="s">
        <v>15863</v>
      </c>
      <c r="B972" s="17" t="s">
        <v>7800</v>
      </c>
      <c r="C972" s="13">
        <v>44096</v>
      </c>
      <c r="D972" s="13" t="s">
        <v>8465</v>
      </c>
      <c r="E972" s="10" t="s">
        <v>12543</v>
      </c>
      <c r="F972" s="10" t="s">
        <v>12543</v>
      </c>
      <c r="G972" s="11" t="s">
        <v>15862</v>
      </c>
      <c r="H972" s="2" t="s">
        <v>1050</v>
      </c>
      <c r="L972" s="18">
        <v>1</v>
      </c>
      <c r="N972" s="13">
        <v>45193</v>
      </c>
      <c r="O972" s="29">
        <v>0</v>
      </c>
      <c r="P972" s="18" t="s">
        <v>1107</v>
      </c>
      <c r="Q972" s="18">
        <v>0</v>
      </c>
      <c r="V972" s="22">
        <f>4/5</f>
        <v>0.8</v>
      </c>
      <c r="W972" s="14" t="s">
        <v>7777</v>
      </c>
      <c r="X972" s="3">
        <v>2</v>
      </c>
      <c r="Z972" s="23">
        <v>4.5</v>
      </c>
      <c r="AB972" s="18">
        <f t="shared" si="30"/>
        <v>2020</v>
      </c>
      <c r="AC972" s="22">
        <f t="shared" si="31"/>
        <v>0.60000000000000009</v>
      </c>
    </row>
    <row r="973" spans="1:29" ht="25.5">
      <c r="A973" s="8" t="s">
        <v>9301</v>
      </c>
      <c r="B973" s="17" t="s">
        <v>7744</v>
      </c>
      <c r="C973" s="13">
        <v>44092</v>
      </c>
      <c r="D973" s="13" t="s">
        <v>8465</v>
      </c>
      <c r="E973" s="10" t="s">
        <v>86</v>
      </c>
      <c r="F973" s="10" t="s">
        <v>1138</v>
      </c>
      <c r="G973" s="11" t="s">
        <v>137</v>
      </c>
      <c r="H973" s="2" t="s">
        <v>1040</v>
      </c>
      <c r="L973" s="18">
        <v>1</v>
      </c>
      <c r="M973" s="14" t="s">
        <v>8462</v>
      </c>
      <c r="N973" s="13">
        <v>44092</v>
      </c>
      <c r="O973" s="29">
        <v>65.09</v>
      </c>
      <c r="P973" s="18" t="s">
        <v>14</v>
      </c>
      <c r="Q973" s="18">
        <v>0</v>
      </c>
      <c r="U973" s="22">
        <v>0.83</v>
      </c>
      <c r="V973" s="22">
        <f>4.05/5</f>
        <v>0.80999999999999994</v>
      </c>
      <c r="X973" s="3">
        <v>4</v>
      </c>
      <c r="Z973" s="23">
        <v>33</v>
      </c>
      <c r="AB973" s="18">
        <f t="shared" si="30"/>
        <v>2020</v>
      </c>
      <c r="AC973" s="22">
        <f t="shared" si="31"/>
        <v>0.81333333333333335</v>
      </c>
    </row>
    <row r="974" spans="1:29">
      <c r="A974" s="8" t="s">
        <v>9361</v>
      </c>
      <c r="B974" s="17" t="s">
        <v>7744</v>
      </c>
      <c r="C974" s="13">
        <v>44091</v>
      </c>
      <c r="D974" s="13" t="s">
        <v>9335</v>
      </c>
      <c r="E974" s="10" t="s">
        <v>7523</v>
      </c>
      <c r="F974" s="10" t="s">
        <v>3113</v>
      </c>
      <c r="G974" s="11" t="s">
        <v>9103</v>
      </c>
      <c r="H974" s="2" t="s">
        <v>1377</v>
      </c>
      <c r="K974" s="18">
        <v>2</v>
      </c>
      <c r="L974" s="18">
        <v>1</v>
      </c>
      <c r="M974" s="14" t="s">
        <v>8462</v>
      </c>
      <c r="N974" s="13">
        <v>44106</v>
      </c>
      <c r="O974" s="29">
        <v>47.89</v>
      </c>
      <c r="P974" s="18" t="s">
        <v>14</v>
      </c>
      <c r="Q974" s="18">
        <v>0</v>
      </c>
      <c r="U974" s="22">
        <v>0.77</v>
      </c>
      <c r="V974" s="22">
        <f>3.78/5</f>
        <v>0.75600000000000001</v>
      </c>
      <c r="X974" s="3">
        <v>4</v>
      </c>
      <c r="Z974" s="23">
        <v>41.5</v>
      </c>
      <c r="AB974" s="18">
        <f t="shared" si="30"/>
        <v>2020</v>
      </c>
      <c r="AC974" s="22">
        <f t="shared" si="31"/>
        <v>0.77533333333333332</v>
      </c>
    </row>
    <row r="975" spans="1:29">
      <c r="A975" s="8" t="s">
        <v>12689</v>
      </c>
      <c r="B975" s="17" t="s">
        <v>7800</v>
      </c>
      <c r="C975" s="13">
        <v>44091</v>
      </c>
      <c r="D975" s="13" t="s">
        <v>8465</v>
      </c>
      <c r="E975" s="10" t="s">
        <v>3410</v>
      </c>
      <c r="F975" s="10" t="s">
        <v>3410</v>
      </c>
      <c r="H975" s="2" t="s">
        <v>459</v>
      </c>
      <c r="L975" s="18">
        <v>1</v>
      </c>
      <c r="P975" s="18" t="s">
        <v>1107</v>
      </c>
      <c r="Q975" s="18">
        <v>0</v>
      </c>
      <c r="V975" s="22">
        <f>4/5</f>
        <v>0.8</v>
      </c>
      <c r="W975" s="14" t="s">
        <v>7777</v>
      </c>
      <c r="X975" s="3">
        <v>3</v>
      </c>
      <c r="Z975" s="23">
        <v>3</v>
      </c>
      <c r="AB975" s="18">
        <f t="shared" si="30"/>
        <v>2020</v>
      </c>
      <c r="AC975" s="22">
        <f t="shared" si="31"/>
        <v>0.7</v>
      </c>
    </row>
    <row r="976" spans="1:29">
      <c r="A976" s="8" t="s">
        <v>14299</v>
      </c>
      <c r="B976" s="17" t="s">
        <v>7744</v>
      </c>
      <c r="C976" s="13">
        <v>44091</v>
      </c>
      <c r="D976" s="13" t="s">
        <v>8465</v>
      </c>
      <c r="E976" s="10" t="s">
        <v>2475</v>
      </c>
      <c r="F976" s="10" t="s">
        <v>2475</v>
      </c>
      <c r="H976" s="2" t="s">
        <v>153</v>
      </c>
      <c r="L976" s="18">
        <v>1</v>
      </c>
      <c r="N976" s="13">
        <v>45026</v>
      </c>
      <c r="O976" s="29">
        <v>1.99</v>
      </c>
      <c r="P976" s="18" t="s">
        <v>1107</v>
      </c>
      <c r="Q976" s="18">
        <v>0</v>
      </c>
      <c r="U976" s="22">
        <v>0.75</v>
      </c>
      <c r="V976" s="22">
        <f>3.67/5</f>
        <v>0.73399999999999999</v>
      </c>
      <c r="X976" s="3">
        <v>3</v>
      </c>
      <c r="Z976" s="23">
        <v>1</v>
      </c>
      <c r="AB976" s="18">
        <f t="shared" si="30"/>
        <v>2020</v>
      </c>
      <c r="AC976" s="22">
        <f t="shared" si="31"/>
        <v>0.69466666666666665</v>
      </c>
    </row>
    <row r="977" spans="1:29">
      <c r="A977" s="8" t="s">
        <v>8243</v>
      </c>
      <c r="B977" s="17" t="s">
        <v>7744</v>
      </c>
      <c r="C977" s="13">
        <v>44091</v>
      </c>
      <c r="D977" s="13" t="s">
        <v>8465</v>
      </c>
      <c r="E977" s="10" t="s">
        <v>3261</v>
      </c>
      <c r="F977" s="10" t="s">
        <v>3261</v>
      </c>
      <c r="H977" s="2" t="s">
        <v>1518</v>
      </c>
      <c r="L977" s="18">
        <v>1</v>
      </c>
      <c r="M977" s="14" t="s">
        <v>8462</v>
      </c>
      <c r="N977" s="13">
        <v>44246</v>
      </c>
      <c r="O977" s="29">
        <v>37.840000000000003</v>
      </c>
      <c r="P977" s="18" t="s">
        <v>14</v>
      </c>
      <c r="Q977" s="18">
        <v>0</v>
      </c>
      <c r="U977" s="22">
        <v>0.93</v>
      </c>
      <c r="X977" s="3">
        <v>2</v>
      </c>
      <c r="Z977" s="23">
        <v>22.5</v>
      </c>
      <c r="AB977" s="18">
        <f t="shared" si="30"/>
        <v>2020</v>
      </c>
      <c r="AC977" s="22">
        <f t="shared" si="31"/>
        <v>0.66500000000000004</v>
      </c>
    </row>
    <row r="978" spans="1:29" ht="38.25">
      <c r="A978" s="8" t="s">
        <v>12462</v>
      </c>
      <c r="B978" s="17" t="s">
        <v>7800</v>
      </c>
      <c r="C978" s="13">
        <v>44091</v>
      </c>
      <c r="D978" s="13" t="s">
        <v>8465</v>
      </c>
      <c r="E978" s="10" t="s">
        <v>3074</v>
      </c>
      <c r="F978" s="10" t="s">
        <v>12463</v>
      </c>
      <c r="H978" s="2" t="s">
        <v>3937</v>
      </c>
      <c r="L978" s="18">
        <v>1</v>
      </c>
      <c r="N978" s="13">
        <v>44810</v>
      </c>
      <c r="O978" s="29">
        <v>0</v>
      </c>
      <c r="P978" s="18" t="s">
        <v>1107</v>
      </c>
      <c r="Q978" s="18">
        <v>0</v>
      </c>
      <c r="U978" s="22">
        <v>0.72</v>
      </c>
      <c r="V978" s="22">
        <f>3.5/5</f>
        <v>0.7</v>
      </c>
      <c r="W978" s="14" t="s">
        <v>7777</v>
      </c>
      <c r="X978" s="3">
        <v>3</v>
      </c>
      <c r="Z978" s="23">
        <v>31</v>
      </c>
      <c r="AB978" s="18">
        <f t="shared" si="30"/>
        <v>2020</v>
      </c>
      <c r="AC978" s="22">
        <f t="shared" si="31"/>
        <v>0.67333333333333334</v>
      </c>
    </row>
    <row r="979" spans="1:29" ht="25.5">
      <c r="A979" s="8" t="s">
        <v>10595</v>
      </c>
      <c r="B979" s="17" t="s">
        <v>7800</v>
      </c>
      <c r="C979" s="13">
        <v>44089</v>
      </c>
      <c r="D979" s="13" t="s">
        <v>8465</v>
      </c>
      <c r="E979" s="10" t="s">
        <v>10596</v>
      </c>
      <c r="F979" s="10" t="s">
        <v>10596</v>
      </c>
      <c r="H979" s="2" t="s">
        <v>1220</v>
      </c>
      <c r="L979" s="18">
        <v>1</v>
      </c>
      <c r="N979" s="13">
        <v>44502</v>
      </c>
      <c r="O979" s="29">
        <v>0</v>
      </c>
      <c r="P979" s="18" t="s">
        <v>1107</v>
      </c>
      <c r="Q979" s="18">
        <v>0</v>
      </c>
      <c r="U979" s="22">
        <v>0.73</v>
      </c>
      <c r="V979" s="22">
        <f>3.33/5</f>
        <v>0.66600000000000004</v>
      </c>
      <c r="W979" s="14" t="s">
        <v>7777</v>
      </c>
      <c r="X979" s="3">
        <v>3</v>
      </c>
      <c r="Z979" s="23">
        <v>2.5</v>
      </c>
      <c r="AB979" s="18">
        <f t="shared" si="30"/>
        <v>2020</v>
      </c>
      <c r="AC979" s="22">
        <f t="shared" si="31"/>
        <v>0.66533333333333333</v>
      </c>
    </row>
    <row r="980" spans="1:29">
      <c r="A980" s="8" t="s">
        <v>12623</v>
      </c>
      <c r="B980" s="17" t="s">
        <v>7800</v>
      </c>
      <c r="C980" s="13">
        <v>44084</v>
      </c>
      <c r="D980" s="13" t="s">
        <v>8465</v>
      </c>
      <c r="E980" s="10" t="s">
        <v>6517</v>
      </c>
      <c r="F980" s="10" t="s">
        <v>4805</v>
      </c>
      <c r="H980" s="2" t="s">
        <v>67</v>
      </c>
      <c r="L980" s="18">
        <v>1</v>
      </c>
      <c r="P980" s="18" t="s">
        <v>1107</v>
      </c>
      <c r="Q980" s="18">
        <v>0</v>
      </c>
      <c r="U980" s="22">
        <v>0.75</v>
      </c>
      <c r="V980" s="22">
        <f>3.34/5</f>
        <v>0.66799999999999993</v>
      </c>
      <c r="W980" s="14" t="s">
        <v>7777</v>
      </c>
      <c r="X980" s="3">
        <v>4</v>
      </c>
      <c r="Z980" s="23">
        <v>9.5</v>
      </c>
      <c r="AB980" s="18">
        <f t="shared" si="30"/>
        <v>2020</v>
      </c>
      <c r="AC980" s="22">
        <f t="shared" si="31"/>
        <v>0.73933333333333329</v>
      </c>
    </row>
    <row r="981" spans="1:29">
      <c r="A981" s="8" t="s">
        <v>9821</v>
      </c>
      <c r="B981" s="17" t="s">
        <v>7800</v>
      </c>
      <c r="C981" s="13">
        <v>44084</v>
      </c>
      <c r="D981" s="13" t="s">
        <v>8465</v>
      </c>
      <c r="E981" s="10" t="s">
        <v>1151</v>
      </c>
      <c r="F981" s="10" t="s">
        <v>1687</v>
      </c>
      <c r="H981" s="2" t="s">
        <v>150</v>
      </c>
      <c r="L981" s="18">
        <v>1</v>
      </c>
      <c r="N981" s="13">
        <v>44257</v>
      </c>
      <c r="O981" s="29">
        <v>0</v>
      </c>
      <c r="P981" s="18" t="s">
        <v>1107</v>
      </c>
      <c r="Q981" s="18">
        <v>0</v>
      </c>
      <c r="U981" s="22">
        <v>0.71</v>
      </c>
      <c r="V981" s="22">
        <f>3.65/5</f>
        <v>0.73</v>
      </c>
      <c r="W981" s="14" t="s">
        <v>7777</v>
      </c>
      <c r="X981" s="3">
        <v>2</v>
      </c>
      <c r="Z981" s="23">
        <v>1.5</v>
      </c>
      <c r="AB981" s="18">
        <f t="shared" si="30"/>
        <v>2020</v>
      </c>
      <c r="AC981" s="22">
        <f t="shared" si="31"/>
        <v>0.61333333333333329</v>
      </c>
    </row>
    <row r="982" spans="1:29" ht="38.25">
      <c r="A982" s="8" t="s">
        <v>9545</v>
      </c>
      <c r="B982" s="17" t="s">
        <v>7800</v>
      </c>
      <c r="C982" s="13">
        <v>44084</v>
      </c>
      <c r="D982" s="13" t="s">
        <v>8465</v>
      </c>
      <c r="E982" s="10" t="s">
        <v>9247</v>
      </c>
      <c r="F982" s="10" t="s">
        <v>9247</v>
      </c>
      <c r="G982" s="11" t="s">
        <v>5497</v>
      </c>
      <c r="H982" s="2" t="s">
        <v>67</v>
      </c>
      <c r="L982" s="18">
        <v>1</v>
      </c>
      <c r="N982" s="13">
        <v>44197</v>
      </c>
      <c r="O982" s="29">
        <v>0</v>
      </c>
      <c r="P982" s="18" t="s">
        <v>1107</v>
      </c>
      <c r="Q982" s="18">
        <v>0</v>
      </c>
      <c r="U982" s="22">
        <v>0.64</v>
      </c>
      <c r="V982" s="22">
        <f>3.14/5</f>
        <v>0.628</v>
      </c>
      <c r="W982" s="14" t="s">
        <v>7777</v>
      </c>
      <c r="X982" s="3">
        <v>2</v>
      </c>
      <c r="Z982" s="23">
        <v>3</v>
      </c>
      <c r="AB982" s="18">
        <f t="shared" si="30"/>
        <v>2020</v>
      </c>
      <c r="AC982" s="22">
        <f t="shared" si="31"/>
        <v>0.55600000000000005</v>
      </c>
    </row>
    <row r="983" spans="1:29">
      <c r="A983" s="8" t="s">
        <v>11109</v>
      </c>
      <c r="B983" s="17" t="s">
        <v>7800</v>
      </c>
      <c r="C983" s="13">
        <v>44084</v>
      </c>
      <c r="D983" s="13" t="s">
        <v>8465</v>
      </c>
      <c r="E983" s="10" t="s">
        <v>10098</v>
      </c>
      <c r="F983" s="10" t="s">
        <v>11110</v>
      </c>
      <c r="H983" s="2" t="s">
        <v>1334</v>
      </c>
      <c r="L983" s="18">
        <v>1</v>
      </c>
      <c r="N983" s="13">
        <v>44593</v>
      </c>
      <c r="O983" s="29">
        <v>0</v>
      </c>
      <c r="P983" s="18" t="s">
        <v>1107</v>
      </c>
      <c r="Q983" s="18">
        <v>0</v>
      </c>
      <c r="U983" s="22">
        <v>0.7</v>
      </c>
      <c r="V983" s="22">
        <f>2.1/5</f>
        <v>0.42000000000000004</v>
      </c>
      <c r="W983" s="14" t="s">
        <v>7799</v>
      </c>
      <c r="X983" s="3">
        <v>2</v>
      </c>
      <c r="Z983" s="23">
        <v>2</v>
      </c>
      <c r="AB983" s="18">
        <f t="shared" si="30"/>
        <v>2020</v>
      </c>
      <c r="AC983" s="22">
        <f t="shared" si="31"/>
        <v>0.50666666666666671</v>
      </c>
    </row>
    <row r="984" spans="1:29" ht="25.5">
      <c r="A984" s="8" t="s">
        <v>12871</v>
      </c>
      <c r="B984" s="17" t="s">
        <v>7800</v>
      </c>
      <c r="C984" s="13">
        <v>44082</v>
      </c>
      <c r="D984" s="13" t="s">
        <v>8465</v>
      </c>
      <c r="E984" s="10" t="s">
        <v>1583</v>
      </c>
      <c r="F984" s="10" t="s">
        <v>10105</v>
      </c>
      <c r="G984" s="11" t="s">
        <v>12870</v>
      </c>
      <c r="H984" s="2" t="s">
        <v>171</v>
      </c>
      <c r="L984" s="18">
        <v>1</v>
      </c>
      <c r="N984" s="13">
        <v>44866</v>
      </c>
      <c r="O984" s="29">
        <v>0</v>
      </c>
      <c r="P984" s="18" t="s">
        <v>1107</v>
      </c>
      <c r="Q984" s="18">
        <v>0</v>
      </c>
      <c r="U984" s="22">
        <v>0.7</v>
      </c>
      <c r="V984" s="22">
        <f>3.87/5</f>
        <v>0.77400000000000002</v>
      </c>
      <c r="W984" s="14" t="s">
        <v>7777</v>
      </c>
      <c r="X984" s="3">
        <v>4</v>
      </c>
      <c r="Z984" s="23">
        <v>22</v>
      </c>
      <c r="AB984" s="18">
        <f t="shared" si="30"/>
        <v>2020</v>
      </c>
      <c r="AC984" s="22">
        <f t="shared" si="31"/>
        <v>0.75800000000000001</v>
      </c>
    </row>
    <row r="985" spans="1:29" ht="25.5">
      <c r="A985" s="8" t="s">
        <v>9269</v>
      </c>
      <c r="B985" s="17" t="s">
        <v>7760</v>
      </c>
      <c r="C985" s="13">
        <v>44078</v>
      </c>
      <c r="D985" s="13" t="s">
        <v>8465</v>
      </c>
      <c r="E985" s="10" t="s">
        <v>1273</v>
      </c>
      <c r="F985" s="10" t="s">
        <v>1511</v>
      </c>
      <c r="G985" s="11" t="s">
        <v>6603</v>
      </c>
      <c r="H985" s="2" t="s">
        <v>255</v>
      </c>
      <c r="L985" s="18">
        <v>1</v>
      </c>
      <c r="M985" s="14" t="s">
        <v>8462</v>
      </c>
      <c r="N985" s="13">
        <v>44078</v>
      </c>
      <c r="O985" s="29">
        <v>36.76</v>
      </c>
      <c r="P985" s="18" t="s">
        <v>14</v>
      </c>
      <c r="Q985" s="18">
        <v>0</v>
      </c>
      <c r="U985" s="22">
        <v>0.88</v>
      </c>
      <c r="V985" s="22">
        <f>4.21/5</f>
        <v>0.84199999999999997</v>
      </c>
      <c r="X985" s="3">
        <v>3</v>
      </c>
      <c r="Z985" s="23">
        <v>4</v>
      </c>
      <c r="AB985" s="18">
        <f t="shared" si="30"/>
        <v>2020</v>
      </c>
      <c r="AC985" s="22">
        <f t="shared" si="31"/>
        <v>0.77400000000000002</v>
      </c>
    </row>
    <row r="986" spans="1:29">
      <c r="A986" s="8" t="s">
        <v>9732</v>
      </c>
      <c r="B986" s="17" t="s">
        <v>7800</v>
      </c>
      <c r="C986" s="13">
        <v>44077</v>
      </c>
      <c r="D986" s="13" t="s">
        <v>8465</v>
      </c>
      <c r="E986" s="10" t="s">
        <v>6112</v>
      </c>
      <c r="F986" s="10" t="s">
        <v>9733</v>
      </c>
      <c r="H986" s="2" t="s">
        <v>64</v>
      </c>
      <c r="L986" s="18">
        <v>1</v>
      </c>
      <c r="N986" s="13">
        <v>44228</v>
      </c>
      <c r="O986" s="29">
        <v>0</v>
      </c>
      <c r="P986" s="18" t="s">
        <v>1107</v>
      </c>
      <c r="Q986" s="18">
        <v>0</v>
      </c>
      <c r="V986" s="22">
        <f>3/5</f>
        <v>0.6</v>
      </c>
      <c r="W986" s="14" t="s">
        <v>7799</v>
      </c>
      <c r="X986" s="3">
        <v>2</v>
      </c>
      <c r="Z986" s="23">
        <v>5</v>
      </c>
      <c r="AB986" s="18">
        <f t="shared" si="30"/>
        <v>2020</v>
      </c>
      <c r="AC986" s="22">
        <f t="shared" si="31"/>
        <v>0.5</v>
      </c>
    </row>
    <row r="987" spans="1:29">
      <c r="A987" s="8" t="s">
        <v>12464</v>
      </c>
      <c r="B987" s="17" t="s">
        <v>7800</v>
      </c>
      <c r="C987" s="13">
        <v>44075</v>
      </c>
      <c r="D987" s="13" t="s">
        <v>8465</v>
      </c>
      <c r="E987" s="10" t="s">
        <v>3453</v>
      </c>
      <c r="F987" s="10" t="s">
        <v>3453</v>
      </c>
      <c r="G987" s="11" t="s">
        <v>3515</v>
      </c>
      <c r="H987" s="2" t="s">
        <v>1271</v>
      </c>
      <c r="L987" s="18">
        <v>1</v>
      </c>
      <c r="N987" s="13">
        <v>44810</v>
      </c>
      <c r="O987" s="29">
        <v>0</v>
      </c>
      <c r="P987" s="18" t="s">
        <v>1107</v>
      </c>
      <c r="Q987" s="18">
        <v>0</v>
      </c>
      <c r="U987" s="22">
        <v>0.91</v>
      </c>
      <c r="V987" s="22">
        <f>4.05/5</f>
        <v>0.80999999999999994</v>
      </c>
      <c r="W987" s="14" t="s">
        <v>7777</v>
      </c>
      <c r="X987" s="3">
        <v>2</v>
      </c>
      <c r="Z987" s="23">
        <v>83</v>
      </c>
      <c r="AB987" s="18">
        <f t="shared" si="30"/>
        <v>2020</v>
      </c>
      <c r="AC987" s="22">
        <f t="shared" si="31"/>
        <v>0.70666666666666667</v>
      </c>
    </row>
    <row r="988" spans="1:29" ht="25.5">
      <c r="A988" s="8" t="s">
        <v>10632</v>
      </c>
      <c r="B988" s="17" t="s">
        <v>7744</v>
      </c>
      <c r="C988" s="13">
        <v>44075</v>
      </c>
      <c r="D988" s="13" t="s">
        <v>8465</v>
      </c>
      <c r="E988" s="10" t="s">
        <v>7894</v>
      </c>
      <c r="F988" s="10" t="s">
        <v>3809</v>
      </c>
      <c r="H988" s="2" t="s">
        <v>80</v>
      </c>
      <c r="L988" s="18">
        <v>1</v>
      </c>
      <c r="M988" s="14" t="s">
        <v>8462</v>
      </c>
      <c r="N988" s="13">
        <v>44505</v>
      </c>
      <c r="O988" s="29">
        <v>16.190000000000001</v>
      </c>
      <c r="P988" s="18" t="s">
        <v>14</v>
      </c>
      <c r="Q988" s="18">
        <v>0</v>
      </c>
      <c r="U988" s="22">
        <v>0.57999999999999996</v>
      </c>
      <c r="V988" s="22">
        <f>3.3/5</f>
        <v>0.65999999999999992</v>
      </c>
      <c r="X988" s="3">
        <v>3</v>
      </c>
      <c r="Z988" s="23">
        <v>9.5</v>
      </c>
      <c r="AB988" s="18">
        <f t="shared" si="30"/>
        <v>2020</v>
      </c>
      <c r="AC988" s="22">
        <f t="shared" si="31"/>
        <v>0.61333333333333329</v>
      </c>
    </row>
    <row r="989" spans="1:29">
      <c r="A989" s="8" t="s">
        <v>14108</v>
      </c>
      <c r="B989" s="17" t="s">
        <v>7800</v>
      </c>
      <c r="C989" s="13">
        <v>44074</v>
      </c>
      <c r="D989" s="13" t="s">
        <v>8465</v>
      </c>
      <c r="E989" s="10" t="s">
        <v>14109</v>
      </c>
      <c r="F989" s="10" t="s">
        <v>14109</v>
      </c>
      <c r="H989" s="2" t="s">
        <v>1061</v>
      </c>
      <c r="L989" s="18">
        <v>1</v>
      </c>
      <c r="O989" s="29">
        <v>0</v>
      </c>
      <c r="P989" s="18" t="s">
        <v>1107</v>
      </c>
      <c r="Q989" s="18">
        <v>0</v>
      </c>
      <c r="W989" s="14" t="s">
        <v>8765</v>
      </c>
      <c r="X989" s="3">
        <v>3</v>
      </c>
      <c r="Z989" s="23">
        <v>1.5</v>
      </c>
      <c r="AB989" s="18">
        <f t="shared" si="30"/>
        <v>2020</v>
      </c>
      <c r="AC989" s="22">
        <f t="shared" si="31"/>
        <v>0.6</v>
      </c>
    </row>
    <row r="990" spans="1:29">
      <c r="A990" s="8" t="s">
        <v>10631</v>
      </c>
      <c r="B990" s="17" t="s">
        <v>7766</v>
      </c>
      <c r="C990" s="13">
        <v>44071</v>
      </c>
      <c r="D990" s="13" t="s">
        <v>8465</v>
      </c>
      <c r="E990" s="10" t="s">
        <v>1163</v>
      </c>
      <c r="F990" s="10" t="s">
        <v>1718</v>
      </c>
      <c r="G990" s="11" t="s">
        <v>1719</v>
      </c>
      <c r="H990" s="2" t="s">
        <v>1720</v>
      </c>
      <c r="L990" s="18">
        <v>1</v>
      </c>
      <c r="M990" s="14" t="s">
        <v>8462</v>
      </c>
      <c r="N990" s="13">
        <v>44505</v>
      </c>
      <c r="O990" s="29">
        <v>14.3</v>
      </c>
      <c r="P990" s="18" t="s">
        <v>14</v>
      </c>
      <c r="Q990" s="18">
        <v>0</v>
      </c>
      <c r="U990" s="22">
        <v>0.84</v>
      </c>
      <c r="V990" s="22">
        <f>3.67/5</f>
        <v>0.73399999999999999</v>
      </c>
      <c r="X990" s="3">
        <v>4</v>
      </c>
      <c r="Z990" s="23">
        <v>36</v>
      </c>
      <c r="AB990" s="18">
        <f t="shared" si="30"/>
        <v>2020</v>
      </c>
      <c r="AC990" s="22">
        <f t="shared" si="31"/>
        <v>0.79133333333333322</v>
      </c>
    </row>
    <row r="991" spans="1:29" ht="38.25">
      <c r="A991" s="8" t="s">
        <v>9515</v>
      </c>
      <c r="B991" s="17" t="s">
        <v>7744</v>
      </c>
      <c r="C991" s="13">
        <v>44071</v>
      </c>
      <c r="D991" s="13" t="s">
        <v>8465</v>
      </c>
      <c r="E991" s="10" t="s">
        <v>1082</v>
      </c>
      <c r="F991" s="10" t="s">
        <v>9516</v>
      </c>
      <c r="G991" s="11" t="s">
        <v>938</v>
      </c>
      <c r="H991" s="2" t="s">
        <v>171</v>
      </c>
      <c r="L991" s="18">
        <v>1</v>
      </c>
      <c r="N991" s="13">
        <v>44182</v>
      </c>
      <c r="O991" s="29">
        <v>20.239999999999998</v>
      </c>
      <c r="P991" s="18" t="s">
        <v>1107</v>
      </c>
      <c r="Q991" s="18">
        <v>0</v>
      </c>
      <c r="U991" s="22">
        <v>0.6</v>
      </c>
      <c r="V991" s="22">
        <f>3.49/5</f>
        <v>0.69800000000000006</v>
      </c>
      <c r="X991" s="3">
        <v>4</v>
      </c>
      <c r="Z991" s="23">
        <v>16</v>
      </c>
      <c r="AB991" s="18">
        <f t="shared" si="30"/>
        <v>2020</v>
      </c>
      <c r="AC991" s="22">
        <f t="shared" si="31"/>
        <v>0.69933333333333325</v>
      </c>
    </row>
    <row r="992" spans="1:29">
      <c r="A992" s="8" t="s">
        <v>9789</v>
      </c>
      <c r="B992" s="17" t="s">
        <v>7744</v>
      </c>
      <c r="C992" s="13">
        <v>44071</v>
      </c>
      <c r="D992" s="13" t="s">
        <v>8465</v>
      </c>
      <c r="E992" s="10" t="s">
        <v>7877</v>
      </c>
      <c r="F992" s="10" t="s">
        <v>9790</v>
      </c>
      <c r="G992" s="11" t="s">
        <v>9792</v>
      </c>
      <c r="H992" s="2" t="s">
        <v>149</v>
      </c>
      <c r="L992" s="18">
        <v>1</v>
      </c>
      <c r="M992" s="14" t="s">
        <v>8462</v>
      </c>
      <c r="N992" s="13">
        <v>44248</v>
      </c>
      <c r="O992" s="29">
        <v>21.69</v>
      </c>
      <c r="P992" s="18" t="s">
        <v>14</v>
      </c>
      <c r="Q992" s="18">
        <v>0</v>
      </c>
      <c r="U992" s="22">
        <v>0.71</v>
      </c>
      <c r="V992" s="22">
        <f>4.09/5</f>
        <v>0.81799999999999995</v>
      </c>
      <c r="X992" s="3">
        <v>3</v>
      </c>
      <c r="Z992" s="23">
        <v>25.5</v>
      </c>
      <c r="AB992" s="18">
        <f t="shared" si="30"/>
        <v>2020</v>
      </c>
      <c r="AC992" s="22">
        <f t="shared" si="31"/>
        <v>0.70933333333333337</v>
      </c>
    </row>
    <row r="993" spans="1:29" ht="30">
      <c r="A993" s="8" t="s">
        <v>9230</v>
      </c>
      <c r="B993" s="17" t="s">
        <v>7744</v>
      </c>
      <c r="C993" s="13">
        <v>44071</v>
      </c>
      <c r="D993" s="13" t="s">
        <v>8465</v>
      </c>
      <c r="E993" s="10" t="s">
        <v>1604</v>
      </c>
      <c r="F993" s="10" t="s">
        <v>7413</v>
      </c>
      <c r="G993" s="11" t="s">
        <v>9231</v>
      </c>
      <c r="H993" s="2" t="s">
        <v>255</v>
      </c>
      <c r="L993" s="18">
        <v>1</v>
      </c>
      <c r="M993" s="14" t="s">
        <v>8462</v>
      </c>
      <c r="N993" s="13">
        <v>44071</v>
      </c>
      <c r="O993" s="29">
        <f>65.09-10.91</f>
        <v>54.180000000000007</v>
      </c>
      <c r="P993" s="18" t="s">
        <v>14</v>
      </c>
      <c r="Q993" s="18">
        <v>0</v>
      </c>
      <c r="U993" s="22">
        <v>0.71</v>
      </c>
      <c r="V993" s="22">
        <f>3.38/5</f>
        <v>0.67599999999999993</v>
      </c>
      <c r="X993" s="3">
        <v>3</v>
      </c>
      <c r="Z993" s="23">
        <v>11</v>
      </c>
      <c r="AB993" s="18">
        <f t="shared" si="30"/>
        <v>2020</v>
      </c>
      <c r="AC993" s="22">
        <f t="shared" si="31"/>
        <v>0.66199999999999992</v>
      </c>
    </row>
    <row r="994" spans="1:29">
      <c r="A994" s="8" t="s">
        <v>11166</v>
      </c>
      <c r="B994" s="17" t="s">
        <v>7800</v>
      </c>
      <c r="C994" s="13">
        <v>44071</v>
      </c>
      <c r="D994" s="13" t="s">
        <v>8465</v>
      </c>
      <c r="E994" s="10" t="s">
        <v>1163</v>
      </c>
      <c r="F994" s="10" t="s">
        <v>4919</v>
      </c>
      <c r="H994" s="2" t="s">
        <v>1699</v>
      </c>
      <c r="L994" s="18">
        <v>1</v>
      </c>
      <c r="N994" s="13">
        <v>44602</v>
      </c>
      <c r="O994" s="29">
        <v>0</v>
      </c>
      <c r="P994" s="18" t="s">
        <v>1107</v>
      </c>
      <c r="Q994" s="18">
        <v>0</v>
      </c>
      <c r="U994" s="22">
        <v>0.6</v>
      </c>
      <c r="V994" s="22">
        <f>2.86/5</f>
        <v>0.57199999999999995</v>
      </c>
      <c r="W994" s="14" t="s">
        <v>7097</v>
      </c>
      <c r="X994" s="3">
        <v>3</v>
      </c>
      <c r="Z994" s="23">
        <v>9</v>
      </c>
      <c r="AB994" s="18">
        <f t="shared" si="30"/>
        <v>2020</v>
      </c>
      <c r="AC994" s="22">
        <f t="shared" si="31"/>
        <v>0.59066666666666656</v>
      </c>
    </row>
    <row r="995" spans="1:29">
      <c r="A995" s="8" t="s">
        <v>11399</v>
      </c>
      <c r="B995" s="17" t="s">
        <v>7800</v>
      </c>
      <c r="C995" s="13">
        <v>44071</v>
      </c>
      <c r="D995" s="13" t="s">
        <v>8465</v>
      </c>
      <c r="E995" s="10" t="s">
        <v>11400</v>
      </c>
      <c r="F995" s="10" t="s">
        <v>11400</v>
      </c>
      <c r="H995" s="2" t="s">
        <v>153</v>
      </c>
      <c r="L995" s="18">
        <v>1</v>
      </c>
      <c r="N995" s="13">
        <v>44638</v>
      </c>
      <c r="O995" s="29">
        <v>45</v>
      </c>
      <c r="P995" s="18" t="s">
        <v>1107</v>
      </c>
      <c r="Q995" s="18">
        <v>0</v>
      </c>
      <c r="U995" s="22">
        <v>0.52</v>
      </c>
      <c r="W995" s="14" t="s">
        <v>7777</v>
      </c>
      <c r="X995" s="3">
        <v>3</v>
      </c>
      <c r="Z995" s="23">
        <v>9</v>
      </c>
      <c r="AB995" s="18">
        <f t="shared" si="30"/>
        <v>2020</v>
      </c>
      <c r="AC995" s="22">
        <f t="shared" si="31"/>
        <v>0.56000000000000005</v>
      </c>
    </row>
    <row r="996" spans="1:29" ht="25.5">
      <c r="A996" s="8" t="s">
        <v>6076</v>
      </c>
      <c r="B996" s="17" t="s">
        <v>7744</v>
      </c>
      <c r="C996" s="13">
        <v>44070</v>
      </c>
      <c r="D996" s="13" t="s">
        <v>8465</v>
      </c>
      <c r="E996" s="10" t="s">
        <v>9227</v>
      </c>
      <c r="F996" s="10" t="s">
        <v>9227</v>
      </c>
      <c r="H996" s="2" t="s">
        <v>149</v>
      </c>
      <c r="L996" s="18">
        <v>1</v>
      </c>
      <c r="N996" s="13">
        <v>44070</v>
      </c>
      <c r="O996" s="29">
        <v>18.57</v>
      </c>
      <c r="P996" s="18" t="s">
        <v>1107</v>
      </c>
      <c r="Q996" s="18">
        <v>0</v>
      </c>
      <c r="U996" s="22">
        <v>0.77</v>
      </c>
      <c r="V996" s="22">
        <f>4.06/5</f>
        <v>0.81199999999999994</v>
      </c>
      <c r="X996" s="3">
        <v>4</v>
      </c>
      <c r="Z996" s="23">
        <v>15</v>
      </c>
      <c r="AB996" s="18">
        <f t="shared" si="30"/>
        <v>2020</v>
      </c>
      <c r="AC996" s="22">
        <f t="shared" si="31"/>
        <v>0.79399999999999993</v>
      </c>
    </row>
    <row r="997" spans="1:29">
      <c r="A997" s="8" t="s">
        <v>10421</v>
      </c>
      <c r="B997" s="17" t="s">
        <v>7783</v>
      </c>
      <c r="C997" s="13">
        <v>44070</v>
      </c>
      <c r="D997" s="13" t="s">
        <v>8465</v>
      </c>
      <c r="E997" s="10" t="s">
        <v>4203</v>
      </c>
      <c r="F997" s="10" t="s">
        <v>4203</v>
      </c>
      <c r="H997" s="2" t="s">
        <v>80</v>
      </c>
      <c r="L997" s="18">
        <v>0</v>
      </c>
      <c r="Q997" s="18">
        <v>0</v>
      </c>
      <c r="V997" s="22">
        <f>3.63/5</f>
        <v>0.72599999999999998</v>
      </c>
      <c r="W997" s="14" t="s">
        <v>8572</v>
      </c>
      <c r="X997" s="3">
        <v>3</v>
      </c>
      <c r="Z997" s="23">
        <v>5</v>
      </c>
      <c r="AB997" s="18">
        <f t="shared" si="30"/>
        <v>2020</v>
      </c>
      <c r="AC997" s="22">
        <f t="shared" si="31"/>
        <v>0.66300000000000003</v>
      </c>
    </row>
    <row r="998" spans="1:29">
      <c r="A998" s="8" t="s">
        <v>10839</v>
      </c>
      <c r="B998" s="17" t="s">
        <v>7800</v>
      </c>
      <c r="C998" s="13">
        <v>44070</v>
      </c>
      <c r="D998" s="13" t="s">
        <v>8465</v>
      </c>
      <c r="E998" s="10" t="s">
        <v>3063</v>
      </c>
      <c r="F998" s="10" t="s">
        <v>10844</v>
      </c>
      <c r="H998" s="2" t="s">
        <v>64</v>
      </c>
      <c r="L998" s="18">
        <v>1</v>
      </c>
      <c r="O998" s="29">
        <v>0</v>
      </c>
      <c r="P998" s="18" t="s">
        <v>1107</v>
      </c>
      <c r="Q998" s="18">
        <v>0</v>
      </c>
      <c r="V998" s="22">
        <f>3.63/5</f>
        <v>0.72599999999999998</v>
      </c>
      <c r="W998" s="14" t="s">
        <v>7799</v>
      </c>
      <c r="X998" s="3">
        <v>3</v>
      </c>
      <c r="Z998" s="23">
        <v>2.5</v>
      </c>
      <c r="AB998" s="18">
        <f t="shared" si="30"/>
        <v>2020</v>
      </c>
      <c r="AC998" s="22">
        <f t="shared" si="31"/>
        <v>0.66300000000000003</v>
      </c>
    </row>
    <row r="999" spans="1:29" ht="38.25">
      <c r="A999" s="8" t="s">
        <v>13684</v>
      </c>
      <c r="B999" s="17" t="s">
        <v>7800</v>
      </c>
      <c r="C999" s="13">
        <v>44069</v>
      </c>
      <c r="D999" s="13" t="s">
        <v>8465</v>
      </c>
      <c r="E999" s="10" t="s">
        <v>13685</v>
      </c>
      <c r="F999" s="10" t="s">
        <v>13433</v>
      </c>
      <c r="G999" s="11" t="s">
        <v>13684</v>
      </c>
      <c r="H999" s="2" t="s">
        <v>1057</v>
      </c>
      <c r="L999" s="18">
        <v>1</v>
      </c>
      <c r="N999" s="13">
        <v>44991</v>
      </c>
      <c r="O999" s="29">
        <v>0.49</v>
      </c>
      <c r="P999" s="18" t="s">
        <v>1107</v>
      </c>
      <c r="Q999" s="18">
        <v>0</v>
      </c>
      <c r="V999" s="22">
        <f>3.55/5</f>
        <v>0.71</v>
      </c>
      <c r="W999" s="14" t="s">
        <v>7777</v>
      </c>
      <c r="X999" s="3">
        <v>4</v>
      </c>
      <c r="Z999" s="23">
        <f>18/60</f>
        <v>0.3</v>
      </c>
      <c r="AB999" s="18">
        <f t="shared" si="30"/>
        <v>2020</v>
      </c>
      <c r="AC999" s="22">
        <f t="shared" si="31"/>
        <v>0.755</v>
      </c>
    </row>
    <row r="1000" spans="1:29" ht="30">
      <c r="A1000" s="8" t="s">
        <v>9926</v>
      </c>
      <c r="B1000" s="17" t="s">
        <v>7744</v>
      </c>
      <c r="C1000" s="13">
        <v>44064</v>
      </c>
      <c r="D1000" s="13" t="s">
        <v>8465</v>
      </c>
      <c r="E1000" s="10" t="s">
        <v>3272</v>
      </c>
      <c r="F1000" s="10" t="s">
        <v>10089</v>
      </c>
      <c r="G1000" s="11" t="s">
        <v>10090</v>
      </c>
      <c r="H1000" s="2" t="s">
        <v>1059</v>
      </c>
      <c r="L1000" s="18">
        <v>1</v>
      </c>
      <c r="M1000" s="14" t="s">
        <v>8462</v>
      </c>
      <c r="N1000" s="13">
        <v>44071</v>
      </c>
      <c r="O1000" s="29">
        <v>29.99</v>
      </c>
      <c r="P1000" s="18" t="s">
        <v>14</v>
      </c>
      <c r="Q1000" s="18">
        <v>0</v>
      </c>
      <c r="U1000" s="22">
        <v>0.7</v>
      </c>
      <c r="V1000" s="22">
        <f>3.63/5</f>
        <v>0.72599999999999998</v>
      </c>
      <c r="W1000" s="14" t="s">
        <v>1134</v>
      </c>
      <c r="X1000" s="3">
        <v>3</v>
      </c>
      <c r="Z1000" s="23">
        <v>5.5</v>
      </c>
      <c r="AB1000" s="18">
        <f t="shared" si="30"/>
        <v>2020</v>
      </c>
      <c r="AC1000" s="22">
        <f t="shared" si="31"/>
        <v>0.67533333333333323</v>
      </c>
    </row>
    <row r="1001" spans="1:29">
      <c r="A1001" s="8" t="s">
        <v>10420</v>
      </c>
      <c r="B1001" s="17" t="s">
        <v>7800</v>
      </c>
      <c r="C1001" s="13">
        <v>44064</v>
      </c>
      <c r="D1001" s="13" t="s">
        <v>8465</v>
      </c>
      <c r="E1001" s="10" t="s">
        <v>4850</v>
      </c>
      <c r="F1001" s="10" t="s">
        <v>10437</v>
      </c>
      <c r="H1001" s="2" t="s">
        <v>64</v>
      </c>
      <c r="L1001" s="18">
        <v>1</v>
      </c>
      <c r="N1001" s="13">
        <v>44638</v>
      </c>
      <c r="O1001" s="29">
        <v>0</v>
      </c>
      <c r="P1001" s="18" t="s">
        <v>1107</v>
      </c>
      <c r="Q1001" s="18">
        <v>0</v>
      </c>
      <c r="U1001" s="22">
        <v>0.76</v>
      </c>
      <c r="V1001" s="22">
        <f>3.29/5</f>
        <v>0.65800000000000003</v>
      </c>
      <c r="W1001" s="14" t="s">
        <v>7777</v>
      </c>
      <c r="X1001" s="3">
        <v>3</v>
      </c>
      <c r="Z1001" s="23">
        <v>4</v>
      </c>
      <c r="AB1001" s="18">
        <f t="shared" si="30"/>
        <v>2020</v>
      </c>
      <c r="AC1001" s="22">
        <f t="shared" si="31"/>
        <v>0.67266666666666675</v>
      </c>
    </row>
    <row r="1002" spans="1:29" ht="25.5">
      <c r="A1002" s="8" t="s">
        <v>15583</v>
      </c>
      <c r="B1002" s="17" t="s">
        <v>7800</v>
      </c>
      <c r="C1002" s="13">
        <v>44064</v>
      </c>
      <c r="D1002" s="13" t="s">
        <v>8465</v>
      </c>
      <c r="E1002" s="10" t="s">
        <v>6528</v>
      </c>
      <c r="F1002" s="10" t="s">
        <v>6528</v>
      </c>
      <c r="G1002" s="11" t="s">
        <v>15584</v>
      </c>
      <c r="H1002" s="2" t="s">
        <v>1040</v>
      </c>
      <c r="L1002" s="18">
        <v>1</v>
      </c>
      <c r="N1002" s="13">
        <v>45161</v>
      </c>
      <c r="O1002" s="29">
        <v>0</v>
      </c>
      <c r="P1002" s="18" t="s">
        <v>1107</v>
      </c>
      <c r="Q1002" s="18">
        <v>0</v>
      </c>
      <c r="V1002" s="22">
        <f>3.7/5</f>
        <v>0.74</v>
      </c>
      <c r="W1002" s="14" t="s">
        <v>7777</v>
      </c>
      <c r="X1002" s="3">
        <v>3</v>
      </c>
      <c r="Z1002" s="23">
        <v>6.5</v>
      </c>
      <c r="AB1002" s="18">
        <f t="shared" si="30"/>
        <v>2020</v>
      </c>
      <c r="AC1002" s="22">
        <f t="shared" si="31"/>
        <v>0.66999999999999993</v>
      </c>
    </row>
    <row r="1003" spans="1:29">
      <c r="A1003" s="8" t="s">
        <v>6285</v>
      </c>
      <c r="B1003" s="17" t="s">
        <v>7743</v>
      </c>
      <c r="C1003" s="13">
        <v>44063</v>
      </c>
      <c r="D1003" s="13" t="s">
        <v>8465</v>
      </c>
      <c r="E1003" s="10" t="s">
        <v>4818</v>
      </c>
      <c r="F1003" s="10" t="s">
        <v>4818</v>
      </c>
      <c r="H1003" s="2" t="s">
        <v>80</v>
      </c>
      <c r="L1003" s="18">
        <v>1</v>
      </c>
      <c r="M1003" s="14" t="s">
        <v>8462</v>
      </c>
      <c r="N1003" s="13">
        <v>44076</v>
      </c>
      <c r="O1003" s="29">
        <v>28.66</v>
      </c>
      <c r="P1003" s="18" t="s">
        <v>14</v>
      </c>
      <c r="Q1003" s="18">
        <v>0</v>
      </c>
      <c r="V1003" s="22">
        <f>4.4/5</f>
        <v>0.88000000000000012</v>
      </c>
      <c r="X1003" s="3">
        <v>3</v>
      </c>
      <c r="Z1003" s="23">
        <v>6.5</v>
      </c>
      <c r="AB1003" s="18">
        <f t="shared" si="30"/>
        <v>2020</v>
      </c>
      <c r="AC1003" s="22">
        <f t="shared" si="31"/>
        <v>0.74</v>
      </c>
    </row>
    <row r="1004" spans="1:29">
      <c r="A1004" s="8" t="s">
        <v>6285</v>
      </c>
      <c r="B1004" s="17" t="s">
        <v>7759</v>
      </c>
      <c r="C1004" s="13">
        <v>44063</v>
      </c>
      <c r="D1004" s="13" t="s">
        <v>8465</v>
      </c>
      <c r="E1004" s="10" t="s">
        <v>4818</v>
      </c>
      <c r="F1004" s="10" t="s">
        <v>4818</v>
      </c>
      <c r="H1004" s="2" t="s">
        <v>80</v>
      </c>
      <c r="L1004" s="18">
        <v>1</v>
      </c>
      <c r="M1004" s="14" t="s">
        <v>8462</v>
      </c>
      <c r="N1004" s="13">
        <v>44832</v>
      </c>
      <c r="O1004" s="29">
        <v>27.57</v>
      </c>
      <c r="P1004" s="18" t="s">
        <v>14</v>
      </c>
      <c r="Q1004" s="18">
        <v>0</v>
      </c>
      <c r="V1004" s="22">
        <f>4.33/5</f>
        <v>0.86599999999999999</v>
      </c>
      <c r="X1004" s="3">
        <v>3</v>
      </c>
      <c r="Z1004" s="23">
        <v>7</v>
      </c>
      <c r="AB1004" s="18">
        <f t="shared" si="30"/>
        <v>2020</v>
      </c>
      <c r="AC1004" s="22">
        <f t="shared" si="31"/>
        <v>0.73299999999999998</v>
      </c>
    </row>
    <row r="1005" spans="1:29" ht="25.5">
      <c r="A1005" s="8" t="s">
        <v>11955</v>
      </c>
      <c r="B1005" s="17" t="s">
        <v>7744</v>
      </c>
      <c r="C1005" s="13">
        <v>44063</v>
      </c>
      <c r="D1005" s="13" t="s">
        <v>8465</v>
      </c>
      <c r="E1005" s="10" t="s">
        <v>11956</v>
      </c>
      <c r="F1005" s="10" t="s">
        <v>13458</v>
      </c>
      <c r="H1005" s="2" t="s">
        <v>80</v>
      </c>
      <c r="L1005" s="18">
        <v>1</v>
      </c>
      <c r="N1005" s="13">
        <v>44722</v>
      </c>
      <c r="O1005" s="29">
        <v>6.24</v>
      </c>
      <c r="P1005" s="18" t="s">
        <v>1107</v>
      </c>
      <c r="Q1005" s="18">
        <v>0</v>
      </c>
      <c r="V1005" s="22">
        <f>2.5/5</f>
        <v>0.5</v>
      </c>
      <c r="X1005" s="3">
        <v>4</v>
      </c>
      <c r="Z1005" s="23">
        <v>4</v>
      </c>
      <c r="AB1005" s="18">
        <f t="shared" si="30"/>
        <v>2020</v>
      </c>
      <c r="AC1005" s="22">
        <f t="shared" si="31"/>
        <v>0.65</v>
      </c>
    </row>
    <row r="1006" spans="1:29" ht="25.5">
      <c r="A1006" s="8" t="s">
        <v>9819</v>
      </c>
      <c r="B1006" s="17" t="s">
        <v>7800</v>
      </c>
      <c r="C1006" s="13">
        <v>44063</v>
      </c>
      <c r="D1006" s="13" t="s">
        <v>8465</v>
      </c>
      <c r="E1006" s="10" t="s">
        <v>1151</v>
      </c>
      <c r="F1006" s="10" t="s">
        <v>5503</v>
      </c>
      <c r="G1006" s="11" t="s">
        <v>9820</v>
      </c>
      <c r="H1006" s="2" t="s">
        <v>3937</v>
      </c>
      <c r="L1006" s="18">
        <v>1</v>
      </c>
      <c r="N1006" s="13">
        <v>44257</v>
      </c>
      <c r="O1006" s="29">
        <v>0</v>
      </c>
      <c r="P1006" s="18" t="s">
        <v>1107</v>
      </c>
      <c r="Q1006" s="18">
        <v>0</v>
      </c>
      <c r="U1006" s="22">
        <v>0.57999999999999996</v>
      </c>
      <c r="V1006" s="22">
        <f>3.6/5</f>
        <v>0.72</v>
      </c>
      <c r="W1006" s="14" t="s">
        <v>7777</v>
      </c>
      <c r="X1006" s="3">
        <v>2</v>
      </c>
      <c r="Z1006" s="23">
        <v>5</v>
      </c>
      <c r="AB1006" s="18">
        <f t="shared" si="30"/>
        <v>2020</v>
      </c>
      <c r="AC1006" s="22">
        <f t="shared" si="31"/>
        <v>0.56666666666666654</v>
      </c>
    </row>
    <row r="1007" spans="1:29">
      <c r="A1007" s="8" t="s">
        <v>9498</v>
      </c>
      <c r="B1007" s="17" t="s">
        <v>7800</v>
      </c>
      <c r="C1007" s="13">
        <v>44061</v>
      </c>
      <c r="D1007" s="13" t="s">
        <v>8465</v>
      </c>
      <c r="E1007" s="10" t="s">
        <v>5182</v>
      </c>
      <c r="F1007" s="10" t="s">
        <v>5182</v>
      </c>
      <c r="H1007" s="2" t="s">
        <v>1334</v>
      </c>
      <c r="L1007" s="18">
        <v>1</v>
      </c>
      <c r="N1007" s="13">
        <v>44174</v>
      </c>
      <c r="O1007" s="29">
        <v>22.49</v>
      </c>
      <c r="P1007" s="18" t="s">
        <v>1107</v>
      </c>
      <c r="Q1007" s="18">
        <v>0</v>
      </c>
      <c r="U1007" s="22">
        <v>0.84</v>
      </c>
      <c r="V1007" s="22">
        <f>3.87/5</f>
        <v>0.77400000000000002</v>
      </c>
      <c r="W1007" s="14" t="s">
        <v>7777</v>
      </c>
      <c r="X1007" s="3">
        <v>4</v>
      </c>
      <c r="Z1007" s="23">
        <v>23</v>
      </c>
      <c r="AB1007" s="18">
        <f t="shared" si="30"/>
        <v>2020</v>
      </c>
      <c r="AC1007" s="22">
        <f t="shared" si="31"/>
        <v>0.80466666666666653</v>
      </c>
    </row>
    <row r="1008" spans="1:29" ht="30">
      <c r="A1008" s="8" t="s">
        <v>9200</v>
      </c>
      <c r="B1008" s="17" t="s">
        <v>7800</v>
      </c>
      <c r="C1008" s="13">
        <v>44061</v>
      </c>
      <c r="D1008" s="13" t="s">
        <v>8465</v>
      </c>
      <c r="E1008" s="10" t="s">
        <v>1680</v>
      </c>
      <c r="F1008" s="10" t="s">
        <v>3861</v>
      </c>
      <c r="G1008" s="11" t="s">
        <v>8675</v>
      </c>
      <c r="H1008" s="2" t="s">
        <v>149</v>
      </c>
      <c r="L1008" s="18">
        <v>1</v>
      </c>
      <c r="N1008" s="13">
        <v>44061</v>
      </c>
      <c r="O1008" s="29">
        <v>35.99</v>
      </c>
      <c r="P1008" s="18" t="s">
        <v>1107</v>
      </c>
      <c r="Q1008" s="18">
        <v>0</v>
      </c>
      <c r="V1008" s="22">
        <f>3.08/5</f>
        <v>0.61599999999999999</v>
      </c>
      <c r="W1008" s="14" t="s">
        <v>7777</v>
      </c>
      <c r="X1008" s="3">
        <v>4</v>
      </c>
      <c r="Z1008" s="23">
        <v>16.5</v>
      </c>
      <c r="AB1008" s="18">
        <f t="shared" si="30"/>
        <v>2020</v>
      </c>
      <c r="AC1008" s="22">
        <f t="shared" si="31"/>
        <v>0.70799999999999996</v>
      </c>
    </row>
    <row r="1009" spans="1:29">
      <c r="A1009" s="8" t="s">
        <v>13550</v>
      </c>
      <c r="B1009" s="17" t="s">
        <v>7800</v>
      </c>
      <c r="C1009" s="13">
        <v>44058</v>
      </c>
      <c r="D1009" s="13" t="s">
        <v>8465</v>
      </c>
      <c r="E1009" s="10" t="s">
        <v>13556</v>
      </c>
      <c r="F1009" s="10" t="s">
        <v>13557</v>
      </c>
      <c r="H1009" s="2" t="s">
        <v>7594</v>
      </c>
      <c r="L1009" s="18">
        <v>1</v>
      </c>
      <c r="O1009" s="29">
        <v>0</v>
      </c>
      <c r="P1009" s="18" t="s">
        <v>1107</v>
      </c>
      <c r="Q1009" s="18">
        <v>0</v>
      </c>
      <c r="W1009" s="14" t="s">
        <v>3069</v>
      </c>
      <c r="X1009" s="3">
        <v>2</v>
      </c>
      <c r="AB1009" s="18">
        <f t="shared" si="30"/>
        <v>2020</v>
      </c>
      <c r="AC1009" s="22">
        <f t="shared" si="31"/>
        <v>0.4</v>
      </c>
    </row>
    <row r="1010" spans="1:29" ht="30">
      <c r="A1010" s="8" t="s">
        <v>12027</v>
      </c>
      <c r="B1010" s="17" t="s">
        <v>7760</v>
      </c>
      <c r="C1010" s="13">
        <v>44057</v>
      </c>
      <c r="D1010" s="13" t="s">
        <v>8465</v>
      </c>
      <c r="E1010" s="10" t="s">
        <v>1604</v>
      </c>
      <c r="F1010" s="10" t="s">
        <v>8930</v>
      </c>
      <c r="G1010" s="11" t="s">
        <v>8931</v>
      </c>
      <c r="H1010" s="2" t="s">
        <v>171</v>
      </c>
      <c r="L1010" s="18">
        <v>1</v>
      </c>
      <c r="M1010" s="14" t="s">
        <v>8462</v>
      </c>
      <c r="N1010" s="13">
        <v>44729</v>
      </c>
      <c r="O1010" s="29">
        <v>21.71</v>
      </c>
      <c r="P1010" s="18" t="s">
        <v>14</v>
      </c>
      <c r="Q1010" s="18">
        <v>0</v>
      </c>
      <c r="U1010" s="22">
        <v>0.57999999999999996</v>
      </c>
      <c r="V1010" s="22">
        <f>3.56/5</f>
        <v>0.71199999999999997</v>
      </c>
      <c r="X1010" s="3">
        <v>3</v>
      </c>
      <c r="Z1010" s="23">
        <v>65.5</v>
      </c>
      <c r="AB1010" s="18">
        <f t="shared" si="30"/>
        <v>2020</v>
      </c>
      <c r="AC1010" s="22">
        <f t="shared" si="31"/>
        <v>0.6306666666666666</v>
      </c>
    </row>
    <row r="1011" spans="1:29" ht="51">
      <c r="A1011" s="8" t="s">
        <v>13072</v>
      </c>
      <c r="B1011" s="17" t="s">
        <v>7744</v>
      </c>
      <c r="C1011" s="13">
        <v>44056</v>
      </c>
      <c r="D1011" s="13" t="s">
        <v>8463</v>
      </c>
      <c r="E1011" s="10" t="s">
        <v>2129</v>
      </c>
      <c r="F1011" s="10" t="s">
        <v>2129</v>
      </c>
      <c r="G1011" s="11" t="s">
        <v>10273</v>
      </c>
      <c r="H1011" s="2" t="s">
        <v>171</v>
      </c>
      <c r="K1011" s="18">
        <v>0</v>
      </c>
      <c r="L1011" s="18">
        <v>0</v>
      </c>
      <c r="Q1011" s="18">
        <v>0</v>
      </c>
      <c r="V1011" s="22">
        <f>5/5</f>
        <v>1</v>
      </c>
      <c r="X1011" s="3">
        <v>2</v>
      </c>
      <c r="AB1011" s="18">
        <f t="shared" si="30"/>
        <v>2020</v>
      </c>
      <c r="AC1011" s="22">
        <f t="shared" si="31"/>
        <v>0.7</v>
      </c>
    </row>
    <row r="1012" spans="1:29">
      <c r="A1012" s="8" t="s">
        <v>9181</v>
      </c>
      <c r="B1012" s="17" t="s">
        <v>7800</v>
      </c>
      <c r="C1012" s="13">
        <v>44056</v>
      </c>
      <c r="D1012" s="13" t="s">
        <v>8465</v>
      </c>
      <c r="E1012" s="10" t="s">
        <v>455</v>
      </c>
      <c r="F1012" s="10" t="s">
        <v>3151</v>
      </c>
      <c r="G1012" s="11" t="s">
        <v>3794</v>
      </c>
      <c r="H1012" s="2" t="s">
        <v>3279</v>
      </c>
      <c r="L1012" s="18">
        <v>1</v>
      </c>
      <c r="N1012" s="13">
        <v>44056</v>
      </c>
      <c r="O1012" s="29">
        <v>0</v>
      </c>
      <c r="P1012" s="18" t="s">
        <v>1107</v>
      </c>
      <c r="Q1012" s="18">
        <v>0</v>
      </c>
      <c r="U1012" s="22">
        <v>0.75</v>
      </c>
      <c r="V1012" s="22">
        <f>3.42/5</f>
        <v>0.68399999999999994</v>
      </c>
      <c r="W1012" s="14" t="s">
        <v>7097</v>
      </c>
      <c r="X1012" s="3">
        <v>2</v>
      </c>
      <c r="Z1012" s="23">
        <v>22</v>
      </c>
      <c r="AB1012" s="18">
        <f t="shared" si="30"/>
        <v>2020</v>
      </c>
      <c r="AC1012" s="22">
        <f t="shared" si="31"/>
        <v>0.6113333333333334</v>
      </c>
    </row>
    <row r="1013" spans="1:29" ht="25.5">
      <c r="A1013" s="8" t="s">
        <v>9176</v>
      </c>
      <c r="B1013" s="17" t="s">
        <v>7744</v>
      </c>
      <c r="C1013" s="13">
        <v>44056</v>
      </c>
      <c r="D1013" s="13" t="s">
        <v>8465</v>
      </c>
      <c r="E1013" s="10" t="s">
        <v>1519</v>
      </c>
      <c r="F1013" s="10" t="s">
        <v>3113</v>
      </c>
      <c r="G1013" s="11" t="s">
        <v>9175</v>
      </c>
      <c r="H1013" s="2" t="s">
        <v>1057</v>
      </c>
      <c r="L1013" s="18">
        <v>1</v>
      </c>
      <c r="M1013" s="14" t="s">
        <v>8462</v>
      </c>
      <c r="N1013" s="13">
        <v>44056</v>
      </c>
      <c r="O1013" s="29">
        <v>49.99</v>
      </c>
      <c r="P1013" s="18" t="s">
        <v>14</v>
      </c>
      <c r="Q1013" s="18">
        <v>0</v>
      </c>
      <c r="U1013" s="22">
        <v>0.64</v>
      </c>
      <c r="V1013" s="22">
        <f>3.88/5</f>
        <v>0.77600000000000002</v>
      </c>
      <c r="X1013" s="3">
        <v>2</v>
      </c>
      <c r="Z1013" s="23">
        <v>37.5</v>
      </c>
      <c r="AB1013" s="18">
        <f t="shared" si="30"/>
        <v>2020</v>
      </c>
      <c r="AC1013" s="22">
        <f t="shared" si="31"/>
        <v>0.60533333333333328</v>
      </c>
    </row>
    <row r="1014" spans="1:29">
      <c r="A1014" s="8" t="s">
        <v>11113</v>
      </c>
      <c r="B1014" s="17" t="s">
        <v>7800</v>
      </c>
      <c r="C1014" s="13">
        <v>44056</v>
      </c>
      <c r="D1014" s="13" t="s">
        <v>8465</v>
      </c>
      <c r="E1014" s="10" t="s">
        <v>11114</v>
      </c>
      <c r="F1014" s="10" t="s">
        <v>11114</v>
      </c>
      <c r="H1014" s="2" t="s">
        <v>1220</v>
      </c>
      <c r="L1014" s="18">
        <v>1</v>
      </c>
      <c r="N1014" s="13">
        <v>44593</v>
      </c>
      <c r="O1014" s="29">
        <v>0</v>
      </c>
      <c r="P1014" s="18" t="s">
        <v>1107</v>
      </c>
      <c r="Q1014" s="18">
        <v>0</v>
      </c>
      <c r="U1014" s="22">
        <v>0.73</v>
      </c>
      <c r="V1014" s="22">
        <f>2.71/5</f>
        <v>0.54200000000000004</v>
      </c>
      <c r="W1014" s="14" t="s">
        <v>7799</v>
      </c>
      <c r="X1014" s="3">
        <v>2</v>
      </c>
      <c r="Z1014" s="23">
        <v>3</v>
      </c>
      <c r="AB1014" s="18">
        <f t="shared" si="30"/>
        <v>2020</v>
      </c>
      <c r="AC1014" s="22">
        <f t="shared" si="31"/>
        <v>0.55733333333333335</v>
      </c>
    </row>
    <row r="1015" spans="1:29" ht="30">
      <c r="A1015" s="8" t="s">
        <v>9538</v>
      </c>
      <c r="B1015" s="17" t="s">
        <v>7800</v>
      </c>
      <c r="C1015" s="13">
        <v>44056</v>
      </c>
      <c r="D1015" s="13" t="s">
        <v>8465</v>
      </c>
      <c r="E1015" s="10" t="s">
        <v>9539</v>
      </c>
      <c r="F1015" s="10" t="s">
        <v>9540</v>
      </c>
      <c r="H1015" s="2" t="s">
        <v>1054</v>
      </c>
      <c r="L1015" s="18">
        <v>1</v>
      </c>
      <c r="N1015" s="13">
        <v>44197</v>
      </c>
      <c r="O1015" s="29">
        <v>12</v>
      </c>
      <c r="P1015" s="18" t="s">
        <v>1107</v>
      </c>
      <c r="Q1015" s="18">
        <v>0</v>
      </c>
      <c r="V1015" s="22">
        <f>3/5</f>
        <v>0.6</v>
      </c>
      <c r="W1015" s="14" t="s">
        <v>7777</v>
      </c>
      <c r="X1015" s="3">
        <v>2</v>
      </c>
      <c r="Z1015" s="23">
        <v>4</v>
      </c>
      <c r="AB1015" s="18">
        <f t="shared" si="30"/>
        <v>2020</v>
      </c>
      <c r="AC1015" s="22">
        <f t="shared" si="31"/>
        <v>0.5</v>
      </c>
    </row>
    <row r="1016" spans="1:29">
      <c r="A1016" s="8" t="s">
        <v>10383</v>
      </c>
      <c r="B1016" s="17" t="s">
        <v>7800</v>
      </c>
      <c r="C1016" s="13">
        <v>44055</v>
      </c>
      <c r="D1016" s="13" t="s">
        <v>8465</v>
      </c>
      <c r="E1016" s="10" t="s">
        <v>10384</v>
      </c>
      <c r="F1016" s="10" t="s">
        <v>10385</v>
      </c>
      <c r="H1016" s="2" t="s">
        <v>67</v>
      </c>
      <c r="L1016" s="18">
        <v>1</v>
      </c>
      <c r="N1016" s="13">
        <v>44410</v>
      </c>
      <c r="O1016" s="29">
        <v>0</v>
      </c>
      <c r="P1016" s="18" t="s">
        <v>1107</v>
      </c>
      <c r="Q1016" s="18">
        <v>0</v>
      </c>
      <c r="V1016" s="22">
        <f>3.17/5</f>
        <v>0.63400000000000001</v>
      </c>
      <c r="W1016" s="14" t="s">
        <v>7777</v>
      </c>
      <c r="X1016" s="3">
        <v>2</v>
      </c>
      <c r="Z1016" s="23">
        <v>2.5</v>
      </c>
      <c r="AB1016" s="18">
        <f t="shared" si="30"/>
        <v>2020</v>
      </c>
      <c r="AC1016" s="22">
        <f t="shared" si="31"/>
        <v>0.51700000000000002</v>
      </c>
    </row>
    <row r="1017" spans="1:29">
      <c r="A1017" s="8" t="s">
        <v>9788</v>
      </c>
      <c r="B1017" s="17" t="s">
        <v>7744</v>
      </c>
      <c r="C1017" s="13">
        <v>44054</v>
      </c>
      <c r="D1017" s="13" t="s">
        <v>8465</v>
      </c>
      <c r="E1017" s="10" t="s">
        <v>9438</v>
      </c>
      <c r="F1017" s="10" t="s">
        <v>3600</v>
      </c>
      <c r="G1017" s="11" t="s">
        <v>4849</v>
      </c>
      <c r="H1017" s="2" t="s">
        <v>1518</v>
      </c>
      <c r="L1017" s="18">
        <v>1</v>
      </c>
      <c r="M1017" s="14" t="s">
        <v>8462</v>
      </c>
      <c r="N1017" s="13">
        <v>44288</v>
      </c>
      <c r="O1017" s="29">
        <v>18.989999999999998</v>
      </c>
      <c r="P1017" s="18" t="s">
        <v>14</v>
      </c>
      <c r="Q1017" s="18">
        <v>0</v>
      </c>
      <c r="V1017" s="22">
        <f>3.95/5</f>
        <v>0.79</v>
      </c>
      <c r="X1017" s="3">
        <v>2</v>
      </c>
      <c r="Z1017" s="23">
        <v>9.5</v>
      </c>
      <c r="AB1017" s="18">
        <f t="shared" si="30"/>
        <v>2020</v>
      </c>
      <c r="AC1017" s="22">
        <f t="shared" si="31"/>
        <v>0.59499999999999997</v>
      </c>
    </row>
    <row r="1018" spans="1:29" ht="51">
      <c r="A1018" s="8" t="s">
        <v>9171</v>
      </c>
      <c r="B1018" s="17" t="s">
        <v>7744</v>
      </c>
      <c r="C1018" s="13">
        <v>44054</v>
      </c>
      <c r="D1018" s="13" t="s">
        <v>8465</v>
      </c>
      <c r="E1018" s="10" t="s">
        <v>7877</v>
      </c>
      <c r="F1018" s="10" t="s">
        <v>4687</v>
      </c>
      <c r="G1018" s="11" t="s">
        <v>9170</v>
      </c>
      <c r="H1018" s="2" t="s">
        <v>1377</v>
      </c>
      <c r="L1018" s="18">
        <v>1</v>
      </c>
      <c r="M1018" s="14" t="s">
        <v>8462</v>
      </c>
      <c r="N1018" s="13">
        <v>44054</v>
      </c>
      <c r="O1018" s="29">
        <v>48.81</v>
      </c>
      <c r="P1018" s="18" t="s">
        <v>14</v>
      </c>
      <c r="Q1018" s="18">
        <v>0</v>
      </c>
      <c r="V1018" s="22">
        <f>3.29/5</f>
        <v>0.65800000000000003</v>
      </c>
      <c r="X1018" s="3">
        <v>2</v>
      </c>
      <c r="Z1018" s="23">
        <v>13</v>
      </c>
      <c r="AB1018" s="18">
        <f t="shared" si="30"/>
        <v>2020</v>
      </c>
      <c r="AC1018" s="22">
        <f t="shared" si="31"/>
        <v>0.52900000000000003</v>
      </c>
    </row>
    <row r="1019" spans="1:29" ht="30">
      <c r="A1019" s="8" t="s">
        <v>9532</v>
      </c>
      <c r="B1019" s="17" t="s">
        <v>7749</v>
      </c>
      <c r="C1019" s="13">
        <v>44050</v>
      </c>
      <c r="D1019" s="13" t="s">
        <v>8465</v>
      </c>
      <c r="E1019" s="10" t="s">
        <v>1134</v>
      </c>
      <c r="F1019" s="10" t="s">
        <v>9533</v>
      </c>
      <c r="H1019" s="2" t="s">
        <v>6510</v>
      </c>
      <c r="L1019" s="18">
        <v>1</v>
      </c>
      <c r="M1019" s="14" t="s">
        <v>8462</v>
      </c>
      <c r="N1019" s="13">
        <v>44050</v>
      </c>
      <c r="O1019" s="29">
        <v>34.99</v>
      </c>
      <c r="P1019" s="18" t="s">
        <v>14</v>
      </c>
      <c r="Q1019" s="18">
        <v>0</v>
      </c>
      <c r="V1019" s="22">
        <f>4.25/5</f>
        <v>0.85</v>
      </c>
      <c r="W1019" s="14" t="s">
        <v>1134</v>
      </c>
      <c r="X1019" s="3">
        <v>2</v>
      </c>
      <c r="Z1019" s="23">
        <f>4.5+3+7+3</f>
        <v>17.5</v>
      </c>
      <c r="AB1019" s="18">
        <f t="shared" si="30"/>
        <v>2020</v>
      </c>
      <c r="AC1019" s="22">
        <f t="shared" si="31"/>
        <v>0.625</v>
      </c>
    </row>
    <row r="1020" spans="1:29">
      <c r="A1020" s="8" t="s">
        <v>14093</v>
      </c>
      <c r="B1020" s="17" t="s">
        <v>13799</v>
      </c>
      <c r="C1020" s="13">
        <v>44050</v>
      </c>
      <c r="D1020" s="13" t="s">
        <v>8465</v>
      </c>
      <c r="E1020" s="10" t="s">
        <v>13801</v>
      </c>
      <c r="F1020" s="10" t="s">
        <v>13801</v>
      </c>
      <c r="H1020" s="2" t="s">
        <v>1377</v>
      </c>
      <c r="L1020" s="18">
        <v>1</v>
      </c>
      <c r="O1020" s="29">
        <v>0</v>
      </c>
      <c r="P1020" s="18" t="s">
        <v>1107</v>
      </c>
      <c r="Q1020" s="18">
        <v>0</v>
      </c>
      <c r="W1020" s="14" t="s">
        <v>8765</v>
      </c>
      <c r="X1020" s="3">
        <v>2</v>
      </c>
      <c r="AB1020" s="18">
        <f t="shared" si="30"/>
        <v>2020</v>
      </c>
      <c r="AC1020" s="22">
        <f t="shared" si="31"/>
        <v>0.4</v>
      </c>
    </row>
    <row r="1021" spans="1:29" ht="30">
      <c r="A1021" s="8" t="s">
        <v>11522</v>
      </c>
      <c r="B1021" s="17" t="s">
        <v>7760</v>
      </c>
      <c r="C1021" s="13">
        <v>44050</v>
      </c>
      <c r="D1021" s="13" t="s">
        <v>8465</v>
      </c>
      <c r="E1021" s="10" t="s">
        <v>1604</v>
      </c>
      <c r="F1021" s="10" t="s">
        <v>7489</v>
      </c>
      <c r="G1021" s="11" t="s">
        <v>11573</v>
      </c>
      <c r="H1021" s="2" t="s">
        <v>150</v>
      </c>
      <c r="L1021" s="18">
        <v>1</v>
      </c>
      <c r="M1021" s="14" t="s">
        <v>8462</v>
      </c>
      <c r="N1021" s="13">
        <v>44649</v>
      </c>
      <c r="O1021" s="29">
        <v>18.38</v>
      </c>
      <c r="P1021" s="18" t="s">
        <v>14</v>
      </c>
      <c r="Q1021" s="18">
        <v>0</v>
      </c>
      <c r="U1021" s="22">
        <v>0.35</v>
      </c>
      <c r="V1021" s="22">
        <f>1.92/5</f>
        <v>0.38400000000000001</v>
      </c>
      <c r="X1021" s="3">
        <v>2</v>
      </c>
      <c r="Z1021" s="23">
        <v>4.5</v>
      </c>
      <c r="AB1021" s="18">
        <f t="shared" si="30"/>
        <v>2020</v>
      </c>
      <c r="AC1021" s="22">
        <f t="shared" si="31"/>
        <v>0.37799999999999995</v>
      </c>
    </row>
    <row r="1022" spans="1:29" ht="25.5">
      <c r="A1022" s="8" t="s">
        <v>11278</v>
      </c>
      <c r="B1022" s="17" t="s">
        <v>7800</v>
      </c>
      <c r="C1022" s="13">
        <v>44049</v>
      </c>
      <c r="D1022" s="13" t="s">
        <v>8465</v>
      </c>
      <c r="E1022" s="10" t="s">
        <v>11279</v>
      </c>
      <c r="F1022" s="10" t="s">
        <v>11279</v>
      </c>
      <c r="H1022" s="2" t="s">
        <v>67</v>
      </c>
      <c r="L1022" s="18">
        <v>1</v>
      </c>
      <c r="N1022" s="13">
        <v>44617</v>
      </c>
      <c r="O1022" s="29">
        <v>12</v>
      </c>
      <c r="P1022" s="18" t="s">
        <v>1107</v>
      </c>
      <c r="Q1022" s="18">
        <v>0</v>
      </c>
      <c r="U1022" s="22">
        <v>0.89</v>
      </c>
      <c r="V1022" s="22">
        <f>3.93/5</f>
        <v>0.78600000000000003</v>
      </c>
      <c r="W1022" s="14" t="s">
        <v>7777</v>
      </c>
      <c r="X1022" s="3">
        <v>4</v>
      </c>
      <c r="Z1022" s="23">
        <v>5</v>
      </c>
      <c r="AB1022" s="18">
        <f t="shared" si="30"/>
        <v>2020</v>
      </c>
      <c r="AC1022" s="22">
        <f t="shared" si="31"/>
        <v>0.82533333333333336</v>
      </c>
    </row>
    <row r="1023" spans="1:29">
      <c r="A1023" s="9" t="s">
        <v>13383</v>
      </c>
      <c r="B1023" s="17" t="s">
        <v>7800</v>
      </c>
      <c r="C1023" s="13">
        <v>44049</v>
      </c>
      <c r="D1023" s="13" t="s">
        <v>8465</v>
      </c>
      <c r="E1023" s="10" t="s">
        <v>13384</v>
      </c>
      <c r="F1023" s="10" t="s">
        <v>13384</v>
      </c>
      <c r="H1023" s="2" t="s">
        <v>2138</v>
      </c>
      <c r="L1023" s="18">
        <v>1</v>
      </c>
      <c r="N1023" s="13">
        <v>44958</v>
      </c>
      <c r="O1023" s="29">
        <v>0</v>
      </c>
      <c r="P1023" s="18" t="s">
        <v>1107</v>
      </c>
      <c r="Q1023" s="18">
        <v>0</v>
      </c>
      <c r="V1023" s="22">
        <f>2.5/5</f>
        <v>0.5</v>
      </c>
      <c r="W1023" s="14" t="s">
        <v>7777</v>
      </c>
      <c r="X1023" s="3">
        <v>2</v>
      </c>
      <c r="AB1023" s="18">
        <f t="shared" si="30"/>
        <v>2020</v>
      </c>
      <c r="AC1023" s="22">
        <f t="shared" si="31"/>
        <v>0.45</v>
      </c>
    </row>
    <row r="1024" spans="1:29">
      <c r="A1024" s="8" t="s">
        <v>10327</v>
      </c>
      <c r="B1024" s="17" t="s">
        <v>7800</v>
      </c>
      <c r="C1024" s="13">
        <v>44049</v>
      </c>
      <c r="D1024" s="13" t="s">
        <v>8465</v>
      </c>
      <c r="E1024" s="10" t="s">
        <v>10328</v>
      </c>
      <c r="F1024" s="10" t="s">
        <v>10328</v>
      </c>
      <c r="H1024" s="2" t="s">
        <v>1050</v>
      </c>
      <c r="L1024" s="18">
        <v>1</v>
      </c>
      <c r="N1024" s="13">
        <v>44380</v>
      </c>
      <c r="O1024" s="29">
        <v>2</v>
      </c>
      <c r="P1024" s="18" t="s">
        <v>1107</v>
      </c>
      <c r="Q1024" s="18">
        <v>0</v>
      </c>
      <c r="U1024" s="22">
        <v>0.76</v>
      </c>
      <c r="V1024" s="22">
        <f>3.78/5</f>
        <v>0.75600000000000001</v>
      </c>
      <c r="W1024" s="14" t="s">
        <v>7777</v>
      </c>
      <c r="X1024" s="3">
        <v>3</v>
      </c>
      <c r="Z1024" s="23">
        <v>2</v>
      </c>
      <c r="AB1024" s="18">
        <f t="shared" si="30"/>
        <v>2020</v>
      </c>
      <c r="AC1024" s="22">
        <f t="shared" si="31"/>
        <v>0.70533333333333337</v>
      </c>
    </row>
    <row r="1025" spans="1:29">
      <c r="A1025" s="8" t="s">
        <v>13983</v>
      </c>
      <c r="B1025" s="17" t="s">
        <v>7800</v>
      </c>
      <c r="C1025" s="13">
        <v>44048</v>
      </c>
      <c r="D1025" s="13" t="s">
        <v>8465</v>
      </c>
      <c r="E1025" s="10" t="s">
        <v>13984</v>
      </c>
      <c r="F1025" s="10" t="s">
        <v>13985</v>
      </c>
      <c r="H1025" s="2" t="s">
        <v>1050</v>
      </c>
      <c r="L1025" s="18">
        <v>1</v>
      </c>
      <c r="N1025" s="13">
        <v>45014</v>
      </c>
      <c r="O1025" s="29">
        <v>0</v>
      </c>
      <c r="P1025" s="18" t="s">
        <v>1107</v>
      </c>
      <c r="Q1025" s="18">
        <v>0</v>
      </c>
      <c r="V1025" s="22">
        <f>4/5</f>
        <v>0.8</v>
      </c>
      <c r="W1025" s="14" t="s">
        <v>7777</v>
      </c>
      <c r="X1025" s="3">
        <v>3</v>
      </c>
      <c r="Z1025" s="23">
        <v>5.5</v>
      </c>
      <c r="AB1025" s="18">
        <f t="shared" si="30"/>
        <v>2020</v>
      </c>
      <c r="AC1025" s="22">
        <f t="shared" si="31"/>
        <v>0.7</v>
      </c>
    </row>
    <row r="1026" spans="1:29">
      <c r="A1026" s="8" t="s">
        <v>12565</v>
      </c>
      <c r="B1026" s="17" t="s">
        <v>7800</v>
      </c>
      <c r="C1026" s="13">
        <v>44047</v>
      </c>
      <c r="D1026" s="13" t="s">
        <v>8465</v>
      </c>
      <c r="E1026" s="10" t="s">
        <v>12572</v>
      </c>
      <c r="F1026" s="10" t="s">
        <v>12572</v>
      </c>
      <c r="H1026" s="2" t="s">
        <v>69</v>
      </c>
      <c r="L1026" s="18">
        <v>1</v>
      </c>
      <c r="P1026" s="18" t="s">
        <v>1107</v>
      </c>
      <c r="Q1026" s="18">
        <v>0</v>
      </c>
      <c r="U1026" s="22">
        <v>0.72</v>
      </c>
      <c r="V1026" s="22">
        <f>4.18/5</f>
        <v>0.83599999999999997</v>
      </c>
      <c r="W1026" s="14" t="s">
        <v>7777</v>
      </c>
      <c r="X1026" s="3">
        <v>2</v>
      </c>
      <c r="Z1026" s="23">
        <v>1</v>
      </c>
      <c r="AB1026" s="18">
        <f t="shared" ref="AB1026:AB1089" si="32">IFERROR(YEAR(C1026), "Early Access")</f>
        <v>2020</v>
      </c>
      <c r="AC1026" s="22">
        <f t="shared" ref="AC1026:AC1089" si="33">AVERAGE(T1026, U1026, V1026, IF(ISBLANK(X1026), X1026, X1026/5))</f>
        <v>0.65200000000000002</v>
      </c>
    </row>
    <row r="1027" spans="1:29">
      <c r="A1027" s="8" t="s">
        <v>9893</v>
      </c>
      <c r="B1027" s="17" t="s">
        <v>7800</v>
      </c>
      <c r="C1027" s="13">
        <v>44047</v>
      </c>
      <c r="D1027" s="13" t="s">
        <v>8465</v>
      </c>
      <c r="E1027" s="10" t="s">
        <v>7894</v>
      </c>
      <c r="F1027" s="10" t="s">
        <v>9894</v>
      </c>
      <c r="H1027" s="2" t="s">
        <v>1040</v>
      </c>
      <c r="L1027" s="18">
        <v>1</v>
      </c>
      <c r="N1027" s="13">
        <v>44292</v>
      </c>
      <c r="O1027" s="29">
        <v>11</v>
      </c>
      <c r="P1027" s="18" t="s">
        <v>1107</v>
      </c>
      <c r="Q1027" s="18">
        <v>0</v>
      </c>
      <c r="U1027" s="22">
        <v>0.61</v>
      </c>
      <c r="V1027" s="22">
        <f>3/5</f>
        <v>0.6</v>
      </c>
      <c r="W1027" s="14" t="s">
        <v>7777</v>
      </c>
      <c r="X1027" s="3">
        <v>2</v>
      </c>
      <c r="Z1027" s="23">
        <v>5.5</v>
      </c>
      <c r="AB1027" s="18">
        <f t="shared" si="32"/>
        <v>2020</v>
      </c>
      <c r="AC1027" s="22">
        <f t="shared" si="33"/>
        <v>0.53666666666666663</v>
      </c>
    </row>
    <row r="1028" spans="1:29" ht="30">
      <c r="A1028" s="8" t="s">
        <v>11330</v>
      </c>
      <c r="B1028" s="17" t="s">
        <v>7800</v>
      </c>
      <c r="C1028" s="13">
        <v>44047</v>
      </c>
      <c r="D1028" s="13" t="s">
        <v>8465</v>
      </c>
      <c r="E1028" s="10" t="s">
        <v>11331</v>
      </c>
      <c r="F1028" s="10" t="s">
        <v>11332</v>
      </c>
      <c r="H1028" s="2" t="s">
        <v>1050</v>
      </c>
      <c r="L1028" s="18">
        <v>1</v>
      </c>
      <c r="N1028" s="13">
        <v>44624</v>
      </c>
      <c r="O1028" s="29">
        <v>0</v>
      </c>
      <c r="P1028" s="18" t="s">
        <v>1107</v>
      </c>
      <c r="Q1028" s="18">
        <v>0</v>
      </c>
      <c r="U1028" s="22">
        <v>0.61</v>
      </c>
      <c r="V1028" s="22">
        <f>3/5</f>
        <v>0.6</v>
      </c>
      <c r="W1028" s="14" t="s">
        <v>7777</v>
      </c>
      <c r="X1028" s="3">
        <v>3</v>
      </c>
      <c r="Z1028" s="23">
        <v>2</v>
      </c>
      <c r="AB1028" s="18">
        <f t="shared" si="32"/>
        <v>2020</v>
      </c>
      <c r="AC1028" s="22">
        <f t="shared" si="33"/>
        <v>0.60333333333333339</v>
      </c>
    </row>
    <row r="1029" spans="1:29">
      <c r="A1029" s="8" t="s">
        <v>11046</v>
      </c>
      <c r="B1029" s="17" t="s">
        <v>7800</v>
      </c>
      <c r="C1029" s="13">
        <v>44046</v>
      </c>
      <c r="D1029" s="13" t="s">
        <v>8465</v>
      </c>
      <c r="E1029" s="10" t="s">
        <v>11047</v>
      </c>
      <c r="F1029" s="10" t="s">
        <v>11048</v>
      </c>
      <c r="H1029" s="2" t="s">
        <v>3191</v>
      </c>
      <c r="L1029" s="18">
        <v>1</v>
      </c>
      <c r="N1029" s="13">
        <v>44581</v>
      </c>
      <c r="O1029" s="29">
        <v>0</v>
      </c>
      <c r="P1029" s="18" t="s">
        <v>1107</v>
      </c>
      <c r="Q1029" s="18">
        <v>0</v>
      </c>
      <c r="U1029" s="22">
        <v>0.74</v>
      </c>
      <c r="V1029" s="22">
        <f>3.25/5</f>
        <v>0.65</v>
      </c>
      <c r="W1029" s="14" t="s">
        <v>7097</v>
      </c>
      <c r="X1029" s="3">
        <v>2</v>
      </c>
      <c r="Z1029" s="23">
        <v>13</v>
      </c>
      <c r="AB1029" s="18">
        <f t="shared" si="32"/>
        <v>2020</v>
      </c>
      <c r="AC1029" s="22">
        <f t="shared" si="33"/>
        <v>0.59666666666666668</v>
      </c>
    </row>
    <row r="1030" spans="1:29">
      <c r="A1030" s="8" t="s">
        <v>9358</v>
      </c>
      <c r="B1030" s="17" t="s">
        <v>7800</v>
      </c>
      <c r="C1030" s="13">
        <v>44043</v>
      </c>
      <c r="D1030" s="13" t="s">
        <v>8465</v>
      </c>
      <c r="E1030" s="10" t="s">
        <v>9249</v>
      </c>
      <c r="F1030" s="10" t="s">
        <v>5492</v>
      </c>
      <c r="H1030" s="2" t="s">
        <v>75</v>
      </c>
      <c r="L1030" s="18">
        <v>1</v>
      </c>
      <c r="N1030" s="13">
        <v>44106</v>
      </c>
      <c r="O1030" s="29">
        <v>0</v>
      </c>
      <c r="P1030" s="18" t="s">
        <v>1107</v>
      </c>
      <c r="Q1030" s="18">
        <v>0</v>
      </c>
      <c r="U1030" s="22">
        <v>0.77</v>
      </c>
      <c r="V1030" s="22">
        <f>3.17/5</f>
        <v>0.63400000000000001</v>
      </c>
      <c r="W1030" s="14" t="s">
        <v>7777</v>
      </c>
      <c r="X1030" s="3">
        <v>4</v>
      </c>
      <c r="Z1030" s="23">
        <v>30.5</v>
      </c>
      <c r="AB1030" s="18">
        <f t="shared" si="32"/>
        <v>2020</v>
      </c>
      <c r="AC1030" s="22">
        <f t="shared" si="33"/>
        <v>0.73466666666666658</v>
      </c>
    </row>
    <row r="1031" spans="1:29">
      <c r="A1031" s="8" t="s">
        <v>15694</v>
      </c>
      <c r="B1031" s="17" t="s">
        <v>7800</v>
      </c>
      <c r="C1031" s="13">
        <v>44043</v>
      </c>
      <c r="D1031" s="13" t="s">
        <v>8465</v>
      </c>
      <c r="E1031" s="10" t="s">
        <v>15695</v>
      </c>
      <c r="F1031" s="10" t="s">
        <v>15695</v>
      </c>
      <c r="H1031" s="2" t="s">
        <v>1059</v>
      </c>
      <c r="I1031" s="18">
        <v>1</v>
      </c>
      <c r="L1031" s="18">
        <v>1</v>
      </c>
      <c r="N1031" s="13">
        <v>45169</v>
      </c>
      <c r="O1031" s="29">
        <v>0</v>
      </c>
      <c r="P1031" s="18" t="s">
        <v>1107</v>
      </c>
      <c r="Q1031" s="18">
        <v>0</v>
      </c>
      <c r="W1031" s="14" t="s">
        <v>7777</v>
      </c>
      <c r="X1031" s="3">
        <v>2</v>
      </c>
      <c r="Z1031" s="23">
        <v>7</v>
      </c>
      <c r="AB1031" s="18">
        <f t="shared" si="32"/>
        <v>2020</v>
      </c>
      <c r="AC1031" s="22">
        <f t="shared" si="33"/>
        <v>0.4</v>
      </c>
    </row>
    <row r="1032" spans="1:29">
      <c r="A1032" s="8" t="s">
        <v>10582</v>
      </c>
      <c r="B1032" s="17" t="s">
        <v>7800</v>
      </c>
      <c r="C1032" s="13">
        <v>44042</v>
      </c>
      <c r="D1032" s="13" t="s">
        <v>8465</v>
      </c>
      <c r="E1032" s="10" t="s">
        <v>10583</v>
      </c>
      <c r="F1032" s="10" t="s">
        <v>10584</v>
      </c>
      <c r="H1032" s="2" t="s">
        <v>80</v>
      </c>
      <c r="L1032" s="18">
        <v>1</v>
      </c>
      <c r="N1032" s="13">
        <v>44501</v>
      </c>
      <c r="O1032" s="29">
        <v>0</v>
      </c>
      <c r="P1032" s="18" t="s">
        <v>1107</v>
      </c>
      <c r="Q1032" s="18">
        <v>0</v>
      </c>
      <c r="V1032" s="22">
        <f>2.57/5</f>
        <v>0.51400000000000001</v>
      </c>
      <c r="W1032" s="14" t="s">
        <v>7799</v>
      </c>
      <c r="X1032" s="3">
        <v>3</v>
      </c>
      <c r="Z1032" s="23">
        <v>3</v>
      </c>
      <c r="AB1032" s="18">
        <f t="shared" si="32"/>
        <v>2020</v>
      </c>
      <c r="AC1032" s="22">
        <f t="shared" si="33"/>
        <v>0.55699999999999994</v>
      </c>
    </row>
    <row r="1033" spans="1:29">
      <c r="A1033" s="8" t="s">
        <v>8127</v>
      </c>
      <c r="B1033" s="17" t="s">
        <v>7800</v>
      </c>
      <c r="C1033" s="13">
        <v>44040</v>
      </c>
      <c r="D1033" s="13" t="s">
        <v>8465</v>
      </c>
      <c r="E1033" s="10" t="s">
        <v>1583</v>
      </c>
      <c r="F1033" s="10" t="s">
        <v>3985</v>
      </c>
      <c r="G1033" s="11" t="s">
        <v>8127</v>
      </c>
      <c r="H1033" s="2" t="s">
        <v>80</v>
      </c>
      <c r="L1033" s="18">
        <v>1</v>
      </c>
      <c r="N1033" s="13">
        <v>44040</v>
      </c>
      <c r="O1033" s="29">
        <v>22.79</v>
      </c>
      <c r="P1033" s="18" t="s">
        <v>1107</v>
      </c>
      <c r="Q1033" s="18">
        <v>0</v>
      </c>
      <c r="U1033" s="22">
        <v>0.74</v>
      </c>
      <c r="V1033" s="22">
        <f>3.63/5</f>
        <v>0.72599999999999998</v>
      </c>
      <c r="W1033" s="14" t="s">
        <v>7777</v>
      </c>
      <c r="X1033" s="3">
        <v>3</v>
      </c>
      <c r="Z1033" s="23">
        <v>7.5</v>
      </c>
      <c r="AB1033" s="18">
        <f t="shared" si="32"/>
        <v>2020</v>
      </c>
      <c r="AC1033" s="22">
        <f t="shared" si="33"/>
        <v>0.68866666666666665</v>
      </c>
    </row>
    <row r="1034" spans="1:29">
      <c r="A1034" s="8" t="s">
        <v>12728</v>
      </c>
      <c r="B1034" s="17" t="s">
        <v>7800</v>
      </c>
      <c r="C1034" s="13">
        <v>44040</v>
      </c>
      <c r="D1034" s="13" t="s">
        <v>8465</v>
      </c>
      <c r="E1034" s="10" t="s">
        <v>4281</v>
      </c>
      <c r="F1034" s="10" t="s">
        <v>4281</v>
      </c>
      <c r="H1034" s="2" t="s">
        <v>1061</v>
      </c>
      <c r="L1034" s="18">
        <v>1</v>
      </c>
      <c r="N1034" s="13">
        <v>44838</v>
      </c>
      <c r="O1034" s="29">
        <v>0</v>
      </c>
      <c r="P1034" s="18" t="s">
        <v>1107</v>
      </c>
      <c r="Q1034" s="18">
        <v>0</v>
      </c>
      <c r="U1034" s="22">
        <v>0.69</v>
      </c>
      <c r="V1034" s="22">
        <f>2.92/5</f>
        <v>0.58399999999999996</v>
      </c>
      <c r="W1034" s="14" t="s">
        <v>7777</v>
      </c>
      <c r="X1034" s="3">
        <v>3</v>
      </c>
      <c r="Z1034" s="23">
        <v>4.5</v>
      </c>
      <c r="AB1034" s="18">
        <f t="shared" si="32"/>
        <v>2020</v>
      </c>
      <c r="AC1034" s="22">
        <f t="shared" si="33"/>
        <v>0.6246666666666667</v>
      </c>
    </row>
    <row r="1035" spans="1:29" ht="30">
      <c r="A1035" s="8" t="s">
        <v>9813</v>
      </c>
      <c r="B1035" s="17" t="s">
        <v>7800</v>
      </c>
      <c r="C1035" s="13">
        <v>44040</v>
      </c>
      <c r="D1035" s="13" t="s">
        <v>8465</v>
      </c>
      <c r="E1035" s="10" t="s">
        <v>1634</v>
      </c>
      <c r="F1035" s="10" t="s">
        <v>9814</v>
      </c>
      <c r="H1035" s="2" t="s">
        <v>56</v>
      </c>
      <c r="L1035" s="18">
        <v>1</v>
      </c>
      <c r="N1035" s="13">
        <v>44257</v>
      </c>
      <c r="O1035" s="29">
        <v>11</v>
      </c>
      <c r="P1035" s="18" t="s">
        <v>1107</v>
      </c>
      <c r="Q1035" s="18">
        <v>0</v>
      </c>
      <c r="U1035" s="22">
        <v>0.72</v>
      </c>
      <c r="V1035" s="22">
        <f>2.63/5</f>
        <v>0.52600000000000002</v>
      </c>
      <c r="W1035" s="14" t="s">
        <v>7777</v>
      </c>
      <c r="X1035" s="3">
        <v>3</v>
      </c>
      <c r="Z1035" s="23">
        <v>17.5</v>
      </c>
      <c r="AB1035" s="18">
        <f t="shared" si="32"/>
        <v>2020</v>
      </c>
      <c r="AC1035" s="22">
        <f t="shared" si="33"/>
        <v>0.6153333333333334</v>
      </c>
    </row>
    <row r="1036" spans="1:29">
      <c r="A1036" s="8" t="s">
        <v>13443</v>
      </c>
      <c r="B1036" s="17" t="s">
        <v>7800</v>
      </c>
      <c r="C1036" s="13">
        <v>44039</v>
      </c>
      <c r="D1036" s="13" t="s">
        <v>8465</v>
      </c>
      <c r="E1036" s="10" t="s">
        <v>12148</v>
      </c>
      <c r="F1036" s="10" t="s">
        <v>13444</v>
      </c>
      <c r="H1036" s="2" t="s">
        <v>3937</v>
      </c>
      <c r="L1036" s="18">
        <v>1</v>
      </c>
      <c r="N1036" s="13">
        <v>44964</v>
      </c>
      <c r="O1036" s="29">
        <v>0</v>
      </c>
      <c r="P1036" s="18" t="s">
        <v>1107</v>
      </c>
      <c r="Q1036" s="18">
        <v>0</v>
      </c>
      <c r="U1036" s="22">
        <v>0.78</v>
      </c>
      <c r="V1036" s="22">
        <f>2.94/5</f>
        <v>0.58799999999999997</v>
      </c>
      <c r="W1036" s="14" t="s">
        <v>7777</v>
      </c>
      <c r="X1036" s="3">
        <v>2</v>
      </c>
      <c r="Z1036" s="23">
        <v>22.5</v>
      </c>
      <c r="AB1036" s="18">
        <f t="shared" si="32"/>
        <v>2020</v>
      </c>
      <c r="AC1036" s="22">
        <f t="shared" si="33"/>
        <v>0.58933333333333326</v>
      </c>
    </row>
    <row r="1037" spans="1:29">
      <c r="A1037" s="8" t="s">
        <v>14272</v>
      </c>
      <c r="B1037" s="17" t="s">
        <v>7800</v>
      </c>
      <c r="C1037" s="13">
        <v>44036</v>
      </c>
      <c r="D1037" s="13" t="s">
        <v>8465</v>
      </c>
      <c r="E1037" s="10" t="s">
        <v>14273</v>
      </c>
      <c r="F1037" s="10" t="s">
        <v>14273</v>
      </c>
      <c r="H1037" s="2" t="s">
        <v>1518</v>
      </c>
      <c r="L1037" s="18">
        <v>1</v>
      </c>
      <c r="O1037" s="29">
        <v>0</v>
      </c>
      <c r="P1037" s="18" t="s">
        <v>1107</v>
      </c>
      <c r="Q1037" s="18">
        <v>0</v>
      </c>
      <c r="W1037" s="14" t="s">
        <v>8765</v>
      </c>
      <c r="X1037" s="3">
        <v>2</v>
      </c>
      <c r="AB1037" s="18">
        <f t="shared" si="32"/>
        <v>2020</v>
      </c>
      <c r="AC1037" s="22">
        <f t="shared" si="33"/>
        <v>0.4</v>
      </c>
    </row>
    <row r="1038" spans="1:29">
      <c r="A1038" s="8" t="s">
        <v>9472</v>
      </c>
      <c r="B1038" s="17" t="s">
        <v>7800</v>
      </c>
      <c r="C1038" s="13">
        <v>44035</v>
      </c>
      <c r="D1038" s="13" t="s">
        <v>8465</v>
      </c>
      <c r="E1038" s="10" t="s">
        <v>9473</v>
      </c>
      <c r="F1038" s="10" t="s">
        <v>9474</v>
      </c>
      <c r="H1038" s="2" t="s">
        <v>67</v>
      </c>
      <c r="L1038" s="18">
        <v>1</v>
      </c>
      <c r="N1038" s="13">
        <v>44168</v>
      </c>
      <c r="O1038" s="29">
        <v>9.99</v>
      </c>
      <c r="P1038" s="18" t="s">
        <v>1107</v>
      </c>
      <c r="Q1038" s="18">
        <v>0</v>
      </c>
      <c r="U1038" s="22">
        <v>0.76</v>
      </c>
      <c r="V1038" s="22">
        <f>3.5/5</f>
        <v>0.7</v>
      </c>
      <c r="W1038" s="14" t="s">
        <v>7777</v>
      </c>
      <c r="X1038" s="3">
        <v>3</v>
      </c>
      <c r="Z1038" s="23">
        <v>9.5</v>
      </c>
      <c r="AB1038" s="18">
        <f t="shared" si="32"/>
        <v>2020</v>
      </c>
      <c r="AC1038" s="22">
        <f t="shared" si="33"/>
        <v>0.68666666666666665</v>
      </c>
    </row>
    <row r="1039" spans="1:29">
      <c r="A1039" s="8" t="s">
        <v>10177</v>
      </c>
      <c r="B1039" s="17" t="s">
        <v>7800</v>
      </c>
      <c r="C1039" s="13">
        <v>44033</v>
      </c>
      <c r="D1039" s="13" t="s">
        <v>8465</v>
      </c>
      <c r="E1039" s="10" t="s">
        <v>4432</v>
      </c>
      <c r="F1039" s="10" t="s">
        <v>4432</v>
      </c>
      <c r="H1039" s="2" t="s">
        <v>56</v>
      </c>
      <c r="L1039" s="18">
        <v>1</v>
      </c>
      <c r="N1039" s="13">
        <v>44350</v>
      </c>
      <c r="O1039" s="29">
        <v>0</v>
      </c>
      <c r="P1039" s="18" t="s">
        <v>1107</v>
      </c>
      <c r="Q1039" s="18">
        <v>0</v>
      </c>
      <c r="U1039" s="22">
        <v>0.76</v>
      </c>
      <c r="V1039" s="22">
        <f>3.86/5</f>
        <v>0.77200000000000002</v>
      </c>
      <c r="W1039" s="14" t="s">
        <v>7777</v>
      </c>
      <c r="X1039" s="3">
        <v>3</v>
      </c>
      <c r="Z1039" s="23">
        <v>7</v>
      </c>
      <c r="AB1039" s="18">
        <f t="shared" si="32"/>
        <v>2020</v>
      </c>
      <c r="AC1039" s="22">
        <f t="shared" si="33"/>
        <v>0.71066666666666667</v>
      </c>
    </row>
    <row r="1040" spans="1:29" ht="25.5">
      <c r="A1040" s="8" t="s">
        <v>9902</v>
      </c>
      <c r="B1040" s="17" t="s">
        <v>7800</v>
      </c>
      <c r="C1040" s="13">
        <v>44033</v>
      </c>
      <c r="D1040" s="13" t="s">
        <v>8465</v>
      </c>
      <c r="E1040" s="10" t="s">
        <v>7894</v>
      </c>
      <c r="F1040" s="10" t="s">
        <v>3094</v>
      </c>
      <c r="G1040" s="11" t="s">
        <v>4862</v>
      </c>
      <c r="H1040" s="2" t="s">
        <v>1169</v>
      </c>
      <c r="L1040" s="18">
        <v>1</v>
      </c>
      <c r="N1040" s="13">
        <v>44292</v>
      </c>
      <c r="O1040" s="29">
        <v>0</v>
      </c>
      <c r="P1040" s="18" t="s">
        <v>1107</v>
      </c>
      <c r="Q1040" s="18">
        <v>0</v>
      </c>
      <c r="U1040" s="22">
        <v>0.72</v>
      </c>
      <c r="V1040" s="22">
        <f>3.32/5</f>
        <v>0.66399999999999992</v>
      </c>
      <c r="W1040" s="14" t="s">
        <v>7777</v>
      </c>
      <c r="X1040" s="3">
        <v>2</v>
      </c>
      <c r="Z1040" s="23">
        <v>6</v>
      </c>
      <c r="AB1040" s="18">
        <f t="shared" si="32"/>
        <v>2020</v>
      </c>
      <c r="AC1040" s="22">
        <f t="shared" si="33"/>
        <v>0.59466666666666657</v>
      </c>
    </row>
    <row r="1041" spans="1:29">
      <c r="A1041" s="8" t="s">
        <v>9881</v>
      </c>
      <c r="B1041" s="17" t="s">
        <v>7800</v>
      </c>
      <c r="C1041" s="13">
        <v>44028</v>
      </c>
      <c r="D1041" s="13" t="s">
        <v>8465</v>
      </c>
      <c r="E1041" s="10" t="s">
        <v>9882</v>
      </c>
      <c r="F1041" s="10" t="s">
        <v>9882</v>
      </c>
      <c r="H1041" s="2" t="s">
        <v>67</v>
      </c>
      <c r="L1041" s="18">
        <v>1</v>
      </c>
      <c r="N1041" s="13">
        <v>44287</v>
      </c>
      <c r="O1041" s="29">
        <v>0</v>
      </c>
      <c r="P1041" s="18" t="s">
        <v>1107</v>
      </c>
      <c r="Q1041" s="18">
        <v>0</v>
      </c>
      <c r="V1041" s="22">
        <f>3.17/5</f>
        <v>0.63400000000000001</v>
      </c>
      <c r="W1041" s="14" t="s">
        <v>7799</v>
      </c>
      <c r="X1041" s="3">
        <v>3</v>
      </c>
      <c r="Z1041" s="23">
        <f>40/60</f>
        <v>0.66666666666666663</v>
      </c>
      <c r="AB1041" s="18">
        <f t="shared" si="32"/>
        <v>2020</v>
      </c>
      <c r="AC1041" s="22">
        <f t="shared" si="33"/>
        <v>0.61699999999999999</v>
      </c>
    </row>
    <row r="1042" spans="1:29" ht="25.5">
      <c r="A1042" s="8" t="s">
        <v>11895</v>
      </c>
      <c r="B1042" s="17" t="s">
        <v>7800</v>
      </c>
      <c r="C1042" s="13">
        <v>44028</v>
      </c>
      <c r="D1042" s="13" t="s">
        <v>8465</v>
      </c>
      <c r="E1042" s="10" t="s">
        <v>7070</v>
      </c>
      <c r="F1042" s="10" t="s">
        <v>7070</v>
      </c>
      <c r="G1042" s="11" t="s">
        <v>7069</v>
      </c>
      <c r="H1042" s="2" t="s">
        <v>1050</v>
      </c>
      <c r="L1042" s="18">
        <v>1</v>
      </c>
      <c r="N1042" s="13">
        <v>44719</v>
      </c>
      <c r="O1042" s="29">
        <v>12</v>
      </c>
      <c r="P1042" s="18" t="s">
        <v>1107</v>
      </c>
      <c r="Q1042" s="18">
        <v>0</v>
      </c>
      <c r="U1042" s="22">
        <v>0.78</v>
      </c>
      <c r="V1042" s="22">
        <f>3.37/5</f>
        <v>0.67400000000000004</v>
      </c>
      <c r="W1042" s="14" t="s">
        <v>7777</v>
      </c>
      <c r="X1042" s="3">
        <v>4</v>
      </c>
      <c r="Z1042" s="23">
        <v>6.5</v>
      </c>
      <c r="AB1042" s="18">
        <f t="shared" si="32"/>
        <v>2020</v>
      </c>
      <c r="AC1042" s="22">
        <f t="shared" si="33"/>
        <v>0.75133333333333352</v>
      </c>
    </row>
    <row r="1043" spans="1:29" ht="25.5">
      <c r="A1043" s="8" t="s">
        <v>13390</v>
      </c>
      <c r="B1043" s="17" t="s">
        <v>7744</v>
      </c>
      <c r="C1043" s="13">
        <v>44026</v>
      </c>
      <c r="D1043" s="13" t="s">
        <v>8465</v>
      </c>
      <c r="E1043" s="10" t="s">
        <v>1062</v>
      </c>
      <c r="F1043" s="10" t="s">
        <v>2285</v>
      </c>
      <c r="G1043" s="11" t="s">
        <v>13391</v>
      </c>
      <c r="H1043" s="2" t="s">
        <v>1377</v>
      </c>
      <c r="L1043" s="18">
        <v>1</v>
      </c>
      <c r="N1043" s="13">
        <v>44959</v>
      </c>
      <c r="O1043" s="29">
        <v>9.99</v>
      </c>
      <c r="P1043" s="18" t="s">
        <v>1107</v>
      </c>
      <c r="Q1043" s="18">
        <v>0</v>
      </c>
      <c r="U1043" s="22">
        <v>0.74</v>
      </c>
      <c r="V1043" s="22">
        <f>4.06/5</f>
        <v>0.81199999999999994</v>
      </c>
      <c r="X1043" s="3">
        <v>3</v>
      </c>
      <c r="Z1043" s="23">
        <v>24.5</v>
      </c>
      <c r="AB1043" s="18">
        <f t="shared" si="32"/>
        <v>2020</v>
      </c>
      <c r="AC1043" s="22">
        <f t="shared" si="33"/>
        <v>0.71733333333333338</v>
      </c>
    </row>
    <row r="1044" spans="1:29" ht="38.25">
      <c r="A1044" s="8" t="s">
        <v>9031</v>
      </c>
      <c r="B1044" s="17" t="s">
        <v>7744</v>
      </c>
      <c r="C1044" s="13">
        <v>44026</v>
      </c>
      <c r="D1044" s="13" t="s">
        <v>8465</v>
      </c>
      <c r="E1044" s="10" t="s">
        <v>1534</v>
      </c>
      <c r="F1044" s="10" t="s">
        <v>5025</v>
      </c>
      <c r="G1044" s="11" t="s">
        <v>2463</v>
      </c>
      <c r="H1044" s="2" t="s">
        <v>1334</v>
      </c>
      <c r="L1044" s="18">
        <v>1</v>
      </c>
      <c r="M1044" s="14" t="s">
        <v>8462</v>
      </c>
      <c r="N1044" s="13">
        <v>44026</v>
      </c>
      <c r="O1044" s="29">
        <v>54.24</v>
      </c>
      <c r="P1044" s="18" t="s">
        <v>14</v>
      </c>
      <c r="Q1044" s="18">
        <v>0</v>
      </c>
      <c r="U1044" s="22">
        <v>0.77</v>
      </c>
      <c r="V1044" s="22">
        <f>4.13/5</f>
        <v>0.82599999999999996</v>
      </c>
      <c r="X1044" s="3">
        <v>2</v>
      </c>
      <c r="Z1044" s="23">
        <v>20</v>
      </c>
      <c r="AB1044" s="18">
        <f t="shared" si="32"/>
        <v>2020</v>
      </c>
      <c r="AC1044" s="22">
        <f t="shared" si="33"/>
        <v>0.66533333333333333</v>
      </c>
    </row>
    <row r="1045" spans="1:29">
      <c r="A1045" s="8" t="s">
        <v>10794</v>
      </c>
      <c r="B1045" s="17" t="s">
        <v>7800</v>
      </c>
      <c r="C1045" s="13">
        <v>44026</v>
      </c>
      <c r="D1045" s="13" t="s">
        <v>8465</v>
      </c>
      <c r="E1045" s="10" t="s">
        <v>1634</v>
      </c>
      <c r="F1045" s="10" t="s">
        <v>10795</v>
      </c>
      <c r="H1045" s="2" t="s">
        <v>1518</v>
      </c>
      <c r="L1045" s="18">
        <v>1</v>
      </c>
      <c r="N1045" s="13">
        <v>44547</v>
      </c>
      <c r="O1045" s="29">
        <v>0</v>
      </c>
      <c r="P1045" s="18" t="s">
        <v>1107</v>
      </c>
      <c r="Q1045" s="18">
        <v>0</v>
      </c>
      <c r="U1045" s="22">
        <v>0.74</v>
      </c>
      <c r="V1045" s="22">
        <f>3.2/5</f>
        <v>0.64</v>
      </c>
      <c r="W1045" s="14" t="s">
        <v>7097</v>
      </c>
      <c r="X1045" s="3">
        <v>2</v>
      </c>
      <c r="Z1045" s="23">
        <v>11</v>
      </c>
      <c r="AB1045" s="18">
        <f t="shared" si="32"/>
        <v>2020</v>
      </c>
      <c r="AC1045" s="22">
        <f t="shared" si="33"/>
        <v>0.59333333333333327</v>
      </c>
    </row>
    <row r="1046" spans="1:29" ht="30">
      <c r="A1046" s="8" t="s">
        <v>9940</v>
      </c>
      <c r="B1046" s="17" t="s">
        <v>7744</v>
      </c>
      <c r="C1046" s="13">
        <v>44022</v>
      </c>
      <c r="D1046" s="13" t="s">
        <v>8465</v>
      </c>
      <c r="E1046" s="10" t="s">
        <v>1070</v>
      </c>
      <c r="F1046" s="10" t="s">
        <v>1070</v>
      </c>
      <c r="G1046" s="11" t="s">
        <v>1572</v>
      </c>
      <c r="H1046" s="2" t="s">
        <v>151</v>
      </c>
      <c r="L1046" s="18">
        <v>1</v>
      </c>
      <c r="M1046" s="14" t="s">
        <v>8462</v>
      </c>
      <c r="N1046" s="13">
        <v>44253</v>
      </c>
      <c r="O1046" s="29">
        <v>29.99</v>
      </c>
      <c r="P1046" s="18" t="s">
        <v>14</v>
      </c>
      <c r="Q1046" s="18">
        <v>0</v>
      </c>
      <c r="U1046" s="22">
        <v>0.82</v>
      </c>
      <c r="V1046" s="22">
        <f>3.87/5</f>
        <v>0.77400000000000002</v>
      </c>
      <c r="W1046" s="14" t="s">
        <v>1134</v>
      </c>
      <c r="X1046" s="3">
        <v>4</v>
      </c>
      <c r="Z1046" s="23">
        <v>4.5</v>
      </c>
      <c r="AB1046" s="18">
        <f t="shared" si="32"/>
        <v>2020</v>
      </c>
      <c r="AC1046" s="22">
        <f t="shared" si="33"/>
        <v>0.79800000000000004</v>
      </c>
    </row>
    <row r="1047" spans="1:29" ht="25.5">
      <c r="A1047" s="8" t="s">
        <v>9032</v>
      </c>
      <c r="B1047" s="17" t="s">
        <v>7744</v>
      </c>
      <c r="C1047" s="13">
        <v>44022</v>
      </c>
      <c r="D1047" s="13" t="s">
        <v>8465</v>
      </c>
      <c r="E1047" s="10" t="s">
        <v>1601</v>
      </c>
      <c r="F1047" s="10" t="s">
        <v>8238</v>
      </c>
      <c r="G1047" s="11" t="s">
        <v>7801</v>
      </c>
      <c r="H1047" s="2" t="s">
        <v>1061</v>
      </c>
      <c r="L1047" s="18">
        <v>1</v>
      </c>
      <c r="M1047" s="14" t="s">
        <v>8462</v>
      </c>
      <c r="N1047" s="13">
        <v>44022</v>
      </c>
      <c r="O1047" s="29">
        <v>54.21</v>
      </c>
      <c r="P1047" s="18" t="s">
        <v>14</v>
      </c>
      <c r="Q1047" s="18">
        <v>0</v>
      </c>
      <c r="U1047" s="22">
        <v>0.57999999999999996</v>
      </c>
      <c r="V1047" s="22">
        <f>3.37/5</f>
        <v>0.67400000000000004</v>
      </c>
      <c r="X1047" s="3">
        <v>4</v>
      </c>
      <c r="Z1047" s="23">
        <v>20</v>
      </c>
      <c r="AB1047" s="18">
        <f t="shared" si="32"/>
        <v>2020</v>
      </c>
      <c r="AC1047" s="22">
        <f t="shared" si="33"/>
        <v>0.68466666666666676</v>
      </c>
    </row>
    <row r="1048" spans="1:29">
      <c r="A1048" s="8" t="s">
        <v>9027</v>
      </c>
      <c r="B1048" s="17" t="s">
        <v>7800</v>
      </c>
      <c r="C1048" s="13">
        <v>44022</v>
      </c>
      <c r="D1048" s="13" t="s">
        <v>8465</v>
      </c>
      <c r="E1048" s="10" t="s">
        <v>9026</v>
      </c>
      <c r="F1048" s="10" t="s">
        <v>9026</v>
      </c>
      <c r="G1048" s="11" t="s">
        <v>9025</v>
      </c>
      <c r="H1048" s="2" t="s">
        <v>67</v>
      </c>
      <c r="L1048" s="18">
        <v>1</v>
      </c>
      <c r="N1048" s="13">
        <v>44024</v>
      </c>
      <c r="O1048" s="29">
        <v>0</v>
      </c>
      <c r="P1048" s="18" t="s">
        <v>1107</v>
      </c>
      <c r="Q1048" s="18">
        <v>0</v>
      </c>
      <c r="W1048" s="14" t="s">
        <v>8765</v>
      </c>
      <c r="X1048" s="3">
        <v>2</v>
      </c>
      <c r="Z1048" s="23">
        <v>2</v>
      </c>
      <c r="AB1048" s="18">
        <f t="shared" si="32"/>
        <v>2020</v>
      </c>
      <c r="AC1048" s="22">
        <f t="shared" si="33"/>
        <v>0.4</v>
      </c>
    </row>
    <row r="1049" spans="1:29">
      <c r="A1049" s="8" t="s">
        <v>12568</v>
      </c>
      <c r="B1049" s="17" t="s">
        <v>7800</v>
      </c>
      <c r="C1049" s="13">
        <v>44021</v>
      </c>
      <c r="D1049" s="13" t="s">
        <v>8465</v>
      </c>
      <c r="E1049" s="10" t="s">
        <v>1513</v>
      </c>
      <c r="F1049" s="10" t="s">
        <v>1513</v>
      </c>
      <c r="G1049" s="11" t="s">
        <v>8483</v>
      </c>
      <c r="H1049" s="2" t="s">
        <v>150</v>
      </c>
      <c r="L1049" s="18">
        <v>1</v>
      </c>
      <c r="P1049" s="18" t="s">
        <v>1107</v>
      </c>
      <c r="Q1049" s="18">
        <v>0</v>
      </c>
      <c r="U1049" s="22">
        <v>0.88</v>
      </c>
      <c r="V1049" s="22">
        <f>4.12/5</f>
        <v>0.82400000000000007</v>
      </c>
      <c r="W1049" s="14" t="s">
        <v>7777</v>
      </c>
      <c r="X1049" s="3">
        <v>2</v>
      </c>
      <c r="Z1049" s="23">
        <v>32.5</v>
      </c>
      <c r="AB1049" s="18">
        <f t="shared" si="32"/>
        <v>2020</v>
      </c>
      <c r="AC1049" s="22">
        <f t="shared" si="33"/>
        <v>0.70133333333333336</v>
      </c>
    </row>
    <row r="1050" spans="1:29">
      <c r="A1050" s="8" t="s">
        <v>6285</v>
      </c>
      <c r="B1050" s="17" t="s">
        <v>7741</v>
      </c>
      <c r="C1050" s="13">
        <v>44021</v>
      </c>
      <c r="D1050" s="13" t="s">
        <v>8467</v>
      </c>
      <c r="E1050" s="10" t="s">
        <v>4818</v>
      </c>
      <c r="F1050" s="10" t="s">
        <v>4818</v>
      </c>
      <c r="H1050" s="2" t="s">
        <v>80</v>
      </c>
      <c r="L1050" s="18">
        <v>1</v>
      </c>
      <c r="M1050" s="14" t="s">
        <v>8462</v>
      </c>
      <c r="N1050" s="13">
        <v>44021</v>
      </c>
      <c r="O1050" s="29">
        <v>32.840000000000003</v>
      </c>
      <c r="P1050" s="18" t="s">
        <v>14</v>
      </c>
      <c r="Q1050" s="18">
        <v>0</v>
      </c>
      <c r="V1050" s="22">
        <f>4.5/5</f>
        <v>0.9</v>
      </c>
      <c r="X1050" s="3">
        <v>1</v>
      </c>
      <c r="Z1050" s="23">
        <v>6.5</v>
      </c>
      <c r="AB1050" s="18">
        <f t="shared" si="32"/>
        <v>2020</v>
      </c>
      <c r="AC1050" s="22">
        <f t="shared" si="33"/>
        <v>0.55000000000000004</v>
      </c>
    </row>
    <row r="1051" spans="1:29">
      <c r="A1051" s="9" t="s">
        <v>4817</v>
      </c>
      <c r="B1051" s="17" t="s">
        <v>7741</v>
      </c>
      <c r="C1051" s="13">
        <v>44021</v>
      </c>
      <c r="D1051" s="13" t="s">
        <v>8467</v>
      </c>
      <c r="E1051" s="10" t="s">
        <v>4818</v>
      </c>
      <c r="F1051" s="10" t="s">
        <v>4818</v>
      </c>
      <c r="G1051" s="11" t="s">
        <v>4819</v>
      </c>
      <c r="H1051" s="2" t="s">
        <v>80</v>
      </c>
      <c r="L1051" s="18">
        <v>1</v>
      </c>
      <c r="M1051" s="14" t="s">
        <v>8462</v>
      </c>
      <c r="N1051" s="13">
        <v>44021</v>
      </c>
      <c r="O1051" s="29">
        <v>32.840000000000003</v>
      </c>
      <c r="P1051" s="18" t="s">
        <v>14</v>
      </c>
      <c r="Q1051" s="18">
        <v>0</v>
      </c>
      <c r="V1051" s="22">
        <f>4.33/5</f>
        <v>0.86599999999999999</v>
      </c>
      <c r="X1051" s="3">
        <v>1</v>
      </c>
      <c r="Z1051" s="23">
        <v>5.5</v>
      </c>
      <c r="AB1051" s="18">
        <f t="shared" si="32"/>
        <v>2020</v>
      </c>
      <c r="AC1051" s="22">
        <f t="shared" si="33"/>
        <v>0.53300000000000003</v>
      </c>
    </row>
    <row r="1052" spans="1:29">
      <c r="A1052" s="8" t="s">
        <v>9017</v>
      </c>
      <c r="B1052" s="17" t="s">
        <v>7744</v>
      </c>
      <c r="C1052" s="13">
        <v>44019</v>
      </c>
      <c r="D1052" s="13" t="s">
        <v>8465</v>
      </c>
      <c r="E1052" s="10" t="s">
        <v>228</v>
      </c>
      <c r="F1052" s="10" t="s">
        <v>228</v>
      </c>
      <c r="G1052" s="11" t="s">
        <v>6057</v>
      </c>
      <c r="H1052" s="2" t="s">
        <v>27</v>
      </c>
      <c r="L1052" s="18">
        <v>1</v>
      </c>
      <c r="M1052" s="14" t="s">
        <v>8462</v>
      </c>
      <c r="N1052" s="13">
        <v>44019</v>
      </c>
      <c r="O1052" s="29">
        <v>54.24</v>
      </c>
      <c r="P1052" s="18" t="s">
        <v>14</v>
      </c>
      <c r="Q1052" s="18">
        <v>0</v>
      </c>
      <c r="U1052" s="22">
        <v>0.82</v>
      </c>
      <c r="V1052" s="22">
        <f>3.99/5</f>
        <v>0.79800000000000004</v>
      </c>
      <c r="X1052" s="3">
        <v>4</v>
      </c>
      <c r="Z1052" s="23">
        <v>11.5</v>
      </c>
      <c r="AB1052" s="18">
        <f t="shared" si="32"/>
        <v>2020</v>
      </c>
      <c r="AC1052" s="22">
        <f t="shared" si="33"/>
        <v>0.80600000000000005</v>
      </c>
    </row>
    <row r="1053" spans="1:29">
      <c r="A1053" s="8" t="s">
        <v>14125</v>
      </c>
      <c r="B1053" s="17" t="s">
        <v>7800</v>
      </c>
      <c r="C1053" s="13">
        <v>44018</v>
      </c>
      <c r="D1053" s="13" t="s">
        <v>8465</v>
      </c>
      <c r="E1053" s="10" t="s">
        <v>14126</v>
      </c>
      <c r="F1053" s="10" t="s">
        <v>14126</v>
      </c>
      <c r="H1053" s="2" t="s">
        <v>64</v>
      </c>
      <c r="L1053" s="18">
        <v>1</v>
      </c>
      <c r="O1053" s="29">
        <v>0</v>
      </c>
      <c r="P1053" s="18" t="s">
        <v>1107</v>
      </c>
      <c r="Q1053" s="18">
        <v>0</v>
      </c>
      <c r="V1053" s="22">
        <f>3.75/5</f>
        <v>0.75</v>
      </c>
      <c r="W1053" s="14" t="s">
        <v>8765</v>
      </c>
      <c r="X1053" s="3">
        <v>2</v>
      </c>
      <c r="Z1053" s="23">
        <v>4.5</v>
      </c>
      <c r="AB1053" s="18">
        <f t="shared" si="32"/>
        <v>2020</v>
      </c>
      <c r="AC1053" s="22">
        <f t="shared" si="33"/>
        <v>0.57499999999999996</v>
      </c>
    </row>
    <row r="1054" spans="1:29" ht="30">
      <c r="A1054" s="8" t="s">
        <v>10705</v>
      </c>
      <c r="B1054" s="17" t="s">
        <v>7760</v>
      </c>
      <c r="C1054" s="13">
        <v>44015</v>
      </c>
      <c r="D1054" s="13" t="s">
        <v>8465</v>
      </c>
      <c r="E1054" s="10" t="s">
        <v>6107</v>
      </c>
      <c r="F1054" s="10" t="s">
        <v>7056</v>
      </c>
      <c r="G1054" s="11" t="s">
        <v>1978</v>
      </c>
      <c r="H1054" s="2" t="s">
        <v>1050</v>
      </c>
      <c r="I1054" s="18">
        <v>1</v>
      </c>
      <c r="L1054" s="18">
        <v>1</v>
      </c>
      <c r="M1054" s="14" t="s">
        <v>8462</v>
      </c>
      <c r="N1054" s="13">
        <v>44520</v>
      </c>
      <c r="O1054" s="29">
        <v>9.99</v>
      </c>
      <c r="P1054" s="18" t="s">
        <v>14</v>
      </c>
      <c r="Q1054" s="18">
        <v>0</v>
      </c>
      <c r="U1054" s="22">
        <v>0.73</v>
      </c>
      <c r="V1054" s="22">
        <f>3.83/5</f>
        <v>0.76600000000000001</v>
      </c>
      <c r="X1054" s="3">
        <v>3</v>
      </c>
      <c r="Z1054" s="23">
        <v>7</v>
      </c>
      <c r="AB1054" s="18">
        <f t="shared" si="32"/>
        <v>2020</v>
      </c>
      <c r="AC1054" s="22">
        <f t="shared" si="33"/>
        <v>0.69866666666666666</v>
      </c>
    </row>
    <row r="1055" spans="1:29" ht="30">
      <c r="A1055" s="8" t="s">
        <v>8986</v>
      </c>
      <c r="B1055" s="17" t="s">
        <v>7744</v>
      </c>
      <c r="C1055" s="13">
        <v>44012</v>
      </c>
      <c r="D1055" s="13" t="s">
        <v>8465</v>
      </c>
      <c r="E1055" s="10" t="s">
        <v>1062</v>
      </c>
      <c r="F1055" s="10" t="s">
        <v>1245</v>
      </c>
      <c r="G1055" s="11" t="s">
        <v>2892</v>
      </c>
      <c r="H1055" s="2" t="s">
        <v>149</v>
      </c>
      <c r="L1055" s="18">
        <v>1</v>
      </c>
      <c r="M1055" s="14" t="s">
        <v>8462</v>
      </c>
      <c r="N1055" s="13">
        <v>44012</v>
      </c>
      <c r="O1055" s="29">
        <v>37.75</v>
      </c>
      <c r="P1055" s="18" t="s">
        <v>14</v>
      </c>
      <c r="Q1055" s="18">
        <v>0</v>
      </c>
      <c r="U1055" s="22">
        <v>0.86</v>
      </c>
      <c r="V1055" s="22">
        <f>4.06/5</f>
        <v>0.81199999999999994</v>
      </c>
      <c r="W1055" s="14" t="s">
        <v>8987</v>
      </c>
      <c r="X1055" s="3">
        <v>4</v>
      </c>
      <c r="Z1055" s="23">
        <v>62</v>
      </c>
      <c r="AB1055" s="18">
        <f t="shared" si="32"/>
        <v>2020</v>
      </c>
      <c r="AC1055" s="22">
        <f t="shared" si="33"/>
        <v>0.82399999999999995</v>
      </c>
    </row>
    <row r="1056" spans="1:29">
      <c r="A1056" s="8" t="s">
        <v>9463</v>
      </c>
      <c r="B1056" s="17" t="s">
        <v>7744</v>
      </c>
      <c r="C1056" s="13">
        <v>44008</v>
      </c>
      <c r="D1056" s="13" t="s">
        <v>8467</v>
      </c>
      <c r="E1056" s="10" t="s">
        <v>8659</v>
      </c>
      <c r="F1056" s="10" t="s">
        <v>9464</v>
      </c>
      <c r="H1056" s="2" t="s">
        <v>61</v>
      </c>
      <c r="L1056" s="18">
        <v>1</v>
      </c>
      <c r="M1056" s="14" t="s">
        <v>8462</v>
      </c>
      <c r="N1056" s="13">
        <v>44147</v>
      </c>
      <c r="O1056" s="29">
        <v>49.19</v>
      </c>
      <c r="P1056" s="18" t="s">
        <v>14</v>
      </c>
      <c r="Q1056" s="18">
        <v>0</v>
      </c>
      <c r="U1056" s="22">
        <v>0.74</v>
      </c>
      <c r="V1056" s="22">
        <f>3.67/5</f>
        <v>0.73399999999999999</v>
      </c>
      <c r="W1056" s="14" t="s">
        <v>1739</v>
      </c>
      <c r="X1056" s="3">
        <v>2</v>
      </c>
      <c r="Z1056" s="23">
        <v>5.5</v>
      </c>
      <c r="AB1056" s="18">
        <f t="shared" si="32"/>
        <v>2020</v>
      </c>
      <c r="AC1056" s="22">
        <f t="shared" si="33"/>
        <v>0.6246666666666667</v>
      </c>
    </row>
    <row r="1057" spans="1:29" ht="30">
      <c r="A1057" s="8" t="s">
        <v>9141</v>
      </c>
      <c r="B1057" s="17" t="s">
        <v>7744</v>
      </c>
      <c r="C1057" s="13">
        <v>44007</v>
      </c>
      <c r="D1057" s="13" t="s">
        <v>8465</v>
      </c>
      <c r="E1057" s="10" t="s">
        <v>9142</v>
      </c>
      <c r="F1057" s="10" t="s">
        <v>1083</v>
      </c>
      <c r="G1057" s="11" t="s">
        <v>8706</v>
      </c>
      <c r="H1057" s="2" t="s">
        <v>75</v>
      </c>
      <c r="L1057" s="18">
        <v>1</v>
      </c>
      <c r="M1057" s="14" t="s">
        <v>8462</v>
      </c>
      <c r="N1057" s="13">
        <v>44049</v>
      </c>
      <c r="O1057" s="29">
        <v>59.82</v>
      </c>
      <c r="P1057" s="18" t="s">
        <v>14</v>
      </c>
      <c r="Q1057" s="18">
        <v>0</v>
      </c>
      <c r="U1057" s="22">
        <v>0.76</v>
      </c>
      <c r="V1057" s="22">
        <f>4.03/5</f>
        <v>0.80600000000000005</v>
      </c>
      <c r="W1057" s="14" t="s">
        <v>1134</v>
      </c>
      <c r="X1057" s="3">
        <v>3</v>
      </c>
      <c r="Z1057" s="23">
        <v>52</v>
      </c>
      <c r="AB1057" s="18">
        <f t="shared" si="32"/>
        <v>2020</v>
      </c>
      <c r="AC1057" s="22">
        <f t="shared" si="33"/>
        <v>0.72199999999999998</v>
      </c>
    </row>
    <row r="1058" spans="1:29">
      <c r="A1058" s="8" t="s">
        <v>12208</v>
      </c>
      <c r="B1058" s="17" t="s">
        <v>7800</v>
      </c>
      <c r="C1058" s="13">
        <v>44007</v>
      </c>
      <c r="D1058" s="13" t="s">
        <v>8465</v>
      </c>
      <c r="E1058" s="10" t="s">
        <v>12209</v>
      </c>
      <c r="F1058" s="10" t="s">
        <v>12210</v>
      </c>
      <c r="H1058" s="2" t="s">
        <v>67</v>
      </c>
      <c r="L1058" s="18">
        <v>1</v>
      </c>
      <c r="N1058" s="13">
        <v>44771</v>
      </c>
      <c r="O1058" s="29">
        <v>20</v>
      </c>
      <c r="P1058" s="18" t="s">
        <v>1107</v>
      </c>
      <c r="Q1058" s="18">
        <v>0</v>
      </c>
      <c r="U1058" s="22">
        <v>0.67</v>
      </c>
      <c r="V1058" s="22">
        <f>2.83/5</f>
        <v>0.56600000000000006</v>
      </c>
      <c r="W1058" s="14" t="s">
        <v>7777</v>
      </c>
      <c r="X1058" s="3">
        <v>3</v>
      </c>
      <c r="Z1058" s="23">
        <v>2.5</v>
      </c>
      <c r="AB1058" s="18">
        <f t="shared" si="32"/>
        <v>2020</v>
      </c>
      <c r="AC1058" s="22">
        <f t="shared" si="33"/>
        <v>0.6120000000000001</v>
      </c>
    </row>
    <row r="1059" spans="1:29">
      <c r="A1059" s="8" t="s">
        <v>9175</v>
      </c>
      <c r="B1059" s="17" t="s">
        <v>7744</v>
      </c>
      <c r="C1059" s="13">
        <v>44007</v>
      </c>
      <c r="D1059" s="13" t="s">
        <v>8465</v>
      </c>
      <c r="E1059" s="10" t="s">
        <v>1519</v>
      </c>
      <c r="F1059" s="10" t="s">
        <v>8996</v>
      </c>
      <c r="G1059" s="11" t="s">
        <v>9175</v>
      </c>
      <c r="H1059" s="2" t="s">
        <v>1057</v>
      </c>
      <c r="L1059" s="18">
        <v>1</v>
      </c>
      <c r="M1059" s="14" t="s">
        <v>8462</v>
      </c>
      <c r="N1059" s="13">
        <v>44007</v>
      </c>
      <c r="O1059" s="29">
        <v>39.99</v>
      </c>
      <c r="P1059" s="18" t="s">
        <v>14</v>
      </c>
      <c r="Q1059" s="18">
        <v>0</v>
      </c>
      <c r="U1059" s="22">
        <v>0.77</v>
      </c>
      <c r="V1059" s="22">
        <f>2.83/5</f>
        <v>0.56600000000000006</v>
      </c>
      <c r="X1059" s="3">
        <v>2</v>
      </c>
      <c r="Z1059" s="23">
        <v>9.5</v>
      </c>
      <c r="AB1059" s="18">
        <f t="shared" si="32"/>
        <v>2020</v>
      </c>
      <c r="AC1059" s="22">
        <f t="shared" si="33"/>
        <v>0.57866666666666677</v>
      </c>
    </row>
    <row r="1060" spans="1:29" ht="30">
      <c r="A1060" s="8" t="s">
        <v>15711</v>
      </c>
      <c r="B1060" s="17" t="s">
        <v>7744</v>
      </c>
      <c r="C1060" s="13">
        <v>44007</v>
      </c>
      <c r="D1060" s="13" t="s">
        <v>8465</v>
      </c>
      <c r="E1060" s="10" t="s">
        <v>1604</v>
      </c>
      <c r="F1060" s="10" t="s">
        <v>249</v>
      </c>
      <c r="G1060" s="11" t="s">
        <v>7502</v>
      </c>
      <c r="H1060" s="2" t="s">
        <v>31</v>
      </c>
      <c r="L1060" s="18">
        <v>1</v>
      </c>
      <c r="N1060" s="13">
        <v>45173</v>
      </c>
      <c r="O1060" s="29">
        <v>4.79</v>
      </c>
      <c r="P1060" s="18" t="s">
        <v>1107</v>
      </c>
      <c r="Q1060" s="18">
        <v>0</v>
      </c>
      <c r="U1060" s="22">
        <v>0.8</v>
      </c>
      <c r="V1060" s="22">
        <f>3.95/5</f>
        <v>0.79</v>
      </c>
      <c r="X1060" s="3">
        <v>2</v>
      </c>
      <c r="Z1060" s="23">
        <v>3.5</v>
      </c>
      <c r="AB1060" s="18">
        <f t="shared" si="32"/>
        <v>2020</v>
      </c>
      <c r="AC1060" s="22">
        <f t="shared" si="33"/>
        <v>0.66333333333333344</v>
      </c>
    </row>
    <row r="1061" spans="1:29">
      <c r="A1061" s="8" t="s">
        <v>12672</v>
      </c>
      <c r="B1061" s="17" t="s">
        <v>7800</v>
      </c>
      <c r="C1061" s="13">
        <v>44005</v>
      </c>
      <c r="D1061" s="13" t="s">
        <v>8465</v>
      </c>
      <c r="E1061" s="10" t="s">
        <v>12673</v>
      </c>
      <c r="F1061" s="10" t="s">
        <v>12596</v>
      </c>
      <c r="G1061" s="11" t="s">
        <v>12597</v>
      </c>
      <c r="H1061" s="2" t="s">
        <v>150</v>
      </c>
      <c r="L1061" s="18">
        <v>1</v>
      </c>
      <c r="P1061" s="18" t="s">
        <v>1107</v>
      </c>
      <c r="Q1061" s="18">
        <v>0</v>
      </c>
      <c r="W1061" s="14" t="s">
        <v>7777</v>
      </c>
      <c r="X1061" s="3">
        <v>2</v>
      </c>
      <c r="Z1061" s="23">
        <v>8.5</v>
      </c>
      <c r="AB1061" s="18">
        <f t="shared" si="32"/>
        <v>2020</v>
      </c>
      <c r="AC1061" s="22">
        <f t="shared" si="33"/>
        <v>0.4</v>
      </c>
    </row>
    <row r="1062" spans="1:29">
      <c r="A1062" s="8" t="s">
        <v>15525</v>
      </c>
      <c r="B1062" s="17" t="s">
        <v>7800</v>
      </c>
      <c r="C1062" s="13">
        <v>44003</v>
      </c>
      <c r="D1062" s="13" t="s">
        <v>8465</v>
      </c>
      <c r="E1062" s="10" t="s">
        <v>1070</v>
      </c>
      <c r="F1062" s="10" t="s">
        <v>1070</v>
      </c>
      <c r="G1062" s="11" t="s">
        <v>2477</v>
      </c>
      <c r="H1062" s="2" t="s">
        <v>56</v>
      </c>
      <c r="L1062" s="18">
        <v>1</v>
      </c>
      <c r="N1062" s="13">
        <v>45153</v>
      </c>
      <c r="O1062" s="29">
        <v>9.99</v>
      </c>
      <c r="P1062" s="18" t="s">
        <v>1107</v>
      </c>
      <c r="Q1062" s="18">
        <v>0</v>
      </c>
      <c r="V1062" s="22">
        <f>3.65/5</f>
        <v>0.73</v>
      </c>
      <c r="W1062" s="14" t="s">
        <v>7777</v>
      </c>
      <c r="X1062" s="3">
        <v>3</v>
      </c>
      <c r="Z1062" s="23">
        <v>5</v>
      </c>
      <c r="AB1062" s="18">
        <f t="shared" si="32"/>
        <v>2020</v>
      </c>
      <c r="AC1062" s="22">
        <f t="shared" si="33"/>
        <v>0.66500000000000004</v>
      </c>
    </row>
    <row r="1063" spans="1:29">
      <c r="A1063" s="8" t="s">
        <v>12135</v>
      </c>
      <c r="B1063" s="17" t="s">
        <v>7800</v>
      </c>
      <c r="C1063" s="13">
        <v>44002</v>
      </c>
      <c r="D1063" s="13" t="s">
        <v>8465</v>
      </c>
      <c r="E1063" s="10" t="s">
        <v>12136</v>
      </c>
      <c r="F1063" s="10" t="s">
        <v>12136</v>
      </c>
      <c r="H1063" s="2" t="s">
        <v>67</v>
      </c>
      <c r="L1063" s="18">
        <v>1</v>
      </c>
      <c r="O1063" s="29">
        <v>0</v>
      </c>
      <c r="P1063" s="18" t="s">
        <v>1107</v>
      </c>
      <c r="Q1063" s="18">
        <v>0</v>
      </c>
      <c r="V1063" s="22">
        <f>3.5/5</f>
        <v>0.7</v>
      </c>
      <c r="W1063" s="14" t="s">
        <v>8765</v>
      </c>
      <c r="X1063" s="3">
        <v>3</v>
      </c>
      <c r="Z1063" s="23">
        <v>1</v>
      </c>
      <c r="AB1063" s="18">
        <f t="shared" si="32"/>
        <v>2020</v>
      </c>
      <c r="AC1063" s="22">
        <f t="shared" si="33"/>
        <v>0.64999999999999991</v>
      </c>
    </row>
    <row r="1064" spans="1:29">
      <c r="A1064" s="8" t="s">
        <v>11401</v>
      </c>
      <c r="B1064" s="17" t="s">
        <v>7800</v>
      </c>
      <c r="C1064" s="13">
        <v>44000</v>
      </c>
      <c r="D1064" s="13" t="s">
        <v>8465</v>
      </c>
      <c r="E1064" s="10" t="s">
        <v>3544</v>
      </c>
      <c r="F1064" s="10" t="s">
        <v>11402</v>
      </c>
      <c r="H1064" s="2" t="s">
        <v>1054</v>
      </c>
      <c r="L1064" s="18">
        <v>1</v>
      </c>
      <c r="N1064" s="13">
        <v>44638</v>
      </c>
      <c r="O1064" s="29">
        <v>0</v>
      </c>
      <c r="P1064" s="18" t="s">
        <v>1107</v>
      </c>
      <c r="Q1064" s="18">
        <v>0</v>
      </c>
      <c r="U1064" s="22">
        <v>0.69</v>
      </c>
      <c r="V1064" s="22">
        <f>3.88/5</f>
        <v>0.77600000000000002</v>
      </c>
      <c r="W1064" s="14" t="s">
        <v>7777</v>
      </c>
      <c r="X1064" s="3">
        <v>2</v>
      </c>
      <c r="Z1064" s="23">
        <v>10.5</v>
      </c>
      <c r="AB1064" s="18">
        <f t="shared" si="32"/>
        <v>2020</v>
      </c>
      <c r="AC1064" s="22">
        <f t="shared" si="33"/>
        <v>0.622</v>
      </c>
    </row>
    <row r="1065" spans="1:29">
      <c r="A1065" s="8" t="s">
        <v>11888</v>
      </c>
      <c r="B1065" s="17" t="s">
        <v>7800</v>
      </c>
      <c r="C1065" s="13">
        <v>43999</v>
      </c>
      <c r="D1065" s="13" t="s">
        <v>8465</v>
      </c>
      <c r="E1065" s="10" t="s">
        <v>11889</v>
      </c>
      <c r="F1065" s="10" t="s">
        <v>11889</v>
      </c>
      <c r="H1065" s="2" t="s">
        <v>1057</v>
      </c>
      <c r="L1065" s="18">
        <v>1</v>
      </c>
      <c r="N1065" s="13">
        <v>44713</v>
      </c>
      <c r="O1065" s="29">
        <v>0</v>
      </c>
      <c r="P1065" s="18" t="s">
        <v>1107</v>
      </c>
      <c r="Q1065" s="18">
        <v>0</v>
      </c>
      <c r="V1065" s="22">
        <f>3/5</f>
        <v>0.6</v>
      </c>
      <c r="W1065" s="14" t="s">
        <v>7799</v>
      </c>
      <c r="X1065" s="3">
        <v>2</v>
      </c>
      <c r="Z1065" s="23">
        <v>3</v>
      </c>
      <c r="AB1065" s="18">
        <f t="shared" si="32"/>
        <v>2020</v>
      </c>
      <c r="AC1065" s="22">
        <f t="shared" si="33"/>
        <v>0.5</v>
      </c>
    </row>
    <row r="1066" spans="1:29">
      <c r="A1066" s="8" t="s">
        <v>8851</v>
      </c>
      <c r="B1066" s="17" t="s">
        <v>7800</v>
      </c>
      <c r="C1066" s="13">
        <v>43998</v>
      </c>
      <c r="D1066" s="13" t="s">
        <v>8465</v>
      </c>
      <c r="E1066" s="10" t="s">
        <v>1583</v>
      </c>
      <c r="F1066" s="10" t="s">
        <v>8852</v>
      </c>
      <c r="G1066" s="11" t="s">
        <v>3636</v>
      </c>
      <c r="H1066" s="2" t="s">
        <v>3279</v>
      </c>
      <c r="L1066" s="18">
        <v>1</v>
      </c>
      <c r="N1066" s="13">
        <v>43998</v>
      </c>
      <c r="O1066" s="29">
        <v>39.99</v>
      </c>
      <c r="P1066" s="18" t="s">
        <v>1107</v>
      </c>
      <c r="Q1066" s="18">
        <v>0</v>
      </c>
      <c r="U1066" s="22">
        <v>0.85</v>
      </c>
      <c r="V1066" s="22">
        <f>4.04/5</f>
        <v>0.80800000000000005</v>
      </c>
      <c r="W1066" s="14" t="s">
        <v>7777</v>
      </c>
      <c r="X1066" s="3">
        <v>3</v>
      </c>
      <c r="Z1066" s="23">
        <v>23.5</v>
      </c>
      <c r="AB1066" s="18">
        <f t="shared" si="32"/>
        <v>2020</v>
      </c>
      <c r="AC1066" s="22">
        <f t="shared" si="33"/>
        <v>0.75266666666666671</v>
      </c>
    </row>
    <row r="1067" spans="1:29">
      <c r="A1067" s="8" t="s">
        <v>9895</v>
      </c>
      <c r="B1067" s="17" t="s">
        <v>7800</v>
      </c>
      <c r="C1067" s="13">
        <v>43998</v>
      </c>
      <c r="D1067" s="13" t="s">
        <v>8465</v>
      </c>
      <c r="E1067" s="10" t="s">
        <v>1707</v>
      </c>
      <c r="F1067" s="10" t="s">
        <v>9896</v>
      </c>
      <c r="H1067" s="2" t="s">
        <v>1518</v>
      </c>
      <c r="L1067" s="18">
        <v>1</v>
      </c>
      <c r="N1067" s="13">
        <v>44292</v>
      </c>
      <c r="O1067" s="29">
        <v>0</v>
      </c>
      <c r="P1067" s="18" t="s">
        <v>1107</v>
      </c>
      <c r="Q1067" s="18">
        <v>0</v>
      </c>
      <c r="V1067" s="22">
        <f>4/5</f>
        <v>0.8</v>
      </c>
      <c r="W1067" s="14" t="s">
        <v>7777</v>
      </c>
      <c r="X1067" s="3">
        <v>2</v>
      </c>
      <c r="Z1067" s="23">
        <v>3</v>
      </c>
      <c r="AB1067" s="18">
        <f t="shared" si="32"/>
        <v>2020</v>
      </c>
      <c r="AC1067" s="22">
        <f t="shared" si="33"/>
        <v>0.60000000000000009</v>
      </c>
    </row>
    <row r="1068" spans="1:29">
      <c r="A1068" s="8" t="s">
        <v>11347</v>
      </c>
      <c r="B1068" s="17" t="s">
        <v>7800</v>
      </c>
      <c r="C1068" s="13">
        <v>43998</v>
      </c>
      <c r="D1068" s="13" t="s">
        <v>8465</v>
      </c>
      <c r="E1068" s="10" t="s">
        <v>11356</v>
      </c>
      <c r="F1068" s="10" t="s">
        <v>11356</v>
      </c>
      <c r="G1068" s="11" t="s">
        <v>11357</v>
      </c>
      <c r="H1068" s="2" t="s">
        <v>1334</v>
      </c>
      <c r="L1068" s="18">
        <v>1</v>
      </c>
      <c r="N1068" s="13">
        <v>44627</v>
      </c>
      <c r="O1068" s="29">
        <v>0</v>
      </c>
      <c r="P1068" s="18" t="s">
        <v>1107</v>
      </c>
      <c r="Q1068" s="18">
        <v>0</v>
      </c>
      <c r="U1068" s="22">
        <v>0.63</v>
      </c>
      <c r="V1068" s="22">
        <f>2.77/5</f>
        <v>0.55400000000000005</v>
      </c>
      <c r="W1068" s="14" t="s">
        <v>7777</v>
      </c>
      <c r="X1068" s="3">
        <v>3</v>
      </c>
      <c r="Z1068" s="23">
        <v>20.5</v>
      </c>
      <c r="AB1068" s="18">
        <f t="shared" si="32"/>
        <v>2020</v>
      </c>
      <c r="AC1068" s="22">
        <f t="shared" si="33"/>
        <v>0.59466666666666679</v>
      </c>
    </row>
    <row r="1069" spans="1:29">
      <c r="A1069" s="8" t="s">
        <v>6289</v>
      </c>
      <c r="B1069" s="17" t="s">
        <v>7800</v>
      </c>
      <c r="C1069" s="13">
        <v>43995</v>
      </c>
      <c r="D1069" s="13" t="s">
        <v>8465</v>
      </c>
      <c r="E1069" s="10" t="s">
        <v>455</v>
      </c>
      <c r="F1069" s="10" t="s">
        <v>228</v>
      </c>
      <c r="G1069" s="11" t="s">
        <v>1171</v>
      </c>
      <c r="H1069" s="2" t="s">
        <v>149</v>
      </c>
      <c r="L1069" s="18">
        <v>1</v>
      </c>
      <c r="N1069" s="13">
        <v>43995</v>
      </c>
      <c r="O1069" s="29">
        <v>19.61</v>
      </c>
      <c r="P1069" s="18" t="s">
        <v>1107</v>
      </c>
      <c r="Q1069" s="18">
        <v>0</v>
      </c>
      <c r="U1069" s="22">
        <v>0.87</v>
      </c>
      <c r="V1069" s="22">
        <f>4.33/5</f>
        <v>0.86599999999999999</v>
      </c>
      <c r="W1069" s="14" t="s">
        <v>7777</v>
      </c>
      <c r="X1069" s="3">
        <v>3</v>
      </c>
      <c r="Z1069" s="23">
        <v>70</v>
      </c>
      <c r="AB1069" s="18">
        <f t="shared" si="32"/>
        <v>2020</v>
      </c>
      <c r="AC1069" s="22">
        <f t="shared" si="33"/>
        <v>0.77866666666666662</v>
      </c>
    </row>
    <row r="1070" spans="1:29">
      <c r="A1070" s="8" t="s">
        <v>13129</v>
      </c>
      <c r="B1070" s="17" t="s">
        <v>7744</v>
      </c>
      <c r="C1070" s="13">
        <v>43994</v>
      </c>
      <c r="D1070" s="13" t="s">
        <v>8465</v>
      </c>
      <c r="E1070" s="10" t="s">
        <v>7877</v>
      </c>
      <c r="F1070" s="10" t="s">
        <v>13130</v>
      </c>
      <c r="H1070" s="2" t="s">
        <v>75</v>
      </c>
      <c r="L1070" s="18">
        <v>1</v>
      </c>
      <c r="N1070" s="13">
        <v>44931</v>
      </c>
      <c r="O1070" s="29">
        <v>4.6399999999999997</v>
      </c>
      <c r="P1070" s="18" t="s">
        <v>1107</v>
      </c>
      <c r="Q1070" s="18">
        <v>0</v>
      </c>
      <c r="U1070" s="22">
        <v>0.66</v>
      </c>
      <c r="V1070" s="22">
        <f>4.25/5</f>
        <v>0.85</v>
      </c>
      <c r="X1070" s="3">
        <v>2</v>
      </c>
      <c r="AB1070" s="18">
        <f t="shared" si="32"/>
        <v>2020</v>
      </c>
      <c r="AC1070" s="22">
        <f t="shared" si="33"/>
        <v>0.63666666666666671</v>
      </c>
    </row>
    <row r="1071" spans="1:29" ht="30">
      <c r="A1071" s="8" t="s">
        <v>11311</v>
      </c>
      <c r="B1071" s="17" t="s">
        <v>7800</v>
      </c>
      <c r="C1071" s="13">
        <v>43993</v>
      </c>
      <c r="D1071" s="13" t="s">
        <v>8465</v>
      </c>
      <c r="E1071" s="10" t="s">
        <v>11312</v>
      </c>
      <c r="F1071" s="10" t="s">
        <v>11313</v>
      </c>
      <c r="H1071" s="2" t="s">
        <v>27</v>
      </c>
      <c r="L1071" s="18">
        <v>1</v>
      </c>
      <c r="N1071" s="13">
        <v>44621</v>
      </c>
      <c r="O1071" s="29">
        <v>12</v>
      </c>
      <c r="P1071" s="18" t="s">
        <v>1107</v>
      </c>
      <c r="Q1071" s="18">
        <v>0</v>
      </c>
      <c r="U1071" s="22">
        <v>0.75</v>
      </c>
      <c r="V1071" s="22">
        <f>3.71/5</f>
        <v>0.74199999999999999</v>
      </c>
      <c r="W1071" s="14" t="s">
        <v>7777</v>
      </c>
      <c r="X1071" s="3">
        <v>3</v>
      </c>
      <c r="Z1071" s="23">
        <v>3</v>
      </c>
      <c r="AB1071" s="18">
        <f t="shared" si="32"/>
        <v>2020</v>
      </c>
      <c r="AC1071" s="22">
        <f t="shared" si="33"/>
        <v>0.69733333333333336</v>
      </c>
    </row>
    <row r="1072" spans="1:29">
      <c r="A1072" s="8" t="s">
        <v>10415</v>
      </c>
      <c r="B1072" s="17" t="s">
        <v>7800</v>
      </c>
      <c r="C1072" s="13">
        <v>43993</v>
      </c>
      <c r="D1072" s="13" t="s">
        <v>8465</v>
      </c>
      <c r="E1072" s="10" t="s">
        <v>4530</v>
      </c>
      <c r="F1072" s="10" t="s">
        <v>4530</v>
      </c>
      <c r="H1072" s="2" t="s">
        <v>80</v>
      </c>
      <c r="L1072" s="18">
        <v>1</v>
      </c>
      <c r="N1072" s="13">
        <v>45036</v>
      </c>
      <c r="O1072" s="29">
        <v>0</v>
      </c>
      <c r="P1072" s="18" t="s">
        <v>1107</v>
      </c>
      <c r="Q1072" s="18">
        <v>0</v>
      </c>
      <c r="U1072" s="22">
        <v>0.72</v>
      </c>
      <c r="V1072" s="22">
        <f>2.89/5</f>
        <v>0.57800000000000007</v>
      </c>
      <c r="W1072" s="14" t="s">
        <v>7097</v>
      </c>
      <c r="X1072" s="3">
        <v>2</v>
      </c>
      <c r="Z1072" s="23">
        <v>2.5</v>
      </c>
      <c r="AB1072" s="18">
        <f t="shared" si="32"/>
        <v>2020</v>
      </c>
      <c r="AC1072" s="22">
        <f t="shared" si="33"/>
        <v>0.56599999999999995</v>
      </c>
    </row>
    <row r="1073" spans="1:29">
      <c r="A1073" s="8" t="s">
        <v>14123</v>
      </c>
      <c r="B1073" s="17" t="s">
        <v>7800</v>
      </c>
      <c r="C1073" s="13">
        <v>43989</v>
      </c>
      <c r="D1073" s="13" t="s">
        <v>8465</v>
      </c>
      <c r="E1073" s="10" t="s">
        <v>14124</v>
      </c>
      <c r="F1073" s="10" t="s">
        <v>14124</v>
      </c>
      <c r="H1073" s="2" t="s">
        <v>78</v>
      </c>
      <c r="L1073" s="18">
        <v>1</v>
      </c>
      <c r="O1073" s="29">
        <v>0</v>
      </c>
      <c r="P1073" s="18" t="s">
        <v>1107</v>
      </c>
      <c r="Q1073" s="18">
        <v>0</v>
      </c>
      <c r="W1073" s="14" t="s">
        <v>8765</v>
      </c>
      <c r="X1073" s="3">
        <v>3</v>
      </c>
      <c r="AB1073" s="18">
        <f t="shared" si="32"/>
        <v>2020</v>
      </c>
      <c r="AC1073" s="22">
        <f t="shared" si="33"/>
        <v>0.6</v>
      </c>
    </row>
    <row r="1074" spans="1:29">
      <c r="A1074" s="8" t="s">
        <v>12612</v>
      </c>
      <c r="B1074" s="17" t="s">
        <v>7800</v>
      </c>
      <c r="C1074" s="13">
        <v>43989</v>
      </c>
      <c r="D1074" s="13" t="s">
        <v>8465</v>
      </c>
      <c r="E1074" s="10" t="s">
        <v>12613</v>
      </c>
      <c r="F1074" s="10" t="s">
        <v>12614</v>
      </c>
      <c r="H1074" s="2" t="s">
        <v>78</v>
      </c>
      <c r="L1074" s="18">
        <v>1</v>
      </c>
      <c r="P1074" s="18" t="s">
        <v>1107</v>
      </c>
      <c r="Q1074" s="18">
        <v>0</v>
      </c>
      <c r="V1074" s="22">
        <f>3.04/5</f>
        <v>0.60799999999999998</v>
      </c>
      <c r="W1074" s="14" t="s">
        <v>7777</v>
      </c>
      <c r="X1074" s="3">
        <v>2</v>
      </c>
      <c r="Z1074" s="23">
        <v>25.5</v>
      </c>
      <c r="AB1074" s="18">
        <f t="shared" si="32"/>
        <v>2020</v>
      </c>
      <c r="AC1074" s="22">
        <f t="shared" si="33"/>
        <v>0.504</v>
      </c>
    </row>
    <row r="1075" spans="1:29">
      <c r="A1075" s="8" t="s">
        <v>14212</v>
      </c>
      <c r="B1075" s="17" t="s">
        <v>7800</v>
      </c>
      <c r="C1075" s="13">
        <v>43988</v>
      </c>
      <c r="D1075" s="13" t="s">
        <v>8465</v>
      </c>
      <c r="E1075" s="10" t="s">
        <v>14213</v>
      </c>
      <c r="F1075" s="10" t="s">
        <v>14213</v>
      </c>
      <c r="G1075" s="11" t="s">
        <v>14211</v>
      </c>
      <c r="H1075" s="2" t="s">
        <v>151</v>
      </c>
      <c r="L1075" s="18">
        <v>1</v>
      </c>
      <c r="O1075" s="29">
        <v>0</v>
      </c>
      <c r="P1075" s="18" t="s">
        <v>1107</v>
      </c>
      <c r="Q1075" s="18">
        <v>0</v>
      </c>
      <c r="V1075" s="22">
        <f>3.65/5</f>
        <v>0.73</v>
      </c>
      <c r="W1075" s="14" t="s">
        <v>8765</v>
      </c>
      <c r="X1075" s="3">
        <v>2</v>
      </c>
      <c r="Z1075" s="23">
        <v>3.5</v>
      </c>
      <c r="AB1075" s="18">
        <f t="shared" si="32"/>
        <v>2020</v>
      </c>
      <c r="AC1075" s="22">
        <f t="shared" si="33"/>
        <v>0.56499999999999995</v>
      </c>
    </row>
    <row r="1076" spans="1:29" ht="25.5">
      <c r="A1076" s="8" t="s">
        <v>11690</v>
      </c>
      <c r="B1076" s="17" t="s">
        <v>7744</v>
      </c>
      <c r="C1076" s="13">
        <v>43987</v>
      </c>
      <c r="D1076" s="13" t="s">
        <v>8465</v>
      </c>
      <c r="E1076" s="10" t="s">
        <v>86</v>
      </c>
      <c r="F1076" s="10" t="s">
        <v>11219</v>
      </c>
      <c r="G1076" s="11" t="s">
        <v>11693</v>
      </c>
      <c r="H1076" s="2" t="s">
        <v>1142</v>
      </c>
      <c r="L1076" s="18">
        <v>1</v>
      </c>
      <c r="M1076" s="14" t="s">
        <v>8462</v>
      </c>
      <c r="N1076" s="13">
        <v>44682</v>
      </c>
      <c r="O1076" s="29">
        <v>32.58</v>
      </c>
      <c r="P1076" s="18" t="s">
        <v>14</v>
      </c>
      <c r="Q1076" s="18">
        <v>0</v>
      </c>
      <c r="U1076" s="22">
        <v>0.82</v>
      </c>
      <c r="V1076" s="22">
        <f>3.73/5</f>
        <v>0.746</v>
      </c>
      <c r="X1076" s="3">
        <v>2</v>
      </c>
      <c r="Z1076" s="23">
        <v>7</v>
      </c>
      <c r="AB1076" s="18">
        <f t="shared" si="32"/>
        <v>2020</v>
      </c>
      <c r="AC1076" s="22">
        <f t="shared" si="33"/>
        <v>0.65533333333333321</v>
      </c>
    </row>
    <row r="1077" spans="1:29" ht="25.5">
      <c r="A1077" s="8" t="s">
        <v>9729</v>
      </c>
      <c r="B1077" s="17" t="s">
        <v>7744</v>
      </c>
      <c r="C1077" s="13">
        <v>43980</v>
      </c>
      <c r="D1077" s="13" t="s">
        <v>8465</v>
      </c>
      <c r="E1077" s="10" t="s">
        <v>3310</v>
      </c>
      <c r="F1077" s="10" t="s">
        <v>9730</v>
      </c>
      <c r="G1077" s="11" t="s">
        <v>3309</v>
      </c>
      <c r="H1077" s="2" t="s">
        <v>1050</v>
      </c>
      <c r="L1077" s="18">
        <v>1</v>
      </c>
      <c r="M1077" s="14" t="s">
        <v>8462</v>
      </c>
      <c r="N1077" s="13">
        <v>44222</v>
      </c>
      <c r="O1077" s="29">
        <v>25.68</v>
      </c>
      <c r="P1077" s="18" t="s">
        <v>14</v>
      </c>
      <c r="Q1077" s="18">
        <v>0</v>
      </c>
      <c r="U1077" s="22">
        <v>0.84</v>
      </c>
      <c r="V1077" s="22">
        <f>4.14/5</f>
        <v>0.82799999999999996</v>
      </c>
      <c r="X1077" s="3">
        <v>2</v>
      </c>
      <c r="Z1077" s="23">
        <v>45.5</v>
      </c>
      <c r="AB1077" s="18">
        <f t="shared" si="32"/>
        <v>2020</v>
      </c>
      <c r="AC1077" s="22">
        <f t="shared" si="33"/>
        <v>0.68933333333333335</v>
      </c>
    </row>
    <row r="1078" spans="1:29" ht="30">
      <c r="A1078" s="8" t="s">
        <v>9364</v>
      </c>
      <c r="B1078" s="17" t="s">
        <v>7744</v>
      </c>
      <c r="C1078" s="13">
        <v>43979</v>
      </c>
      <c r="D1078" s="13" t="s">
        <v>8465</v>
      </c>
      <c r="E1078" s="10" t="s">
        <v>1084</v>
      </c>
      <c r="F1078" s="10" t="s">
        <v>1084</v>
      </c>
      <c r="G1078" s="11" t="s">
        <v>1150</v>
      </c>
      <c r="H1078" s="2" t="s">
        <v>151</v>
      </c>
      <c r="L1078" s="18">
        <v>1</v>
      </c>
      <c r="M1078" s="14" t="s">
        <v>8462</v>
      </c>
      <c r="N1078" s="13">
        <v>44113</v>
      </c>
      <c r="O1078" s="29">
        <v>43.56</v>
      </c>
      <c r="P1078" s="18" t="s">
        <v>14</v>
      </c>
      <c r="Q1078" s="18">
        <v>0</v>
      </c>
      <c r="U1078" s="22">
        <v>0.79</v>
      </c>
      <c r="V1078" s="22">
        <f>3.98/5</f>
        <v>0.79600000000000004</v>
      </c>
      <c r="W1078" s="14" t="s">
        <v>1134</v>
      </c>
      <c r="X1078" s="3">
        <v>4</v>
      </c>
      <c r="Z1078" s="23">
        <v>8</v>
      </c>
      <c r="AB1078" s="18">
        <f t="shared" si="32"/>
        <v>2020</v>
      </c>
      <c r="AC1078" s="22">
        <f t="shared" si="33"/>
        <v>0.79533333333333334</v>
      </c>
    </row>
    <row r="1079" spans="1:29">
      <c r="A1079" s="8" t="s">
        <v>10954</v>
      </c>
      <c r="B1079" s="17" t="s">
        <v>7800</v>
      </c>
      <c r="C1079" s="13">
        <v>43979</v>
      </c>
      <c r="D1079" s="13" t="s">
        <v>8465</v>
      </c>
      <c r="E1079" s="10" t="s">
        <v>1714</v>
      </c>
      <c r="F1079" s="10" t="s">
        <v>9377</v>
      </c>
      <c r="H1079" s="2" t="s">
        <v>1061</v>
      </c>
      <c r="L1079" s="18">
        <v>1</v>
      </c>
      <c r="N1079" s="13">
        <v>44566</v>
      </c>
      <c r="O1079" s="29">
        <v>3.33</v>
      </c>
      <c r="P1079" s="18" t="s">
        <v>1107</v>
      </c>
      <c r="Q1079" s="18">
        <v>0</v>
      </c>
      <c r="U1079" s="22">
        <v>0.48</v>
      </c>
      <c r="V1079" s="22">
        <f>2.88/5</f>
        <v>0.57599999999999996</v>
      </c>
      <c r="W1079" s="14" t="s">
        <v>7777</v>
      </c>
      <c r="X1079" s="3">
        <v>3</v>
      </c>
      <c r="Z1079" s="23">
        <v>5.5</v>
      </c>
      <c r="AB1079" s="18">
        <f t="shared" si="32"/>
        <v>2020</v>
      </c>
      <c r="AC1079" s="22">
        <f t="shared" si="33"/>
        <v>0.55200000000000005</v>
      </c>
    </row>
    <row r="1080" spans="1:29">
      <c r="A1080" s="8" t="s">
        <v>14141</v>
      </c>
      <c r="B1080" s="17" t="s">
        <v>7800</v>
      </c>
      <c r="C1080" s="13">
        <v>43977</v>
      </c>
      <c r="D1080" s="13" t="s">
        <v>8465</v>
      </c>
      <c r="E1080" s="10" t="s">
        <v>7096</v>
      </c>
      <c r="F1080" s="10" t="s">
        <v>7096</v>
      </c>
      <c r="H1080" s="2" t="s">
        <v>67</v>
      </c>
      <c r="L1080" s="18">
        <v>1</v>
      </c>
      <c r="O1080" s="29">
        <v>0</v>
      </c>
      <c r="P1080" s="18" t="s">
        <v>1107</v>
      </c>
      <c r="Q1080" s="18">
        <v>0</v>
      </c>
      <c r="V1080" s="22">
        <f>4/5</f>
        <v>0.8</v>
      </c>
      <c r="W1080" s="14" t="s">
        <v>8765</v>
      </c>
      <c r="X1080" s="3">
        <v>2</v>
      </c>
      <c r="Z1080" s="23">
        <f>22/60</f>
        <v>0.36666666666666664</v>
      </c>
      <c r="AB1080" s="18">
        <f t="shared" si="32"/>
        <v>2020</v>
      </c>
      <c r="AC1080" s="22">
        <f t="shared" si="33"/>
        <v>0.60000000000000009</v>
      </c>
    </row>
    <row r="1081" spans="1:29">
      <c r="A1081" s="8" t="s">
        <v>9815</v>
      </c>
      <c r="B1081" s="17" t="s">
        <v>7800</v>
      </c>
      <c r="C1081" s="13">
        <v>43976</v>
      </c>
      <c r="D1081" s="13" t="s">
        <v>8465</v>
      </c>
      <c r="E1081" s="10" t="s">
        <v>9249</v>
      </c>
      <c r="F1081" s="10" t="s">
        <v>9816</v>
      </c>
      <c r="H1081" s="2" t="s">
        <v>27</v>
      </c>
      <c r="L1081" s="18">
        <v>1</v>
      </c>
      <c r="N1081" s="13">
        <v>44257</v>
      </c>
      <c r="O1081" s="29">
        <v>0</v>
      </c>
      <c r="P1081" s="18" t="s">
        <v>1107</v>
      </c>
      <c r="Q1081" s="18">
        <v>0</v>
      </c>
      <c r="U1081" s="22">
        <v>0.79</v>
      </c>
      <c r="V1081" s="22">
        <f>2.75/5</f>
        <v>0.55000000000000004</v>
      </c>
      <c r="W1081" s="14" t="s">
        <v>7777</v>
      </c>
      <c r="X1081" s="3">
        <v>3</v>
      </c>
      <c r="Z1081" s="23">
        <v>8.5</v>
      </c>
      <c r="AB1081" s="18">
        <f t="shared" si="32"/>
        <v>2020</v>
      </c>
      <c r="AC1081" s="22">
        <f t="shared" si="33"/>
        <v>0.64666666666666661</v>
      </c>
    </row>
    <row r="1082" spans="1:29">
      <c r="A1082" s="8" t="s">
        <v>8928</v>
      </c>
      <c r="B1082" s="17" t="s">
        <v>7760</v>
      </c>
      <c r="C1082" s="13">
        <v>43973</v>
      </c>
      <c r="D1082" s="13" t="s">
        <v>8465</v>
      </c>
      <c r="E1082" s="10" t="s">
        <v>1163</v>
      </c>
      <c r="F1082" s="10" t="s">
        <v>4798</v>
      </c>
      <c r="H1082" s="2" t="s">
        <v>171</v>
      </c>
      <c r="L1082" s="18">
        <v>1</v>
      </c>
      <c r="M1082" s="14" t="s">
        <v>8462</v>
      </c>
      <c r="N1082" s="13">
        <v>43996</v>
      </c>
      <c r="O1082" s="29">
        <v>28.93</v>
      </c>
      <c r="P1082" s="18" t="s">
        <v>14</v>
      </c>
      <c r="Q1082" s="18">
        <v>0</v>
      </c>
      <c r="U1082" s="22">
        <v>0.67</v>
      </c>
      <c r="V1082" s="22">
        <f>3.66/5</f>
        <v>0.73199999999999998</v>
      </c>
      <c r="X1082" s="3">
        <v>3</v>
      </c>
      <c r="Z1082" s="23">
        <v>8.5</v>
      </c>
      <c r="AB1082" s="18">
        <f t="shared" si="32"/>
        <v>2020</v>
      </c>
      <c r="AC1082" s="22">
        <f t="shared" si="33"/>
        <v>0.66733333333333344</v>
      </c>
    </row>
    <row r="1083" spans="1:29" ht="30">
      <c r="A1083" s="8" t="s">
        <v>12730</v>
      </c>
      <c r="B1083" s="17" t="s">
        <v>7800</v>
      </c>
      <c r="C1083" s="13">
        <v>43972</v>
      </c>
      <c r="D1083" s="13" t="s">
        <v>8465</v>
      </c>
      <c r="E1083" s="10" t="s">
        <v>4498</v>
      </c>
      <c r="F1083" s="10" t="s">
        <v>12731</v>
      </c>
      <c r="H1083" s="2" t="s">
        <v>1518</v>
      </c>
      <c r="L1083" s="18">
        <v>1</v>
      </c>
      <c r="N1083" s="13">
        <v>44838</v>
      </c>
      <c r="O1083" s="29">
        <v>0</v>
      </c>
      <c r="P1083" s="18" t="s">
        <v>1107</v>
      </c>
      <c r="Q1083" s="18">
        <v>0</v>
      </c>
      <c r="U1083" s="22">
        <v>0.86</v>
      </c>
      <c r="V1083" s="22">
        <f>3.96/5</f>
        <v>0.79200000000000004</v>
      </c>
      <c r="W1083" s="14" t="s">
        <v>7777</v>
      </c>
      <c r="X1083" s="3">
        <v>3</v>
      </c>
      <c r="Z1083" s="23">
        <v>3</v>
      </c>
      <c r="AB1083" s="18">
        <f t="shared" si="32"/>
        <v>2020</v>
      </c>
      <c r="AC1083" s="22">
        <f t="shared" si="33"/>
        <v>0.7506666666666667</v>
      </c>
    </row>
    <row r="1084" spans="1:29">
      <c r="A1084" s="8" t="s">
        <v>10425</v>
      </c>
      <c r="B1084" s="17" t="s">
        <v>7800</v>
      </c>
      <c r="C1084" s="13">
        <v>43971</v>
      </c>
      <c r="D1084" s="13" t="s">
        <v>8465</v>
      </c>
      <c r="E1084" s="10" t="s">
        <v>8774</v>
      </c>
      <c r="F1084" s="10" t="s">
        <v>11303</v>
      </c>
      <c r="H1084" s="2" t="s">
        <v>67</v>
      </c>
      <c r="L1084" s="18">
        <v>1</v>
      </c>
      <c r="N1084" s="13">
        <v>44620</v>
      </c>
      <c r="O1084" s="29">
        <v>0</v>
      </c>
      <c r="P1084" s="18" t="s">
        <v>1107</v>
      </c>
      <c r="Q1084" s="18">
        <v>0</v>
      </c>
      <c r="U1084" s="22">
        <v>0.74</v>
      </c>
      <c r="V1084" s="22">
        <f>3.78/5</f>
        <v>0.75600000000000001</v>
      </c>
      <c r="W1084" s="14" t="s">
        <v>7777</v>
      </c>
      <c r="X1084" s="3">
        <v>3</v>
      </c>
      <c r="Z1084" s="23">
        <v>4</v>
      </c>
      <c r="AB1084" s="18">
        <f t="shared" si="32"/>
        <v>2020</v>
      </c>
      <c r="AC1084" s="22">
        <f t="shared" si="33"/>
        <v>0.69866666666666666</v>
      </c>
    </row>
    <row r="1085" spans="1:29">
      <c r="A1085" s="8" t="s">
        <v>10592</v>
      </c>
      <c r="B1085" s="17" t="s">
        <v>7800</v>
      </c>
      <c r="C1085" s="13">
        <v>43971</v>
      </c>
      <c r="D1085" s="13" t="s">
        <v>8465</v>
      </c>
      <c r="E1085" s="10" t="s">
        <v>10593</v>
      </c>
      <c r="F1085" s="10" t="s">
        <v>10594</v>
      </c>
      <c r="H1085" s="2" t="s">
        <v>78</v>
      </c>
      <c r="L1085" s="18">
        <v>1</v>
      </c>
      <c r="N1085" s="13">
        <v>44502</v>
      </c>
      <c r="O1085" s="29">
        <v>0</v>
      </c>
      <c r="P1085" s="18" t="s">
        <v>1107</v>
      </c>
      <c r="Q1085" s="18">
        <v>0</v>
      </c>
      <c r="U1085" s="22">
        <v>0.77</v>
      </c>
      <c r="V1085" s="22">
        <f>2.93/5</f>
        <v>0.58600000000000008</v>
      </c>
      <c r="W1085" s="14" t="s">
        <v>7777</v>
      </c>
      <c r="X1085" s="3">
        <v>3</v>
      </c>
      <c r="Z1085" s="23">
        <v>5.5</v>
      </c>
      <c r="AB1085" s="18">
        <f t="shared" si="32"/>
        <v>2020</v>
      </c>
      <c r="AC1085" s="22">
        <f t="shared" si="33"/>
        <v>0.65200000000000002</v>
      </c>
    </row>
    <row r="1086" spans="1:29" ht="25.5">
      <c r="A1086" s="8" t="s">
        <v>8650</v>
      </c>
      <c r="B1086" s="17" t="s">
        <v>7800</v>
      </c>
      <c r="C1086" s="13">
        <v>43970</v>
      </c>
      <c r="D1086" s="13" t="s">
        <v>8465</v>
      </c>
      <c r="E1086" s="10" t="s">
        <v>1058</v>
      </c>
      <c r="F1086" s="10" t="s">
        <v>1058</v>
      </c>
      <c r="G1086" s="11" t="s">
        <v>1099</v>
      </c>
      <c r="H1086" s="2" t="s">
        <v>1059</v>
      </c>
      <c r="L1086" s="18">
        <v>1</v>
      </c>
      <c r="N1086" s="13">
        <v>43970</v>
      </c>
      <c r="O1086" s="29">
        <v>0</v>
      </c>
      <c r="P1086" s="18" t="s">
        <v>1107</v>
      </c>
      <c r="Q1086" s="18">
        <v>0</v>
      </c>
      <c r="U1086" s="22">
        <v>0.85</v>
      </c>
      <c r="V1086" s="22">
        <f>3.6/5</f>
        <v>0.72</v>
      </c>
      <c r="W1086" s="14" t="s">
        <v>7777</v>
      </c>
      <c r="X1086" s="3">
        <v>4</v>
      </c>
      <c r="Z1086" s="23">
        <v>17</v>
      </c>
      <c r="AB1086" s="18">
        <f t="shared" si="32"/>
        <v>2020</v>
      </c>
      <c r="AC1086" s="22">
        <f t="shared" si="33"/>
        <v>0.79</v>
      </c>
    </row>
    <row r="1087" spans="1:29" ht="30">
      <c r="A1087" s="8" t="s">
        <v>8650</v>
      </c>
      <c r="B1087" s="17" t="s">
        <v>7744</v>
      </c>
      <c r="C1087" s="13">
        <v>43970</v>
      </c>
      <c r="D1087" s="13" t="s">
        <v>8465</v>
      </c>
      <c r="E1087" s="10" t="s">
        <v>1058</v>
      </c>
      <c r="F1087" s="10" t="s">
        <v>1058</v>
      </c>
      <c r="G1087" s="11" t="s">
        <v>1099</v>
      </c>
      <c r="H1087" s="2" t="s">
        <v>1059</v>
      </c>
      <c r="L1087" s="18">
        <v>1</v>
      </c>
      <c r="M1087" s="14" t="s">
        <v>8462</v>
      </c>
      <c r="N1087" s="13">
        <v>43970</v>
      </c>
      <c r="O1087" s="29">
        <v>47.71</v>
      </c>
      <c r="P1087" s="18" t="s">
        <v>14</v>
      </c>
      <c r="Q1087" s="18">
        <v>0</v>
      </c>
      <c r="U1087" s="22">
        <v>0.72</v>
      </c>
      <c r="V1087" s="22">
        <f>4.06/5</f>
        <v>0.81199999999999994</v>
      </c>
      <c r="W1087" s="14" t="s">
        <v>8872</v>
      </c>
      <c r="X1087" s="3">
        <v>4</v>
      </c>
      <c r="Z1087" s="23">
        <v>15.5</v>
      </c>
      <c r="AB1087" s="18">
        <f t="shared" si="32"/>
        <v>2020</v>
      </c>
      <c r="AC1087" s="22">
        <f t="shared" si="33"/>
        <v>0.77733333333333332</v>
      </c>
    </row>
    <row r="1088" spans="1:29">
      <c r="A1088" s="8" t="s">
        <v>15675</v>
      </c>
      <c r="B1088" s="17" t="s">
        <v>7800</v>
      </c>
      <c r="C1088" s="13">
        <v>43970</v>
      </c>
      <c r="D1088" s="13" t="s">
        <v>8465</v>
      </c>
      <c r="E1088" s="10" t="s">
        <v>3136</v>
      </c>
      <c r="F1088" s="10" t="s">
        <v>15683</v>
      </c>
      <c r="H1088" s="2" t="s">
        <v>80</v>
      </c>
      <c r="L1088" s="18">
        <v>1</v>
      </c>
      <c r="N1088" s="13">
        <v>45167</v>
      </c>
      <c r="O1088" s="29">
        <v>5.09</v>
      </c>
      <c r="P1088" s="18" t="s">
        <v>1107</v>
      </c>
      <c r="Q1088" s="18">
        <v>0</v>
      </c>
      <c r="U1088" s="22">
        <v>0.84</v>
      </c>
      <c r="V1088" s="22">
        <f>3.75/5</f>
        <v>0.75</v>
      </c>
      <c r="W1088" s="14" t="s">
        <v>7777</v>
      </c>
      <c r="X1088" s="3">
        <v>4</v>
      </c>
      <c r="Z1088" s="23">
        <v>2.5</v>
      </c>
      <c r="AB1088" s="18">
        <f t="shared" si="32"/>
        <v>2020</v>
      </c>
      <c r="AC1088" s="22">
        <f t="shared" si="33"/>
        <v>0.79666666666666652</v>
      </c>
    </row>
    <row r="1089" spans="1:29">
      <c r="A1089" s="8" t="s">
        <v>10054</v>
      </c>
      <c r="B1089" s="17" t="s">
        <v>7800</v>
      </c>
      <c r="C1089" s="13">
        <v>43969</v>
      </c>
      <c r="D1089" s="13" t="s">
        <v>8465</v>
      </c>
      <c r="E1089" s="10" t="s">
        <v>10055</v>
      </c>
      <c r="F1089" s="10" t="s">
        <v>10056</v>
      </c>
      <c r="G1089" s="11" t="s">
        <v>7506</v>
      </c>
      <c r="H1089" s="2" t="s">
        <v>1050</v>
      </c>
      <c r="L1089" s="18">
        <v>1</v>
      </c>
      <c r="N1089" s="13">
        <v>44294</v>
      </c>
      <c r="O1089" s="29">
        <v>0</v>
      </c>
      <c r="P1089" s="18" t="s">
        <v>1107</v>
      </c>
      <c r="Q1089" s="18">
        <v>0</v>
      </c>
      <c r="V1089" s="22">
        <f>3.5/5</f>
        <v>0.7</v>
      </c>
      <c r="W1089" s="14" t="s">
        <v>7777</v>
      </c>
      <c r="X1089" s="3">
        <v>2</v>
      </c>
      <c r="Z1089" s="23">
        <f>56/60</f>
        <v>0.93333333333333335</v>
      </c>
      <c r="AB1089" s="18">
        <f t="shared" si="32"/>
        <v>2020</v>
      </c>
      <c r="AC1089" s="22">
        <f t="shared" si="33"/>
        <v>0.55000000000000004</v>
      </c>
    </row>
    <row r="1090" spans="1:29" ht="25.5">
      <c r="A1090" s="8" t="s">
        <v>13554</v>
      </c>
      <c r="B1090" s="17" t="s">
        <v>7800</v>
      </c>
      <c r="C1090" s="13">
        <v>43966</v>
      </c>
      <c r="D1090" s="13" t="s">
        <v>8465</v>
      </c>
      <c r="E1090" s="10" t="s">
        <v>13555</v>
      </c>
      <c r="F1090" s="10" t="s">
        <v>13555</v>
      </c>
      <c r="G1090" s="11" t="s">
        <v>13793</v>
      </c>
      <c r="H1090" s="2" t="s">
        <v>67</v>
      </c>
      <c r="L1090" s="18">
        <v>1</v>
      </c>
      <c r="O1090" s="29">
        <v>0</v>
      </c>
      <c r="P1090" s="18" t="s">
        <v>1107</v>
      </c>
      <c r="Q1090" s="18">
        <v>0</v>
      </c>
      <c r="U1090" s="22">
        <v>0.83</v>
      </c>
      <c r="V1090" s="22">
        <f>4/5</f>
        <v>0.8</v>
      </c>
      <c r="W1090" s="14" t="s">
        <v>3069</v>
      </c>
      <c r="X1090" s="3">
        <v>3</v>
      </c>
      <c r="Z1090" s="23">
        <v>1.5</v>
      </c>
      <c r="AB1090" s="18">
        <f t="shared" ref="AB1090:AB1153" si="34">IFERROR(YEAR(C1090), "Early Access")</f>
        <v>2020</v>
      </c>
      <c r="AC1090" s="22">
        <f t="shared" ref="AC1090:AC1153" si="35">AVERAGE(T1090, U1090, V1090, IF(ISBLANK(X1090), X1090, X1090/5))</f>
        <v>0.74333333333333329</v>
      </c>
    </row>
    <row r="1091" spans="1:29">
      <c r="A1091" s="8" t="s">
        <v>10760</v>
      </c>
      <c r="B1091" s="17" t="s">
        <v>7800</v>
      </c>
      <c r="C1091" s="13">
        <v>43965</v>
      </c>
      <c r="D1091" s="13" t="s">
        <v>8465</v>
      </c>
      <c r="E1091" s="10" t="s">
        <v>10761</v>
      </c>
      <c r="F1091" s="10" t="s">
        <v>10761</v>
      </c>
      <c r="H1091" s="2" t="s">
        <v>3411</v>
      </c>
      <c r="L1091" s="18">
        <v>1</v>
      </c>
      <c r="N1091" s="13">
        <v>44533</v>
      </c>
      <c r="O1091" s="29">
        <v>0</v>
      </c>
      <c r="P1091" s="18" t="s">
        <v>1107</v>
      </c>
      <c r="Q1091" s="18">
        <v>0</v>
      </c>
      <c r="U1091" s="22">
        <v>0.77</v>
      </c>
      <c r="V1091" s="22">
        <f>3.3/5</f>
        <v>0.65999999999999992</v>
      </c>
      <c r="W1091" s="14" t="s">
        <v>8765</v>
      </c>
      <c r="X1091" s="3">
        <v>2</v>
      </c>
      <c r="Z1091" s="23">
        <v>4</v>
      </c>
      <c r="AB1091" s="18">
        <f t="shared" si="34"/>
        <v>2020</v>
      </c>
      <c r="AC1091" s="22">
        <f t="shared" si="35"/>
        <v>0.61</v>
      </c>
    </row>
    <row r="1092" spans="1:29" ht="30">
      <c r="A1092" s="8" t="s">
        <v>9786</v>
      </c>
      <c r="B1092" s="17" t="s">
        <v>7744</v>
      </c>
      <c r="C1092" s="13">
        <v>43965</v>
      </c>
      <c r="D1092" s="13" t="s">
        <v>8465</v>
      </c>
      <c r="E1092" s="10" t="s">
        <v>6505</v>
      </c>
      <c r="F1092" s="10" t="s">
        <v>9787</v>
      </c>
      <c r="H1092" s="2" t="s">
        <v>1050</v>
      </c>
      <c r="L1092" s="18">
        <v>1</v>
      </c>
      <c r="M1092" s="14" t="s">
        <v>8462</v>
      </c>
      <c r="N1092" s="13">
        <v>44145</v>
      </c>
      <c r="O1092" s="29">
        <v>29.99</v>
      </c>
      <c r="P1092" s="18" t="s">
        <v>14</v>
      </c>
      <c r="Q1092" s="18">
        <v>0</v>
      </c>
      <c r="U1092" s="22">
        <v>0.77</v>
      </c>
      <c r="V1092" s="22">
        <f>3.88/5</f>
        <v>0.77600000000000002</v>
      </c>
      <c r="W1092" s="14" t="s">
        <v>1134</v>
      </c>
      <c r="X1092" s="3">
        <v>4</v>
      </c>
      <c r="Z1092" s="23">
        <v>10</v>
      </c>
      <c r="AB1092" s="18">
        <f t="shared" si="34"/>
        <v>2020</v>
      </c>
      <c r="AC1092" s="22">
        <f t="shared" si="35"/>
        <v>0.78200000000000003</v>
      </c>
    </row>
    <row r="1093" spans="1:29">
      <c r="A1093" s="8" t="s">
        <v>8999</v>
      </c>
      <c r="B1093" s="17" t="s">
        <v>7800</v>
      </c>
      <c r="C1093" s="13">
        <v>43963</v>
      </c>
      <c r="D1093" s="13" t="s">
        <v>8465</v>
      </c>
      <c r="E1093" s="10" t="s">
        <v>9000</v>
      </c>
      <c r="F1093" s="10" t="s">
        <v>9001</v>
      </c>
      <c r="H1093" s="2" t="s">
        <v>67</v>
      </c>
      <c r="L1093" s="18">
        <v>1</v>
      </c>
      <c r="N1093" s="13">
        <v>44017</v>
      </c>
      <c r="O1093" s="29">
        <v>11.99</v>
      </c>
      <c r="P1093" s="18" t="s">
        <v>1107</v>
      </c>
      <c r="Q1093" s="18">
        <v>0</v>
      </c>
      <c r="U1093" s="22">
        <v>0.77</v>
      </c>
      <c r="V1093" s="22">
        <f>3.31/5</f>
        <v>0.66200000000000003</v>
      </c>
      <c r="W1093" s="14" t="s">
        <v>7777</v>
      </c>
      <c r="X1093" s="3">
        <v>3</v>
      </c>
      <c r="Z1093" s="23">
        <v>11.5</v>
      </c>
      <c r="AB1093" s="18">
        <f t="shared" si="34"/>
        <v>2020</v>
      </c>
      <c r="AC1093" s="22">
        <f t="shared" si="35"/>
        <v>0.67733333333333334</v>
      </c>
    </row>
    <row r="1094" spans="1:29" ht="30">
      <c r="A1094" s="8" t="s">
        <v>9590</v>
      </c>
      <c r="B1094" s="17" t="s">
        <v>7744</v>
      </c>
      <c r="C1094" s="13">
        <v>43958</v>
      </c>
      <c r="D1094" s="13" t="s">
        <v>8465</v>
      </c>
      <c r="E1094" s="10" t="s">
        <v>9591</v>
      </c>
      <c r="F1094" s="10" t="s">
        <v>9592</v>
      </c>
      <c r="G1094" s="11" t="s">
        <v>9593</v>
      </c>
      <c r="H1094" s="2" t="s">
        <v>153</v>
      </c>
      <c r="L1094" s="18">
        <v>1</v>
      </c>
      <c r="M1094" s="14" t="s">
        <v>8462</v>
      </c>
      <c r="N1094" s="13">
        <v>44008</v>
      </c>
      <c r="O1094" s="29">
        <v>38.119999999999997</v>
      </c>
      <c r="P1094" s="18" t="s">
        <v>14</v>
      </c>
      <c r="Q1094" s="18">
        <v>0</v>
      </c>
      <c r="U1094" s="22">
        <v>0.73</v>
      </c>
      <c r="V1094" s="22">
        <f>3.44/5</f>
        <v>0.68799999999999994</v>
      </c>
      <c r="W1094" s="14" t="s">
        <v>1134</v>
      </c>
      <c r="X1094" s="3">
        <v>2</v>
      </c>
      <c r="Z1094" s="23">
        <v>4</v>
      </c>
      <c r="AB1094" s="18">
        <f t="shared" si="34"/>
        <v>2020</v>
      </c>
      <c r="AC1094" s="22">
        <f t="shared" si="35"/>
        <v>0.60599999999999998</v>
      </c>
    </row>
    <row r="1095" spans="1:29" ht="25.5">
      <c r="A1095" s="9" t="s">
        <v>12514</v>
      </c>
      <c r="B1095" s="17" t="s">
        <v>7800</v>
      </c>
      <c r="C1095" s="13">
        <v>43956</v>
      </c>
      <c r="D1095" s="13" t="s">
        <v>8465</v>
      </c>
      <c r="E1095" s="10" t="s">
        <v>3212</v>
      </c>
      <c r="F1095" s="10" t="s">
        <v>12515</v>
      </c>
      <c r="H1095" s="2" t="s">
        <v>75</v>
      </c>
      <c r="L1095" s="18">
        <v>1</v>
      </c>
      <c r="N1095" s="13">
        <v>44818</v>
      </c>
      <c r="O1095" s="29">
        <v>0</v>
      </c>
      <c r="P1095" s="18" t="s">
        <v>1107</v>
      </c>
      <c r="Q1095" s="18">
        <v>0</v>
      </c>
      <c r="U1095" s="22">
        <v>0.8</v>
      </c>
      <c r="V1095" s="22">
        <f>2/5</f>
        <v>0.4</v>
      </c>
      <c r="W1095" s="14" t="s">
        <v>7777</v>
      </c>
      <c r="X1095" s="3">
        <v>4</v>
      </c>
      <c r="Z1095" s="23">
        <v>8</v>
      </c>
      <c r="AB1095" s="18">
        <f t="shared" si="34"/>
        <v>2020</v>
      </c>
      <c r="AC1095" s="22">
        <f t="shared" si="35"/>
        <v>0.66666666666666663</v>
      </c>
    </row>
    <row r="1096" spans="1:29">
      <c r="A1096" s="8" t="s">
        <v>13547</v>
      </c>
      <c r="B1096" s="17" t="s">
        <v>7800</v>
      </c>
      <c r="C1096" s="13">
        <v>43952</v>
      </c>
      <c r="D1096" s="13" t="s">
        <v>8465</v>
      </c>
      <c r="E1096" s="10" t="s">
        <v>13552</v>
      </c>
      <c r="F1096" s="10" t="s">
        <v>13552</v>
      </c>
      <c r="H1096" s="2" t="s">
        <v>67</v>
      </c>
      <c r="L1096" s="18">
        <v>1</v>
      </c>
      <c r="O1096" s="29">
        <v>0</v>
      </c>
      <c r="P1096" s="18" t="s">
        <v>1107</v>
      </c>
      <c r="Q1096" s="18">
        <v>0</v>
      </c>
      <c r="V1096" s="22">
        <f>3.75/5</f>
        <v>0.75</v>
      </c>
      <c r="W1096" s="14" t="s">
        <v>3069</v>
      </c>
      <c r="X1096" s="3">
        <v>2</v>
      </c>
      <c r="Z1096" s="23">
        <f>39/60</f>
        <v>0.65</v>
      </c>
      <c r="AB1096" s="18">
        <f t="shared" si="34"/>
        <v>2020</v>
      </c>
      <c r="AC1096" s="22">
        <f t="shared" si="35"/>
        <v>0.57499999999999996</v>
      </c>
    </row>
    <row r="1097" spans="1:29">
      <c r="A1097" s="8" t="s">
        <v>14191</v>
      </c>
      <c r="B1097" s="17" t="s">
        <v>12362</v>
      </c>
      <c r="C1097" s="13">
        <v>43952</v>
      </c>
      <c r="D1097" s="13" t="s">
        <v>8465</v>
      </c>
      <c r="E1097" s="10" t="s">
        <v>14192</v>
      </c>
      <c r="F1097" s="10" t="s">
        <v>14192</v>
      </c>
      <c r="G1097" s="11" t="s">
        <v>14193</v>
      </c>
      <c r="H1097" s="2" t="s">
        <v>149</v>
      </c>
      <c r="L1097" s="18">
        <v>1</v>
      </c>
      <c r="O1097" s="29">
        <v>0</v>
      </c>
      <c r="P1097" s="18" t="s">
        <v>1107</v>
      </c>
      <c r="Q1097" s="18">
        <v>0</v>
      </c>
      <c r="W1097" s="14" t="s">
        <v>8765</v>
      </c>
      <c r="X1097" s="3">
        <v>2</v>
      </c>
      <c r="Z1097" s="23">
        <v>12</v>
      </c>
      <c r="AB1097" s="18">
        <f t="shared" si="34"/>
        <v>2020</v>
      </c>
      <c r="AC1097" s="22">
        <f t="shared" si="35"/>
        <v>0.4</v>
      </c>
    </row>
    <row r="1098" spans="1:29">
      <c r="A1098" s="8" t="s">
        <v>12624</v>
      </c>
      <c r="B1098" s="17" t="s">
        <v>7800</v>
      </c>
      <c r="C1098" s="13">
        <v>43951</v>
      </c>
      <c r="D1098" s="13" t="s">
        <v>8465</v>
      </c>
      <c r="E1098" s="10" t="s">
        <v>7894</v>
      </c>
      <c r="F1098" s="10" t="s">
        <v>12633</v>
      </c>
      <c r="H1098" s="2" t="s">
        <v>459</v>
      </c>
      <c r="L1098" s="18">
        <v>1</v>
      </c>
      <c r="P1098" s="18" t="s">
        <v>1107</v>
      </c>
      <c r="Q1098" s="18">
        <v>0</v>
      </c>
      <c r="V1098" s="22">
        <f>3.58/5</f>
        <v>0.71599999999999997</v>
      </c>
      <c r="W1098" s="14" t="s">
        <v>7777</v>
      </c>
      <c r="X1098" s="3">
        <v>2</v>
      </c>
      <c r="Z1098" s="23">
        <v>7</v>
      </c>
      <c r="AB1098" s="18">
        <f t="shared" si="34"/>
        <v>2020</v>
      </c>
      <c r="AC1098" s="22">
        <f t="shared" si="35"/>
        <v>0.55800000000000005</v>
      </c>
    </row>
    <row r="1099" spans="1:29">
      <c r="A1099" s="8" t="s">
        <v>10057</v>
      </c>
      <c r="B1099" s="17" t="s">
        <v>7800</v>
      </c>
      <c r="C1099" s="13">
        <v>43950</v>
      </c>
      <c r="D1099" s="13" t="s">
        <v>8465</v>
      </c>
      <c r="E1099" s="10" t="s">
        <v>4884</v>
      </c>
      <c r="F1099" s="10" t="s">
        <v>4884</v>
      </c>
      <c r="G1099" s="11" t="s">
        <v>4884</v>
      </c>
      <c r="H1099" s="2" t="s">
        <v>78</v>
      </c>
      <c r="L1099" s="18">
        <v>1</v>
      </c>
      <c r="N1099" s="13">
        <v>44294</v>
      </c>
      <c r="O1099" s="29">
        <v>0</v>
      </c>
      <c r="P1099" s="18" t="s">
        <v>1107</v>
      </c>
      <c r="Q1099" s="18">
        <v>0</v>
      </c>
      <c r="V1099" s="22">
        <f>3.58/5</f>
        <v>0.71599999999999997</v>
      </c>
      <c r="W1099" s="14" t="s">
        <v>7777</v>
      </c>
      <c r="X1099" s="3">
        <v>2</v>
      </c>
      <c r="Z1099" s="23">
        <v>1.5</v>
      </c>
      <c r="AB1099" s="18">
        <f t="shared" si="34"/>
        <v>2020</v>
      </c>
      <c r="AC1099" s="22">
        <f t="shared" si="35"/>
        <v>0.55800000000000005</v>
      </c>
    </row>
    <row r="1100" spans="1:29" ht="25.5">
      <c r="A1100" s="8" t="s">
        <v>11714</v>
      </c>
      <c r="B1100" s="17" t="s">
        <v>7800</v>
      </c>
      <c r="C1100" s="13">
        <v>43944</v>
      </c>
      <c r="D1100" s="13" t="s">
        <v>8465</v>
      </c>
      <c r="E1100" s="10" t="s">
        <v>11715</v>
      </c>
      <c r="F1100" s="10" t="s">
        <v>11715</v>
      </c>
      <c r="H1100" s="2" t="s">
        <v>75</v>
      </c>
      <c r="L1100" s="18">
        <v>1</v>
      </c>
      <c r="N1100" s="13">
        <v>44685</v>
      </c>
      <c r="O1100" s="29">
        <v>14.99</v>
      </c>
      <c r="P1100" s="18" t="s">
        <v>1107</v>
      </c>
      <c r="Q1100" s="18">
        <v>0</v>
      </c>
      <c r="V1100" s="22">
        <f>4.17/5</f>
        <v>0.83399999999999996</v>
      </c>
      <c r="W1100" s="14" t="s">
        <v>7777</v>
      </c>
      <c r="X1100" s="3">
        <v>4</v>
      </c>
      <c r="Z1100" s="23">
        <v>92</v>
      </c>
      <c r="AB1100" s="18">
        <f t="shared" si="34"/>
        <v>2020</v>
      </c>
      <c r="AC1100" s="22">
        <f t="shared" si="35"/>
        <v>0.81699999999999995</v>
      </c>
    </row>
    <row r="1101" spans="1:29">
      <c r="A1101" s="8" t="s">
        <v>11966</v>
      </c>
      <c r="B1101" s="17" t="s">
        <v>7744</v>
      </c>
      <c r="C1101" s="13">
        <v>43944</v>
      </c>
      <c r="D1101" s="13" t="s">
        <v>8465</v>
      </c>
      <c r="E1101" s="10" t="s">
        <v>1794</v>
      </c>
      <c r="F1101" s="10" t="s">
        <v>1794</v>
      </c>
      <c r="G1101" s="11" t="s">
        <v>10286</v>
      </c>
      <c r="H1101" s="2" t="s">
        <v>78</v>
      </c>
      <c r="L1101" s="18">
        <v>1</v>
      </c>
      <c r="N1101" s="13">
        <v>44723</v>
      </c>
      <c r="O1101" s="29">
        <v>6.99</v>
      </c>
      <c r="P1101" s="18" t="s">
        <v>1107</v>
      </c>
      <c r="Q1101" s="18">
        <v>0</v>
      </c>
      <c r="U1101" s="22">
        <v>0.77</v>
      </c>
      <c r="V1101" s="22">
        <f>4.04/5</f>
        <v>0.80800000000000005</v>
      </c>
      <c r="X1101" s="3">
        <v>3</v>
      </c>
      <c r="Z1101" s="23">
        <v>24</v>
      </c>
      <c r="AB1101" s="18">
        <f t="shared" si="34"/>
        <v>2020</v>
      </c>
      <c r="AC1101" s="22">
        <f t="shared" si="35"/>
        <v>0.72599999999999998</v>
      </c>
    </row>
    <row r="1102" spans="1:29">
      <c r="A1102" s="8" t="s">
        <v>12895</v>
      </c>
      <c r="B1102" s="17" t="s">
        <v>7800</v>
      </c>
      <c r="C1102" s="13">
        <v>43944</v>
      </c>
      <c r="D1102" s="13" t="s">
        <v>8465</v>
      </c>
      <c r="E1102" s="10" t="s">
        <v>4749</v>
      </c>
      <c r="F1102" s="10" t="s">
        <v>12896</v>
      </c>
      <c r="H1102" s="2" t="s">
        <v>78</v>
      </c>
      <c r="L1102" s="18">
        <v>1</v>
      </c>
      <c r="N1102" s="13">
        <v>44872</v>
      </c>
      <c r="O1102" s="29">
        <v>0</v>
      </c>
      <c r="P1102" s="18" t="s">
        <v>1107</v>
      </c>
      <c r="Q1102" s="18">
        <v>0</v>
      </c>
      <c r="U1102" s="22">
        <v>0.82</v>
      </c>
      <c r="V1102" s="22">
        <f>3.21/5</f>
        <v>0.64200000000000002</v>
      </c>
      <c r="W1102" s="14" t="s">
        <v>7097</v>
      </c>
      <c r="X1102" s="3">
        <v>3</v>
      </c>
      <c r="Z1102" s="23">
        <v>19</v>
      </c>
      <c r="AB1102" s="18">
        <f t="shared" si="34"/>
        <v>2020</v>
      </c>
      <c r="AC1102" s="22">
        <f t="shared" si="35"/>
        <v>0.68733333333333324</v>
      </c>
    </row>
    <row r="1103" spans="1:29">
      <c r="A1103" s="8" t="s">
        <v>10894</v>
      </c>
      <c r="B1103" s="17" t="s">
        <v>7800</v>
      </c>
      <c r="C1103" s="13">
        <v>43944</v>
      </c>
      <c r="D1103" s="13" t="s">
        <v>8465</v>
      </c>
      <c r="E1103" s="10" t="s">
        <v>3072</v>
      </c>
      <c r="F1103" s="10" t="s">
        <v>10895</v>
      </c>
      <c r="H1103" s="2" t="s">
        <v>1518</v>
      </c>
      <c r="L1103" s="18">
        <v>1</v>
      </c>
      <c r="N1103" s="13">
        <v>44564</v>
      </c>
      <c r="O1103" s="29">
        <v>0</v>
      </c>
      <c r="P1103" s="18" t="s">
        <v>1107</v>
      </c>
      <c r="Q1103" s="18">
        <v>0</v>
      </c>
      <c r="U1103" s="22">
        <v>0.78</v>
      </c>
      <c r="V1103" s="22">
        <f>3.47/5</f>
        <v>0.69400000000000006</v>
      </c>
      <c r="W1103" s="14" t="s">
        <v>7778</v>
      </c>
      <c r="X1103" s="3">
        <v>2</v>
      </c>
      <c r="Z1103" s="23">
        <v>12.5</v>
      </c>
      <c r="AB1103" s="18">
        <f t="shared" si="34"/>
        <v>2020</v>
      </c>
      <c r="AC1103" s="22">
        <f t="shared" si="35"/>
        <v>0.6246666666666667</v>
      </c>
    </row>
    <row r="1104" spans="1:29">
      <c r="A1104" s="8" t="s">
        <v>12081</v>
      </c>
      <c r="B1104" s="17" t="s">
        <v>7800</v>
      </c>
      <c r="C1104" s="13">
        <v>43937</v>
      </c>
      <c r="D1104" s="13" t="s">
        <v>8465</v>
      </c>
      <c r="E1104" s="10" t="s">
        <v>3808</v>
      </c>
      <c r="F1104" s="10" t="s">
        <v>12082</v>
      </c>
      <c r="H1104" s="2" t="s">
        <v>78</v>
      </c>
      <c r="L1104" s="18">
        <v>1</v>
      </c>
      <c r="N1104" s="13">
        <v>44744</v>
      </c>
      <c r="O1104" s="29">
        <v>5.0199999999999996</v>
      </c>
      <c r="P1104" s="18" t="s">
        <v>1107</v>
      </c>
      <c r="Q1104" s="18">
        <v>0</v>
      </c>
      <c r="W1104" s="14" t="s">
        <v>7777</v>
      </c>
      <c r="X1104" s="3">
        <v>4</v>
      </c>
      <c r="Z1104" s="23">
        <v>15</v>
      </c>
      <c r="AB1104" s="18">
        <f t="shared" si="34"/>
        <v>2020</v>
      </c>
      <c r="AC1104" s="22">
        <f t="shared" si="35"/>
        <v>0.8</v>
      </c>
    </row>
    <row r="1105" spans="1:29">
      <c r="A1105" s="8" t="s">
        <v>14130</v>
      </c>
      <c r="B1105" s="17" t="s">
        <v>7800</v>
      </c>
      <c r="C1105" s="13">
        <v>43932</v>
      </c>
      <c r="D1105" s="13" t="s">
        <v>8465</v>
      </c>
      <c r="E1105" s="10" t="s">
        <v>14131</v>
      </c>
      <c r="F1105" s="10" t="s">
        <v>14131</v>
      </c>
      <c r="H1105" s="2" t="s">
        <v>149</v>
      </c>
      <c r="L1105" s="18">
        <v>1</v>
      </c>
      <c r="O1105" s="29">
        <v>0</v>
      </c>
      <c r="P1105" s="18" t="s">
        <v>1107</v>
      </c>
      <c r="Q1105" s="18">
        <v>0</v>
      </c>
      <c r="W1105" s="14" t="s">
        <v>8765</v>
      </c>
      <c r="X1105" s="3">
        <v>2</v>
      </c>
      <c r="Z1105" s="23">
        <v>6</v>
      </c>
      <c r="AB1105" s="18">
        <f t="shared" si="34"/>
        <v>2020</v>
      </c>
      <c r="AC1105" s="22">
        <f t="shared" si="35"/>
        <v>0.4</v>
      </c>
    </row>
    <row r="1106" spans="1:29" ht="30">
      <c r="A1106" s="8" t="s">
        <v>9598</v>
      </c>
      <c r="B1106" s="17" t="s">
        <v>7800</v>
      </c>
      <c r="C1106" s="13">
        <v>43929</v>
      </c>
      <c r="D1106" s="13" t="s">
        <v>8465</v>
      </c>
      <c r="E1106" s="10" t="s">
        <v>3063</v>
      </c>
      <c r="F1106" s="10" t="s">
        <v>9599</v>
      </c>
      <c r="H1106" s="2" t="s">
        <v>80</v>
      </c>
      <c r="L1106" s="18">
        <v>1</v>
      </c>
      <c r="N1106" s="13">
        <v>44214</v>
      </c>
      <c r="O1106" s="29">
        <v>0</v>
      </c>
      <c r="P1106" s="18" t="s">
        <v>1107</v>
      </c>
      <c r="Q1106" s="18">
        <v>0</v>
      </c>
      <c r="U1106" s="22">
        <v>0.71</v>
      </c>
      <c r="V1106" s="22">
        <f>3.19/5</f>
        <v>0.63800000000000001</v>
      </c>
      <c r="W1106" s="14" t="s">
        <v>7097</v>
      </c>
      <c r="X1106" s="3">
        <v>3</v>
      </c>
      <c r="Z1106" s="23">
        <v>2</v>
      </c>
      <c r="AB1106" s="18">
        <f t="shared" si="34"/>
        <v>2020</v>
      </c>
      <c r="AC1106" s="22">
        <f t="shared" si="35"/>
        <v>0.64933333333333332</v>
      </c>
    </row>
    <row r="1107" spans="1:29">
      <c r="A1107" s="8" t="s">
        <v>9899</v>
      </c>
      <c r="B1107" s="17" t="s">
        <v>7800</v>
      </c>
      <c r="C1107" s="13">
        <v>43924</v>
      </c>
      <c r="D1107" s="13" t="s">
        <v>8465</v>
      </c>
      <c r="E1107" s="10" t="s">
        <v>4063</v>
      </c>
      <c r="F1107" s="10" t="s">
        <v>9900</v>
      </c>
      <c r="H1107" s="2" t="s">
        <v>67</v>
      </c>
      <c r="L1107" s="18">
        <v>1</v>
      </c>
      <c r="N1107" s="13">
        <v>44292</v>
      </c>
      <c r="O1107" s="29">
        <v>0</v>
      </c>
      <c r="P1107" s="18" t="s">
        <v>1107</v>
      </c>
      <c r="Q1107" s="18">
        <v>0</v>
      </c>
      <c r="U1107" s="22">
        <v>0.74</v>
      </c>
      <c r="V1107" s="22">
        <f>3.63/5</f>
        <v>0.72599999999999998</v>
      </c>
      <c r="W1107" s="14" t="s">
        <v>7777</v>
      </c>
      <c r="X1107" s="3">
        <v>2</v>
      </c>
      <c r="Z1107" s="23">
        <v>5</v>
      </c>
      <c r="AB1107" s="18">
        <f t="shared" si="34"/>
        <v>2020</v>
      </c>
      <c r="AC1107" s="22">
        <f t="shared" si="35"/>
        <v>0.622</v>
      </c>
    </row>
    <row r="1108" spans="1:29">
      <c r="A1108" s="8" t="s">
        <v>14274</v>
      </c>
      <c r="B1108" s="17" t="s">
        <v>7800</v>
      </c>
      <c r="C1108" s="13">
        <v>43923</v>
      </c>
      <c r="D1108" s="13" t="s">
        <v>8465</v>
      </c>
      <c r="E1108" s="10" t="s">
        <v>14275</v>
      </c>
      <c r="F1108" s="10" t="s">
        <v>14275</v>
      </c>
      <c r="H1108" s="2" t="s">
        <v>1518</v>
      </c>
      <c r="L1108" s="18">
        <v>1</v>
      </c>
      <c r="O1108" s="29">
        <v>0</v>
      </c>
      <c r="P1108" s="18" t="s">
        <v>1107</v>
      </c>
      <c r="Q1108" s="18">
        <v>0</v>
      </c>
      <c r="W1108" s="14" t="s">
        <v>8765</v>
      </c>
      <c r="X1108" s="3">
        <v>2</v>
      </c>
      <c r="AB1108" s="18">
        <f t="shared" si="34"/>
        <v>2020</v>
      </c>
      <c r="AC1108" s="22">
        <f t="shared" si="35"/>
        <v>0.4</v>
      </c>
    </row>
    <row r="1109" spans="1:29">
      <c r="A1109" s="8" t="s">
        <v>14152</v>
      </c>
      <c r="B1109" s="17" t="s">
        <v>7800</v>
      </c>
      <c r="C1109" s="13">
        <v>43922</v>
      </c>
      <c r="D1109" s="13" t="s">
        <v>8465</v>
      </c>
      <c r="E1109" s="10" t="s">
        <v>14153</v>
      </c>
      <c r="F1109" s="10" t="s">
        <v>14154</v>
      </c>
      <c r="H1109" s="2" t="s">
        <v>147</v>
      </c>
      <c r="L1109" s="18">
        <v>1</v>
      </c>
      <c r="O1109" s="29">
        <v>0</v>
      </c>
      <c r="P1109" s="18" t="s">
        <v>1107</v>
      </c>
      <c r="Q1109" s="18">
        <v>0</v>
      </c>
      <c r="W1109" s="14" t="s">
        <v>8765</v>
      </c>
      <c r="X1109" s="3">
        <v>2</v>
      </c>
      <c r="AB1109" s="18">
        <f t="shared" si="34"/>
        <v>2020</v>
      </c>
      <c r="AC1109" s="22">
        <f t="shared" si="35"/>
        <v>0.4</v>
      </c>
    </row>
    <row r="1110" spans="1:29" ht="25.5">
      <c r="A1110" s="8" t="s">
        <v>10699</v>
      </c>
      <c r="B1110" s="17" t="s">
        <v>7744</v>
      </c>
      <c r="C1110" s="13">
        <v>43921</v>
      </c>
      <c r="D1110" s="13" t="s">
        <v>8465</v>
      </c>
      <c r="E1110" s="10" t="s">
        <v>3331</v>
      </c>
      <c r="F1110" s="10" t="s">
        <v>3331</v>
      </c>
      <c r="G1110" s="11" t="s">
        <v>10746</v>
      </c>
      <c r="H1110" s="2" t="s">
        <v>1040</v>
      </c>
      <c r="L1110" s="18">
        <v>1</v>
      </c>
      <c r="M1110" s="14" t="s">
        <v>8462</v>
      </c>
      <c r="N1110" s="13">
        <v>44519</v>
      </c>
      <c r="O1110" s="29">
        <v>21.66</v>
      </c>
      <c r="P1110" s="18" t="s">
        <v>14</v>
      </c>
      <c r="Q1110" s="18">
        <v>0</v>
      </c>
      <c r="U1110" s="22">
        <v>0.7</v>
      </c>
      <c r="V1110" s="22">
        <f>3.9/5</f>
        <v>0.78</v>
      </c>
      <c r="X1110" s="3">
        <v>3</v>
      </c>
      <c r="Z1110" s="23">
        <v>9</v>
      </c>
      <c r="AB1110" s="18">
        <f t="shared" si="34"/>
        <v>2020</v>
      </c>
      <c r="AC1110" s="22">
        <f t="shared" si="35"/>
        <v>0.69333333333333336</v>
      </c>
    </row>
    <row r="1111" spans="1:29" ht="30">
      <c r="A1111" s="8" t="s">
        <v>8574</v>
      </c>
      <c r="B1111" s="17" t="s">
        <v>7744</v>
      </c>
      <c r="C1111" s="13">
        <v>43921</v>
      </c>
      <c r="D1111" s="13" t="s">
        <v>8465</v>
      </c>
      <c r="E1111" s="10" t="s">
        <v>8575</v>
      </c>
      <c r="F1111" s="10" t="s">
        <v>8576</v>
      </c>
      <c r="G1111" s="11" t="s">
        <v>8386</v>
      </c>
      <c r="H1111" s="2" t="s">
        <v>1334</v>
      </c>
      <c r="L1111" s="18">
        <v>1</v>
      </c>
      <c r="M1111" s="14" t="s">
        <v>8462</v>
      </c>
      <c r="N1111" s="13">
        <v>43925</v>
      </c>
      <c r="O1111" s="29">
        <v>43.64</v>
      </c>
      <c r="P1111" s="18" t="s">
        <v>14</v>
      </c>
      <c r="Q1111" s="18">
        <v>0</v>
      </c>
      <c r="U1111" s="22">
        <v>0.46</v>
      </c>
      <c r="V1111" s="22">
        <f>3.07/5</f>
        <v>0.61399999999999999</v>
      </c>
      <c r="X1111" s="3">
        <v>2</v>
      </c>
      <c r="Z1111" s="23">
        <v>9</v>
      </c>
      <c r="AB1111" s="18">
        <f t="shared" si="34"/>
        <v>2020</v>
      </c>
      <c r="AC1111" s="22">
        <f t="shared" si="35"/>
        <v>0.4913333333333334</v>
      </c>
    </row>
    <row r="1112" spans="1:29">
      <c r="A1112" s="8" t="s">
        <v>15702</v>
      </c>
      <c r="B1112" s="17" t="s">
        <v>7800</v>
      </c>
      <c r="C1112" s="13">
        <v>43921</v>
      </c>
      <c r="D1112" s="13" t="s">
        <v>8465</v>
      </c>
      <c r="E1112" s="10" t="s">
        <v>4281</v>
      </c>
      <c r="F1112" s="10" t="s">
        <v>4281</v>
      </c>
      <c r="H1112" s="2" t="s">
        <v>1194</v>
      </c>
      <c r="L1112" s="18">
        <v>1</v>
      </c>
      <c r="N1112" s="13">
        <v>45170</v>
      </c>
      <c r="O1112" s="29">
        <v>0</v>
      </c>
      <c r="P1112" s="18" t="s">
        <v>1107</v>
      </c>
      <c r="Q1112" s="18">
        <v>0</v>
      </c>
      <c r="U1112" s="22">
        <v>0.62</v>
      </c>
      <c r="V1112" s="22">
        <f>2.95/5</f>
        <v>0.59000000000000008</v>
      </c>
      <c r="W1112" s="14" t="s">
        <v>7777</v>
      </c>
      <c r="X1112" s="3">
        <v>2</v>
      </c>
      <c r="Z1112" s="23">
        <v>1.5</v>
      </c>
      <c r="AB1112" s="18">
        <f t="shared" si="34"/>
        <v>2020</v>
      </c>
      <c r="AC1112" s="22">
        <f t="shared" si="35"/>
        <v>0.53666666666666663</v>
      </c>
    </row>
    <row r="1113" spans="1:29" ht="25.5">
      <c r="A1113" s="8" t="s">
        <v>9123</v>
      </c>
      <c r="B1113" s="17" t="s">
        <v>7800</v>
      </c>
      <c r="C1113" s="13">
        <v>43920</v>
      </c>
      <c r="D1113" s="13" t="s">
        <v>8465</v>
      </c>
      <c r="E1113" s="10" t="s">
        <v>9127</v>
      </c>
      <c r="F1113" s="10" t="s">
        <v>9128</v>
      </c>
      <c r="H1113" s="2" t="s">
        <v>171</v>
      </c>
      <c r="L1113" s="18">
        <v>1</v>
      </c>
      <c r="N1113" s="13">
        <v>44046</v>
      </c>
      <c r="O1113" s="29">
        <v>0</v>
      </c>
      <c r="P1113" s="18" t="s">
        <v>1107</v>
      </c>
      <c r="Q1113" s="18">
        <v>0</v>
      </c>
      <c r="U1113" s="22">
        <v>0.64</v>
      </c>
      <c r="V1113" s="22">
        <f>3/5</f>
        <v>0.6</v>
      </c>
      <c r="W1113" s="14" t="s">
        <v>7799</v>
      </c>
      <c r="X1113" s="3">
        <v>4</v>
      </c>
      <c r="AB1113" s="18">
        <f t="shared" si="34"/>
        <v>2020</v>
      </c>
      <c r="AC1113" s="22">
        <f t="shared" si="35"/>
        <v>0.68</v>
      </c>
    </row>
    <row r="1114" spans="1:29" ht="30">
      <c r="A1114" s="8" t="s">
        <v>12250</v>
      </c>
      <c r="B1114" s="17" t="s">
        <v>7744</v>
      </c>
      <c r="C1114" s="13">
        <v>43917</v>
      </c>
      <c r="D1114" s="13" t="s">
        <v>8465</v>
      </c>
      <c r="E1114" s="10" t="s">
        <v>1604</v>
      </c>
      <c r="F1114" s="10" t="s">
        <v>1471</v>
      </c>
      <c r="G1114" s="11" t="s">
        <v>9669</v>
      </c>
      <c r="H1114" s="2" t="s">
        <v>1059</v>
      </c>
      <c r="L1114" s="18">
        <v>1</v>
      </c>
      <c r="N1114" s="13">
        <v>44777</v>
      </c>
      <c r="O1114" s="29">
        <v>8.7899999999999991</v>
      </c>
      <c r="P1114" s="18" t="s">
        <v>1107</v>
      </c>
      <c r="Q1114" s="18">
        <v>0</v>
      </c>
      <c r="U1114" s="22">
        <v>0.69</v>
      </c>
      <c r="V1114" s="22">
        <f>4.01/5</f>
        <v>0.80199999999999994</v>
      </c>
      <c r="X1114" s="3">
        <v>3</v>
      </c>
      <c r="Z1114" s="23">
        <v>15.5</v>
      </c>
      <c r="AB1114" s="18">
        <f t="shared" si="34"/>
        <v>2020</v>
      </c>
      <c r="AC1114" s="22">
        <f t="shared" si="35"/>
        <v>0.69733333333333336</v>
      </c>
    </row>
    <row r="1115" spans="1:29" ht="25.5">
      <c r="A1115" s="8" t="s">
        <v>10788</v>
      </c>
      <c r="B1115" s="17" t="s">
        <v>7744</v>
      </c>
      <c r="C1115" s="13">
        <v>43917</v>
      </c>
      <c r="D1115" s="13" t="s">
        <v>8465</v>
      </c>
      <c r="E1115" s="10" t="s">
        <v>1163</v>
      </c>
      <c r="F1115" s="10" t="s">
        <v>1655</v>
      </c>
      <c r="G1115" s="11" t="s">
        <v>1656</v>
      </c>
      <c r="H1115" s="2" t="s">
        <v>1168</v>
      </c>
      <c r="L1115" s="18">
        <v>1</v>
      </c>
      <c r="N1115" s="13">
        <v>44546</v>
      </c>
      <c r="O1115" s="29">
        <v>1.79</v>
      </c>
      <c r="P1115" s="18" t="s">
        <v>1107</v>
      </c>
      <c r="Q1115" s="18">
        <v>0</v>
      </c>
      <c r="U1115" s="22">
        <v>0.71</v>
      </c>
      <c r="V1115" s="22">
        <f>3.91/5</f>
        <v>0.78200000000000003</v>
      </c>
      <c r="X1115" s="3">
        <v>2</v>
      </c>
      <c r="Z1115" s="23">
        <v>15</v>
      </c>
      <c r="AB1115" s="18">
        <f t="shared" si="34"/>
        <v>2020</v>
      </c>
      <c r="AC1115" s="22">
        <f t="shared" si="35"/>
        <v>0.6306666666666666</v>
      </c>
    </row>
    <row r="1116" spans="1:29">
      <c r="A1116" s="8" t="s">
        <v>12525</v>
      </c>
      <c r="B1116" s="17" t="s">
        <v>7800</v>
      </c>
      <c r="C1116" s="13">
        <v>43917</v>
      </c>
      <c r="D1116" s="13" t="s">
        <v>8465</v>
      </c>
      <c r="E1116" s="10" t="s">
        <v>12528</v>
      </c>
      <c r="F1116" s="10" t="s">
        <v>12528</v>
      </c>
      <c r="H1116" s="2" t="s">
        <v>67</v>
      </c>
      <c r="L1116" s="18">
        <v>1</v>
      </c>
      <c r="N1116" s="13">
        <v>44820</v>
      </c>
      <c r="O1116" s="29">
        <v>1.49</v>
      </c>
      <c r="P1116" s="18" t="s">
        <v>1107</v>
      </c>
      <c r="Q1116" s="18">
        <v>0</v>
      </c>
      <c r="W1116" s="14" t="s">
        <v>7777</v>
      </c>
      <c r="X1116" s="3">
        <v>2</v>
      </c>
      <c r="Z1116" s="23">
        <v>2.5</v>
      </c>
      <c r="AB1116" s="18">
        <f t="shared" si="34"/>
        <v>2020</v>
      </c>
      <c r="AC1116" s="22">
        <f t="shared" si="35"/>
        <v>0.4</v>
      </c>
    </row>
    <row r="1117" spans="1:29">
      <c r="A1117" s="8" t="s">
        <v>12549</v>
      </c>
      <c r="B1117" s="17" t="s">
        <v>7800</v>
      </c>
      <c r="C1117" s="13">
        <v>43917</v>
      </c>
      <c r="D1117" s="13" t="s">
        <v>8465</v>
      </c>
      <c r="E1117" s="10" t="s">
        <v>9426</v>
      </c>
      <c r="F1117" s="10" t="s">
        <v>9426</v>
      </c>
      <c r="H1117" s="2" t="s">
        <v>1050</v>
      </c>
      <c r="I1117" s="18">
        <v>1</v>
      </c>
      <c r="L1117" s="18">
        <v>1</v>
      </c>
      <c r="P1117" s="18" t="s">
        <v>1107</v>
      </c>
      <c r="Q1117" s="18">
        <v>0</v>
      </c>
      <c r="V1117" s="22">
        <f>3.5/5</f>
        <v>0.7</v>
      </c>
      <c r="W1117" s="14" t="s">
        <v>7777</v>
      </c>
      <c r="X1117" s="3">
        <v>2</v>
      </c>
      <c r="Z1117" s="23">
        <v>4</v>
      </c>
      <c r="AB1117" s="18">
        <f t="shared" si="34"/>
        <v>2020</v>
      </c>
      <c r="AC1117" s="22">
        <f t="shared" si="35"/>
        <v>0.55000000000000004</v>
      </c>
    </row>
    <row r="1118" spans="1:29">
      <c r="A1118" s="8" t="s">
        <v>9493</v>
      </c>
      <c r="B1118" s="17" t="s">
        <v>7800</v>
      </c>
      <c r="C1118" s="13">
        <v>43916</v>
      </c>
      <c r="D1118" s="13" t="s">
        <v>8465</v>
      </c>
      <c r="E1118" s="10" t="s">
        <v>9249</v>
      </c>
      <c r="F1118" s="10" t="s">
        <v>9494</v>
      </c>
      <c r="H1118" s="2" t="s">
        <v>75</v>
      </c>
      <c r="L1118" s="18">
        <v>1</v>
      </c>
      <c r="N1118" s="13">
        <v>44169</v>
      </c>
      <c r="O1118" s="29">
        <v>0</v>
      </c>
      <c r="P1118" s="18" t="s">
        <v>1107</v>
      </c>
      <c r="Q1118" s="18">
        <v>0</v>
      </c>
      <c r="U1118" s="22">
        <v>0.83</v>
      </c>
      <c r="V1118" s="22">
        <f>4.19/5</f>
        <v>0.83800000000000008</v>
      </c>
      <c r="W1118" s="14" t="s">
        <v>7777</v>
      </c>
      <c r="X1118" s="3">
        <v>4</v>
      </c>
      <c r="Z1118" s="23">
        <v>9</v>
      </c>
      <c r="AB1118" s="18">
        <f t="shared" si="34"/>
        <v>2020</v>
      </c>
      <c r="AC1118" s="22">
        <f t="shared" si="35"/>
        <v>0.82266666666666666</v>
      </c>
    </row>
    <row r="1119" spans="1:29">
      <c r="A1119" s="8" t="s">
        <v>11645</v>
      </c>
      <c r="B1119" s="17" t="s">
        <v>7800</v>
      </c>
      <c r="C1119" s="13">
        <v>43916</v>
      </c>
      <c r="D1119" s="13" t="s">
        <v>8465</v>
      </c>
      <c r="E1119" s="10" t="s">
        <v>11646</v>
      </c>
      <c r="F1119" s="10" t="s">
        <v>11646</v>
      </c>
      <c r="H1119" s="2" t="s">
        <v>67</v>
      </c>
      <c r="I1119" s="18">
        <v>1</v>
      </c>
      <c r="L1119" s="18">
        <v>1</v>
      </c>
      <c r="N1119" s="13">
        <v>44664</v>
      </c>
      <c r="O1119" s="29">
        <v>0</v>
      </c>
      <c r="P1119" s="18" t="s">
        <v>1107</v>
      </c>
      <c r="Q1119" s="18">
        <v>0</v>
      </c>
      <c r="U1119" s="22">
        <v>0.68</v>
      </c>
      <c r="V1119" s="22">
        <f>3.5/5</f>
        <v>0.7</v>
      </c>
      <c r="W1119" s="14" t="s">
        <v>7777</v>
      </c>
      <c r="X1119" s="3">
        <v>3</v>
      </c>
      <c r="Z1119" s="23">
        <v>2</v>
      </c>
      <c r="AB1119" s="18">
        <f t="shared" si="34"/>
        <v>2020</v>
      </c>
      <c r="AC1119" s="22">
        <f t="shared" si="35"/>
        <v>0.66</v>
      </c>
    </row>
    <row r="1120" spans="1:29">
      <c r="A1120" s="8" t="s">
        <v>9353</v>
      </c>
      <c r="B1120" s="17" t="s">
        <v>7800</v>
      </c>
      <c r="C1120" s="13">
        <v>43915</v>
      </c>
      <c r="D1120" s="13" t="s">
        <v>8465</v>
      </c>
      <c r="E1120" s="10" t="s">
        <v>3072</v>
      </c>
      <c r="F1120" s="10" t="s">
        <v>9354</v>
      </c>
      <c r="H1120" s="2" t="s">
        <v>171</v>
      </c>
      <c r="L1120" s="18">
        <v>1</v>
      </c>
      <c r="N1120" s="13">
        <v>44106</v>
      </c>
      <c r="O1120" s="29">
        <v>0</v>
      </c>
      <c r="P1120" s="18" t="s">
        <v>1107</v>
      </c>
      <c r="Q1120" s="18">
        <v>0</v>
      </c>
      <c r="U1120" s="22">
        <v>0.73</v>
      </c>
      <c r="V1120" s="22">
        <f>2.63/5</f>
        <v>0.52600000000000002</v>
      </c>
      <c r="W1120" s="14" t="s">
        <v>7777</v>
      </c>
      <c r="X1120" s="3">
        <v>2</v>
      </c>
      <c r="Z1120" s="23">
        <v>13</v>
      </c>
      <c r="AB1120" s="18">
        <f t="shared" si="34"/>
        <v>2020</v>
      </c>
      <c r="AC1120" s="22">
        <f t="shared" si="35"/>
        <v>0.55200000000000005</v>
      </c>
    </row>
    <row r="1121" spans="1:29">
      <c r="A1121" s="8" t="s">
        <v>9852</v>
      </c>
      <c r="B1121" s="17" t="s">
        <v>7760</v>
      </c>
      <c r="C1121" s="13">
        <v>43914</v>
      </c>
      <c r="D1121" s="13" t="s">
        <v>8465</v>
      </c>
      <c r="E1121" s="10" t="s">
        <v>9853</v>
      </c>
      <c r="F1121" s="10" t="s">
        <v>9853</v>
      </c>
      <c r="H1121" s="2" t="s">
        <v>67</v>
      </c>
      <c r="I1121" s="18">
        <v>1</v>
      </c>
      <c r="L1121" s="18">
        <v>1</v>
      </c>
      <c r="N1121" s="13">
        <v>44281</v>
      </c>
      <c r="O1121" s="29">
        <v>0</v>
      </c>
      <c r="P1121" s="18" t="s">
        <v>1107</v>
      </c>
      <c r="Q1121" s="18">
        <v>0</v>
      </c>
      <c r="U1121" s="22">
        <v>0.79</v>
      </c>
      <c r="V1121" s="22">
        <f>3.06/5</f>
        <v>0.61199999999999999</v>
      </c>
      <c r="X1121" s="3">
        <v>3</v>
      </c>
      <c r="Z1121" s="23">
        <v>3.5</v>
      </c>
      <c r="AB1121" s="18">
        <f t="shared" si="34"/>
        <v>2020</v>
      </c>
      <c r="AC1121" s="22">
        <f t="shared" si="35"/>
        <v>0.66733333333333344</v>
      </c>
    </row>
    <row r="1122" spans="1:29">
      <c r="A1122" s="8" t="s">
        <v>9383</v>
      </c>
      <c r="B1122" s="17" t="s">
        <v>7800</v>
      </c>
      <c r="C1122" s="13">
        <v>43910</v>
      </c>
      <c r="D1122" s="13" t="s">
        <v>8465</v>
      </c>
      <c r="E1122" s="10" t="s">
        <v>9384</v>
      </c>
      <c r="F1122" s="10" t="s">
        <v>9385</v>
      </c>
      <c r="H1122" s="2" t="s">
        <v>1061</v>
      </c>
      <c r="L1122" s="18">
        <v>1</v>
      </c>
      <c r="N1122" s="13">
        <v>44120</v>
      </c>
      <c r="O1122" s="29">
        <v>5.99</v>
      </c>
      <c r="P1122" s="18" t="s">
        <v>1107</v>
      </c>
      <c r="Q1122" s="18">
        <v>0</v>
      </c>
      <c r="W1122" s="14" t="s">
        <v>7777</v>
      </c>
      <c r="X1122" s="3">
        <v>3</v>
      </c>
      <c r="AB1122" s="18">
        <f t="shared" si="34"/>
        <v>2020</v>
      </c>
      <c r="AC1122" s="22">
        <f t="shared" si="35"/>
        <v>0.6</v>
      </c>
    </row>
    <row r="1123" spans="1:29">
      <c r="A1123" s="8" t="s">
        <v>6566</v>
      </c>
      <c r="B1123" s="17" t="s">
        <v>7800</v>
      </c>
      <c r="C1123" s="13">
        <v>43910</v>
      </c>
      <c r="D1123" s="13" t="s">
        <v>8465</v>
      </c>
      <c r="E1123" s="10" t="s">
        <v>1690</v>
      </c>
      <c r="F1123" s="10" t="s">
        <v>8722</v>
      </c>
      <c r="G1123" s="11" t="s">
        <v>1890</v>
      </c>
      <c r="H1123" s="2" t="s">
        <v>1050</v>
      </c>
      <c r="L1123" s="18">
        <v>1</v>
      </c>
      <c r="N1123" s="13">
        <v>43910</v>
      </c>
      <c r="O1123" s="29">
        <v>0</v>
      </c>
      <c r="P1123" s="18" t="s">
        <v>1107</v>
      </c>
      <c r="Q1123" s="18">
        <v>0</v>
      </c>
      <c r="V1123" s="22">
        <f>3.84/5</f>
        <v>0.76800000000000002</v>
      </c>
      <c r="W1123" s="14" t="s">
        <v>7777</v>
      </c>
      <c r="X1123" s="3">
        <v>3</v>
      </c>
      <c r="Z1123" s="23">
        <v>6.5</v>
      </c>
      <c r="AB1123" s="18">
        <f t="shared" si="34"/>
        <v>2020</v>
      </c>
      <c r="AC1123" s="22">
        <f t="shared" si="35"/>
        <v>0.68399999999999994</v>
      </c>
    </row>
    <row r="1124" spans="1:29" ht="30">
      <c r="A1124" s="8" t="s">
        <v>8975</v>
      </c>
      <c r="B1124" s="17" t="s">
        <v>7800</v>
      </c>
      <c r="C1124" s="13">
        <v>43907</v>
      </c>
      <c r="D1124" s="13" t="s">
        <v>8465</v>
      </c>
      <c r="E1124" s="10" t="s">
        <v>8971</v>
      </c>
      <c r="F1124" s="10" t="s">
        <v>8976</v>
      </c>
      <c r="H1124" s="2" t="s">
        <v>149</v>
      </c>
      <c r="L1124" s="18">
        <v>1</v>
      </c>
      <c r="N1124" s="13">
        <v>44007</v>
      </c>
      <c r="O1124" s="29">
        <v>5.24</v>
      </c>
      <c r="P1124" s="18" t="s">
        <v>1107</v>
      </c>
      <c r="Q1124" s="18">
        <v>0</v>
      </c>
      <c r="W1124" s="14" t="s">
        <v>7777</v>
      </c>
      <c r="X1124" s="3">
        <v>4</v>
      </c>
      <c r="AB1124" s="18">
        <f t="shared" si="34"/>
        <v>2020</v>
      </c>
      <c r="AC1124" s="22">
        <f t="shared" si="35"/>
        <v>0.8</v>
      </c>
    </row>
    <row r="1125" spans="1:29" ht="38.25">
      <c r="A1125" s="8" t="s">
        <v>8941</v>
      </c>
      <c r="B1125" s="17" t="s">
        <v>7744</v>
      </c>
      <c r="C1125" s="13">
        <v>43907</v>
      </c>
      <c r="D1125" s="13" t="s">
        <v>8465</v>
      </c>
      <c r="E1125" s="10" t="s">
        <v>1062</v>
      </c>
      <c r="F1125" s="10" t="s">
        <v>8506</v>
      </c>
      <c r="G1125" s="11" t="s">
        <v>4270</v>
      </c>
      <c r="H1125" s="2" t="s">
        <v>151</v>
      </c>
      <c r="L1125" s="18">
        <v>1</v>
      </c>
      <c r="M1125" s="14" t="s">
        <v>8462</v>
      </c>
      <c r="N1125" s="13">
        <v>43907</v>
      </c>
      <c r="O1125" s="29">
        <v>65.09</v>
      </c>
      <c r="P1125" s="18" t="s">
        <v>14</v>
      </c>
      <c r="Q1125" s="18">
        <v>0</v>
      </c>
      <c r="U1125" s="22">
        <v>0.8</v>
      </c>
      <c r="V1125" s="22">
        <f>3.67/5</f>
        <v>0.73399999999999999</v>
      </c>
      <c r="X1125" s="3">
        <v>4</v>
      </c>
      <c r="Z1125" s="23">
        <f>29.5+48</f>
        <v>77.5</v>
      </c>
      <c r="AB1125" s="18">
        <f t="shared" si="34"/>
        <v>2020</v>
      </c>
      <c r="AC1125" s="22">
        <f t="shared" si="35"/>
        <v>0.77800000000000002</v>
      </c>
    </row>
    <row r="1126" spans="1:29" ht="30">
      <c r="A1126" s="8" t="s">
        <v>8917</v>
      </c>
      <c r="B1126" s="17" t="s">
        <v>7760</v>
      </c>
      <c r="C1126" s="13">
        <v>43903</v>
      </c>
      <c r="D1126" s="13" t="s">
        <v>8465</v>
      </c>
      <c r="E1126" s="10" t="s">
        <v>6107</v>
      </c>
      <c r="F1126" s="10" t="s">
        <v>1136</v>
      </c>
      <c r="G1126" s="11" t="s">
        <v>4545</v>
      </c>
      <c r="H1126" s="2" t="s">
        <v>171</v>
      </c>
      <c r="L1126" s="18">
        <v>1</v>
      </c>
      <c r="M1126" s="14" t="s">
        <v>8462</v>
      </c>
      <c r="N1126" s="13">
        <v>43996</v>
      </c>
      <c r="O1126" s="29">
        <v>28.93</v>
      </c>
      <c r="P1126" s="18" t="s">
        <v>14</v>
      </c>
      <c r="Q1126" s="18">
        <v>0</v>
      </c>
      <c r="U1126" s="22">
        <v>0.85</v>
      </c>
      <c r="V1126" s="22">
        <f>4.17/5</f>
        <v>0.83399999999999996</v>
      </c>
      <c r="X1126" s="3">
        <v>4</v>
      </c>
      <c r="Z1126" s="23">
        <v>44.5</v>
      </c>
      <c r="AB1126" s="18">
        <f t="shared" si="34"/>
        <v>2020</v>
      </c>
      <c r="AC1126" s="22">
        <f t="shared" si="35"/>
        <v>0.82799999999999996</v>
      </c>
    </row>
    <row r="1127" spans="1:29">
      <c r="A1127" s="8" t="s">
        <v>15033</v>
      </c>
      <c r="B1127" s="17" t="s">
        <v>7800</v>
      </c>
      <c r="C1127" s="13">
        <v>43903</v>
      </c>
      <c r="D1127" s="13" t="s">
        <v>8465</v>
      </c>
      <c r="E1127" s="10" t="s">
        <v>15034</v>
      </c>
      <c r="F1127" s="10" t="s">
        <v>15034</v>
      </c>
      <c r="H1127" s="2" t="s">
        <v>31</v>
      </c>
      <c r="L1127" s="18">
        <v>1</v>
      </c>
      <c r="N1127" s="13">
        <v>45084</v>
      </c>
      <c r="O1127" s="29">
        <v>11.99</v>
      </c>
      <c r="P1127" s="18" t="s">
        <v>1107</v>
      </c>
      <c r="Q1127" s="18">
        <v>0</v>
      </c>
      <c r="V1127" s="22">
        <f>3.25/5</f>
        <v>0.65</v>
      </c>
      <c r="W1127" s="14" t="s">
        <v>7777</v>
      </c>
      <c r="X1127" s="3">
        <v>3</v>
      </c>
      <c r="Z1127" s="23">
        <v>4.5</v>
      </c>
      <c r="AB1127" s="18">
        <f t="shared" si="34"/>
        <v>2020</v>
      </c>
      <c r="AC1127" s="22">
        <f t="shared" si="35"/>
        <v>0.625</v>
      </c>
    </row>
    <row r="1128" spans="1:29" ht="30">
      <c r="A1128" s="8" t="s">
        <v>12798</v>
      </c>
      <c r="B1128" s="17" t="s">
        <v>7760</v>
      </c>
      <c r="C1128" s="13">
        <v>43903</v>
      </c>
      <c r="D1128" s="13" t="s">
        <v>8465</v>
      </c>
      <c r="E1128" s="10" t="s">
        <v>1604</v>
      </c>
      <c r="F1128" s="10" t="s">
        <v>9480</v>
      </c>
      <c r="G1128" s="11" t="s">
        <v>9481</v>
      </c>
      <c r="H1128" s="2" t="s">
        <v>459</v>
      </c>
      <c r="L1128" s="18">
        <v>1</v>
      </c>
      <c r="M1128" s="14" t="s">
        <v>8462</v>
      </c>
      <c r="N1128" s="13">
        <v>44842</v>
      </c>
      <c r="O1128" s="29">
        <v>21.71</v>
      </c>
      <c r="P1128" s="18" t="s">
        <v>14</v>
      </c>
      <c r="Q1128" s="18">
        <v>0</v>
      </c>
      <c r="U1128" s="22">
        <v>0.68</v>
      </c>
      <c r="V1128" s="22">
        <f>3.65/5</f>
        <v>0.73</v>
      </c>
      <c r="X1128" s="3">
        <v>2</v>
      </c>
      <c r="Z1128" s="23">
        <v>5.5</v>
      </c>
      <c r="AB1128" s="18">
        <f t="shared" si="34"/>
        <v>2020</v>
      </c>
      <c r="AC1128" s="22">
        <f t="shared" si="35"/>
        <v>0.60333333333333339</v>
      </c>
    </row>
    <row r="1129" spans="1:29">
      <c r="A1129" s="8" t="s">
        <v>9798</v>
      </c>
      <c r="B1129" s="17" t="s">
        <v>7800</v>
      </c>
      <c r="C1129" s="13">
        <v>43902</v>
      </c>
      <c r="D1129" s="13" t="s">
        <v>8465</v>
      </c>
      <c r="E1129" s="10" t="s">
        <v>9799</v>
      </c>
      <c r="F1129" s="10" t="s">
        <v>8774</v>
      </c>
      <c r="G1129" s="11" t="s">
        <v>9798</v>
      </c>
      <c r="H1129" s="2" t="s">
        <v>67</v>
      </c>
      <c r="L1129" s="18">
        <v>1</v>
      </c>
      <c r="N1129" s="13">
        <v>44250</v>
      </c>
      <c r="O1129" s="29">
        <v>0</v>
      </c>
      <c r="P1129" s="18" t="s">
        <v>1107</v>
      </c>
      <c r="Q1129" s="18">
        <v>0</v>
      </c>
      <c r="U1129" s="22">
        <v>0.75</v>
      </c>
      <c r="V1129" s="22">
        <f>3/5</f>
        <v>0.6</v>
      </c>
      <c r="W1129" s="14" t="s">
        <v>7777</v>
      </c>
      <c r="X1129" s="3">
        <v>3</v>
      </c>
      <c r="Z1129" s="23">
        <v>4</v>
      </c>
      <c r="AB1129" s="18">
        <f t="shared" si="34"/>
        <v>2020</v>
      </c>
      <c r="AC1129" s="22">
        <f t="shared" si="35"/>
        <v>0.65</v>
      </c>
    </row>
    <row r="1130" spans="1:29">
      <c r="A1130" s="8" t="s">
        <v>8493</v>
      </c>
      <c r="B1130" s="17" t="s">
        <v>7744</v>
      </c>
      <c r="C1130" s="13">
        <v>43900</v>
      </c>
      <c r="D1130" s="13" t="s">
        <v>8465</v>
      </c>
      <c r="E1130" s="10" t="s">
        <v>1062</v>
      </c>
      <c r="F1130" s="10" t="s">
        <v>8494</v>
      </c>
      <c r="G1130" s="11" t="s">
        <v>1369</v>
      </c>
      <c r="H1130" s="2" t="s">
        <v>75</v>
      </c>
      <c r="L1130" s="18">
        <v>1</v>
      </c>
      <c r="M1130" s="14" t="s">
        <v>8462</v>
      </c>
      <c r="N1130" s="13">
        <v>43900</v>
      </c>
      <c r="O1130" s="29">
        <v>49.99</v>
      </c>
      <c r="P1130" s="18" t="s">
        <v>14</v>
      </c>
      <c r="Q1130" s="18">
        <v>0</v>
      </c>
      <c r="U1130" s="22">
        <v>0.77</v>
      </c>
      <c r="V1130" s="22">
        <f>3.93/5</f>
        <v>0.78600000000000003</v>
      </c>
      <c r="X1130" s="3">
        <v>3</v>
      </c>
      <c r="Z1130" s="23">
        <v>14.5</v>
      </c>
      <c r="AB1130" s="18">
        <f t="shared" si="34"/>
        <v>2020</v>
      </c>
      <c r="AC1130" s="22">
        <f t="shared" si="35"/>
        <v>0.71866666666666668</v>
      </c>
    </row>
    <row r="1131" spans="1:29" ht="30">
      <c r="A1131" s="8" t="s">
        <v>8761</v>
      </c>
      <c r="B1131" s="17" t="s">
        <v>7800</v>
      </c>
      <c r="C1131" s="13">
        <v>43896</v>
      </c>
      <c r="D1131" s="13" t="s">
        <v>8465</v>
      </c>
      <c r="E1131" s="10" t="s">
        <v>8762</v>
      </c>
      <c r="F1131" s="10" t="s">
        <v>4095</v>
      </c>
      <c r="H1131" s="2" t="s">
        <v>78</v>
      </c>
      <c r="L1131" s="18">
        <v>1</v>
      </c>
      <c r="N1131" s="13">
        <v>43987</v>
      </c>
      <c r="O1131" s="29">
        <v>10.3</v>
      </c>
      <c r="P1131" s="18" t="s">
        <v>1107</v>
      </c>
      <c r="Q1131" s="18">
        <v>0</v>
      </c>
      <c r="U1131" s="22">
        <v>0.78</v>
      </c>
      <c r="V1131" s="22">
        <f>3.37/5</f>
        <v>0.67400000000000004</v>
      </c>
      <c r="W1131" s="14" t="s">
        <v>7777</v>
      </c>
      <c r="X1131" s="3">
        <v>4</v>
      </c>
      <c r="Z1131" s="23">
        <v>20.5</v>
      </c>
      <c r="AB1131" s="18">
        <f t="shared" si="34"/>
        <v>2020</v>
      </c>
      <c r="AC1131" s="22">
        <f t="shared" si="35"/>
        <v>0.75133333333333352</v>
      </c>
    </row>
    <row r="1132" spans="1:29" ht="30">
      <c r="A1132" s="8" t="s">
        <v>9939</v>
      </c>
      <c r="B1132" s="17" t="s">
        <v>7744</v>
      </c>
      <c r="C1132" s="13">
        <v>43896</v>
      </c>
      <c r="D1132" s="13" t="s">
        <v>8465</v>
      </c>
      <c r="E1132" s="10" t="s">
        <v>4636</v>
      </c>
      <c r="F1132" s="10" t="s">
        <v>4636</v>
      </c>
      <c r="H1132" s="2" t="s">
        <v>67</v>
      </c>
      <c r="L1132" s="18">
        <v>1</v>
      </c>
      <c r="M1132" s="14" t="s">
        <v>8462</v>
      </c>
      <c r="N1132" s="13">
        <v>44253</v>
      </c>
      <c r="O1132" s="29">
        <v>34.99</v>
      </c>
      <c r="P1132" s="18" t="s">
        <v>14</v>
      </c>
      <c r="Q1132" s="18">
        <v>0</v>
      </c>
      <c r="U1132" s="22">
        <v>0.74</v>
      </c>
      <c r="V1132" s="22">
        <f>3/5</f>
        <v>0.6</v>
      </c>
      <c r="W1132" s="14" t="s">
        <v>1134</v>
      </c>
      <c r="X1132" s="3">
        <v>3</v>
      </c>
      <c r="Z1132" s="23">
        <v>5.5</v>
      </c>
      <c r="AB1132" s="18">
        <f t="shared" si="34"/>
        <v>2020</v>
      </c>
      <c r="AC1132" s="22">
        <f t="shared" si="35"/>
        <v>0.64666666666666661</v>
      </c>
    </row>
    <row r="1133" spans="1:29">
      <c r="A1133" s="8" t="s">
        <v>9002</v>
      </c>
      <c r="B1133" s="17" t="s">
        <v>7800</v>
      </c>
      <c r="C1133" s="13">
        <v>43896</v>
      </c>
      <c r="D1133" s="13" t="s">
        <v>8465</v>
      </c>
      <c r="E1133" s="10" t="s">
        <v>9003</v>
      </c>
      <c r="F1133" s="10" t="s">
        <v>9003</v>
      </c>
      <c r="G1133" s="11" t="s">
        <v>4069</v>
      </c>
      <c r="H1133" s="2" t="s">
        <v>1050</v>
      </c>
      <c r="L1133" s="18">
        <v>1</v>
      </c>
      <c r="N1133" s="13">
        <v>44017</v>
      </c>
      <c r="O1133" s="29">
        <v>12.99</v>
      </c>
      <c r="P1133" s="18" t="s">
        <v>1107</v>
      </c>
      <c r="Q1133" s="18">
        <v>0</v>
      </c>
      <c r="U1133" s="22">
        <v>0.84</v>
      </c>
      <c r="V1133" s="22">
        <f>4.11/5</f>
        <v>0.82200000000000006</v>
      </c>
      <c r="W1133" s="14" t="s">
        <v>7777</v>
      </c>
      <c r="X1133" s="3">
        <v>4</v>
      </c>
      <c r="Z1133" s="23">
        <v>13.5</v>
      </c>
      <c r="AB1133" s="18">
        <f t="shared" si="34"/>
        <v>2020</v>
      </c>
      <c r="AC1133" s="22">
        <f t="shared" si="35"/>
        <v>0.82066666666666654</v>
      </c>
    </row>
    <row r="1134" spans="1:29">
      <c r="A1134" s="8" t="s">
        <v>10123</v>
      </c>
      <c r="B1134" s="17" t="s">
        <v>7800</v>
      </c>
      <c r="C1134" s="13">
        <v>43894</v>
      </c>
      <c r="D1134" s="13" t="s">
        <v>8465</v>
      </c>
      <c r="E1134" s="10" t="s">
        <v>10124</v>
      </c>
      <c r="F1134" s="10" t="s">
        <v>10124</v>
      </c>
      <c r="H1134" s="2" t="s">
        <v>78</v>
      </c>
      <c r="L1134" s="18">
        <v>1</v>
      </c>
      <c r="N1134" s="13">
        <v>44303</v>
      </c>
      <c r="O1134" s="29">
        <v>1.73</v>
      </c>
      <c r="P1134" s="18" t="s">
        <v>1107</v>
      </c>
      <c r="Q1134" s="18">
        <v>0</v>
      </c>
      <c r="W1134" s="14" t="s">
        <v>7777</v>
      </c>
      <c r="X1134" s="3">
        <v>2</v>
      </c>
      <c r="Z1134" s="23">
        <v>2</v>
      </c>
      <c r="AB1134" s="18">
        <f t="shared" si="34"/>
        <v>2020</v>
      </c>
      <c r="AC1134" s="22">
        <f t="shared" si="35"/>
        <v>0.4</v>
      </c>
    </row>
    <row r="1135" spans="1:29" ht="25.5">
      <c r="A1135" s="8" t="s">
        <v>12465</v>
      </c>
      <c r="B1135" s="17" t="s">
        <v>7760</v>
      </c>
      <c r="C1135" s="13">
        <v>43893</v>
      </c>
      <c r="D1135" s="13" t="s">
        <v>8465</v>
      </c>
      <c r="E1135" s="10" t="s">
        <v>1534</v>
      </c>
      <c r="F1135" s="10" t="s">
        <v>479</v>
      </c>
      <c r="G1135" s="11" t="s">
        <v>12466</v>
      </c>
      <c r="H1135" s="2" t="s">
        <v>459</v>
      </c>
      <c r="L1135" s="18">
        <v>1</v>
      </c>
      <c r="N1135" s="13">
        <v>44810</v>
      </c>
      <c r="O1135" s="29">
        <v>0</v>
      </c>
      <c r="P1135" s="18" t="s">
        <v>1107</v>
      </c>
      <c r="Q1135" s="18">
        <v>0</v>
      </c>
      <c r="U1135" s="22">
        <v>0.78</v>
      </c>
      <c r="V1135" s="22">
        <f>3.84/5</f>
        <v>0.76800000000000002</v>
      </c>
      <c r="W1135" s="14" t="s">
        <v>6072</v>
      </c>
      <c r="X1135" s="3">
        <v>3</v>
      </c>
      <c r="Z1135" s="23">
        <v>5.5</v>
      </c>
      <c r="AB1135" s="18">
        <f t="shared" si="34"/>
        <v>2020</v>
      </c>
      <c r="AC1135" s="22">
        <f t="shared" si="35"/>
        <v>0.71600000000000008</v>
      </c>
    </row>
    <row r="1136" spans="1:29">
      <c r="A1136" s="8" t="s">
        <v>13539</v>
      </c>
      <c r="B1136" s="17" t="s">
        <v>7800</v>
      </c>
      <c r="C1136" s="13">
        <v>43889</v>
      </c>
      <c r="D1136" s="13" t="s">
        <v>8465</v>
      </c>
      <c r="E1136" s="10" t="s">
        <v>4831</v>
      </c>
      <c r="F1136" s="10" t="s">
        <v>4831</v>
      </c>
      <c r="G1136" s="11" t="s">
        <v>4832</v>
      </c>
      <c r="H1136" s="2" t="s">
        <v>67</v>
      </c>
      <c r="L1136" s="18">
        <v>1</v>
      </c>
      <c r="N1136" s="13">
        <v>44971</v>
      </c>
      <c r="O1136" s="29">
        <v>0.99</v>
      </c>
      <c r="P1136" s="18" t="s">
        <v>1107</v>
      </c>
      <c r="Q1136" s="18">
        <v>0</v>
      </c>
      <c r="V1136" s="22">
        <f>3.5/5</f>
        <v>0.7</v>
      </c>
      <c r="W1136" s="14" t="s">
        <v>7777</v>
      </c>
      <c r="X1136" s="3">
        <v>2</v>
      </c>
      <c r="Z1136" s="23">
        <v>5</v>
      </c>
      <c r="AB1136" s="18">
        <f t="shared" si="34"/>
        <v>2020</v>
      </c>
      <c r="AC1136" s="22">
        <f t="shared" si="35"/>
        <v>0.55000000000000004</v>
      </c>
    </row>
    <row r="1137" spans="1:29" ht="30">
      <c r="A1137" s="8" t="s">
        <v>9312</v>
      </c>
      <c r="B1137" s="17" t="s">
        <v>7760</v>
      </c>
      <c r="C1137" s="13">
        <v>43889</v>
      </c>
      <c r="D1137" s="13" t="s">
        <v>8465</v>
      </c>
      <c r="E1137" s="10" t="s">
        <v>1604</v>
      </c>
      <c r="F1137" s="10" t="s">
        <v>2452</v>
      </c>
      <c r="G1137" s="11" t="s">
        <v>9313</v>
      </c>
      <c r="H1137" s="2" t="s">
        <v>459</v>
      </c>
      <c r="L1137" s="18">
        <v>1</v>
      </c>
      <c r="M1137" s="14" t="s">
        <v>8462</v>
      </c>
      <c r="N1137" s="13">
        <v>44089</v>
      </c>
      <c r="O1137" s="29">
        <v>17.350000000000001</v>
      </c>
      <c r="P1137" s="18" t="s">
        <v>14</v>
      </c>
      <c r="Q1137" s="18">
        <v>0</v>
      </c>
      <c r="U1137" s="22">
        <v>0.56999999999999995</v>
      </c>
      <c r="V1137" s="22">
        <f>3/5</f>
        <v>0.6</v>
      </c>
      <c r="X1137" s="3">
        <v>2</v>
      </c>
      <c r="Z1137" s="23">
        <v>12</v>
      </c>
      <c r="AB1137" s="18">
        <f t="shared" si="34"/>
        <v>2020</v>
      </c>
      <c r="AC1137" s="22">
        <f t="shared" si="35"/>
        <v>0.52333333333333332</v>
      </c>
    </row>
    <row r="1138" spans="1:29">
      <c r="A1138" s="8" t="s">
        <v>8425</v>
      </c>
      <c r="B1138" s="17" t="s">
        <v>7744</v>
      </c>
      <c r="C1138" s="13">
        <v>43889</v>
      </c>
      <c r="D1138" s="13" t="s">
        <v>8465</v>
      </c>
      <c r="E1138" s="10" t="s">
        <v>1163</v>
      </c>
      <c r="F1138" s="10" t="s">
        <v>4439</v>
      </c>
      <c r="G1138" s="11" t="s">
        <v>4440</v>
      </c>
      <c r="H1138" s="2" t="s">
        <v>1050</v>
      </c>
      <c r="L1138" s="18">
        <v>1</v>
      </c>
      <c r="M1138" s="14" t="s">
        <v>8462</v>
      </c>
      <c r="N1138" s="13">
        <v>43889</v>
      </c>
      <c r="O1138" s="29">
        <v>41.88</v>
      </c>
      <c r="P1138" s="18" t="s">
        <v>14</v>
      </c>
      <c r="Q1138" s="18">
        <v>0</v>
      </c>
      <c r="U1138" s="22">
        <v>0.81</v>
      </c>
      <c r="V1138" s="22">
        <f>4.11/5</f>
        <v>0.82200000000000006</v>
      </c>
      <c r="X1138" s="3">
        <v>2</v>
      </c>
      <c r="Z1138" s="23">
        <v>17</v>
      </c>
      <c r="AB1138" s="18">
        <f t="shared" si="34"/>
        <v>2020</v>
      </c>
      <c r="AC1138" s="22">
        <f t="shared" si="35"/>
        <v>0.67733333333333334</v>
      </c>
    </row>
    <row r="1139" spans="1:29">
      <c r="A1139" s="8" t="s">
        <v>10097</v>
      </c>
      <c r="B1139" s="17" t="s">
        <v>7800</v>
      </c>
      <c r="C1139" s="13">
        <v>43888</v>
      </c>
      <c r="D1139" s="13" t="s">
        <v>8465</v>
      </c>
      <c r="E1139" s="10" t="s">
        <v>10098</v>
      </c>
      <c r="F1139" s="10" t="s">
        <v>10099</v>
      </c>
      <c r="H1139" s="2" t="s">
        <v>3411</v>
      </c>
      <c r="L1139" s="18">
        <v>1</v>
      </c>
      <c r="N1139" s="13">
        <v>44302</v>
      </c>
      <c r="O1139" s="29">
        <v>0</v>
      </c>
      <c r="P1139" s="18" t="s">
        <v>1107</v>
      </c>
      <c r="Q1139" s="18">
        <v>0</v>
      </c>
      <c r="V1139" s="22">
        <f>3.2/5</f>
        <v>0.64</v>
      </c>
      <c r="W1139" s="14" t="s">
        <v>7799</v>
      </c>
      <c r="X1139" s="3">
        <v>2</v>
      </c>
      <c r="Z1139" s="23">
        <v>5</v>
      </c>
      <c r="AB1139" s="18">
        <f t="shared" si="34"/>
        <v>2020</v>
      </c>
      <c r="AC1139" s="22">
        <f t="shared" si="35"/>
        <v>0.52</v>
      </c>
    </row>
    <row r="1140" spans="1:29">
      <c r="A1140" s="8" t="s">
        <v>8382</v>
      </c>
      <c r="B1140" s="17" t="s">
        <v>7744</v>
      </c>
      <c r="C1140" s="13">
        <v>43886</v>
      </c>
      <c r="D1140" s="13" t="s">
        <v>8465</v>
      </c>
      <c r="E1140" s="10" t="s">
        <v>1534</v>
      </c>
      <c r="F1140" s="10" t="s">
        <v>1269</v>
      </c>
      <c r="G1140" s="11" t="s">
        <v>1540</v>
      </c>
      <c r="H1140" s="2" t="s">
        <v>171</v>
      </c>
      <c r="L1140" s="18">
        <v>1</v>
      </c>
      <c r="M1140" s="14" t="s">
        <v>8462</v>
      </c>
      <c r="N1140" s="13">
        <v>43886</v>
      </c>
      <c r="O1140" s="29">
        <v>59.99</v>
      </c>
      <c r="P1140" s="18" t="s">
        <v>14</v>
      </c>
      <c r="Q1140" s="18">
        <v>0</v>
      </c>
      <c r="U1140" s="22">
        <v>0.83</v>
      </c>
      <c r="V1140" s="22">
        <f>4.27/5</f>
        <v>0.85399999999999987</v>
      </c>
      <c r="W1140" s="14" t="s">
        <v>8383</v>
      </c>
      <c r="X1140" s="3">
        <v>4</v>
      </c>
      <c r="Z1140" s="23">
        <v>50</v>
      </c>
      <c r="AB1140" s="18">
        <f t="shared" si="34"/>
        <v>2020</v>
      </c>
      <c r="AC1140" s="22">
        <f t="shared" si="35"/>
        <v>0.82799999999999996</v>
      </c>
    </row>
    <row r="1141" spans="1:29" ht="25.5">
      <c r="A1141" s="8" t="s">
        <v>8381</v>
      </c>
      <c r="B1141" s="17" t="s">
        <v>7744</v>
      </c>
      <c r="C1141" s="13">
        <v>43886</v>
      </c>
      <c r="D1141" s="13" t="s">
        <v>8465</v>
      </c>
      <c r="E1141" s="10" t="s">
        <v>73</v>
      </c>
      <c r="F1141" s="10" t="s">
        <v>1070</v>
      </c>
      <c r="G1141" s="11" t="s">
        <v>1983</v>
      </c>
      <c r="H1141" s="2" t="s">
        <v>56</v>
      </c>
      <c r="L1141" s="18">
        <v>1</v>
      </c>
      <c r="M1141" s="14" t="s">
        <v>8462</v>
      </c>
      <c r="N1141" s="13">
        <v>43886</v>
      </c>
      <c r="O1141" s="29">
        <v>32.54</v>
      </c>
      <c r="P1141" s="18" t="s">
        <v>14</v>
      </c>
      <c r="Q1141" s="18">
        <v>0</v>
      </c>
      <c r="U1141" s="22">
        <v>0.82</v>
      </c>
      <c r="V1141" s="22">
        <f>4.42/5</f>
        <v>0.88400000000000001</v>
      </c>
      <c r="X1141" s="3">
        <v>2</v>
      </c>
      <c r="Z1141" s="23">
        <v>26</v>
      </c>
      <c r="AB1141" s="18">
        <f t="shared" si="34"/>
        <v>2020</v>
      </c>
      <c r="AC1141" s="22">
        <f t="shared" si="35"/>
        <v>0.70133333333333336</v>
      </c>
    </row>
    <row r="1142" spans="1:29" ht="25.5">
      <c r="A1142" s="8" t="s">
        <v>16078</v>
      </c>
      <c r="B1142" s="17" t="s">
        <v>7800</v>
      </c>
      <c r="C1142" s="13">
        <v>43882</v>
      </c>
      <c r="D1142" s="13" t="s">
        <v>8465</v>
      </c>
      <c r="E1142" s="10" t="s">
        <v>3291</v>
      </c>
      <c r="F1142" s="10" t="s">
        <v>3291</v>
      </c>
      <c r="G1142" s="11" t="s">
        <v>3290</v>
      </c>
      <c r="H1142" s="2" t="s">
        <v>67</v>
      </c>
      <c r="L1142" s="18">
        <v>1</v>
      </c>
      <c r="N1142" s="13">
        <v>45062</v>
      </c>
      <c r="O1142" s="29">
        <v>0</v>
      </c>
      <c r="P1142" s="18" t="s">
        <v>1107</v>
      </c>
      <c r="Q1142" s="18">
        <v>0</v>
      </c>
      <c r="U1142" s="22">
        <v>0.84</v>
      </c>
      <c r="V1142" s="22">
        <f>3.9/5</f>
        <v>0.78</v>
      </c>
      <c r="W1142" s="14" t="s">
        <v>7777</v>
      </c>
      <c r="X1142" s="3">
        <v>3</v>
      </c>
      <c r="Z1142" s="23">
        <v>9</v>
      </c>
      <c r="AB1142" s="18">
        <f t="shared" si="34"/>
        <v>2020</v>
      </c>
      <c r="AC1142" s="22">
        <f t="shared" si="35"/>
        <v>0.7400000000000001</v>
      </c>
    </row>
    <row r="1143" spans="1:29">
      <c r="A1143" s="8" t="s">
        <v>14771</v>
      </c>
      <c r="B1143" s="17" t="s">
        <v>7800</v>
      </c>
      <c r="C1143" s="13">
        <v>43882</v>
      </c>
      <c r="D1143" s="13" t="s">
        <v>8465</v>
      </c>
      <c r="E1143" s="10" t="s">
        <v>3291</v>
      </c>
      <c r="F1143" s="10" t="s">
        <v>3291</v>
      </c>
      <c r="G1143" s="11" t="s">
        <v>3290</v>
      </c>
      <c r="H1143" s="2" t="s">
        <v>1057</v>
      </c>
      <c r="L1143" s="18">
        <v>1</v>
      </c>
      <c r="N1143" s="13">
        <v>45062</v>
      </c>
      <c r="O1143" s="29">
        <v>0</v>
      </c>
      <c r="P1143" s="18" t="s">
        <v>1107</v>
      </c>
      <c r="Q1143" s="18">
        <v>0</v>
      </c>
      <c r="V1143" s="22">
        <f>2.25/5</f>
        <v>0.45</v>
      </c>
      <c r="W1143" s="14" t="s">
        <v>7777</v>
      </c>
      <c r="X1143" s="3">
        <v>2</v>
      </c>
      <c r="Z1143" s="23">
        <f>26/60</f>
        <v>0.43333333333333335</v>
      </c>
      <c r="AB1143" s="18">
        <f t="shared" si="34"/>
        <v>2020</v>
      </c>
      <c r="AC1143" s="22">
        <f t="shared" si="35"/>
        <v>0.42500000000000004</v>
      </c>
    </row>
    <row r="1144" spans="1:29" ht="25.5">
      <c r="A1144" s="8" t="s">
        <v>14358</v>
      </c>
      <c r="B1144" s="17" t="s">
        <v>7744</v>
      </c>
      <c r="C1144" s="13">
        <v>43881</v>
      </c>
      <c r="D1144" s="13" t="s">
        <v>8463</v>
      </c>
      <c r="E1144" s="10" t="s">
        <v>2452</v>
      </c>
      <c r="F1144" s="10" t="s">
        <v>3029</v>
      </c>
      <c r="G1144" s="11" t="s">
        <v>9197</v>
      </c>
      <c r="H1144" s="2" t="s">
        <v>171</v>
      </c>
      <c r="K1144" s="18">
        <v>2</v>
      </c>
      <c r="L1144" s="18">
        <v>1</v>
      </c>
      <c r="M1144" s="14" t="s">
        <v>8462</v>
      </c>
      <c r="N1144" s="13">
        <v>45011</v>
      </c>
      <c r="O1144" s="29">
        <v>47.49</v>
      </c>
      <c r="P1144" s="18" t="s">
        <v>14</v>
      </c>
      <c r="Q1144" s="18">
        <v>0</v>
      </c>
      <c r="U1144" s="22">
        <v>0.7</v>
      </c>
      <c r="V1144" s="22">
        <f>3.7/5</f>
        <v>0.74</v>
      </c>
      <c r="X1144" s="3">
        <v>2</v>
      </c>
      <c r="Z1144" s="23">
        <v>31.5</v>
      </c>
      <c r="AB1144" s="18">
        <f t="shared" si="34"/>
        <v>2020</v>
      </c>
      <c r="AC1144" s="22">
        <f t="shared" si="35"/>
        <v>0.61333333333333329</v>
      </c>
    </row>
    <row r="1145" spans="1:29" ht="25.5">
      <c r="A1145" s="8" t="s">
        <v>9351</v>
      </c>
      <c r="B1145" s="17" t="s">
        <v>7800</v>
      </c>
      <c r="C1145" s="13">
        <v>43880</v>
      </c>
      <c r="D1145" s="13" t="s">
        <v>8465</v>
      </c>
      <c r="E1145" s="10" t="s">
        <v>3072</v>
      </c>
      <c r="F1145" s="10" t="s">
        <v>9352</v>
      </c>
      <c r="H1145" s="2" t="s">
        <v>67</v>
      </c>
      <c r="L1145" s="18">
        <v>1</v>
      </c>
      <c r="N1145" s="13">
        <v>44106</v>
      </c>
      <c r="O1145" s="29">
        <v>0</v>
      </c>
      <c r="P1145" s="18" t="s">
        <v>1107</v>
      </c>
      <c r="Q1145" s="18">
        <v>0</v>
      </c>
      <c r="U1145" s="22">
        <v>0.63</v>
      </c>
      <c r="V1145" s="22">
        <f>3.38/5</f>
        <v>0.67599999999999993</v>
      </c>
      <c r="W1145" s="14" t="s">
        <v>7777</v>
      </c>
      <c r="X1145" s="3">
        <v>2</v>
      </c>
      <c r="Z1145" s="23">
        <v>3.5</v>
      </c>
      <c r="AB1145" s="18">
        <f t="shared" si="34"/>
        <v>2020</v>
      </c>
      <c r="AC1145" s="22">
        <f t="shared" si="35"/>
        <v>0.56866666666666665</v>
      </c>
    </row>
    <row r="1146" spans="1:29">
      <c r="A1146" s="8" t="s">
        <v>3292</v>
      </c>
      <c r="B1146" s="17" t="s">
        <v>7800</v>
      </c>
      <c r="C1146" s="13">
        <v>43879</v>
      </c>
      <c r="D1146" s="13" t="s">
        <v>8465</v>
      </c>
      <c r="E1146" s="10" t="s">
        <v>3293</v>
      </c>
      <c r="F1146" s="10" t="s">
        <v>3293</v>
      </c>
      <c r="H1146" s="2" t="s">
        <v>1334</v>
      </c>
      <c r="L1146" s="18">
        <v>1</v>
      </c>
      <c r="N1146" s="13">
        <v>43240</v>
      </c>
      <c r="P1146" s="18" t="s">
        <v>1107</v>
      </c>
      <c r="Q1146" s="18">
        <v>0</v>
      </c>
      <c r="V1146" s="22">
        <f>3.69/5</f>
        <v>0.73799999999999999</v>
      </c>
      <c r="W1146" s="14" t="s">
        <v>7777</v>
      </c>
      <c r="X1146" s="3">
        <v>3</v>
      </c>
      <c r="Z1146" s="23">
        <v>4</v>
      </c>
      <c r="AB1146" s="18">
        <f t="shared" si="34"/>
        <v>2020</v>
      </c>
      <c r="AC1146" s="22">
        <f t="shared" si="35"/>
        <v>0.66900000000000004</v>
      </c>
    </row>
    <row r="1147" spans="1:29">
      <c r="A1147" s="8" t="s">
        <v>12687</v>
      </c>
      <c r="B1147" s="17" t="s">
        <v>7800</v>
      </c>
      <c r="C1147" s="13">
        <v>43879</v>
      </c>
      <c r="D1147" s="13" t="s">
        <v>8465</v>
      </c>
      <c r="E1147" s="10" t="s">
        <v>12688</v>
      </c>
      <c r="F1147" s="10" t="s">
        <v>12688</v>
      </c>
      <c r="H1147" s="2" t="s">
        <v>3411</v>
      </c>
      <c r="L1147" s="18">
        <v>1</v>
      </c>
      <c r="P1147" s="18" t="s">
        <v>1107</v>
      </c>
      <c r="Q1147" s="18">
        <v>0</v>
      </c>
      <c r="V1147" s="22">
        <f>3.04/5</f>
        <v>0.60799999999999998</v>
      </c>
      <c r="W1147" s="14" t="s">
        <v>7777</v>
      </c>
      <c r="X1147" s="3">
        <v>2</v>
      </c>
      <c r="Z1147" s="23">
        <v>4</v>
      </c>
      <c r="AB1147" s="18">
        <f t="shared" si="34"/>
        <v>2020</v>
      </c>
      <c r="AC1147" s="22">
        <f t="shared" si="35"/>
        <v>0.504</v>
      </c>
    </row>
    <row r="1148" spans="1:29" ht="25.5">
      <c r="A1148" s="8" t="s">
        <v>12496</v>
      </c>
      <c r="B1148" s="17" t="s">
        <v>7744</v>
      </c>
      <c r="C1148" s="13">
        <v>43875</v>
      </c>
      <c r="D1148" s="13" t="s">
        <v>8465</v>
      </c>
      <c r="E1148" s="10" t="s">
        <v>2129</v>
      </c>
      <c r="F1148" s="10" t="s">
        <v>2129</v>
      </c>
      <c r="G1148" s="11" t="s">
        <v>12497</v>
      </c>
      <c r="H1148" s="2" t="s">
        <v>171</v>
      </c>
      <c r="L1148" s="18">
        <v>1</v>
      </c>
      <c r="M1148" s="14" t="s">
        <v>8462</v>
      </c>
      <c r="N1148" s="13">
        <v>44808</v>
      </c>
      <c r="O1148" s="29">
        <v>24.47</v>
      </c>
      <c r="P1148" s="18" t="s">
        <v>14</v>
      </c>
      <c r="Q1148" s="18">
        <v>0</v>
      </c>
      <c r="U1148" s="22">
        <v>0.68</v>
      </c>
      <c r="V1148" s="22">
        <f>3.8/5</f>
        <v>0.76</v>
      </c>
      <c r="X1148" s="3">
        <v>3</v>
      </c>
      <c r="Z1148" s="23">
        <v>22.5</v>
      </c>
      <c r="AB1148" s="18">
        <f t="shared" si="34"/>
        <v>2020</v>
      </c>
      <c r="AC1148" s="22">
        <f t="shared" si="35"/>
        <v>0.68</v>
      </c>
    </row>
    <row r="1149" spans="1:29" ht="30">
      <c r="A1149" s="8" t="s">
        <v>2310</v>
      </c>
      <c r="B1149" s="17" t="s">
        <v>7760</v>
      </c>
      <c r="C1149" s="13">
        <v>43875</v>
      </c>
      <c r="D1149" s="13" t="s">
        <v>8465</v>
      </c>
      <c r="E1149" s="10" t="s">
        <v>6107</v>
      </c>
      <c r="F1149" s="10" t="s">
        <v>5963</v>
      </c>
      <c r="H1149" s="2" t="s">
        <v>9833</v>
      </c>
      <c r="I1149" s="18">
        <v>1</v>
      </c>
      <c r="L1149" s="18">
        <v>1</v>
      </c>
      <c r="M1149" s="14" t="s">
        <v>8462</v>
      </c>
      <c r="N1149" s="13">
        <v>44257</v>
      </c>
      <c r="O1149" s="29">
        <v>9.99</v>
      </c>
      <c r="P1149" s="18" t="s">
        <v>14</v>
      </c>
      <c r="Q1149" s="18">
        <v>0</v>
      </c>
      <c r="U1149" s="22">
        <v>0.89</v>
      </c>
      <c r="V1149" s="22">
        <f>4.01/5</f>
        <v>0.80199999999999994</v>
      </c>
      <c r="X1149" s="3">
        <v>2</v>
      </c>
      <c r="Z1149" s="23">
        <v>2.5</v>
      </c>
      <c r="AB1149" s="18">
        <f t="shared" si="34"/>
        <v>2020</v>
      </c>
      <c r="AC1149" s="22">
        <f t="shared" si="35"/>
        <v>0.69733333333333336</v>
      </c>
    </row>
    <row r="1150" spans="1:29">
      <c r="A1150" s="8" t="s">
        <v>13225</v>
      </c>
      <c r="B1150" s="17" t="s">
        <v>7800</v>
      </c>
      <c r="C1150" s="13">
        <v>43875</v>
      </c>
      <c r="D1150" s="13" t="s">
        <v>8465</v>
      </c>
      <c r="E1150" s="10" t="s">
        <v>13226</v>
      </c>
      <c r="F1150" s="10" t="s">
        <v>13226</v>
      </c>
      <c r="H1150" s="2" t="s">
        <v>78</v>
      </c>
      <c r="L1150" s="18">
        <v>1</v>
      </c>
      <c r="P1150" s="18" t="s">
        <v>1107</v>
      </c>
      <c r="Q1150" s="18">
        <v>0</v>
      </c>
      <c r="V1150" s="22">
        <f>2.83/5</f>
        <v>0.56600000000000006</v>
      </c>
      <c r="W1150" s="14" t="s">
        <v>7777</v>
      </c>
      <c r="X1150" s="3">
        <v>2</v>
      </c>
      <c r="Z1150" s="23">
        <v>2</v>
      </c>
      <c r="AB1150" s="18">
        <f t="shared" si="34"/>
        <v>2020</v>
      </c>
      <c r="AC1150" s="22">
        <f t="shared" si="35"/>
        <v>0.48300000000000004</v>
      </c>
    </row>
    <row r="1151" spans="1:29" ht="25.5">
      <c r="A1151" s="8" t="s">
        <v>8349</v>
      </c>
      <c r="B1151" s="17" t="s">
        <v>7760</v>
      </c>
      <c r="C1151" s="13">
        <v>43872</v>
      </c>
      <c r="D1151" s="13" t="s">
        <v>8465</v>
      </c>
      <c r="E1151" s="10" t="s">
        <v>455</v>
      </c>
      <c r="F1151" s="10" t="s">
        <v>6137</v>
      </c>
      <c r="G1151" s="11" t="s">
        <v>5600</v>
      </c>
      <c r="H1151" s="2" t="s">
        <v>80</v>
      </c>
      <c r="L1151" s="18">
        <v>1</v>
      </c>
      <c r="M1151" s="14" t="s">
        <v>8462</v>
      </c>
      <c r="N1151" s="13">
        <v>43872</v>
      </c>
      <c r="O1151" s="29">
        <v>65.06</v>
      </c>
      <c r="P1151" s="18" t="s">
        <v>14</v>
      </c>
      <c r="Q1151" s="18">
        <v>0</v>
      </c>
      <c r="U1151" s="22">
        <v>0.83</v>
      </c>
      <c r="V1151" s="22">
        <f>4.22/5</f>
        <v>0.84399999999999997</v>
      </c>
      <c r="W1151" s="14" t="s">
        <v>9136</v>
      </c>
      <c r="X1151" s="3">
        <v>4</v>
      </c>
      <c r="Z1151" s="23">
        <f>17.5+22+39.5</f>
        <v>79</v>
      </c>
      <c r="AB1151" s="18">
        <f t="shared" si="34"/>
        <v>2020</v>
      </c>
      <c r="AC1151" s="22">
        <f t="shared" si="35"/>
        <v>0.82466666666666677</v>
      </c>
    </row>
    <row r="1152" spans="1:29">
      <c r="A1152" s="8" t="s">
        <v>15312</v>
      </c>
      <c r="B1152" s="17" t="s">
        <v>7800</v>
      </c>
      <c r="C1152" s="13">
        <v>43872</v>
      </c>
      <c r="D1152" s="13" t="s">
        <v>8465</v>
      </c>
      <c r="E1152" s="10" t="s">
        <v>15313</v>
      </c>
      <c r="F1152" s="10" t="s">
        <v>15313</v>
      </c>
      <c r="H1152" s="2" t="s">
        <v>78</v>
      </c>
      <c r="L1152" s="18">
        <v>1</v>
      </c>
      <c r="N1152" s="13">
        <v>45106</v>
      </c>
      <c r="O1152" s="29">
        <v>2.69</v>
      </c>
      <c r="P1152" s="18" t="s">
        <v>1107</v>
      </c>
      <c r="Q1152" s="18">
        <v>0</v>
      </c>
      <c r="W1152" s="14" t="s">
        <v>7777</v>
      </c>
      <c r="X1152" s="3">
        <v>2</v>
      </c>
      <c r="Z1152" s="23">
        <v>6.5</v>
      </c>
      <c r="AB1152" s="18">
        <f t="shared" si="34"/>
        <v>2020</v>
      </c>
      <c r="AC1152" s="22">
        <f t="shared" si="35"/>
        <v>0.4</v>
      </c>
    </row>
    <row r="1153" spans="1:29">
      <c r="A1153" s="8" t="s">
        <v>8980</v>
      </c>
      <c r="B1153" s="17" t="s">
        <v>7800</v>
      </c>
      <c r="C1153" s="13">
        <v>43867</v>
      </c>
      <c r="D1153" s="13" t="s">
        <v>8465</v>
      </c>
      <c r="E1153" s="10" t="s">
        <v>8982</v>
      </c>
      <c r="F1153" s="10" t="s">
        <v>8984</v>
      </c>
      <c r="H1153" s="2" t="s">
        <v>56</v>
      </c>
      <c r="L1153" s="18">
        <v>1</v>
      </c>
      <c r="N1153" s="13">
        <v>44013</v>
      </c>
      <c r="O1153" s="29">
        <v>0</v>
      </c>
      <c r="P1153" s="18" t="s">
        <v>1107</v>
      </c>
      <c r="Q1153" s="18">
        <v>0</v>
      </c>
      <c r="U1153" s="22">
        <v>0.78</v>
      </c>
      <c r="V1153" s="22">
        <f>2.94/5</f>
        <v>0.58799999999999997</v>
      </c>
      <c r="W1153" s="14" t="s">
        <v>7799</v>
      </c>
      <c r="X1153" s="3">
        <v>3</v>
      </c>
      <c r="Z1153" s="23">
        <v>7.5</v>
      </c>
      <c r="AB1153" s="18">
        <f t="shared" si="34"/>
        <v>2020</v>
      </c>
      <c r="AC1153" s="22">
        <f t="shared" si="35"/>
        <v>0.65600000000000003</v>
      </c>
    </row>
    <row r="1154" spans="1:29">
      <c r="A1154" s="8" t="s">
        <v>8780</v>
      </c>
      <c r="B1154" s="17" t="s">
        <v>7800</v>
      </c>
      <c r="C1154" s="13">
        <v>43867</v>
      </c>
      <c r="D1154" s="13" t="s">
        <v>8465</v>
      </c>
      <c r="E1154" s="10" t="s">
        <v>8781</v>
      </c>
      <c r="F1154" s="10" t="s">
        <v>8781</v>
      </c>
      <c r="H1154" s="2" t="s">
        <v>31</v>
      </c>
      <c r="L1154" s="18">
        <v>1</v>
      </c>
      <c r="N1154" s="13">
        <v>43987</v>
      </c>
      <c r="O1154" s="29">
        <v>0.62</v>
      </c>
      <c r="P1154" s="18" t="s">
        <v>1107</v>
      </c>
      <c r="Q1154" s="18">
        <v>0</v>
      </c>
      <c r="W1154" s="14" t="s">
        <v>8765</v>
      </c>
      <c r="X1154" s="3">
        <v>2</v>
      </c>
      <c r="Z1154" s="23">
        <v>3.5</v>
      </c>
      <c r="AB1154" s="18">
        <f t="shared" ref="AB1154:AB1217" si="36">IFERROR(YEAR(C1154), "Early Access")</f>
        <v>2020</v>
      </c>
      <c r="AC1154" s="22">
        <f t="shared" ref="AC1154:AC1217" si="37">AVERAGE(T1154, U1154, V1154, IF(ISBLANK(X1154), X1154, X1154/5))</f>
        <v>0.4</v>
      </c>
    </row>
    <row r="1155" spans="1:29" ht="30">
      <c r="A1155" s="8" t="s">
        <v>8827</v>
      </c>
      <c r="B1155" s="17" t="s">
        <v>7744</v>
      </c>
      <c r="C1155" s="13">
        <v>43865</v>
      </c>
      <c r="D1155" s="13" t="s">
        <v>8465</v>
      </c>
      <c r="E1155" s="10" t="s">
        <v>8828</v>
      </c>
      <c r="F1155" s="10" t="s">
        <v>7888</v>
      </c>
      <c r="G1155" s="11" t="s">
        <v>8829</v>
      </c>
      <c r="H1155" s="2" t="s">
        <v>75</v>
      </c>
      <c r="L1155" s="18">
        <v>1</v>
      </c>
      <c r="N1155" s="13">
        <v>43991</v>
      </c>
      <c r="O1155" s="29">
        <v>11.63</v>
      </c>
      <c r="P1155" s="18" t="s">
        <v>1107</v>
      </c>
      <c r="Q1155" s="18">
        <v>0</v>
      </c>
      <c r="U1155" s="22">
        <v>0.59</v>
      </c>
      <c r="V1155" s="22">
        <f>3.58/5</f>
        <v>0.71599999999999997</v>
      </c>
      <c r="X1155" s="3">
        <v>3</v>
      </c>
      <c r="Z1155" s="23">
        <v>19</v>
      </c>
      <c r="AB1155" s="18">
        <f t="shared" si="36"/>
        <v>2020</v>
      </c>
      <c r="AC1155" s="22">
        <f t="shared" si="37"/>
        <v>0.63533333333333342</v>
      </c>
    </row>
    <row r="1156" spans="1:29">
      <c r="A1156" s="8" t="s">
        <v>10129</v>
      </c>
      <c r="B1156" s="17" t="s">
        <v>7744</v>
      </c>
      <c r="C1156" s="13">
        <v>43865</v>
      </c>
      <c r="D1156" s="13" t="s">
        <v>8465</v>
      </c>
      <c r="E1156" s="10" t="s">
        <v>10130</v>
      </c>
      <c r="F1156" s="10" t="s">
        <v>10131</v>
      </c>
      <c r="H1156" s="2" t="s">
        <v>67</v>
      </c>
      <c r="L1156" s="18">
        <v>1</v>
      </c>
      <c r="N1156" s="13">
        <v>44306</v>
      </c>
      <c r="O1156" s="29">
        <v>1.07</v>
      </c>
      <c r="P1156" s="18" t="s">
        <v>1107</v>
      </c>
      <c r="Q1156" s="18">
        <v>0</v>
      </c>
      <c r="U1156" s="22">
        <v>0.79</v>
      </c>
      <c r="V1156" s="22">
        <f>3.5/5</f>
        <v>0.7</v>
      </c>
      <c r="X1156" s="3">
        <v>2</v>
      </c>
      <c r="Z1156" s="23">
        <f>58/60</f>
        <v>0.96666666666666667</v>
      </c>
      <c r="AB1156" s="18">
        <f t="shared" si="36"/>
        <v>2020</v>
      </c>
      <c r="AC1156" s="22">
        <f t="shared" si="37"/>
        <v>0.63</v>
      </c>
    </row>
    <row r="1157" spans="1:29">
      <c r="A1157" s="8" t="s">
        <v>8925</v>
      </c>
      <c r="B1157" s="17" t="s">
        <v>7800</v>
      </c>
      <c r="C1157" s="13">
        <v>43865</v>
      </c>
      <c r="D1157" s="13" t="s">
        <v>8465</v>
      </c>
      <c r="E1157" s="10" t="s">
        <v>3808</v>
      </c>
      <c r="F1157" s="10" t="s">
        <v>8926</v>
      </c>
      <c r="H1157" s="2" t="s">
        <v>78</v>
      </c>
      <c r="L1157" s="18">
        <v>1</v>
      </c>
      <c r="N1157" s="13">
        <v>44001</v>
      </c>
      <c r="O1157" s="29">
        <v>0</v>
      </c>
      <c r="P1157" s="18" t="s">
        <v>1107</v>
      </c>
      <c r="Q1157" s="18">
        <v>0</v>
      </c>
      <c r="V1157" s="22">
        <f>2.5/5</f>
        <v>0.5</v>
      </c>
      <c r="W1157" s="14" t="s">
        <v>7799</v>
      </c>
      <c r="X1157" s="3">
        <v>3</v>
      </c>
      <c r="Z1157" s="23">
        <v>7</v>
      </c>
      <c r="AB1157" s="18">
        <f t="shared" si="36"/>
        <v>2020</v>
      </c>
      <c r="AC1157" s="22">
        <f t="shared" si="37"/>
        <v>0.55000000000000004</v>
      </c>
    </row>
    <row r="1158" spans="1:29" ht="30">
      <c r="A1158" s="8" t="s">
        <v>9892</v>
      </c>
      <c r="B1158" s="17" t="s">
        <v>7760</v>
      </c>
      <c r="C1158" s="13">
        <v>43865</v>
      </c>
      <c r="D1158" s="13" t="s">
        <v>8465</v>
      </c>
      <c r="E1158" s="10" t="s">
        <v>3152</v>
      </c>
      <c r="F1158" s="10" t="s">
        <v>3152</v>
      </c>
      <c r="G1158" s="11" t="s">
        <v>5047</v>
      </c>
      <c r="H1158" s="2" t="s">
        <v>1050</v>
      </c>
      <c r="L1158" s="18">
        <v>1</v>
      </c>
      <c r="N1158" s="13">
        <v>44292</v>
      </c>
      <c r="O1158" s="29">
        <v>0</v>
      </c>
      <c r="P1158" s="18" t="s">
        <v>1107</v>
      </c>
      <c r="Q1158" s="18">
        <v>0</v>
      </c>
      <c r="U1158" s="22">
        <v>0.72</v>
      </c>
      <c r="V1158" s="22">
        <f>3.63/5</f>
        <v>0.72599999999999998</v>
      </c>
      <c r="W1158" s="14" t="s">
        <v>6072</v>
      </c>
      <c r="X1158" s="3">
        <v>2</v>
      </c>
      <c r="Z1158" s="23">
        <v>11.5</v>
      </c>
      <c r="AB1158" s="18">
        <f t="shared" si="36"/>
        <v>2020</v>
      </c>
      <c r="AC1158" s="22">
        <f t="shared" si="37"/>
        <v>0.6153333333333334</v>
      </c>
    </row>
    <row r="1159" spans="1:29" ht="45">
      <c r="A1159" s="8" t="s">
        <v>9950</v>
      </c>
      <c r="B1159" s="17" t="s">
        <v>7760</v>
      </c>
      <c r="C1159" s="12">
        <v>43863</v>
      </c>
      <c r="D1159" s="13" t="s">
        <v>8465</v>
      </c>
      <c r="E1159" s="10" t="s">
        <v>1134</v>
      </c>
      <c r="F1159" s="10" t="s">
        <v>9951</v>
      </c>
      <c r="H1159" s="2" t="s">
        <v>56</v>
      </c>
      <c r="L1159" s="18">
        <v>1</v>
      </c>
      <c r="M1159" s="14" t="s">
        <v>8462</v>
      </c>
      <c r="N1159" s="13">
        <v>44286</v>
      </c>
      <c r="O1159" s="29">
        <v>29.99</v>
      </c>
      <c r="P1159" s="18" t="s">
        <v>14</v>
      </c>
      <c r="Q1159" s="18">
        <v>0</v>
      </c>
      <c r="V1159" s="22">
        <f>4/5</f>
        <v>0.8</v>
      </c>
      <c r="W1159" s="14" t="s">
        <v>10144</v>
      </c>
      <c r="X1159" s="3">
        <v>2</v>
      </c>
      <c r="Z1159" s="23">
        <v>3</v>
      </c>
      <c r="AB1159" s="18">
        <f t="shared" si="36"/>
        <v>2020</v>
      </c>
      <c r="AC1159" s="22">
        <f t="shared" si="37"/>
        <v>0.60000000000000009</v>
      </c>
    </row>
    <row r="1160" spans="1:29">
      <c r="A1160" s="8" t="s">
        <v>10833</v>
      </c>
      <c r="B1160" s="17" t="s">
        <v>7800</v>
      </c>
      <c r="C1160" s="13">
        <v>43861</v>
      </c>
      <c r="D1160" s="13" t="s">
        <v>8465</v>
      </c>
      <c r="E1160" s="10" t="s">
        <v>10834</v>
      </c>
      <c r="F1160" s="10" t="s">
        <v>10835</v>
      </c>
      <c r="H1160" s="2" t="s">
        <v>78</v>
      </c>
      <c r="L1160" s="18">
        <v>1</v>
      </c>
      <c r="O1160" s="29">
        <v>0</v>
      </c>
      <c r="P1160" s="18" t="s">
        <v>1107</v>
      </c>
      <c r="Q1160" s="18">
        <v>0</v>
      </c>
      <c r="V1160" s="22">
        <f>3.5/5</f>
        <v>0.7</v>
      </c>
      <c r="W1160" s="14" t="s">
        <v>7799</v>
      </c>
      <c r="X1160" s="3">
        <v>2</v>
      </c>
      <c r="Z1160" s="23">
        <v>3</v>
      </c>
      <c r="AB1160" s="18">
        <f t="shared" si="36"/>
        <v>2020</v>
      </c>
      <c r="AC1160" s="22">
        <f t="shared" si="37"/>
        <v>0.55000000000000004</v>
      </c>
    </row>
    <row r="1161" spans="1:29">
      <c r="A1161" s="8" t="s">
        <v>9897</v>
      </c>
      <c r="B1161" s="17" t="s">
        <v>7800</v>
      </c>
      <c r="C1161" s="13">
        <v>43860</v>
      </c>
      <c r="D1161" s="13" t="s">
        <v>8465</v>
      </c>
      <c r="E1161" s="10" t="s">
        <v>4508</v>
      </c>
      <c r="F1161" s="10" t="s">
        <v>9898</v>
      </c>
      <c r="G1161" s="11" t="s">
        <v>5013</v>
      </c>
      <c r="H1161" s="2" t="s">
        <v>67</v>
      </c>
      <c r="L1161" s="18">
        <v>1</v>
      </c>
      <c r="N1161" s="13">
        <v>44292</v>
      </c>
      <c r="O1161" s="29">
        <v>0</v>
      </c>
      <c r="P1161" s="18" t="s">
        <v>1107</v>
      </c>
      <c r="Q1161" s="18">
        <v>0</v>
      </c>
      <c r="U1161" s="22">
        <v>0.69</v>
      </c>
      <c r="V1161" s="22">
        <f>3.81/5</f>
        <v>0.76200000000000001</v>
      </c>
      <c r="W1161" s="14" t="s">
        <v>7777</v>
      </c>
      <c r="X1161" s="3">
        <v>2</v>
      </c>
      <c r="Z1161" s="23">
        <v>5</v>
      </c>
      <c r="AB1161" s="18">
        <f t="shared" si="36"/>
        <v>2020</v>
      </c>
      <c r="AC1161" s="22">
        <f t="shared" si="37"/>
        <v>0.61733333333333329</v>
      </c>
    </row>
    <row r="1162" spans="1:29" ht="25.5">
      <c r="A1162" s="8" t="s">
        <v>9505</v>
      </c>
      <c r="B1162" s="17" t="s">
        <v>7800</v>
      </c>
      <c r="C1162" s="13">
        <v>43860</v>
      </c>
      <c r="D1162" s="13" t="s">
        <v>8465</v>
      </c>
      <c r="E1162" s="10" t="s">
        <v>3984</v>
      </c>
      <c r="F1162" s="10" t="s">
        <v>9506</v>
      </c>
      <c r="H1162" s="2" t="s">
        <v>67</v>
      </c>
      <c r="L1162" s="18">
        <v>1</v>
      </c>
      <c r="O1162" s="29">
        <v>0</v>
      </c>
      <c r="P1162" s="18" t="s">
        <v>1107</v>
      </c>
      <c r="Q1162" s="18">
        <v>0</v>
      </c>
      <c r="U1162" s="22">
        <v>0.71</v>
      </c>
      <c r="V1162" s="22">
        <f>3/5</f>
        <v>0.6</v>
      </c>
      <c r="W1162" s="14" t="s">
        <v>7777</v>
      </c>
      <c r="X1162" s="3">
        <v>2</v>
      </c>
      <c r="Z1162" s="23">
        <v>7.5</v>
      </c>
      <c r="AB1162" s="18">
        <f t="shared" si="36"/>
        <v>2020</v>
      </c>
      <c r="AC1162" s="22">
        <f t="shared" si="37"/>
        <v>0.56999999999999995</v>
      </c>
    </row>
    <row r="1163" spans="1:29" ht="30">
      <c r="A1163" s="8" t="s">
        <v>9920</v>
      </c>
      <c r="B1163" s="17" t="s">
        <v>7744</v>
      </c>
      <c r="C1163" s="13">
        <v>43859</v>
      </c>
      <c r="D1163" s="13" t="s">
        <v>8467</v>
      </c>
      <c r="E1163" s="10" t="s">
        <v>10083</v>
      </c>
      <c r="F1163" s="10" t="s">
        <v>10083</v>
      </c>
      <c r="H1163" s="2" t="s">
        <v>1057</v>
      </c>
      <c r="L1163" s="18">
        <v>1</v>
      </c>
      <c r="M1163" s="14" t="s">
        <v>8462</v>
      </c>
      <c r="N1163" s="13">
        <v>43947</v>
      </c>
      <c r="O1163" s="29">
        <v>35.99</v>
      </c>
      <c r="P1163" s="18" t="s">
        <v>14</v>
      </c>
      <c r="Q1163" s="18">
        <v>0</v>
      </c>
      <c r="U1163" s="22">
        <v>0.74</v>
      </c>
      <c r="V1163" s="22">
        <f>3.61/5</f>
        <v>0.72199999999999998</v>
      </c>
      <c r="W1163" s="14" t="s">
        <v>1740</v>
      </c>
      <c r="X1163" s="3">
        <v>3</v>
      </c>
      <c r="Z1163" s="23">
        <v>3.5</v>
      </c>
      <c r="AB1163" s="18">
        <f t="shared" si="36"/>
        <v>2020</v>
      </c>
      <c r="AC1163" s="22">
        <f t="shared" si="37"/>
        <v>0.68733333333333324</v>
      </c>
    </row>
    <row r="1164" spans="1:29">
      <c r="A1164" s="8" t="s">
        <v>15219</v>
      </c>
      <c r="B1164" s="17" t="s">
        <v>7800</v>
      </c>
      <c r="C1164" s="13">
        <v>43858</v>
      </c>
      <c r="D1164" s="13" t="s">
        <v>8465</v>
      </c>
      <c r="E1164" s="10" t="s">
        <v>1296</v>
      </c>
      <c r="F1164" s="10" t="s">
        <v>1296</v>
      </c>
      <c r="G1164" s="11" t="s">
        <v>6917</v>
      </c>
      <c r="H1164" s="2" t="s">
        <v>1143</v>
      </c>
      <c r="L1164" s="18">
        <v>1</v>
      </c>
      <c r="N1164" s="13">
        <v>45097</v>
      </c>
      <c r="O1164" s="29">
        <v>14.99</v>
      </c>
      <c r="P1164" s="18" t="s">
        <v>1107</v>
      </c>
      <c r="Q1164" s="18">
        <v>0</v>
      </c>
      <c r="U1164" s="22">
        <v>0.59</v>
      </c>
      <c r="V1164" s="22">
        <f>1.87/5</f>
        <v>0.374</v>
      </c>
      <c r="W1164" s="14" t="s">
        <v>7777</v>
      </c>
      <c r="X1164" s="3">
        <v>4</v>
      </c>
      <c r="Z1164" s="23">
        <v>27</v>
      </c>
      <c r="AB1164" s="18">
        <f t="shared" si="36"/>
        <v>2020</v>
      </c>
      <c r="AC1164" s="22">
        <f t="shared" si="37"/>
        <v>0.58799999999999997</v>
      </c>
    </row>
    <row r="1165" spans="1:29" ht="25.5">
      <c r="A1165" s="8" t="s">
        <v>9161</v>
      </c>
      <c r="B1165" s="17" t="s">
        <v>7800</v>
      </c>
      <c r="C1165" s="13">
        <v>43858</v>
      </c>
      <c r="D1165" s="13" t="s">
        <v>8465</v>
      </c>
      <c r="E1165" s="10" t="s">
        <v>1707</v>
      </c>
      <c r="F1165" s="10" t="s">
        <v>9162</v>
      </c>
      <c r="G1165" s="11" t="s">
        <v>9163</v>
      </c>
      <c r="H1165" s="2" t="s">
        <v>67</v>
      </c>
      <c r="L1165" s="18">
        <v>1</v>
      </c>
      <c r="N1165" s="13">
        <v>44050</v>
      </c>
      <c r="O1165" s="29">
        <v>0</v>
      </c>
      <c r="P1165" s="18" t="s">
        <v>1107</v>
      </c>
      <c r="Q1165" s="18">
        <v>0</v>
      </c>
      <c r="U1165" s="22">
        <v>0.77</v>
      </c>
      <c r="V1165" s="22">
        <f>3.44/5</f>
        <v>0.68799999999999994</v>
      </c>
      <c r="W1165" s="14" t="s">
        <v>7777</v>
      </c>
      <c r="X1165" s="3">
        <v>2</v>
      </c>
      <c r="Z1165" s="23">
        <v>8.5</v>
      </c>
      <c r="AB1165" s="18">
        <f t="shared" si="36"/>
        <v>2020</v>
      </c>
      <c r="AC1165" s="22">
        <f t="shared" si="37"/>
        <v>0.6193333333333334</v>
      </c>
    </row>
    <row r="1166" spans="1:29">
      <c r="A1166" s="8" t="s">
        <v>12195</v>
      </c>
      <c r="B1166" s="17" t="s">
        <v>7760</v>
      </c>
      <c r="C1166" s="13">
        <v>43853</v>
      </c>
      <c r="D1166" s="13" t="s">
        <v>9335</v>
      </c>
      <c r="E1166" s="10" t="s">
        <v>12476</v>
      </c>
      <c r="F1166" s="10" t="s">
        <v>12476</v>
      </c>
      <c r="H1166" s="2" t="s">
        <v>1518</v>
      </c>
      <c r="K1166" s="18">
        <v>2</v>
      </c>
      <c r="L1166" s="18">
        <v>1</v>
      </c>
      <c r="M1166" s="14" t="s">
        <v>8462</v>
      </c>
      <c r="N1166" s="13">
        <v>44759</v>
      </c>
      <c r="O1166" s="29">
        <v>34.99</v>
      </c>
      <c r="P1166" s="18" t="s">
        <v>14</v>
      </c>
      <c r="Q1166" s="18">
        <v>0</v>
      </c>
      <c r="V1166" s="22">
        <f>2/5</f>
        <v>0.4</v>
      </c>
      <c r="X1166" s="3">
        <v>3</v>
      </c>
      <c r="Z1166" s="23">
        <v>35</v>
      </c>
      <c r="AB1166" s="18">
        <f t="shared" si="36"/>
        <v>2020</v>
      </c>
      <c r="AC1166" s="22">
        <f t="shared" si="37"/>
        <v>0.5</v>
      </c>
    </row>
    <row r="1167" spans="1:29" ht="30">
      <c r="A1167" s="8" t="s">
        <v>14313</v>
      </c>
      <c r="B1167" s="17" t="s">
        <v>7800</v>
      </c>
      <c r="C1167" s="13">
        <v>43850</v>
      </c>
      <c r="D1167" s="13" t="s">
        <v>8465</v>
      </c>
      <c r="E1167" s="10" t="s">
        <v>14314</v>
      </c>
      <c r="F1167" s="10" t="s">
        <v>14314</v>
      </c>
      <c r="G1167" s="11" t="s">
        <v>3692</v>
      </c>
      <c r="H1167" s="2" t="s">
        <v>67</v>
      </c>
      <c r="I1167" s="18">
        <v>1</v>
      </c>
      <c r="L1167" s="18">
        <v>1</v>
      </c>
      <c r="N1167" s="13">
        <v>45033</v>
      </c>
      <c r="O1167" s="29">
        <v>0</v>
      </c>
      <c r="P1167" s="18" t="s">
        <v>1107</v>
      </c>
      <c r="Q1167" s="18">
        <v>0</v>
      </c>
      <c r="V1167" s="22">
        <f>3/5</f>
        <v>0.6</v>
      </c>
      <c r="W1167" s="14" t="s">
        <v>7777</v>
      </c>
      <c r="X1167" s="3">
        <v>2</v>
      </c>
      <c r="AB1167" s="18">
        <f t="shared" si="36"/>
        <v>2020</v>
      </c>
      <c r="AC1167" s="22">
        <f t="shared" si="37"/>
        <v>0.5</v>
      </c>
    </row>
    <row r="1168" spans="1:29" ht="25.5">
      <c r="A1168" s="8" t="s">
        <v>8318</v>
      </c>
      <c r="B1168" s="17" t="s">
        <v>7744</v>
      </c>
      <c r="C1168" s="13">
        <v>43847</v>
      </c>
      <c r="D1168" s="13" t="s">
        <v>8465</v>
      </c>
      <c r="E1168" s="10" t="s">
        <v>86</v>
      </c>
      <c r="F1168" s="10" t="s">
        <v>228</v>
      </c>
      <c r="G1168" s="11" t="s">
        <v>1171</v>
      </c>
      <c r="H1168" s="2" t="s">
        <v>149</v>
      </c>
      <c r="L1168" s="18">
        <v>1</v>
      </c>
      <c r="M1168" s="14" t="s">
        <v>8462</v>
      </c>
      <c r="N1168" s="13">
        <v>43847</v>
      </c>
      <c r="O1168" s="29">
        <v>65.09</v>
      </c>
      <c r="P1168" s="18" t="s">
        <v>14</v>
      </c>
      <c r="Q1168" s="18">
        <v>0</v>
      </c>
      <c r="U1168" s="22">
        <v>0.8</v>
      </c>
      <c r="V1168" s="22">
        <f>3.71/5</f>
        <v>0.74199999999999999</v>
      </c>
      <c r="X1168" s="3">
        <v>4</v>
      </c>
      <c r="Z1168" s="23">
        <v>38</v>
      </c>
      <c r="AB1168" s="18">
        <f t="shared" si="36"/>
        <v>2020</v>
      </c>
      <c r="AC1168" s="22">
        <f t="shared" si="37"/>
        <v>0.78066666666666673</v>
      </c>
    </row>
    <row r="1169" spans="1:29">
      <c r="A1169" s="8" t="s">
        <v>14142</v>
      </c>
      <c r="B1169" s="17" t="s">
        <v>7800</v>
      </c>
      <c r="C1169" s="13">
        <v>43847</v>
      </c>
      <c r="D1169" s="13" t="s">
        <v>8465</v>
      </c>
      <c r="E1169" s="10" t="s">
        <v>14143</v>
      </c>
      <c r="F1169" s="10" t="s">
        <v>14143</v>
      </c>
      <c r="H1169" s="2" t="s">
        <v>80</v>
      </c>
      <c r="L1169" s="18">
        <v>1</v>
      </c>
      <c r="O1169" s="29">
        <v>0</v>
      </c>
      <c r="P1169" s="18" t="s">
        <v>1107</v>
      </c>
      <c r="Q1169" s="18">
        <v>0</v>
      </c>
      <c r="V1169" s="22">
        <f>3.82/5</f>
        <v>0.76400000000000001</v>
      </c>
      <c r="W1169" s="14" t="s">
        <v>8765</v>
      </c>
      <c r="X1169" s="3">
        <v>3</v>
      </c>
      <c r="Z1169" s="23">
        <v>5</v>
      </c>
      <c r="AB1169" s="18">
        <f t="shared" si="36"/>
        <v>2020</v>
      </c>
      <c r="AC1169" s="22">
        <f t="shared" si="37"/>
        <v>0.68199999999999994</v>
      </c>
    </row>
    <row r="1170" spans="1:29" ht="30">
      <c r="A1170" s="8" t="s">
        <v>15018</v>
      </c>
      <c r="B1170" s="17" t="s">
        <v>7766</v>
      </c>
      <c r="C1170" s="13">
        <v>43847</v>
      </c>
      <c r="D1170" s="13" t="s">
        <v>8465</v>
      </c>
      <c r="E1170" s="10" t="s">
        <v>1604</v>
      </c>
      <c r="F1170" s="10" t="s">
        <v>2314</v>
      </c>
      <c r="G1170" s="11" t="s">
        <v>11042</v>
      </c>
      <c r="H1170" s="2" t="s">
        <v>171</v>
      </c>
      <c r="L1170" s="18">
        <v>1</v>
      </c>
      <c r="M1170" s="14" t="s">
        <v>8462</v>
      </c>
      <c r="N1170" s="13">
        <v>44564</v>
      </c>
      <c r="O1170" s="29">
        <v>16.38</v>
      </c>
      <c r="P1170" s="18" t="s">
        <v>14</v>
      </c>
      <c r="Q1170" s="18">
        <v>0</v>
      </c>
      <c r="U1170" s="22">
        <v>0.73</v>
      </c>
      <c r="V1170" s="22">
        <f>3.85/5</f>
        <v>0.77</v>
      </c>
      <c r="X1170" s="3">
        <v>3</v>
      </c>
      <c r="Z1170" s="23">
        <v>30</v>
      </c>
      <c r="AB1170" s="18">
        <f t="shared" si="36"/>
        <v>2020</v>
      </c>
      <c r="AC1170" s="22">
        <f t="shared" si="37"/>
        <v>0.70000000000000007</v>
      </c>
    </row>
    <row r="1171" spans="1:29">
      <c r="A1171" s="8" t="s">
        <v>12177</v>
      </c>
      <c r="B1171" s="17" t="s">
        <v>7800</v>
      </c>
      <c r="C1171" s="13">
        <v>43846</v>
      </c>
      <c r="D1171" s="13" t="s">
        <v>8465</v>
      </c>
      <c r="E1171" s="10" t="s">
        <v>2298</v>
      </c>
      <c r="F1171" s="10" t="s">
        <v>1085</v>
      </c>
      <c r="G1171" s="11" t="s">
        <v>11084</v>
      </c>
      <c r="H1171" s="2" t="s">
        <v>1168</v>
      </c>
      <c r="L1171" s="18">
        <v>1</v>
      </c>
      <c r="N1171" s="13">
        <v>44758</v>
      </c>
      <c r="O1171" s="29">
        <v>15.59</v>
      </c>
      <c r="P1171" s="18" t="s">
        <v>1107</v>
      </c>
      <c r="Q1171" s="18">
        <v>0</v>
      </c>
      <c r="V1171" s="22">
        <f>2.78/5</f>
        <v>0.55599999999999994</v>
      </c>
      <c r="W1171" s="14" t="s">
        <v>7777</v>
      </c>
      <c r="X1171" s="3">
        <v>2</v>
      </c>
      <c r="Z1171" s="23">
        <v>11</v>
      </c>
      <c r="AB1171" s="18">
        <f t="shared" si="36"/>
        <v>2020</v>
      </c>
      <c r="AC1171" s="22">
        <f t="shared" si="37"/>
        <v>0.47799999999999998</v>
      </c>
    </row>
    <row r="1172" spans="1:29">
      <c r="A1172" s="8" t="s">
        <v>8532</v>
      </c>
      <c r="B1172" s="17" t="s">
        <v>7800</v>
      </c>
      <c r="C1172" s="13">
        <v>43845</v>
      </c>
      <c r="D1172" s="13" t="s">
        <v>8465</v>
      </c>
      <c r="E1172" s="10" t="s">
        <v>3047</v>
      </c>
      <c r="F1172" s="10" t="s">
        <v>8533</v>
      </c>
      <c r="H1172" s="2" t="s">
        <v>3191</v>
      </c>
      <c r="L1172" s="18">
        <v>1</v>
      </c>
      <c r="N1172" s="13">
        <v>43922</v>
      </c>
      <c r="O1172" s="29">
        <v>0</v>
      </c>
      <c r="P1172" s="18" t="s">
        <v>1107</v>
      </c>
      <c r="Q1172" s="18">
        <v>0</v>
      </c>
      <c r="U1172" s="22">
        <v>0.73</v>
      </c>
      <c r="V1172" s="22">
        <f>3.89/5</f>
        <v>0.77800000000000002</v>
      </c>
      <c r="W1172" s="14" t="s">
        <v>7777</v>
      </c>
      <c r="X1172" s="3">
        <v>2</v>
      </c>
      <c r="Z1172" s="23">
        <v>4</v>
      </c>
      <c r="AB1172" s="18">
        <f t="shared" si="36"/>
        <v>2020</v>
      </c>
      <c r="AC1172" s="22">
        <f t="shared" si="37"/>
        <v>0.63600000000000001</v>
      </c>
    </row>
    <row r="1173" spans="1:29">
      <c r="A1173" s="8" t="s">
        <v>12139</v>
      </c>
      <c r="B1173" s="17" t="s">
        <v>7800</v>
      </c>
      <c r="C1173" s="13">
        <v>43839</v>
      </c>
      <c r="D1173" s="13" t="s">
        <v>8465</v>
      </c>
      <c r="E1173" s="10" t="s">
        <v>12140</v>
      </c>
      <c r="F1173" s="10" t="s">
        <v>4884</v>
      </c>
      <c r="G1173" s="11" t="s">
        <v>4884</v>
      </c>
      <c r="H1173" s="2" t="s">
        <v>67</v>
      </c>
      <c r="L1173" s="18">
        <v>1</v>
      </c>
      <c r="O1173" s="29">
        <v>0</v>
      </c>
      <c r="P1173" s="18" t="s">
        <v>1107</v>
      </c>
      <c r="Q1173" s="18">
        <v>0</v>
      </c>
      <c r="U1173" s="22">
        <v>0.77</v>
      </c>
      <c r="V1173" s="22">
        <f>3.84/5</f>
        <v>0.76800000000000002</v>
      </c>
      <c r="W1173" s="14" t="s">
        <v>8765</v>
      </c>
      <c r="X1173" s="3">
        <v>2</v>
      </c>
      <c r="Z1173" s="23">
        <v>2</v>
      </c>
      <c r="AB1173" s="18">
        <f t="shared" si="36"/>
        <v>2020</v>
      </c>
      <c r="AC1173" s="22">
        <f t="shared" si="37"/>
        <v>0.64600000000000002</v>
      </c>
    </row>
    <row r="1174" spans="1:29">
      <c r="A1174" s="8" t="s">
        <v>15828</v>
      </c>
      <c r="B1174" s="17" t="s">
        <v>7800</v>
      </c>
      <c r="C1174" s="13">
        <v>43839</v>
      </c>
      <c r="D1174" s="13" t="s">
        <v>8465</v>
      </c>
      <c r="E1174" s="10" t="s">
        <v>12563</v>
      </c>
      <c r="F1174" s="10" t="s">
        <v>15829</v>
      </c>
      <c r="H1174" s="2" t="s">
        <v>67</v>
      </c>
      <c r="L1174" s="18">
        <v>1</v>
      </c>
      <c r="N1174" s="13">
        <v>45185</v>
      </c>
      <c r="O1174" s="29">
        <v>0</v>
      </c>
      <c r="P1174" s="18" t="s">
        <v>1107</v>
      </c>
      <c r="Q1174" s="18">
        <v>0</v>
      </c>
      <c r="U1174" s="22">
        <v>0.84</v>
      </c>
      <c r="W1174" s="14" t="s">
        <v>7777</v>
      </c>
      <c r="X1174" s="3">
        <v>3</v>
      </c>
      <c r="Z1174" s="23">
        <v>3.5</v>
      </c>
      <c r="AB1174" s="18">
        <f t="shared" si="36"/>
        <v>2020</v>
      </c>
      <c r="AC1174" s="22">
        <f t="shared" si="37"/>
        <v>0.72</v>
      </c>
    </row>
    <row r="1175" spans="1:29" ht="38.25">
      <c r="A1175" s="8" t="s">
        <v>12443</v>
      </c>
      <c r="B1175" s="17" t="s">
        <v>7744</v>
      </c>
      <c r="C1175" s="13">
        <v>43833</v>
      </c>
      <c r="D1175" s="13" t="s">
        <v>8467</v>
      </c>
      <c r="E1175" s="10" t="s">
        <v>86</v>
      </c>
      <c r="F1175" s="10" t="s">
        <v>86</v>
      </c>
      <c r="G1175" s="11" t="s">
        <v>2134</v>
      </c>
      <c r="H1175" s="2" t="s">
        <v>6467</v>
      </c>
      <c r="L1175" s="18">
        <v>1</v>
      </c>
      <c r="M1175" s="14" t="s">
        <v>8462</v>
      </c>
      <c r="N1175" s="13">
        <v>44810</v>
      </c>
      <c r="O1175" s="29">
        <v>38.99</v>
      </c>
      <c r="P1175" s="18" t="s">
        <v>14</v>
      </c>
      <c r="Q1175" s="18">
        <v>0</v>
      </c>
      <c r="U1175" s="22">
        <v>0.64</v>
      </c>
      <c r="V1175" s="22">
        <f>3.85/5</f>
        <v>0.77</v>
      </c>
      <c r="X1175" s="3">
        <v>2</v>
      </c>
      <c r="Z1175" s="23">
        <v>52.5</v>
      </c>
      <c r="AB1175" s="18">
        <f t="shared" si="36"/>
        <v>2020</v>
      </c>
      <c r="AC1175" s="22">
        <f t="shared" si="37"/>
        <v>0.60333333333333339</v>
      </c>
    </row>
    <row r="1176" spans="1:29" ht="25.5">
      <c r="A1176" s="8" t="s">
        <v>10413</v>
      </c>
      <c r="B1176" s="17" t="s">
        <v>7800</v>
      </c>
      <c r="C1176" s="13">
        <v>44176</v>
      </c>
      <c r="D1176" s="13" t="s">
        <v>8465</v>
      </c>
      <c r="E1176" s="10" t="s">
        <v>8573</v>
      </c>
      <c r="F1176" s="10" t="s">
        <v>8573</v>
      </c>
      <c r="H1176" s="2" t="s">
        <v>80</v>
      </c>
      <c r="L1176" s="18">
        <v>1</v>
      </c>
      <c r="N1176" s="13">
        <v>44875</v>
      </c>
      <c r="O1176" s="29">
        <v>0</v>
      </c>
      <c r="P1176" s="18" t="s">
        <v>1107</v>
      </c>
      <c r="Q1176" s="18">
        <v>1</v>
      </c>
      <c r="R1176" s="13">
        <v>45224</v>
      </c>
      <c r="S1176" s="21">
        <f>2+53/60</f>
        <v>2.8833333333333333</v>
      </c>
      <c r="T1176" s="22">
        <v>0.7</v>
      </c>
      <c r="U1176" s="22">
        <v>0.79</v>
      </c>
      <c r="V1176" s="22">
        <f>3.43/5</f>
        <v>0.68600000000000005</v>
      </c>
      <c r="W1176" s="14" t="s">
        <v>7777</v>
      </c>
      <c r="AB1176" s="18">
        <f t="shared" si="36"/>
        <v>2020</v>
      </c>
      <c r="AC1176" s="22">
        <f t="shared" si="37"/>
        <v>0.72533333333333339</v>
      </c>
    </row>
    <row r="1177" spans="1:29">
      <c r="A1177" s="8" t="s">
        <v>3535</v>
      </c>
      <c r="B1177" s="17" t="s">
        <v>7800</v>
      </c>
      <c r="C1177" s="13">
        <v>44175</v>
      </c>
      <c r="D1177" s="13" t="s">
        <v>8465</v>
      </c>
      <c r="E1177" s="10" t="s">
        <v>3536</v>
      </c>
      <c r="F1177" s="10" t="s">
        <v>3537</v>
      </c>
      <c r="G1177" s="11" t="s">
        <v>9511</v>
      </c>
      <c r="H1177" s="2" t="s">
        <v>1050</v>
      </c>
      <c r="L1177" s="18">
        <v>1</v>
      </c>
      <c r="N1177" s="13">
        <v>44175</v>
      </c>
      <c r="O1177" s="29">
        <v>59.99</v>
      </c>
      <c r="P1177" s="18" t="s">
        <v>1107</v>
      </c>
      <c r="Q1177" s="18">
        <v>1</v>
      </c>
      <c r="R1177" s="13">
        <v>44179</v>
      </c>
      <c r="S1177" s="21">
        <f>25+12/60</f>
        <v>25.2</v>
      </c>
      <c r="T1177" s="22">
        <v>0.9</v>
      </c>
      <c r="U1177" s="22">
        <v>0.89</v>
      </c>
      <c r="V1177" s="22">
        <f>3.59/5</f>
        <v>0.71799999999999997</v>
      </c>
      <c r="W1177" s="14" t="s">
        <v>7777</v>
      </c>
      <c r="AB1177" s="18">
        <f t="shared" si="36"/>
        <v>2020</v>
      </c>
      <c r="AC1177" s="22">
        <f t="shared" si="37"/>
        <v>0.83599999999999997</v>
      </c>
    </row>
    <row r="1178" spans="1:29">
      <c r="A1178" s="8" t="s">
        <v>9559</v>
      </c>
      <c r="B1178" s="17" t="s">
        <v>9440</v>
      </c>
      <c r="C1178" s="13">
        <v>44173</v>
      </c>
      <c r="D1178" s="13" t="s">
        <v>8465</v>
      </c>
      <c r="E1178" s="10" t="s">
        <v>3544</v>
      </c>
      <c r="F1178" s="10" t="s">
        <v>9560</v>
      </c>
      <c r="H1178" s="2" t="s">
        <v>67</v>
      </c>
      <c r="L1178" s="18">
        <v>0</v>
      </c>
      <c r="Q1178" s="18">
        <v>1</v>
      </c>
      <c r="R1178" s="13">
        <v>44200</v>
      </c>
      <c r="S1178" s="21">
        <f>4+51/60</f>
        <v>4.8499999999999996</v>
      </c>
      <c r="T1178" s="22">
        <v>0.7</v>
      </c>
      <c r="U1178" s="22">
        <v>0.77</v>
      </c>
      <c r="V1178" s="22">
        <f>3.5/5</f>
        <v>0.7</v>
      </c>
      <c r="W1178" s="14" t="s">
        <v>8280</v>
      </c>
      <c r="AB1178" s="18">
        <f t="shared" si="36"/>
        <v>2020</v>
      </c>
      <c r="AC1178" s="22">
        <f t="shared" si="37"/>
        <v>0.72333333333333327</v>
      </c>
    </row>
    <row r="1179" spans="1:29" ht="38.25">
      <c r="A1179" s="8" t="s">
        <v>9567</v>
      </c>
      <c r="B1179" s="17" t="s">
        <v>7800</v>
      </c>
      <c r="C1179" s="13">
        <v>44173</v>
      </c>
      <c r="D1179" s="13" t="s">
        <v>8465</v>
      </c>
      <c r="E1179" s="10" t="s">
        <v>2479</v>
      </c>
      <c r="F1179" s="10" t="s">
        <v>2479</v>
      </c>
      <c r="G1179" s="11" t="s">
        <v>2756</v>
      </c>
      <c r="H1179" s="2" t="s">
        <v>1220</v>
      </c>
      <c r="I1179" s="18">
        <v>1</v>
      </c>
      <c r="L1179" s="18">
        <v>0</v>
      </c>
      <c r="Q1179" s="18">
        <v>1</v>
      </c>
      <c r="R1179" s="13">
        <v>44203</v>
      </c>
      <c r="T1179" s="22">
        <v>0.4</v>
      </c>
      <c r="V1179" s="22">
        <f>2.5/5</f>
        <v>0.5</v>
      </c>
      <c r="W1179" s="14" t="s">
        <v>8596</v>
      </c>
      <c r="AB1179" s="18">
        <f t="shared" si="36"/>
        <v>2020</v>
      </c>
      <c r="AC1179" s="22">
        <f t="shared" si="37"/>
        <v>0.45</v>
      </c>
    </row>
    <row r="1180" spans="1:29">
      <c r="A1180" s="8" t="s">
        <v>9471</v>
      </c>
      <c r="B1180" s="17" t="s">
        <v>7800</v>
      </c>
      <c r="C1180" s="13">
        <v>44168</v>
      </c>
      <c r="D1180" s="13" t="s">
        <v>8465</v>
      </c>
      <c r="E1180" s="10" t="s">
        <v>3947</v>
      </c>
      <c r="F1180" s="10" t="s">
        <v>3947</v>
      </c>
      <c r="H1180" s="2" t="s">
        <v>80</v>
      </c>
      <c r="L1180" s="18">
        <v>1</v>
      </c>
      <c r="N1180" s="13">
        <v>44168</v>
      </c>
      <c r="O1180" s="29">
        <v>20.74</v>
      </c>
      <c r="P1180" s="18" t="s">
        <v>1107</v>
      </c>
      <c r="Q1180" s="18">
        <v>1</v>
      </c>
      <c r="R1180" s="13">
        <v>44188</v>
      </c>
      <c r="S1180" s="21">
        <f>6+54/60</f>
        <v>6.9</v>
      </c>
      <c r="T1180" s="22">
        <v>0.7</v>
      </c>
      <c r="U1180" s="22">
        <v>0.8</v>
      </c>
      <c r="V1180" s="22">
        <f>3.81/5</f>
        <v>0.76200000000000001</v>
      </c>
      <c r="W1180" s="14" t="s">
        <v>7777</v>
      </c>
      <c r="AB1180" s="18">
        <f t="shared" si="36"/>
        <v>2020</v>
      </c>
      <c r="AC1180" s="22">
        <f t="shared" si="37"/>
        <v>0.754</v>
      </c>
    </row>
    <row r="1181" spans="1:29">
      <c r="A1181" s="8" t="s">
        <v>9496</v>
      </c>
      <c r="B1181" s="17" t="s">
        <v>9431</v>
      </c>
      <c r="C1181" s="13">
        <v>44168</v>
      </c>
      <c r="D1181" s="13" t="s">
        <v>8465</v>
      </c>
      <c r="E1181" s="10" t="s">
        <v>1047</v>
      </c>
      <c r="F1181" s="10" t="s">
        <v>1538</v>
      </c>
      <c r="H1181" s="2" t="s">
        <v>80</v>
      </c>
      <c r="L1181" s="18">
        <v>1</v>
      </c>
      <c r="M1181" s="14" t="s">
        <v>8462</v>
      </c>
      <c r="N1181" s="13">
        <v>44168</v>
      </c>
      <c r="O1181" s="29">
        <v>54.18</v>
      </c>
      <c r="P1181" s="18" t="s">
        <v>14</v>
      </c>
      <c r="Q1181" s="18">
        <v>1</v>
      </c>
      <c r="R1181" s="13">
        <v>44184</v>
      </c>
      <c r="S1181" s="21">
        <f>14+10/60+18/3600</f>
        <v>14.171666666666667</v>
      </c>
      <c r="T1181" s="22">
        <v>0.7</v>
      </c>
      <c r="U1181" s="22">
        <v>0.76</v>
      </c>
      <c r="V1181" s="22">
        <f>3.83/5</f>
        <v>0.76600000000000001</v>
      </c>
      <c r="AB1181" s="18">
        <f t="shared" si="36"/>
        <v>2020</v>
      </c>
      <c r="AC1181" s="22">
        <f t="shared" si="37"/>
        <v>0.74199999999999999</v>
      </c>
    </row>
    <row r="1182" spans="1:29" ht="25.5">
      <c r="A1182" s="8" t="s">
        <v>9460</v>
      </c>
      <c r="B1182" s="17" t="s">
        <v>7744</v>
      </c>
      <c r="C1182" s="13">
        <v>44155</v>
      </c>
      <c r="D1182" s="13" t="s">
        <v>8465</v>
      </c>
      <c r="E1182" s="10" t="s">
        <v>86</v>
      </c>
      <c r="F1182" s="10" t="s">
        <v>1471</v>
      </c>
      <c r="G1182" s="11" t="s">
        <v>85</v>
      </c>
      <c r="H1182" s="2" t="s">
        <v>1059</v>
      </c>
      <c r="L1182" s="18">
        <v>1</v>
      </c>
      <c r="M1182" s="14" t="s">
        <v>8462</v>
      </c>
      <c r="N1182" s="13">
        <v>44084</v>
      </c>
      <c r="O1182" s="29">
        <v>64.97</v>
      </c>
      <c r="P1182" s="18" t="s">
        <v>14</v>
      </c>
      <c r="Q1182" s="18">
        <v>1</v>
      </c>
      <c r="R1182" s="13">
        <v>44178</v>
      </c>
      <c r="S1182" s="21">
        <f>14+26/60</f>
        <v>14.433333333333334</v>
      </c>
      <c r="T1182" s="22">
        <v>0.7</v>
      </c>
      <c r="U1182" s="22">
        <v>0.79</v>
      </c>
      <c r="V1182" s="22">
        <f>4.02/5</f>
        <v>0.80399999999999994</v>
      </c>
      <c r="AB1182" s="18">
        <f t="shared" si="36"/>
        <v>2020</v>
      </c>
      <c r="AC1182" s="22">
        <f t="shared" si="37"/>
        <v>0.76466666666666672</v>
      </c>
    </row>
    <row r="1183" spans="1:29" ht="30">
      <c r="A1183" s="8" t="s">
        <v>9715</v>
      </c>
      <c r="B1183" s="17" t="s">
        <v>7800</v>
      </c>
      <c r="C1183" s="13">
        <v>44154</v>
      </c>
      <c r="D1183" s="13" t="s">
        <v>8465</v>
      </c>
      <c r="E1183" s="10" t="s">
        <v>9716</v>
      </c>
      <c r="F1183" s="10" t="s">
        <v>9717</v>
      </c>
      <c r="H1183" s="2" t="s">
        <v>67</v>
      </c>
      <c r="L1183" s="18">
        <v>1</v>
      </c>
      <c r="N1183" s="13">
        <v>44220</v>
      </c>
      <c r="O1183" s="29">
        <v>0</v>
      </c>
      <c r="P1183" s="18" t="s">
        <v>1107</v>
      </c>
      <c r="Q1183" s="18">
        <v>1</v>
      </c>
      <c r="R1183" s="13">
        <v>44713</v>
      </c>
      <c r="S1183" s="21">
        <f>17/60</f>
        <v>0.28333333333333333</v>
      </c>
      <c r="T1183" s="22">
        <v>0.5</v>
      </c>
      <c r="V1183" s="22">
        <f>3.5/5</f>
        <v>0.7</v>
      </c>
      <c r="W1183" s="14" t="s">
        <v>7777</v>
      </c>
      <c r="AB1183" s="18">
        <f t="shared" si="36"/>
        <v>2020</v>
      </c>
      <c r="AC1183" s="22">
        <f t="shared" si="37"/>
        <v>0.6</v>
      </c>
    </row>
    <row r="1184" spans="1:29" ht="25.5">
      <c r="A1184" s="8" t="s">
        <v>9292</v>
      </c>
      <c r="B1184" s="17" t="s">
        <v>7800</v>
      </c>
      <c r="C1184" s="13">
        <v>44148</v>
      </c>
      <c r="D1184" s="13" t="s">
        <v>8465</v>
      </c>
      <c r="E1184" s="10" t="s">
        <v>1273</v>
      </c>
      <c r="F1184" s="10" t="s">
        <v>1508</v>
      </c>
      <c r="G1184" s="11" t="s">
        <v>3401</v>
      </c>
      <c r="H1184" s="2" t="s">
        <v>1050</v>
      </c>
      <c r="L1184" s="18">
        <v>1</v>
      </c>
      <c r="N1184" s="13">
        <v>44148</v>
      </c>
      <c r="O1184" s="29">
        <v>50.99</v>
      </c>
      <c r="P1184" s="18" t="s">
        <v>1107</v>
      </c>
      <c r="Q1184" s="18">
        <v>1</v>
      </c>
      <c r="R1184" s="13">
        <v>44152</v>
      </c>
      <c r="T1184" s="22">
        <v>0.7</v>
      </c>
      <c r="U1184" s="22">
        <v>0.76</v>
      </c>
      <c r="V1184" s="22">
        <f>3.1/5</f>
        <v>0.62</v>
      </c>
      <c r="W1184" s="14" t="s">
        <v>7797</v>
      </c>
      <c r="AB1184" s="18">
        <f t="shared" si="36"/>
        <v>2020</v>
      </c>
      <c r="AC1184" s="22">
        <f t="shared" si="37"/>
        <v>0.69333333333333336</v>
      </c>
    </row>
    <row r="1185" spans="1:29" ht="30">
      <c r="A1185" s="9" t="s">
        <v>5934</v>
      </c>
      <c r="B1185" s="17" t="s">
        <v>9431</v>
      </c>
      <c r="C1185" s="13">
        <v>44147</v>
      </c>
      <c r="D1185" s="13" t="s">
        <v>8465</v>
      </c>
      <c r="E1185" s="10" t="s">
        <v>6107</v>
      </c>
      <c r="F1185" s="10" t="s">
        <v>6158</v>
      </c>
      <c r="G1185" s="11" t="s">
        <v>3566</v>
      </c>
      <c r="H1185" s="2" t="s">
        <v>171</v>
      </c>
      <c r="L1185" s="18">
        <v>1</v>
      </c>
      <c r="M1185" s="14" t="s">
        <v>8462</v>
      </c>
      <c r="N1185" s="13">
        <v>44147</v>
      </c>
      <c r="O1185" s="29">
        <v>75.819999999999993</v>
      </c>
      <c r="P1185" s="18" t="s">
        <v>14</v>
      </c>
      <c r="Q1185" s="18">
        <v>1</v>
      </c>
      <c r="R1185" s="13">
        <v>44198</v>
      </c>
      <c r="S1185" s="21">
        <f>15+16/60+28/3600</f>
        <v>15.274444444444445</v>
      </c>
      <c r="T1185" s="22">
        <v>0.85</v>
      </c>
      <c r="U1185" s="22">
        <v>0.91</v>
      </c>
      <c r="V1185" s="22">
        <f>4.21/5</f>
        <v>0.84199999999999997</v>
      </c>
      <c r="AB1185" s="18">
        <f t="shared" si="36"/>
        <v>2020</v>
      </c>
      <c r="AC1185" s="22">
        <f t="shared" si="37"/>
        <v>0.86733333333333329</v>
      </c>
    </row>
    <row r="1186" spans="1:29" ht="30">
      <c r="A1186" s="8" t="s">
        <v>9435</v>
      </c>
      <c r="B1186" s="17" t="s">
        <v>9431</v>
      </c>
      <c r="C1186" s="13">
        <v>44147</v>
      </c>
      <c r="D1186" s="13" t="s">
        <v>8465</v>
      </c>
      <c r="E1186" s="10" t="s">
        <v>6107</v>
      </c>
      <c r="F1186" s="10" t="s">
        <v>3039</v>
      </c>
      <c r="G1186" s="11" t="s">
        <v>1264</v>
      </c>
      <c r="H1186" s="2" t="s">
        <v>80</v>
      </c>
      <c r="L1186" s="18">
        <v>1</v>
      </c>
      <c r="M1186" s="14" t="s">
        <v>8462</v>
      </c>
      <c r="N1186" s="13">
        <v>44147</v>
      </c>
      <c r="O1186" s="29">
        <v>49.88</v>
      </c>
      <c r="P1186" s="18" t="s">
        <v>14</v>
      </c>
      <c r="Q1186" s="18">
        <v>1</v>
      </c>
      <c r="R1186" s="13">
        <v>44161</v>
      </c>
      <c r="S1186" s="21">
        <v>4</v>
      </c>
      <c r="T1186" s="22">
        <v>0.85</v>
      </c>
      <c r="U1186" s="22">
        <v>0.85</v>
      </c>
      <c r="V1186" s="22">
        <f>4.07/5</f>
        <v>0.81400000000000006</v>
      </c>
      <c r="W1186" s="14" t="s">
        <v>8840</v>
      </c>
      <c r="AB1186" s="18">
        <f t="shared" si="36"/>
        <v>2020</v>
      </c>
      <c r="AC1186" s="22">
        <f t="shared" si="37"/>
        <v>0.83800000000000008</v>
      </c>
    </row>
    <row r="1187" spans="1:29" ht="30">
      <c r="A1187" s="8" t="s">
        <v>9430</v>
      </c>
      <c r="B1187" s="17" t="s">
        <v>9431</v>
      </c>
      <c r="C1187" s="13">
        <v>44147</v>
      </c>
      <c r="D1187" s="13" t="s">
        <v>8465</v>
      </c>
      <c r="E1187" s="10" t="s">
        <v>6107</v>
      </c>
      <c r="F1187" s="10" t="s">
        <v>9432</v>
      </c>
      <c r="G1187" s="11" t="s">
        <v>9433</v>
      </c>
      <c r="H1187" s="2" t="s">
        <v>1040</v>
      </c>
      <c r="L1187" s="18">
        <v>1</v>
      </c>
      <c r="N1187" s="13">
        <v>44147</v>
      </c>
      <c r="O1187" s="29">
        <v>0</v>
      </c>
      <c r="P1187" s="18" t="s">
        <v>1107</v>
      </c>
      <c r="Q1187" s="18">
        <v>1</v>
      </c>
      <c r="R1187" s="13">
        <v>44148</v>
      </c>
      <c r="S1187" s="21">
        <v>2</v>
      </c>
      <c r="T1187" s="22">
        <v>0.8</v>
      </c>
      <c r="U1187" s="22">
        <v>0.83</v>
      </c>
      <c r="V1187" s="22">
        <f>4.27/5</f>
        <v>0.85399999999999987</v>
      </c>
      <c r="AB1187" s="18">
        <f t="shared" si="36"/>
        <v>2020</v>
      </c>
      <c r="AC1187" s="22">
        <f t="shared" si="37"/>
        <v>0.82799999999999996</v>
      </c>
    </row>
    <row r="1188" spans="1:29" ht="30">
      <c r="A1188" s="8" t="s">
        <v>9436</v>
      </c>
      <c r="B1188" s="17" t="s">
        <v>9431</v>
      </c>
      <c r="C1188" s="13">
        <v>44147</v>
      </c>
      <c r="D1188" s="13" t="s">
        <v>8465</v>
      </c>
      <c r="E1188" s="10" t="s">
        <v>6107</v>
      </c>
      <c r="F1188" s="10" t="s">
        <v>1687</v>
      </c>
      <c r="G1188" s="11" t="s">
        <v>5962</v>
      </c>
      <c r="H1188" s="2" t="s">
        <v>1040</v>
      </c>
      <c r="L1188" s="18">
        <v>1</v>
      </c>
      <c r="M1188" s="14" t="s">
        <v>8462</v>
      </c>
      <c r="N1188" s="13">
        <v>44147</v>
      </c>
      <c r="O1188" s="29">
        <v>59.88</v>
      </c>
      <c r="P1188" s="18" t="s">
        <v>14</v>
      </c>
      <c r="Q1188" s="18">
        <v>1</v>
      </c>
      <c r="R1188" s="13">
        <v>44162</v>
      </c>
      <c r="S1188" s="21">
        <v>6</v>
      </c>
      <c r="T1188" s="22">
        <v>0.75</v>
      </c>
      <c r="U1188" s="22">
        <v>0.78</v>
      </c>
      <c r="V1188" s="22">
        <f>3.82/5</f>
        <v>0.76400000000000001</v>
      </c>
      <c r="AB1188" s="18">
        <f t="shared" si="36"/>
        <v>2020</v>
      </c>
      <c r="AC1188" s="22">
        <f t="shared" si="37"/>
        <v>0.76466666666666672</v>
      </c>
    </row>
    <row r="1189" spans="1:29">
      <c r="A1189" s="8" t="s">
        <v>9434</v>
      </c>
      <c r="B1189" s="17" t="s">
        <v>9431</v>
      </c>
      <c r="C1189" s="13">
        <v>44147</v>
      </c>
      <c r="D1189" s="13" t="s">
        <v>8465</v>
      </c>
      <c r="E1189" s="10" t="s">
        <v>4572</v>
      </c>
      <c r="F1189" s="10" t="s">
        <v>4572</v>
      </c>
      <c r="H1189" s="2" t="s">
        <v>80</v>
      </c>
      <c r="L1189" s="18">
        <v>1</v>
      </c>
      <c r="N1189" s="13">
        <v>44147</v>
      </c>
      <c r="O1189" s="29">
        <v>0</v>
      </c>
      <c r="P1189" s="18" t="s">
        <v>1107</v>
      </c>
      <c r="Q1189" s="18">
        <v>1</v>
      </c>
      <c r="R1189" s="13">
        <v>44602</v>
      </c>
      <c r="T1189" s="22">
        <v>0.75</v>
      </c>
      <c r="U1189" s="22">
        <v>0.74</v>
      </c>
      <c r="V1189" s="22">
        <f>3.51/5</f>
        <v>0.70199999999999996</v>
      </c>
      <c r="W1189" s="14" t="s">
        <v>6072</v>
      </c>
      <c r="AB1189" s="18">
        <f t="shared" si="36"/>
        <v>2020</v>
      </c>
      <c r="AC1189" s="22">
        <f t="shared" si="37"/>
        <v>0.73066666666666669</v>
      </c>
    </row>
    <row r="1190" spans="1:29">
      <c r="A1190" s="8" t="s">
        <v>9437</v>
      </c>
      <c r="B1190" s="17" t="s">
        <v>9431</v>
      </c>
      <c r="C1190" s="13">
        <v>44147</v>
      </c>
      <c r="D1190" s="13" t="s">
        <v>8465</v>
      </c>
      <c r="E1190" s="10" t="s">
        <v>9438</v>
      </c>
      <c r="F1190" s="10" t="s">
        <v>9439</v>
      </c>
      <c r="H1190" s="2" t="s">
        <v>171</v>
      </c>
      <c r="L1190" s="18">
        <v>1</v>
      </c>
      <c r="M1190" s="14" t="s">
        <v>8462</v>
      </c>
      <c r="N1190" s="13">
        <v>44147</v>
      </c>
      <c r="O1190" s="29">
        <v>75.94</v>
      </c>
      <c r="P1190" s="18" t="s">
        <v>14</v>
      </c>
      <c r="Q1190" s="18">
        <v>1</v>
      </c>
      <c r="R1190" s="13">
        <v>44166</v>
      </c>
      <c r="S1190" s="21">
        <v>7</v>
      </c>
      <c r="T1190" s="22">
        <v>0.6</v>
      </c>
      <c r="U1190" s="22">
        <v>0.63</v>
      </c>
      <c r="V1190" s="22">
        <f>2.85/5</f>
        <v>0.57000000000000006</v>
      </c>
      <c r="AB1190" s="18">
        <f t="shared" si="36"/>
        <v>2020</v>
      </c>
      <c r="AC1190" s="22">
        <f t="shared" si="37"/>
        <v>0.6</v>
      </c>
    </row>
    <row r="1191" spans="1:29" ht="25.5">
      <c r="A1191" s="8" t="s">
        <v>8628</v>
      </c>
      <c r="B1191" s="17" t="s">
        <v>9440</v>
      </c>
      <c r="C1191" s="13">
        <v>44145</v>
      </c>
      <c r="D1191" s="13" t="s">
        <v>8465</v>
      </c>
      <c r="E1191" s="10" t="s">
        <v>1047</v>
      </c>
      <c r="F1191" s="10" t="s">
        <v>1048</v>
      </c>
      <c r="G1191" s="11" t="s">
        <v>1563</v>
      </c>
      <c r="H1191" s="2" t="s">
        <v>171</v>
      </c>
      <c r="L1191" s="18">
        <v>1</v>
      </c>
      <c r="M1191" s="14" t="s">
        <v>8462</v>
      </c>
      <c r="N1191" s="13">
        <v>44145</v>
      </c>
      <c r="O1191" s="29">
        <v>54.18</v>
      </c>
      <c r="P1191" s="18" t="s">
        <v>14</v>
      </c>
      <c r="Q1191" s="18">
        <v>1</v>
      </c>
      <c r="R1191" s="13">
        <v>44158</v>
      </c>
      <c r="S1191" s="21">
        <f>45+35/60+33/3600</f>
        <v>45.592500000000001</v>
      </c>
      <c r="T1191" s="22">
        <v>0.8</v>
      </c>
      <c r="U1191" s="22">
        <v>0.85</v>
      </c>
      <c r="V1191" s="22">
        <f>3.74/5</f>
        <v>0.748</v>
      </c>
      <c r="AB1191" s="18">
        <f t="shared" si="36"/>
        <v>2020</v>
      </c>
      <c r="AC1191" s="22">
        <f t="shared" si="37"/>
        <v>0.79933333333333323</v>
      </c>
    </row>
    <row r="1192" spans="1:29" ht="25.5">
      <c r="A1192" s="8" t="s">
        <v>9429</v>
      </c>
      <c r="B1192" s="17" t="s">
        <v>7744</v>
      </c>
      <c r="C1192" s="13">
        <v>44145</v>
      </c>
      <c r="D1192" s="13" t="s">
        <v>8465</v>
      </c>
      <c r="E1192" s="10" t="s">
        <v>7422</v>
      </c>
      <c r="F1192" s="10" t="s">
        <v>3230</v>
      </c>
      <c r="H1192" s="2" t="s">
        <v>171</v>
      </c>
      <c r="L1192" s="18">
        <v>1</v>
      </c>
      <c r="M1192" s="14" t="s">
        <v>8462</v>
      </c>
      <c r="N1192" s="13">
        <v>44022</v>
      </c>
      <c r="O1192" s="29">
        <v>43.39</v>
      </c>
      <c r="P1192" s="18" t="s">
        <v>14</v>
      </c>
      <c r="Q1192" s="18">
        <v>1</v>
      </c>
      <c r="R1192" s="13">
        <v>44210</v>
      </c>
      <c r="S1192" s="21">
        <f>23+8/60</f>
        <v>23.133333333333333</v>
      </c>
      <c r="T1192" s="22">
        <v>0.75</v>
      </c>
      <c r="U1192" s="22">
        <v>0.81</v>
      </c>
      <c r="V1192" s="22">
        <f>3.97/5</f>
        <v>0.79400000000000004</v>
      </c>
      <c r="AB1192" s="18">
        <f t="shared" si="36"/>
        <v>2020</v>
      </c>
      <c r="AC1192" s="22">
        <f t="shared" si="37"/>
        <v>0.78466666666666673</v>
      </c>
    </row>
    <row r="1193" spans="1:29">
      <c r="A1193" s="8" t="s">
        <v>9410</v>
      </c>
      <c r="B1193" s="17" t="s">
        <v>9440</v>
      </c>
      <c r="C1193" s="13">
        <v>44145</v>
      </c>
      <c r="D1193" s="13" t="s">
        <v>8465</v>
      </c>
      <c r="E1193" s="10" t="s">
        <v>1047</v>
      </c>
      <c r="F1193" s="10" t="s">
        <v>1671</v>
      </c>
      <c r="G1193" s="11" t="s">
        <v>5546</v>
      </c>
      <c r="H1193" s="2" t="s">
        <v>1168</v>
      </c>
      <c r="L1193" s="18">
        <v>1</v>
      </c>
      <c r="M1193" s="14" t="s">
        <v>8462</v>
      </c>
      <c r="N1193" s="13">
        <v>44096</v>
      </c>
      <c r="O1193" s="29">
        <v>49.94</v>
      </c>
      <c r="P1193" s="18" t="s">
        <v>14</v>
      </c>
      <c r="Q1193" s="18">
        <v>1</v>
      </c>
      <c r="R1193" s="13">
        <v>44147</v>
      </c>
      <c r="S1193" s="21">
        <f>15+40/60</f>
        <v>15.666666666666666</v>
      </c>
      <c r="T1193" s="22">
        <v>0.75</v>
      </c>
      <c r="U1193" s="22">
        <v>0.74</v>
      </c>
      <c r="V1193" s="22">
        <f>3.79/5</f>
        <v>0.75800000000000001</v>
      </c>
      <c r="AB1193" s="18">
        <f t="shared" si="36"/>
        <v>2020</v>
      </c>
      <c r="AC1193" s="22">
        <f t="shared" si="37"/>
        <v>0.74933333333333341</v>
      </c>
    </row>
    <row r="1194" spans="1:29">
      <c r="A1194" s="8" t="s">
        <v>10352</v>
      </c>
      <c r="B1194" s="17" t="s">
        <v>7800</v>
      </c>
      <c r="C1194" s="13">
        <v>44139</v>
      </c>
      <c r="D1194" s="13" t="s">
        <v>8465</v>
      </c>
      <c r="E1194" s="10" t="s">
        <v>10353</v>
      </c>
      <c r="F1194" s="10" t="s">
        <v>10353</v>
      </c>
      <c r="H1194" s="2" t="s">
        <v>1061</v>
      </c>
      <c r="L1194" s="18">
        <v>1</v>
      </c>
      <c r="N1194" s="13">
        <v>44396</v>
      </c>
      <c r="O1194" s="29">
        <v>2.4900000000000002</v>
      </c>
      <c r="P1194" s="18" t="s">
        <v>1107</v>
      </c>
      <c r="Q1194" s="18">
        <v>1</v>
      </c>
      <c r="R1194" s="13">
        <v>45202</v>
      </c>
      <c r="S1194" s="21">
        <f>1+8/60</f>
        <v>1.1333333333333333</v>
      </c>
      <c r="T1194" s="22">
        <v>0.6</v>
      </c>
      <c r="W1194" s="14" t="s">
        <v>7777</v>
      </c>
      <c r="AB1194" s="18">
        <f t="shared" si="36"/>
        <v>2020</v>
      </c>
      <c r="AC1194" s="22">
        <f t="shared" si="37"/>
        <v>0.6</v>
      </c>
    </row>
    <row r="1195" spans="1:29">
      <c r="A1195" s="8" t="s">
        <v>11897</v>
      </c>
      <c r="B1195" s="17" t="s">
        <v>7800</v>
      </c>
      <c r="C1195" s="13">
        <v>44127</v>
      </c>
      <c r="D1195" s="13" t="s">
        <v>8465</v>
      </c>
      <c r="E1195" s="10" t="s">
        <v>1707</v>
      </c>
      <c r="F1195" s="10" t="s">
        <v>11898</v>
      </c>
      <c r="H1195" s="2" t="s">
        <v>1040</v>
      </c>
      <c r="L1195" s="18">
        <v>1</v>
      </c>
      <c r="N1195" s="13">
        <v>44719</v>
      </c>
      <c r="O1195" s="29">
        <v>0</v>
      </c>
      <c r="P1195" s="18" t="s">
        <v>1107</v>
      </c>
      <c r="Q1195" s="18">
        <v>1</v>
      </c>
      <c r="R1195" s="13">
        <v>45158</v>
      </c>
      <c r="S1195" s="21">
        <f>4+10/60</f>
        <v>4.166666666666667</v>
      </c>
      <c r="T1195" s="22">
        <v>0.5</v>
      </c>
      <c r="U1195" s="22">
        <v>0.71</v>
      </c>
      <c r="V1195" s="22">
        <f>2.94/5</f>
        <v>0.58799999999999997</v>
      </c>
      <c r="W1195" s="14" t="s">
        <v>7777</v>
      </c>
      <c r="AB1195" s="18">
        <f t="shared" si="36"/>
        <v>2020</v>
      </c>
      <c r="AC1195" s="22">
        <f t="shared" si="37"/>
        <v>0.59933333333333338</v>
      </c>
    </row>
    <row r="1196" spans="1:29" ht="38.25">
      <c r="A1196" s="8" t="s">
        <v>15493</v>
      </c>
      <c r="B1196" s="17" t="s">
        <v>7800</v>
      </c>
      <c r="C1196" s="13">
        <v>44124</v>
      </c>
      <c r="D1196" s="13" t="s">
        <v>8465</v>
      </c>
      <c r="E1196" s="10" t="s">
        <v>1690</v>
      </c>
      <c r="F1196" s="10" t="s">
        <v>1889</v>
      </c>
      <c r="G1196" s="11" t="s">
        <v>1890</v>
      </c>
      <c r="H1196" s="2" t="s">
        <v>1050</v>
      </c>
      <c r="J1196" s="18">
        <v>1</v>
      </c>
      <c r="L1196" s="18">
        <v>1</v>
      </c>
      <c r="N1196" s="13">
        <v>45145</v>
      </c>
      <c r="O1196" s="29">
        <v>9.89</v>
      </c>
      <c r="P1196" s="18" t="s">
        <v>1107</v>
      </c>
      <c r="Q1196" s="18">
        <v>1</v>
      </c>
      <c r="R1196" s="13">
        <v>45214</v>
      </c>
      <c r="S1196" s="21">
        <f>4+16/60</f>
        <v>4.2666666666666666</v>
      </c>
      <c r="T1196" s="22">
        <v>0.8</v>
      </c>
      <c r="U1196" s="22">
        <v>0.79</v>
      </c>
      <c r="V1196" s="22">
        <f>4.03/5</f>
        <v>0.80600000000000005</v>
      </c>
      <c r="W1196" s="14" t="s">
        <v>7777</v>
      </c>
      <c r="AB1196" s="18">
        <f t="shared" si="36"/>
        <v>2020</v>
      </c>
      <c r="AC1196" s="22">
        <f t="shared" si="37"/>
        <v>0.79866666666666664</v>
      </c>
    </row>
    <row r="1197" spans="1:29">
      <c r="A1197" s="8" t="s">
        <v>9298</v>
      </c>
      <c r="B1197" s="17" t="s">
        <v>7800</v>
      </c>
      <c r="C1197" s="13">
        <v>44124</v>
      </c>
      <c r="D1197" s="13" t="s">
        <v>8465</v>
      </c>
      <c r="E1197" s="10" t="s">
        <v>3171</v>
      </c>
      <c r="F1197" s="10" t="s">
        <v>3171</v>
      </c>
      <c r="G1197" s="11" t="s">
        <v>3173</v>
      </c>
      <c r="H1197" s="2" t="s">
        <v>1061</v>
      </c>
      <c r="L1197" s="18">
        <v>1</v>
      </c>
      <c r="N1197" s="13">
        <v>44124</v>
      </c>
      <c r="O1197" s="29">
        <v>26.99</v>
      </c>
      <c r="P1197" s="18" t="s">
        <v>1107</v>
      </c>
      <c r="Q1197" s="18">
        <v>1</v>
      </c>
      <c r="R1197" s="13">
        <v>44143</v>
      </c>
      <c r="S1197" s="21">
        <f>6+14/60</f>
        <v>6.2333333333333334</v>
      </c>
      <c r="T1197" s="22">
        <v>0.75</v>
      </c>
      <c r="U1197" s="22">
        <v>0.84</v>
      </c>
      <c r="V1197" s="22">
        <f>3.21/5</f>
        <v>0.64200000000000002</v>
      </c>
      <c r="W1197" s="14" t="s">
        <v>7777</v>
      </c>
      <c r="AB1197" s="18">
        <f t="shared" si="36"/>
        <v>2020</v>
      </c>
      <c r="AC1197" s="22">
        <f t="shared" si="37"/>
        <v>0.74399999999999988</v>
      </c>
    </row>
    <row r="1198" spans="1:29">
      <c r="A1198" s="8" t="s">
        <v>9388</v>
      </c>
      <c r="B1198" s="17" t="s">
        <v>7800</v>
      </c>
      <c r="C1198" s="13">
        <v>44121</v>
      </c>
      <c r="D1198" s="13" t="s">
        <v>8465</v>
      </c>
      <c r="E1198" s="10" t="s">
        <v>455</v>
      </c>
      <c r="F1198" s="10" t="s">
        <v>5232</v>
      </c>
      <c r="G1198" s="11" t="s">
        <v>5600</v>
      </c>
      <c r="H1198" s="2" t="s">
        <v>153</v>
      </c>
      <c r="L1198" s="18">
        <v>1</v>
      </c>
      <c r="N1198" s="13">
        <v>44121</v>
      </c>
      <c r="O1198" s="29">
        <v>0</v>
      </c>
      <c r="P1198" s="18" t="s">
        <v>1107</v>
      </c>
      <c r="Q1198" s="18">
        <v>1</v>
      </c>
      <c r="R1198" s="13">
        <v>44127</v>
      </c>
      <c r="S1198" s="21">
        <f>8/60</f>
        <v>0.13333333333333333</v>
      </c>
      <c r="T1198" s="22">
        <v>0.5</v>
      </c>
      <c r="V1198" s="22">
        <f>3.2/5</f>
        <v>0.64</v>
      </c>
      <c r="W1198" s="14" t="s">
        <v>7777</v>
      </c>
      <c r="AB1198" s="18">
        <f t="shared" si="36"/>
        <v>2020</v>
      </c>
      <c r="AC1198" s="22">
        <f t="shared" si="37"/>
        <v>0.57000000000000006</v>
      </c>
    </row>
    <row r="1199" spans="1:29">
      <c r="A1199" s="8" t="s">
        <v>10455</v>
      </c>
      <c r="B1199" s="17" t="s">
        <v>7783</v>
      </c>
      <c r="C1199" s="13">
        <v>44120</v>
      </c>
      <c r="D1199" s="13" t="s">
        <v>8465</v>
      </c>
      <c r="E1199" s="10" t="s">
        <v>10456</v>
      </c>
      <c r="F1199" s="10" t="s">
        <v>14595</v>
      </c>
      <c r="H1199" s="2" t="s">
        <v>67</v>
      </c>
      <c r="L1199" s="18">
        <v>0</v>
      </c>
      <c r="Q1199" s="18">
        <v>1</v>
      </c>
      <c r="R1199" s="13">
        <v>45047</v>
      </c>
      <c r="S1199" s="21">
        <f>1+13/60</f>
        <v>1.2166666666666668</v>
      </c>
      <c r="T1199" s="22">
        <v>0.2</v>
      </c>
      <c r="V1199" s="22">
        <f>3.5/5</f>
        <v>0.7</v>
      </c>
      <c r="W1199" s="14" t="s">
        <v>8572</v>
      </c>
      <c r="AB1199" s="18">
        <f t="shared" si="36"/>
        <v>2020</v>
      </c>
      <c r="AC1199" s="22">
        <f t="shared" si="37"/>
        <v>0.44999999999999996</v>
      </c>
    </row>
    <row r="1200" spans="1:29" ht="25.5">
      <c r="A1200" s="8" t="s">
        <v>9504</v>
      </c>
      <c r="B1200" s="17" t="s">
        <v>7800</v>
      </c>
      <c r="C1200" s="13">
        <v>44110</v>
      </c>
      <c r="D1200" s="13" t="s">
        <v>8465</v>
      </c>
      <c r="E1200" s="10" t="s">
        <v>4773</v>
      </c>
      <c r="F1200" s="10" t="s">
        <v>4773</v>
      </c>
      <c r="H1200" s="2" t="s">
        <v>3411</v>
      </c>
      <c r="L1200" s="18">
        <v>1</v>
      </c>
      <c r="N1200" s="13">
        <v>44174</v>
      </c>
      <c r="O1200" s="29">
        <v>9.59</v>
      </c>
      <c r="P1200" s="18" t="s">
        <v>1107</v>
      </c>
      <c r="Q1200" s="18">
        <v>1</v>
      </c>
      <c r="R1200" s="13">
        <v>44189</v>
      </c>
      <c r="S1200" s="21">
        <f>2+44/60</f>
        <v>2.7333333333333334</v>
      </c>
      <c r="T1200" s="22">
        <v>0.65</v>
      </c>
      <c r="U1200" s="22">
        <v>0.7</v>
      </c>
      <c r="V1200" s="22">
        <f>3/5</f>
        <v>0.6</v>
      </c>
      <c r="W1200" s="14" t="s">
        <v>7777</v>
      </c>
      <c r="AB1200" s="18">
        <f t="shared" si="36"/>
        <v>2020</v>
      </c>
      <c r="AC1200" s="22">
        <f t="shared" si="37"/>
        <v>0.65</v>
      </c>
    </row>
    <row r="1201" spans="1:29">
      <c r="A1201" s="8" t="s">
        <v>9339</v>
      </c>
      <c r="B1201" s="17" t="s">
        <v>7800</v>
      </c>
      <c r="C1201" s="13">
        <v>44106</v>
      </c>
      <c r="D1201" s="13" t="s">
        <v>8465</v>
      </c>
      <c r="E1201" s="10" t="s">
        <v>231</v>
      </c>
      <c r="F1201" s="10" t="s">
        <v>14628</v>
      </c>
      <c r="G1201" s="11" t="s">
        <v>1481</v>
      </c>
      <c r="H1201" s="2" t="s">
        <v>6563</v>
      </c>
      <c r="I1201" s="18">
        <v>1</v>
      </c>
      <c r="L1201" s="18">
        <v>1</v>
      </c>
      <c r="N1201" s="13">
        <v>44098</v>
      </c>
      <c r="O1201" s="29">
        <v>35.99</v>
      </c>
      <c r="P1201" s="18" t="s">
        <v>1107</v>
      </c>
      <c r="Q1201" s="18">
        <v>1</v>
      </c>
      <c r="R1201" s="13">
        <v>44185</v>
      </c>
      <c r="S1201" s="21">
        <v>8</v>
      </c>
      <c r="T1201" s="22">
        <v>0.8</v>
      </c>
      <c r="U1201" s="22">
        <v>0.8</v>
      </c>
      <c r="V1201" s="22">
        <f>3.52/5</f>
        <v>0.70399999999999996</v>
      </c>
      <c r="W1201" s="14" t="s">
        <v>7796</v>
      </c>
      <c r="AB1201" s="18">
        <f t="shared" si="36"/>
        <v>2020</v>
      </c>
      <c r="AC1201" s="22">
        <f t="shared" si="37"/>
        <v>0.76800000000000013</v>
      </c>
    </row>
    <row r="1202" spans="1:29" ht="25.5">
      <c r="A1202" s="8" t="s">
        <v>9340</v>
      </c>
      <c r="B1202" s="17" t="s">
        <v>7800</v>
      </c>
      <c r="C1202" s="13">
        <v>44099</v>
      </c>
      <c r="D1202" s="13" t="s">
        <v>8465</v>
      </c>
      <c r="E1202" s="10" t="s">
        <v>3310</v>
      </c>
      <c r="F1202" s="10" t="s">
        <v>4381</v>
      </c>
      <c r="G1202" s="11" t="s">
        <v>4379</v>
      </c>
      <c r="H1202" s="2" t="s">
        <v>1168</v>
      </c>
      <c r="L1202" s="18">
        <v>1</v>
      </c>
      <c r="N1202" s="13">
        <v>44098</v>
      </c>
      <c r="O1202" s="29">
        <v>29.99</v>
      </c>
      <c r="P1202" s="18" t="s">
        <v>1107</v>
      </c>
      <c r="Q1202" s="18">
        <v>1</v>
      </c>
      <c r="R1202" s="13">
        <v>44109</v>
      </c>
      <c r="S1202" s="21">
        <f>9+52/60+40/3600</f>
        <v>9.8777777777777782</v>
      </c>
      <c r="T1202" s="22">
        <v>0.7</v>
      </c>
      <c r="U1202" s="22">
        <v>0.78</v>
      </c>
      <c r="V1202" s="22">
        <f>3.78/5</f>
        <v>0.75600000000000001</v>
      </c>
      <c r="W1202" s="14" t="s">
        <v>7097</v>
      </c>
      <c r="AB1202" s="18">
        <f t="shared" si="36"/>
        <v>2020</v>
      </c>
      <c r="AC1202" s="22">
        <f t="shared" si="37"/>
        <v>0.74533333333333329</v>
      </c>
    </row>
    <row r="1203" spans="1:29">
      <c r="A1203" s="8" t="s">
        <v>8243</v>
      </c>
      <c r="B1203" s="17" t="s">
        <v>7800</v>
      </c>
      <c r="C1203" s="13">
        <v>44091</v>
      </c>
      <c r="D1203" s="13" t="s">
        <v>8465</v>
      </c>
      <c r="E1203" s="10" t="s">
        <v>3261</v>
      </c>
      <c r="F1203" s="10" t="s">
        <v>3261</v>
      </c>
      <c r="H1203" s="2" t="s">
        <v>1518</v>
      </c>
      <c r="L1203" s="18">
        <v>1</v>
      </c>
      <c r="N1203" s="13">
        <v>43818</v>
      </c>
      <c r="O1203" s="29">
        <v>9.99</v>
      </c>
      <c r="P1203" s="18" t="s">
        <v>1107</v>
      </c>
      <c r="Q1203" s="18">
        <v>1</v>
      </c>
      <c r="R1203" s="13">
        <v>44169</v>
      </c>
      <c r="S1203" s="21">
        <f>22+17/60+3/3600</f>
        <v>22.284166666666668</v>
      </c>
      <c r="T1203" s="22">
        <v>0.9</v>
      </c>
      <c r="U1203" s="22">
        <v>0.92</v>
      </c>
      <c r="V1203" s="22">
        <f>4.31/5</f>
        <v>0.86199999999999988</v>
      </c>
      <c r="W1203" s="14" t="s">
        <v>7097</v>
      </c>
      <c r="AB1203" s="18">
        <f t="shared" si="36"/>
        <v>2020</v>
      </c>
      <c r="AC1203" s="22">
        <f t="shared" si="37"/>
        <v>0.89400000000000002</v>
      </c>
    </row>
    <row r="1204" spans="1:29">
      <c r="A1204" s="8" t="s">
        <v>14146</v>
      </c>
      <c r="B1204" s="17" t="s">
        <v>7800</v>
      </c>
      <c r="C1204" s="13">
        <v>44091</v>
      </c>
      <c r="D1204" s="13" t="s">
        <v>8465</v>
      </c>
      <c r="E1204" s="10" t="s">
        <v>14147</v>
      </c>
      <c r="F1204" s="10" t="s">
        <v>14147</v>
      </c>
      <c r="H1204" s="2" t="s">
        <v>151</v>
      </c>
      <c r="L1204" s="18">
        <v>1</v>
      </c>
      <c r="O1204" s="29">
        <v>0</v>
      </c>
      <c r="P1204" s="18" t="s">
        <v>1107</v>
      </c>
      <c r="Q1204" s="18">
        <v>1</v>
      </c>
      <c r="R1204" s="13">
        <v>45108</v>
      </c>
      <c r="S1204" s="21">
        <f>33/60+9/3600</f>
        <v>0.55249999999999999</v>
      </c>
      <c r="T1204" s="22">
        <v>0.4</v>
      </c>
      <c r="W1204" s="14" t="s">
        <v>8765</v>
      </c>
      <c r="AB1204" s="18">
        <f t="shared" si="36"/>
        <v>2020</v>
      </c>
      <c r="AC1204" s="22">
        <f t="shared" si="37"/>
        <v>0.4</v>
      </c>
    </row>
    <row r="1205" spans="1:29">
      <c r="A1205" s="8" t="s">
        <v>10414</v>
      </c>
      <c r="B1205" s="17" t="s">
        <v>7783</v>
      </c>
      <c r="C1205" s="13">
        <v>44084</v>
      </c>
      <c r="D1205" s="13" t="s">
        <v>8465</v>
      </c>
      <c r="E1205" s="10" t="s">
        <v>10435</v>
      </c>
      <c r="F1205" s="10" t="s">
        <v>10435</v>
      </c>
      <c r="H1205" s="2" t="s">
        <v>78</v>
      </c>
      <c r="L1205" s="18">
        <v>0</v>
      </c>
      <c r="Q1205" s="18">
        <v>1</v>
      </c>
      <c r="R1205" s="13">
        <v>45113</v>
      </c>
      <c r="S1205" s="21">
        <f>5+6/60</f>
        <v>5.0999999999999996</v>
      </c>
      <c r="T1205" s="22">
        <v>0.7</v>
      </c>
      <c r="V1205" s="22">
        <f>3.5/5</f>
        <v>0.7</v>
      </c>
      <c r="W1205" s="14" t="s">
        <v>8572</v>
      </c>
      <c r="AB1205" s="18">
        <f t="shared" si="36"/>
        <v>2020</v>
      </c>
      <c r="AC1205" s="22">
        <f t="shared" si="37"/>
        <v>0.7</v>
      </c>
    </row>
    <row r="1206" spans="1:29">
      <c r="A1206" s="8" t="s">
        <v>9469</v>
      </c>
      <c r="B1206" s="17" t="s">
        <v>7744</v>
      </c>
      <c r="C1206" s="13">
        <v>44078</v>
      </c>
      <c r="D1206" s="13" t="s">
        <v>8465</v>
      </c>
      <c r="E1206" s="10" t="s">
        <v>4063</v>
      </c>
      <c r="F1206" s="10" t="s">
        <v>9470</v>
      </c>
      <c r="H1206" s="2" t="s">
        <v>67</v>
      </c>
      <c r="L1206" s="18">
        <v>1</v>
      </c>
      <c r="N1206" s="13">
        <v>44164</v>
      </c>
      <c r="O1206" s="29">
        <v>14.91</v>
      </c>
      <c r="P1206" s="18" t="s">
        <v>1107</v>
      </c>
      <c r="Q1206" s="18">
        <v>1</v>
      </c>
      <c r="R1206" s="13">
        <v>44181</v>
      </c>
      <c r="T1206" s="22">
        <v>0.9</v>
      </c>
      <c r="U1206" s="22">
        <v>0.81</v>
      </c>
      <c r="V1206" s="22">
        <f>3.96/5</f>
        <v>0.79200000000000004</v>
      </c>
      <c r="AB1206" s="18">
        <f t="shared" si="36"/>
        <v>2020</v>
      </c>
      <c r="AC1206" s="22">
        <f t="shared" si="37"/>
        <v>0.83399999999999996</v>
      </c>
    </row>
    <row r="1207" spans="1:29">
      <c r="A1207" s="8" t="s">
        <v>9258</v>
      </c>
      <c r="B1207" s="17" t="s">
        <v>7760</v>
      </c>
      <c r="C1207" s="13">
        <v>44078</v>
      </c>
      <c r="D1207" s="13" t="s">
        <v>8465</v>
      </c>
      <c r="E1207" s="10" t="s">
        <v>1082</v>
      </c>
      <c r="F1207" s="10" t="s">
        <v>1198</v>
      </c>
      <c r="G1207" s="11" t="s">
        <v>9258</v>
      </c>
      <c r="H1207" s="2" t="s">
        <v>80</v>
      </c>
      <c r="L1207" s="18">
        <v>1</v>
      </c>
      <c r="M1207" s="14" t="s">
        <v>8462</v>
      </c>
      <c r="N1207" s="13">
        <v>44078</v>
      </c>
      <c r="O1207" s="29">
        <v>65.09</v>
      </c>
      <c r="P1207" s="18" t="s">
        <v>14</v>
      </c>
      <c r="Q1207" s="18">
        <v>1</v>
      </c>
      <c r="R1207" s="13">
        <v>45030</v>
      </c>
      <c r="S1207" s="21">
        <v>9</v>
      </c>
      <c r="T1207" s="22">
        <v>0.6</v>
      </c>
      <c r="U1207" s="22">
        <v>0.73</v>
      </c>
      <c r="V1207" s="22">
        <f>2.98/5</f>
        <v>0.59599999999999997</v>
      </c>
      <c r="AB1207" s="18">
        <f t="shared" si="36"/>
        <v>2020</v>
      </c>
      <c r="AC1207" s="22">
        <f t="shared" si="37"/>
        <v>0.64200000000000002</v>
      </c>
    </row>
    <row r="1208" spans="1:29">
      <c r="A1208" s="8" t="s">
        <v>127</v>
      </c>
      <c r="B1208" s="17" t="s">
        <v>7766</v>
      </c>
      <c r="C1208" s="13">
        <v>44063</v>
      </c>
      <c r="D1208" s="13" t="s">
        <v>8465</v>
      </c>
      <c r="E1208" s="10" t="s">
        <v>6517</v>
      </c>
      <c r="F1208" s="10" t="s">
        <v>9566</v>
      </c>
      <c r="G1208" s="11" t="s">
        <v>127</v>
      </c>
      <c r="H1208" s="2" t="s">
        <v>153</v>
      </c>
      <c r="L1208" s="18">
        <v>0</v>
      </c>
      <c r="Q1208" s="18">
        <v>1</v>
      </c>
      <c r="R1208" s="13">
        <v>44203</v>
      </c>
      <c r="S1208" s="21">
        <f>3+5/60+30/3600</f>
        <v>3.0916666666666668</v>
      </c>
      <c r="T1208" s="22">
        <v>0.5</v>
      </c>
      <c r="U1208" s="22">
        <v>0.72</v>
      </c>
      <c r="V1208" s="22">
        <f>3.09/5</f>
        <v>0.61799999999999999</v>
      </c>
      <c r="W1208" s="14" t="s">
        <v>8280</v>
      </c>
      <c r="AB1208" s="18">
        <f t="shared" si="36"/>
        <v>2020</v>
      </c>
      <c r="AC1208" s="22">
        <f t="shared" si="37"/>
        <v>0.61266666666666669</v>
      </c>
    </row>
    <row r="1209" spans="1:29">
      <c r="A1209" s="8" t="s">
        <v>10426</v>
      </c>
      <c r="B1209" s="17" t="s">
        <v>7783</v>
      </c>
      <c r="C1209" s="13">
        <v>44057</v>
      </c>
      <c r="D1209" s="13" t="s">
        <v>8465</v>
      </c>
      <c r="E1209" s="10" t="s">
        <v>4636</v>
      </c>
      <c r="F1209" s="10" t="s">
        <v>4636</v>
      </c>
      <c r="H1209" s="2" t="s">
        <v>67</v>
      </c>
      <c r="L1209" s="18">
        <v>0</v>
      </c>
      <c r="Q1209" s="18">
        <v>1</v>
      </c>
      <c r="R1209" s="13">
        <v>45107</v>
      </c>
      <c r="S1209" s="21">
        <f>3+46/60</f>
        <v>3.7666666666666666</v>
      </c>
      <c r="T1209" s="22">
        <v>0.3</v>
      </c>
      <c r="W1209" s="14" t="s">
        <v>8572</v>
      </c>
      <c r="AB1209" s="18">
        <f t="shared" si="36"/>
        <v>2020</v>
      </c>
      <c r="AC1209" s="22">
        <f t="shared" si="37"/>
        <v>0.3</v>
      </c>
    </row>
    <row r="1210" spans="1:29">
      <c r="A1210" s="8" t="s">
        <v>9788</v>
      </c>
      <c r="B1210" s="17" t="s">
        <v>7800</v>
      </c>
      <c r="C1210" s="13">
        <v>44054</v>
      </c>
      <c r="D1210" s="13" t="s">
        <v>8465</v>
      </c>
      <c r="E1210" s="10" t="s">
        <v>9438</v>
      </c>
      <c r="F1210" s="10" t="s">
        <v>3600</v>
      </c>
      <c r="G1210" s="11" t="s">
        <v>4849</v>
      </c>
      <c r="H1210" s="2" t="s">
        <v>1518</v>
      </c>
      <c r="L1210" s="18">
        <v>1</v>
      </c>
      <c r="N1210" s="13">
        <v>44245</v>
      </c>
      <c r="O1210" s="29">
        <v>12.49</v>
      </c>
      <c r="P1210" s="18" t="s">
        <v>1107</v>
      </c>
      <c r="Q1210" s="18">
        <v>1</v>
      </c>
      <c r="R1210" s="13">
        <v>44289</v>
      </c>
      <c r="S1210" s="21">
        <f>18</f>
        <v>18</v>
      </c>
      <c r="T1210" s="22">
        <v>0.9</v>
      </c>
      <c r="U1210" s="22">
        <v>0.85</v>
      </c>
      <c r="V1210" s="22">
        <f>4.01/5</f>
        <v>0.80199999999999994</v>
      </c>
      <c r="W1210" s="14" t="s">
        <v>7777</v>
      </c>
      <c r="AB1210" s="18">
        <f t="shared" si="36"/>
        <v>2020</v>
      </c>
      <c r="AC1210" s="22">
        <f t="shared" si="37"/>
        <v>0.85066666666666668</v>
      </c>
    </row>
    <row r="1211" spans="1:29">
      <c r="A1211" s="8" t="s">
        <v>9119</v>
      </c>
      <c r="B1211" s="17" t="s">
        <v>7744</v>
      </c>
      <c r="C1211" s="13">
        <v>44043</v>
      </c>
      <c r="D1211" s="13" t="s">
        <v>8465</v>
      </c>
      <c r="E1211" s="10" t="s">
        <v>1565</v>
      </c>
      <c r="F1211" s="10" t="s">
        <v>1566</v>
      </c>
      <c r="G1211" s="11" t="s">
        <v>9119</v>
      </c>
      <c r="H1211" s="2" t="s">
        <v>149</v>
      </c>
      <c r="L1211" s="18">
        <v>1</v>
      </c>
      <c r="M1211" s="14" t="s">
        <v>8462</v>
      </c>
      <c r="N1211" s="13">
        <v>44043</v>
      </c>
      <c r="O1211" s="29">
        <v>65.09</v>
      </c>
      <c r="P1211" s="18" t="s">
        <v>14</v>
      </c>
      <c r="Q1211" s="18">
        <v>1</v>
      </c>
      <c r="R1211" s="13">
        <v>44115</v>
      </c>
      <c r="S1211" s="21">
        <f>13+45/60+14/3600</f>
        <v>13.753888888888889</v>
      </c>
      <c r="T1211" s="22">
        <v>0.3</v>
      </c>
      <c r="U1211" s="22">
        <v>0.69</v>
      </c>
      <c r="V1211" s="22">
        <f>3.76/5</f>
        <v>0.752</v>
      </c>
      <c r="AB1211" s="18">
        <f t="shared" si="36"/>
        <v>2020</v>
      </c>
      <c r="AC1211" s="22">
        <f t="shared" si="37"/>
        <v>0.58066666666666666</v>
      </c>
    </row>
    <row r="1212" spans="1:29" ht="30">
      <c r="A1212" s="8" t="s">
        <v>9095</v>
      </c>
      <c r="B1212" s="17" t="s">
        <v>7744</v>
      </c>
      <c r="C1212" s="13">
        <v>44035</v>
      </c>
      <c r="D1212" s="13" t="s">
        <v>8465</v>
      </c>
      <c r="E1212" s="10" t="s">
        <v>3063</v>
      </c>
      <c r="F1212" s="10" t="s">
        <v>9096</v>
      </c>
      <c r="H1212" s="2" t="s">
        <v>151</v>
      </c>
      <c r="L1212" s="18">
        <v>1</v>
      </c>
      <c r="M1212" s="14" t="s">
        <v>8462</v>
      </c>
      <c r="N1212" s="13">
        <v>44035</v>
      </c>
      <c r="O1212" s="29">
        <v>46.99</v>
      </c>
      <c r="P1212" s="18" t="s">
        <v>8461</v>
      </c>
      <c r="Q1212" s="18">
        <v>1</v>
      </c>
      <c r="R1212" s="13">
        <v>44056</v>
      </c>
      <c r="T1212" s="22">
        <v>0.7</v>
      </c>
      <c r="U1212" s="22">
        <v>0.76</v>
      </c>
      <c r="V1212" s="22">
        <f>3.89/5</f>
        <v>0.77800000000000002</v>
      </c>
      <c r="W1212" s="14" t="s">
        <v>8101</v>
      </c>
      <c r="AB1212" s="18">
        <f t="shared" si="36"/>
        <v>2020</v>
      </c>
      <c r="AC1212" s="22">
        <f t="shared" si="37"/>
        <v>0.746</v>
      </c>
    </row>
    <row r="1213" spans="1:29" ht="30">
      <c r="A1213" s="8" t="s">
        <v>9069</v>
      </c>
      <c r="B1213" s="17" t="s">
        <v>7760</v>
      </c>
      <c r="C1213" s="13">
        <v>44029</v>
      </c>
      <c r="D1213" s="13" t="s">
        <v>8465</v>
      </c>
      <c r="E1213" s="10" t="s">
        <v>6107</v>
      </c>
      <c r="F1213" s="10" t="s">
        <v>5954</v>
      </c>
      <c r="H1213" s="2" t="s">
        <v>80</v>
      </c>
      <c r="L1213" s="18">
        <v>1</v>
      </c>
      <c r="M1213" s="14" t="s">
        <v>8462</v>
      </c>
      <c r="N1213" s="13">
        <v>44029</v>
      </c>
      <c r="O1213" s="29">
        <v>59.97</v>
      </c>
      <c r="P1213" s="18" t="s">
        <v>14</v>
      </c>
      <c r="Q1213" s="18">
        <v>1</v>
      </c>
      <c r="R1213" s="13">
        <v>44072</v>
      </c>
      <c r="S1213" s="21">
        <v>16</v>
      </c>
      <c r="T1213" s="22">
        <v>0.8</v>
      </c>
      <c r="U1213" s="22">
        <v>0.83</v>
      </c>
      <c r="V1213" s="22">
        <f>4.27/5</f>
        <v>0.85399999999999987</v>
      </c>
      <c r="W1213" s="14" t="s">
        <v>8840</v>
      </c>
      <c r="AB1213" s="18">
        <f t="shared" si="36"/>
        <v>2020</v>
      </c>
      <c r="AC1213" s="22">
        <f t="shared" si="37"/>
        <v>0.82799999999999996</v>
      </c>
    </row>
    <row r="1214" spans="1:29" ht="25.5">
      <c r="A1214" s="8" t="s">
        <v>9037</v>
      </c>
      <c r="B1214" s="17" t="s">
        <v>7744</v>
      </c>
      <c r="C1214" s="13">
        <v>44029</v>
      </c>
      <c r="D1214" s="13" t="s">
        <v>8465</v>
      </c>
      <c r="E1214" s="10" t="s">
        <v>86</v>
      </c>
      <c r="F1214" s="10" t="s">
        <v>1069</v>
      </c>
      <c r="G1214" s="11" t="s">
        <v>880</v>
      </c>
      <c r="H1214" s="2" t="s">
        <v>149</v>
      </c>
      <c r="L1214" s="18">
        <v>1</v>
      </c>
      <c r="M1214" s="14" t="s">
        <v>8462</v>
      </c>
      <c r="N1214" s="13">
        <v>44029</v>
      </c>
      <c r="O1214" s="29">
        <v>65.06</v>
      </c>
      <c r="P1214" s="18" t="s">
        <v>14</v>
      </c>
      <c r="Q1214" s="18">
        <v>1</v>
      </c>
      <c r="R1214" s="13">
        <v>44171</v>
      </c>
      <c r="S1214" s="21">
        <v>20</v>
      </c>
      <c r="T1214" s="22">
        <v>0.7</v>
      </c>
      <c r="U1214" s="22">
        <v>0.81</v>
      </c>
      <c r="V1214" s="22">
        <f>3.69/5</f>
        <v>0.73799999999999999</v>
      </c>
      <c r="AB1214" s="18">
        <f t="shared" si="36"/>
        <v>2020</v>
      </c>
      <c r="AC1214" s="22">
        <f t="shared" si="37"/>
        <v>0.74933333333333341</v>
      </c>
    </row>
    <row r="1215" spans="1:29">
      <c r="A1215" s="8" t="s">
        <v>10410</v>
      </c>
      <c r="B1215" s="17" t="s">
        <v>7783</v>
      </c>
      <c r="C1215" s="13">
        <v>44029</v>
      </c>
      <c r="D1215" s="13" t="s">
        <v>8465</v>
      </c>
      <c r="E1215" s="10" t="s">
        <v>10411</v>
      </c>
      <c r="F1215" s="10" t="s">
        <v>10411</v>
      </c>
      <c r="H1215" s="2" t="s">
        <v>1057</v>
      </c>
      <c r="L1215" s="18">
        <v>0</v>
      </c>
      <c r="Q1215" s="18">
        <v>1</v>
      </c>
      <c r="R1215" s="13">
        <v>44418</v>
      </c>
      <c r="T1215" s="22">
        <v>0.3</v>
      </c>
      <c r="W1215" s="14" t="s">
        <v>8572</v>
      </c>
      <c r="AB1215" s="18">
        <f t="shared" si="36"/>
        <v>2020</v>
      </c>
      <c r="AC1215" s="22">
        <f t="shared" si="37"/>
        <v>0.3</v>
      </c>
    </row>
    <row r="1216" spans="1:29">
      <c r="A1216" s="8" t="s">
        <v>11346</v>
      </c>
      <c r="B1216" s="17" t="s">
        <v>7800</v>
      </c>
      <c r="C1216" s="13">
        <v>44028</v>
      </c>
      <c r="D1216" s="13" t="s">
        <v>8465</v>
      </c>
      <c r="E1216" s="10" t="s">
        <v>11353</v>
      </c>
      <c r="F1216" s="10" t="s">
        <v>11354</v>
      </c>
      <c r="H1216" s="2" t="s">
        <v>67</v>
      </c>
      <c r="L1216" s="18">
        <v>1</v>
      </c>
      <c r="N1216" s="13">
        <v>44627</v>
      </c>
      <c r="O1216" s="29">
        <v>0</v>
      </c>
      <c r="P1216" s="18" t="s">
        <v>1107</v>
      </c>
      <c r="Q1216" s="18">
        <v>1</v>
      </c>
      <c r="R1216" s="13">
        <v>44732</v>
      </c>
      <c r="S1216" s="21">
        <f>14/60+6/3600</f>
        <v>0.23500000000000001</v>
      </c>
      <c r="T1216" s="22">
        <v>0.65</v>
      </c>
      <c r="W1216" s="14" t="s">
        <v>8765</v>
      </c>
      <c r="AB1216" s="18">
        <f t="shared" si="36"/>
        <v>2020</v>
      </c>
      <c r="AC1216" s="22">
        <f t="shared" si="37"/>
        <v>0.65</v>
      </c>
    </row>
    <row r="1217" spans="1:29">
      <c r="A1217" s="8" t="s">
        <v>10417</v>
      </c>
      <c r="B1217" s="17" t="s">
        <v>7783</v>
      </c>
      <c r="C1217" s="13">
        <v>44022</v>
      </c>
      <c r="D1217" s="13" t="s">
        <v>8465</v>
      </c>
      <c r="E1217" s="10" t="s">
        <v>1625</v>
      </c>
      <c r="F1217" s="10" t="s">
        <v>1625</v>
      </c>
      <c r="H1217" s="2" t="s">
        <v>78</v>
      </c>
      <c r="L1217" s="18">
        <v>0</v>
      </c>
      <c r="Q1217" s="18">
        <v>1</v>
      </c>
      <c r="R1217" s="13">
        <v>44920</v>
      </c>
      <c r="T1217" s="22">
        <v>0.6</v>
      </c>
      <c r="V1217" s="22">
        <f>3.5/5</f>
        <v>0.7</v>
      </c>
      <c r="W1217" s="14" t="s">
        <v>8572</v>
      </c>
      <c r="AB1217" s="18">
        <f t="shared" si="36"/>
        <v>2020</v>
      </c>
      <c r="AC1217" s="22">
        <f t="shared" si="37"/>
        <v>0.64999999999999991</v>
      </c>
    </row>
    <row r="1218" spans="1:29" ht="25.5">
      <c r="A1218" s="8" t="s">
        <v>9455</v>
      </c>
      <c r="B1218" s="17" t="s">
        <v>8555</v>
      </c>
      <c r="C1218" s="13">
        <v>44013</v>
      </c>
      <c r="D1218" s="13" t="s">
        <v>8465</v>
      </c>
      <c r="E1218" s="10" t="s">
        <v>4566</v>
      </c>
      <c r="F1218" s="10" t="s">
        <v>4566</v>
      </c>
      <c r="G1218" s="11" t="s">
        <v>1727</v>
      </c>
      <c r="H1218" s="2" t="s">
        <v>151</v>
      </c>
      <c r="L1218" s="18">
        <v>1</v>
      </c>
      <c r="N1218" s="13">
        <v>44154</v>
      </c>
      <c r="O1218" s="29">
        <v>4.99</v>
      </c>
      <c r="P1218" s="18" t="s">
        <v>1107</v>
      </c>
      <c r="Q1218" s="18">
        <v>1</v>
      </c>
      <c r="R1218" s="13">
        <v>44878</v>
      </c>
      <c r="S1218" s="21">
        <f>16+7/60+45/3600</f>
        <v>16.129166666666666</v>
      </c>
      <c r="T1218" s="22">
        <v>0.7</v>
      </c>
      <c r="V1218" s="22">
        <f>4/5</f>
        <v>0.8</v>
      </c>
      <c r="AB1218" s="18">
        <f t="shared" ref="AB1218:AB1281" si="38">IFERROR(YEAR(C1218), "Early Access")</f>
        <v>2020</v>
      </c>
      <c r="AC1218" s="22">
        <f t="shared" ref="AC1218:AC1281" si="39">AVERAGE(T1218, U1218, V1218, IF(ISBLANK(X1218), X1218, X1218/5))</f>
        <v>0.75</v>
      </c>
    </row>
    <row r="1219" spans="1:29">
      <c r="A1219" s="8" t="s">
        <v>8988</v>
      </c>
      <c r="B1219" s="17" t="s">
        <v>7783</v>
      </c>
      <c r="C1219" s="13">
        <v>44008</v>
      </c>
      <c r="D1219" s="13" t="s">
        <v>8465</v>
      </c>
      <c r="E1219" s="10" t="s">
        <v>3372</v>
      </c>
      <c r="F1219" s="10" t="s">
        <v>3372</v>
      </c>
      <c r="G1219" s="11" t="s">
        <v>6919</v>
      </c>
      <c r="H1219" s="2" t="s">
        <v>67</v>
      </c>
      <c r="L1219" s="18">
        <v>0</v>
      </c>
      <c r="Q1219" s="18">
        <v>1</v>
      </c>
      <c r="R1219" s="13">
        <v>44017</v>
      </c>
      <c r="S1219" s="21">
        <f>7+45/60</f>
        <v>7.75</v>
      </c>
      <c r="T1219" s="22">
        <v>0.75</v>
      </c>
      <c r="W1219" s="14" t="s">
        <v>8572</v>
      </c>
      <c r="AB1219" s="18">
        <f t="shared" si="38"/>
        <v>2020</v>
      </c>
      <c r="AC1219" s="22">
        <f t="shared" si="39"/>
        <v>0.75</v>
      </c>
    </row>
    <row r="1220" spans="1:29" ht="51">
      <c r="A1220" s="8" t="s">
        <v>8651</v>
      </c>
      <c r="B1220" s="17" t="s">
        <v>7800</v>
      </c>
      <c r="C1220" s="13">
        <v>44005</v>
      </c>
      <c r="D1220" s="13" t="s">
        <v>8465</v>
      </c>
      <c r="E1220" s="10" t="s">
        <v>1583</v>
      </c>
      <c r="F1220" s="10" t="s">
        <v>8652</v>
      </c>
      <c r="G1220" s="11" t="s">
        <v>8653</v>
      </c>
      <c r="H1220" s="2" t="s">
        <v>1040</v>
      </c>
      <c r="L1220" s="18">
        <v>1</v>
      </c>
      <c r="N1220" s="13">
        <v>44005</v>
      </c>
      <c r="O1220" s="29">
        <v>23.21</v>
      </c>
      <c r="P1220" s="18" t="s">
        <v>1107</v>
      </c>
      <c r="Q1220" s="18">
        <v>1</v>
      </c>
      <c r="R1220" s="13">
        <v>44017</v>
      </c>
      <c r="S1220" s="21">
        <f>6+50/60</f>
        <v>6.833333333333333</v>
      </c>
      <c r="T1220" s="22">
        <v>0.6</v>
      </c>
      <c r="U1220" s="22">
        <v>0.68</v>
      </c>
      <c r="V1220" s="22">
        <f>3.57/5</f>
        <v>0.71399999999999997</v>
      </c>
      <c r="W1220" s="14" t="s">
        <v>7777</v>
      </c>
      <c r="AB1220" s="18">
        <f t="shared" si="38"/>
        <v>2020</v>
      </c>
      <c r="AC1220" s="22">
        <f t="shared" si="39"/>
        <v>0.66466666666666663</v>
      </c>
    </row>
    <row r="1221" spans="1:29" ht="30">
      <c r="A1221" s="8" t="s">
        <v>8927</v>
      </c>
      <c r="B1221" s="17" t="s">
        <v>7760</v>
      </c>
      <c r="C1221" s="13">
        <v>44001</v>
      </c>
      <c r="D1221" s="13" t="s">
        <v>8465</v>
      </c>
      <c r="E1221" s="10" t="s">
        <v>6107</v>
      </c>
      <c r="F1221" s="10" t="s">
        <v>2646</v>
      </c>
      <c r="G1221" s="11" t="s">
        <v>6064</v>
      </c>
      <c r="H1221" s="2" t="s">
        <v>80</v>
      </c>
      <c r="L1221" s="18">
        <v>1</v>
      </c>
      <c r="M1221" s="14" t="s">
        <v>8462</v>
      </c>
      <c r="N1221" s="13">
        <v>44001</v>
      </c>
      <c r="O1221" s="29">
        <v>64.97</v>
      </c>
      <c r="P1221" s="18" t="s">
        <v>14</v>
      </c>
      <c r="Q1221" s="18">
        <v>1</v>
      </c>
      <c r="R1221" s="13">
        <v>44007</v>
      </c>
      <c r="S1221" s="21">
        <f>20+33/60</f>
        <v>20.55</v>
      </c>
      <c r="T1221" s="22">
        <v>0.9</v>
      </c>
      <c r="U1221" s="22">
        <v>0.95</v>
      </c>
      <c r="V1221" s="22">
        <f>3.14/5</f>
        <v>0.628</v>
      </c>
      <c r="AB1221" s="18">
        <f t="shared" si="38"/>
        <v>2020</v>
      </c>
      <c r="AC1221" s="22">
        <f t="shared" si="39"/>
        <v>0.82600000000000007</v>
      </c>
    </row>
    <row r="1222" spans="1:29" ht="25.5">
      <c r="A1222" s="8" t="s">
        <v>8728</v>
      </c>
      <c r="B1222" s="17" t="s">
        <v>7744</v>
      </c>
      <c r="C1222" s="13">
        <v>43980</v>
      </c>
      <c r="D1222" s="13" t="s">
        <v>8465</v>
      </c>
      <c r="E1222" s="10" t="s">
        <v>86</v>
      </c>
      <c r="F1222" s="10" t="s">
        <v>1145</v>
      </c>
      <c r="G1222" s="11" t="s">
        <v>1146</v>
      </c>
      <c r="H1222" s="2" t="s">
        <v>171</v>
      </c>
      <c r="L1222" s="18">
        <v>1</v>
      </c>
      <c r="M1222" s="14" t="s">
        <v>8462</v>
      </c>
      <c r="N1222" s="13">
        <v>43980</v>
      </c>
      <c r="O1222" s="29">
        <v>54.18</v>
      </c>
      <c r="P1222" s="18" t="s">
        <v>14</v>
      </c>
      <c r="Q1222" s="18">
        <v>1</v>
      </c>
      <c r="R1222" s="13">
        <v>44003</v>
      </c>
      <c r="S1222" s="21">
        <f>50+16/60</f>
        <v>50.266666666666666</v>
      </c>
      <c r="T1222" s="22">
        <v>0.9</v>
      </c>
      <c r="U1222" s="22">
        <v>0.89</v>
      </c>
      <c r="V1222" s="22">
        <f>4.31/5</f>
        <v>0.86199999999999988</v>
      </c>
      <c r="AB1222" s="18">
        <f t="shared" si="38"/>
        <v>2020</v>
      </c>
      <c r="AC1222" s="22">
        <f t="shared" si="39"/>
        <v>0.88400000000000001</v>
      </c>
    </row>
    <row r="1223" spans="1:29" ht="25.5">
      <c r="A1223" s="8" t="s">
        <v>8707</v>
      </c>
      <c r="B1223" s="17" t="s">
        <v>7763</v>
      </c>
      <c r="C1223" s="13">
        <v>43977</v>
      </c>
      <c r="D1223" s="13" t="s">
        <v>8465</v>
      </c>
      <c r="E1223" s="10" t="s">
        <v>1062</v>
      </c>
      <c r="F1223" s="10" t="s">
        <v>8708</v>
      </c>
      <c r="G1223" s="11" t="s">
        <v>8709</v>
      </c>
      <c r="H1223" s="2" t="s">
        <v>1057</v>
      </c>
      <c r="L1223" s="18">
        <v>1</v>
      </c>
      <c r="N1223" s="13">
        <v>43977</v>
      </c>
      <c r="O1223" s="29">
        <v>39.99</v>
      </c>
      <c r="P1223" s="18" t="s">
        <v>1107</v>
      </c>
      <c r="Q1223" s="18">
        <v>1</v>
      </c>
      <c r="R1223" s="13">
        <v>44010</v>
      </c>
      <c r="S1223" s="21">
        <f>32+2/60+14/3600</f>
        <v>32.037222222222219</v>
      </c>
      <c r="T1223" s="22">
        <v>0.7</v>
      </c>
      <c r="V1223" s="22">
        <f>4.03/5</f>
        <v>0.80600000000000005</v>
      </c>
      <c r="AB1223" s="18">
        <f t="shared" si="38"/>
        <v>2020</v>
      </c>
      <c r="AC1223" s="22">
        <f t="shared" si="39"/>
        <v>0.753</v>
      </c>
    </row>
    <row r="1224" spans="1:29">
      <c r="A1224" s="8" t="s">
        <v>8710</v>
      </c>
      <c r="B1224" s="17" t="s">
        <v>7800</v>
      </c>
      <c r="C1224" s="13">
        <v>43977</v>
      </c>
      <c r="D1224" s="13" t="s">
        <v>8465</v>
      </c>
      <c r="E1224" s="10" t="s">
        <v>6517</v>
      </c>
      <c r="F1224" s="10" t="s">
        <v>8711</v>
      </c>
      <c r="G1224" s="11" t="s">
        <v>5660</v>
      </c>
      <c r="H1224" s="2" t="s">
        <v>171</v>
      </c>
      <c r="L1224" s="18">
        <v>0</v>
      </c>
      <c r="Q1224" s="18">
        <v>1</v>
      </c>
      <c r="R1224" s="13">
        <v>43977</v>
      </c>
      <c r="S1224" s="21">
        <f>4+45/60</f>
        <v>4.75</v>
      </c>
      <c r="T1224" s="22">
        <v>0.7</v>
      </c>
      <c r="U1224" s="22">
        <v>0.7</v>
      </c>
      <c r="V1224" s="22">
        <f>3.2/5</f>
        <v>0.64</v>
      </c>
      <c r="W1224" s="14" t="s">
        <v>8280</v>
      </c>
      <c r="AB1224" s="18">
        <f t="shared" si="38"/>
        <v>2020</v>
      </c>
      <c r="AC1224" s="22">
        <f t="shared" si="39"/>
        <v>0.68</v>
      </c>
    </row>
    <row r="1225" spans="1:29">
      <c r="A1225" s="8" t="s">
        <v>9467</v>
      </c>
      <c r="B1225" s="17" t="s">
        <v>7800</v>
      </c>
      <c r="C1225" s="13">
        <v>43970</v>
      </c>
      <c r="D1225" s="13" t="s">
        <v>8465</v>
      </c>
      <c r="E1225" s="10" t="s">
        <v>7300</v>
      </c>
      <c r="F1225" s="10" t="s">
        <v>9468</v>
      </c>
      <c r="H1225" s="2" t="s">
        <v>67</v>
      </c>
      <c r="L1225" s="18">
        <v>1</v>
      </c>
      <c r="N1225" s="13">
        <v>44164</v>
      </c>
      <c r="O1225" s="29">
        <v>8.43</v>
      </c>
      <c r="P1225" s="18" t="s">
        <v>1107</v>
      </c>
      <c r="Q1225" s="18">
        <v>1</v>
      </c>
      <c r="R1225" s="13">
        <v>44182</v>
      </c>
      <c r="S1225" s="21">
        <f>99/60</f>
        <v>1.65</v>
      </c>
      <c r="T1225" s="22">
        <v>0.8</v>
      </c>
      <c r="U1225" s="22">
        <v>0.84</v>
      </c>
      <c r="V1225" s="22">
        <f>3.57/5</f>
        <v>0.71399999999999997</v>
      </c>
      <c r="W1225" s="14" t="s">
        <v>7777</v>
      </c>
      <c r="AB1225" s="18">
        <f t="shared" si="38"/>
        <v>2020</v>
      </c>
      <c r="AC1225" s="22">
        <f t="shared" si="39"/>
        <v>0.78466666666666673</v>
      </c>
    </row>
    <row r="1226" spans="1:29">
      <c r="A1226" s="8" t="s">
        <v>9201</v>
      </c>
      <c r="B1226" s="17" t="s">
        <v>7744</v>
      </c>
      <c r="C1226" s="13">
        <v>43963</v>
      </c>
      <c r="D1226" s="13" t="s">
        <v>8465</v>
      </c>
      <c r="E1226" s="10" t="s">
        <v>3077</v>
      </c>
      <c r="F1226" s="10" t="s">
        <v>9202</v>
      </c>
      <c r="H1226" s="2" t="s">
        <v>56</v>
      </c>
      <c r="L1226" s="18">
        <v>1</v>
      </c>
      <c r="N1226" s="13">
        <v>44061</v>
      </c>
      <c r="O1226" s="29">
        <v>8.3000000000000007</v>
      </c>
      <c r="P1226" s="18" t="s">
        <v>1107</v>
      </c>
      <c r="Q1226" s="18">
        <v>1</v>
      </c>
      <c r="R1226" s="13">
        <v>44074</v>
      </c>
      <c r="T1226" s="22">
        <v>0.7</v>
      </c>
      <c r="U1226" s="22">
        <v>0.86</v>
      </c>
      <c r="V1226" s="22">
        <f>4.08/5</f>
        <v>0.81600000000000006</v>
      </c>
      <c r="AB1226" s="18">
        <f t="shared" si="38"/>
        <v>2020</v>
      </c>
      <c r="AC1226" s="22">
        <f t="shared" si="39"/>
        <v>0.79200000000000015</v>
      </c>
    </row>
    <row r="1227" spans="1:29">
      <c r="A1227" s="8" t="s">
        <v>9507</v>
      </c>
      <c r="B1227" s="17" t="s">
        <v>7800</v>
      </c>
      <c r="C1227" s="13">
        <v>43962</v>
      </c>
      <c r="D1227" s="13" t="s">
        <v>8465</v>
      </c>
      <c r="E1227" s="10" t="s">
        <v>9508</v>
      </c>
      <c r="F1227" s="10" t="s">
        <v>9508</v>
      </c>
      <c r="H1227" s="2" t="s">
        <v>78</v>
      </c>
      <c r="L1227" s="18">
        <v>0</v>
      </c>
      <c r="P1227" s="18" t="s">
        <v>1107</v>
      </c>
      <c r="Q1227" s="18">
        <v>1</v>
      </c>
      <c r="R1227" s="13">
        <v>44184</v>
      </c>
      <c r="S1227" s="21">
        <f>31/60</f>
        <v>0.51666666666666672</v>
      </c>
      <c r="T1227" s="22">
        <v>0.75</v>
      </c>
      <c r="V1227" s="22">
        <f>3.57/5</f>
        <v>0.71399999999999997</v>
      </c>
      <c r="W1227" s="14" t="s">
        <v>7777</v>
      </c>
      <c r="AB1227" s="18">
        <f t="shared" si="38"/>
        <v>2020</v>
      </c>
      <c r="AC1227" s="22">
        <f t="shared" si="39"/>
        <v>0.73199999999999998</v>
      </c>
    </row>
    <row r="1228" spans="1:29" ht="30">
      <c r="A1228" s="8" t="s">
        <v>8985</v>
      </c>
      <c r="B1228" s="17" t="s">
        <v>7744</v>
      </c>
      <c r="C1228" s="13">
        <v>43951</v>
      </c>
      <c r="D1228" s="13" t="s">
        <v>8465</v>
      </c>
      <c r="E1228" s="10" t="s">
        <v>1721</v>
      </c>
      <c r="F1228" s="10" t="s">
        <v>1726</v>
      </c>
      <c r="G1228" s="11" t="s">
        <v>2516</v>
      </c>
      <c r="H1228" s="2" t="s">
        <v>153</v>
      </c>
      <c r="L1228" s="18">
        <v>1</v>
      </c>
      <c r="M1228" s="14" t="s">
        <v>8462</v>
      </c>
      <c r="N1228" s="13">
        <v>44014</v>
      </c>
      <c r="O1228" s="29">
        <v>43.76</v>
      </c>
      <c r="P1228" s="18" t="s">
        <v>14</v>
      </c>
      <c r="Q1228" s="18">
        <v>1</v>
      </c>
      <c r="R1228" s="13">
        <v>44047</v>
      </c>
      <c r="S1228" s="21">
        <v>2</v>
      </c>
      <c r="T1228" s="22">
        <v>0.8</v>
      </c>
      <c r="U1228" s="22">
        <v>0.86</v>
      </c>
      <c r="V1228" s="22">
        <f>4.22/5</f>
        <v>0.84399999999999997</v>
      </c>
      <c r="W1228" s="14" t="s">
        <v>1134</v>
      </c>
      <c r="AB1228" s="18">
        <f t="shared" si="38"/>
        <v>2020</v>
      </c>
      <c r="AC1228" s="22">
        <f t="shared" si="39"/>
        <v>0.83466666666666667</v>
      </c>
    </row>
    <row r="1229" spans="1:29" ht="38.25">
      <c r="A1229" s="8" t="s">
        <v>8792</v>
      </c>
      <c r="B1229" s="17" t="s">
        <v>7800</v>
      </c>
      <c r="C1229" s="13">
        <v>43951</v>
      </c>
      <c r="D1229" s="13" t="s">
        <v>8465</v>
      </c>
      <c r="E1229" s="10" t="s">
        <v>1273</v>
      </c>
      <c r="F1229" s="10" t="s">
        <v>3400</v>
      </c>
      <c r="G1229" s="11" t="s">
        <v>3401</v>
      </c>
      <c r="H1229" s="2" t="s">
        <v>1050</v>
      </c>
      <c r="L1229" s="18">
        <v>1</v>
      </c>
      <c r="N1229" s="13">
        <v>43988</v>
      </c>
      <c r="O1229" s="29">
        <v>14.99</v>
      </c>
      <c r="P1229" s="18" t="s">
        <v>1107</v>
      </c>
      <c r="Q1229" s="18">
        <v>1</v>
      </c>
      <c r="R1229" s="13">
        <v>44013</v>
      </c>
      <c r="T1229" s="22">
        <v>0.75</v>
      </c>
      <c r="U1229" s="22">
        <v>0.71</v>
      </c>
      <c r="V1229" s="22">
        <f>4.15/5</f>
        <v>0.83000000000000007</v>
      </c>
      <c r="W1229" s="14" t="s">
        <v>7797</v>
      </c>
      <c r="AB1229" s="18">
        <f t="shared" si="38"/>
        <v>2020</v>
      </c>
      <c r="AC1229" s="22">
        <f t="shared" si="39"/>
        <v>0.76333333333333331</v>
      </c>
    </row>
    <row r="1230" spans="1:29">
      <c r="A1230" s="8" t="s">
        <v>8649</v>
      </c>
      <c r="B1230" s="17" t="s">
        <v>7800</v>
      </c>
      <c r="C1230" s="13">
        <v>43949</v>
      </c>
      <c r="D1230" s="13" t="s">
        <v>8465</v>
      </c>
      <c r="E1230" s="10" t="s">
        <v>6517</v>
      </c>
      <c r="F1230" s="10" t="s">
        <v>3268</v>
      </c>
      <c r="G1230" s="11" t="s">
        <v>6303</v>
      </c>
      <c r="H1230" s="2" t="s">
        <v>3937</v>
      </c>
      <c r="L1230" s="18">
        <v>0</v>
      </c>
      <c r="Q1230" s="18">
        <v>1</v>
      </c>
      <c r="R1230" s="13">
        <v>43957</v>
      </c>
      <c r="S1230" s="21">
        <f>24+10/60</f>
        <v>24.166666666666668</v>
      </c>
      <c r="T1230" s="22">
        <v>0.75</v>
      </c>
      <c r="U1230" s="22">
        <v>0.81</v>
      </c>
      <c r="V1230" s="22">
        <f>3.5/5</f>
        <v>0.7</v>
      </c>
      <c r="W1230" s="14" t="s">
        <v>8280</v>
      </c>
      <c r="AB1230" s="18">
        <f t="shared" si="38"/>
        <v>2020</v>
      </c>
      <c r="AC1230" s="22">
        <f t="shared" si="39"/>
        <v>0.7533333333333333</v>
      </c>
    </row>
    <row r="1231" spans="1:29">
      <c r="A1231" s="8" t="s">
        <v>5874</v>
      </c>
      <c r="B1231" s="17" t="s">
        <v>7760</v>
      </c>
      <c r="C1231" s="13">
        <v>43949</v>
      </c>
      <c r="D1231" s="13" t="s">
        <v>8465</v>
      </c>
      <c r="E1231" s="10" t="s">
        <v>455</v>
      </c>
      <c r="F1231" s="10" t="s">
        <v>455</v>
      </c>
      <c r="G1231" s="11" t="s">
        <v>5874</v>
      </c>
      <c r="H1231" s="2" t="s">
        <v>1059</v>
      </c>
      <c r="L1231" s="18">
        <v>1</v>
      </c>
      <c r="M1231" s="14" t="s">
        <v>8462</v>
      </c>
      <c r="N1231" s="13">
        <v>43949</v>
      </c>
      <c r="O1231" s="29">
        <v>65.09</v>
      </c>
      <c r="P1231" s="18" t="s">
        <v>14</v>
      </c>
      <c r="Q1231" s="18">
        <v>1</v>
      </c>
      <c r="R1231" s="13">
        <v>43976</v>
      </c>
      <c r="S1231" s="21">
        <v>17</v>
      </c>
      <c r="T1231" s="22">
        <v>0.65</v>
      </c>
      <c r="U1231" s="22">
        <v>0.73</v>
      </c>
      <c r="V1231" s="22">
        <f>3.89/5</f>
        <v>0.77800000000000002</v>
      </c>
      <c r="AB1231" s="18">
        <f t="shared" si="38"/>
        <v>2020</v>
      </c>
      <c r="AC1231" s="22">
        <f t="shared" si="39"/>
        <v>0.71933333333333327</v>
      </c>
    </row>
    <row r="1232" spans="1:29">
      <c r="A1232" s="8" t="s">
        <v>8594</v>
      </c>
      <c r="B1232" s="17" t="s">
        <v>7800</v>
      </c>
      <c r="C1232" s="13">
        <v>43945</v>
      </c>
      <c r="D1232" s="13" t="s">
        <v>8465</v>
      </c>
      <c r="E1232" s="10" t="s">
        <v>3310</v>
      </c>
      <c r="F1232" s="10" t="s">
        <v>4993</v>
      </c>
      <c r="G1232" s="11" t="s">
        <v>5594</v>
      </c>
      <c r="H1232" s="2" t="s">
        <v>3937</v>
      </c>
      <c r="L1232" s="18">
        <v>1</v>
      </c>
      <c r="N1232" s="13">
        <v>43945</v>
      </c>
      <c r="O1232" s="29">
        <v>7.99</v>
      </c>
      <c r="P1232" s="18" t="s">
        <v>1107</v>
      </c>
      <c r="Q1232" s="18">
        <v>1</v>
      </c>
      <c r="R1232" s="13">
        <v>43952</v>
      </c>
      <c r="S1232" s="21">
        <v>20</v>
      </c>
      <c r="T1232" s="22">
        <v>0.8</v>
      </c>
      <c r="U1232" s="22">
        <v>0.78</v>
      </c>
      <c r="V1232" s="22">
        <f>3.4/5</f>
        <v>0.67999999999999994</v>
      </c>
      <c r="W1232" s="14" t="s">
        <v>7777</v>
      </c>
      <c r="AB1232" s="18">
        <f t="shared" si="38"/>
        <v>2020</v>
      </c>
      <c r="AC1232" s="22">
        <f t="shared" si="39"/>
        <v>0.7533333333333333</v>
      </c>
    </row>
    <row r="1233" spans="1:29">
      <c r="A1233" s="8" t="s">
        <v>8608</v>
      </c>
      <c r="B1233" s="17" t="s">
        <v>7744</v>
      </c>
      <c r="C1233" s="13">
        <v>43945</v>
      </c>
      <c r="D1233" s="13" t="s">
        <v>8465</v>
      </c>
      <c r="E1233" s="10" t="s">
        <v>1082</v>
      </c>
      <c r="F1233" s="10" t="s">
        <v>8609</v>
      </c>
      <c r="G1233" s="11" t="s">
        <v>1253</v>
      </c>
      <c r="H1233" s="2" t="s">
        <v>171</v>
      </c>
      <c r="L1233" s="18">
        <v>1</v>
      </c>
      <c r="M1233" s="14" t="s">
        <v>8462</v>
      </c>
      <c r="N1233" s="13">
        <v>43945</v>
      </c>
      <c r="O1233" s="29">
        <v>54.21</v>
      </c>
      <c r="P1233" s="18" t="s">
        <v>14</v>
      </c>
      <c r="Q1233" s="18">
        <v>1</v>
      </c>
      <c r="R1233" s="13">
        <v>43963</v>
      </c>
      <c r="S1233" s="21">
        <f>17+9/60+12/3600</f>
        <v>17.153333333333332</v>
      </c>
      <c r="T1233" s="22">
        <v>0.7</v>
      </c>
      <c r="U1233" s="22">
        <v>0.76</v>
      </c>
      <c r="V1233" s="22">
        <f>4.09/5</f>
        <v>0.81799999999999995</v>
      </c>
      <c r="AB1233" s="18">
        <f t="shared" si="38"/>
        <v>2020</v>
      </c>
      <c r="AC1233" s="22">
        <f t="shared" si="39"/>
        <v>0.7593333333333333</v>
      </c>
    </row>
    <row r="1234" spans="1:29" ht="30">
      <c r="A1234" s="8" t="s">
        <v>8558</v>
      </c>
      <c r="B1234" s="17" t="s">
        <v>7760</v>
      </c>
      <c r="C1234" s="13">
        <v>43931</v>
      </c>
      <c r="D1234" s="13" t="s">
        <v>8465</v>
      </c>
      <c r="E1234" s="10" t="s">
        <v>1082</v>
      </c>
      <c r="F1234" s="10" t="s">
        <v>8559</v>
      </c>
      <c r="G1234" s="11" t="s">
        <v>126</v>
      </c>
      <c r="H1234" s="2" t="s">
        <v>171</v>
      </c>
      <c r="L1234" s="18">
        <v>1</v>
      </c>
      <c r="N1234" s="13">
        <v>43931</v>
      </c>
      <c r="O1234" s="29">
        <v>59.99</v>
      </c>
      <c r="P1234" s="18" t="s">
        <v>1107</v>
      </c>
      <c r="Q1234" s="18">
        <v>1</v>
      </c>
      <c r="R1234" s="13">
        <v>43940</v>
      </c>
      <c r="S1234" s="21">
        <f>30+41/60</f>
        <v>30.683333333333334</v>
      </c>
      <c r="T1234" s="22">
        <v>0.95</v>
      </c>
      <c r="U1234" s="22">
        <v>0.87</v>
      </c>
      <c r="V1234" s="22">
        <f>4.16/5</f>
        <v>0.83200000000000007</v>
      </c>
      <c r="AB1234" s="18">
        <f t="shared" si="38"/>
        <v>2020</v>
      </c>
      <c r="AC1234" s="22">
        <f t="shared" si="39"/>
        <v>0.88400000000000001</v>
      </c>
    </row>
    <row r="1235" spans="1:29" ht="25.5">
      <c r="A1235" s="8" t="s">
        <v>8688</v>
      </c>
      <c r="B1235" s="17" t="s">
        <v>7800</v>
      </c>
      <c r="C1235" s="13">
        <v>43928</v>
      </c>
      <c r="D1235" s="13" t="s">
        <v>8465</v>
      </c>
      <c r="E1235" s="10" t="s">
        <v>1062</v>
      </c>
      <c r="F1235" s="10" t="s">
        <v>8689</v>
      </c>
      <c r="G1235" s="11" t="s">
        <v>5803</v>
      </c>
      <c r="H1235" s="2" t="s">
        <v>67</v>
      </c>
      <c r="L1235" s="18">
        <v>1</v>
      </c>
      <c r="N1235" s="13">
        <v>43972</v>
      </c>
      <c r="O1235" s="29">
        <v>47.85</v>
      </c>
      <c r="P1235" s="18" t="s">
        <v>1107</v>
      </c>
      <c r="Q1235" s="18">
        <v>1</v>
      </c>
      <c r="R1235" s="13">
        <v>43978</v>
      </c>
      <c r="S1235" s="21">
        <f>8+46/60</f>
        <v>8.7666666666666675</v>
      </c>
      <c r="T1235" s="22">
        <v>0.5</v>
      </c>
      <c r="U1235" s="22">
        <v>0.57999999999999996</v>
      </c>
      <c r="V1235" s="22">
        <f>3.54/5</f>
        <v>0.70799999999999996</v>
      </c>
      <c r="W1235" s="14" t="s">
        <v>7777</v>
      </c>
      <c r="AB1235" s="18">
        <f t="shared" si="38"/>
        <v>2020</v>
      </c>
      <c r="AC1235" s="22">
        <f t="shared" si="39"/>
        <v>0.59599999999999997</v>
      </c>
    </row>
    <row r="1236" spans="1:29">
      <c r="A1236" s="8" t="s">
        <v>8244</v>
      </c>
      <c r="B1236" s="17" t="s">
        <v>7800</v>
      </c>
      <c r="C1236" s="13">
        <v>43924</v>
      </c>
      <c r="D1236" s="13" t="s">
        <v>8465</v>
      </c>
      <c r="E1236" s="10" t="s">
        <v>73</v>
      </c>
      <c r="F1236" s="10" t="s">
        <v>73</v>
      </c>
      <c r="G1236" s="11" t="s">
        <v>943</v>
      </c>
      <c r="H1236" s="2" t="s">
        <v>1061</v>
      </c>
      <c r="L1236" s="18">
        <v>1</v>
      </c>
      <c r="N1236" s="13">
        <v>43924</v>
      </c>
      <c r="O1236" s="29">
        <v>44.99</v>
      </c>
      <c r="P1236" s="18" t="s">
        <v>1107</v>
      </c>
      <c r="Q1236" s="18">
        <v>1</v>
      </c>
      <c r="R1236" s="13">
        <v>43924</v>
      </c>
      <c r="S1236" s="21">
        <f>5+41/60</f>
        <v>5.6833333333333336</v>
      </c>
      <c r="T1236" s="22">
        <v>0.8</v>
      </c>
      <c r="U1236" s="22">
        <v>0.76</v>
      </c>
      <c r="V1236" s="22">
        <f>3.61/5</f>
        <v>0.72199999999999998</v>
      </c>
      <c r="W1236" s="14" t="s">
        <v>7777</v>
      </c>
      <c r="AB1236" s="18">
        <f t="shared" si="38"/>
        <v>2020</v>
      </c>
      <c r="AC1236" s="22">
        <f t="shared" si="39"/>
        <v>0.76066666666666671</v>
      </c>
    </row>
    <row r="1237" spans="1:29">
      <c r="A1237" s="8" t="s">
        <v>8556</v>
      </c>
      <c r="B1237" s="17" t="s">
        <v>7800</v>
      </c>
      <c r="C1237" s="13">
        <v>43924</v>
      </c>
      <c r="D1237" s="13" t="s">
        <v>8465</v>
      </c>
      <c r="E1237" s="10" t="s">
        <v>8557</v>
      </c>
      <c r="F1237" s="10" t="s">
        <v>8557</v>
      </c>
      <c r="H1237" s="2" t="s">
        <v>1061</v>
      </c>
      <c r="L1237" s="18">
        <v>1</v>
      </c>
      <c r="N1237" s="13">
        <v>43927</v>
      </c>
      <c r="O1237" s="29">
        <v>0</v>
      </c>
      <c r="P1237" s="18" t="s">
        <v>1107</v>
      </c>
      <c r="Q1237" s="18">
        <v>1</v>
      </c>
      <c r="R1237" s="13">
        <v>44010</v>
      </c>
      <c r="S1237" s="21">
        <f>21/60</f>
        <v>0.35</v>
      </c>
      <c r="T1237" s="22">
        <v>0.5</v>
      </c>
      <c r="V1237" s="22">
        <f>3.13/5</f>
        <v>0.626</v>
      </c>
      <c r="W1237" s="14" t="s">
        <v>7777</v>
      </c>
      <c r="AB1237" s="18">
        <f t="shared" si="38"/>
        <v>2020</v>
      </c>
      <c r="AC1237" s="22">
        <f t="shared" si="39"/>
        <v>0.56299999999999994</v>
      </c>
    </row>
    <row r="1238" spans="1:29">
      <c r="A1238" s="8" t="s">
        <v>8527</v>
      </c>
      <c r="B1238" s="17" t="s">
        <v>7760</v>
      </c>
      <c r="C1238" s="13">
        <v>43921</v>
      </c>
      <c r="D1238" s="13" t="s">
        <v>8465</v>
      </c>
      <c r="E1238" s="10" t="s">
        <v>2461</v>
      </c>
      <c r="F1238" s="10" t="s">
        <v>2458</v>
      </c>
      <c r="G1238" s="11" t="s">
        <v>1171</v>
      </c>
      <c r="H1238" s="2" t="s">
        <v>149</v>
      </c>
      <c r="L1238" s="18">
        <v>1</v>
      </c>
      <c r="M1238" s="14" t="s">
        <v>8462</v>
      </c>
      <c r="N1238" s="13">
        <v>43921</v>
      </c>
      <c r="O1238" s="29">
        <v>49.94</v>
      </c>
      <c r="P1238" s="18" t="s">
        <v>14</v>
      </c>
      <c r="Q1238" s="18">
        <v>1</v>
      </c>
      <c r="R1238" s="13">
        <v>44046</v>
      </c>
      <c r="S1238" s="21">
        <f>114+1/60</f>
        <v>114.01666666666667</v>
      </c>
      <c r="T1238" s="22">
        <v>1</v>
      </c>
      <c r="U1238" s="22">
        <v>0.95</v>
      </c>
      <c r="V1238" s="22">
        <f>4.41/5</f>
        <v>0.88200000000000001</v>
      </c>
      <c r="W1238" s="14" t="s">
        <v>8528</v>
      </c>
      <c r="AB1238" s="18">
        <f t="shared" si="38"/>
        <v>2020</v>
      </c>
      <c r="AC1238" s="22">
        <f t="shared" si="39"/>
        <v>0.94399999999999995</v>
      </c>
    </row>
    <row r="1239" spans="1:29" ht="25.5">
      <c r="A1239" s="8" t="s">
        <v>8696</v>
      </c>
      <c r="B1239" s="17" t="s">
        <v>8555</v>
      </c>
      <c r="C1239" s="13">
        <v>43917</v>
      </c>
      <c r="D1239" s="13" t="s">
        <v>8465</v>
      </c>
      <c r="E1239" s="10" t="s">
        <v>7894</v>
      </c>
      <c r="F1239" s="10" t="s">
        <v>8713</v>
      </c>
      <c r="H1239" s="2" t="s">
        <v>64</v>
      </c>
      <c r="L1239" s="18">
        <v>1</v>
      </c>
      <c r="N1239" s="13">
        <v>43975</v>
      </c>
      <c r="O1239" s="29">
        <v>14.99</v>
      </c>
      <c r="P1239" s="18" t="s">
        <v>1107</v>
      </c>
      <c r="Q1239" s="18">
        <v>1</v>
      </c>
      <c r="R1239" s="13">
        <v>43979</v>
      </c>
      <c r="S1239" s="21">
        <f>3+59/60+9/3600</f>
        <v>3.9858333333333333</v>
      </c>
      <c r="T1239" s="22">
        <v>0.6</v>
      </c>
      <c r="U1239" s="22">
        <v>0.78</v>
      </c>
      <c r="AB1239" s="18">
        <f t="shared" si="38"/>
        <v>2020</v>
      </c>
      <c r="AC1239" s="22">
        <f t="shared" si="39"/>
        <v>0.69</v>
      </c>
    </row>
    <row r="1240" spans="1:29" ht="25.5">
      <c r="A1240" s="8" t="s">
        <v>8535</v>
      </c>
      <c r="B1240" s="17" t="s">
        <v>7800</v>
      </c>
      <c r="C1240" s="13">
        <v>43916</v>
      </c>
      <c r="D1240" s="13" t="s">
        <v>8465</v>
      </c>
      <c r="E1240" s="10" t="s">
        <v>7354</v>
      </c>
      <c r="F1240" s="10" t="s">
        <v>7354</v>
      </c>
      <c r="G1240" s="11" t="s">
        <v>7353</v>
      </c>
      <c r="H1240" s="2" t="s">
        <v>78</v>
      </c>
      <c r="I1240" s="18">
        <v>1</v>
      </c>
      <c r="L1240" s="18">
        <v>1</v>
      </c>
      <c r="N1240" s="13">
        <v>43924</v>
      </c>
      <c r="O1240" s="29">
        <v>29.99</v>
      </c>
      <c r="P1240" s="18" t="s">
        <v>1107</v>
      </c>
      <c r="Q1240" s="18">
        <v>1</v>
      </c>
      <c r="R1240" s="13">
        <v>43926</v>
      </c>
      <c r="S1240" s="21">
        <f>2+55/60</f>
        <v>2.9166666666666665</v>
      </c>
      <c r="T1240" s="22">
        <v>0.8</v>
      </c>
      <c r="U1240" s="22">
        <v>0.81</v>
      </c>
      <c r="V1240" s="22">
        <f>4/5</f>
        <v>0.8</v>
      </c>
      <c r="W1240" s="14" t="s">
        <v>7777</v>
      </c>
      <c r="AB1240" s="18">
        <f t="shared" si="38"/>
        <v>2020</v>
      </c>
      <c r="AC1240" s="22">
        <f t="shared" si="39"/>
        <v>0.80333333333333334</v>
      </c>
    </row>
    <row r="1241" spans="1:29" ht="30">
      <c r="A1241" s="8" t="s">
        <v>9457</v>
      </c>
      <c r="B1241" s="17" t="s">
        <v>7744</v>
      </c>
      <c r="C1241" s="13">
        <v>43916</v>
      </c>
      <c r="D1241" s="13" t="s">
        <v>8465</v>
      </c>
      <c r="E1241" s="10" t="s">
        <v>9458</v>
      </c>
      <c r="F1241" s="10" t="s">
        <v>9459</v>
      </c>
      <c r="G1241" s="11" t="s">
        <v>2732</v>
      </c>
      <c r="H1241" s="2" t="s">
        <v>1170</v>
      </c>
      <c r="L1241" s="18">
        <v>1</v>
      </c>
      <c r="M1241" s="14" t="s">
        <v>8462</v>
      </c>
      <c r="N1241" s="13">
        <v>43917</v>
      </c>
      <c r="O1241" s="29">
        <v>49.18</v>
      </c>
      <c r="P1241" s="18" t="s">
        <v>14</v>
      </c>
      <c r="Q1241" s="18">
        <v>1</v>
      </c>
      <c r="R1241" s="13">
        <v>44184</v>
      </c>
      <c r="S1241" s="21">
        <f>39/60</f>
        <v>0.65</v>
      </c>
      <c r="T1241" s="22">
        <v>0.6</v>
      </c>
      <c r="U1241" s="22">
        <v>0.63</v>
      </c>
      <c r="V1241" s="22">
        <f>3.53/5</f>
        <v>0.70599999999999996</v>
      </c>
      <c r="W1241" s="14" t="s">
        <v>1134</v>
      </c>
      <c r="AB1241" s="18">
        <f t="shared" si="38"/>
        <v>2020</v>
      </c>
      <c r="AC1241" s="22">
        <f t="shared" si="39"/>
        <v>0.64533333333333331</v>
      </c>
    </row>
    <row r="1242" spans="1:29">
      <c r="A1242" s="8" t="s">
        <v>8492</v>
      </c>
      <c r="B1242" s="17" t="s">
        <v>7800</v>
      </c>
      <c r="C1242" s="13">
        <v>43913</v>
      </c>
      <c r="D1242" s="13" t="s">
        <v>8465</v>
      </c>
      <c r="E1242" s="10" t="s">
        <v>4070</v>
      </c>
      <c r="F1242" s="10" t="s">
        <v>4070</v>
      </c>
      <c r="G1242" s="11" t="s">
        <v>4069</v>
      </c>
      <c r="H1242" s="2" t="s">
        <v>1050</v>
      </c>
      <c r="I1242" s="18">
        <v>1</v>
      </c>
      <c r="L1242" s="18">
        <v>1</v>
      </c>
      <c r="N1242" s="13">
        <v>43913</v>
      </c>
      <c r="O1242" s="29">
        <v>0</v>
      </c>
      <c r="P1242" s="18" t="s">
        <v>1107</v>
      </c>
      <c r="Q1242" s="18">
        <v>1</v>
      </c>
      <c r="R1242" s="13">
        <v>43923</v>
      </c>
      <c r="S1242" s="21">
        <f>9+26/60</f>
        <v>9.4333333333333336</v>
      </c>
      <c r="T1242" s="22">
        <v>0.9</v>
      </c>
      <c r="U1242" s="22">
        <v>0.93</v>
      </c>
      <c r="V1242" s="22">
        <f>4.34/5</f>
        <v>0.86799999999999999</v>
      </c>
      <c r="W1242" s="14" t="s">
        <v>7777</v>
      </c>
      <c r="AB1242" s="18">
        <f t="shared" si="38"/>
        <v>2020</v>
      </c>
      <c r="AC1242" s="22">
        <f t="shared" si="39"/>
        <v>0.89933333333333332</v>
      </c>
    </row>
    <row r="1243" spans="1:29" ht="25.5">
      <c r="A1243" s="8" t="s">
        <v>8509</v>
      </c>
      <c r="B1243" s="17" t="s">
        <v>7744</v>
      </c>
      <c r="C1243" s="13">
        <v>43910</v>
      </c>
      <c r="D1243" s="13" t="s">
        <v>8465</v>
      </c>
      <c r="E1243" s="10" t="s">
        <v>86</v>
      </c>
      <c r="F1243" s="10" t="s">
        <v>1138</v>
      </c>
      <c r="G1243" s="11" t="s">
        <v>901</v>
      </c>
      <c r="H1243" s="2" t="s">
        <v>1334</v>
      </c>
      <c r="L1243" s="18">
        <v>1</v>
      </c>
      <c r="M1243" s="14" t="s">
        <v>8462</v>
      </c>
      <c r="N1243" s="13">
        <v>43910</v>
      </c>
      <c r="O1243" s="29">
        <v>59.99</v>
      </c>
      <c r="P1243" s="18" t="s">
        <v>14</v>
      </c>
      <c r="Q1243" s="18">
        <v>1</v>
      </c>
      <c r="R1243" s="13">
        <v>43943</v>
      </c>
      <c r="T1243" s="22">
        <v>0.9</v>
      </c>
      <c r="U1243" s="22">
        <v>0.91</v>
      </c>
      <c r="V1243" s="22">
        <f>4.28/5</f>
        <v>0.85600000000000009</v>
      </c>
      <c r="AB1243" s="18">
        <f t="shared" si="38"/>
        <v>2020</v>
      </c>
      <c r="AC1243" s="22">
        <f t="shared" si="39"/>
        <v>0.88866666666666683</v>
      </c>
    </row>
    <row r="1244" spans="1:29">
      <c r="A1244" s="8" t="s">
        <v>8264</v>
      </c>
      <c r="B1244" s="17" t="s">
        <v>7800</v>
      </c>
      <c r="C1244" s="13">
        <v>43910</v>
      </c>
      <c r="D1244" s="13" t="s">
        <v>8465</v>
      </c>
      <c r="E1244" s="10" t="s">
        <v>1690</v>
      </c>
      <c r="F1244" s="10" t="s">
        <v>1889</v>
      </c>
      <c r="G1244" s="11" t="s">
        <v>1890</v>
      </c>
      <c r="H1244" s="2" t="s">
        <v>1050</v>
      </c>
      <c r="L1244" s="18">
        <v>1</v>
      </c>
      <c r="N1244" s="13">
        <v>43910</v>
      </c>
      <c r="O1244" s="29">
        <v>44.99</v>
      </c>
      <c r="P1244" s="18" t="s">
        <v>1107</v>
      </c>
      <c r="Q1244" s="18">
        <v>1</v>
      </c>
      <c r="R1244" s="13">
        <v>43911</v>
      </c>
      <c r="T1244" s="22">
        <v>0.9</v>
      </c>
      <c r="U1244" s="22">
        <v>0.89</v>
      </c>
      <c r="V1244" s="22">
        <f>4.15/5</f>
        <v>0.83000000000000007</v>
      </c>
      <c r="W1244" s="14" t="s">
        <v>7777</v>
      </c>
      <c r="AB1244" s="18">
        <f t="shared" si="38"/>
        <v>2020</v>
      </c>
      <c r="AC1244" s="22">
        <f t="shared" si="39"/>
        <v>0.87333333333333341</v>
      </c>
    </row>
    <row r="1245" spans="1:29">
      <c r="A1245" s="8" t="s">
        <v>10431</v>
      </c>
      <c r="B1245" s="17" t="s">
        <v>7783</v>
      </c>
      <c r="C1245" s="13">
        <v>43910</v>
      </c>
      <c r="D1245" s="13" t="s">
        <v>8465</v>
      </c>
      <c r="E1245" s="10" t="s">
        <v>1687</v>
      </c>
      <c r="F1245" s="10" t="s">
        <v>1687</v>
      </c>
      <c r="H1245" s="2" t="s">
        <v>80</v>
      </c>
      <c r="L1245" s="18">
        <v>0</v>
      </c>
      <c r="Q1245" s="18">
        <v>1</v>
      </c>
      <c r="R1245" s="13">
        <v>45047</v>
      </c>
      <c r="S1245" s="21">
        <f>1+39/60</f>
        <v>1.65</v>
      </c>
      <c r="T1245" s="22">
        <v>0.6</v>
      </c>
      <c r="U1245" s="22">
        <v>0.75</v>
      </c>
      <c r="W1245" s="14" t="s">
        <v>8572</v>
      </c>
      <c r="AB1245" s="18">
        <f t="shared" si="38"/>
        <v>2020</v>
      </c>
      <c r="AC1245" s="22">
        <f t="shared" si="39"/>
        <v>0.67500000000000004</v>
      </c>
    </row>
    <row r="1246" spans="1:29" ht="25.5">
      <c r="A1246" s="8" t="s">
        <v>8499</v>
      </c>
      <c r="B1246" s="17" t="s">
        <v>7766</v>
      </c>
      <c r="C1246" s="13">
        <v>43901</v>
      </c>
      <c r="D1246" s="13" t="s">
        <v>8465</v>
      </c>
      <c r="E1246" s="10" t="s">
        <v>6517</v>
      </c>
      <c r="F1246" s="10" t="s">
        <v>4609</v>
      </c>
      <c r="G1246" s="11" t="s">
        <v>8500</v>
      </c>
      <c r="H1246" s="2" t="s">
        <v>151</v>
      </c>
      <c r="L1246" s="18">
        <v>1</v>
      </c>
      <c r="M1246" s="14" t="s">
        <v>8462</v>
      </c>
      <c r="N1246" s="13">
        <v>43901</v>
      </c>
      <c r="O1246" s="29">
        <v>29.99</v>
      </c>
      <c r="P1246" s="18" t="s">
        <v>14</v>
      </c>
      <c r="Q1246" s="18">
        <v>1</v>
      </c>
      <c r="R1246" s="13">
        <v>43928</v>
      </c>
      <c r="S1246" s="21">
        <f>9+15/60+50/3600</f>
        <v>9.2638888888888893</v>
      </c>
      <c r="T1246" s="22">
        <v>0.9</v>
      </c>
      <c r="U1246" s="22">
        <v>0.9</v>
      </c>
      <c r="V1246" s="22">
        <f>4.29/5</f>
        <v>0.85799999999999998</v>
      </c>
      <c r="AB1246" s="18">
        <f t="shared" si="38"/>
        <v>2020</v>
      </c>
      <c r="AC1246" s="22">
        <f t="shared" si="39"/>
        <v>0.88600000000000001</v>
      </c>
    </row>
    <row r="1247" spans="1:29" ht="38.25">
      <c r="A1247" s="8" t="s">
        <v>8491</v>
      </c>
      <c r="B1247" s="17" t="s">
        <v>7744</v>
      </c>
      <c r="C1247" s="13">
        <v>43896</v>
      </c>
      <c r="D1247" s="13" t="s">
        <v>8465</v>
      </c>
      <c r="E1247" s="10" t="s">
        <v>86</v>
      </c>
      <c r="F1247" s="10" t="s">
        <v>2452</v>
      </c>
      <c r="G1247" s="11" t="s">
        <v>1984</v>
      </c>
      <c r="H1247" s="2" t="s">
        <v>1377</v>
      </c>
      <c r="L1247" s="18">
        <v>1</v>
      </c>
      <c r="M1247" s="14" t="s">
        <v>8462</v>
      </c>
      <c r="N1247" s="13">
        <v>43896</v>
      </c>
      <c r="O1247" s="29">
        <v>65.06</v>
      </c>
      <c r="P1247" s="18" t="s">
        <v>14</v>
      </c>
      <c r="Q1247" s="18">
        <v>1</v>
      </c>
      <c r="R1247" s="13">
        <v>44185</v>
      </c>
      <c r="S1247" s="21">
        <f>13+36/60+42/3600</f>
        <v>13.611666666666666</v>
      </c>
      <c r="T1247" s="22">
        <v>0.6</v>
      </c>
      <c r="U1247" s="22">
        <v>0.68</v>
      </c>
      <c r="V1247" s="22">
        <f>4.11/5</f>
        <v>0.82200000000000006</v>
      </c>
      <c r="AB1247" s="18">
        <f t="shared" si="38"/>
        <v>2020</v>
      </c>
      <c r="AC1247" s="22">
        <f t="shared" si="39"/>
        <v>0.70066666666666677</v>
      </c>
    </row>
    <row r="1248" spans="1:29" ht="25.5">
      <c r="A1248" s="8" t="s">
        <v>13713</v>
      </c>
      <c r="B1248" s="17" t="s">
        <v>7783</v>
      </c>
      <c r="C1248" s="13">
        <v>43890</v>
      </c>
      <c r="D1248" s="13" t="s">
        <v>8465</v>
      </c>
      <c r="E1248" s="10" t="s">
        <v>13714</v>
      </c>
      <c r="F1248" s="10" t="s">
        <v>13714</v>
      </c>
      <c r="G1248" s="11" t="s">
        <v>13715</v>
      </c>
      <c r="H1248" s="2" t="s">
        <v>78</v>
      </c>
      <c r="L1248" s="18">
        <v>1</v>
      </c>
      <c r="N1248" s="13">
        <v>44997</v>
      </c>
      <c r="O1248" s="29">
        <v>0.99</v>
      </c>
      <c r="P1248" s="18" t="s">
        <v>1107</v>
      </c>
      <c r="Q1248" s="18">
        <v>1</v>
      </c>
      <c r="R1248" s="13">
        <v>45032</v>
      </c>
      <c r="S1248" s="21">
        <f>10+59/60</f>
        <v>10.983333333333333</v>
      </c>
      <c r="T1248" s="22">
        <v>0.5</v>
      </c>
      <c r="AB1248" s="18">
        <f t="shared" si="38"/>
        <v>2020</v>
      </c>
      <c r="AC1248" s="22">
        <f t="shared" si="39"/>
        <v>0.5</v>
      </c>
    </row>
    <row r="1249" spans="1:29">
      <c r="A1249" s="8" t="s">
        <v>9244</v>
      </c>
      <c r="B1249" s="17" t="s">
        <v>7744</v>
      </c>
      <c r="C1249" s="13">
        <v>43889</v>
      </c>
      <c r="D1249" s="13" t="s">
        <v>8465</v>
      </c>
      <c r="E1249" s="10" t="s">
        <v>9245</v>
      </c>
      <c r="F1249" s="10" t="s">
        <v>9245</v>
      </c>
      <c r="H1249" s="2" t="s">
        <v>1059</v>
      </c>
      <c r="L1249" s="18">
        <v>1</v>
      </c>
      <c r="N1249" s="13">
        <v>44078</v>
      </c>
      <c r="O1249" s="29">
        <v>11.96</v>
      </c>
      <c r="P1249" s="18" t="s">
        <v>1107</v>
      </c>
      <c r="Q1249" s="18">
        <v>1</v>
      </c>
      <c r="R1249" s="13">
        <v>44090</v>
      </c>
      <c r="T1249" s="22">
        <v>0.4</v>
      </c>
      <c r="U1249" s="22">
        <v>0.75</v>
      </c>
      <c r="V1249" s="22">
        <f>3.75/5</f>
        <v>0.75</v>
      </c>
      <c r="AB1249" s="18">
        <f t="shared" si="38"/>
        <v>2020</v>
      </c>
      <c r="AC1249" s="22">
        <f t="shared" si="39"/>
        <v>0.6333333333333333</v>
      </c>
    </row>
    <row r="1250" spans="1:29" ht="30">
      <c r="A1250" s="8" t="s">
        <v>8767</v>
      </c>
      <c r="B1250" s="17" t="s">
        <v>7800</v>
      </c>
      <c r="C1250" s="13">
        <v>43881</v>
      </c>
      <c r="D1250" s="13" t="s">
        <v>8465</v>
      </c>
      <c r="E1250" s="10" t="s">
        <v>8768</v>
      </c>
      <c r="F1250" s="10" t="s">
        <v>8768</v>
      </c>
      <c r="H1250" s="2" t="s">
        <v>67</v>
      </c>
      <c r="L1250" s="18">
        <v>1</v>
      </c>
      <c r="N1250" s="13">
        <v>43987</v>
      </c>
      <c r="O1250" s="29">
        <v>0.62</v>
      </c>
      <c r="P1250" s="18" t="s">
        <v>1107</v>
      </c>
      <c r="Q1250" s="18">
        <v>1</v>
      </c>
      <c r="R1250" s="13">
        <v>44185</v>
      </c>
      <c r="T1250" s="22">
        <v>0.5</v>
      </c>
      <c r="V1250" s="22">
        <f>2.93/5</f>
        <v>0.58600000000000008</v>
      </c>
      <c r="W1250" s="14" t="s">
        <v>8765</v>
      </c>
      <c r="AB1250" s="18">
        <f t="shared" si="38"/>
        <v>2020</v>
      </c>
      <c r="AC1250" s="22">
        <f t="shared" si="39"/>
        <v>0.54300000000000004</v>
      </c>
    </row>
    <row r="1251" spans="1:29">
      <c r="A1251" s="8" t="s">
        <v>8353</v>
      </c>
      <c r="B1251" s="17" t="s">
        <v>7744</v>
      </c>
      <c r="C1251" s="13">
        <v>43875</v>
      </c>
      <c r="D1251" s="13" t="s">
        <v>8465</v>
      </c>
      <c r="E1251" s="10" t="s">
        <v>1583</v>
      </c>
      <c r="F1251" s="10" t="s">
        <v>8354</v>
      </c>
      <c r="G1251" s="11" t="s">
        <v>1585</v>
      </c>
      <c r="H1251" s="2" t="s">
        <v>171</v>
      </c>
      <c r="L1251" s="18">
        <v>1</v>
      </c>
      <c r="M1251" s="14" t="s">
        <v>8462</v>
      </c>
      <c r="N1251" s="13">
        <v>43875</v>
      </c>
      <c r="O1251" s="29">
        <v>36.76</v>
      </c>
      <c r="P1251" s="18" t="s">
        <v>14</v>
      </c>
      <c r="Q1251" s="18">
        <v>1</v>
      </c>
      <c r="R1251" s="13">
        <v>43942</v>
      </c>
      <c r="S1251" s="21">
        <v>10</v>
      </c>
      <c r="T1251" s="22">
        <v>0.7</v>
      </c>
      <c r="U1251" s="22">
        <v>0.75</v>
      </c>
      <c r="V1251" s="22">
        <f>3.67/5</f>
        <v>0.73399999999999999</v>
      </c>
      <c r="AB1251" s="18">
        <f t="shared" si="38"/>
        <v>2020</v>
      </c>
      <c r="AC1251" s="22">
        <f t="shared" si="39"/>
        <v>0.72800000000000009</v>
      </c>
    </row>
    <row r="1252" spans="1:29" ht="25.5">
      <c r="A1252" s="8" t="s">
        <v>5569</v>
      </c>
      <c r="B1252" s="17" t="s">
        <v>7800</v>
      </c>
      <c r="C1252" s="13">
        <v>43874</v>
      </c>
      <c r="D1252" s="13" t="s">
        <v>8465</v>
      </c>
      <c r="E1252" s="10" t="s">
        <v>5570</v>
      </c>
      <c r="F1252" s="10" t="s">
        <v>5570</v>
      </c>
      <c r="H1252" s="2" t="s">
        <v>171</v>
      </c>
      <c r="L1252" s="18">
        <v>1</v>
      </c>
      <c r="N1252" s="13">
        <v>42542</v>
      </c>
      <c r="O1252" s="29">
        <v>15</v>
      </c>
      <c r="P1252" s="18" t="s">
        <v>1107</v>
      </c>
      <c r="Q1252" s="18">
        <v>1</v>
      </c>
      <c r="R1252" s="13">
        <v>43934</v>
      </c>
      <c r="S1252" s="21">
        <f>11+13/60</f>
        <v>11.216666666666667</v>
      </c>
      <c r="T1252" s="22">
        <v>0.65</v>
      </c>
      <c r="U1252" s="22">
        <v>0.6</v>
      </c>
      <c r="V1252" s="22">
        <f>2.77/5</f>
        <v>0.55400000000000005</v>
      </c>
      <c r="W1252" s="14" t="s">
        <v>7777</v>
      </c>
      <c r="AB1252" s="18">
        <f t="shared" si="38"/>
        <v>2020</v>
      </c>
      <c r="AC1252" s="22">
        <f t="shared" si="39"/>
        <v>0.60133333333333339</v>
      </c>
    </row>
    <row r="1253" spans="1:29">
      <c r="A1253" s="8" t="s">
        <v>4230</v>
      </c>
      <c r="B1253" s="17" t="s">
        <v>7800</v>
      </c>
      <c r="C1253" s="13">
        <v>43858</v>
      </c>
      <c r="D1253" s="13" t="s">
        <v>8465</v>
      </c>
      <c r="E1253" s="10" t="s">
        <v>4231</v>
      </c>
      <c r="F1253" s="10" t="s">
        <v>4231</v>
      </c>
      <c r="H1253" s="2" t="s">
        <v>67</v>
      </c>
      <c r="L1253" s="18">
        <v>1</v>
      </c>
      <c r="N1253" s="13">
        <v>42875</v>
      </c>
      <c r="O1253" s="29">
        <v>0</v>
      </c>
      <c r="P1253" s="18" t="s">
        <v>1107</v>
      </c>
      <c r="Q1253" s="18">
        <v>1</v>
      </c>
      <c r="R1253" s="13">
        <v>43930</v>
      </c>
      <c r="S1253" s="21">
        <f>7+19/60</f>
        <v>7.3166666666666664</v>
      </c>
      <c r="T1253" s="22">
        <v>0.9</v>
      </c>
      <c r="U1253" s="22">
        <v>0.86</v>
      </c>
      <c r="V1253" s="22">
        <f>3.48/5</f>
        <v>0.69599999999999995</v>
      </c>
      <c r="W1253" s="14" t="s">
        <v>7777</v>
      </c>
      <c r="AB1253" s="18">
        <f t="shared" si="38"/>
        <v>2020</v>
      </c>
      <c r="AC1253" s="22">
        <f t="shared" si="39"/>
        <v>0.81866666666666665</v>
      </c>
    </row>
    <row r="1254" spans="1:29" ht="25.5">
      <c r="A1254" s="8" t="s">
        <v>8570</v>
      </c>
      <c r="B1254" s="17" t="s">
        <v>7800</v>
      </c>
      <c r="C1254" s="13">
        <v>43858</v>
      </c>
      <c r="D1254" s="13" t="s">
        <v>8465</v>
      </c>
      <c r="E1254" s="10" t="s">
        <v>1571</v>
      </c>
      <c r="F1254" s="10" t="s">
        <v>8553</v>
      </c>
      <c r="H1254" s="2" t="s">
        <v>151</v>
      </c>
      <c r="L1254" s="18">
        <v>1</v>
      </c>
      <c r="N1254" s="13">
        <v>43929</v>
      </c>
      <c r="O1254" s="29">
        <v>17.989999999999998</v>
      </c>
      <c r="P1254" s="18" t="s">
        <v>1107</v>
      </c>
      <c r="Q1254" s="18">
        <v>1</v>
      </c>
      <c r="R1254" s="13">
        <v>43931</v>
      </c>
      <c r="S1254" s="21">
        <f>3+32/60</f>
        <v>3.5333333333333332</v>
      </c>
      <c r="T1254" s="22">
        <v>0.6</v>
      </c>
      <c r="U1254" s="22">
        <v>0.76</v>
      </c>
      <c r="V1254" s="22">
        <f>3.59/5</f>
        <v>0.71799999999999997</v>
      </c>
      <c r="W1254" s="14" t="s">
        <v>7097</v>
      </c>
      <c r="AB1254" s="18">
        <f t="shared" si="38"/>
        <v>2020</v>
      </c>
      <c r="AC1254" s="22">
        <f t="shared" si="39"/>
        <v>0.69266666666666665</v>
      </c>
    </row>
    <row r="1255" spans="1:29" ht="25.5">
      <c r="A1255" s="8" t="s">
        <v>14196</v>
      </c>
      <c r="B1255" s="17" t="s">
        <v>7800</v>
      </c>
      <c r="C1255" s="13">
        <v>43830</v>
      </c>
      <c r="D1255" s="13" t="s">
        <v>8465</v>
      </c>
      <c r="E1255" s="10" t="s">
        <v>14197</v>
      </c>
      <c r="F1255" s="10" t="s">
        <v>14197</v>
      </c>
      <c r="G1255" s="11" t="s">
        <v>14198</v>
      </c>
      <c r="H1255" s="2" t="s">
        <v>171</v>
      </c>
      <c r="L1255" s="18">
        <v>1</v>
      </c>
      <c r="O1255" s="29">
        <v>0</v>
      </c>
      <c r="P1255" s="18" t="s">
        <v>1107</v>
      </c>
      <c r="Q1255" s="18">
        <v>0</v>
      </c>
      <c r="W1255" s="14" t="s">
        <v>8765</v>
      </c>
      <c r="X1255" s="3">
        <v>2</v>
      </c>
      <c r="AB1255" s="18">
        <f t="shared" si="38"/>
        <v>2019</v>
      </c>
      <c r="AC1255" s="22">
        <f t="shared" si="39"/>
        <v>0.4</v>
      </c>
    </row>
    <row r="1256" spans="1:29" ht="30">
      <c r="A1256" s="8" t="s">
        <v>8303</v>
      </c>
      <c r="B1256" s="17" t="s">
        <v>7744</v>
      </c>
      <c r="C1256" s="13">
        <v>43829</v>
      </c>
      <c r="D1256" s="13" t="s">
        <v>8467</v>
      </c>
      <c r="E1256" s="10" t="s">
        <v>1740</v>
      </c>
      <c r="F1256" s="10" t="s">
        <v>8304</v>
      </c>
      <c r="H1256" s="2" t="s">
        <v>147</v>
      </c>
      <c r="L1256" s="18">
        <v>1</v>
      </c>
      <c r="M1256" s="14" t="s">
        <v>8462</v>
      </c>
      <c r="N1256" s="13">
        <v>43837</v>
      </c>
      <c r="O1256" s="29">
        <v>42.03</v>
      </c>
      <c r="P1256" s="18" t="s">
        <v>14</v>
      </c>
      <c r="Q1256" s="18">
        <v>0</v>
      </c>
      <c r="U1256" s="22">
        <v>0.65</v>
      </c>
      <c r="V1256" s="22">
        <f>3.75/5</f>
        <v>0.75</v>
      </c>
      <c r="W1256" s="14" t="s">
        <v>1740</v>
      </c>
      <c r="X1256" s="3">
        <v>2</v>
      </c>
      <c r="Z1256" s="23">
        <v>3</v>
      </c>
      <c r="AB1256" s="18">
        <f t="shared" si="38"/>
        <v>2019</v>
      </c>
      <c r="AC1256" s="22">
        <f t="shared" si="39"/>
        <v>0.6</v>
      </c>
    </row>
    <row r="1257" spans="1:29" ht="30">
      <c r="A1257" s="8" t="s">
        <v>8974</v>
      </c>
      <c r="B1257" s="17" t="s">
        <v>7800</v>
      </c>
      <c r="C1257" s="13">
        <v>43822</v>
      </c>
      <c r="D1257" s="13" t="s">
        <v>8465</v>
      </c>
      <c r="E1257" s="10" t="s">
        <v>3366</v>
      </c>
      <c r="F1257" s="10" t="s">
        <v>3366</v>
      </c>
      <c r="G1257" s="11" t="s">
        <v>3528</v>
      </c>
      <c r="H1257" s="2" t="s">
        <v>149</v>
      </c>
      <c r="L1257" s="18">
        <v>1</v>
      </c>
      <c r="N1257" s="13">
        <v>44007</v>
      </c>
      <c r="O1257" s="29">
        <v>6.99</v>
      </c>
      <c r="P1257" s="18" t="s">
        <v>1107</v>
      </c>
      <c r="Q1257" s="18">
        <v>0</v>
      </c>
      <c r="V1257" s="22">
        <f>3.73/5</f>
        <v>0.746</v>
      </c>
      <c r="W1257" s="14" t="s">
        <v>7777</v>
      </c>
      <c r="X1257" s="3">
        <v>4</v>
      </c>
      <c r="Z1257" s="23">
        <v>6</v>
      </c>
      <c r="AB1257" s="18">
        <f t="shared" si="38"/>
        <v>2019</v>
      </c>
      <c r="AC1257" s="22">
        <f t="shared" si="39"/>
        <v>0.77300000000000002</v>
      </c>
    </row>
    <row r="1258" spans="1:29">
      <c r="A1258" s="8" t="s">
        <v>11477</v>
      </c>
      <c r="B1258" s="17" t="s">
        <v>7800</v>
      </c>
      <c r="C1258" s="13">
        <v>43812</v>
      </c>
      <c r="D1258" s="13" t="s">
        <v>8465</v>
      </c>
      <c r="E1258" s="10" t="s">
        <v>11478</v>
      </c>
      <c r="F1258" s="10" t="s">
        <v>11479</v>
      </c>
      <c r="H1258" s="2" t="s">
        <v>1383</v>
      </c>
      <c r="L1258" s="18">
        <v>1</v>
      </c>
      <c r="N1258" s="13">
        <v>44644</v>
      </c>
      <c r="O1258" s="29">
        <v>0</v>
      </c>
      <c r="P1258" s="18" t="s">
        <v>1107</v>
      </c>
      <c r="Q1258" s="18">
        <v>0</v>
      </c>
      <c r="V1258" s="22">
        <f>3.42/5</f>
        <v>0.68399999999999994</v>
      </c>
      <c r="W1258" s="14" t="s">
        <v>7097</v>
      </c>
      <c r="X1258" s="3">
        <v>3</v>
      </c>
      <c r="Z1258" s="23">
        <v>6.5</v>
      </c>
      <c r="AB1258" s="18">
        <f t="shared" si="38"/>
        <v>2019</v>
      </c>
      <c r="AC1258" s="22">
        <f t="shared" si="39"/>
        <v>0.6419999999999999</v>
      </c>
    </row>
    <row r="1259" spans="1:29" ht="25.5">
      <c r="A1259" s="8" t="s">
        <v>10569</v>
      </c>
      <c r="B1259" s="17" t="s">
        <v>7800</v>
      </c>
      <c r="C1259" s="13">
        <v>43811</v>
      </c>
      <c r="D1259" s="13" t="s">
        <v>8465</v>
      </c>
      <c r="E1259" s="10" t="s">
        <v>10570</v>
      </c>
      <c r="F1259" s="10" t="s">
        <v>10570</v>
      </c>
      <c r="H1259" s="2" t="s">
        <v>149</v>
      </c>
      <c r="L1259" s="18">
        <v>1</v>
      </c>
      <c r="N1259" s="13">
        <v>44498</v>
      </c>
      <c r="O1259" s="29">
        <v>3.99</v>
      </c>
      <c r="P1259" s="18" t="s">
        <v>1107</v>
      </c>
      <c r="Q1259" s="18">
        <v>0</v>
      </c>
      <c r="U1259" s="22">
        <v>0.8</v>
      </c>
      <c r="V1259" s="22">
        <f>4/5</f>
        <v>0.8</v>
      </c>
      <c r="W1259" s="14" t="s">
        <v>7777</v>
      </c>
      <c r="X1259" s="3">
        <v>4</v>
      </c>
      <c r="Z1259" s="23">
        <v>17.5</v>
      </c>
      <c r="AB1259" s="18">
        <f t="shared" si="38"/>
        <v>2019</v>
      </c>
      <c r="AC1259" s="22">
        <f t="shared" si="39"/>
        <v>0.80000000000000016</v>
      </c>
    </row>
    <row r="1260" spans="1:29">
      <c r="A1260" s="8" t="s">
        <v>13733</v>
      </c>
      <c r="B1260" s="17" t="s">
        <v>7800</v>
      </c>
      <c r="C1260" s="13">
        <v>43811</v>
      </c>
      <c r="D1260" s="13" t="s">
        <v>8465</v>
      </c>
      <c r="E1260" s="10" t="s">
        <v>13484</v>
      </c>
      <c r="F1260" s="10" t="s">
        <v>13484</v>
      </c>
      <c r="H1260" s="2" t="s">
        <v>1057</v>
      </c>
      <c r="L1260" s="18">
        <v>1</v>
      </c>
      <c r="N1260" s="13">
        <v>45003</v>
      </c>
      <c r="O1260" s="29">
        <v>0.99</v>
      </c>
      <c r="P1260" s="18" t="s">
        <v>1107</v>
      </c>
      <c r="Q1260" s="18">
        <v>0</v>
      </c>
      <c r="V1260" s="22">
        <f>3/5</f>
        <v>0.6</v>
      </c>
      <c r="W1260" s="14" t="s">
        <v>7777</v>
      </c>
      <c r="X1260" s="3">
        <v>2</v>
      </c>
      <c r="Z1260" s="23">
        <f>30/60</f>
        <v>0.5</v>
      </c>
      <c r="AB1260" s="18">
        <f t="shared" si="38"/>
        <v>2019</v>
      </c>
      <c r="AC1260" s="22">
        <f t="shared" si="39"/>
        <v>0.5</v>
      </c>
    </row>
    <row r="1261" spans="1:29" ht="38.25">
      <c r="A1261" s="8" t="s">
        <v>9246</v>
      </c>
      <c r="B1261" s="17" t="s">
        <v>7800</v>
      </c>
      <c r="C1261" s="13">
        <v>43810</v>
      </c>
      <c r="D1261" s="13" t="s">
        <v>8465</v>
      </c>
      <c r="E1261" s="10" t="s">
        <v>9247</v>
      </c>
      <c r="F1261" s="10" t="s">
        <v>9247</v>
      </c>
      <c r="G1261" s="11" t="s">
        <v>5497</v>
      </c>
      <c r="H1261" s="2" t="s">
        <v>67</v>
      </c>
      <c r="L1261" s="18">
        <v>1</v>
      </c>
      <c r="N1261" s="13">
        <v>44078</v>
      </c>
      <c r="O1261" s="29">
        <v>12</v>
      </c>
      <c r="P1261" s="18" t="s">
        <v>1107</v>
      </c>
      <c r="Q1261" s="18">
        <v>0</v>
      </c>
      <c r="U1261" s="22">
        <v>0.7</v>
      </c>
      <c r="V1261" s="22">
        <f>3.08/5</f>
        <v>0.61599999999999999</v>
      </c>
      <c r="W1261" s="14" t="s">
        <v>7777</v>
      </c>
      <c r="X1261" s="3">
        <v>2</v>
      </c>
      <c r="Z1261" s="23">
        <v>5.5</v>
      </c>
      <c r="AB1261" s="18">
        <f t="shared" si="38"/>
        <v>2019</v>
      </c>
      <c r="AC1261" s="22">
        <f t="shared" si="39"/>
        <v>0.57199999999999995</v>
      </c>
    </row>
    <row r="1262" spans="1:29">
      <c r="A1262" s="8" t="s">
        <v>8622</v>
      </c>
      <c r="B1262" s="17" t="s">
        <v>7800</v>
      </c>
      <c r="C1262" s="13">
        <v>43809</v>
      </c>
      <c r="D1262" s="13" t="s">
        <v>8465</v>
      </c>
      <c r="E1262" s="10" t="s">
        <v>1714</v>
      </c>
      <c r="F1262" s="10" t="s">
        <v>8623</v>
      </c>
      <c r="H1262" s="2" t="s">
        <v>1220</v>
      </c>
      <c r="L1262" s="18">
        <v>1</v>
      </c>
      <c r="N1262" s="13">
        <v>43952</v>
      </c>
      <c r="O1262" s="29">
        <v>0</v>
      </c>
      <c r="P1262" s="18" t="s">
        <v>1107</v>
      </c>
      <c r="Q1262" s="18">
        <v>0</v>
      </c>
      <c r="U1262" s="22">
        <v>0.79</v>
      </c>
      <c r="V1262" s="22">
        <f>3.1/5</f>
        <v>0.62</v>
      </c>
      <c r="W1262" s="14" t="s">
        <v>7777</v>
      </c>
      <c r="X1262" s="3">
        <v>2</v>
      </c>
      <c r="Z1262" s="23">
        <v>2</v>
      </c>
      <c r="AB1262" s="18">
        <f t="shared" si="38"/>
        <v>2019</v>
      </c>
      <c r="AC1262" s="22">
        <f t="shared" si="39"/>
        <v>0.60333333333333339</v>
      </c>
    </row>
    <row r="1263" spans="1:29" ht="25.5">
      <c r="A1263" s="8" t="s">
        <v>8236</v>
      </c>
      <c r="B1263" s="17" t="s">
        <v>7744</v>
      </c>
      <c r="C1263" s="13">
        <v>43805</v>
      </c>
      <c r="D1263" s="13" t="s">
        <v>8465</v>
      </c>
      <c r="E1263" s="10" t="s">
        <v>1047</v>
      </c>
      <c r="F1263" s="10" t="s">
        <v>1047</v>
      </c>
      <c r="G1263" s="11" t="s">
        <v>1563</v>
      </c>
      <c r="H1263" s="2" t="s">
        <v>80</v>
      </c>
      <c r="L1263" s="18">
        <v>1</v>
      </c>
      <c r="M1263" s="14" t="s">
        <v>8462</v>
      </c>
      <c r="N1263" s="13">
        <v>43805</v>
      </c>
      <c r="O1263" s="29">
        <v>43.39</v>
      </c>
      <c r="P1263" s="18" t="s">
        <v>14</v>
      </c>
      <c r="Q1263" s="18">
        <v>0</v>
      </c>
      <c r="U1263" s="22">
        <v>0.8</v>
      </c>
      <c r="V1263" s="22">
        <f>4.01/5</f>
        <v>0.80199999999999994</v>
      </c>
      <c r="X1263" s="3">
        <v>2</v>
      </c>
      <c r="Z1263" s="23">
        <v>30</v>
      </c>
      <c r="AB1263" s="18">
        <f t="shared" si="38"/>
        <v>2019</v>
      </c>
      <c r="AC1263" s="22">
        <f t="shared" si="39"/>
        <v>0.66733333333333322</v>
      </c>
    </row>
    <row r="1264" spans="1:29" ht="25.5">
      <c r="A1264" s="8" t="s">
        <v>9847</v>
      </c>
      <c r="B1264" s="17" t="s">
        <v>7744</v>
      </c>
      <c r="C1264" s="13">
        <v>43804</v>
      </c>
      <c r="D1264" s="13" t="s">
        <v>8465</v>
      </c>
      <c r="E1264" s="10" t="s">
        <v>1082</v>
      </c>
      <c r="F1264" s="10" t="s">
        <v>7406</v>
      </c>
      <c r="G1264" s="11" t="s">
        <v>840</v>
      </c>
      <c r="H1264" s="2" t="s">
        <v>171</v>
      </c>
      <c r="L1264" s="18">
        <v>1</v>
      </c>
      <c r="N1264" s="13">
        <v>44274</v>
      </c>
      <c r="O1264" s="29">
        <v>0</v>
      </c>
      <c r="P1264" s="18" t="s">
        <v>1107</v>
      </c>
      <c r="Q1264" s="18">
        <v>0</v>
      </c>
      <c r="U1264" s="22">
        <v>0.74</v>
      </c>
      <c r="V1264" s="22">
        <f>3.82/5</f>
        <v>0.76400000000000001</v>
      </c>
      <c r="X1264" s="3">
        <v>4</v>
      </c>
      <c r="Z1264" s="23">
        <v>20.5</v>
      </c>
      <c r="AB1264" s="18">
        <f t="shared" si="38"/>
        <v>2019</v>
      </c>
      <c r="AC1264" s="22">
        <f t="shared" si="39"/>
        <v>0.76800000000000013</v>
      </c>
    </row>
    <row r="1265" spans="1:29">
      <c r="A1265" s="8" t="s">
        <v>13071</v>
      </c>
      <c r="B1265" s="17" t="s">
        <v>7744</v>
      </c>
      <c r="C1265" s="13">
        <v>43804</v>
      </c>
      <c r="D1265" s="13" t="s">
        <v>8463</v>
      </c>
      <c r="E1265" s="10" t="s">
        <v>2129</v>
      </c>
      <c r="F1265" s="10" t="s">
        <v>2129</v>
      </c>
      <c r="G1265" s="11" t="s">
        <v>10273</v>
      </c>
      <c r="H1265" s="2" t="s">
        <v>171</v>
      </c>
      <c r="K1265" s="18">
        <v>1</v>
      </c>
      <c r="L1265" s="18">
        <v>0</v>
      </c>
      <c r="Q1265" s="18">
        <v>0</v>
      </c>
      <c r="V1265" s="22">
        <f>4.33/5</f>
        <v>0.86599999999999999</v>
      </c>
      <c r="X1265" s="3">
        <v>3</v>
      </c>
      <c r="Z1265" s="23">
        <v>47</v>
      </c>
      <c r="AB1265" s="18">
        <f t="shared" si="38"/>
        <v>2019</v>
      </c>
      <c r="AC1265" s="22">
        <f t="shared" si="39"/>
        <v>0.73299999999999998</v>
      </c>
    </row>
    <row r="1266" spans="1:29" ht="30">
      <c r="A1266" s="8" t="s">
        <v>9518</v>
      </c>
      <c r="B1266" s="17" t="s">
        <v>7744</v>
      </c>
      <c r="C1266" s="13">
        <v>43802</v>
      </c>
      <c r="D1266" s="13" t="s">
        <v>8465</v>
      </c>
      <c r="E1266" s="10" t="s">
        <v>1082</v>
      </c>
      <c r="F1266" s="10" t="s">
        <v>6140</v>
      </c>
      <c r="G1266" s="11" t="s">
        <v>9517</v>
      </c>
      <c r="H1266" s="2" t="s">
        <v>149</v>
      </c>
      <c r="L1266" s="18">
        <v>1</v>
      </c>
      <c r="N1266" s="13">
        <v>44182</v>
      </c>
      <c r="O1266" s="29">
        <v>13.97</v>
      </c>
      <c r="P1266" s="18" t="s">
        <v>1107</v>
      </c>
      <c r="Q1266" s="18">
        <v>0</v>
      </c>
      <c r="U1266" s="22">
        <v>0.79</v>
      </c>
      <c r="V1266" s="22">
        <f>3.9/5</f>
        <v>0.78</v>
      </c>
      <c r="X1266" s="3">
        <v>4</v>
      </c>
      <c r="Z1266" s="23">
        <v>20.5</v>
      </c>
      <c r="AB1266" s="18">
        <f t="shared" si="38"/>
        <v>2019</v>
      </c>
      <c r="AC1266" s="22">
        <f t="shared" si="39"/>
        <v>0.79</v>
      </c>
    </row>
    <row r="1267" spans="1:29">
      <c r="A1267" s="8" t="s">
        <v>8610</v>
      </c>
      <c r="B1267" s="17" t="s">
        <v>7800</v>
      </c>
      <c r="C1267" s="13">
        <v>43802</v>
      </c>
      <c r="D1267" s="13" t="s">
        <v>8465</v>
      </c>
      <c r="E1267" s="10" t="s">
        <v>1082</v>
      </c>
      <c r="F1267" s="10" t="s">
        <v>4805</v>
      </c>
      <c r="G1267" s="11" t="s">
        <v>4320</v>
      </c>
      <c r="H1267" s="2" t="s">
        <v>67</v>
      </c>
      <c r="L1267" s="18">
        <v>1</v>
      </c>
      <c r="N1267" s="13">
        <v>43951</v>
      </c>
      <c r="O1267" s="29">
        <v>13.79</v>
      </c>
      <c r="P1267" s="18" t="s">
        <v>1107</v>
      </c>
      <c r="Q1267" s="18">
        <v>0</v>
      </c>
      <c r="U1267" s="22">
        <v>0.7</v>
      </c>
      <c r="V1267" s="22">
        <f>3.16/5</f>
        <v>0.63200000000000001</v>
      </c>
      <c r="W1267" s="14" t="s">
        <v>7777</v>
      </c>
      <c r="X1267" s="3">
        <v>4</v>
      </c>
      <c r="Z1267" s="23">
        <v>15.5</v>
      </c>
      <c r="AB1267" s="18">
        <f t="shared" si="38"/>
        <v>2019</v>
      </c>
      <c r="AC1267" s="22">
        <f t="shared" si="39"/>
        <v>0.71066666666666656</v>
      </c>
    </row>
    <row r="1268" spans="1:29">
      <c r="A1268" s="8" t="s">
        <v>11900</v>
      </c>
      <c r="B1268" s="17" t="s">
        <v>7800</v>
      </c>
      <c r="C1268" s="13">
        <v>43802</v>
      </c>
      <c r="D1268" s="13" t="s">
        <v>8465</v>
      </c>
      <c r="E1268" s="10" t="s">
        <v>11901</v>
      </c>
      <c r="F1268" s="10" t="s">
        <v>11901</v>
      </c>
      <c r="H1268" s="2" t="s">
        <v>3937</v>
      </c>
      <c r="L1268" s="18">
        <v>1</v>
      </c>
      <c r="N1268" s="13">
        <v>44719</v>
      </c>
      <c r="O1268" s="29">
        <v>0</v>
      </c>
      <c r="P1268" s="18" t="s">
        <v>1107</v>
      </c>
      <c r="Q1268" s="18">
        <v>0</v>
      </c>
      <c r="U1268" s="22">
        <v>0.74</v>
      </c>
      <c r="V1268" s="22">
        <f>3.18/5</f>
        <v>0.63600000000000001</v>
      </c>
      <c r="W1268" s="14" t="s">
        <v>7777</v>
      </c>
      <c r="X1268" s="3">
        <v>3</v>
      </c>
      <c r="Z1268" s="23">
        <v>27</v>
      </c>
      <c r="AB1268" s="18">
        <f t="shared" si="38"/>
        <v>2019</v>
      </c>
      <c r="AC1268" s="22">
        <f t="shared" si="39"/>
        <v>0.65866666666666662</v>
      </c>
    </row>
    <row r="1269" spans="1:29">
      <c r="A1269" s="8" t="s">
        <v>12566</v>
      </c>
      <c r="B1269" s="17" t="s">
        <v>7800</v>
      </c>
      <c r="C1269" s="13">
        <v>43802</v>
      </c>
      <c r="D1269" s="13" t="s">
        <v>8465</v>
      </c>
      <c r="E1269" s="10" t="s">
        <v>12576</v>
      </c>
      <c r="F1269" s="10" t="s">
        <v>12576</v>
      </c>
      <c r="H1269" s="2" t="s">
        <v>64</v>
      </c>
      <c r="L1269" s="18">
        <v>1</v>
      </c>
      <c r="P1269" s="18" t="s">
        <v>1107</v>
      </c>
      <c r="Q1269" s="18">
        <v>0</v>
      </c>
      <c r="W1269" s="14" t="s">
        <v>7777</v>
      </c>
      <c r="X1269" s="3">
        <v>2</v>
      </c>
      <c r="AB1269" s="18">
        <f t="shared" si="38"/>
        <v>2019</v>
      </c>
      <c r="AC1269" s="22">
        <f t="shared" si="39"/>
        <v>0.4</v>
      </c>
    </row>
    <row r="1270" spans="1:29">
      <c r="A1270" s="8" t="s">
        <v>14106</v>
      </c>
      <c r="B1270" s="17" t="s">
        <v>7800</v>
      </c>
      <c r="C1270" s="13">
        <v>43795</v>
      </c>
      <c r="D1270" s="13" t="s">
        <v>8465</v>
      </c>
      <c r="E1270" s="10" t="s">
        <v>14107</v>
      </c>
      <c r="F1270" s="10" t="s">
        <v>14107</v>
      </c>
      <c r="H1270" s="2" t="s">
        <v>80</v>
      </c>
      <c r="L1270" s="18">
        <v>1</v>
      </c>
      <c r="O1270" s="29">
        <v>0</v>
      </c>
      <c r="P1270" s="18" t="s">
        <v>1107</v>
      </c>
      <c r="Q1270" s="18">
        <v>0</v>
      </c>
      <c r="W1270" s="14" t="s">
        <v>8765</v>
      </c>
      <c r="X1270" s="3">
        <v>2</v>
      </c>
      <c r="Z1270" s="23">
        <v>1</v>
      </c>
      <c r="AB1270" s="18">
        <f t="shared" si="38"/>
        <v>2019</v>
      </c>
      <c r="AC1270" s="22">
        <f t="shared" si="39"/>
        <v>0.4</v>
      </c>
    </row>
    <row r="1271" spans="1:29">
      <c r="A1271" s="8" t="s">
        <v>9909</v>
      </c>
      <c r="B1271" s="17" t="s">
        <v>7800</v>
      </c>
      <c r="C1271" s="13">
        <v>43791</v>
      </c>
      <c r="D1271" s="13" t="s">
        <v>8465</v>
      </c>
      <c r="E1271" s="10" t="s">
        <v>4798</v>
      </c>
      <c r="F1271" s="10" t="s">
        <v>9910</v>
      </c>
      <c r="H1271" s="2" t="s">
        <v>1050</v>
      </c>
      <c r="I1271" s="18">
        <v>1</v>
      </c>
      <c r="L1271" s="18">
        <v>1</v>
      </c>
      <c r="N1271" s="13">
        <v>44293</v>
      </c>
      <c r="O1271" s="29">
        <v>0</v>
      </c>
      <c r="P1271" s="18" t="s">
        <v>1107</v>
      </c>
      <c r="Q1271" s="18">
        <v>0</v>
      </c>
      <c r="U1271" s="22">
        <v>0.68</v>
      </c>
      <c r="V1271" s="22">
        <f>3.25/5</f>
        <v>0.65</v>
      </c>
      <c r="W1271" s="14" t="s">
        <v>7777</v>
      </c>
      <c r="X1271" s="3">
        <v>2</v>
      </c>
      <c r="Z1271" s="23">
        <v>4</v>
      </c>
      <c r="AB1271" s="18">
        <f t="shared" si="38"/>
        <v>2019</v>
      </c>
      <c r="AC1271" s="22">
        <f t="shared" si="39"/>
        <v>0.57666666666666666</v>
      </c>
    </row>
    <row r="1272" spans="1:29" ht="25.5">
      <c r="A1272" s="8" t="s">
        <v>9904</v>
      </c>
      <c r="B1272" s="17" t="s">
        <v>7800</v>
      </c>
      <c r="C1272" s="13">
        <v>43791</v>
      </c>
      <c r="D1272" s="13" t="s">
        <v>8465</v>
      </c>
      <c r="E1272" s="10" t="s">
        <v>9903</v>
      </c>
      <c r="F1272" s="10" t="s">
        <v>9903</v>
      </c>
      <c r="G1272" s="11" t="s">
        <v>5052</v>
      </c>
      <c r="H1272" s="2" t="s">
        <v>1050</v>
      </c>
      <c r="L1272" s="18">
        <v>1</v>
      </c>
      <c r="N1272" s="13">
        <v>44292</v>
      </c>
      <c r="O1272" s="29">
        <v>0</v>
      </c>
      <c r="P1272" s="18" t="s">
        <v>1107</v>
      </c>
      <c r="Q1272" s="18">
        <v>0</v>
      </c>
      <c r="U1272" s="22">
        <v>0.71</v>
      </c>
      <c r="V1272" s="22">
        <f>2.85/5</f>
        <v>0.57000000000000006</v>
      </c>
      <c r="W1272" s="14" t="s">
        <v>7777</v>
      </c>
      <c r="X1272" s="3">
        <v>2</v>
      </c>
      <c r="Z1272" s="23">
        <v>10</v>
      </c>
      <c r="AB1272" s="18">
        <f t="shared" si="38"/>
        <v>2019</v>
      </c>
      <c r="AC1272" s="22">
        <f t="shared" si="39"/>
        <v>0.56000000000000005</v>
      </c>
    </row>
    <row r="1273" spans="1:29" ht="25.5">
      <c r="A1273" s="8" t="s">
        <v>8149</v>
      </c>
      <c r="B1273" s="17" t="s">
        <v>7800</v>
      </c>
      <c r="C1273" s="13">
        <v>43790</v>
      </c>
      <c r="D1273" s="13" t="s">
        <v>8465</v>
      </c>
      <c r="E1273" s="10" t="s">
        <v>8150</v>
      </c>
      <c r="F1273" s="10" t="s">
        <v>8151</v>
      </c>
      <c r="H1273" s="2" t="s">
        <v>149</v>
      </c>
      <c r="L1273" s="18">
        <v>1</v>
      </c>
      <c r="N1273" s="13">
        <v>43790</v>
      </c>
      <c r="O1273" s="29">
        <v>15</v>
      </c>
      <c r="P1273" s="18" t="s">
        <v>1107</v>
      </c>
      <c r="Q1273" s="18">
        <v>0</v>
      </c>
      <c r="U1273" s="22">
        <v>0.86</v>
      </c>
      <c r="V1273" s="22">
        <f>4.33/5</f>
        <v>0.86599999999999999</v>
      </c>
      <c r="W1273" s="14" t="s">
        <v>7777</v>
      </c>
      <c r="X1273" s="3">
        <v>3</v>
      </c>
      <c r="Z1273" s="23">
        <v>25.5</v>
      </c>
      <c r="AB1273" s="18">
        <f t="shared" si="38"/>
        <v>2019</v>
      </c>
      <c r="AC1273" s="22">
        <f t="shared" si="39"/>
        <v>0.77533333333333332</v>
      </c>
    </row>
    <row r="1274" spans="1:29" ht="30">
      <c r="A1274" s="8" t="s">
        <v>10520</v>
      </c>
      <c r="B1274" s="17" t="s">
        <v>10521</v>
      </c>
      <c r="C1274" s="13">
        <v>43790</v>
      </c>
      <c r="D1274" s="13" t="s">
        <v>8465</v>
      </c>
      <c r="E1274" s="10" t="s">
        <v>10522</v>
      </c>
      <c r="F1274" s="10" t="s">
        <v>10523</v>
      </c>
      <c r="G1274" s="11" t="s">
        <v>1481</v>
      </c>
      <c r="H1274" s="2" t="s">
        <v>67</v>
      </c>
      <c r="I1274" s="18">
        <v>1</v>
      </c>
      <c r="L1274" s="18">
        <v>1</v>
      </c>
      <c r="N1274" s="13">
        <v>44484</v>
      </c>
      <c r="O1274" s="29">
        <v>0</v>
      </c>
      <c r="P1274" s="18" t="s">
        <v>1107</v>
      </c>
      <c r="Q1274" s="18">
        <v>0</v>
      </c>
      <c r="U1274" s="22">
        <v>0.64</v>
      </c>
      <c r="V1274" s="22">
        <f>3.7/5</f>
        <v>0.74</v>
      </c>
      <c r="W1274" s="14" t="s">
        <v>10524</v>
      </c>
      <c r="X1274" s="3">
        <v>3</v>
      </c>
      <c r="Z1274" s="23">
        <f>44/60</f>
        <v>0.73333333333333328</v>
      </c>
      <c r="AB1274" s="18">
        <f t="shared" si="38"/>
        <v>2019</v>
      </c>
      <c r="AC1274" s="22">
        <f t="shared" si="39"/>
        <v>0.66</v>
      </c>
    </row>
    <row r="1275" spans="1:29">
      <c r="A1275" s="8" t="s">
        <v>9486</v>
      </c>
      <c r="B1275" s="17" t="s">
        <v>7800</v>
      </c>
      <c r="C1275" s="13">
        <v>43789</v>
      </c>
      <c r="D1275" s="13" t="s">
        <v>8465</v>
      </c>
      <c r="E1275" s="10" t="s">
        <v>3559</v>
      </c>
      <c r="F1275" s="10" t="s">
        <v>9487</v>
      </c>
      <c r="H1275" s="2" t="s">
        <v>67</v>
      </c>
      <c r="L1275" s="18">
        <v>1</v>
      </c>
      <c r="N1275" s="13">
        <v>44169</v>
      </c>
      <c r="O1275" s="29">
        <v>0</v>
      </c>
      <c r="P1275" s="18" t="s">
        <v>1107</v>
      </c>
      <c r="Q1275" s="18">
        <v>0</v>
      </c>
      <c r="U1275" s="22">
        <v>0.77</v>
      </c>
      <c r="V1275" s="22">
        <f>4/5</f>
        <v>0.8</v>
      </c>
      <c r="W1275" s="14" t="s">
        <v>7777</v>
      </c>
      <c r="X1275" s="3">
        <v>2</v>
      </c>
      <c r="Z1275" s="23">
        <v>5.5</v>
      </c>
      <c r="AB1275" s="18">
        <f t="shared" si="38"/>
        <v>2019</v>
      </c>
      <c r="AC1275" s="22">
        <f t="shared" si="39"/>
        <v>0.65666666666666673</v>
      </c>
    </row>
    <row r="1276" spans="1:29" ht="25.5">
      <c r="A1276" s="8" t="s">
        <v>15429</v>
      </c>
      <c r="B1276" s="17" t="s">
        <v>7800</v>
      </c>
      <c r="C1276" s="13">
        <v>43789</v>
      </c>
      <c r="D1276" s="13" t="s">
        <v>8465</v>
      </c>
      <c r="E1276" s="10" t="s">
        <v>479</v>
      </c>
      <c r="F1276" s="10" t="s">
        <v>479</v>
      </c>
      <c r="G1276" s="11" t="s">
        <v>3340</v>
      </c>
      <c r="H1276" s="2" t="s">
        <v>459</v>
      </c>
      <c r="L1276" s="18">
        <v>1</v>
      </c>
      <c r="N1276" s="13">
        <v>45131</v>
      </c>
      <c r="O1276" s="29">
        <v>0</v>
      </c>
      <c r="P1276" s="18" t="s">
        <v>1107</v>
      </c>
      <c r="Q1276" s="18">
        <v>0</v>
      </c>
      <c r="V1276" s="22">
        <f>3.57/5</f>
        <v>0.71399999999999997</v>
      </c>
      <c r="W1276" s="14" t="s">
        <v>7777</v>
      </c>
      <c r="X1276" s="3">
        <v>3</v>
      </c>
      <c r="Z1276" s="23">
        <v>4</v>
      </c>
      <c r="AB1276" s="18">
        <f t="shared" si="38"/>
        <v>2019</v>
      </c>
      <c r="AC1276" s="22">
        <f t="shared" si="39"/>
        <v>0.65700000000000003</v>
      </c>
    </row>
    <row r="1277" spans="1:29">
      <c r="A1277" s="8" t="s">
        <v>9562</v>
      </c>
      <c r="B1277" s="17" t="s">
        <v>7800</v>
      </c>
      <c r="C1277" s="13">
        <v>43788</v>
      </c>
      <c r="D1277" s="13" t="s">
        <v>8465</v>
      </c>
      <c r="E1277" s="10" t="s">
        <v>1163</v>
      </c>
      <c r="F1277" s="10" t="s">
        <v>9563</v>
      </c>
      <c r="G1277" s="11" t="s">
        <v>2758</v>
      </c>
      <c r="H1277" s="2" t="s">
        <v>80</v>
      </c>
      <c r="L1277" s="18">
        <v>1</v>
      </c>
      <c r="N1277" s="13">
        <v>44201</v>
      </c>
      <c r="O1277" s="29">
        <v>6.99</v>
      </c>
      <c r="P1277" s="18" t="s">
        <v>1107</v>
      </c>
      <c r="Q1277" s="18">
        <v>0</v>
      </c>
      <c r="U1277" s="22">
        <v>0.69</v>
      </c>
      <c r="V1277" s="22">
        <f>3.24/5</f>
        <v>0.64800000000000002</v>
      </c>
      <c r="W1277" s="14" t="s">
        <v>7097</v>
      </c>
      <c r="X1277" s="3">
        <v>3</v>
      </c>
      <c r="Z1277" s="23">
        <v>25.5</v>
      </c>
      <c r="AB1277" s="18">
        <f t="shared" si="38"/>
        <v>2019</v>
      </c>
      <c r="AC1277" s="22">
        <f t="shared" si="39"/>
        <v>0.64600000000000002</v>
      </c>
    </row>
    <row r="1278" spans="1:29">
      <c r="A1278" s="8" t="s">
        <v>8536</v>
      </c>
      <c r="B1278" s="17" t="s">
        <v>7800</v>
      </c>
      <c r="C1278" s="13">
        <v>43788</v>
      </c>
      <c r="D1278" s="13" t="s">
        <v>8465</v>
      </c>
      <c r="E1278" s="10" t="s">
        <v>5085</v>
      </c>
      <c r="F1278" s="10" t="s">
        <v>5085</v>
      </c>
      <c r="H1278" s="2" t="s">
        <v>78</v>
      </c>
      <c r="L1278" s="18">
        <v>1</v>
      </c>
      <c r="N1278" s="13">
        <v>43924</v>
      </c>
      <c r="O1278" s="29">
        <v>0</v>
      </c>
      <c r="P1278" s="18" t="s">
        <v>1107</v>
      </c>
      <c r="Q1278" s="18">
        <v>0</v>
      </c>
      <c r="V1278" s="22">
        <f>3.5/5</f>
        <v>0.7</v>
      </c>
      <c r="W1278" s="14" t="s">
        <v>7777</v>
      </c>
      <c r="X1278" s="3">
        <v>2</v>
      </c>
      <c r="Z1278" s="23">
        <v>16.5</v>
      </c>
      <c r="AB1278" s="18">
        <f t="shared" si="38"/>
        <v>2019</v>
      </c>
      <c r="AC1278" s="22">
        <f t="shared" si="39"/>
        <v>0.55000000000000004</v>
      </c>
    </row>
    <row r="1279" spans="1:29" ht="25.5">
      <c r="A1279" s="8" t="s">
        <v>8326</v>
      </c>
      <c r="B1279" s="17" t="s">
        <v>7800</v>
      </c>
      <c r="C1279" s="13">
        <v>43788</v>
      </c>
      <c r="D1279" s="13" t="s">
        <v>8465</v>
      </c>
      <c r="E1279" s="10" t="s">
        <v>1151</v>
      </c>
      <c r="F1279" s="10" t="s">
        <v>8327</v>
      </c>
      <c r="H1279" s="2" t="s">
        <v>3937</v>
      </c>
      <c r="L1279" s="18">
        <v>1</v>
      </c>
      <c r="N1279" s="13">
        <v>43864</v>
      </c>
      <c r="O1279" s="29">
        <v>0</v>
      </c>
      <c r="P1279" s="18" t="s">
        <v>1107</v>
      </c>
      <c r="Q1279" s="18">
        <v>0</v>
      </c>
      <c r="U1279" s="22">
        <v>0.45</v>
      </c>
      <c r="V1279" s="22">
        <f>3/5</f>
        <v>0.6</v>
      </c>
      <c r="W1279" s="14" t="s">
        <v>7799</v>
      </c>
      <c r="X1279" s="3">
        <v>2</v>
      </c>
      <c r="AB1279" s="18">
        <f t="shared" si="38"/>
        <v>2019</v>
      </c>
      <c r="AC1279" s="22">
        <f t="shared" si="39"/>
        <v>0.48333333333333339</v>
      </c>
    </row>
    <row r="1280" spans="1:29">
      <c r="A1280" s="8" t="s">
        <v>12137</v>
      </c>
      <c r="B1280" s="17" t="s">
        <v>7800</v>
      </c>
      <c r="C1280" s="13">
        <v>43786</v>
      </c>
      <c r="D1280" s="13" t="s">
        <v>8465</v>
      </c>
      <c r="E1280" s="10" t="s">
        <v>12138</v>
      </c>
      <c r="F1280" s="10" t="s">
        <v>12138</v>
      </c>
      <c r="H1280" s="2" t="s">
        <v>78</v>
      </c>
      <c r="L1280" s="18">
        <v>1</v>
      </c>
      <c r="O1280" s="29">
        <v>0</v>
      </c>
      <c r="P1280" s="18" t="s">
        <v>1107</v>
      </c>
      <c r="Q1280" s="18">
        <v>0</v>
      </c>
      <c r="W1280" s="14" t="s">
        <v>8765</v>
      </c>
      <c r="X1280" s="3">
        <v>2</v>
      </c>
      <c r="Z1280" s="23">
        <v>2</v>
      </c>
      <c r="AB1280" s="18">
        <f t="shared" si="38"/>
        <v>2019</v>
      </c>
      <c r="AC1280" s="22">
        <f t="shared" si="39"/>
        <v>0.4</v>
      </c>
    </row>
    <row r="1281" spans="1:29">
      <c r="A1281" s="8" t="s">
        <v>15862</v>
      </c>
      <c r="B1281" s="17" t="s">
        <v>7800</v>
      </c>
      <c r="C1281" s="13">
        <v>43785</v>
      </c>
      <c r="D1281" s="13" t="s">
        <v>8465</v>
      </c>
      <c r="E1281" s="10" t="s">
        <v>12543</v>
      </c>
      <c r="F1281" s="10" t="s">
        <v>12543</v>
      </c>
      <c r="G1281" s="11" t="s">
        <v>15862</v>
      </c>
      <c r="H1281" s="2" t="s">
        <v>1050</v>
      </c>
      <c r="L1281" s="18">
        <v>1</v>
      </c>
      <c r="N1281" s="13">
        <v>45193</v>
      </c>
      <c r="O1281" s="29">
        <v>0</v>
      </c>
      <c r="P1281" s="18" t="s">
        <v>1107</v>
      </c>
      <c r="Q1281" s="18">
        <v>0</v>
      </c>
      <c r="V1281" s="22">
        <f>4/5</f>
        <v>0.8</v>
      </c>
      <c r="W1281" s="14" t="s">
        <v>7777</v>
      </c>
      <c r="X1281" s="3">
        <v>2</v>
      </c>
      <c r="Z1281" s="23">
        <v>2</v>
      </c>
      <c r="AB1281" s="18">
        <f t="shared" si="38"/>
        <v>2019</v>
      </c>
      <c r="AC1281" s="22">
        <f t="shared" si="39"/>
        <v>0.60000000000000009</v>
      </c>
    </row>
    <row r="1282" spans="1:29">
      <c r="A1282" s="8" t="s">
        <v>8113</v>
      </c>
      <c r="B1282" s="17" t="s">
        <v>7744</v>
      </c>
      <c r="C1282" s="13">
        <v>43784</v>
      </c>
      <c r="D1282" s="13" t="s">
        <v>8465</v>
      </c>
      <c r="E1282" s="10" t="s">
        <v>86</v>
      </c>
      <c r="F1282" s="10" t="s">
        <v>1354</v>
      </c>
      <c r="G1282" s="11" t="s">
        <v>1470</v>
      </c>
      <c r="H1282" s="2" t="s">
        <v>149</v>
      </c>
      <c r="L1282" s="18">
        <v>1</v>
      </c>
      <c r="M1282" s="14" t="s">
        <v>8462</v>
      </c>
      <c r="N1282" s="13">
        <v>43784</v>
      </c>
      <c r="O1282" s="29">
        <v>59.74</v>
      </c>
      <c r="P1282" s="18" t="s">
        <v>14</v>
      </c>
      <c r="Q1282" s="18">
        <v>0</v>
      </c>
      <c r="U1282" s="22">
        <v>0.84430000000000005</v>
      </c>
      <c r="V1282" s="22">
        <f>3.29/5</f>
        <v>0.65800000000000003</v>
      </c>
      <c r="X1282" s="3">
        <v>4</v>
      </c>
      <c r="Z1282" s="23">
        <v>16</v>
      </c>
      <c r="AB1282" s="18">
        <f t="shared" ref="AB1282:AB1345" si="40">IFERROR(YEAR(C1282), "Early Access")</f>
        <v>2019</v>
      </c>
      <c r="AC1282" s="22">
        <f t="shared" ref="AC1282:AC1345" si="41">AVERAGE(T1282, U1282, V1282, IF(ISBLANK(X1282), X1282, X1282/5))</f>
        <v>0.7674333333333333</v>
      </c>
    </row>
    <row r="1283" spans="1:29">
      <c r="A1283" s="8" t="s">
        <v>14150</v>
      </c>
      <c r="B1283" s="17" t="s">
        <v>7800</v>
      </c>
      <c r="C1283" s="13">
        <v>43784</v>
      </c>
      <c r="D1283" s="13" t="s">
        <v>8465</v>
      </c>
      <c r="E1283" s="10" t="s">
        <v>14151</v>
      </c>
      <c r="F1283" s="10" t="s">
        <v>14151</v>
      </c>
      <c r="H1283" s="2" t="s">
        <v>1050</v>
      </c>
      <c r="L1283" s="18">
        <v>1</v>
      </c>
      <c r="O1283" s="29">
        <v>0</v>
      </c>
      <c r="P1283" s="18" t="s">
        <v>1107</v>
      </c>
      <c r="Q1283" s="18">
        <v>0</v>
      </c>
      <c r="W1283" s="14" t="s">
        <v>8765</v>
      </c>
      <c r="X1283" s="3">
        <v>2</v>
      </c>
      <c r="Z1283" s="23">
        <f>49/60</f>
        <v>0.81666666666666665</v>
      </c>
      <c r="AB1283" s="18">
        <f t="shared" si="40"/>
        <v>2019</v>
      </c>
      <c r="AC1283" s="22">
        <f t="shared" si="41"/>
        <v>0.4</v>
      </c>
    </row>
    <row r="1284" spans="1:29">
      <c r="A1284" s="8" t="s">
        <v>13473</v>
      </c>
      <c r="B1284" s="17" t="s">
        <v>7800</v>
      </c>
      <c r="C1284" s="13">
        <v>43783</v>
      </c>
      <c r="D1284" s="13" t="s">
        <v>8465</v>
      </c>
      <c r="E1284" s="10" t="s">
        <v>4388</v>
      </c>
      <c r="F1284" s="10" t="s">
        <v>13474</v>
      </c>
      <c r="H1284" s="2" t="s">
        <v>80</v>
      </c>
      <c r="L1284" s="18">
        <v>1</v>
      </c>
      <c r="N1284" s="13">
        <v>44964</v>
      </c>
      <c r="O1284" s="29">
        <v>4.99</v>
      </c>
      <c r="P1284" s="18" t="s">
        <v>1107</v>
      </c>
      <c r="Q1284" s="18">
        <v>0</v>
      </c>
      <c r="U1284" s="22">
        <v>0.7</v>
      </c>
      <c r="V1284" s="22">
        <f>3/5</f>
        <v>0.6</v>
      </c>
      <c r="W1284" s="14" t="s">
        <v>7777</v>
      </c>
      <c r="X1284" s="3">
        <v>3</v>
      </c>
      <c r="Z1284" s="23">
        <v>9.5</v>
      </c>
      <c r="AB1284" s="18">
        <f t="shared" si="40"/>
        <v>2019</v>
      </c>
      <c r="AC1284" s="22">
        <f t="shared" si="41"/>
        <v>0.6333333333333333</v>
      </c>
    </row>
    <row r="1285" spans="1:29" ht="25.5">
      <c r="A1285" s="8" t="s">
        <v>9794</v>
      </c>
      <c r="B1285" s="17" t="s">
        <v>7800</v>
      </c>
      <c r="C1285" s="13">
        <v>43783</v>
      </c>
      <c r="D1285" s="13" t="s">
        <v>8465</v>
      </c>
      <c r="E1285" s="10" t="s">
        <v>9795</v>
      </c>
      <c r="F1285" s="10" t="s">
        <v>4877</v>
      </c>
      <c r="H1285" s="2" t="s">
        <v>67</v>
      </c>
      <c r="L1285" s="18">
        <v>1</v>
      </c>
      <c r="N1285" s="13">
        <v>44250</v>
      </c>
      <c r="O1285" s="29">
        <v>12</v>
      </c>
      <c r="P1285" s="18" t="s">
        <v>1107</v>
      </c>
      <c r="Q1285" s="18">
        <v>0</v>
      </c>
      <c r="U1285" s="22">
        <v>0.65</v>
      </c>
      <c r="V1285" s="22">
        <f>3.1/5</f>
        <v>0.62</v>
      </c>
      <c r="W1285" s="14" t="s">
        <v>7777</v>
      </c>
      <c r="X1285" s="3">
        <v>2</v>
      </c>
      <c r="Z1285" s="23">
        <v>10.5</v>
      </c>
      <c r="AB1285" s="18">
        <f t="shared" si="40"/>
        <v>2019</v>
      </c>
      <c r="AC1285" s="22">
        <f t="shared" si="41"/>
        <v>0.55666666666666664</v>
      </c>
    </row>
    <row r="1286" spans="1:29">
      <c r="A1286" s="8" t="s">
        <v>8670</v>
      </c>
      <c r="B1286" s="17" t="s">
        <v>7800</v>
      </c>
      <c r="C1286" s="13">
        <v>43781</v>
      </c>
      <c r="D1286" s="13" t="s">
        <v>8465</v>
      </c>
      <c r="E1286" s="10" t="s">
        <v>8671</v>
      </c>
      <c r="F1286" s="10" t="s">
        <v>8671</v>
      </c>
      <c r="H1286" s="2" t="s">
        <v>3191</v>
      </c>
      <c r="L1286" s="18">
        <v>1</v>
      </c>
      <c r="N1286" s="13">
        <v>43965</v>
      </c>
      <c r="O1286" s="29">
        <v>5.19</v>
      </c>
      <c r="P1286" s="18" t="s">
        <v>1107</v>
      </c>
      <c r="Q1286" s="18">
        <v>0</v>
      </c>
      <c r="U1286" s="22">
        <v>0.73</v>
      </c>
      <c r="V1286" s="22">
        <f>3.71/5</f>
        <v>0.74199999999999999</v>
      </c>
      <c r="W1286" s="14" t="s">
        <v>7097</v>
      </c>
      <c r="X1286" s="3">
        <v>4</v>
      </c>
      <c r="Z1286" s="23">
        <v>2</v>
      </c>
      <c r="AB1286" s="18">
        <f t="shared" si="40"/>
        <v>2019</v>
      </c>
      <c r="AC1286" s="22">
        <f t="shared" si="41"/>
        <v>0.75733333333333341</v>
      </c>
    </row>
    <row r="1287" spans="1:29">
      <c r="A1287" s="8" t="s">
        <v>8513</v>
      </c>
      <c r="B1287" s="17" t="s">
        <v>7800</v>
      </c>
      <c r="C1287" s="13">
        <v>43781</v>
      </c>
      <c r="D1287" s="13" t="s">
        <v>8465</v>
      </c>
      <c r="E1287" s="10" t="s">
        <v>1693</v>
      </c>
      <c r="F1287" s="10" t="s">
        <v>1693</v>
      </c>
      <c r="G1287" s="11" t="s">
        <v>5279</v>
      </c>
      <c r="H1287" s="2" t="s">
        <v>1518</v>
      </c>
      <c r="L1287" s="18">
        <v>1</v>
      </c>
      <c r="N1287" s="13">
        <v>43910</v>
      </c>
      <c r="O1287" s="29">
        <v>2.25</v>
      </c>
      <c r="P1287" s="18" t="s">
        <v>1107</v>
      </c>
      <c r="Q1287" s="18">
        <v>0</v>
      </c>
      <c r="U1287" s="22">
        <v>0.73</v>
      </c>
      <c r="V1287" s="22">
        <f>3.46/5</f>
        <v>0.69199999999999995</v>
      </c>
      <c r="W1287" s="14" t="s">
        <v>7777</v>
      </c>
      <c r="X1287" s="3">
        <v>2</v>
      </c>
      <c r="Z1287" s="23">
        <v>9</v>
      </c>
      <c r="AB1287" s="18">
        <f t="shared" si="40"/>
        <v>2019</v>
      </c>
      <c r="AC1287" s="22">
        <f t="shared" si="41"/>
        <v>0.60733333333333339</v>
      </c>
    </row>
    <row r="1288" spans="1:29" ht="25.5">
      <c r="A1288" s="8" t="s">
        <v>15693</v>
      </c>
      <c r="B1288" s="17" t="s">
        <v>7800</v>
      </c>
      <c r="C1288" s="13">
        <v>43781</v>
      </c>
      <c r="D1288" s="13" t="s">
        <v>8465</v>
      </c>
      <c r="E1288" s="10" t="s">
        <v>9417</v>
      </c>
      <c r="F1288" s="10" t="s">
        <v>15375</v>
      </c>
      <c r="G1288" s="11" t="s">
        <v>3692</v>
      </c>
      <c r="H1288" s="2" t="s">
        <v>67</v>
      </c>
      <c r="I1288" s="18">
        <v>1</v>
      </c>
      <c r="L1288" s="18">
        <v>1</v>
      </c>
      <c r="N1288" s="13">
        <v>45169</v>
      </c>
      <c r="O1288" s="29">
        <v>5.99</v>
      </c>
      <c r="P1288" s="18" t="s">
        <v>1107</v>
      </c>
      <c r="Q1288" s="18">
        <v>0</v>
      </c>
      <c r="U1288" s="22">
        <v>0.6</v>
      </c>
      <c r="W1288" s="14" t="s">
        <v>7777</v>
      </c>
      <c r="X1288" s="3">
        <v>2</v>
      </c>
      <c r="Z1288" s="23">
        <v>2.5</v>
      </c>
      <c r="AB1288" s="18">
        <f t="shared" si="40"/>
        <v>2019</v>
      </c>
      <c r="AC1288" s="22">
        <f t="shared" si="41"/>
        <v>0.5</v>
      </c>
    </row>
    <row r="1289" spans="1:29">
      <c r="A1289" s="8" t="s">
        <v>796</v>
      </c>
      <c r="B1289" s="17" t="s">
        <v>7744</v>
      </c>
      <c r="C1289" s="13">
        <v>43780</v>
      </c>
      <c r="D1289" s="13" t="s">
        <v>8465</v>
      </c>
      <c r="E1289" s="10" t="s">
        <v>1082</v>
      </c>
      <c r="F1289" s="10" t="s">
        <v>1537</v>
      </c>
      <c r="G1289" s="11" t="s">
        <v>9517</v>
      </c>
      <c r="H1289" s="2" t="s">
        <v>149</v>
      </c>
      <c r="L1289" s="18">
        <v>1</v>
      </c>
      <c r="N1289" s="13">
        <v>44274</v>
      </c>
      <c r="O1289" s="29">
        <v>0</v>
      </c>
      <c r="P1289" s="18" t="s">
        <v>1107</v>
      </c>
      <c r="Q1289" s="18">
        <v>0</v>
      </c>
      <c r="U1289" s="22">
        <v>0.73</v>
      </c>
      <c r="V1289" s="22">
        <f>4.09/5</f>
        <v>0.81799999999999995</v>
      </c>
      <c r="X1289" s="3">
        <v>4</v>
      </c>
      <c r="Z1289" s="23">
        <v>26</v>
      </c>
      <c r="AB1289" s="18">
        <f t="shared" si="40"/>
        <v>2019</v>
      </c>
      <c r="AC1289" s="22">
        <f t="shared" si="41"/>
        <v>0.78266666666666662</v>
      </c>
    </row>
    <row r="1290" spans="1:29">
      <c r="A1290" s="8" t="s">
        <v>14172</v>
      </c>
      <c r="B1290" s="17" t="s">
        <v>7800</v>
      </c>
      <c r="C1290" s="13">
        <v>43778</v>
      </c>
      <c r="D1290" s="13" t="s">
        <v>8465</v>
      </c>
      <c r="E1290" s="10" t="s">
        <v>14173</v>
      </c>
      <c r="F1290" s="10" t="s">
        <v>14173</v>
      </c>
      <c r="H1290" s="2" t="s">
        <v>1040</v>
      </c>
      <c r="L1290" s="18">
        <v>1</v>
      </c>
      <c r="O1290" s="29">
        <v>0</v>
      </c>
      <c r="P1290" s="18" t="s">
        <v>1107</v>
      </c>
      <c r="Q1290" s="18">
        <v>0</v>
      </c>
      <c r="W1290" s="14" t="s">
        <v>8765</v>
      </c>
      <c r="X1290" s="3">
        <v>3</v>
      </c>
      <c r="AB1290" s="18">
        <f t="shared" si="40"/>
        <v>2019</v>
      </c>
      <c r="AC1290" s="22">
        <f t="shared" si="41"/>
        <v>0.6</v>
      </c>
    </row>
    <row r="1291" spans="1:29" ht="30">
      <c r="A1291" s="8" t="s">
        <v>8111</v>
      </c>
      <c r="B1291" s="17" t="s">
        <v>7760</v>
      </c>
      <c r="C1291" s="13">
        <v>43777</v>
      </c>
      <c r="D1291" s="13" t="s">
        <v>8465</v>
      </c>
      <c r="E1291" s="10" t="s">
        <v>6107</v>
      </c>
      <c r="F1291" s="10" t="s">
        <v>1940</v>
      </c>
      <c r="G1291" s="11" t="s">
        <v>8111</v>
      </c>
      <c r="H1291" s="2" t="s">
        <v>80</v>
      </c>
      <c r="L1291" s="18">
        <v>1</v>
      </c>
      <c r="M1291" s="14" t="s">
        <v>8462</v>
      </c>
      <c r="N1291" s="13">
        <v>43777</v>
      </c>
      <c r="O1291" s="29">
        <v>59.88</v>
      </c>
      <c r="P1291" s="18" t="s">
        <v>14</v>
      </c>
      <c r="Q1291" s="18">
        <v>0</v>
      </c>
      <c r="U1291" s="22">
        <v>0.83660000000000001</v>
      </c>
      <c r="V1291" s="22">
        <f>3.82/5</f>
        <v>0.76400000000000001</v>
      </c>
      <c r="X1291" s="3">
        <v>4</v>
      </c>
      <c r="Z1291" s="23">
        <v>35</v>
      </c>
      <c r="AB1291" s="18">
        <f t="shared" si="40"/>
        <v>2019</v>
      </c>
      <c r="AC1291" s="22">
        <f t="shared" si="41"/>
        <v>0.80019999999999991</v>
      </c>
    </row>
    <row r="1292" spans="1:29">
      <c r="A1292" s="8" t="s">
        <v>14054</v>
      </c>
      <c r="B1292" s="17" t="s">
        <v>7783</v>
      </c>
      <c r="C1292" s="13">
        <v>43777</v>
      </c>
      <c r="D1292" s="13" t="s">
        <v>8465</v>
      </c>
      <c r="E1292" s="10" t="s">
        <v>14055</v>
      </c>
      <c r="F1292" s="10" t="s">
        <v>14055</v>
      </c>
      <c r="H1292" s="2" t="s">
        <v>67</v>
      </c>
      <c r="L1292" s="18">
        <v>0</v>
      </c>
      <c r="Q1292" s="18">
        <v>0</v>
      </c>
      <c r="U1292" s="22">
        <v>0.77</v>
      </c>
      <c r="W1292" s="14" t="s">
        <v>8572</v>
      </c>
      <c r="X1292" s="3">
        <v>3</v>
      </c>
      <c r="AB1292" s="18">
        <f t="shared" si="40"/>
        <v>2019</v>
      </c>
      <c r="AC1292" s="22">
        <f t="shared" si="41"/>
        <v>0.68500000000000005</v>
      </c>
    </row>
    <row r="1293" spans="1:29" ht="63.75">
      <c r="A1293" s="8" t="s">
        <v>8112</v>
      </c>
      <c r="B1293" s="17" t="s">
        <v>7744</v>
      </c>
      <c r="C1293" s="13">
        <v>43777</v>
      </c>
      <c r="D1293" s="13" t="s">
        <v>8465</v>
      </c>
      <c r="E1293" s="10" t="s">
        <v>2129</v>
      </c>
      <c r="F1293" s="10" t="s">
        <v>2129</v>
      </c>
      <c r="G1293" s="11" t="s">
        <v>2130</v>
      </c>
      <c r="H1293" s="2" t="s">
        <v>78</v>
      </c>
      <c r="L1293" s="18">
        <v>1</v>
      </c>
      <c r="M1293" s="14" t="s">
        <v>8462</v>
      </c>
      <c r="N1293" s="13">
        <v>43777</v>
      </c>
      <c r="O1293" s="29">
        <v>32.880000000000003</v>
      </c>
      <c r="P1293" s="18" t="s">
        <v>14</v>
      </c>
      <c r="Q1293" s="18">
        <v>0</v>
      </c>
      <c r="U1293" s="22">
        <v>0.70830000000000004</v>
      </c>
      <c r="V1293" s="22">
        <f>3.65/5</f>
        <v>0.73</v>
      </c>
      <c r="X1293" s="3">
        <v>3</v>
      </c>
      <c r="Z1293" s="23">
        <v>18.5</v>
      </c>
      <c r="AB1293" s="18">
        <f t="shared" si="40"/>
        <v>2019</v>
      </c>
      <c r="AC1293" s="22">
        <f t="shared" si="41"/>
        <v>0.67943333333333333</v>
      </c>
    </row>
    <row r="1294" spans="1:29">
      <c r="A1294" s="8" t="s">
        <v>12165</v>
      </c>
      <c r="B1294" s="17" t="s">
        <v>7800</v>
      </c>
      <c r="C1294" s="13">
        <v>43777</v>
      </c>
      <c r="D1294" s="13" t="s">
        <v>8465</v>
      </c>
      <c r="E1294" s="10" t="s">
        <v>231</v>
      </c>
      <c r="F1294" s="10" t="s">
        <v>9369</v>
      </c>
      <c r="G1294" s="11" t="s">
        <v>4518</v>
      </c>
      <c r="H1294" s="2" t="s">
        <v>150</v>
      </c>
      <c r="L1294" s="18">
        <v>1</v>
      </c>
      <c r="N1294" s="13">
        <v>44754</v>
      </c>
      <c r="O1294" s="29">
        <v>0</v>
      </c>
      <c r="P1294" s="18" t="s">
        <v>1107</v>
      </c>
      <c r="Q1294" s="18">
        <v>0</v>
      </c>
      <c r="U1294" s="22">
        <v>0.72</v>
      </c>
      <c r="V1294" s="22">
        <f>2.93/5</f>
        <v>0.58600000000000008</v>
      </c>
      <c r="W1294" s="14" t="s">
        <v>7796</v>
      </c>
      <c r="X1294" s="3">
        <v>3</v>
      </c>
      <c r="Z1294" s="23">
        <v>13</v>
      </c>
      <c r="AB1294" s="18">
        <f t="shared" si="40"/>
        <v>2019</v>
      </c>
      <c r="AC1294" s="22">
        <f t="shared" si="41"/>
        <v>0.63533333333333342</v>
      </c>
    </row>
    <row r="1295" spans="1:29" ht="25.5">
      <c r="A1295" s="8" t="s">
        <v>12179</v>
      </c>
      <c r="B1295" s="17" t="s">
        <v>7800</v>
      </c>
      <c r="C1295" s="13">
        <v>43777</v>
      </c>
      <c r="D1295" s="13" t="s">
        <v>8465</v>
      </c>
      <c r="E1295" s="10" t="s">
        <v>9397</v>
      </c>
      <c r="F1295" s="10" t="s">
        <v>12180</v>
      </c>
      <c r="G1295" s="11" t="s">
        <v>12181</v>
      </c>
      <c r="H1295" s="2" t="s">
        <v>80</v>
      </c>
      <c r="L1295" s="18">
        <v>1</v>
      </c>
      <c r="N1295" s="13">
        <v>44758</v>
      </c>
      <c r="O1295" s="29">
        <v>10</v>
      </c>
      <c r="P1295" s="18" t="s">
        <v>1107</v>
      </c>
      <c r="Q1295" s="18">
        <v>0</v>
      </c>
      <c r="V1295" s="22">
        <f>3.33/5</f>
        <v>0.66600000000000004</v>
      </c>
      <c r="W1295" s="14" t="s">
        <v>7777</v>
      </c>
      <c r="X1295" s="3">
        <v>2</v>
      </c>
      <c r="Z1295" s="23">
        <v>1.5</v>
      </c>
      <c r="AB1295" s="18">
        <f t="shared" si="40"/>
        <v>2019</v>
      </c>
      <c r="AC1295" s="22">
        <f t="shared" si="41"/>
        <v>0.53300000000000003</v>
      </c>
    </row>
    <row r="1296" spans="1:29">
      <c r="A1296" s="8" t="s">
        <v>12552</v>
      </c>
      <c r="B1296" s="17" t="s">
        <v>7800</v>
      </c>
      <c r="C1296" s="13">
        <v>43776</v>
      </c>
      <c r="D1296" s="13" t="s">
        <v>8465</v>
      </c>
      <c r="E1296" s="10" t="s">
        <v>12553</v>
      </c>
      <c r="F1296" s="10" t="s">
        <v>12553</v>
      </c>
      <c r="H1296" s="2" t="s">
        <v>1050</v>
      </c>
      <c r="I1296" s="18">
        <v>1</v>
      </c>
      <c r="L1296" s="18">
        <v>1</v>
      </c>
      <c r="P1296" s="18" t="s">
        <v>1107</v>
      </c>
      <c r="Q1296" s="18">
        <v>0</v>
      </c>
      <c r="U1296" s="22">
        <v>0.83</v>
      </c>
      <c r="V1296" s="22">
        <f>4.17/5</f>
        <v>0.83399999999999996</v>
      </c>
      <c r="W1296" s="14" t="s">
        <v>7777</v>
      </c>
      <c r="X1296" s="3">
        <v>3</v>
      </c>
      <c r="Z1296" s="23">
        <v>2</v>
      </c>
      <c r="AB1296" s="18">
        <f t="shared" si="40"/>
        <v>2019</v>
      </c>
      <c r="AC1296" s="22">
        <f t="shared" si="41"/>
        <v>0.7546666666666666</v>
      </c>
    </row>
    <row r="1297" spans="1:29" ht="38.25">
      <c r="A1297" s="8" t="s">
        <v>13026</v>
      </c>
      <c r="B1297" s="17" t="s">
        <v>7760</v>
      </c>
      <c r="C1297" s="13">
        <v>43774</v>
      </c>
      <c r="D1297" s="13" t="s">
        <v>8465</v>
      </c>
      <c r="E1297" s="10" t="s">
        <v>2452</v>
      </c>
      <c r="F1297" s="10" t="s">
        <v>2768</v>
      </c>
      <c r="G1297" s="11" t="s">
        <v>3485</v>
      </c>
      <c r="H1297" s="2" t="s">
        <v>149</v>
      </c>
      <c r="L1297" s="18">
        <v>1</v>
      </c>
      <c r="M1297" s="14" t="s">
        <v>8462</v>
      </c>
      <c r="N1297" s="13">
        <v>44913</v>
      </c>
      <c r="O1297" s="29">
        <v>30.59</v>
      </c>
      <c r="P1297" s="18" t="s">
        <v>14</v>
      </c>
      <c r="Q1297" s="18">
        <v>0</v>
      </c>
      <c r="U1297" s="22">
        <v>0.62</v>
      </c>
      <c r="V1297" s="22">
        <f>3.87/5</f>
        <v>0.77400000000000002</v>
      </c>
      <c r="W1297" s="14" t="s">
        <v>9136</v>
      </c>
      <c r="X1297" s="3">
        <v>3</v>
      </c>
      <c r="Z1297" s="23">
        <v>29.5</v>
      </c>
      <c r="AB1297" s="18">
        <f t="shared" si="40"/>
        <v>2019</v>
      </c>
      <c r="AC1297" s="22">
        <f t="shared" si="41"/>
        <v>0.66466666666666674</v>
      </c>
    </row>
    <row r="1298" spans="1:29">
      <c r="A1298" s="8" t="s">
        <v>11699</v>
      </c>
      <c r="B1298" s="17" t="s">
        <v>7800</v>
      </c>
      <c r="C1298" s="13">
        <v>43774</v>
      </c>
      <c r="D1298" s="13" t="s">
        <v>8465</v>
      </c>
      <c r="E1298" s="10" t="s">
        <v>4352</v>
      </c>
      <c r="F1298" s="10" t="s">
        <v>4352</v>
      </c>
      <c r="H1298" s="2" t="s">
        <v>1334</v>
      </c>
      <c r="L1298" s="18">
        <v>1</v>
      </c>
      <c r="N1298" s="13">
        <v>44691</v>
      </c>
      <c r="O1298" s="29">
        <v>0</v>
      </c>
      <c r="P1298" s="18" t="s">
        <v>1107</v>
      </c>
      <c r="Q1298" s="18">
        <v>0</v>
      </c>
      <c r="U1298" s="22">
        <v>0.81</v>
      </c>
      <c r="V1298" s="22">
        <f>3.6/5</f>
        <v>0.72</v>
      </c>
      <c r="W1298" s="14" t="s">
        <v>7777</v>
      </c>
      <c r="X1298" s="3">
        <v>2</v>
      </c>
      <c r="Z1298" s="23">
        <v>41</v>
      </c>
      <c r="AB1298" s="18">
        <f t="shared" si="40"/>
        <v>2019</v>
      </c>
      <c r="AC1298" s="22">
        <f t="shared" si="41"/>
        <v>0.64333333333333342</v>
      </c>
    </row>
    <row r="1299" spans="1:29">
      <c r="A1299" s="8" t="s">
        <v>9018</v>
      </c>
      <c r="B1299" s="17" t="s">
        <v>7760</v>
      </c>
      <c r="C1299" s="13">
        <v>43770</v>
      </c>
      <c r="D1299" s="13" t="s">
        <v>8465</v>
      </c>
      <c r="E1299" s="10" t="s">
        <v>9019</v>
      </c>
      <c r="F1299" s="10" t="s">
        <v>9019</v>
      </c>
      <c r="H1299" s="2" t="s">
        <v>80</v>
      </c>
      <c r="L1299" s="18">
        <v>1</v>
      </c>
      <c r="M1299" s="14" t="s">
        <v>8462</v>
      </c>
      <c r="N1299" s="13">
        <v>44021</v>
      </c>
      <c r="O1299" s="29">
        <v>32.54</v>
      </c>
      <c r="P1299" s="18" t="s">
        <v>14</v>
      </c>
      <c r="Q1299" s="18">
        <v>0</v>
      </c>
      <c r="U1299" s="22">
        <v>0.67</v>
      </c>
      <c r="V1299" s="22">
        <f>3.65/5</f>
        <v>0.73</v>
      </c>
      <c r="X1299" s="3">
        <v>2</v>
      </c>
      <c r="Z1299" s="23">
        <v>6</v>
      </c>
      <c r="AB1299" s="18">
        <f t="shared" si="40"/>
        <v>2019</v>
      </c>
      <c r="AC1299" s="22">
        <f t="shared" si="41"/>
        <v>0.6</v>
      </c>
    </row>
    <row r="1300" spans="1:29">
      <c r="A1300" s="8" t="s">
        <v>9548</v>
      </c>
      <c r="B1300" s="17" t="s">
        <v>7800</v>
      </c>
      <c r="C1300" s="13">
        <v>43769</v>
      </c>
      <c r="D1300" s="13" t="s">
        <v>8465</v>
      </c>
      <c r="E1300" s="10" t="s">
        <v>9549</v>
      </c>
      <c r="F1300" s="10" t="s">
        <v>9550</v>
      </c>
      <c r="H1300" s="2" t="s">
        <v>1061</v>
      </c>
      <c r="L1300" s="18">
        <v>1</v>
      </c>
      <c r="N1300" s="13">
        <v>44197</v>
      </c>
      <c r="O1300" s="29">
        <v>0</v>
      </c>
      <c r="P1300" s="18" t="s">
        <v>1107</v>
      </c>
      <c r="Q1300" s="18">
        <v>0</v>
      </c>
      <c r="U1300" s="22">
        <v>0.74</v>
      </c>
      <c r="V1300" s="22">
        <f>3.05/5</f>
        <v>0.61</v>
      </c>
      <c r="W1300" s="14" t="s">
        <v>7777</v>
      </c>
      <c r="X1300" s="3">
        <v>3</v>
      </c>
      <c r="Z1300" s="23">
        <v>13</v>
      </c>
      <c r="AB1300" s="18">
        <f t="shared" si="40"/>
        <v>2019</v>
      </c>
      <c r="AC1300" s="22">
        <f t="shared" si="41"/>
        <v>0.65</v>
      </c>
    </row>
    <row r="1301" spans="1:29">
      <c r="A1301" s="8" t="s">
        <v>10715</v>
      </c>
      <c r="B1301" s="17" t="s">
        <v>7800</v>
      </c>
      <c r="C1301" s="13">
        <v>43769</v>
      </c>
      <c r="D1301" s="13" t="s">
        <v>8465</v>
      </c>
      <c r="E1301" s="10" t="s">
        <v>1519</v>
      </c>
      <c r="F1301" s="10" t="s">
        <v>10720</v>
      </c>
      <c r="H1301" s="2" t="s">
        <v>80</v>
      </c>
      <c r="L1301" s="18">
        <v>1</v>
      </c>
      <c r="N1301" s="13">
        <v>44527</v>
      </c>
      <c r="O1301" s="29">
        <v>2.83</v>
      </c>
      <c r="P1301" s="18" t="s">
        <v>1107</v>
      </c>
      <c r="Q1301" s="18">
        <v>0</v>
      </c>
      <c r="W1301" s="14" t="s">
        <v>7777</v>
      </c>
      <c r="X1301" s="3">
        <v>2</v>
      </c>
      <c r="Z1301" s="23">
        <v>7.5</v>
      </c>
      <c r="AB1301" s="18">
        <f t="shared" si="40"/>
        <v>2019</v>
      </c>
      <c r="AC1301" s="22">
        <f t="shared" si="41"/>
        <v>0.4</v>
      </c>
    </row>
    <row r="1302" spans="1:29">
      <c r="A1302" s="8" t="s">
        <v>9012</v>
      </c>
      <c r="B1302" s="17" t="s">
        <v>7800</v>
      </c>
      <c r="C1302" s="13">
        <v>43768</v>
      </c>
      <c r="D1302" s="13" t="s">
        <v>8465</v>
      </c>
      <c r="E1302" s="10" t="s">
        <v>9013</v>
      </c>
      <c r="F1302" s="10" t="s">
        <v>9013</v>
      </c>
      <c r="H1302" s="2" t="s">
        <v>149</v>
      </c>
      <c r="L1302" s="18">
        <v>1</v>
      </c>
      <c r="N1302" s="13">
        <v>44020</v>
      </c>
      <c r="O1302" s="29">
        <v>0</v>
      </c>
      <c r="P1302" s="18" t="s">
        <v>1107</v>
      </c>
      <c r="Q1302" s="18">
        <v>0</v>
      </c>
      <c r="V1302" s="22">
        <f>3.61/5</f>
        <v>0.72199999999999998</v>
      </c>
      <c r="W1302" s="14" t="s">
        <v>7777</v>
      </c>
      <c r="X1302" s="3">
        <v>2</v>
      </c>
      <c r="Z1302" s="23">
        <v>2</v>
      </c>
      <c r="AB1302" s="18">
        <f t="shared" si="40"/>
        <v>2019</v>
      </c>
      <c r="AC1302" s="22">
        <f t="shared" si="41"/>
        <v>0.56099999999999994</v>
      </c>
    </row>
    <row r="1303" spans="1:29" ht="25.5">
      <c r="A1303" s="8" t="s">
        <v>7988</v>
      </c>
      <c r="B1303" s="17" t="s">
        <v>7744</v>
      </c>
      <c r="C1303" s="13">
        <v>43767</v>
      </c>
      <c r="D1303" s="13" t="s">
        <v>8465</v>
      </c>
      <c r="E1303" s="10" t="s">
        <v>73</v>
      </c>
      <c r="F1303" s="10" t="s">
        <v>73</v>
      </c>
      <c r="G1303" s="11" t="s">
        <v>943</v>
      </c>
      <c r="H1303" s="2" t="s">
        <v>1168</v>
      </c>
      <c r="L1303" s="18">
        <v>1</v>
      </c>
      <c r="M1303" s="14" t="s">
        <v>8462</v>
      </c>
      <c r="N1303" s="13">
        <v>43767</v>
      </c>
      <c r="O1303" s="29">
        <v>54.24</v>
      </c>
      <c r="P1303" s="18" t="s">
        <v>14</v>
      </c>
      <c r="Q1303" s="18">
        <v>0</v>
      </c>
      <c r="V1303" s="22">
        <f>3.89/5</f>
        <v>0.77800000000000002</v>
      </c>
      <c r="X1303" s="3">
        <v>2</v>
      </c>
      <c r="Z1303" s="23">
        <f>16+12+21.5</f>
        <v>49.5</v>
      </c>
      <c r="AB1303" s="18">
        <f t="shared" si="40"/>
        <v>2019</v>
      </c>
      <c r="AC1303" s="22">
        <f t="shared" si="41"/>
        <v>0.58899999999999997</v>
      </c>
    </row>
    <row r="1304" spans="1:29">
      <c r="A1304" s="8" t="s">
        <v>14249</v>
      </c>
      <c r="B1304" s="17" t="s">
        <v>7800</v>
      </c>
      <c r="C1304" s="13">
        <v>43767</v>
      </c>
      <c r="D1304" s="13" t="s">
        <v>8465</v>
      </c>
      <c r="E1304" s="10" t="s">
        <v>14250</v>
      </c>
      <c r="F1304" s="10" t="s">
        <v>14231</v>
      </c>
      <c r="H1304" s="2" t="s">
        <v>64</v>
      </c>
      <c r="L1304" s="18">
        <v>1</v>
      </c>
      <c r="O1304" s="29">
        <v>0</v>
      </c>
      <c r="P1304" s="18" t="s">
        <v>1107</v>
      </c>
      <c r="Q1304" s="18">
        <v>0</v>
      </c>
      <c r="W1304" s="14" t="s">
        <v>8765</v>
      </c>
      <c r="X1304" s="3">
        <v>2</v>
      </c>
      <c r="AB1304" s="18">
        <f t="shared" si="40"/>
        <v>2019</v>
      </c>
      <c r="AC1304" s="22">
        <f t="shared" si="41"/>
        <v>0.4</v>
      </c>
    </row>
    <row r="1305" spans="1:29">
      <c r="A1305" s="8" t="s">
        <v>8204</v>
      </c>
      <c r="B1305" s="17" t="s">
        <v>7800</v>
      </c>
      <c r="C1305" s="13">
        <v>43763</v>
      </c>
      <c r="D1305" s="13" t="s">
        <v>8465</v>
      </c>
      <c r="E1305" s="10" t="s">
        <v>8205</v>
      </c>
      <c r="F1305" s="10" t="s">
        <v>3166</v>
      </c>
      <c r="H1305" s="2" t="s">
        <v>171</v>
      </c>
      <c r="L1305" s="18">
        <v>1</v>
      </c>
      <c r="N1305" s="13">
        <v>43799</v>
      </c>
      <c r="O1305" s="29">
        <v>0</v>
      </c>
      <c r="P1305" s="18" t="s">
        <v>1107</v>
      </c>
      <c r="Q1305" s="18">
        <v>0</v>
      </c>
      <c r="U1305" s="22">
        <v>0.83899999999999997</v>
      </c>
      <c r="V1305" s="22">
        <f>3.64/5</f>
        <v>0.72799999999999998</v>
      </c>
      <c r="W1305" s="14" t="s">
        <v>7097</v>
      </c>
      <c r="X1305" s="3">
        <v>4</v>
      </c>
      <c r="Z1305" s="23">
        <v>11.5</v>
      </c>
      <c r="AB1305" s="18">
        <f t="shared" si="40"/>
        <v>2019</v>
      </c>
      <c r="AC1305" s="22">
        <f t="shared" si="41"/>
        <v>0.78900000000000003</v>
      </c>
    </row>
    <row r="1306" spans="1:29" ht="30">
      <c r="A1306" s="8" t="s">
        <v>7991</v>
      </c>
      <c r="B1306" s="17" t="s">
        <v>7760</v>
      </c>
      <c r="C1306" s="13">
        <v>43763</v>
      </c>
      <c r="D1306" s="13" t="s">
        <v>8465</v>
      </c>
      <c r="E1306" s="10" t="s">
        <v>6107</v>
      </c>
      <c r="F1306" s="10" t="s">
        <v>7992</v>
      </c>
      <c r="G1306" s="11" t="s">
        <v>7991</v>
      </c>
      <c r="H1306" s="2" t="s">
        <v>80</v>
      </c>
      <c r="L1306" s="18">
        <v>1</v>
      </c>
      <c r="M1306" s="14" t="s">
        <v>8462</v>
      </c>
      <c r="N1306" s="13">
        <v>43763</v>
      </c>
      <c r="O1306" s="29">
        <v>32.54</v>
      </c>
      <c r="P1306" s="18" t="s">
        <v>14</v>
      </c>
      <c r="Q1306" s="18">
        <v>0</v>
      </c>
      <c r="U1306" s="22">
        <v>0.67859999999999998</v>
      </c>
      <c r="V1306" s="22">
        <f>3.9/5</f>
        <v>0.78</v>
      </c>
      <c r="X1306" s="3">
        <v>3</v>
      </c>
      <c r="Z1306" s="23">
        <v>9.5</v>
      </c>
      <c r="AB1306" s="18">
        <f t="shared" si="40"/>
        <v>2019</v>
      </c>
      <c r="AC1306" s="22">
        <f t="shared" si="41"/>
        <v>0.68620000000000003</v>
      </c>
    </row>
    <row r="1307" spans="1:29" ht="30">
      <c r="A1307" s="8" t="s">
        <v>8611</v>
      </c>
      <c r="B1307" s="17" t="s">
        <v>7800</v>
      </c>
      <c r="C1307" s="13">
        <v>43763</v>
      </c>
      <c r="D1307" s="13" t="s">
        <v>8465</v>
      </c>
      <c r="E1307" s="10" t="s">
        <v>8612</v>
      </c>
      <c r="F1307" s="10" t="s">
        <v>8613</v>
      </c>
      <c r="H1307" s="2" t="s">
        <v>80</v>
      </c>
      <c r="L1307" s="18">
        <v>1</v>
      </c>
      <c r="N1307" s="13">
        <v>43952</v>
      </c>
      <c r="O1307" s="29">
        <v>0</v>
      </c>
      <c r="P1307" s="18" t="s">
        <v>1107</v>
      </c>
      <c r="Q1307" s="18">
        <v>0</v>
      </c>
      <c r="V1307" s="22">
        <f>3.55/5</f>
        <v>0.71</v>
      </c>
      <c r="W1307" s="14" t="s">
        <v>7777</v>
      </c>
      <c r="X1307" s="3">
        <v>2</v>
      </c>
      <c r="Z1307" s="23">
        <v>9.5</v>
      </c>
      <c r="AB1307" s="18">
        <f t="shared" si="40"/>
        <v>2019</v>
      </c>
      <c r="AC1307" s="22">
        <f t="shared" si="41"/>
        <v>0.55499999999999994</v>
      </c>
    </row>
    <row r="1308" spans="1:29">
      <c r="A1308" s="8" t="s">
        <v>10434</v>
      </c>
      <c r="B1308" s="17" t="s">
        <v>7783</v>
      </c>
      <c r="C1308" s="13">
        <v>43763</v>
      </c>
      <c r="D1308" s="13" t="s">
        <v>8465</v>
      </c>
      <c r="E1308" s="10" t="s">
        <v>3212</v>
      </c>
      <c r="F1308" s="10" t="s">
        <v>3212</v>
      </c>
      <c r="H1308" s="2" t="s">
        <v>171</v>
      </c>
      <c r="L1308" s="18">
        <v>0</v>
      </c>
      <c r="Q1308" s="18">
        <v>0</v>
      </c>
      <c r="W1308" s="14" t="s">
        <v>8572</v>
      </c>
      <c r="X1308" s="3">
        <v>2</v>
      </c>
      <c r="Z1308" s="23">
        <v>8</v>
      </c>
      <c r="AB1308" s="18">
        <f t="shared" si="40"/>
        <v>2019</v>
      </c>
      <c r="AC1308" s="22">
        <f t="shared" si="41"/>
        <v>0.4</v>
      </c>
    </row>
    <row r="1309" spans="1:29" ht="25.5">
      <c r="A1309" s="8" t="s">
        <v>10544</v>
      </c>
      <c r="B1309" s="17" t="s">
        <v>7744</v>
      </c>
      <c r="C1309" s="13">
        <v>43762</v>
      </c>
      <c r="D1309" s="13" t="s">
        <v>9335</v>
      </c>
      <c r="E1309" s="10" t="s">
        <v>1082</v>
      </c>
      <c r="F1309" s="10" t="s">
        <v>1082</v>
      </c>
      <c r="G1309" s="11" t="s">
        <v>140</v>
      </c>
      <c r="H1309" s="2" t="s">
        <v>149</v>
      </c>
      <c r="K1309" s="18">
        <v>2</v>
      </c>
      <c r="L1309" s="18">
        <v>1</v>
      </c>
      <c r="M1309" s="14" t="s">
        <v>8462</v>
      </c>
      <c r="N1309" s="13">
        <v>44493</v>
      </c>
      <c r="O1309" s="29">
        <v>61.09</v>
      </c>
      <c r="P1309" s="18" t="s">
        <v>14</v>
      </c>
      <c r="Q1309" s="18">
        <v>0</v>
      </c>
      <c r="V1309" s="22">
        <f>3.94/5</f>
        <v>0.78800000000000003</v>
      </c>
      <c r="X1309" s="3">
        <v>4</v>
      </c>
      <c r="Z1309" s="23">
        <f>9+16+28</f>
        <v>53</v>
      </c>
      <c r="AB1309" s="18">
        <f t="shared" si="40"/>
        <v>2019</v>
      </c>
      <c r="AC1309" s="22">
        <f t="shared" si="41"/>
        <v>0.79400000000000004</v>
      </c>
    </row>
    <row r="1310" spans="1:29">
      <c r="A1310" s="8" t="s">
        <v>10579</v>
      </c>
      <c r="B1310" s="17" t="s">
        <v>7800</v>
      </c>
      <c r="C1310" s="13">
        <v>43761</v>
      </c>
      <c r="D1310" s="13" t="s">
        <v>8465</v>
      </c>
      <c r="E1310" s="10" t="s">
        <v>10580</v>
      </c>
      <c r="F1310" s="10" t="s">
        <v>10581</v>
      </c>
      <c r="G1310" s="11" t="s">
        <v>10579</v>
      </c>
      <c r="H1310" s="2" t="s">
        <v>171</v>
      </c>
      <c r="L1310" s="18">
        <v>1</v>
      </c>
      <c r="N1310" s="13">
        <v>44500</v>
      </c>
      <c r="O1310" s="29">
        <v>10.49</v>
      </c>
      <c r="P1310" s="18" t="s">
        <v>1107</v>
      </c>
      <c r="Q1310" s="18">
        <v>0</v>
      </c>
      <c r="V1310" s="22">
        <f>2.56/5</f>
        <v>0.51200000000000001</v>
      </c>
      <c r="W1310" s="14" t="s">
        <v>7777</v>
      </c>
      <c r="X1310" s="3">
        <v>4</v>
      </c>
      <c r="Z1310" s="23">
        <v>8.5</v>
      </c>
      <c r="AB1310" s="18">
        <f t="shared" si="40"/>
        <v>2019</v>
      </c>
      <c r="AC1310" s="22">
        <f t="shared" si="41"/>
        <v>0.65600000000000003</v>
      </c>
    </row>
    <row r="1311" spans="1:29" ht="30">
      <c r="A1311" s="8" t="s">
        <v>9362</v>
      </c>
      <c r="B1311" s="17" t="s">
        <v>7744</v>
      </c>
      <c r="C1311" s="13">
        <v>43760</v>
      </c>
      <c r="D1311" s="13" t="s">
        <v>8465</v>
      </c>
      <c r="E1311" s="10" t="s">
        <v>1680</v>
      </c>
      <c r="F1311" s="10" t="s">
        <v>3113</v>
      </c>
      <c r="G1311" s="11" t="s">
        <v>9363</v>
      </c>
      <c r="H1311" s="2" t="s">
        <v>1377</v>
      </c>
      <c r="L1311" s="18">
        <v>1</v>
      </c>
      <c r="M1311" s="14" t="s">
        <v>8462</v>
      </c>
      <c r="N1311" s="13">
        <v>44089</v>
      </c>
      <c r="O1311" s="29">
        <v>60.62</v>
      </c>
      <c r="P1311" s="18" t="s">
        <v>14</v>
      </c>
      <c r="Q1311" s="18">
        <v>0</v>
      </c>
      <c r="U1311" s="22">
        <v>0.75</v>
      </c>
      <c r="V1311" s="22">
        <f>4.2/5</f>
        <v>0.84000000000000008</v>
      </c>
      <c r="X1311" s="3">
        <v>3</v>
      </c>
      <c r="Z1311" s="23">
        <v>50</v>
      </c>
      <c r="AB1311" s="18">
        <f t="shared" si="40"/>
        <v>2019</v>
      </c>
      <c r="AC1311" s="22">
        <f t="shared" si="41"/>
        <v>0.73</v>
      </c>
    </row>
    <row r="1312" spans="1:29">
      <c r="A1312" s="8" t="s">
        <v>8477</v>
      </c>
      <c r="B1312" s="17" t="s">
        <v>7800</v>
      </c>
      <c r="C1312" s="13">
        <v>43760</v>
      </c>
      <c r="D1312" s="13" t="s">
        <v>8465</v>
      </c>
      <c r="E1312" s="10" t="s">
        <v>8478</v>
      </c>
      <c r="F1312" s="10" t="s">
        <v>8478</v>
      </c>
      <c r="G1312" s="11" t="s">
        <v>8479</v>
      </c>
      <c r="H1312" s="2" t="s">
        <v>3123</v>
      </c>
      <c r="L1312" s="18">
        <v>1</v>
      </c>
      <c r="N1312" s="13">
        <v>43896</v>
      </c>
      <c r="O1312" s="29">
        <v>0</v>
      </c>
      <c r="P1312" s="18" t="s">
        <v>1107</v>
      </c>
      <c r="Q1312" s="18">
        <v>0</v>
      </c>
      <c r="U1312" s="22">
        <v>0.81</v>
      </c>
      <c r="W1312" s="14" t="s">
        <v>7777</v>
      </c>
      <c r="X1312" s="3">
        <v>2</v>
      </c>
      <c r="Z1312" s="23">
        <v>4</v>
      </c>
      <c r="AB1312" s="18">
        <f t="shared" si="40"/>
        <v>2019</v>
      </c>
      <c r="AC1312" s="22">
        <f t="shared" si="41"/>
        <v>0.60499999999999998</v>
      </c>
    </row>
    <row r="1313" spans="1:29">
      <c r="A1313" s="8" t="s">
        <v>14082</v>
      </c>
      <c r="B1313" s="17" t="s">
        <v>7800</v>
      </c>
      <c r="C1313" s="13">
        <v>43760</v>
      </c>
      <c r="D1313" s="13" t="s">
        <v>8465</v>
      </c>
      <c r="E1313" s="10" t="s">
        <v>13235</v>
      </c>
      <c r="F1313" s="10" t="s">
        <v>13235</v>
      </c>
      <c r="G1313" s="11" t="s">
        <v>13236</v>
      </c>
      <c r="H1313" s="2" t="s">
        <v>171</v>
      </c>
      <c r="L1313" s="18">
        <v>1</v>
      </c>
      <c r="O1313" s="29">
        <v>0</v>
      </c>
      <c r="P1313" s="18" t="s">
        <v>1107</v>
      </c>
      <c r="Q1313" s="18">
        <v>0</v>
      </c>
      <c r="V1313" s="22">
        <f>4/5</f>
        <v>0.8</v>
      </c>
      <c r="W1313" s="14" t="s">
        <v>8765</v>
      </c>
      <c r="X1313" s="3">
        <v>2</v>
      </c>
      <c r="Z1313" s="23">
        <v>2.5</v>
      </c>
      <c r="AB1313" s="18">
        <f t="shared" si="40"/>
        <v>2019</v>
      </c>
      <c r="AC1313" s="22">
        <f t="shared" si="41"/>
        <v>0.60000000000000009</v>
      </c>
    </row>
    <row r="1314" spans="1:29" ht="30">
      <c r="A1314" s="8" t="s">
        <v>9022</v>
      </c>
      <c r="B1314" s="17" t="s">
        <v>7744</v>
      </c>
      <c r="C1314" s="13">
        <v>43760</v>
      </c>
      <c r="D1314" s="13" t="s">
        <v>8465</v>
      </c>
      <c r="E1314" s="10" t="s">
        <v>1062</v>
      </c>
      <c r="F1314" s="10" t="s">
        <v>2285</v>
      </c>
      <c r="H1314" s="2" t="s">
        <v>149</v>
      </c>
      <c r="L1314" s="18">
        <v>1</v>
      </c>
      <c r="M1314" s="14" t="s">
        <v>8462</v>
      </c>
      <c r="N1314" s="13">
        <v>44012</v>
      </c>
      <c r="O1314" s="29">
        <v>22.77</v>
      </c>
      <c r="P1314" s="18" t="s">
        <v>14</v>
      </c>
      <c r="Q1314" s="18">
        <v>0</v>
      </c>
      <c r="U1314" s="22">
        <v>0.56999999999999995</v>
      </c>
      <c r="V1314" s="22">
        <f>3.58/5</f>
        <v>0.71599999999999997</v>
      </c>
      <c r="W1314" s="14" t="s">
        <v>9023</v>
      </c>
      <c r="X1314" s="3">
        <v>2</v>
      </c>
      <c r="Z1314" s="23">
        <v>15</v>
      </c>
      <c r="AB1314" s="18">
        <f t="shared" si="40"/>
        <v>2019</v>
      </c>
      <c r="AC1314" s="22">
        <f t="shared" si="41"/>
        <v>0.56199999999999994</v>
      </c>
    </row>
    <row r="1315" spans="1:29">
      <c r="A1315" s="8" t="s">
        <v>9526</v>
      </c>
      <c r="B1315" s="17" t="s">
        <v>7800</v>
      </c>
      <c r="C1315" s="13">
        <v>43760</v>
      </c>
      <c r="D1315" s="13" t="s">
        <v>8465</v>
      </c>
      <c r="E1315" s="10" t="s">
        <v>4501</v>
      </c>
      <c r="F1315" s="10" t="s">
        <v>9527</v>
      </c>
      <c r="H1315" s="2" t="s">
        <v>1061</v>
      </c>
      <c r="L1315" s="18">
        <v>1</v>
      </c>
      <c r="N1315" s="13">
        <v>44189</v>
      </c>
      <c r="O1315" s="29">
        <v>14</v>
      </c>
      <c r="P1315" s="18" t="s">
        <v>1107</v>
      </c>
      <c r="Q1315" s="18">
        <v>0</v>
      </c>
      <c r="U1315" s="22">
        <v>0.69</v>
      </c>
      <c r="V1315" s="22">
        <f>2.68/5</f>
        <v>0.53600000000000003</v>
      </c>
      <c r="W1315" s="14" t="s">
        <v>7777</v>
      </c>
      <c r="X1315" s="3">
        <v>2</v>
      </c>
      <c r="Z1315" s="23">
        <v>6</v>
      </c>
      <c r="AB1315" s="18">
        <f t="shared" si="40"/>
        <v>2019</v>
      </c>
      <c r="AC1315" s="22">
        <f t="shared" si="41"/>
        <v>0.54199999999999993</v>
      </c>
    </row>
    <row r="1316" spans="1:29">
      <c r="A1316" s="8" t="s">
        <v>9905</v>
      </c>
      <c r="B1316" s="17" t="s">
        <v>7800</v>
      </c>
      <c r="C1316" s="13">
        <v>43760</v>
      </c>
      <c r="D1316" s="13" t="s">
        <v>8465</v>
      </c>
      <c r="E1316" s="10" t="s">
        <v>3310</v>
      </c>
      <c r="F1316" s="10" t="s">
        <v>3154</v>
      </c>
      <c r="G1316" s="11" t="s">
        <v>3356</v>
      </c>
      <c r="H1316" s="2" t="s">
        <v>1050</v>
      </c>
      <c r="I1316" s="18">
        <v>1</v>
      </c>
      <c r="L1316" s="18">
        <v>1</v>
      </c>
      <c r="N1316" s="13">
        <v>44293</v>
      </c>
      <c r="O1316" s="29">
        <v>15</v>
      </c>
      <c r="P1316" s="18" t="s">
        <v>1107</v>
      </c>
      <c r="Q1316" s="18">
        <v>0</v>
      </c>
      <c r="V1316" s="22">
        <f>3.67/5</f>
        <v>0.73399999999999999</v>
      </c>
      <c r="W1316" s="14" t="s">
        <v>7777</v>
      </c>
      <c r="X1316" s="3">
        <v>2</v>
      </c>
      <c r="Z1316" s="23">
        <v>30</v>
      </c>
      <c r="AB1316" s="18">
        <f t="shared" si="40"/>
        <v>2019</v>
      </c>
      <c r="AC1316" s="22">
        <f t="shared" si="41"/>
        <v>0.56699999999999995</v>
      </c>
    </row>
    <row r="1317" spans="1:29" ht="30">
      <c r="A1317" s="8" t="s">
        <v>9770</v>
      </c>
      <c r="B1317" s="17" t="s">
        <v>7744</v>
      </c>
      <c r="C1317" s="13">
        <v>43756</v>
      </c>
      <c r="D1317" s="13" t="s">
        <v>8465</v>
      </c>
      <c r="E1317" s="27" t="s">
        <v>9771</v>
      </c>
      <c r="F1317" s="10" t="s">
        <v>9772</v>
      </c>
      <c r="H1317" s="2" t="s">
        <v>67</v>
      </c>
      <c r="L1317" s="18">
        <v>1</v>
      </c>
      <c r="M1317" s="14" t="s">
        <v>8462</v>
      </c>
      <c r="N1317" s="13">
        <v>44036</v>
      </c>
      <c r="O1317" s="29">
        <v>43.56</v>
      </c>
      <c r="P1317" s="18" t="s">
        <v>14</v>
      </c>
      <c r="Q1317" s="18">
        <v>0</v>
      </c>
      <c r="U1317" s="22">
        <v>0.86</v>
      </c>
      <c r="V1317" s="22">
        <f>4.03/5</f>
        <v>0.80600000000000005</v>
      </c>
      <c r="W1317" s="14" t="s">
        <v>1134</v>
      </c>
      <c r="X1317" s="3">
        <v>4</v>
      </c>
      <c r="Z1317" s="23">
        <v>8</v>
      </c>
      <c r="AB1317" s="18">
        <f t="shared" si="40"/>
        <v>2019</v>
      </c>
      <c r="AC1317" s="22">
        <f t="shared" si="41"/>
        <v>0.82200000000000006</v>
      </c>
    </row>
    <row r="1318" spans="1:29" ht="38.25">
      <c r="A1318" s="8" t="s">
        <v>9781</v>
      </c>
      <c r="B1318" s="17" t="s">
        <v>7744</v>
      </c>
      <c r="C1318" s="13">
        <v>43756</v>
      </c>
      <c r="D1318" s="13" t="s">
        <v>8465</v>
      </c>
      <c r="E1318" s="10" t="s">
        <v>1604</v>
      </c>
      <c r="F1318" s="10" t="s">
        <v>6092</v>
      </c>
      <c r="G1318" s="11" t="s">
        <v>8877</v>
      </c>
      <c r="H1318" s="2" t="s">
        <v>149</v>
      </c>
      <c r="L1318" s="18">
        <v>1</v>
      </c>
      <c r="M1318" s="14" t="s">
        <v>8462</v>
      </c>
      <c r="N1318" s="13">
        <v>44241</v>
      </c>
      <c r="O1318" s="29">
        <v>31.99</v>
      </c>
      <c r="P1318" s="18" t="s">
        <v>14</v>
      </c>
      <c r="Q1318" s="18">
        <v>0</v>
      </c>
      <c r="U1318" s="22">
        <v>0.76</v>
      </c>
      <c r="V1318" s="22">
        <f>4.18/5</f>
        <v>0.83599999999999997</v>
      </c>
      <c r="X1318" s="3">
        <v>4</v>
      </c>
      <c r="Z1318" s="23">
        <v>109</v>
      </c>
      <c r="AB1318" s="18">
        <f t="shared" si="40"/>
        <v>2019</v>
      </c>
      <c r="AC1318" s="22">
        <f t="shared" si="41"/>
        <v>0.79866666666666664</v>
      </c>
    </row>
    <row r="1319" spans="1:29">
      <c r="A1319" s="8" t="s">
        <v>9131</v>
      </c>
      <c r="B1319" s="17" t="s">
        <v>7744</v>
      </c>
      <c r="C1319" s="13">
        <v>43756</v>
      </c>
      <c r="D1319" s="13" t="s">
        <v>8465</v>
      </c>
      <c r="E1319" s="10" t="s">
        <v>86</v>
      </c>
      <c r="F1319" s="10" t="s">
        <v>1138</v>
      </c>
      <c r="H1319" s="2" t="s">
        <v>171</v>
      </c>
      <c r="L1319" s="18">
        <v>1</v>
      </c>
      <c r="M1319" s="14" t="s">
        <v>8462</v>
      </c>
      <c r="N1319" s="13">
        <v>44041</v>
      </c>
      <c r="O1319" s="29">
        <v>86.79</v>
      </c>
      <c r="P1319" s="18" t="s">
        <v>14</v>
      </c>
      <c r="Q1319" s="18">
        <v>0</v>
      </c>
      <c r="U1319" s="22">
        <v>0.83</v>
      </c>
      <c r="V1319" s="22">
        <f>4.07/5</f>
        <v>0.81400000000000006</v>
      </c>
      <c r="X1319" s="3">
        <v>3</v>
      </c>
      <c r="Z1319" s="23">
        <v>35</v>
      </c>
      <c r="AB1319" s="18">
        <f t="shared" si="40"/>
        <v>2019</v>
      </c>
      <c r="AC1319" s="22">
        <f t="shared" si="41"/>
        <v>0.74800000000000011</v>
      </c>
    </row>
    <row r="1320" spans="1:29">
      <c r="A1320" s="8" t="s">
        <v>10424</v>
      </c>
      <c r="B1320" s="17" t="s">
        <v>7783</v>
      </c>
      <c r="C1320" s="13">
        <v>43756</v>
      </c>
      <c r="D1320" s="13" t="s">
        <v>8465</v>
      </c>
      <c r="E1320" s="10" t="s">
        <v>10439</v>
      </c>
      <c r="F1320" s="10" t="s">
        <v>10439</v>
      </c>
      <c r="H1320" s="2" t="s">
        <v>3191</v>
      </c>
      <c r="L1320" s="18">
        <v>0</v>
      </c>
      <c r="Q1320" s="18">
        <v>0</v>
      </c>
      <c r="W1320" s="14" t="s">
        <v>8572</v>
      </c>
      <c r="X1320" s="3">
        <v>3</v>
      </c>
      <c r="Z1320" s="23">
        <v>5</v>
      </c>
      <c r="AB1320" s="18">
        <f t="shared" si="40"/>
        <v>2019</v>
      </c>
      <c r="AC1320" s="22">
        <f t="shared" si="41"/>
        <v>0.6</v>
      </c>
    </row>
    <row r="1321" spans="1:29">
      <c r="A1321" s="8" t="s">
        <v>9483</v>
      </c>
      <c r="B1321" s="17" t="s">
        <v>7800</v>
      </c>
      <c r="C1321" s="13">
        <v>43755</v>
      </c>
      <c r="D1321" s="13" t="s">
        <v>8465</v>
      </c>
      <c r="E1321" s="10" t="s">
        <v>9484</v>
      </c>
      <c r="F1321" s="10" t="s">
        <v>9485</v>
      </c>
      <c r="H1321" s="2" t="s">
        <v>1061</v>
      </c>
      <c r="L1321" s="18">
        <v>1</v>
      </c>
      <c r="N1321" s="13">
        <v>44169</v>
      </c>
      <c r="O1321" s="29">
        <v>0</v>
      </c>
      <c r="P1321" s="18" t="s">
        <v>1107</v>
      </c>
      <c r="Q1321" s="18">
        <v>0</v>
      </c>
      <c r="U1321" s="22">
        <v>0.74</v>
      </c>
      <c r="V1321" s="22">
        <f>2.96/5</f>
        <v>0.59199999999999997</v>
      </c>
      <c r="W1321" s="14" t="s">
        <v>7777</v>
      </c>
      <c r="X1321" s="3">
        <v>2</v>
      </c>
      <c r="Z1321" s="23">
        <v>8</v>
      </c>
      <c r="AB1321" s="18">
        <f t="shared" si="40"/>
        <v>2019</v>
      </c>
      <c r="AC1321" s="22">
        <f t="shared" si="41"/>
        <v>0.57733333333333325</v>
      </c>
    </row>
    <row r="1322" spans="1:29">
      <c r="A1322" s="8" t="s">
        <v>8991</v>
      </c>
      <c r="B1322" s="17" t="s">
        <v>7800</v>
      </c>
      <c r="C1322" s="13">
        <v>43754</v>
      </c>
      <c r="D1322" s="13" t="s">
        <v>8465</v>
      </c>
      <c r="E1322" s="10" t="s">
        <v>3281</v>
      </c>
      <c r="F1322" s="10" t="s">
        <v>3281</v>
      </c>
      <c r="G1322" s="11" t="s">
        <v>3280</v>
      </c>
      <c r="H1322" s="2" t="s">
        <v>1054</v>
      </c>
      <c r="L1322" s="18">
        <v>1</v>
      </c>
      <c r="N1322" s="13">
        <v>44015</v>
      </c>
      <c r="O1322" s="29">
        <v>0</v>
      </c>
      <c r="P1322" s="18" t="s">
        <v>1107</v>
      </c>
      <c r="Q1322" s="18">
        <v>0</v>
      </c>
      <c r="V1322" s="22">
        <f>3.17/5</f>
        <v>0.63400000000000001</v>
      </c>
      <c r="W1322" s="14" t="s">
        <v>7777</v>
      </c>
      <c r="X1322" s="3">
        <v>2</v>
      </c>
      <c r="AB1322" s="18">
        <f t="shared" si="40"/>
        <v>2019</v>
      </c>
      <c r="AC1322" s="22">
        <f t="shared" si="41"/>
        <v>0.51700000000000002</v>
      </c>
    </row>
    <row r="1323" spans="1:29">
      <c r="A1323" s="8" t="s">
        <v>8955</v>
      </c>
      <c r="B1323" s="17" t="s">
        <v>7744</v>
      </c>
      <c r="C1323" s="13">
        <v>43754</v>
      </c>
      <c r="D1323" s="13" t="s">
        <v>8465</v>
      </c>
      <c r="E1323" s="10" t="s">
        <v>1062</v>
      </c>
      <c r="F1323" s="10" t="s">
        <v>1354</v>
      </c>
      <c r="H1323" s="2" t="s">
        <v>149</v>
      </c>
      <c r="L1323" s="18">
        <v>1</v>
      </c>
      <c r="M1323" s="14" t="s">
        <v>8462</v>
      </c>
      <c r="N1323" s="13">
        <v>44007</v>
      </c>
      <c r="O1323" s="29">
        <v>54.24</v>
      </c>
      <c r="P1323" s="18" t="s">
        <v>14</v>
      </c>
      <c r="Q1323" s="18">
        <v>0</v>
      </c>
      <c r="U1323" s="22">
        <v>0.64</v>
      </c>
      <c r="V1323" s="22">
        <f>2.34/5</f>
        <v>0.46799999999999997</v>
      </c>
      <c r="W1323" s="14" t="s">
        <v>8956</v>
      </c>
      <c r="X1323" s="3">
        <v>2</v>
      </c>
      <c r="Z1323" s="23">
        <v>16.5</v>
      </c>
      <c r="AB1323" s="18">
        <f t="shared" si="40"/>
        <v>2019</v>
      </c>
      <c r="AC1323" s="22">
        <f t="shared" si="41"/>
        <v>0.50266666666666671</v>
      </c>
    </row>
    <row r="1324" spans="1:29" ht="30">
      <c r="A1324" s="8" t="s">
        <v>7970</v>
      </c>
      <c r="B1324" s="17" t="s">
        <v>7744</v>
      </c>
      <c r="C1324" s="13">
        <v>43753</v>
      </c>
      <c r="D1324" s="13" t="s">
        <v>8467</v>
      </c>
      <c r="E1324" s="10" t="s">
        <v>7972</v>
      </c>
      <c r="F1324" s="10" t="s">
        <v>7971</v>
      </c>
      <c r="G1324" s="11" t="s">
        <v>656</v>
      </c>
      <c r="H1324" s="2" t="s">
        <v>153</v>
      </c>
      <c r="L1324" s="18">
        <v>1</v>
      </c>
      <c r="M1324" s="14" t="s">
        <v>8462</v>
      </c>
      <c r="N1324" s="13">
        <v>43757</v>
      </c>
      <c r="O1324" s="29">
        <v>42.96</v>
      </c>
      <c r="P1324" s="18" t="s">
        <v>14</v>
      </c>
      <c r="Q1324" s="18">
        <v>0</v>
      </c>
      <c r="U1324" s="22">
        <v>0.8327</v>
      </c>
      <c r="V1324" s="22">
        <f>4.17/5</f>
        <v>0.83399999999999996</v>
      </c>
      <c r="W1324" s="14" t="s">
        <v>1740</v>
      </c>
      <c r="X1324" s="3">
        <v>2</v>
      </c>
      <c r="Z1324" s="23">
        <v>2</v>
      </c>
      <c r="AB1324" s="18">
        <f t="shared" si="40"/>
        <v>2019</v>
      </c>
      <c r="AC1324" s="22">
        <f t="shared" si="41"/>
        <v>0.68889999999999996</v>
      </c>
    </row>
    <row r="1325" spans="1:29" ht="38.25">
      <c r="A1325" s="8" t="s">
        <v>7925</v>
      </c>
      <c r="B1325" s="17" t="s">
        <v>7744</v>
      </c>
      <c r="C1325" s="13">
        <v>43753</v>
      </c>
      <c r="D1325" s="13" t="s">
        <v>8465</v>
      </c>
      <c r="E1325" s="10" t="s">
        <v>3536</v>
      </c>
      <c r="F1325" s="10" t="s">
        <v>3537</v>
      </c>
      <c r="G1325" s="11" t="s">
        <v>5392</v>
      </c>
      <c r="H1325" s="2" t="s">
        <v>171</v>
      </c>
      <c r="L1325" s="18">
        <v>1</v>
      </c>
      <c r="M1325" s="14" t="s">
        <v>8462</v>
      </c>
      <c r="N1325" s="13">
        <v>43753</v>
      </c>
      <c r="O1325" s="29">
        <v>54.18</v>
      </c>
      <c r="P1325" s="18" t="s">
        <v>14</v>
      </c>
      <c r="Q1325" s="18">
        <v>0</v>
      </c>
      <c r="U1325" s="22">
        <v>0.87309999999999999</v>
      </c>
      <c r="V1325" s="22">
        <f>3.87/5</f>
        <v>0.77400000000000002</v>
      </c>
      <c r="X1325" s="3">
        <v>2</v>
      </c>
      <c r="Z1325" s="23">
        <v>51</v>
      </c>
      <c r="AB1325" s="18">
        <f t="shared" si="40"/>
        <v>2019</v>
      </c>
      <c r="AC1325" s="22">
        <f t="shared" si="41"/>
        <v>0.68236666666666668</v>
      </c>
    </row>
    <row r="1326" spans="1:29">
      <c r="A1326" s="8" t="s">
        <v>12881</v>
      </c>
      <c r="B1326" s="17" t="s">
        <v>7800</v>
      </c>
      <c r="C1326" s="13">
        <v>43751</v>
      </c>
      <c r="D1326" s="13" t="s">
        <v>8465</v>
      </c>
      <c r="E1326" s="10" t="s">
        <v>12880</v>
      </c>
      <c r="F1326" s="10" t="s">
        <v>12880</v>
      </c>
      <c r="H1326" s="2" t="s">
        <v>151</v>
      </c>
      <c r="L1326" s="18">
        <v>0</v>
      </c>
      <c r="Q1326" s="18">
        <v>0</v>
      </c>
      <c r="W1326" s="14" t="s">
        <v>5674</v>
      </c>
      <c r="X1326" s="3">
        <v>2</v>
      </c>
      <c r="AB1326" s="18">
        <f t="shared" si="40"/>
        <v>2019</v>
      </c>
      <c r="AC1326" s="22">
        <f t="shared" si="41"/>
        <v>0.4</v>
      </c>
    </row>
    <row r="1327" spans="1:29">
      <c r="A1327" s="8" t="s">
        <v>9722</v>
      </c>
      <c r="B1327" s="17" t="s">
        <v>7744</v>
      </c>
      <c r="C1327" s="13">
        <v>43749</v>
      </c>
      <c r="D1327" s="13" t="s">
        <v>8465</v>
      </c>
      <c r="E1327" s="10" t="s">
        <v>9723</v>
      </c>
      <c r="F1327" s="10" t="s">
        <v>9723</v>
      </c>
      <c r="G1327" s="11" t="s">
        <v>9724</v>
      </c>
      <c r="H1327" s="2" t="s">
        <v>6317</v>
      </c>
      <c r="L1327" s="18">
        <v>1</v>
      </c>
      <c r="M1327" s="14" t="s">
        <v>8462</v>
      </c>
      <c r="N1327" s="13">
        <v>44222</v>
      </c>
      <c r="O1327" s="29">
        <v>9.67</v>
      </c>
      <c r="P1327" s="18" t="s">
        <v>14</v>
      </c>
      <c r="Q1327" s="18">
        <v>0</v>
      </c>
      <c r="U1327" s="22">
        <v>0.83</v>
      </c>
      <c r="V1327" s="22">
        <f>3.39/5</f>
        <v>0.67800000000000005</v>
      </c>
      <c r="X1327" s="3">
        <v>1</v>
      </c>
      <c r="Z1327" s="23">
        <v>7.5</v>
      </c>
      <c r="AB1327" s="18">
        <f t="shared" si="40"/>
        <v>2019</v>
      </c>
      <c r="AC1327" s="22">
        <f t="shared" si="41"/>
        <v>0.56933333333333336</v>
      </c>
    </row>
    <row r="1328" spans="1:29">
      <c r="A1328" s="8" t="s">
        <v>9447</v>
      </c>
      <c r="B1328" s="17" t="s">
        <v>7744</v>
      </c>
      <c r="C1328" s="13">
        <v>43749</v>
      </c>
      <c r="D1328" s="13" t="s">
        <v>8465</v>
      </c>
      <c r="E1328" s="10" t="s">
        <v>9448</v>
      </c>
      <c r="F1328" s="10" t="s">
        <v>9448</v>
      </c>
      <c r="G1328" s="11" t="s">
        <v>9449</v>
      </c>
      <c r="H1328" s="2" t="s">
        <v>56</v>
      </c>
      <c r="L1328" s="18">
        <v>1</v>
      </c>
      <c r="M1328" s="14" t="s">
        <v>8462</v>
      </c>
      <c r="N1328" s="13">
        <v>44128</v>
      </c>
      <c r="O1328" s="29">
        <v>14.99</v>
      </c>
      <c r="P1328" s="18" t="s">
        <v>14</v>
      </c>
      <c r="Q1328" s="18">
        <v>0</v>
      </c>
      <c r="U1328" s="22">
        <v>0.44</v>
      </c>
      <c r="V1328" s="22">
        <f>2.86/5</f>
        <v>0.57199999999999995</v>
      </c>
      <c r="X1328" s="3">
        <v>2</v>
      </c>
      <c r="Z1328" s="23">
        <v>16</v>
      </c>
      <c r="AB1328" s="18">
        <f t="shared" si="40"/>
        <v>2019</v>
      </c>
      <c r="AC1328" s="22">
        <f t="shared" si="41"/>
        <v>0.47066666666666662</v>
      </c>
    </row>
    <row r="1329" spans="1:29">
      <c r="A1329" s="8" t="s">
        <v>10731</v>
      </c>
      <c r="B1329" s="17" t="s">
        <v>7800</v>
      </c>
      <c r="C1329" s="13">
        <v>43748</v>
      </c>
      <c r="D1329" s="13" t="s">
        <v>8465</v>
      </c>
      <c r="E1329" s="10" t="s">
        <v>10732</v>
      </c>
      <c r="F1329" s="10" t="s">
        <v>10733</v>
      </c>
      <c r="H1329" s="2" t="s">
        <v>151</v>
      </c>
      <c r="L1329" s="18">
        <v>1</v>
      </c>
      <c r="N1329" s="13">
        <v>44531</v>
      </c>
      <c r="O1329" s="29">
        <v>0</v>
      </c>
      <c r="P1329" s="18" t="s">
        <v>1107</v>
      </c>
      <c r="Q1329" s="18">
        <v>0</v>
      </c>
      <c r="U1329" s="22">
        <v>0.86</v>
      </c>
      <c r="V1329" s="22">
        <f>3.42/5</f>
        <v>0.68399999999999994</v>
      </c>
      <c r="W1329" s="14" t="s">
        <v>7777</v>
      </c>
      <c r="X1329" s="3">
        <v>3</v>
      </c>
      <c r="Z1329" s="23">
        <v>7.5</v>
      </c>
      <c r="AB1329" s="18">
        <f t="shared" si="40"/>
        <v>2019</v>
      </c>
      <c r="AC1329" s="22">
        <f t="shared" si="41"/>
        <v>0.71466666666666667</v>
      </c>
    </row>
    <row r="1330" spans="1:29" ht="25.5">
      <c r="A1330" s="8" t="s">
        <v>12667</v>
      </c>
      <c r="B1330" s="17" t="s">
        <v>7800</v>
      </c>
      <c r="C1330" s="13">
        <v>43748</v>
      </c>
      <c r="D1330" s="13" t="s">
        <v>8465</v>
      </c>
      <c r="E1330" s="10" t="s">
        <v>5548</v>
      </c>
      <c r="F1330" s="10" t="s">
        <v>5548</v>
      </c>
      <c r="G1330" s="11" t="s">
        <v>9191</v>
      </c>
      <c r="H1330" s="2" t="s">
        <v>1061</v>
      </c>
      <c r="L1330" s="18">
        <v>1</v>
      </c>
      <c r="P1330" s="18" t="s">
        <v>1107</v>
      </c>
      <c r="Q1330" s="18">
        <v>0</v>
      </c>
      <c r="U1330" s="22">
        <v>0.77</v>
      </c>
      <c r="V1330" s="22">
        <f>3.58/5</f>
        <v>0.71599999999999997</v>
      </c>
      <c r="W1330" s="14" t="s">
        <v>7777</v>
      </c>
      <c r="X1330" s="3">
        <v>3</v>
      </c>
      <c r="Z1330" s="23">
        <v>6.5</v>
      </c>
      <c r="AB1330" s="18">
        <f t="shared" si="40"/>
        <v>2019</v>
      </c>
      <c r="AC1330" s="22">
        <f t="shared" si="41"/>
        <v>0.69533333333333325</v>
      </c>
    </row>
    <row r="1331" spans="1:29">
      <c r="A1331" s="8" t="s">
        <v>10716</v>
      </c>
      <c r="B1331" s="17" t="s">
        <v>7800</v>
      </c>
      <c r="C1331" s="13">
        <v>43748</v>
      </c>
      <c r="D1331" s="13" t="s">
        <v>8465</v>
      </c>
      <c r="E1331" s="10" t="s">
        <v>1519</v>
      </c>
      <c r="F1331" s="10" t="s">
        <v>8972</v>
      </c>
      <c r="G1331" s="11" t="s">
        <v>9130</v>
      </c>
      <c r="H1331" s="2" t="s">
        <v>1057</v>
      </c>
      <c r="L1331" s="18">
        <v>1</v>
      </c>
      <c r="N1331" s="13">
        <v>44527</v>
      </c>
      <c r="O1331" s="29">
        <v>2.83</v>
      </c>
      <c r="P1331" s="18" t="s">
        <v>1107</v>
      </c>
      <c r="Q1331" s="18">
        <v>0</v>
      </c>
      <c r="V1331" s="22">
        <f>3.17/5</f>
        <v>0.63400000000000001</v>
      </c>
      <c r="W1331" s="14" t="s">
        <v>7777</v>
      </c>
      <c r="X1331" s="3">
        <v>3</v>
      </c>
      <c r="Z1331" s="23">
        <v>16</v>
      </c>
      <c r="AB1331" s="18">
        <f t="shared" si="40"/>
        <v>2019</v>
      </c>
      <c r="AC1331" s="22">
        <f t="shared" si="41"/>
        <v>0.61699999999999999</v>
      </c>
    </row>
    <row r="1332" spans="1:29">
      <c r="A1332" s="8" t="s">
        <v>14811</v>
      </c>
      <c r="B1332" s="17" t="s">
        <v>7800</v>
      </c>
      <c r="C1332" s="13">
        <v>43748</v>
      </c>
      <c r="D1332" s="13" t="s">
        <v>8465</v>
      </c>
      <c r="E1332" s="10" t="s">
        <v>10742</v>
      </c>
      <c r="F1332" s="10" t="s">
        <v>14812</v>
      </c>
      <c r="H1332" s="2" t="s">
        <v>80</v>
      </c>
      <c r="L1332" s="18">
        <v>1</v>
      </c>
      <c r="N1332" s="13">
        <v>45065</v>
      </c>
      <c r="O1332" s="29">
        <v>2.4900000000000002</v>
      </c>
      <c r="P1332" s="18" t="s">
        <v>1107</v>
      </c>
      <c r="Q1332" s="18">
        <v>0</v>
      </c>
      <c r="U1332" s="22">
        <v>0.57999999999999996</v>
      </c>
      <c r="V1332" s="22">
        <f>3.08/5</f>
        <v>0.61599999999999999</v>
      </c>
      <c r="W1332" s="14" t="s">
        <v>7097</v>
      </c>
      <c r="X1332" s="3">
        <v>2</v>
      </c>
      <c r="Z1332" s="23">
        <v>15</v>
      </c>
      <c r="AB1332" s="18">
        <f t="shared" si="40"/>
        <v>2019</v>
      </c>
      <c r="AC1332" s="22">
        <f t="shared" si="41"/>
        <v>0.53200000000000003</v>
      </c>
    </row>
    <row r="1333" spans="1:29" ht="25.5">
      <c r="A1333" s="8" t="s">
        <v>12879</v>
      </c>
      <c r="B1333" s="17" t="s">
        <v>7800</v>
      </c>
      <c r="C1333" s="13">
        <v>43748</v>
      </c>
      <c r="D1333" s="13" t="s">
        <v>8465</v>
      </c>
      <c r="E1333" s="10" t="s">
        <v>12880</v>
      </c>
      <c r="F1333" s="10" t="s">
        <v>12880</v>
      </c>
      <c r="H1333" s="2" t="s">
        <v>151</v>
      </c>
      <c r="L1333" s="18">
        <v>0</v>
      </c>
      <c r="Q1333" s="18">
        <v>0</v>
      </c>
      <c r="W1333" s="14" t="s">
        <v>5674</v>
      </c>
      <c r="X1333" s="3">
        <v>2</v>
      </c>
      <c r="AB1333" s="18">
        <f t="shared" si="40"/>
        <v>2019</v>
      </c>
      <c r="AC1333" s="22">
        <f t="shared" si="41"/>
        <v>0.4</v>
      </c>
    </row>
    <row r="1334" spans="1:29" ht="25.5">
      <c r="A1334" s="8" t="s">
        <v>10756</v>
      </c>
      <c r="B1334" s="17" t="s">
        <v>7800</v>
      </c>
      <c r="C1334" s="13">
        <v>43746</v>
      </c>
      <c r="D1334" s="13" t="s">
        <v>8465</v>
      </c>
      <c r="E1334" s="10" t="s">
        <v>7894</v>
      </c>
      <c r="F1334" s="10" t="s">
        <v>4544</v>
      </c>
      <c r="G1334" s="11" t="s">
        <v>5469</v>
      </c>
      <c r="H1334" s="2" t="s">
        <v>27</v>
      </c>
      <c r="L1334" s="18">
        <v>1</v>
      </c>
      <c r="N1334" s="13">
        <v>44533</v>
      </c>
      <c r="O1334" s="29">
        <v>3.33</v>
      </c>
      <c r="P1334" s="18" t="s">
        <v>1107</v>
      </c>
      <c r="Q1334" s="18">
        <v>0</v>
      </c>
      <c r="U1334" s="22">
        <v>0.81</v>
      </c>
      <c r="V1334" s="22">
        <f>3.97/5</f>
        <v>0.79400000000000004</v>
      </c>
      <c r="W1334" s="14" t="s">
        <v>7777</v>
      </c>
      <c r="X1334" s="3">
        <v>4</v>
      </c>
      <c r="Z1334" s="23">
        <v>10</v>
      </c>
      <c r="AB1334" s="18">
        <f t="shared" si="40"/>
        <v>2019</v>
      </c>
      <c r="AC1334" s="22">
        <f t="shared" si="41"/>
        <v>0.80133333333333334</v>
      </c>
    </row>
    <row r="1335" spans="1:29" ht="25.5">
      <c r="A1335" s="8" t="s">
        <v>8281</v>
      </c>
      <c r="B1335" s="17" t="s">
        <v>7800</v>
      </c>
      <c r="C1335" s="13">
        <v>43746</v>
      </c>
      <c r="D1335" s="13" t="s">
        <v>8465</v>
      </c>
      <c r="E1335" s="10" t="s">
        <v>1634</v>
      </c>
      <c r="F1335" s="10" t="s">
        <v>5611</v>
      </c>
      <c r="G1335" s="11" t="s">
        <v>5610</v>
      </c>
      <c r="H1335" s="2" t="s">
        <v>64</v>
      </c>
      <c r="L1335" s="18">
        <v>1</v>
      </c>
      <c r="N1335" s="13">
        <v>43830</v>
      </c>
      <c r="O1335" s="29">
        <v>0</v>
      </c>
      <c r="P1335" s="18" t="s">
        <v>1107</v>
      </c>
      <c r="Q1335" s="18">
        <v>0</v>
      </c>
      <c r="U1335" s="22">
        <v>0.81</v>
      </c>
      <c r="V1335" s="22">
        <f>3.71/5</f>
        <v>0.74199999999999999</v>
      </c>
      <c r="W1335" s="14" t="s">
        <v>7777</v>
      </c>
      <c r="X1335" s="3">
        <v>4</v>
      </c>
      <c r="Z1335" s="23">
        <v>15.5</v>
      </c>
      <c r="AB1335" s="18">
        <f t="shared" si="40"/>
        <v>2019</v>
      </c>
      <c r="AC1335" s="22">
        <f t="shared" si="41"/>
        <v>0.78400000000000014</v>
      </c>
    </row>
    <row r="1336" spans="1:29">
      <c r="A1336" s="8" t="s">
        <v>9492</v>
      </c>
      <c r="B1336" s="17" t="s">
        <v>7800</v>
      </c>
      <c r="C1336" s="13">
        <v>43746</v>
      </c>
      <c r="D1336" s="13" t="s">
        <v>8465</v>
      </c>
      <c r="E1336" s="10" t="s">
        <v>1571</v>
      </c>
      <c r="F1336" s="10" t="s">
        <v>5026</v>
      </c>
      <c r="H1336" s="2" t="s">
        <v>149</v>
      </c>
      <c r="L1336" s="18">
        <v>1</v>
      </c>
      <c r="N1336" s="13">
        <v>44169</v>
      </c>
      <c r="O1336" s="29">
        <v>0</v>
      </c>
      <c r="P1336" s="18" t="s">
        <v>1107</v>
      </c>
      <c r="Q1336" s="18">
        <v>0</v>
      </c>
      <c r="U1336" s="22">
        <v>0.78</v>
      </c>
      <c r="V1336" s="22">
        <f>3.01/5</f>
        <v>0.60199999999999998</v>
      </c>
      <c r="W1336" s="14" t="s">
        <v>7777</v>
      </c>
      <c r="X1336" s="3">
        <v>4</v>
      </c>
      <c r="Z1336" s="23">
        <v>18</v>
      </c>
      <c r="AB1336" s="18">
        <f t="shared" si="40"/>
        <v>2019</v>
      </c>
      <c r="AC1336" s="22">
        <f t="shared" si="41"/>
        <v>0.7273333333333335</v>
      </c>
    </row>
    <row r="1337" spans="1:29" ht="30">
      <c r="A1337" s="8" t="s">
        <v>9738</v>
      </c>
      <c r="B1337" s="17" t="s">
        <v>7760</v>
      </c>
      <c r="C1337" s="13">
        <v>43746</v>
      </c>
      <c r="D1337" s="13" t="s">
        <v>8465</v>
      </c>
      <c r="E1337" s="10" t="s">
        <v>6107</v>
      </c>
      <c r="F1337" s="10" t="s">
        <v>9739</v>
      </c>
      <c r="H1337" s="2" t="s">
        <v>80</v>
      </c>
      <c r="L1337" s="18">
        <v>1</v>
      </c>
      <c r="N1337" s="13">
        <v>44231</v>
      </c>
      <c r="O1337" s="29">
        <v>0</v>
      </c>
      <c r="P1337" s="18" t="s">
        <v>1107</v>
      </c>
      <c r="Q1337" s="18">
        <v>0</v>
      </c>
      <c r="U1337" s="22">
        <v>0.75</v>
      </c>
      <c r="V1337" s="22">
        <f>3.57/5</f>
        <v>0.71399999999999997</v>
      </c>
      <c r="W1337" s="14" t="s">
        <v>6072</v>
      </c>
      <c r="X1337" s="3">
        <v>3</v>
      </c>
      <c r="Z1337" s="23">
        <v>5</v>
      </c>
      <c r="AB1337" s="18">
        <f t="shared" si="40"/>
        <v>2019</v>
      </c>
      <c r="AC1337" s="22">
        <f t="shared" si="41"/>
        <v>0.68800000000000006</v>
      </c>
    </row>
    <row r="1338" spans="1:29" ht="30">
      <c r="A1338" s="8" t="s">
        <v>8357</v>
      </c>
      <c r="B1338" s="17" t="s">
        <v>7800</v>
      </c>
      <c r="C1338" s="13">
        <v>43746</v>
      </c>
      <c r="D1338" s="13" t="s">
        <v>8465</v>
      </c>
      <c r="E1338" s="10" t="s">
        <v>4498</v>
      </c>
      <c r="F1338" s="10" t="s">
        <v>4773</v>
      </c>
      <c r="G1338" s="11" t="s">
        <v>8358</v>
      </c>
      <c r="H1338" s="2" t="s">
        <v>61</v>
      </c>
      <c r="L1338" s="18">
        <v>1</v>
      </c>
      <c r="N1338" s="13">
        <v>43878</v>
      </c>
      <c r="O1338" s="29">
        <v>5.99</v>
      </c>
      <c r="P1338" s="18" t="s">
        <v>1107</v>
      </c>
      <c r="Q1338" s="18">
        <v>0</v>
      </c>
      <c r="U1338" s="22">
        <v>0.73</v>
      </c>
      <c r="V1338" s="22">
        <f>2.64/5</f>
        <v>0.52800000000000002</v>
      </c>
      <c r="W1338" s="14" t="s">
        <v>7097</v>
      </c>
      <c r="X1338" s="3">
        <v>3</v>
      </c>
      <c r="Z1338" s="23">
        <v>5</v>
      </c>
      <c r="AB1338" s="18">
        <f t="shared" si="40"/>
        <v>2019</v>
      </c>
      <c r="AC1338" s="22">
        <f t="shared" si="41"/>
        <v>0.6193333333333334</v>
      </c>
    </row>
    <row r="1339" spans="1:29">
      <c r="A1339" s="8" t="s">
        <v>10559</v>
      </c>
      <c r="B1339" s="17" t="s">
        <v>7800</v>
      </c>
      <c r="C1339" s="13">
        <v>43746</v>
      </c>
      <c r="D1339" s="13" t="s">
        <v>8465</v>
      </c>
      <c r="E1339" s="10" t="s">
        <v>10563</v>
      </c>
      <c r="F1339" s="10" t="s">
        <v>10563</v>
      </c>
      <c r="H1339" s="2" t="s">
        <v>1054</v>
      </c>
      <c r="L1339" s="18">
        <v>1</v>
      </c>
      <c r="N1339" s="13">
        <v>44497</v>
      </c>
      <c r="O1339" s="29">
        <v>0.89</v>
      </c>
      <c r="P1339" s="18" t="s">
        <v>1107</v>
      </c>
      <c r="Q1339" s="18">
        <v>0</v>
      </c>
      <c r="W1339" s="14" t="s">
        <v>7777</v>
      </c>
      <c r="X1339" s="3">
        <v>2</v>
      </c>
      <c r="AB1339" s="18">
        <f t="shared" si="40"/>
        <v>2019</v>
      </c>
      <c r="AC1339" s="22">
        <f t="shared" si="41"/>
        <v>0.4</v>
      </c>
    </row>
    <row r="1340" spans="1:29" ht="38.25">
      <c r="A1340" s="8" t="s">
        <v>7902</v>
      </c>
      <c r="B1340" s="17" t="s">
        <v>7744</v>
      </c>
      <c r="C1340" s="13">
        <v>43742</v>
      </c>
      <c r="D1340" s="13" t="s">
        <v>8465</v>
      </c>
      <c r="E1340" s="10" t="s">
        <v>7903</v>
      </c>
      <c r="F1340" s="10" t="s">
        <v>7904</v>
      </c>
      <c r="G1340" s="11" t="s">
        <v>2565</v>
      </c>
      <c r="H1340" s="2" t="s">
        <v>80</v>
      </c>
      <c r="L1340" s="18">
        <v>1</v>
      </c>
      <c r="M1340" s="14" t="s">
        <v>8462</v>
      </c>
      <c r="N1340" s="13">
        <v>43742</v>
      </c>
      <c r="O1340" s="29">
        <v>29.99</v>
      </c>
      <c r="P1340" s="18" t="s">
        <v>14</v>
      </c>
      <c r="Q1340" s="18">
        <v>0</v>
      </c>
      <c r="U1340" s="22">
        <v>0.77500000000000002</v>
      </c>
      <c r="V1340" s="22">
        <f>3.84/5</f>
        <v>0.76800000000000002</v>
      </c>
      <c r="X1340" s="3">
        <v>3</v>
      </c>
      <c r="Z1340" s="23">
        <v>5.5</v>
      </c>
      <c r="AB1340" s="18">
        <f t="shared" si="40"/>
        <v>2019</v>
      </c>
      <c r="AC1340" s="22">
        <f t="shared" si="41"/>
        <v>0.71433333333333338</v>
      </c>
    </row>
    <row r="1341" spans="1:29" ht="25.5">
      <c r="A1341" s="8" t="s">
        <v>9024</v>
      </c>
      <c r="B1341" s="17" t="s">
        <v>7800</v>
      </c>
      <c r="C1341" s="13">
        <v>43742</v>
      </c>
      <c r="D1341" s="13" t="s">
        <v>8465</v>
      </c>
      <c r="E1341" s="10" t="s">
        <v>1047</v>
      </c>
      <c r="F1341" s="10" t="s">
        <v>1539</v>
      </c>
      <c r="G1341" s="11" t="s">
        <v>2474</v>
      </c>
      <c r="H1341" s="2" t="s">
        <v>7448</v>
      </c>
      <c r="L1341" s="18">
        <v>1</v>
      </c>
      <c r="N1341" s="13">
        <v>44024</v>
      </c>
      <c r="O1341" s="29">
        <v>9.7899999999999991</v>
      </c>
      <c r="P1341" s="18" t="s">
        <v>1107</v>
      </c>
      <c r="Q1341" s="18">
        <v>0</v>
      </c>
      <c r="U1341" s="22">
        <v>0.57999999999999996</v>
      </c>
      <c r="V1341" s="22">
        <f>3.34/5</f>
        <v>0.66799999999999993</v>
      </c>
      <c r="W1341" s="14" t="s">
        <v>7097</v>
      </c>
      <c r="X1341" s="3">
        <v>3</v>
      </c>
      <c r="Z1341" s="23">
        <v>21</v>
      </c>
      <c r="AB1341" s="18">
        <f t="shared" si="40"/>
        <v>2019</v>
      </c>
      <c r="AC1341" s="22">
        <f t="shared" si="41"/>
        <v>0.61599999999999999</v>
      </c>
    </row>
    <row r="1342" spans="1:29" ht="25.5">
      <c r="A1342" s="8" t="s">
        <v>9744</v>
      </c>
      <c r="B1342" s="17" t="s">
        <v>7800</v>
      </c>
      <c r="C1342" s="13">
        <v>43742</v>
      </c>
      <c r="D1342" s="13" t="s">
        <v>8465</v>
      </c>
      <c r="E1342" s="10" t="s">
        <v>9745</v>
      </c>
      <c r="F1342" s="10" t="s">
        <v>9745</v>
      </c>
      <c r="G1342" s="11" t="s">
        <v>9746</v>
      </c>
      <c r="H1342" s="2" t="s">
        <v>3937</v>
      </c>
      <c r="L1342" s="18">
        <v>1</v>
      </c>
      <c r="N1342" s="13">
        <v>44231</v>
      </c>
      <c r="O1342" s="29">
        <v>0</v>
      </c>
      <c r="P1342" s="18" t="s">
        <v>1107</v>
      </c>
      <c r="Q1342" s="18">
        <v>0</v>
      </c>
      <c r="U1342" s="22">
        <v>0.68</v>
      </c>
      <c r="W1342" s="14" t="s">
        <v>7777</v>
      </c>
      <c r="X1342" s="3">
        <v>2</v>
      </c>
      <c r="Z1342" s="23">
        <v>3</v>
      </c>
      <c r="AB1342" s="18">
        <f t="shared" si="40"/>
        <v>2019</v>
      </c>
      <c r="AC1342" s="22">
        <f t="shared" si="41"/>
        <v>0.54</v>
      </c>
    </row>
    <row r="1343" spans="1:29">
      <c r="A1343" s="8" t="s">
        <v>8614</v>
      </c>
      <c r="B1343" s="17" t="s">
        <v>7800</v>
      </c>
      <c r="C1343" s="13">
        <v>43740</v>
      </c>
      <c r="D1343" s="13" t="s">
        <v>8465</v>
      </c>
      <c r="E1343" s="10" t="s">
        <v>8340</v>
      </c>
      <c r="F1343" s="10" t="s">
        <v>8615</v>
      </c>
      <c r="H1343" s="2" t="s">
        <v>149</v>
      </c>
      <c r="L1343" s="18">
        <v>1</v>
      </c>
      <c r="N1343" s="13">
        <v>43952</v>
      </c>
      <c r="O1343" s="29">
        <v>0</v>
      </c>
      <c r="P1343" s="18" t="s">
        <v>1107</v>
      </c>
      <c r="Q1343" s="18">
        <v>0</v>
      </c>
      <c r="U1343" s="22">
        <v>0.62</v>
      </c>
      <c r="V1343" s="22">
        <f>2.5/5</f>
        <v>0.5</v>
      </c>
      <c r="W1343" s="14" t="s">
        <v>7777</v>
      </c>
      <c r="X1343" s="3">
        <v>2</v>
      </c>
      <c r="Z1343" s="23">
        <v>6.5</v>
      </c>
      <c r="AB1343" s="18">
        <f t="shared" si="40"/>
        <v>2019</v>
      </c>
      <c r="AC1343" s="22">
        <f t="shared" si="41"/>
        <v>0.50666666666666671</v>
      </c>
    </row>
    <row r="1344" spans="1:29" ht="25.5">
      <c r="A1344" s="8" t="s">
        <v>7981</v>
      </c>
      <c r="B1344" s="17" t="s">
        <v>7744</v>
      </c>
      <c r="C1344" s="12">
        <v>43739</v>
      </c>
      <c r="D1344" s="13" t="s">
        <v>8463</v>
      </c>
      <c r="E1344" s="10" t="s">
        <v>7523</v>
      </c>
      <c r="F1344" s="10" t="s">
        <v>7982</v>
      </c>
      <c r="G1344" s="11" t="s">
        <v>14211</v>
      </c>
      <c r="H1344" s="2" t="s">
        <v>80</v>
      </c>
      <c r="K1344" s="18">
        <v>2</v>
      </c>
      <c r="L1344" s="18">
        <v>1</v>
      </c>
      <c r="M1344" s="14" t="s">
        <v>8462</v>
      </c>
      <c r="N1344" s="13">
        <v>43760</v>
      </c>
      <c r="O1344" s="29">
        <v>29.99</v>
      </c>
      <c r="P1344" s="18" t="s">
        <v>14</v>
      </c>
      <c r="Q1344" s="18">
        <v>0</v>
      </c>
      <c r="W1344" s="14" t="s">
        <v>7524</v>
      </c>
      <c r="X1344" s="3">
        <v>2</v>
      </c>
      <c r="Z1344" s="23">
        <f>13+18</f>
        <v>31</v>
      </c>
      <c r="AB1344" s="18">
        <f t="shared" si="40"/>
        <v>2019</v>
      </c>
      <c r="AC1344" s="22">
        <f t="shared" si="41"/>
        <v>0.4</v>
      </c>
    </row>
    <row r="1345" spans="1:29" ht="25.5">
      <c r="A1345" s="8" t="s">
        <v>14194</v>
      </c>
      <c r="B1345" s="17" t="s">
        <v>7800</v>
      </c>
      <c r="C1345" s="13">
        <v>43738</v>
      </c>
      <c r="D1345" s="13" t="s">
        <v>8465</v>
      </c>
      <c r="E1345" s="10" t="s">
        <v>14195</v>
      </c>
      <c r="F1345" s="10" t="s">
        <v>14195</v>
      </c>
      <c r="H1345" s="2" t="s">
        <v>67</v>
      </c>
      <c r="L1345" s="18">
        <v>1</v>
      </c>
      <c r="O1345" s="29">
        <v>0</v>
      </c>
      <c r="P1345" s="18" t="s">
        <v>1107</v>
      </c>
      <c r="Q1345" s="18">
        <v>0</v>
      </c>
      <c r="W1345" s="14" t="s">
        <v>8765</v>
      </c>
      <c r="X1345" s="3">
        <v>2</v>
      </c>
      <c r="AB1345" s="18">
        <f t="shared" si="40"/>
        <v>2019</v>
      </c>
      <c r="AC1345" s="22">
        <f t="shared" si="41"/>
        <v>0.4</v>
      </c>
    </row>
    <row r="1346" spans="1:29" ht="38.25">
      <c r="A1346" s="8" t="s">
        <v>7879</v>
      </c>
      <c r="B1346" s="17" t="s">
        <v>7744</v>
      </c>
      <c r="C1346" s="13">
        <v>43735</v>
      </c>
      <c r="D1346" s="13" t="s">
        <v>8465</v>
      </c>
      <c r="E1346" s="10" t="s">
        <v>1082</v>
      </c>
      <c r="F1346" s="10" t="s">
        <v>1082</v>
      </c>
      <c r="G1346" s="11" t="s">
        <v>140</v>
      </c>
      <c r="H1346" s="2" t="s">
        <v>149</v>
      </c>
      <c r="L1346" s="18">
        <v>1</v>
      </c>
      <c r="M1346" s="14" t="s">
        <v>8462</v>
      </c>
      <c r="N1346" s="13">
        <v>43735</v>
      </c>
      <c r="O1346" s="29">
        <v>49.94</v>
      </c>
      <c r="P1346" s="18" t="s">
        <v>14</v>
      </c>
      <c r="Q1346" s="18">
        <v>0</v>
      </c>
      <c r="U1346" s="22">
        <v>0.89380000000000004</v>
      </c>
      <c r="V1346" s="22">
        <f>4.33/5</f>
        <v>0.86599999999999999</v>
      </c>
      <c r="X1346" s="3">
        <v>4</v>
      </c>
      <c r="Z1346" s="23">
        <v>47</v>
      </c>
      <c r="AB1346" s="18">
        <f t="shared" ref="AB1346:AB1409" si="42">IFERROR(YEAR(C1346), "Early Access")</f>
        <v>2019</v>
      </c>
      <c r="AC1346" s="22">
        <f t="shared" ref="AC1346:AC1409" si="43">AVERAGE(T1346, U1346, V1346, IF(ISBLANK(X1346), X1346, X1346/5))</f>
        <v>0.85326666666666673</v>
      </c>
    </row>
    <row r="1347" spans="1:29" ht="30">
      <c r="A1347" s="8" t="s">
        <v>8245</v>
      </c>
      <c r="B1347" s="17" t="s">
        <v>7744</v>
      </c>
      <c r="C1347" s="13">
        <v>43734</v>
      </c>
      <c r="D1347" s="13" t="s">
        <v>8465</v>
      </c>
      <c r="E1347" s="10" t="s">
        <v>1070</v>
      </c>
      <c r="F1347" s="10" t="s">
        <v>1070</v>
      </c>
      <c r="G1347" s="11" t="s">
        <v>2477</v>
      </c>
      <c r="H1347" s="2" t="s">
        <v>56</v>
      </c>
      <c r="L1347" s="18">
        <v>1</v>
      </c>
      <c r="M1347" s="14" t="s">
        <v>8462</v>
      </c>
      <c r="N1347" s="13">
        <v>43818</v>
      </c>
      <c r="O1347" s="29">
        <v>43.76</v>
      </c>
      <c r="P1347" s="18" t="s">
        <v>14</v>
      </c>
      <c r="Q1347" s="18">
        <v>0</v>
      </c>
      <c r="U1347" s="22">
        <v>0.81</v>
      </c>
      <c r="V1347" s="22">
        <f>4.02/5</f>
        <v>0.80399999999999994</v>
      </c>
      <c r="W1347" s="14" t="s">
        <v>1134</v>
      </c>
      <c r="X1347" s="3">
        <v>4</v>
      </c>
      <c r="Z1347" s="23">
        <v>3</v>
      </c>
      <c r="AB1347" s="18">
        <f t="shared" si="42"/>
        <v>2019</v>
      </c>
      <c r="AC1347" s="22">
        <f t="shared" si="43"/>
        <v>0.80466666666666653</v>
      </c>
    </row>
    <row r="1348" spans="1:29" ht="30">
      <c r="A1348" s="9" t="s">
        <v>7878</v>
      </c>
      <c r="B1348" s="17" t="s">
        <v>7760</v>
      </c>
      <c r="C1348" s="13">
        <v>43734</v>
      </c>
      <c r="D1348" s="13" t="s">
        <v>8465</v>
      </c>
      <c r="E1348" s="10" t="s">
        <v>1604</v>
      </c>
      <c r="F1348" s="10" t="s">
        <v>6129</v>
      </c>
      <c r="H1348" s="2" t="s">
        <v>171</v>
      </c>
      <c r="L1348" s="18">
        <v>1</v>
      </c>
      <c r="M1348" s="14" t="s">
        <v>8462</v>
      </c>
      <c r="N1348" s="13">
        <v>43734</v>
      </c>
      <c r="O1348" s="29">
        <v>54.18</v>
      </c>
      <c r="P1348" s="18" t="s">
        <v>14</v>
      </c>
      <c r="Q1348" s="18">
        <v>0</v>
      </c>
      <c r="U1348" s="22">
        <v>0.70289999999999997</v>
      </c>
      <c r="V1348" s="22">
        <f>3.75/5</f>
        <v>0.75</v>
      </c>
      <c r="X1348" s="3">
        <v>4</v>
      </c>
      <c r="Z1348" s="23">
        <v>24</v>
      </c>
      <c r="AB1348" s="18">
        <f t="shared" si="42"/>
        <v>2019</v>
      </c>
      <c r="AC1348" s="22">
        <f t="shared" si="43"/>
        <v>0.75096666666666678</v>
      </c>
    </row>
    <row r="1349" spans="1:29" ht="25.5">
      <c r="A1349" s="8" t="s">
        <v>3579</v>
      </c>
      <c r="B1349" s="17" t="s">
        <v>7744</v>
      </c>
      <c r="C1349" s="13">
        <v>43734</v>
      </c>
      <c r="D1349" s="13" t="s">
        <v>8465</v>
      </c>
      <c r="E1349" s="10" t="s">
        <v>1583</v>
      </c>
      <c r="F1349" s="10" t="s">
        <v>1584</v>
      </c>
      <c r="G1349" s="11" t="s">
        <v>1585</v>
      </c>
      <c r="H1349" s="2" t="s">
        <v>80</v>
      </c>
      <c r="L1349" s="18">
        <v>1</v>
      </c>
      <c r="M1349" s="14" t="s">
        <v>8462</v>
      </c>
      <c r="N1349" s="13">
        <v>43734</v>
      </c>
      <c r="O1349" s="29">
        <v>29.99</v>
      </c>
      <c r="P1349" s="18" t="s">
        <v>14</v>
      </c>
      <c r="Q1349" s="18">
        <v>0</v>
      </c>
      <c r="U1349" s="22">
        <v>0.8</v>
      </c>
      <c r="V1349" s="22">
        <f>3.82/5</f>
        <v>0.76400000000000001</v>
      </c>
      <c r="X1349" s="3">
        <v>2</v>
      </c>
      <c r="Z1349" s="23">
        <v>20</v>
      </c>
      <c r="AB1349" s="18">
        <f t="shared" si="42"/>
        <v>2019</v>
      </c>
      <c r="AC1349" s="22">
        <f t="shared" si="43"/>
        <v>0.65466666666666662</v>
      </c>
    </row>
    <row r="1350" spans="1:29" ht="30">
      <c r="A1350" s="8" t="s">
        <v>10519</v>
      </c>
      <c r="B1350" s="17" t="s">
        <v>10521</v>
      </c>
      <c r="C1350" s="13">
        <v>43733</v>
      </c>
      <c r="D1350" s="13" t="s">
        <v>8465</v>
      </c>
      <c r="E1350" s="10" t="s">
        <v>10522</v>
      </c>
      <c r="F1350" s="10" t="s">
        <v>10523</v>
      </c>
      <c r="G1350" s="11" t="s">
        <v>1481</v>
      </c>
      <c r="H1350" s="2" t="s">
        <v>67</v>
      </c>
      <c r="I1350" s="18">
        <v>1</v>
      </c>
      <c r="L1350" s="18">
        <v>1</v>
      </c>
      <c r="N1350" s="13">
        <v>44484</v>
      </c>
      <c r="O1350" s="29">
        <v>0</v>
      </c>
      <c r="P1350" s="18" t="s">
        <v>1107</v>
      </c>
      <c r="Q1350" s="18">
        <v>0</v>
      </c>
      <c r="U1350" s="22">
        <v>0.69</v>
      </c>
      <c r="V1350" s="22">
        <f>2.7/5</f>
        <v>0.54</v>
      </c>
      <c r="W1350" s="14" t="s">
        <v>10524</v>
      </c>
      <c r="X1350" s="3">
        <v>3</v>
      </c>
      <c r="Z1350" s="23">
        <f>43/60</f>
        <v>0.71666666666666667</v>
      </c>
      <c r="AB1350" s="18">
        <f t="shared" si="42"/>
        <v>2019</v>
      </c>
      <c r="AC1350" s="22">
        <f t="shared" si="43"/>
        <v>0.61</v>
      </c>
    </row>
    <row r="1351" spans="1:29">
      <c r="A1351" s="8" t="s">
        <v>9671</v>
      </c>
      <c r="B1351" s="17" t="s">
        <v>7760</v>
      </c>
      <c r="C1351" s="13">
        <v>43732</v>
      </c>
      <c r="D1351" s="13" t="s">
        <v>8465</v>
      </c>
      <c r="E1351" s="10" t="s">
        <v>3493</v>
      </c>
      <c r="F1351" s="10" t="s">
        <v>4346</v>
      </c>
      <c r="G1351" s="11" t="s">
        <v>5369</v>
      </c>
      <c r="H1351" s="2" t="s">
        <v>171</v>
      </c>
      <c r="L1351" s="18">
        <v>1</v>
      </c>
      <c r="M1351" s="14" t="s">
        <v>8462</v>
      </c>
      <c r="N1351" s="13">
        <v>44211</v>
      </c>
      <c r="O1351" s="29">
        <v>7.49</v>
      </c>
      <c r="P1351" s="18" t="s">
        <v>14</v>
      </c>
      <c r="Q1351" s="18">
        <v>0</v>
      </c>
      <c r="U1351" s="22">
        <v>0.75</v>
      </c>
      <c r="V1351" s="22">
        <f>3.7/5</f>
        <v>0.74</v>
      </c>
      <c r="X1351" s="3">
        <v>3</v>
      </c>
      <c r="Z1351" s="23">
        <v>23.5</v>
      </c>
      <c r="AB1351" s="18">
        <f t="shared" si="42"/>
        <v>2019</v>
      </c>
      <c r="AC1351" s="22">
        <f t="shared" si="43"/>
        <v>0.69666666666666666</v>
      </c>
    </row>
    <row r="1352" spans="1:29" ht="51">
      <c r="A1352" s="8" t="s">
        <v>7871</v>
      </c>
      <c r="B1352" s="17" t="s">
        <v>7800</v>
      </c>
      <c r="C1352" s="13">
        <v>43732</v>
      </c>
      <c r="D1352" s="13" t="s">
        <v>8465</v>
      </c>
      <c r="E1352" s="10" t="s">
        <v>7872</v>
      </c>
      <c r="F1352" s="10" t="s">
        <v>7873</v>
      </c>
      <c r="H1352" s="2" t="s">
        <v>1057</v>
      </c>
      <c r="L1352" s="18">
        <v>1</v>
      </c>
      <c r="N1352" s="13">
        <v>43740</v>
      </c>
      <c r="O1352" s="29">
        <v>0</v>
      </c>
      <c r="P1352" s="18" t="s">
        <v>1107</v>
      </c>
      <c r="Q1352" s="18">
        <v>0</v>
      </c>
      <c r="U1352" s="22">
        <v>0.5</v>
      </c>
      <c r="V1352" s="22">
        <f>3.04/5</f>
        <v>0.60799999999999998</v>
      </c>
      <c r="W1352" s="14" t="s">
        <v>7777</v>
      </c>
      <c r="X1352" s="3">
        <v>2</v>
      </c>
      <c r="Z1352" s="23">
        <v>1.5</v>
      </c>
      <c r="AB1352" s="18">
        <f t="shared" si="42"/>
        <v>2019</v>
      </c>
      <c r="AC1352" s="22">
        <f t="shared" si="43"/>
        <v>0.50266666666666671</v>
      </c>
    </row>
    <row r="1353" spans="1:29">
      <c r="A1353" s="8" t="s">
        <v>7869</v>
      </c>
      <c r="B1353" s="17" t="s">
        <v>7744</v>
      </c>
      <c r="C1353" s="13">
        <v>43732</v>
      </c>
      <c r="D1353" s="13" t="s">
        <v>8465</v>
      </c>
      <c r="E1353" s="10" t="s">
        <v>72</v>
      </c>
      <c r="F1353" s="10" t="s">
        <v>72</v>
      </c>
      <c r="G1353" s="11" t="s">
        <v>97</v>
      </c>
      <c r="H1353" s="2" t="s">
        <v>147</v>
      </c>
      <c r="L1353" s="18">
        <v>1</v>
      </c>
      <c r="M1353" s="14" t="s">
        <v>8462</v>
      </c>
      <c r="N1353" s="13">
        <v>43732</v>
      </c>
      <c r="O1353" s="29">
        <v>36.76</v>
      </c>
      <c r="P1353" s="18" t="s">
        <v>14</v>
      </c>
      <c r="Q1353" s="18">
        <v>0</v>
      </c>
      <c r="U1353" s="22">
        <v>0.47499999999999998</v>
      </c>
      <c r="V1353" s="22">
        <f>2/5</f>
        <v>0.4</v>
      </c>
      <c r="X1353" s="3">
        <v>2</v>
      </c>
      <c r="Z1353" s="23">
        <v>7</v>
      </c>
      <c r="AB1353" s="18">
        <f t="shared" si="42"/>
        <v>2019</v>
      </c>
      <c r="AC1353" s="22">
        <f t="shared" si="43"/>
        <v>0.42499999999999999</v>
      </c>
    </row>
    <row r="1354" spans="1:29" ht="25.5">
      <c r="A1354" s="8" t="s">
        <v>6061</v>
      </c>
      <c r="B1354" s="17" t="s">
        <v>7744</v>
      </c>
      <c r="C1354" s="13">
        <v>43728</v>
      </c>
      <c r="D1354" s="13" t="s">
        <v>8465</v>
      </c>
      <c r="E1354" s="10" t="s">
        <v>1509</v>
      </c>
      <c r="F1354" s="10" t="s">
        <v>2129</v>
      </c>
      <c r="G1354" s="11" t="s">
        <v>6062</v>
      </c>
      <c r="H1354" s="2" t="s">
        <v>149</v>
      </c>
      <c r="L1354" s="18">
        <v>1</v>
      </c>
      <c r="M1354" s="14" t="s">
        <v>8462</v>
      </c>
      <c r="N1354" s="13">
        <v>43728</v>
      </c>
      <c r="O1354" s="29">
        <v>41.86</v>
      </c>
      <c r="P1354" s="18" t="s">
        <v>14</v>
      </c>
      <c r="Q1354" s="18">
        <v>0</v>
      </c>
      <c r="U1354" s="22">
        <v>0.8286</v>
      </c>
      <c r="V1354" s="22">
        <f>3.91/5</f>
        <v>0.78200000000000003</v>
      </c>
      <c r="X1354" s="3">
        <v>4</v>
      </c>
      <c r="Z1354" s="23">
        <v>45.5</v>
      </c>
      <c r="AB1354" s="18">
        <f t="shared" si="42"/>
        <v>2019</v>
      </c>
      <c r="AC1354" s="22">
        <f t="shared" si="43"/>
        <v>0.80353333333333332</v>
      </c>
    </row>
    <row r="1355" spans="1:29">
      <c r="A1355" s="8" t="s">
        <v>9399</v>
      </c>
      <c r="B1355" s="17" t="s">
        <v>7744</v>
      </c>
      <c r="C1355" s="13">
        <v>43728</v>
      </c>
      <c r="D1355" s="13" t="s">
        <v>8465</v>
      </c>
      <c r="E1355" s="10" t="s">
        <v>9400</v>
      </c>
      <c r="F1355" s="10" t="s">
        <v>9401</v>
      </c>
      <c r="H1355" s="2" t="s">
        <v>245</v>
      </c>
      <c r="L1355" s="18">
        <v>1</v>
      </c>
      <c r="M1355" s="14" t="s">
        <v>8462</v>
      </c>
      <c r="N1355" s="13">
        <v>44032</v>
      </c>
      <c r="O1355" s="29">
        <v>49.81</v>
      </c>
      <c r="P1355" s="18" t="s">
        <v>14</v>
      </c>
      <c r="Q1355" s="18">
        <v>0</v>
      </c>
      <c r="U1355" s="22">
        <v>0.81</v>
      </c>
      <c r="V1355" s="22">
        <f>3.65/5</f>
        <v>0.73</v>
      </c>
      <c r="W1355" s="14" t="s">
        <v>8581</v>
      </c>
      <c r="X1355" s="3">
        <v>4</v>
      </c>
      <c r="Z1355" s="23">
        <v>3</v>
      </c>
      <c r="AB1355" s="18">
        <f t="shared" si="42"/>
        <v>2019</v>
      </c>
      <c r="AC1355" s="22">
        <f t="shared" si="43"/>
        <v>0.77999999999999992</v>
      </c>
    </row>
    <row r="1356" spans="1:29">
      <c r="A1356" s="8" t="s">
        <v>9309</v>
      </c>
      <c r="B1356" s="17" t="s">
        <v>7766</v>
      </c>
      <c r="C1356" s="13">
        <v>43728</v>
      </c>
      <c r="D1356" s="13" t="s">
        <v>8465</v>
      </c>
      <c r="E1356" s="10" t="s">
        <v>3559</v>
      </c>
      <c r="F1356" s="10" t="s">
        <v>9310</v>
      </c>
      <c r="H1356" s="2" t="s">
        <v>78</v>
      </c>
      <c r="L1356" s="18">
        <v>1</v>
      </c>
      <c r="M1356" s="14" t="s">
        <v>8462</v>
      </c>
      <c r="N1356" s="13">
        <v>44096</v>
      </c>
      <c r="O1356" s="29">
        <v>29.99</v>
      </c>
      <c r="P1356" s="18" t="s">
        <v>14</v>
      </c>
      <c r="Q1356" s="18">
        <v>0</v>
      </c>
      <c r="U1356" s="22">
        <v>0.73</v>
      </c>
      <c r="X1356" s="3">
        <v>2</v>
      </c>
      <c r="Z1356" s="23">
        <v>6</v>
      </c>
      <c r="AB1356" s="18">
        <f t="shared" si="42"/>
        <v>2019</v>
      </c>
      <c r="AC1356" s="22">
        <f t="shared" si="43"/>
        <v>0.56499999999999995</v>
      </c>
    </row>
    <row r="1357" spans="1:29">
      <c r="A1357" s="8" t="s">
        <v>8580</v>
      </c>
      <c r="B1357" s="17" t="s">
        <v>7744</v>
      </c>
      <c r="C1357" s="13">
        <v>43727</v>
      </c>
      <c r="D1357" s="13" t="s">
        <v>8465</v>
      </c>
      <c r="E1357" s="10" t="s">
        <v>7300</v>
      </c>
      <c r="F1357" s="10" t="s">
        <v>5605</v>
      </c>
      <c r="H1357" s="2" t="s">
        <v>1220</v>
      </c>
      <c r="L1357" s="18">
        <v>1</v>
      </c>
      <c r="M1357" s="14" t="s">
        <v>8462</v>
      </c>
      <c r="N1357" s="13">
        <v>43935</v>
      </c>
      <c r="O1357" s="29">
        <v>41.3</v>
      </c>
      <c r="P1357" s="18" t="s">
        <v>14</v>
      </c>
      <c r="Q1357" s="18">
        <v>0</v>
      </c>
      <c r="U1357" s="22">
        <v>0.83</v>
      </c>
      <c r="V1357" s="22">
        <f>3.94/5</f>
        <v>0.78800000000000003</v>
      </c>
      <c r="W1357" s="14" t="s">
        <v>8581</v>
      </c>
      <c r="X1357" s="3">
        <v>4</v>
      </c>
      <c r="Z1357" s="23">
        <v>1.5</v>
      </c>
      <c r="AB1357" s="18">
        <f t="shared" si="42"/>
        <v>2019</v>
      </c>
      <c r="AC1357" s="22">
        <f t="shared" si="43"/>
        <v>0.80600000000000005</v>
      </c>
    </row>
    <row r="1358" spans="1:29" ht="25.5">
      <c r="A1358" s="8" t="s">
        <v>10428</v>
      </c>
      <c r="B1358" s="17" t="s">
        <v>7783</v>
      </c>
      <c r="C1358" s="13">
        <v>43727</v>
      </c>
      <c r="D1358" s="13" t="s">
        <v>8465</v>
      </c>
      <c r="E1358" s="10" t="s">
        <v>4567</v>
      </c>
      <c r="F1358" s="10" t="s">
        <v>4567</v>
      </c>
      <c r="G1358" s="11" t="s">
        <v>4568</v>
      </c>
      <c r="H1358" s="2" t="s">
        <v>80</v>
      </c>
      <c r="L1358" s="18">
        <v>0</v>
      </c>
      <c r="Q1358" s="18">
        <v>0</v>
      </c>
      <c r="U1358" s="22">
        <v>0.69</v>
      </c>
      <c r="V1358" s="22">
        <f>4.13/5</f>
        <v>0.82599999999999996</v>
      </c>
      <c r="W1358" s="14" t="s">
        <v>8572</v>
      </c>
      <c r="X1358" s="3">
        <v>3</v>
      </c>
      <c r="Z1358" s="23">
        <v>12</v>
      </c>
      <c r="AB1358" s="18">
        <f t="shared" si="42"/>
        <v>2019</v>
      </c>
      <c r="AC1358" s="22">
        <f t="shared" si="43"/>
        <v>0.70533333333333337</v>
      </c>
    </row>
    <row r="1359" spans="1:29">
      <c r="A1359" s="8" t="s">
        <v>8503</v>
      </c>
      <c r="B1359" s="17" t="s">
        <v>7800</v>
      </c>
      <c r="C1359" s="13">
        <v>43727</v>
      </c>
      <c r="D1359" s="13" t="s">
        <v>8465</v>
      </c>
      <c r="E1359" s="10" t="s">
        <v>6112</v>
      </c>
      <c r="F1359" s="10" t="s">
        <v>5553</v>
      </c>
      <c r="H1359" s="2" t="s">
        <v>67</v>
      </c>
      <c r="L1359" s="18">
        <v>1</v>
      </c>
      <c r="N1359" s="13">
        <v>43902</v>
      </c>
      <c r="O1359" s="29">
        <v>0</v>
      </c>
      <c r="P1359" s="18" t="s">
        <v>1107</v>
      </c>
      <c r="Q1359" s="18">
        <v>0</v>
      </c>
      <c r="U1359" s="22">
        <v>0.79</v>
      </c>
      <c r="V1359" s="22">
        <f>3.5/5</f>
        <v>0.7</v>
      </c>
      <c r="W1359" s="14" t="s">
        <v>7097</v>
      </c>
      <c r="X1359" s="3">
        <v>3</v>
      </c>
      <c r="Z1359" s="23">
        <v>5.5</v>
      </c>
      <c r="AB1359" s="18">
        <f t="shared" si="42"/>
        <v>2019</v>
      </c>
      <c r="AC1359" s="22">
        <f t="shared" si="43"/>
        <v>0.69666666666666666</v>
      </c>
    </row>
    <row r="1360" spans="1:29">
      <c r="A1360" s="8" t="s">
        <v>10429</v>
      </c>
      <c r="B1360" s="17" t="s">
        <v>7783</v>
      </c>
      <c r="C1360" s="13">
        <v>43727</v>
      </c>
      <c r="D1360" s="13" t="s">
        <v>8465</v>
      </c>
      <c r="E1360" s="10" t="s">
        <v>10441</v>
      </c>
      <c r="F1360" s="10" t="s">
        <v>10441</v>
      </c>
      <c r="H1360" s="2" t="s">
        <v>245</v>
      </c>
      <c r="L1360" s="18">
        <v>0</v>
      </c>
      <c r="Q1360" s="18">
        <v>0</v>
      </c>
      <c r="V1360" s="22">
        <f>3.67/5</f>
        <v>0.73399999999999999</v>
      </c>
      <c r="W1360" s="14" t="s">
        <v>8572</v>
      </c>
      <c r="X1360" s="3">
        <v>3</v>
      </c>
      <c r="Z1360" s="23">
        <v>5</v>
      </c>
      <c r="AB1360" s="18">
        <f t="shared" si="42"/>
        <v>2019</v>
      </c>
      <c r="AC1360" s="22">
        <f t="shared" si="43"/>
        <v>0.66700000000000004</v>
      </c>
    </row>
    <row r="1361" spans="1:29">
      <c r="A1361" s="8" t="s">
        <v>11314</v>
      </c>
      <c r="B1361" s="17" t="s">
        <v>7800</v>
      </c>
      <c r="C1361" s="13">
        <v>43727</v>
      </c>
      <c r="D1361" s="13" t="s">
        <v>8465</v>
      </c>
      <c r="E1361" s="10" t="s">
        <v>9529</v>
      </c>
      <c r="F1361" s="10" t="s">
        <v>11315</v>
      </c>
      <c r="H1361" s="2" t="s">
        <v>7448</v>
      </c>
      <c r="L1361" s="18">
        <v>1</v>
      </c>
      <c r="N1361" s="13">
        <v>44621</v>
      </c>
      <c r="O1361" s="29">
        <v>0</v>
      </c>
      <c r="P1361" s="18" t="s">
        <v>1107</v>
      </c>
      <c r="Q1361" s="18">
        <v>0</v>
      </c>
      <c r="U1361" s="22">
        <v>0.75</v>
      </c>
      <c r="V1361" s="22">
        <f>3.5/5</f>
        <v>0.7</v>
      </c>
      <c r="W1361" s="14" t="s">
        <v>7777</v>
      </c>
      <c r="X1361" s="3">
        <v>3</v>
      </c>
      <c r="Z1361" s="23">
        <v>4.5</v>
      </c>
      <c r="AB1361" s="18">
        <f t="shared" si="42"/>
        <v>2019</v>
      </c>
      <c r="AC1361" s="22">
        <f t="shared" si="43"/>
        <v>0.68333333333333324</v>
      </c>
    </row>
    <row r="1362" spans="1:29">
      <c r="A1362" s="8" t="s">
        <v>8786</v>
      </c>
      <c r="B1362" s="17" t="s">
        <v>7800</v>
      </c>
      <c r="C1362" s="13">
        <v>43727</v>
      </c>
      <c r="D1362" s="13" t="s">
        <v>8465</v>
      </c>
      <c r="E1362" s="10" t="s">
        <v>8787</v>
      </c>
      <c r="F1362" s="10" t="s">
        <v>8787</v>
      </c>
      <c r="H1362" s="2" t="s">
        <v>3937</v>
      </c>
      <c r="L1362" s="18">
        <v>1</v>
      </c>
      <c r="N1362" s="13">
        <v>43987</v>
      </c>
      <c r="O1362" s="29">
        <v>0.62</v>
      </c>
      <c r="P1362" s="18" t="s">
        <v>1107</v>
      </c>
      <c r="Q1362" s="18">
        <v>0</v>
      </c>
      <c r="U1362" s="22">
        <v>0.69</v>
      </c>
      <c r="V1362" s="22">
        <f>3.33/5</f>
        <v>0.66600000000000004</v>
      </c>
      <c r="W1362" s="14" t="s">
        <v>8765</v>
      </c>
      <c r="X1362" s="3">
        <v>3</v>
      </c>
      <c r="Z1362" s="23">
        <v>6</v>
      </c>
      <c r="AB1362" s="18">
        <f t="shared" si="42"/>
        <v>2019</v>
      </c>
      <c r="AC1362" s="22">
        <f t="shared" si="43"/>
        <v>0.65200000000000002</v>
      </c>
    </row>
    <row r="1363" spans="1:29">
      <c r="A1363" s="8" t="s">
        <v>10418</v>
      </c>
      <c r="B1363" s="17" t="s">
        <v>7783</v>
      </c>
      <c r="C1363" s="13">
        <v>43727</v>
      </c>
      <c r="D1363" s="13" t="s">
        <v>8465</v>
      </c>
      <c r="E1363" s="10" t="s">
        <v>3063</v>
      </c>
      <c r="F1363" s="10" t="s">
        <v>6125</v>
      </c>
      <c r="G1363" s="11" t="s">
        <v>8551</v>
      </c>
      <c r="H1363" s="2" t="s">
        <v>1518</v>
      </c>
      <c r="L1363" s="18">
        <v>0</v>
      </c>
      <c r="Q1363" s="18">
        <v>0</v>
      </c>
      <c r="W1363" s="14" t="s">
        <v>8572</v>
      </c>
      <c r="X1363" s="3">
        <v>3</v>
      </c>
      <c r="Z1363" s="23">
        <v>5</v>
      </c>
      <c r="AB1363" s="18">
        <f t="shared" si="42"/>
        <v>2019</v>
      </c>
      <c r="AC1363" s="22">
        <f t="shared" si="43"/>
        <v>0.6</v>
      </c>
    </row>
    <row r="1364" spans="1:29">
      <c r="A1364" s="8" t="s">
        <v>9564</v>
      </c>
      <c r="B1364" s="17" t="s">
        <v>7800</v>
      </c>
      <c r="C1364" s="13">
        <v>43727</v>
      </c>
      <c r="D1364" s="13" t="s">
        <v>8465</v>
      </c>
      <c r="E1364" s="10" t="s">
        <v>9249</v>
      </c>
      <c r="F1364" s="10" t="s">
        <v>9565</v>
      </c>
      <c r="H1364" s="2" t="s">
        <v>1518</v>
      </c>
      <c r="L1364" s="18">
        <v>1</v>
      </c>
      <c r="N1364" s="13">
        <v>44203</v>
      </c>
      <c r="O1364" s="29">
        <v>0</v>
      </c>
      <c r="P1364" s="18" t="s">
        <v>1107</v>
      </c>
      <c r="Q1364" s="18">
        <v>0</v>
      </c>
      <c r="U1364" s="22">
        <v>0.75</v>
      </c>
      <c r="V1364" s="22">
        <f>3.69/5</f>
        <v>0.73799999999999999</v>
      </c>
      <c r="W1364" s="14" t="s">
        <v>7777</v>
      </c>
      <c r="X1364" s="3">
        <v>2</v>
      </c>
      <c r="Z1364" s="23">
        <v>14</v>
      </c>
      <c r="AB1364" s="18">
        <f t="shared" si="42"/>
        <v>2019</v>
      </c>
      <c r="AC1364" s="22">
        <f t="shared" si="43"/>
        <v>0.6293333333333333</v>
      </c>
    </row>
    <row r="1365" spans="1:29">
      <c r="A1365" s="8" t="s">
        <v>15048</v>
      </c>
      <c r="B1365" s="17" t="s">
        <v>7800</v>
      </c>
      <c r="C1365" s="13">
        <v>43726</v>
      </c>
      <c r="D1365" s="13" t="s">
        <v>8465</v>
      </c>
      <c r="E1365" s="10" t="s">
        <v>15049</v>
      </c>
      <c r="F1365" s="10" t="s">
        <v>15049</v>
      </c>
      <c r="H1365" s="2" t="s">
        <v>67</v>
      </c>
      <c r="L1365" s="18">
        <v>1</v>
      </c>
      <c r="N1365" s="13">
        <v>45084</v>
      </c>
      <c r="O1365" s="29">
        <v>0</v>
      </c>
      <c r="P1365" s="18" t="s">
        <v>1107</v>
      </c>
      <c r="Q1365" s="18">
        <v>0</v>
      </c>
      <c r="V1365" s="22">
        <f>3.64/5</f>
        <v>0.72799999999999998</v>
      </c>
      <c r="W1365" s="14" t="s">
        <v>7777</v>
      </c>
      <c r="X1365" s="3">
        <v>3</v>
      </c>
      <c r="Z1365" s="23">
        <v>2.5</v>
      </c>
      <c r="AB1365" s="18">
        <f t="shared" si="42"/>
        <v>2019</v>
      </c>
      <c r="AC1365" s="22">
        <f t="shared" si="43"/>
        <v>0.66399999999999992</v>
      </c>
    </row>
    <row r="1366" spans="1:29">
      <c r="A1366" s="8" t="s">
        <v>7870</v>
      </c>
      <c r="B1366" s="17" t="s">
        <v>7744</v>
      </c>
      <c r="C1366" s="13">
        <v>43725</v>
      </c>
      <c r="D1366" s="13" t="s">
        <v>8465</v>
      </c>
      <c r="E1366" s="10" t="s">
        <v>2452</v>
      </c>
      <c r="F1366" s="10" t="s">
        <v>2452</v>
      </c>
      <c r="G1366" s="11" t="s">
        <v>7870</v>
      </c>
      <c r="H1366" s="2" t="s">
        <v>67</v>
      </c>
      <c r="L1366" s="18">
        <v>1</v>
      </c>
      <c r="M1366" s="14" t="s">
        <v>8462</v>
      </c>
      <c r="N1366" s="13">
        <v>43725</v>
      </c>
      <c r="O1366" s="29">
        <v>65.09</v>
      </c>
      <c r="P1366" s="18" t="s">
        <v>14</v>
      </c>
      <c r="Q1366" s="18">
        <v>0</v>
      </c>
      <c r="U1366" s="22">
        <v>0.87329999999999997</v>
      </c>
      <c r="V1366" s="22">
        <f>4.08/5</f>
        <v>0.81600000000000006</v>
      </c>
      <c r="X1366" s="3">
        <v>4</v>
      </c>
      <c r="Z1366" s="23">
        <v>25</v>
      </c>
      <c r="AB1366" s="18">
        <f t="shared" si="42"/>
        <v>2019</v>
      </c>
      <c r="AC1366" s="22">
        <f t="shared" si="43"/>
        <v>0.82976666666666665</v>
      </c>
    </row>
    <row r="1367" spans="1:29">
      <c r="A1367" s="8" t="s">
        <v>10979</v>
      </c>
      <c r="B1367" s="17" t="s">
        <v>7800</v>
      </c>
      <c r="C1367" s="13">
        <v>43725</v>
      </c>
      <c r="D1367" s="13" t="s">
        <v>8465</v>
      </c>
      <c r="E1367" s="10" t="s">
        <v>8225</v>
      </c>
      <c r="F1367" s="10" t="s">
        <v>10980</v>
      </c>
      <c r="G1367" s="11" t="s">
        <v>10981</v>
      </c>
      <c r="H1367" s="2" t="s">
        <v>1061</v>
      </c>
      <c r="L1367" s="18">
        <v>1</v>
      </c>
      <c r="N1367" s="13">
        <v>44568</v>
      </c>
      <c r="O1367" s="29">
        <v>0</v>
      </c>
      <c r="P1367" s="18" t="s">
        <v>1107</v>
      </c>
      <c r="Q1367" s="18">
        <v>0</v>
      </c>
      <c r="U1367" s="22">
        <v>0.62</v>
      </c>
      <c r="V1367" s="22">
        <f>2.81/5</f>
        <v>0.56200000000000006</v>
      </c>
      <c r="W1367" s="14" t="s">
        <v>7777</v>
      </c>
      <c r="X1367" s="3">
        <v>3</v>
      </c>
      <c r="Z1367" s="23">
        <v>8.5</v>
      </c>
      <c r="AB1367" s="18">
        <f t="shared" si="42"/>
        <v>2019</v>
      </c>
      <c r="AC1367" s="22">
        <f t="shared" si="43"/>
        <v>0.59399999999999997</v>
      </c>
    </row>
    <row r="1368" spans="1:29">
      <c r="A1368" s="8" t="s">
        <v>7850</v>
      </c>
      <c r="B1368" s="17" t="s">
        <v>7744</v>
      </c>
      <c r="C1368" s="13">
        <v>43721</v>
      </c>
      <c r="D1368" s="13" t="s">
        <v>8465</v>
      </c>
      <c r="E1368" s="10" t="s">
        <v>86</v>
      </c>
      <c r="F1368" s="10" t="s">
        <v>1605</v>
      </c>
      <c r="H1368" s="2" t="s">
        <v>1168</v>
      </c>
      <c r="L1368" s="18">
        <v>1</v>
      </c>
      <c r="M1368" s="14" t="s">
        <v>8462</v>
      </c>
      <c r="N1368" s="13">
        <v>43721</v>
      </c>
      <c r="O1368" s="29">
        <v>65.09</v>
      </c>
      <c r="P1368" s="18" t="s">
        <v>14</v>
      </c>
      <c r="Q1368" s="18">
        <v>0</v>
      </c>
      <c r="U1368" s="22">
        <v>0.73080000000000001</v>
      </c>
      <c r="V1368" s="22">
        <f>4.11/5</f>
        <v>0.82200000000000006</v>
      </c>
      <c r="X1368" s="3">
        <v>4</v>
      </c>
      <c r="Z1368" s="23">
        <v>17</v>
      </c>
      <c r="AB1368" s="18">
        <f t="shared" si="42"/>
        <v>2019</v>
      </c>
      <c r="AC1368" s="22">
        <f t="shared" si="43"/>
        <v>0.78426666666666678</v>
      </c>
    </row>
    <row r="1369" spans="1:29">
      <c r="A1369" s="8" t="s">
        <v>7849</v>
      </c>
      <c r="B1369" s="17" t="s">
        <v>7760</v>
      </c>
      <c r="C1369" s="13">
        <v>43721</v>
      </c>
      <c r="D1369" s="13" t="s">
        <v>8465</v>
      </c>
      <c r="E1369" s="10" t="s">
        <v>3310</v>
      </c>
      <c r="F1369" s="10" t="s">
        <v>3154</v>
      </c>
      <c r="G1369" s="11" t="s">
        <v>3356</v>
      </c>
      <c r="H1369" s="2" t="s">
        <v>1050</v>
      </c>
      <c r="L1369" s="18">
        <v>1</v>
      </c>
      <c r="M1369" s="14" t="s">
        <v>8462</v>
      </c>
      <c r="N1369" s="13">
        <v>43721</v>
      </c>
      <c r="O1369" s="29">
        <v>65.09</v>
      </c>
      <c r="P1369" s="18" t="s">
        <v>14</v>
      </c>
      <c r="Q1369" s="18">
        <v>0</v>
      </c>
      <c r="U1369" s="22">
        <v>0.82220000000000004</v>
      </c>
      <c r="V1369" s="22">
        <f>3.8/5</f>
        <v>0.76</v>
      </c>
      <c r="X1369" s="3">
        <v>1</v>
      </c>
      <c r="Z1369" s="23">
        <v>20</v>
      </c>
      <c r="AB1369" s="18">
        <f t="shared" si="42"/>
        <v>2019</v>
      </c>
      <c r="AC1369" s="22">
        <f t="shared" si="43"/>
        <v>0.59406666666666663</v>
      </c>
    </row>
    <row r="1370" spans="1:29">
      <c r="A1370" s="8" t="s">
        <v>12993</v>
      </c>
      <c r="B1370" s="17" t="s">
        <v>7760</v>
      </c>
      <c r="C1370" s="13">
        <v>43718</v>
      </c>
      <c r="D1370" s="13" t="s">
        <v>8465</v>
      </c>
      <c r="E1370" s="10" t="s">
        <v>3493</v>
      </c>
      <c r="F1370" s="10" t="s">
        <v>4401</v>
      </c>
      <c r="H1370" s="2" t="s">
        <v>171</v>
      </c>
      <c r="L1370" s="18">
        <v>1</v>
      </c>
      <c r="M1370" s="14" t="s">
        <v>8462</v>
      </c>
      <c r="N1370" s="13">
        <v>43718</v>
      </c>
      <c r="O1370" s="29">
        <v>54.24</v>
      </c>
      <c r="P1370" s="18" t="s">
        <v>14</v>
      </c>
      <c r="Q1370" s="18">
        <v>0</v>
      </c>
      <c r="U1370" s="22">
        <v>0.73750000000000004</v>
      </c>
      <c r="V1370" s="22">
        <f>3.58/5</f>
        <v>0.71599999999999997</v>
      </c>
      <c r="X1370" s="3">
        <v>4</v>
      </c>
      <c r="Z1370" s="23">
        <v>19.5</v>
      </c>
      <c r="AB1370" s="18">
        <f t="shared" si="42"/>
        <v>2019</v>
      </c>
      <c r="AC1370" s="22">
        <f t="shared" si="43"/>
        <v>0.75116666666666665</v>
      </c>
    </row>
    <row r="1371" spans="1:29">
      <c r="A1371" s="8" t="s">
        <v>9409</v>
      </c>
      <c r="B1371" s="17" t="s">
        <v>7744</v>
      </c>
      <c r="C1371" s="13">
        <v>43718</v>
      </c>
      <c r="D1371" s="13" t="s">
        <v>8465</v>
      </c>
      <c r="E1371" s="10" t="s">
        <v>7877</v>
      </c>
      <c r="F1371" s="10" t="s">
        <v>3113</v>
      </c>
      <c r="H1371" s="2" t="s">
        <v>1168</v>
      </c>
      <c r="L1371" s="18">
        <v>1</v>
      </c>
      <c r="M1371" s="14" t="s">
        <v>8462</v>
      </c>
      <c r="N1371" s="13">
        <v>44127</v>
      </c>
      <c r="O1371" s="29">
        <v>41.34</v>
      </c>
      <c r="P1371" s="18" t="s">
        <v>14</v>
      </c>
      <c r="Q1371" s="18">
        <v>0</v>
      </c>
      <c r="V1371" s="22">
        <f>3.7/5</f>
        <v>0.74</v>
      </c>
      <c r="X1371" s="3">
        <v>2</v>
      </c>
      <c r="Z1371" s="23">
        <v>10</v>
      </c>
      <c r="AB1371" s="18">
        <f t="shared" si="42"/>
        <v>2019</v>
      </c>
      <c r="AC1371" s="22">
        <f t="shared" si="43"/>
        <v>0.57000000000000006</v>
      </c>
    </row>
    <row r="1372" spans="1:29">
      <c r="A1372" s="8" t="s">
        <v>9737</v>
      </c>
      <c r="B1372" s="17" t="s">
        <v>7744</v>
      </c>
      <c r="C1372" s="13">
        <v>43714</v>
      </c>
      <c r="D1372" s="13" t="s">
        <v>8465</v>
      </c>
      <c r="E1372" s="10" t="s">
        <v>9734</v>
      </c>
      <c r="F1372" s="10" t="s">
        <v>9734</v>
      </c>
      <c r="H1372" s="2" t="s">
        <v>151</v>
      </c>
      <c r="L1372" s="18">
        <v>1</v>
      </c>
      <c r="M1372" s="14" t="s">
        <v>8462</v>
      </c>
      <c r="N1372" s="13">
        <v>43963</v>
      </c>
      <c r="O1372" s="29">
        <v>44.39</v>
      </c>
      <c r="P1372" s="18" t="s">
        <v>14</v>
      </c>
      <c r="Q1372" s="18">
        <v>0</v>
      </c>
      <c r="U1372" s="22">
        <v>0.76</v>
      </c>
      <c r="V1372" s="22">
        <f>4.12/5</f>
        <v>0.82400000000000007</v>
      </c>
      <c r="W1372" s="14" t="s">
        <v>8581</v>
      </c>
      <c r="X1372" s="3">
        <v>4</v>
      </c>
      <c r="Z1372" s="23">
        <v>4</v>
      </c>
      <c r="AB1372" s="18">
        <f t="shared" si="42"/>
        <v>2019</v>
      </c>
      <c r="AC1372" s="22">
        <f t="shared" si="43"/>
        <v>0.79466666666666674</v>
      </c>
    </row>
    <row r="1373" spans="1:29" ht="30">
      <c r="A1373" s="8" t="s">
        <v>7980</v>
      </c>
      <c r="B1373" s="17" t="s">
        <v>7744</v>
      </c>
      <c r="C1373" s="13">
        <v>43713</v>
      </c>
      <c r="D1373" s="13" t="s">
        <v>8465</v>
      </c>
      <c r="E1373" s="10" t="s">
        <v>479</v>
      </c>
      <c r="F1373" s="10" t="s">
        <v>1084</v>
      </c>
      <c r="G1373" s="11" t="s">
        <v>7980</v>
      </c>
      <c r="H1373" s="2" t="s">
        <v>153</v>
      </c>
      <c r="L1373" s="18">
        <v>1</v>
      </c>
      <c r="M1373" s="14" t="s">
        <v>8462</v>
      </c>
      <c r="N1373" s="13">
        <v>43760</v>
      </c>
      <c r="O1373" s="29">
        <v>43.76</v>
      </c>
      <c r="P1373" s="18" t="s">
        <v>14</v>
      </c>
      <c r="Q1373" s="18">
        <v>0</v>
      </c>
      <c r="U1373" s="22">
        <v>0.77</v>
      </c>
      <c r="V1373" s="22">
        <f>4.05/5</f>
        <v>0.80999999999999994</v>
      </c>
      <c r="W1373" s="14" t="s">
        <v>1134</v>
      </c>
      <c r="X1373" s="3">
        <v>4</v>
      </c>
      <c r="Z1373" s="23">
        <v>7</v>
      </c>
      <c r="AB1373" s="18">
        <f t="shared" si="42"/>
        <v>2019</v>
      </c>
      <c r="AC1373" s="22">
        <f t="shared" si="43"/>
        <v>0.79333333333333333</v>
      </c>
    </row>
    <row r="1374" spans="1:29">
      <c r="A1374" s="8" t="s">
        <v>8291</v>
      </c>
      <c r="B1374" s="17" t="s">
        <v>7800</v>
      </c>
      <c r="C1374" s="13">
        <v>43713</v>
      </c>
      <c r="D1374" s="13" t="s">
        <v>8465</v>
      </c>
      <c r="E1374" s="10" t="s">
        <v>8292</v>
      </c>
      <c r="F1374" s="10" t="s">
        <v>8292</v>
      </c>
      <c r="H1374" s="2" t="s">
        <v>2820</v>
      </c>
      <c r="L1374" s="18">
        <v>1</v>
      </c>
      <c r="N1374" s="13">
        <v>43624</v>
      </c>
      <c r="O1374" s="29">
        <v>0</v>
      </c>
      <c r="P1374" s="18" t="s">
        <v>1107</v>
      </c>
      <c r="Q1374" s="18">
        <v>0</v>
      </c>
      <c r="V1374" s="22">
        <f>3.83/5</f>
        <v>0.76600000000000001</v>
      </c>
      <c r="W1374" s="14" t="s">
        <v>3069</v>
      </c>
      <c r="X1374" s="3">
        <v>2</v>
      </c>
      <c r="Z1374" s="23">
        <v>1.5</v>
      </c>
      <c r="AB1374" s="18">
        <f t="shared" si="42"/>
        <v>2019</v>
      </c>
      <c r="AC1374" s="22">
        <f t="shared" si="43"/>
        <v>0.58299999999999996</v>
      </c>
    </row>
    <row r="1375" spans="1:29" ht="25.5">
      <c r="A1375" s="8" t="s">
        <v>8237</v>
      </c>
      <c r="B1375" s="17" t="s">
        <v>7744</v>
      </c>
      <c r="C1375" s="13">
        <v>43712</v>
      </c>
      <c r="D1375" s="13" t="s">
        <v>8465</v>
      </c>
      <c r="E1375" s="10" t="s">
        <v>8238</v>
      </c>
      <c r="F1375" s="10" t="s">
        <v>3539</v>
      </c>
      <c r="G1375" s="11" t="s">
        <v>7801</v>
      </c>
      <c r="H1375" s="2" t="s">
        <v>1061</v>
      </c>
      <c r="L1375" s="18">
        <v>1</v>
      </c>
      <c r="M1375" s="14" t="s">
        <v>8462</v>
      </c>
      <c r="N1375" s="13">
        <v>43811</v>
      </c>
      <c r="O1375" s="29">
        <v>43.39</v>
      </c>
      <c r="P1375" s="18" t="s">
        <v>14</v>
      </c>
      <c r="Q1375" s="18">
        <v>0</v>
      </c>
      <c r="U1375" s="22">
        <v>0.7</v>
      </c>
      <c r="V1375" s="22">
        <f>3.9/5</f>
        <v>0.78</v>
      </c>
      <c r="X1375" s="3">
        <v>4</v>
      </c>
      <c r="Z1375" s="23">
        <v>19</v>
      </c>
      <c r="AB1375" s="18">
        <f t="shared" si="42"/>
        <v>2019</v>
      </c>
      <c r="AC1375" s="22">
        <f t="shared" si="43"/>
        <v>0.76000000000000012</v>
      </c>
    </row>
    <row r="1376" spans="1:29">
      <c r="A1376" s="8" t="s">
        <v>14102</v>
      </c>
      <c r="B1376" s="17" t="s">
        <v>7800</v>
      </c>
      <c r="C1376" s="13">
        <v>43712</v>
      </c>
      <c r="D1376" s="13" t="s">
        <v>8465</v>
      </c>
      <c r="E1376" s="10" t="s">
        <v>14103</v>
      </c>
      <c r="F1376" s="10" t="s">
        <v>14103</v>
      </c>
      <c r="H1376" s="2" t="s">
        <v>67</v>
      </c>
      <c r="L1376" s="18">
        <v>1</v>
      </c>
      <c r="O1376" s="29">
        <v>0</v>
      </c>
      <c r="P1376" s="18" t="s">
        <v>1107</v>
      </c>
      <c r="Q1376" s="18">
        <v>0</v>
      </c>
      <c r="W1376" s="14" t="s">
        <v>8765</v>
      </c>
      <c r="X1376" s="3">
        <v>2</v>
      </c>
      <c r="AB1376" s="18">
        <f t="shared" si="42"/>
        <v>2019</v>
      </c>
      <c r="AC1376" s="22">
        <f t="shared" si="43"/>
        <v>0.4</v>
      </c>
    </row>
    <row r="1377" spans="1:29" ht="25.5">
      <c r="A1377" s="8" t="s">
        <v>6162</v>
      </c>
      <c r="B1377" s="17" t="s">
        <v>7800</v>
      </c>
      <c r="C1377" s="13">
        <v>43711</v>
      </c>
      <c r="D1377" s="13" t="s">
        <v>8465</v>
      </c>
      <c r="E1377" s="10" t="s">
        <v>1273</v>
      </c>
      <c r="F1377" s="10" t="s">
        <v>3035</v>
      </c>
      <c r="G1377" s="11" t="s">
        <v>1975</v>
      </c>
      <c r="H1377" s="2" t="s">
        <v>1040</v>
      </c>
      <c r="L1377" s="18">
        <v>1</v>
      </c>
      <c r="N1377" s="13">
        <v>43742</v>
      </c>
      <c r="O1377" s="29">
        <v>0</v>
      </c>
      <c r="P1377" s="18" t="s">
        <v>1107</v>
      </c>
      <c r="Q1377" s="18">
        <v>0</v>
      </c>
      <c r="U1377" s="22">
        <v>0.8</v>
      </c>
      <c r="V1377" s="22">
        <f>4.09/5</f>
        <v>0.81799999999999995</v>
      </c>
      <c r="W1377" s="14" t="s">
        <v>7777</v>
      </c>
      <c r="X1377" s="3">
        <v>4</v>
      </c>
      <c r="Z1377" s="23">
        <v>16</v>
      </c>
      <c r="AB1377" s="18">
        <f t="shared" si="42"/>
        <v>2019</v>
      </c>
      <c r="AC1377" s="22">
        <f t="shared" si="43"/>
        <v>0.80600000000000005</v>
      </c>
    </row>
    <row r="1378" spans="1:29">
      <c r="A1378" s="8" t="s">
        <v>9495</v>
      </c>
      <c r="B1378" s="17" t="s">
        <v>7800</v>
      </c>
      <c r="C1378" s="13">
        <v>43711</v>
      </c>
      <c r="D1378" s="13" t="s">
        <v>8465</v>
      </c>
      <c r="E1378" s="10" t="s">
        <v>1698</v>
      </c>
      <c r="F1378" s="10" t="s">
        <v>3963</v>
      </c>
      <c r="H1378" s="2" t="s">
        <v>1518</v>
      </c>
      <c r="L1378" s="18">
        <v>1</v>
      </c>
      <c r="N1378" s="13">
        <v>44169</v>
      </c>
      <c r="O1378" s="29">
        <v>0</v>
      </c>
      <c r="P1378" s="18" t="s">
        <v>1107</v>
      </c>
      <c r="Q1378" s="18">
        <v>0</v>
      </c>
      <c r="U1378" s="22">
        <v>0.82</v>
      </c>
      <c r="V1378" s="22">
        <f>3.78/5</f>
        <v>0.75600000000000001</v>
      </c>
      <c r="W1378" s="14" t="s">
        <v>7777</v>
      </c>
      <c r="X1378" s="3">
        <v>3</v>
      </c>
      <c r="Z1378" s="23">
        <v>13.5</v>
      </c>
      <c r="AB1378" s="18">
        <f t="shared" si="42"/>
        <v>2019</v>
      </c>
      <c r="AC1378" s="22">
        <f t="shared" si="43"/>
        <v>0.72533333333333339</v>
      </c>
    </row>
    <row r="1379" spans="1:29">
      <c r="A1379" s="8" t="s">
        <v>14237</v>
      </c>
      <c r="B1379" s="17" t="s">
        <v>7800</v>
      </c>
      <c r="C1379" s="13">
        <v>43711</v>
      </c>
      <c r="D1379" s="13" t="s">
        <v>8465</v>
      </c>
      <c r="E1379" s="10" t="s">
        <v>14238</v>
      </c>
      <c r="F1379" s="10" t="s">
        <v>14238</v>
      </c>
      <c r="H1379" s="2" t="s">
        <v>78</v>
      </c>
      <c r="L1379" s="18">
        <v>1</v>
      </c>
      <c r="O1379" s="29">
        <v>0</v>
      </c>
      <c r="P1379" s="18" t="s">
        <v>1107</v>
      </c>
      <c r="Q1379" s="18">
        <v>0</v>
      </c>
      <c r="W1379" s="14" t="s">
        <v>8765</v>
      </c>
      <c r="X1379" s="3">
        <v>2</v>
      </c>
      <c r="Z1379" s="23">
        <v>3</v>
      </c>
      <c r="AB1379" s="18">
        <f t="shared" si="42"/>
        <v>2019</v>
      </c>
      <c r="AC1379" s="22">
        <f t="shared" si="43"/>
        <v>0.4</v>
      </c>
    </row>
    <row r="1380" spans="1:29">
      <c r="A1380" s="8" t="s">
        <v>7713</v>
      </c>
      <c r="B1380" s="17" t="s">
        <v>7744</v>
      </c>
      <c r="C1380" s="13">
        <v>43707</v>
      </c>
      <c r="D1380" s="13" t="s">
        <v>8465</v>
      </c>
      <c r="E1380" s="10" t="s">
        <v>86</v>
      </c>
      <c r="F1380" s="10" t="s">
        <v>1058</v>
      </c>
      <c r="H1380" s="2" t="s">
        <v>80</v>
      </c>
      <c r="L1380" s="18">
        <v>1</v>
      </c>
      <c r="M1380" s="14" t="s">
        <v>8462</v>
      </c>
      <c r="N1380" s="13">
        <v>43707</v>
      </c>
      <c r="O1380" s="29">
        <v>55.82</v>
      </c>
      <c r="P1380" s="18" t="s">
        <v>14</v>
      </c>
      <c r="Q1380" s="18">
        <v>0</v>
      </c>
      <c r="U1380" s="22">
        <v>0.87</v>
      </c>
      <c r="V1380" s="22">
        <f>4.09/5</f>
        <v>0.81799999999999995</v>
      </c>
      <c r="X1380" s="3">
        <v>4</v>
      </c>
      <c r="Z1380" s="23">
        <v>20</v>
      </c>
      <c r="AB1380" s="18">
        <f t="shared" si="42"/>
        <v>2019</v>
      </c>
      <c r="AC1380" s="22">
        <f t="shared" si="43"/>
        <v>0.82933333333333337</v>
      </c>
    </row>
    <row r="1381" spans="1:29" ht="38.25">
      <c r="A1381" s="8" t="s">
        <v>10546</v>
      </c>
      <c r="B1381" s="17" t="s">
        <v>7760</v>
      </c>
      <c r="C1381" s="13">
        <v>43707</v>
      </c>
      <c r="D1381" s="13" t="s">
        <v>8465</v>
      </c>
      <c r="E1381" s="10" t="s">
        <v>1604</v>
      </c>
      <c r="F1381" s="10" t="s">
        <v>6200</v>
      </c>
      <c r="G1381" s="11" t="s">
        <v>7714</v>
      </c>
      <c r="H1381" s="2" t="s">
        <v>67</v>
      </c>
      <c r="L1381" s="18">
        <v>1</v>
      </c>
      <c r="M1381" s="14" t="s">
        <v>8462</v>
      </c>
      <c r="N1381" s="13">
        <v>43707</v>
      </c>
      <c r="O1381" s="29">
        <v>24.99</v>
      </c>
      <c r="P1381" s="18" t="s">
        <v>14</v>
      </c>
      <c r="Q1381" s="18">
        <v>0</v>
      </c>
      <c r="U1381" s="22">
        <v>0.71</v>
      </c>
      <c r="V1381" s="22">
        <f>3/5</f>
        <v>0.6</v>
      </c>
      <c r="X1381" s="3">
        <v>3</v>
      </c>
      <c r="Z1381" s="23">
        <v>4</v>
      </c>
      <c r="AB1381" s="18">
        <f t="shared" si="42"/>
        <v>2019</v>
      </c>
      <c r="AC1381" s="22">
        <f t="shared" si="43"/>
        <v>0.63666666666666671</v>
      </c>
    </row>
    <row r="1382" spans="1:29">
      <c r="A1382" s="8" t="s">
        <v>8261</v>
      </c>
      <c r="B1382" s="17" t="s">
        <v>7800</v>
      </c>
      <c r="C1382" s="13">
        <v>43706</v>
      </c>
      <c r="D1382" s="13" t="s">
        <v>8465</v>
      </c>
      <c r="E1382" s="10" t="s">
        <v>3063</v>
      </c>
      <c r="F1382" s="10" t="s">
        <v>4487</v>
      </c>
      <c r="H1382" s="2" t="s">
        <v>143</v>
      </c>
      <c r="L1382" s="18">
        <v>1</v>
      </c>
      <c r="N1382" s="13">
        <v>43825</v>
      </c>
      <c r="O1382" s="29">
        <v>0</v>
      </c>
      <c r="P1382" s="18" t="s">
        <v>1107</v>
      </c>
      <c r="Q1382" s="18">
        <v>0</v>
      </c>
      <c r="U1382" s="22">
        <v>0.76</v>
      </c>
      <c r="V1382" s="22">
        <f>3.5/5</f>
        <v>0.7</v>
      </c>
      <c r="W1382" s="14" t="s">
        <v>7799</v>
      </c>
      <c r="X1382" s="3">
        <v>2</v>
      </c>
      <c r="Z1382" s="23">
        <v>4.5</v>
      </c>
      <c r="AB1382" s="18">
        <f t="shared" si="42"/>
        <v>2019</v>
      </c>
      <c r="AC1382" s="22">
        <f t="shared" si="43"/>
        <v>0.62</v>
      </c>
    </row>
    <row r="1383" spans="1:29" ht="25.5">
      <c r="A1383" s="8" t="s">
        <v>9767</v>
      </c>
      <c r="B1383" s="17" t="s">
        <v>7800</v>
      </c>
      <c r="C1383" s="13">
        <v>43706</v>
      </c>
      <c r="D1383" s="13" t="s">
        <v>8465</v>
      </c>
      <c r="E1383" s="10" t="s">
        <v>9768</v>
      </c>
      <c r="F1383" s="10" t="s">
        <v>9769</v>
      </c>
      <c r="G1383" s="11" t="s">
        <v>4445</v>
      </c>
      <c r="H1383" s="2" t="s">
        <v>3411</v>
      </c>
      <c r="L1383" s="18">
        <v>1</v>
      </c>
      <c r="N1383" s="13">
        <v>44238</v>
      </c>
      <c r="O1383" s="29">
        <v>0</v>
      </c>
      <c r="P1383" s="18" t="s">
        <v>1107</v>
      </c>
      <c r="Q1383" s="18">
        <v>0</v>
      </c>
      <c r="V1383" s="22">
        <f>3.17/5</f>
        <v>0.63400000000000001</v>
      </c>
      <c r="W1383" s="14" t="s">
        <v>7777</v>
      </c>
      <c r="X1383" s="3">
        <v>2</v>
      </c>
      <c r="Z1383" s="23">
        <v>9</v>
      </c>
      <c r="AB1383" s="18">
        <f t="shared" si="42"/>
        <v>2019</v>
      </c>
      <c r="AC1383" s="22">
        <f t="shared" si="43"/>
        <v>0.51700000000000002</v>
      </c>
    </row>
    <row r="1384" spans="1:29" ht="25.5">
      <c r="A1384" s="8" t="s">
        <v>8537</v>
      </c>
      <c r="B1384" s="17" t="s">
        <v>7800</v>
      </c>
      <c r="C1384" s="13">
        <v>43704</v>
      </c>
      <c r="D1384" s="13" t="s">
        <v>8465</v>
      </c>
      <c r="E1384" s="10" t="s">
        <v>1718</v>
      </c>
      <c r="F1384" s="10" t="s">
        <v>1718</v>
      </c>
      <c r="G1384" s="11" t="s">
        <v>5274</v>
      </c>
      <c r="H1384" s="2" t="s">
        <v>1720</v>
      </c>
      <c r="L1384" s="18">
        <v>1</v>
      </c>
      <c r="N1384" s="13">
        <v>43924</v>
      </c>
      <c r="O1384" s="29">
        <v>0</v>
      </c>
      <c r="P1384" s="18" t="s">
        <v>1107</v>
      </c>
      <c r="Q1384" s="18">
        <v>0</v>
      </c>
      <c r="U1384" s="22">
        <v>0.84</v>
      </c>
      <c r="V1384" s="22">
        <f>3.98/5</f>
        <v>0.79600000000000004</v>
      </c>
      <c r="W1384" s="14" t="s">
        <v>7777</v>
      </c>
      <c r="X1384" s="3">
        <v>3</v>
      </c>
      <c r="Z1384" s="23">
        <v>63</v>
      </c>
      <c r="AB1384" s="18">
        <f t="shared" si="42"/>
        <v>2019</v>
      </c>
      <c r="AC1384" s="22">
        <f t="shared" si="43"/>
        <v>0.7453333333333334</v>
      </c>
    </row>
    <row r="1385" spans="1:29">
      <c r="A1385" s="8" t="s">
        <v>9541</v>
      </c>
      <c r="B1385" s="17" t="s">
        <v>7800</v>
      </c>
      <c r="C1385" s="13">
        <v>43704</v>
      </c>
      <c r="D1385" s="13" t="s">
        <v>8465</v>
      </c>
      <c r="E1385" s="10" t="s">
        <v>8150</v>
      </c>
      <c r="F1385" s="10" t="s">
        <v>4468</v>
      </c>
      <c r="H1385" s="2" t="s">
        <v>151</v>
      </c>
      <c r="L1385" s="18">
        <v>1</v>
      </c>
      <c r="N1385" s="13">
        <v>44197</v>
      </c>
      <c r="O1385" s="29">
        <v>0</v>
      </c>
      <c r="P1385" s="18" t="s">
        <v>1107</v>
      </c>
      <c r="Q1385" s="18">
        <v>0</v>
      </c>
      <c r="U1385" s="22">
        <v>0.73</v>
      </c>
      <c r="V1385" s="22">
        <f>3.6/5</f>
        <v>0.72</v>
      </c>
      <c r="W1385" s="14" t="s">
        <v>7777</v>
      </c>
      <c r="X1385" s="3">
        <v>3</v>
      </c>
      <c r="Z1385" s="23">
        <v>5.5</v>
      </c>
      <c r="AB1385" s="18">
        <f t="shared" si="42"/>
        <v>2019</v>
      </c>
      <c r="AC1385" s="22">
        <f t="shared" si="43"/>
        <v>0.68333333333333324</v>
      </c>
    </row>
    <row r="1386" spans="1:29">
      <c r="A1386" s="8" t="s">
        <v>7761</v>
      </c>
      <c r="B1386" s="17" t="s">
        <v>7760</v>
      </c>
      <c r="C1386" s="13">
        <v>43704</v>
      </c>
      <c r="D1386" s="13" t="s">
        <v>8465</v>
      </c>
      <c r="E1386" s="10" t="s">
        <v>1571</v>
      </c>
      <c r="F1386" s="10" t="s">
        <v>3130</v>
      </c>
      <c r="H1386" s="2" t="s">
        <v>1168</v>
      </c>
      <c r="L1386" s="18">
        <v>1</v>
      </c>
      <c r="M1386" s="14" t="s">
        <v>8462</v>
      </c>
      <c r="N1386" s="13">
        <v>43705</v>
      </c>
      <c r="O1386" s="29">
        <v>50.94</v>
      </c>
      <c r="P1386" s="18" t="s">
        <v>14</v>
      </c>
      <c r="Q1386" s="18">
        <v>0</v>
      </c>
      <c r="U1386" s="22">
        <v>0.83</v>
      </c>
      <c r="V1386" s="22">
        <f>3.79/5</f>
        <v>0.75800000000000001</v>
      </c>
      <c r="X1386" s="3">
        <v>2</v>
      </c>
      <c r="Z1386" s="23">
        <v>11</v>
      </c>
      <c r="AB1386" s="18">
        <f t="shared" si="42"/>
        <v>2019</v>
      </c>
      <c r="AC1386" s="22">
        <f t="shared" si="43"/>
        <v>0.66266666666666663</v>
      </c>
    </row>
    <row r="1387" spans="1:29" ht="25.5">
      <c r="A1387" s="8" t="s">
        <v>9555</v>
      </c>
      <c r="B1387" s="17" t="s">
        <v>7800</v>
      </c>
      <c r="C1387" s="13">
        <v>43704</v>
      </c>
      <c r="D1387" s="13" t="s">
        <v>8465</v>
      </c>
      <c r="E1387" s="10" t="s">
        <v>8205</v>
      </c>
      <c r="F1387" s="10" t="s">
        <v>9556</v>
      </c>
      <c r="H1387" s="2" t="s">
        <v>1699</v>
      </c>
      <c r="L1387" s="18">
        <v>1</v>
      </c>
      <c r="N1387" s="13">
        <v>44197</v>
      </c>
      <c r="O1387" s="29">
        <v>0</v>
      </c>
      <c r="P1387" s="18" t="s">
        <v>1107</v>
      </c>
      <c r="Q1387" s="18">
        <v>0</v>
      </c>
      <c r="U1387" s="22">
        <v>0.64</v>
      </c>
      <c r="V1387" s="22">
        <f>3.09/5</f>
        <v>0.61799999999999999</v>
      </c>
      <c r="W1387" s="14" t="s">
        <v>7777</v>
      </c>
      <c r="X1387" s="3">
        <v>2</v>
      </c>
      <c r="Z1387" s="23">
        <v>11.5</v>
      </c>
      <c r="AB1387" s="18">
        <f t="shared" si="42"/>
        <v>2019</v>
      </c>
      <c r="AC1387" s="22">
        <f t="shared" si="43"/>
        <v>0.55266666666666664</v>
      </c>
    </row>
    <row r="1388" spans="1:29" ht="25.5">
      <c r="A1388" s="8" t="s">
        <v>7522</v>
      </c>
      <c r="B1388" s="17" t="s">
        <v>7744</v>
      </c>
      <c r="C1388" s="13">
        <v>43703</v>
      </c>
      <c r="D1388" s="13" t="s">
        <v>8463</v>
      </c>
      <c r="E1388" s="10" t="s">
        <v>7523</v>
      </c>
      <c r="F1388" s="10" t="s">
        <v>4574</v>
      </c>
      <c r="H1388" s="2" t="s">
        <v>56</v>
      </c>
      <c r="K1388" s="18">
        <v>2</v>
      </c>
      <c r="L1388" s="18">
        <v>1</v>
      </c>
      <c r="M1388" s="14" t="s">
        <v>8462</v>
      </c>
      <c r="N1388" s="13">
        <v>43703</v>
      </c>
      <c r="O1388" s="29">
        <v>29.99</v>
      </c>
      <c r="P1388" s="18" t="s">
        <v>14</v>
      </c>
      <c r="Q1388" s="18">
        <v>0</v>
      </c>
      <c r="V1388" s="22">
        <f>3.5/5</f>
        <v>0.7</v>
      </c>
      <c r="W1388" s="14" t="s">
        <v>7524</v>
      </c>
      <c r="X1388" s="3">
        <v>2</v>
      </c>
      <c r="Z1388" s="23">
        <f>3.5+5.5</f>
        <v>9</v>
      </c>
      <c r="AB1388" s="18">
        <f t="shared" si="42"/>
        <v>2019</v>
      </c>
      <c r="AC1388" s="22">
        <f t="shared" si="43"/>
        <v>0.55000000000000004</v>
      </c>
    </row>
    <row r="1389" spans="1:29">
      <c r="A1389" s="8" t="s">
        <v>10851</v>
      </c>
      <c r="B1389" s="17" t="s">
        <v>7800</v>
      </c>
      <c r="C1389" s="13">
        <v>43700</v>
      </c>
      <c r="D1389" s="13" t="s">
        <v>8465</v>
      </c>
      <c r="E1389" s="10" t="s">
        <v>7300</v>
      </c>
      <c r="F1389" s="10" t="s">
        <v>4108</v>
      </c>
      <c r="H1389" s="2" t="s">
        <v>1194</v>
      </c>
      <c r="L1389" s="18">
        <v>1</v>
      </c>
      <c r="N1389" s="13">
        <v>44560</v>
      </c>
      <c r="O1389" s="29">
        <v>4.71</v>
      </c>
      <c r="P1389" s="18" t="s">
        <v>1107</v>
      </c>
      <c r="Q1389" s="18">
        <v>0</v>
      </c>
      <c r="U1389" s="22">
        <v>0.84</v>
      </c>
      <c r="V1389" s="22">
        <f>3.05/5</f>
        <v>0.61</v>
      </c>
      <c r="W1389" s="14" t="s">
        <v>7777</v>
      </c>
      <c r="X1389" s="3">
        <v>4</v>
      </c>
      <c r="Z1389" s="23">
        <v>4</v>
      </c>
      <c r="AB1389" s="18">
        <f t="shared" si="42"/>
        <v>2019</v>
      </c>
      <c r="AC1389" s="22">
        <f t="shared" si="43"/>
        <v>0.75</v>
      </c>
    </row>
    <row r="1390" spans="1:29">
      <c r="A1390" s="8" t="s">
        <v>12448</v>
      </c>
      <c r="B1390" s="17" t="s">
        <v>7800</v>
      </c>
      <c r="C1390" s="13">
        <v>43700</v>
      </c>
      <c r="D1390" s="13" t="s">
        <v>8465</v>
      </c>
      <c r="E1390" s="10" t="s">
        <v>12451</v>
      </c>
      <c r="F1390" s="10" t="s">
        <v>12451</v>
      </c>
      <c r="H1390" s="2" t="s">
        <v>1143</v>
      </c>
      <c r="L1390" s="18">
        <v>1</v>
      </c>
      <c r="N1390" s="13">
        <v>44809</v>
      </c>
      <c r="O1390" s="29">
        <v>1.99</v>
      </c>
      <c r="P1390" s="18" t="s">
        <v>1107</v>
      </c>
      <c r="Q1390" s="18">
        <v>0</v>
      </c>
      <c r="V1390" s="22">
        <f>3.75/5</f>
        <v>0.75</v>
      </c>
      <c r="W1390" s="14" t="s">
        <v>7777</v>
      </c>
      <c r="X1390" s="3">
        <v>3</v>
      </c>
      <c r="Z1390" s="23">
        <v>1.5</v>
      </c>
      <c r="AB1390" s="18">
        <f t="shared" si="42"/>
        <v>2019</v>
      </c>
      <c r="AC1390" s="22">
        <f t="shared" si="43"/>
        <v>0.67500000000000004</v>
      </c>
    </row>
    <row r="1391" spans="1:29" ht="25.5">
      <c r="A1391" s="8" t="s">
        <v>11643</v>
      </c>
      <c r="B1391" s="17" t="s">
        <v>7800</v>
      </c>
      <c r="C1391" s="13">
        <v>43700</v>
      </c>
      <c r="D1391" s="13" t="s">
        <v>8465</v>
      </c>
      <c r="E1391" s="10" t="s">
        <v>11644</v>
      </c>
      <c r="F1391" s="10" t="s">
        <v>11644</v>
      </c>
      <c r="H1391" s="2" t="s">
        <v>171</v>
      </c>
      <c r="I1391" s="18">
        <v>1</v>
      </c>
      <c r="L1391" s="18">
        <v>1</v>
      </c>
      <c r="N1391" s="13">
        <v>44664</v>
      </c>
      <c r="O1391" s="29">
        <v>18</v>
      </c>
      <c r="P1391" s="18" t="s">
        <v>1107</v>
      </c>
      <c r="Q1391" s="18">
        <v>0</v>
      </c>
      <c r="V1391" s="22">
        <f>3.63/5</f>
        <v>0.72599999999999998</v>
      </c>
      <c r="W1391" s="14" t="s">
        <v>7777</v>
      </c>
      <c r="X1391" s="3">
        <v>3</v>
      </c>
      <c r="Z1391" s="23">
        <v>2</v>
      </c>
      <c r="AB1391" s="18">
        <f t="shared" si="42"/>
        <v>2019</v>
      </c>
      <c r="AC1391" s="22">
        <f t="shared" si="43"/>
        <v>0.66300000000000003</v>
      </c>
    </row>
    <row r="1392" spans="1:29">
      <c r="A1392" s="8" t="s">
        <v>14247</v>
      </c>
      <c r="B1392" s="17" t="s">
        <v>7800</v>
      </c>
      <c r="C1392" s="13">
        <v>43700</v>
      </c>
      <c r="D1392" s="13" t="s">
        <v>8465</v>
      </c>
      <c r="E1392" s="10" t="s">
        <v>14248</v>
      </c>
      <c r="F1392" s="10" t="s">
        <v>14248</v>
      </c>
      <c r="H1392" s="2" t="s">
        <v>1518</v>
      </c>
      <c r="L1392" s="18">
        <v>1</v>
      </c>
      <c r="P1392" s="18" t="s">
        <v>1107</v>
      </c>
      <c r="Q1392" s="18">
        <v>0</v>
      </c>
      <c r="W1392" s="14" t="s">
        <v>7777</v>
      </c>
      <c r="X1392" s="3">
        <v>2</v>
      </c>
      <c r="Z1392" s="23">
        <v>5</v>
      </c>
      <c r="AB1392" s="18">
        <f t="shared" si="42"/>
        <v>2019</v>
      </c>
      <c r="AC1392" s="22">
        <f t="shared" si="43"/>
        <v>0.4</v>
      </c>
    </row>
    <row r="1393" spans="1:29">
      <c r="A1393" s="8" t="s">
        <v>8624</v>
      </c>
      <c r="B1393" s="17" t="s">
        <v>7800</v>
      </c>
      <c r="C1393" s="13">
        <v>43699</v>
      </c>
      <c r="D1393" s="13" t="s">
        <v>8465</v>
      </c>
      <c r="E1393" s="10" t="s">
        <v>1082</v>
      </c>
      <c r="F1393" s="10" t="s">
        <v>8625</v>
      </c>
      <c r="H1393" s="2" t="s">
        <v>171</v>
      </c>
      <c r="L1393" s="18">
        <v>1</v>
      </c>
      <c r="N1393" s="13">
        <v>43952</v>
      </c>
      <c r="O1393" s="29">
        <v>14.24</v>
      </c>
      <c r="P1393" s="18" t="s">
        <v>1107</v>
      </c>
      <c r="Q1393" s="18">
        <v>0</v>
      </c>
      <c r="U1393" s="22">
        <v>0.72</v>
      </c>
      <c r="V1393" s="22">
        <f>3.06/5</f>
        <v>0.61199999999999999</v>
      </c>
      <c r="W1393" s="14" t="s">
        <v>7777</v>
      </c>
      <c r="X1393" s="3">
        <v>3</v>
      </c>
      <c r="Z1393" s="23">
        <v>18.5</v>
      </c>
      <c r="AB1393" s="18">
        <f t="shared" si="42"/>
        <v>2019</v>
      </c>
      <c r="AC1393" s="22">
        <f t="shared" si="43"/>
        <v>0.64400000000000002</v>
      </c>
    </row>
    <row r="1394" spans="1:29">
      <c r="A1394" s="8" t="s">
        <v>7038</v>
      </c>
      <c r="B1394" s="17" t="s">
        <v>7800</v>
      </c>
      <c r="C1394" s="13">
        <v>43699</v>
      </c>
      <c r="D1394" s="13" t="s">
        <v>8465</v>
      </c>
      <c r="E1394" s="10" t="s">
        <v>7039</v>
      </c>
      <c r="F1394" s="10" t="s">
        <v>7040</v>
      </c>
      <c r="H1394" s="2" t="s">
        <v>151</v>
      </c>
      <c r="L1394" s="18">
        <v>1</v>
      </c>
      <c r="N1394" s="13">
        <v>43678</v>
      </c>
      <c r="O1394" s="29">
        <v>0</v>
      </c>
      <c r="P1394" s="18" t="s">
        <v>1107</v>
      </c>
      <c r="Q1394" s="18">
        <v>0</v>
      </c>
      <c r="U1394" s="22">
        <v>0.68</v>
      </c>
      <c r="V1394" s="22">
        <f>3.33/5</f>
        <v>0.66600000000000004</v>
      </c>
      <c r="W1394" s="14" t="s">
        <v>7799</v>
      </c>
      <c r="X1394" s="3">
        <v>2</v>
      </c>
      <c r="Z1394" s="23">
        <v>3.5</v>
      </c>
      <c r="AB1394" s="18">
        <f t="shared" si="42"/>
        <v>2019</v>
      </c>
      <c r="AC1394" s="22">
        <f t="shared" si="43"/>
        <v>0.58199999999999996</v>
      </c>
    </row>
    <row r="1395" spans="1:29" ht="30">
      <c r="A1395" s="8" t="s">
        <v>8250</v>
      </c>
      <c r="B1395" s="17" t="s">
        <v>7800</v>
      </c>
      <c r="C1395" s="13">
        <v>43697</v>
      </c>
      <c r="D1395" s="13" t="s">
        <v>8465</v>
      </c>
      <c r="E1395" s="10" t="s">
        <v>8254</v>
      </c>
      <c r="F1395" s="10" t="s">
        <v>3581</v>
      </c>
      <c r="G1395" s="11" t="s">
        <v>15521</v>
      </c>
      <c r="H1395" s="2" t="s">
        <v>1168</v>
      </c>
      <c r="L1395" s="18">
        <v>1</v>
      </c>
      <c r="N1395" s="13">
        <v>43822</v>
      </c>
      <c r="O1395" s="29">
        <v>22.41</v>
      </c>
      <c r="P1395" s="18" t="s">
        <v>1107</v>
      </c>
      <c r="Q1395" s="18">
        <v>0</v>
      </c>
      <c r="U1395" s="22">
        <v>0.78</v>
      </c>
      <c r="V1395" s="22">
        <f>3.4/5</f>
        <v>0.67999999999999994</v>
      </c>
      <c r="W1395" s="14" t="s">
        <v>7777</v>
      </c>
      <c r="X1395" s="3">
        <v>4</v>
      </c>
      <c r="Z1395" s="23">
        <v>13.5</v>
      </c>
      <c r="AB1395" s="18">
        <f t="shared" si="42"/>
        <v>2019</v>
      </c>
      <c r="AC1395" s="22">
        <f t="shared" si="43"/>
        <v>0.7533333333333333</v>
      </c>
    </row>
    <row r="1396" spans="1:29" ht="30">
      <c r="A1396" s="8" t="s">
        <v>8679</v>
      </c>
      <c r="B1396" s="17" t="s">
        <v>7800</v>
      </c>
      <c r="C1396" s="13">
        <v>43696</v>
      </c>
      <c r="D1396" s="13" t="s">
        <v>8465</v>
      </c>
      <c r="E1396" s="10" t="s">
        <v>1604</v>
      </c>
      <c r="F1396" s="10" t="s">
        <v>3370</v>
      </c>
      <c r="H1396" s="2" t="s">
        <v>1518</v>
      </c>
      <c r="L1396" s="18">
        <v>1</v>
      </c>
      <c r="N1396" s="13">
        <v>43970</v>
      </c>
      <c r="O1396" s="29">
        <v>0</v>
      </c>
      <c r="P1396" s="18" t="s">
        <v>1107</v>
      </c>
      <c r="Q1396" s="18">
        <v>0</v>
      </c>
      <c r="U1396" s="22">
        <v>0.71</v>
      </c>
      <c r="V1396" s="22">
        <f>3.13/5</f>
        <v>0.626</v>
      </c>
      <c r="W1396" s="14" t="s">
        <v>7777</v>
      </c>
      <c r="X1396" s="3">
        <v>2</v>
      </c>
      <c r="Z1396" s="23">
        <v>10</v>
      </c>
      <c r="AB1396" s="18">
        <f t="shared" si="42"/>
        <v>2019</v>
      </c>
      <c r="AC1396" s="22">
        <f t="shared" si="43"/>
        <v>0.57866666666666655</v>
      </c>
    </row>
    <row r="1397" spans="1:29" ht="30">
      <c r="A1397" s="8" t="s">
        <v>9044</v>
      </c>
      <c r="B1397" s="17" t="s">
        <v>7760</v>
      </c>
      <c r="C1397" s="13">
        <v>43696</v>
      </c>
      <c r="D1397" s="13" t="s">
        <v>8465</v>
      </c>
      <c r="E1397" s="10" t="s">
        <v>6107</v>
      </c>
      <c r="F1397" s="10" t="s">
        <v>9045</v>
      </c>
      <c r="H1397" s="2" t="s">
        <v>1194</v>
      </c>
      <c r="L1397" s="18">
        <v>1</v>
      </c>
      <c r="N1397" s="13">
        <v>44030</v>
      </c>
      <c r="O1397" s="29">
        <v>0</v>
      </c>
      <c r="P1397" s="18" t="s">
        <v>1107</v>
      </c>
      <c r="Q1397" s="18">
        <v>0</v>
      </c>
      <c r="U1397" s="22">
        <v>0.69</v>
      </c>
      <c r="V1397" s="22">
        <f>3.02/5</f>
        <v>0.60399999999999998</v>
      </c>
      <c r="W1397" s="14" t="s">
        <v>6072</v>
      </c>
      <c r="X1397" s="3">
        <v>2</v>
      </c>
      <c r="Z1397" s="23">
        <v>2</v>
      </c>
      <c r="AB1397" s="18">
        <f t="shared" si="42"/>
        <v>2019</v>
      </c>
      <c r="AC1397" s="22">
        <f t="shared" si="43"/>
        <v>0.56466666666666665</v>
      </c>
    </row>
    <row r="1398" spans="1:29" ht="30">
      <c r="A1398" s="8" t="s">
        <v>9531</v>
      </c>
      <c r="B1398" s="17" t="s">
        <v>7744</v>
      </c>
      <c r="C1398" s="13">
        <v>43693</v>
      </c>
      <c r="D1398" s="13" t="s">
        <v>8465</v>
      </c>
      <c r="E1398" s="10" t="s">
        <v>2459</v>
      </c>
      <c r="F1398" s="10" t="s">
        <v>2459</v>
      </c>
      <c r="G1398" s="11" t="s">
        <v>1871</v>
      </c>
      <c r="H1398" s="2" t="s">
        <v>149</v>
      </c>
      <c r="L1398" s="18">
        <v>1</v>
      </c>
      <c r="M1398" s="14" t="s">
        <v>8462</v>
      </c>
      <c r="N1398" s="13">
        <v>44050</v>
      </c>
      <c r="O1398" s="29">
        <v>54.99</v>
      </c>
      <c r="P1398" s="18" t="s">
        <v>14</v>
      </c>
      <c r="Q1398" s="18">
        <v>0</v>
      </c>
      <c r="U1398" s="22">
        <v>0.72</v>
      </c>
      <c r="V1398" s="22">
        <f>4.08/5</f>
        <v>0.81600000000000006</v>
      </c>
      <c r="W1398" s="14" t="s">
        <v>1134</v>
      </c>
      <c r="X1398" s="3">
        <v>4</v>
      </c>
      <c r="Z1398" s="23">
        <v>62</v>
      </c>
      <c r="AB1398" s="18">
        <f t="shared" si="42"/>
        <v>2019</v>
      </c>
      <c r="AC1398" s="22">
        <f t="shared" si="43"/>
        <v>0.77866666666666673</v>
      </c>
    </row>
    <row r="1399" spans="1:29">
      <c r="A1399" s="8" t="s">
        <v>8729</v>
      </c>
      <c r="B1399" s="17" t="s">
        <v>7744</v>
      </c>
      <c r="C1399" s="13">
        <v>43692</v>
      </c>
      <c r="D1399" s="13" t="s">
        <v>8465</v>
      </c>
      <c r="E1399" s="10" t="s">
        <v>4793</v>
      </c>
      <c r="F1399" s="10" t="s">
        <v>4793</v>
      </c>
      <c r="G1399" s="11" t="s">
        <v>334</v>
      </c>
      <c r="H1399" s="2" t="s">
        <v>21</v>
      </c>
      <c r="L1399" s="18">
        <v>1</v>
      </c>
      <c r="N1399" s="13">
        <v>43984</v>
      </c>
      <c r="O1399" s="29">
        <v>0</v>
      </c>
      <c r="P1399" s="18" t="s">
        <v>1107</v>
      </c>
      <c r="Q1399" s="18">
        <v>0</v>
      </c>
      <c r="U1399" s="22">
        <v>0.74</v>
      </c>
      <c r="V1399" s="22">
        <f>3.68/5</f>
        <v>0.73599999999999999</v>
      </c>
      <c r="X1399" s="3">
        <v>2</v>
      </c>
      <c r="Z1399" s="23">
        <f>50/60</f>
        <v>0.83333333333333337</v>
      </c>
      <c r="AB1399" s="18">
        <f t="shared" si="42"/>
        <v>2019</v>
      </c>
      <c r="AC1399" s="22">
        <f t="shared" si="43"/>
        <v>0.6253333333333333</v>
      </c>
    </row>
    <row r="1400" spans="1:29">
      <c r="A1400" s="8" t="s">
        <v>10555</v>
      </c>
      <c r="B1400" s="17" t="s">
        <v>7800</v>
      </c>
      <c r="C1400" s="13">
        <v>43692</v>
      </c>
      <c r="D1400" s="13" t="s">
        <v>8465</v>
      </c>
      <c r="E1400" s="10" t="s">
        <v>10556</v>
      </c>
      <c r="F1400" s="10" t="s">
        <v>10556</v>
      </c>
      <c r="H1400" s="2" t="s">
        <v>78</v>
      </c>
      <c r="L1400" s="18">
        <v>1</v>
      </c>
      <c r="N1400" s="13">
        <v>44497</v>
      </c>
      <c r="O1400" s="29">
        <v>0</v>
      </c>
      <c r="P1400" s="18" t="s">
        <v>1107</v>
      </c>
      <c r="Q1400" s="18">
        <v>0</v>
      </c>
      <c r="U1400" s="22">
        <v>0.7</v>
      </c>
      <c r="V1400" s="22">
        <f>3.66/5</f>
        <v>0.73199999999999998</v>
      </c>
      <c r="W1400" s="14" t="s">
        <v>7097</v>
      </c>
      <c r="X1400" s="3">
        <v>2</v>
      </c>
      <c r="Z1400" s="23">
        <v>2</v>
      </c>
      <c r="AB1400" s="18">
        <f t="shared" si="42"/>
        <v>2019</v>
      </c>
      <c r="AC1400" s="22">
        <f t="shared" si="43"/>
        <v>0.61066666666666658</v>
      </c>
    </row>
    <row r="1401" spans="1:29">
      <c r="A1401" s="8" t="s">
        <v>9475</v>
      </c>
      <c r="B1401" s="17" t="s">
        <v>7800</v>
      </c>
      <c r="C1401" s="13">
        <v>43690</v>
      </c>
      <c r="D1401" s="13" t="s">
        <v>8465</v>
      </c>
      <c r="E1401" s="10" t="s">
        <v>9476</v>
      </c>
      <c r="F1401" s="10" t="s">
        <v>9476</v>
      </c>
      <c r="H1401" s="2" t="s">
        <v>3411</v>
      </c>
      <c r="L1401" s="18">
        <v>1</v>
      </c>
      <c r="N1401" s="13">
        <v>44167</v>
      </c>
      <c r="O1401" s="29">
        <v>0</v>
      </c>
      <c r="P1401" s="18" t="s">
        <v>1107</v>
      </c>
      <c r="Q1401" s="18">
        <v>0</v>
      </c>
      <c r="U1401" s="22">
        <v>0.8</v>
      </c>
      <c r="V1401" s="22">
        <f>3.86/5</f>
        <v>0.77200000000000002</v>
      </c>
      <c r="W1401" s="14" t="s">
        <v>7777</v>
      </c>
      <c r="X1401" s="3">
        <v>4</v>
      </c>
      <c r="Z1401" s="23">
        <v>24.5</v>
      </c>
      <c r="AB1401" s="18">
        <f t="shared" si="42"/>
        <v>2019</v>
      </c>
      <c r="AC1401" s="22">
        <f t="shared" si="43"/>
        <v>0.79066666666666663</v>
      </c>
    </row>
    <row r="1402" spans="1:29">
      <c r="A1402" s="8" t="s">
        <v>11302</v>
      </c>
      <c r="B1402" s="17" t="s">
        <v>7800</v>
      </c>
      <c r="C1402" s="13">
        <v>43690</v>
      </c>
      <c r="D1402" s="13" t="s">
        <v>8465</v>
      </c>
      <c r="E1402" s="10" t="s">
        <v>4790</v>
      </c>
      <c r="F1402" s="10" t="s">
        <v>4790</v>
      </c>
      <c r="G1402" s="11" t="s">
        <v>4789</v>
      </c>
      <c r="H1402" s="2" t="s">
        <v>6563</v>
      </c>
      <c r="L1402" s="18">
        <v>1</v>
      </c>
      <c r="N1402" s="13">
        <v>44620</v>
      </c>
      <c r="O1402" s="29">
        <v>4.99</v>
      </c>
      <c r="P1402" s="18" t="s">
        <v>1107</v>
      </c>
      <c r="Q1402" s="18">
        <v>0</v>
      </c>
      <c r="U1402" s="22">
        <v>0.77</v>
      </c>
      <c r="V1402" s="22">
        <f>3.5/5</f>
        <v>0.7</v>
      </c>
      <c r="W1402" s="14" t="s">
        <v>7777</v>
      </c>
      <c r="X1402" s="3">
        <v>3</v>
      </c>
      <c r="Z1402" s="23">
        <v>17</v>
      </c>
      <c r="AB1402" s="18">
        <f t="shared" si="42"/>
        <v>2019</v>
      </c>
      <c r="AC1402" s="22">
        <f t="shared" si="43"/>
        <v>0.69</v>
      </c>
    </row>
    <row r="1403" spans="1:29">
      <c r="A1403" s="8" t="s">
        <v>14200</v>
      </c>
      <c r="B1403" s="17" t="s">
        <v>7800</v>
      </c>
      <c r="C1403" s="13">
        <v>43690</v>
      </c>
      <c r="D1403" s="13" t="s">
        <v>8465</v>
      </c>
      <c r="E1403" s="10" t="s">
        <v>14199</v>
      </c>
      <c r="F1403" s="10" t="s">
        <v>14199</v>
      </c>
      <c r="H1403" s="2" t="s">
        <v>151</v>
      </c>
      <c r="L1403" s="18">
        <v>1</v>
      </c>
      <c r="O1403" s="29">
        <v>0</v>
      </c>
      <c r="P1403" s="18" t="s">
        <v>1107</v>
      </c>
      <c r="Q1403" s="18">
        <v>0</v>
      </c>
      <c r="W1403" s="14" t="s">
        <v>8765</v>
      </c>
      <c r="X1403" s="3">
        <v>2</v>
      </c>
      <c r="Z1403" s="23">
        <f>56/60</f>
        <v>0.93333333333333335</v>
      </c>
      <c r="AB1403" s="18">
        <f t="shared" si="42"/>
        <v>2019</v>
      </c>
      <c r="AC1403" s="22">
        <f t="shared" si="43"/>
        <v>0.4</v>
      </c>
    </row>
    <row r="1404" spans="1:29" ht="30">
      <c r="A1404" s="8" t="s">
        <v>8501</v>
      </c>
      <c r="B1404" s="17" t="s">
        <v>7800</v>
      </c>
      <c r="C1404" s="13">
        <v>43689</v>
      </c>
      <c r="D1404" s="13" t="s">
        <v>8465</v>
      </c>
      <c r="E1404" s="10" t="s">
        <v>3156</v>
      </c>
      <c r="F1404" s="10" t="s">
        <v>8502</v>
      </c>
      <c r="G1404" s="11" t="s">
        <v>3182</v>
      </c>
      <c r="H1404" s="2" t="s">
        <v>80</v>
      </c>
      <c r="L1404" s="18">
        <v>1</v>
      </c>
      <c r="N1404" s="13">
        <v>43902</v>
      </c>
      <c r="O1404" s="29">
        <v>0</v>
      </c>
      <c r="P1404" s="18" t="s">
        <v>1107</v>
      </c>
      <c r="Q1404" s="18">
        <v>0</v>
      </c>
      <c r="V1404" s="22">
        <f>3.15/5</f>
        <v>0.63</v>
      </c>
      <c r="W1404" s="14" t="s">
        <v>7777</v>
      </c>
      <c r="X1404" s="3">
        <v>4</v>
      </c>
      <c r="Z1404" s="23">
        <v>9</v>
      </c>
      <c r="AB1404" s="18">
        <f t="shared" si="42"/>
        <v>2019</v>
      </c>
      <c r="AC1404" s="22">
        <f t="shared" si="43"/>
        <v>0.71500000000000008</v>
      </c>
    </row>
    <row r="1405" spans="1:29">
      <c r="A1405" s="8" t="s">
        <v>8336</v>
      </c>
      <c r="B1405" s="17" t="s">
        <v>7800</v>
      </c>
      <c r="C1405" s="13">
        <v>43689</v>
      </c>
      <c r="D1405" s="13" t="s">
        <v>8465</v>
      </c>
      <c r="E1405" s="10" t="s">
        <v>5085</v>
      </c>
      <c r="F1405" s="10" t="s">
        <v>5085</v>
      </c>
      <c r="H1405" s="2" t="s">
        <v>1057</v>
      </c>
      <c r="L1405" s="18">
        <v>1</v>
      </c>
      <c r="N1405" s="13">
        <v>43870</v>
      </c>
      <c r="O1405" s="29">
        <v>0</v>
      </c>
      <c r="P1405" s="18" t="s">
        <v>1107</v>
      </c>
      <c r="Q1405" s="18">
        <v>0</v>
      </c>
      <c r="U1405" s="22">
        <v>0.84</v>
      </c>
      <c r="V1405" s="22">
        <f>3.5/5</f>
        <v>0.7</v>
      </c>
      <c r="W1405" s="14" t="s">
        <v>7777</v>
      </c>
      <c r="X1405" s="3">
        <v>2</v>
      </c>
      <c r="Z1405" s="23">
        <v>5.5</v>
      </c>
      <c r="AB1405" s="18">
        <f t="shared" si="42"/>
        <v>2019</v>
      </c>
      <c r="AC1405" s="22">
        <f t="shared" si="43"/>
        <v>0.64666666666666661</v>
      </c>
    </row>
    <row r="1406" spans="1:29">
      <c r="A1406" s="8" t="s">
        <v>11647</v>
      </c>
      <c r="B1406" s="17" t="s">
        <v>7800</v>
      </c>
      <c r="C1406" s="13">
        <v>43686</v>
      </c>
      <c r="D1406" s="13" t="s">
        <v>8465</v>
      </c>
      <c r="E1406" s="10" t="s">
        <v>3760</v>
      </c>
      <c r="F1406" s="10" t="s">
        <v>3760</v>
      </c>
      <c r="G1406" s="11" t="s">
        <v>9906</v>
      </c>
      <c r="H1406" s="2" t="s">
        <v>1334</v>
      </c>
      <c r="I1406" s="18">
        <v>1</v>
      </c>
      <c r="L1406" s="18">
        <v>1</v>
      </c>
      <c r="N1406" s="13">
        <v>44664</v>
      </c>
      <c r="O1406" s="29">
        <v>0</v>
      </c>
      <c r="P1406" s="18" t="s">
        <v>1107</v>
      </c>
      <c r="Q1406" s="18">
        <v>0</v>
      </c>
      <c r="U1406" s="22">
        <v>0.77</v>
      </c>
      <c r="V1406" s="22">
        <f>4.13/5</f>
        <v>0.82599999999999996</v>
      </c>
      <c r="W1406" s="14" t="s">
        <v>7777</v>
      </c>
      <c r="X1406" s="3">
        <v>3</v>
      </c>
      <c r="Z1406" s="23">
        <v>5</v>
      </c>
      <c r="AB1406" s="18">
        <f t="shared" si="42"/>
        <v>2019</v>
      </c>
      <c r="AC1406" s="22">
        <f t="shared" si="43"/>
        <v>0.7320000000000001</v>
      </c>
    </row>
    <row r="1407" spans="1:29" ht="30">
      <c r="A1407" s="8" t="s">
        <v>8100</v>
      </c>
      <c r="B1407" s="17" t="s">
        <v>7760</v>
      </c>
      <c r="C1407" s="13">
        <v>43683</v>
      </c>
      <c r="D1407" s="13" t="s">
        <v>8465</v>
      </c>
      <c r="E1407" s="10" t="s">
        <v>3063</v>
      </c>
      <c r="F1407" s="10" t="s">
        <v>1580</v>
      </c>
      <c r="G1407" s="11" t="s">
        <v>6301</v>
      </c>
      <c r="H1407" s="2" t="s">
        <v>1168</v>
      </c>
      <c r="L1407" s="18">
        <v>1</v>
      </c>
      <c r="M1407" s="14" t="s">
        <v>8462</v>
      </c>
      <c r="N1407" s="13">
        <v>43769</v>
      </c>
      <c r="O1407" s="29">
        <v>34.99</v>
      </c>
      <c r="P1407" s="18" t="s">
        <v>14</v>
      </c>
      <c r="Q1407" s="18">
        <v>0</v>
      </c>
      <c r="U1407" s="22">
        <v>0.65369999999999995</v>
      </c>
      <c r="V1407" s="22">
        <f>3.8/5</f>
        <v>0.76</v>
      </c>
      <c r="W1407" s="14" t="s">
        <v>8101</v>
      </c>
      <c r="X1407" s="3">
        <v>4</v>
      </c>
      <c r="Z1407" s="23">
        <v>8</v>
      </c>
      <c r="AB1407" s="18">
        <f t="shared" si="42"/>
        <v>2019</v>
      </c>
      <c r="AC1407" s="22">
        <f t="shared" si="43"/>
        <v>0.73790000000000011</v>
      </c>
    </row>
    <row r="1408" spans="1:29" ht="25.5">
      <c r="A1408" s="8" t="s">
        <v>8990</v>
      </c>
      <c r="B1408" s="17" t="s">
        <v>7800</v>
      </c>
      <c r="C1408" s="13">
        <v>43683</v>
      </c>
      <c r="D1408" s="13" t="s">
        <v>8465</v>
      </c>
      <c r="E1408" s="10" t="s">
        <v>3453</v>
      </c>
      <c r="F1408" s="10" t="s">
        <v>3121</v>
      </c>
      <c r="G1408" s="11" t="s">
        <v>3119</v>
      </c>
      <c r="H1408" s="2" t="s">
        <v>69</v>
      </c>
      <c r="L1408" s="18">
        <v>1</v>
      </c>
      <c r="N1408" s="13">
        <v>44015</v>
      </c>
      <c r="O1408" s="29">
        <v>11</v>
      </c>
      <c r="P1408" s="18" t="s">
        <v>1107</v>
      </c>
      <c r="Q1408" s="18">
        <v>0</v>
      </c>
      <c r="U1408" s="22">
        <v>0.81</v>
      </c>
      <c r="V1408" s="22">
        <f>3.58/5</f>
        <v>0.71599999999999997</v>
      </c>
      <c r="W1408" s="14" t="s">
        <v>7777</v>
      </c>
      <c r="X1408" s="3">
        <v>2</v>
      </c>
      <c r="Z1408" s="23">
        <v>48</v>
      </c>
      <c r="AB1408" s="18">
        <f t="shared" si="42"/>
        <v>2019</v>
      </c>
      <c r="AC1408" s="22">
        <f t="shared" si="43"/>
        <v>0.64200000000000002</v>
      </c>
    </row>
    <row r="1409" spans="1:29" ht="30">
      <c r="A1409" s="8" t="s">
        <v>8099</v>
      </c>
      <c r="B1409" s="17" t="s">
        <v>7760</v>
      </c>
      <c r="C1409" s="13">
        <v>43682</v>
      </c>
      <c r="D1409" s="13" t="s">
        <v>8465</v>
      </c>
      <c r="E1409" s="10" t="s">
        <v>8102</v>
      </c>
      <c r="F1409" s="10" t="s">
        <v>8103</v>
      </c>
      <c r="H1409" s="2" t="s">
        <v>1194</v>
      </c>
      <c r="L1409" s="18">
        <v>1</v>
      </c>
      <c r="M1409" s="14" t="s">
        <v>8462</v>
      </c>
      <c r="N1409" s="13">
        <v>43769</v>
      </c>
      <c r="O1409" s="29">
        <v>38.15</v>
      </c>
      <c r="P1409" s="18" t="s">
        <v>14</v>
      </c>
      <c r="Q1409" s="18">
        <v>0</v>
      </c>
      <c r="V1409" s="22">
        <f>2.85/5</f>
        <v>0.57000000000000006</v>
      </c>
      <c r="W1409" s="14" t="s">
        <v>1134</v>
      </c>
      <c r="X1409" s="3">
        <v>2</v>
      </c>
      <c r="Z1409" s="23">
        <v>2</v>
      </c>
      <c r="AB1409" s="18">
        <f t="shared" si="42"/>
        <v>2019</v>
      </c>
      <c r="AC1409" s="22">
        <f t="shared" si="43"/>
        <v>0.48500000000000004</v>
      </c>
    </row>
    <row r="1410" spans="1:29">
      <c r="A1410" s="8" t="s">
        <v>10797</v>
      </c>
      <c r="B1410" s="17" t="s">
        <v>7744</v>
      </c>
      <c r="C1410" s="13">
        <v>43678</v>
      </c>
      <c r="D1410" s="13" t="s">
        <v>9335</v>
      </c>
      <c r="E1410" s="10" t="s">
        <v>2298</v>
      </c>
      <c r="F1410" s="10" t="s">
        <v>1083</v>
      </c>
      <c r="G1410" s="11" t="s">
        <v>10955</v>
      </c>
      <c r="H1410" s="2" t="s">
        <v>1518</v>
      </c>
      <c r="K1410" s="18">
        <v>2</v>
      </c>
      <c r="L1410" s="18">
        <v>1</v>
      </c>
      <c r="M1410" s="14" t="s">
        <v>8462</v>
      </c>
      <c r="N1410" s="13">
        <v>44548</v>
      </c>
      <c r="O1410" s="29">
        <v>46.99</v>
      </c>
      <c r="P1410" s="18" t="s">
        <v>14</v>
      </c>
      <c r="Q1410" s="18">
        <v>0</v>
      </c>
      <c r="U1410" s="22">
        <v>0.65</v>
      </c>
      <c r="V1410" s="22">
        <f>3.96/5</f>
        <v>0.79200000000000004</v>
      </c>
      <c r="X1410" s="3">
        <v>3</v>
      </c>
      <c r="Z1410" s="23">
        <v>30</v>
      </c>
      <c r="AB1410" s="18">
        <f t="shared" ref="AB1410:AB1473" si="44">IFERROR(YEAR(C1410), "Early Access")</f>
        <v>2019</v>
      </c>
      <c r="AC1410" s="22">
        <f t="shared" ref="AC1410:AC1473" si="45">AVERAGE(T1410, U1410, V1410, IF(ISBLANK(X1410), X1410, X1410/5))</f>
        <v>0.68066666666666675</v>
      </c>
    </row>
    <row r="1411" spans="1:29">
      <c r="A1411" s="8" t="s">
        <v>8120</v>
      </c>
      <c r="B1411" s="17" t="s">
        <v>7744</v>
      </c>
      <c r="C1411" s="13">
        <v>43676</v>
      </c>
      <c r="D1411" s="13" t="s">
        <v>8465</v>
      </c>
      <c r="E1411" s="10" t="s">
        <v>9249</v>
      </c>
      <c r="F1411" s="10" t="s">
        <v>8121</v>
      </c>
      <c r="H1411" s="2" t="s">
        <v>1699</v>
      </c>
      <c r="L1411" s="18">
        <v>1</v>
      </c>
      <c r="M1411" s="14" t="s">
        <v>8462</v>
      </c>
      <c r="N1411" s="13">
        <v>43789</v>
      </c>
      <c r="O1411" s="29">
        <v>29.99</v>
      </c>
      <c r="P1411" s="18" t="s">
        <v>14</v>
      </c>
      <c r="Q1411" s="18">
        <v>0</v>
      </c>
      <c r="U1411" s="22">
        <v>0.80859999999999999</v>
      </c>
      <c r="V1411" s="22">
        <f>3.9/5</f>
        <v>0.78</v>
      </c>
      <c r="X1411" s="3">
        <v>3</v>
      </c>
      <c r="Z1411" s="23">
        <v>13.5</v>
      </c>
      <c r="AB1411" s="18">
        <f t="shared" si="44"/>
        <v>2019</v>
      </c>
      <c r="AC1411" s="22">
        <f t="shared" si="45"/>
        <v>0.72953333333333337</v>
      </c>
    </row>
    <row r="1412" spans="1:29">
      <c r="A1412" s="8" t="s">
        <v>9242</v>
      </c>
      <c r="B1412" s="17" t="s">
        <v>7800</v>
      </c>
      <c r="C1412" s="13">
        <v>43672</v>
      </c>
      <c r="D1412" s="13" t="s">
        <v>8465</v>
      </c>
      <c r="E1412" s="10" t="s">
        <v>479</v>
      </c>
      <c r="F1412" s="10" t="s">
        <v>479</v>
      </c>
      <c r="G1412" s="11" t="s">
        <v>9243</v>
      </c>
      <c r="H1412" s="2" t="s">
        <v>459</v>
      </c>
      <c r="L1412" s="18">
        <v>1</v>
      </c>
      <c r="N1412" s="13">
        <v>44076</v>
      </c>
      <c r="O1412" s="29">
        <v>7.99</v>
      </c>
      <c r="P1412" s="18" t="s">
        <v>1107</v>
      </c>
      <c r="Q1412" s="18">
        <v>0</v>
      </c>
      <c r="V1412" s="22">
        <f>3.09/5</f>
        <v>0.61799999999999999</v>
      </c>
      <c r="W1412" s="14" t="s">
        <v>7777</v>
      </c>
      <c r="X1412" s="3">
        <v>3</v>
      </c>
      <c r="Z1412" s="23">
        <v>3.5</v>
      </c>
      <c r="AB1412" s="18">
        <f t="shared" si="44"/>
        <v>2019</v>
      </c>
      <c r="AC1412" s="22">
        <f t="shared" si="45"/>
        <v>0.60899999999999999</v>
      </c>
    </row>
    <row r="1413" spans="1:29" ht="25.5">
      <c r="A1413" s="8" t="s">
        <v>11963</v>
      </c>
      <c r="B1413" s="17" t="s">
        <v>7744</v>
      </c>
      <c r="C1413" s="13">
        <v>43671</v>
      </c>
      <c r="D1413" s="13" t="s">
        <v>8465</v>
      </c>
      <c r="E1413" s="10" t="s">
        <v>1794</v>
      </c>
      <c r="F1413" s="10" t="s">
        <v>1794</v>
      </c>
      <c r="G1413" s="11" t="s">
        <v>10286</v>
      </c>
      <c r="H1413" s="2" t="s">
        <v>78</v>
      </c>
      <c r="L1413" s="18">
        <v>1</v>
      </c>
      <c r="N1413" s="13">
        <v>44723</v>
      </c>
      <c r="O1413" s="29">
        <v>6.99</v>
      </c>
      <c r="P1413" s="18" t="s">
        <v>1107</v>
      </c>
      <c r="Q1413" s="18">
        <v>0</v>
      </c>
      <c r="U1413" s="22">
        <v>0.74</v>
      </c>
      <c r="V1413" s="22">
        <f>3.75/5</f>
        <v>0.75</v>
      </c>
      <c r="X1413" s="3">
        <v>3</v>
      </c>
      <c r="Z1413" s="23">
        <v>5.5</v>
      </c>
      <c r="AB1413" s="18">
        <f t="shared" si="44"/>
        <v>2019</v>
      </c>
      <c r="AC1413" s="22">
        <f t="shared" si="45"/>
        <v>0.69666666666666666</v>
      </c>
    </row>
    <row r="1414" spans="1:29">
      <c r="A1414" s="8" t="s">
        <v>12718</v>
      </c>
      <c r="B1414" s="17" t="s">
        <v>7800</v>
      </c>
      <c r="C1414" s="13">
        <v>43671</v>
      </c>
      <c r="D1414" s="13" t="s">
        <v>8465</v>
      </c>
      <c r="E1414" s="10" t="s">
        <v>7877</v>
      </c>
      <c r="F1414" s="10" t="s">
        <v>12722</v>
      </c>
      <c r="H1414" s="2" t="s">
        <v>151</v>
      </c>
      <c r="L1414" s="18">
        <v>1</v>
      </c>
      <c r="N1414" s="13">
        <v>44837</v>
      </c>
      <c r="O1414" s="29">
        <v>2.54</v>
      </c>
      <c r="P1414" s="18" t="s">
        <v>1107</v>
      </c>
      <c r="Q1414" s="18">
        <v>0</v>
      </c>
      <c r="V1414" s="22">
        <f>2.7/5</f>
        <v>0.54</v>
      </c>
      <c r="W1414" s="14" t="s">
        <v>7777</v>
      </c>
      <c r="X1414" s="3">
        <v>3</v>
      </c>
      <c r="Z1414" s="23">
        <v>4.5</v>
      </c>
      <c r="AB1414" s="18">
        <f t="shared" si="44"/>
        <v>2019</v>
      </c>
      <c r="AC1414" s="22">
        <f t="shared" si="45"/>
        <v>0.57000000000000006</v>
      </c>
    </row>
    <row r="1415" spans="1:29" ht="45">
      <c r="A1415" s="8" t="s">
        <v>13054</v>
      </c>
      <c r="B1415" s="17" t="s">
        <v>7800</v>
      </c>
      <c r="C1415" s="13">
        <v>43671</v>
      </c>
      <c r="D1415" s="13" t="s">
        <v>8465</v>
      </c>
      <c r="E1415" s="10" t="s">
        <v>13055</v>
      </c>
      <c r="F1415" s="10" t="s">
        <v>13056</v>
      </c>
      <c r="G1415" s="11" t="s">
        <v>1465</v>
      </c>
      <c r="H1415" s="2" t="s">
        <v>80</v>
      </c>
      <c r="L1415" s="18">
        <v>0</v>
      </c>
      <c r="Q1415" s="18">
        <v>0</v>
      </c>
      <c r="W1415" s="14" t="s">
        <v>9890</v>
      </c>
      <c r="X1415" s="3">
        <v>2</v>
      </c>
      <c r="AB1415" s="18">
        <f t="shared" si="44"/>
        <v>2019</v>
      </c>
      <c r="AC1415" s="22">
        <f t="shared" si="45"/>
        <v>0.4</v>
      </c>
    </row>
    <row r="1416" spans="1:29">
      <c r="A1416" s="8" t="s">
        <v>10772</v>
      </c>
      <c r="B1416" s="17" t="s">
        <v>7800</v>
      </c>
      <c r="C1416" s="13">
        <v>43669</v>
      </c>
      <c r="D1416" s="13" t="s">
        <v>8465</v>
      </c>
      <c r="E1416" s="10" t="s">
        <v>1634</v>
      </c>
      <c r="F1416" s="10" t="s">
        <v>10773</v>
      </c>
      <c r="H1416" s="2" t="s">
        <v>1334</v>
      </c>
      <c r="L1416" s="18">
        <v>1</v>
      </c>
      <c r="P1416" s="18" t="s">
        <v>1107</v>
      </c>
      <c r="Q1416" s="18">
        <v>0</v>
      </c>
      <c r="U1416" s="22">
        <v>0.71</v>
      </c>
      <c r="V1416" s="22">
        <f>3.25/5</f>
        <v>0.65</v>
      </c>
      <c r="W1416" s="14" t="s">
        <v>7777</v>
      </c>
      <c r="X1416" s="3">
        <v>2</v>
      </c>
      <c r="Z1416" s="23">
        <v>17</v>
      </c>
      <c r="AB1416" s="18">
        <f t="shared" si="44"/>
        <v>2019</v>
      </c>
      <c r="AC1416" s="22">
        <f t="shared" si="45"/>
        <v>0.58666666666666656</v>
      </c>
    </row>
    <row r="1417" spans="1:29">
      <c r="A1417" s="8" t="s">
        <v>6182</v>
      </c>
      <c r="B1417" s="17" t="s">
        <v>7800</v>
      </c>
      <c r="C1417" s="13">
        <v>43668</v>
      </c>
      <c r="D1417" s="13" t="s">
        <v>8465</v>
      </c>
      <c r="E1417" s="10" t="s">
        <v>4592</v>
      </c>
      <c r="F1417" s="10" t="s">
        <v>4592</v>
      </c>
      <c r="H1417" s="2" t="s">
        <v>67</v>
      </c>
      <c r="L1417" s="18">
        <v>1</v>
      </c>
      <c r="N1417" s="13">
        <v>43830</v>
      </c>
      <c r="O1417" s="29">
        <v>7.99</v>
      </c>
      <c r="P1417" s="18" t="s">
        <v>1107</v>
      </c>
      <c r="Q1417" s="18">
        <v>0</v>
      </c>
      <c r="U1417" s="22">
        <v>0.76</v>
      </c>
      <c r="V1417" s="22">
        <f>3.61/5</f>
        <v>0.72199999999999998</v>
      </c>
      <c r="W1417" s="14" t="s">
        <v>7097</v>
      </c>
      <c r="X1417" s="3">
        <v>4</v>
      </c>
      <c r="Z1417" s="23">
        <v>10.5</v>
      </c>
      <c r="AB1417" s="18">
        <f t="shared" si="44"/>
        <v>2019</v>
      </c>
      <c r="AC1417" s="22">
        <f t="shared" si="45"/>
        <v>0.76066666666666671</v>
      </c>
    </row>
    <row r="1418" spans="1:29">
      <c r="A1418" s="8" t="s">
        <v>9020</v>
      </c>
      <c r="B1418" s="17" t="s">
        <v>7800</v>
      </c>
      <c r="C1418" s="13">
        <v>43668</v>
      </c>
      <c r="D1418" s="13" t="s">
        <v>8465</v>
      </c>
      <c r="E1418" s="10" t="s">
        <v>9021</v>
      </c>
      <c r="F1418" s="10" t="s">
        <v>9021</v>
      </c>
      <c r="H1418" s="2" t="s">
        <v>67</v>
      </c>
      <c r="L1418" s="18">
        <v>1</v>
      </c>
      <c r="N1418" s="13">
        <v>44022</v>
      </c>
      <c r="O1418" s="29">
        <v>0</v>
      </c>
      <c r="P1418" s="18" t="s">
        <v>1107</v>
      </c>
      <c r="Q1418" s="18">
        <v>0</v>
      </c>
      <c r="U1418" s="22">
        <v>0.63</v>
      </c>
      <c r="V1418" s="22">
        <f>2.92/5</f>
        <v>0.58399999999999996</v>
      </c>
      <c r="W1418" s="14" t="s">
        <v>7799</v>
      </c>
      <c r="X1418" s="3">
        <v>2</v>
      </c>
      <c r="Z1418" s="23">
        <v>3</v>
      </c>
      <c r="AB1418" s="18">
        <f t="shared" si="44"/>
        <v>2019</v>
      </c>
      <c r="AC1418" s="22">
        <f t="shared" si="45"/>
        <v>0.53799999999999992</v>
      </c>
    </row>
    <row r="1419" spans="1:29" ht="38.25">
      <c r="A1419" s="8" t="s">
        <v>1629</v>
      </c>
      <c r="B1419" s="17" t="s">
        <v>7744</v>
      </c>
      <c r="C1419" s="13">
        <v>43665</v>
      </c>
      <c r="D1419" s="13" t="s">
        <v>8465</v>
      </c>
      <c r="E1419" s="10" t="s">
        <v>86</v>
      </c>
      <c r="F1419" s="10" t="s">
        <v>1136</v>
      </c>
      <c r="G1419" s="11" t="s">
        <v>5967</v>
      </c>
      <c r="H1419" s="2" t="s">
        <v>171</v>
      </c>
      <c r="L1419" s="18">
        <v>1</v>
      </c>
      <c r="M1419" s="14" t="s">
        <v>8462</v>
      </c>
      <c r="N1419" s="13">
        <v>43665</v>
      </c>
      <c r="O1419" s="29">
        <v>60.75</v>
      </c>
      <c r="P1419" s="18" t="s">
        <v>14</v>
      </c>
      <c r="Q1419" s="18">
        <v>0</v>
      </c>
      <c r="U1419" s="22">
        <v>0.72</v>
      </c>
      <c r="V1419" s="22">
        <f>3.79/5</f>
        <v>0.75800000000000001</v>
      </c>
      <c r="X1419" s="3">
        <v>4</v>
      </c>
      <c r="Z1419" s="23">
        <v>12.5</v>
      </c>
      <c r="AB1419" s="18">
        <f t="shared" si="44"/>
        <v>2019</v>
      </c>
      <c r="AC1419" s="22">
        <f t="shared" si="45"/>
        <v>0.7593333333333333</v>
      </c>
    </row>
    <row r="1420" spans="1:29">
      <c r="A1420" s="8" t="s">
        <v>8364</v>
      </c>
      <c r="B1420" s="17" t="s">
        <v>7800</v>
      </c>
      <c r="C1420" s="13">
        <v>43664</v>
      </c>
      <c r="D1420" s="13" t="s">
        <v>8465</v>
      </c>
      <c r="E1420" s="10" t="s">
        <v>3063</v>
      </c>
      <c r="F1420" s="10" t="s">
        <v>3368</v>
      </c>
      <c r="H1420" s="2" t="s">
        <v>143</v>
      </c>
      <c r="I1420" s="18">
        <v>1</v>
      </c>
      <c r="L1420" s="18">
        <v>1</v>
      </c>
      <c r="N1420" s="13">
        <v>43880</v>
      </c>
      <c r="O1420" s="29">
        <v>0</v>
      </c>
      <c r="P1420" s="18" t="s">
        <v>1107</v>
      </c>
      <c r="Q1420" s="18">
        <v>0</v>
      </c>
      <c r="U1420" s="22">
        <v>0.85</v>
      </c>
      <c r="V1420" s="22">
        <f>3.64/5</f>
        <v>0.72799999999999998</v>
      </c>
      <c r="W1420" s="14" t="s">
        <v>7777</v>
      </c>
      <c r="X1420" s="3">
        <v>3</v>
      </c>
      <c r="Z1420" s="23">
        <v>4</v>
      </c>
      <c r="AB1420" s="18">
        <f t="shared" si="44"/>
        <v>2019</v>
      </c>
      <c r="AC1420" s="22">
        <f t="shared" si="45"/>
        <v>0.72599999999999998</v>
      </c>
    </row>
    <row r="1421" spans="1:29">
      <c r="A1421" s="8" t="s">
        <v>10798</v>
      </c>
      <c r="B1421" s="17" t="s">
        <v>7744</v>
      </c>
      <c r="C1421" s="13">
        <v>43664</v>
      </c>
      <c r="D1421" s="13" t="s">
        <v>9335</v>
      </c>
      <c r="E1421" s="10" t="s">
        <v>3339</v>
      </c>
      <c r="F1421" s="10" t="s">
        <v>8359</v>
      </c>
      <c r="G1421" s="11" t="s">
        <v>10956</v>
      </c>
      <c r="H1421" s="2" t="s">
        <v>21</v>
      </c>
      <c r="K1421" s="18">
        <v>2</v>
      </c>
      <c r="L1421" s="18">
        <v>1</v>
      </c>
      <c r="M1421" s="14" t="s">
        <v>8462</v>
      </c>
      <c r="N1421" s="13">
        <v>44548</v>
      </c>
      <c r="O1421" s="29">
        <v>29.99</v>
      </c>
      <c r="P1421" s="18" t="s">
        <v>14</v>
      </c>
      <c r="Q1421" s="18">
        <v>0</v>
      </c>
      <c r="V1421" s="22">
        <f>3.58/5</f>
        <v>0.71599999999999997</v>
      </c>
      <c r="X1421" s="3">
        <v>3</v>
      </c>
      <c r="Z1421" s="23">
        <f>51/60</f>
        <v>0.85</v>
      </c>
      <c r="AB1421" s="18">
        <f t="shared" si="44"/>
        <v>2019</v>
      </c>
      <c r="AC1421" s="22">
        <f t="shared" si="45"/>
        <v>0.65799999999999992</v>
      </c>
    </row>
    <row r="1422" spans="1:29" ht="30">
      <c r="A1422" s="8" t="s">
        <v>8316</v>
      </c>
      <c r="B1422" s="17" t="s">
        <v>7800</v>
      </c>
      <c r="C1422" s="13">
        <v>43664</v>
      </c>
      <c r="D1422" s="13" t="s">
        <v>8465</v>
      </c>
      <c r="E1422" s="10" t="s">
        <v>1571</v>
      </c>
      <c r="F1422" s="10" t="s">
        <v>8317</v>
      </c>
      <c r="H1422" s="2" t="s">
        <v>64</v>
      </c>
      <c r="L1422" s="18">
        <v>1</v>
      </c>
      <c r="N1422" s="13">
        <v>43846</v>
      </c>
      <c r="O1422" s="29">
        <v>0</v>
      </c>
      <c r="P1422" s="18" t="s">
        <v>1107</v>
      </c>
      <c r="Q1422" s="18">
        <v>0</v>
      </c>
      <c r="U1422" s="22">
        <v>0.81</v>
      </c>
      <c r="V1422" s="22">
        <f>3.85/5</f>
        <v>0.77</v>
      </c>
      <c r="W1422" s="14" t="s">
        <v>7777</v>
      </c>
      <c r="X1422" s="3">
        <v>2</v>
      </c>
      <c r="Z1422" s="23">
        <v>13</v>
      </c>
      <c r="AB1422" s="18">
        <f t="shared" si="44"/>
        <v>2019</v>
      </c>
      <c r="AC1422" s="22">
        <f t="shared" si="45"/>
        <v>0.66</v>
      </c>
    </row>
    <row r="1423" spans="1:29">
      <c r="A1423" s="8" t="s">
        <v>8475</v>
      </c>
      <c r="B1423" s="17" t="s">
        <v>7800</v>
      </c>
      <c r="C1423" s="13">
        <v>43664</v>
      </c>
      <c r="D1423" s="13" t="s">
        <v>8465</v>
      </c>
      <c r="E1423" s="10" t="s">
        <v>6112</v>
      </c>
      <c r="F1423" s="10" t="s">
        <v>8476</v>
      </c>
      <c r="H1423" s="2" t="s">
        <v>27</v>
      </c>
      <c r="L1423" s="18">
        <v>1</v>
      </c>
      <c r="N1423" s="13">
        <v>43896</v>
      </c>
      <c r="O1423" s="29">
        <v>0</v>
      </c>
      <c r="P1423" s="18" t="s">
        <v>1107</v>
      </c>
      <c r="Q1423" s="18">
        <v>0</v>
      </c>
      <c r="U1423" s="22">
        <v>0.69</v>
      </c>
      <c r="V1423" s="22">
        <f>3.14/5</f>
        <v>0.628</v>
      </c>
      <c r="W1423" s="14" t="s">
        <v>7777</v>
      </c>
      <c r="X1423" s="3">
        <v>2</v>
      </c>
      <c r="Z1423" s="23">
        <v>2.5</v>
      </c>
      <c r="AB1423" s="18">
        <f t="shared" si="44"/>
        <v>2019</v>
      </c>
      <c r="AC1423" s="22">
        <f t="shared" si="45"/>
        <v>0.57266666666666666</v>
      </c>
    </row>
    <row r="1424" spans="1:29" ht="30">
      <c r="A1424" s="8" t="s">
        <v>8337</v>
      </c>
      <c r="B1424" s="17" t="s">
        <v>7800</v>
      </c>
      <c r="C1424" s="13">
        <v>43663</v>
      </c>
      <c r="D1424" s="13" t="s">
        <v>8465</v>
      </c>
      <c r="E1424" s="10" t="s">
        <v>3544</v>
      </c>
      <c r="F1424" s="10" t="s">
        <v>8338</v>
      </c>
      <c r="H1424" s="2" t="s">
        <v>67</v>
      </c>
      <c r="L1424" s="18">
        <v>1</v>
      </c>
      <c r="N1424" s="13">
        <v>43870</v>
      </c>
      <c r="O1424" s="29">
        <v>0</v>
      </c>
      <c r="P1424" s="18" t="s">
        <v>1107</v>
      </c>
      <c r="Q1424" s="18">
        <v>0</v>
      </c>
      <c r="U1424" s="22">
        <v>0.68</v>
      </c>
      <c r="V1424" s="22">
        <f>2.5/5</f>
        <v>0.5</v>
      </c>
      <c r="W1424" s="14" t="s">
        <v>7777</v>
      </c>
      <c r="X1424" s="3">
        <v>2</v>
      </c>
      <c r="Z1424" s="23">
        <v>4.5</v>
      </c>
      <c r="AB1424" s="18">
        <f t="shared" si="44"/>
        <v>2019</v>
      </c>
      <c r="AC1424" s="22">
        <f t="shared" si="45"/>
        <v>0.52666666666666673</v>
      </c>
    </row>
    <row r="1425" spans="1:29">
      <c r="A1425" s="8" t="s">
        <v>16086</v>
      </c>
      <c r="B1425" s="17" t="s">
        <v>7800</v>
      </c>
      <c r="C1425" s="13">
        <v>43662</v>
      </c>
      <c r="D1425" s="13" t="s">
        <v>8465</v>
      </c>
      <c r="E1425" s="10" t="s">
        <v>15216</v>
      </c>
      <c r="F1425" s="10" t="s">
        <v>16087</v>
      </c>
      <c r="H1425" s="2" t="s">
        <v>1089</v>
      </c>
      <c r="L1425" s="18">
        <v>1</v>
      </c>
      <c r="N1425" s="13">
        <v>45225</v>
      </c>
      <c r="O1425" s="29">
        <v>0.89</v>
      </c>
      <c r="P1425" s="18" t="s">
        <v>1107</v>
      </c>
      <c r="Q1425" s="18">
        <v>0</v>
      </c>
      <c r="U1425" s="22">
        <v>0.61</v>
      </c>
      <c r="W1425" s="14" t="s">
        <v>7777</v>
      </c>
      <c r="X1425" s="3">
        <v>2</v>
      </c>
      <c r="Z1425" s="23">
        <v>10</v>
      </c>
      <c r="AB1425" s="18">
        <f t="shared" si="44"/>
        <v>2019</v>
      </c>
      <c r="AC1425" s="22">
        <f t="shared" si="45"/>
        <v>0.505</v>
      </c>
    </row>
    <row r="1426" spans="1:29" ht="25.5">
      <c r="A1426" s="8" t="s">
        <v>1592</v>
      </c>
      <c r="B1426" s="17" t="s">
        <v>7744</v>
      </c>
      <c r="C1426" s="13">
        <v>43658</v>
      </c>
      <c r="D1426" s="13" t="s">
        <v>8465</v>
      </c>
      <c r="E1426" s="10" t="s">
        <v>1082</v>
      </c>
      <c r="F1426" s="10" t="s">
        <v>1471</v>
      </c>
      <c r="G1426" s="11" t="s">
        <v>140</v>
      </c>
      <c r="H1426" s="2" t="s">
        <v>171</v>
      </c>
      <c r="L1426" s="18">
        <v>1</v>
      </c>
      <c r="M1426" s="14" t="s">
        <v>8462</v>
      </c>
      <c r="N1426" s="13">
        <v>43658</v>
      </c>
      <c r="O1426" s="29">
        <v>65.09</v>
      </c>
      <c r="P1426" s="18" t="s">
        <v>14</v>
      </c>
      <c r="Q1426" s="18">
        <v>0</v>
      </c>
      <c r="U1426" s="22">
        <v>0.86</v>
      </c>
      <c r="V1426" s="22">
        <f>4.3/5</f>
        <v>0.86</v>
      </c>
      <c r="X1426" s="3">
        <v>3</v>
      </c>
      <c r="Z1426" s="23">
        <v>53</v>
      </c>
      <c r="AB1426" s="18">
        <f t="shared" si="44"/>
        <v>2019</v>
      </c>
      <c r="AC1426" s="22">
        <f t="shared" si="45"/>
        <v>0.77333333333333332</v>
      </c>
    </row>
    <row r="1427" spans="1:29" ht="30">
      <c r="A1427" s="8" t="s">
        <v>1603</v>
      </c>
      <c r="B1427" s="17" t="s">
        <v>7744</v>
      </c>
      <c r="C1427" s="13">
        <v>43658</v>
      </c>
      <c r="D1427" s="13" t="s">
        <v>8465</v>
      </c>
      <c r="E1427" s="10" t="s">
        <v>1604</v>
      </c>
      <c r="F1427" s="10" t="s">
        <v>1605</v>
      </c>
      <c r="G1427" s="11" t="s">
        <v>1606</v>
      </c>
      <c r="H1427" s="2" t="s">
        <v>171</v>
      </c>
      <c r="L1427" s="18">
        <v>1</v>
      </c>
      <c r="M1427" s="14" t="s">
        <v>8462</v>
      </c>
      <c r="N1427" s="13">
        <v>43658</v>
      </c>
      <c r="O1427" s="29">
        <v>54.18</v>
      </c>
      <c r="P1427" s="18" t="s">
        <v>14</v>
      </c>
      <c r="Q1427" s="18">
        <v>0</v>
      </c>
      <c r="U1427" s="22">
        <v>0.74</v>
      </c>
      <c r="V1427" s="22">
        <f>3.86/5</f>
        <v>0.77200000000000002</v>
      </c>
      <c r="X1427" s="3">
        <v>3</v>
      </c>
      <c r="Z1427" s="23">
        <v>20</v>
      </c>
      <c r="AB1427" s="18">
        <f t="shared" si="44"/>
        <v>2019</v>
      </c>
      <c r="AC1427" s="22">
        <f t="shared" si="45"/>
        <v>0.70400000000000007</v>
      </c>
    </row>
    <row r="1428" spans="1:29">
      <c r="A1428" s="8" t="s">
        <v>5156</v>
      </c>
      <c r="B1428" s="17" t="s">
        <v>7800</v>
      </c>
      <c r="C1428" s="13">
        <v>43658</v>
      </c>
      <c r="D1428" s="13" t="s">
        <v>8465</v>
      </c>
      <c r="E1428" s="10" t="s">
        <v>3464</v>
      </c>
      <c r="F1428" s="10" t="s">
        <v>5157</v>
      </c>
      <c r="H1428" s="2" t="s">
        <v>143</v>
      </c>
      <c r="L1428" s="18">
        <v>1</v>
      </c>
      <c r="N1428" s="13">
        <v>43606</v>
      </c>
      <c r="O1428" s="29">
        <v>0</v>
      </c>
      <c r="P1428" s="18" t="s">
        <v>1107</v>
      </c>
      <c r="Q1428" s="18">
        <v>0</v>
      </c>
      <c r="U1428" s="22">
        <v>0.77</v>
      </c>
      <c r="V1428" s="22">
        <f>3.68/5</f>
        <v>0.73599999999999999</v>
      </c>
      <c r="W1428" s="14" t="s">
        <v>7777</v>
      </c>
      <c r="X1428" s="3">
        <v>3</v>
      </c>
      <c r="Z1428" s="23">
        <v>14</v>
      </c>
      <c r="AB1428" s="18">
        <f t="shared" si="44"/>
        <v>2019</v>
      </c>
      <c r="AC1428" s="22">
        <f t="shared" si="45"/>
        <v>0.70199999999999996</v>
      </c>
    </row>
    <row r="1429" spans="1:29">
      <c r="A1429" s="8" t="s">
        <v>9124</v>
      </c>
      <c r="B1429" s="17" t="s">
        <v>7800</v>
      </c>
      <c r="C1429" s="13">
        <v>43657</v>
      </c>
      <c r="D1429" s="13" t="s">
        <v>8465</v>
      </c>
      <c r="E1429" s="10" t="s">
        <v>8982</v>
      </c>
      <c r="F1429" s="10" t="s">
        <v>4574</v>
      </c>
      <c r="H1429" s="2" t="s">
        <v>147</v>
      </c>
      <c r="L1429" s="18">
        <v>1</v>
      </c>
      <c r="N1429" s="13">
        <v>44046</v>
      </c>
      <c r="O1429" s="29">
        <v>0</v>
      </c>
      <c r="P1429" s="18" t="s">
        <v>1107</v>
      </c>
      <c r="Q1429" s="18">
        <v>1</v>
      </c>
      <c r="R1429" s="13">
        <v>45256</v>
      </c>
      <c r="S1429" s="21">
        <f>2+30/60</f>
        <v>2.5</v>
      </c>
      <c r="T1429" s="22">
        <v>0.7</v>
      </c>
      <c r="U1429" s="22">
        <v>0.79</v>
      </c>
      <c r="V1429" s="22">
        <f>3.71/5</f>
        <v>0.74199999999999999</v>
      </c>
      <c r="W1429" s="14" t="s">
        <v>7777</v>
      </c>
      <c r="AB1429" s="18">
        <f t="shared" si="44"/>
        <v>2019</v>
      </c>
      <c r="AC1429" s="22">
        <f t="shared" si="45"/>
        <v>0.74400000000000011</v>
      </c>
    </row>
    <row r="1430" spans="1:29">
      <c r="A1430" s="8" t="s">
        <v>14751</v>
      </c>
      <c r="B1430" s="17" t="s">
        <v>7744</v>
      </c>
      <c r="C1430" s="13">
        <v>43657</v>
      </c>
      <c r="D1430" s="13" t="s">
        <v>8465</v>
      </c>
      <c r="E1430" s="10" t="s">
        <v>15319</v>
      </c>
      <c r="F1430" s="10" t="s">
        <v>15319</v>
      </c>
      <c r="G1430" s="11" t="s">
        <v>15320</v>
      </c>
      <c r="H1430" s="2" t="s">
        <v>56</v>
      </c>
      <c r="L1430" s="18">
        <v>1</v>
      </c>
      <c r="M1430" s="14" t="s">
        <v>8462</v>
      </c>
      <c r="N1430" s="13">
        <v>45054</v>
      </c>
      <c r="O1430" s="29">
        <v>22.39</v>
      </c>
      <c r="P1430" s="18" t="s">
        <v>14</v>
      </c>
      <c r="Q1430" s="18">
        <v>0</v>
      </c>
      <c r="V1430" s="22">
        <f>3.5/5</f>
        <v>0.7</v>
      </c>
      <c r="X1430" s="3">
        <v>2</v>
      </c>
      <c r="Z1430" s="23">
        <v>4</v>
      </c>
      <c r="AB1430" s="18">
        <f t="shared" si="44"/>
        <v>2019</v>
      </c>
      <c r="AC1430" s="22">
        <f t="shared" si="45"/>
        <v>0.55000000000000004</v>
      </c>
    </row>
    <row r="1431" spans="1:29">
      <c r="A1431" s="8" t="s">
        <v>12051</v>
      </c>
      <c r="B1431" s="17" t="s">
        <v>7744</v>
      </c>
      <c r="C1431" s="13">
        <v>43656</v>
      </c>
      <c r="D1431" s="13" t="s">
        <v>8465</v>
      </c>
      <c r="E1431" s="10" t="s">
        <v>455</v>
      </c>
      <c r="F1431" s="10" t="s">
        <v>3094</v>
      </c>
      <c r="H1431" s="2" t="s">
        <v>56</v>
      </c>
      <c r="L1431" s="18">
        <v>1</v>
      </c>
      <c r="N1431" s="13">
        <v>44735</v>
      </c>
      <c r="O1431" s="29">
        <v>2.99</v>
      </c>
      <c r="P1431" s="18" t="s">
        <v>1107</v>
      </c>
      <c r="Q1431" s="18">
        <v>0</v>
      </c>
      <c r="U1431" s="22">
        <v>0.65</v>
      </c>
      <c r="V1431" s="22">
        <f>2.88/5</f>
        <v>0.57599999999999996</v>
      </c>
      <c r="X1431" s="3">
        <v>3</v>
      </c>
      <c r="Z1431" s="23">
        <v>5.5</v>
      </c>
      <c r="AB1431" s="18">
        <f t="shared" si="44"/>
        <v>2019</v>
      </c>
      <c r="AC1431" s="22">
        <f t="shared" si="45"/>
        <v>0.60866666666666669</v>
      </c>
    </row>
    <row r="1432" spans="1:29" ht="25.5">
      <c r="A1432" s="8" t="s">
        <v>1709</v>
      </c>
      <c r="B1432" s="17" t="s">
        <v>7744</v>
      </c>
      <c r="C1432" s="13">
        <v>43655</v>
      </c>
      <c r="D1432" s="13" t="s">
        <v>8465</v>
      </c>
      <c r="E1432" s="10" t="s">
        <v>1578</v>
      </c>
      <c r="F1432" s="10" t="s">
        <v>1710</v>
      </c>
      <c r="G1432" s="11" t="s">
        <v>825</v>
      </c>
      <c r="H1432" s="2" t="s">
        <v>64</v>
      </c>
      <c r="L1432" s="18">
        <v>1</v>
      </c>
      <c r="M1432" s="14" t="s">
        <v>8462</v>
      </c>
      <c r="N1432" s="13">
        <v>43655</v>
      </c>
      <c r="O1432" s="29">
        <v>43.39</v>
      </c>
      <c r="P1432" s="18" t="s">
        <v>14</v>
      </c>
      <c r="Q1432" s="18">
        <v>0</v>
      </c>
      <c r="V1432" s="22">
        <f>3.82/5</f>
        <v>0.76400000000000001</v>
      </c>
      <c r="X1432" s="3">
        <v>2</v>
      </c>
      <c r="Z1432" s="23">
        <v>11</v>
      </c>
      <c r="AB1432" s="18">
        <f t="shared" si="44"/>
        <v>2019</v>
      </c>
      <c r="AC1432" s="22">
        <f t="shared" si="45"/>
        <v>0.58200000000000007</v>
      </c>
    </row>
    <row r="1433" spans="1:29" ht="25.5">
      <c r="A1433" s="8" t="s">
        <v>12473</v>
      </c>
      <c r="B1433" s="17" t="s">
        <v>7744</v>
      </c>
      <c r="C1433" s="13">
        <v>43655</v>
      </c>
      <c r="D1433" s="13" t="s">
        <v>8465</v>
      </c>
      <c r="E1433" s="10" t="s">
        <v>1534</v>
      </c>
      <c r="F1433" s="10" t="s">
        <v>12484</v>
      </c>
      <c r="G1433" s="11" t="s">
        <v>10280</v>
      </c>
      <c r="H1433" s="2" t="s">
        <v>1383</v>
      </c>
      <c r="L1433" s="18">
        <v>1</v>
      </c>
      <c r="M1433" s="14" t="s">
        <v>8462</v>
      </c>
      <c r="N1433" s="13">
        <v>44810</v>
      </c>
      <c r="O1433" s="29">
        <v>41.9</v>
      </c>
      <c r="P1433" s="18" t="s">
        <v>14</v>
      </c>
      <c r="Q1433" s="18">
        <v>0</v>
      </c>
      <c r="U1433" s="22">
        <v>0.62</v>
      </c>
      <c r="V1433" s="22">
        <f>3.27/5</f>
        <v>0.65400000000000003</v>
      </c>
      <c r="X1433" s="3">
        <v>2</v>
      </c>
      <c r="Z1433" s="23">
        <v>6</v>
      </c>
      <c r="AB1433" s="18">
        <f t="shared" si="44"/>
        <v>2019</v>
      </c>
      <c r="AC1433" s="22">
        <f t="shared" si="45"/>
        <v>0.55799999999999994</v>
      </c>
    </row>
    <row r="1434" spans="1:29" ht="25.5">
      <c r="A1434" s="8" t="s">
        <v>13025</v>
      </c>
      <c r="B1434" s="17" t="s">
        <v>7760</v>
      </c>
      <c r="C1434" s="13">
        <v>43651</v>
      </c>
      <c r="D1434" s="13" t="s">
        <v>8465</v>
      </c>
      <c r="E1434" s="10" t="s">
        <v>1565</v>
      </c>
      <c r="F1434" s="10" t="s">
        <v>1471</v>
      </c>
      <c r="G1434" s="11" t="s">
        <v>9889</v>
      </c>
      <c r="H1434" s="2" t="s">
        <v>1059</v>
      </c>
      <c r="L1434" s="18">
        <v>1</v>
      </c>
      <c r="M1434" s="14" t="s">
        <v>8462</v>
      </c>
      <c r="N1434" s="13">
        <v>44876</v>
      </c>
      <c r="O1434" s="29">
        <v>65.709999999999994</v>
      </c>
      <c r="P1434" s="18" t="s">
        <v>14</v>
      </c>
      <c r="Q1434" s="18">
        <v>0</v>
      </c>
      <c r="U1434" s="22">
        <v>0.75</v>
      </c>
      <c r="V1434" s="22">
        <f>3.81/5</f>
        <v>0.76200000000000001</v>
      </c>
      <c r="X1434" s="3">
        <v>3</v>
      </c>
      <c r="Z1434" s="23">
        <f>17+12</f>
        <v>29</v>
      </c>
      <c r="AB1434" s="18">
        <f t="shared" si="44"/>
        <v>2019</v>
      </c>
      <c r="AC1434" s="22">
        <f t="shared" si="45"/>
        <v>0.70400000000000007</v>
      </c>
    </row>
    <row r="1435" spans="1:29" ht="25.5">
      <c r="A1435" s="8" t="s">
        <v>7887</v>
      </c>
      <c r="B1435" s="17" t="s">
        <v>7800</v>
      </c>
      <c r="C1435" s="13">
        <v>43650</v>
      </c>
      <c r="D1435" s="13" t="s">
        <v>8465</v>
      </c>
      <c r="E1435" s="10" t="s">
        <v>7888</v>
      </c>
      <c r="F1435" s="10" t="s">
        <v>7888</v>
      </c>
      <c r="G1435" s="11" t="s">
        <v>7889</v>
      </c>
      <c r="H1435" s="2" t="s">
        <v>80</v>
      </c>
      <c r="L1435" s="18">
        <v>1</v>
      </c>
      <c r="N1435" s="13">
        <v>43739</v>
      </c>
      <c r="O1435" s="29">
        <v>0</v>
      </c>
      <c r="P1435" s="18" t="s">
        <v>1107</v>
      </c>
      <c r="Q1435" s="18">
        <v>0</v>
      </c>
      <c r="U1435" s="22">
        <v>0.62</v>
      </c>
      <c r="V1435" s="22">
        <f>2.87/5</f>
        <v>0.57400000000000007</v>
      </c>
      <c r="W1435" s="14" t="s">
        <v>7799</v>
      </c>
      <c r="X1435" s="3">
        <v>3</v>
      </c>
      <c r="Z1435" s="23">
        <v>8</v>
      </c>
      <c r="AB1435" s="18">
        <f t="shared" si="44"/>
        <v>2019</v>
      </c>
      <c r="AC1435" s="22">
        <f t="shared" si="45"/>
        <v>0.59799999999999998</v>
      </c>
    </row>
    <row r="1436" spans="1:29">
      <c r="A1436" s="8" t="s">
        <v>1676</v>
      </c>
      <c r="B1436" s="17" t="s">
        <v>7744</v>
      </c>
      <c r="C1436" s="13">
        <v>43644</v>
      </c>
      <c r="D1436" s="13" t="s">
        <v>8465</v>
      </c>
      <c r="E1436" s="10" t="s">
        <v>86</v>
      </c>
      <c r="F1436" s="10" t="s">
        <v>1138</v>
      </c>
      <c r="G1436" s="11" t="s">
        <v>137</v>
      </c>
      <c r="H1436" s="2" t="s">
        <v>64</v>
      </c>
      <c r="L1436" s="18">
        <v>1</v>
      </c>
      <c r="M1436" s="14" t="s">
        <v>8462</v>
      </c>
      <c r="N1436" s="13">
        <v>43644</v>
      </c>
      <c r="O1436" s="29">
        <v>55.82</v>
      </c>
      <c r="P1436" s="18" t="s">
        <v>14</v>
      </c>
      <c r="Q1436" s="18">
        <v>0</v>
      </c>
      <c r="U1436" s="22">
        <v>0.87</v>
      </c>
      <c r="V1436" s="22">
        <f>4.17/5</f>
        <v>0.83399999999999996</v>
      </c>
      <c r="X1436" s="3">
        <v>4</v>
      </c>
      <c r="Z1436" s="23">
        <v>7</v>
      </c>
      <c r="AB1436" s="18">
        <f t="shared" si="44"/>
        <v>2019</v>
      </c>
      <c r="AC1436" s="22">
        <f t="shared" si="45"/>
        <v>0.83466666666666667</v>
      </c>
    </row>
    <row r="1437" spans="1:29">
      <c r="A1437" s="8" t="s">
        <v>6172</v>
      </c>
      <c r="B1437" s="17" t="s">
        <v>7760</v>
      </c>
      <c r="C1437" s="13">
        <v>43643</v>
      </c>
      <c r="D1437" s="13" t="s">
        <v>8465</v>
      </c>
      <c r="E1437" s="10" t="s">
        <v>6173</v>
      </c>
      <c r="F1437" s="10" t="s">
        <v>6174</v>
      </c>
      <c r="H1437" s="2" t="s">
        <v>80</v>
      </c>
      <c r="L1437" s="18">
        <v>1</v>
      </c>
      <c r="M1437" s="14" t="s">
        <v>8462</v>
      </c>
      <c r="N1437" s="13">
        <v>43643</v>
      </c>
      <c r="O1437" s="29">
        <v>49.94</v>
      </c>
      <c r="P1437" s="18" t="s">
        <v>14</v>
      </c>
      <c r="Q1437" s="18">
        <v>0</v>
      </c>
      <c r="U1437" s="22">
        <v>0.66</v>
      </c>
      <c r="V1437" s="22">
        <f>3.54/5</f>
        <v>0.70799999999999996</v>
      </c>
      <c r="X1437" s="3">
        <v>3</v>
      </c>
      <c r="Z1437" s="23">
        <v>19</v>
      </c>
      <c r="AB1437" s="18">
        <f t="shared" si="44"/>
        <v>2019</v>
      </c>
      <c r="AC1437" s="22">
        <f t="shared" si="45"/>
        <v>0.65600000000000003</v>
      </c>
    </row>
    <row r="1438" spans="1:29">
      <c r="A1438" s="8" t="s">
        <v>8482</v>
      </c>
      <c r="B1438" s="17" t="s">
        <v>7800</v>
      </c>
      <c r="C1438" s="13">
        <v>43643</v>
      </c>
      <c r="D1438" s="13" t="s">
        <v>8465</v>
      </c>
      <c r="E1438" s="10" t="s">
        <v>1513</v>
      </c>
      <c r="F1438" s="10" t="s">
        <v>1513</v>
      </c>
      <c r="G1438" s="11" t="s">
        <v>8483</v>
      </c>
      <c r="H1438" s="2" t="s">
        <v>150</v>
      </c>
      <c r="L1438" s="18">
        <v>1</v>
      </c>
      <c r="N1438" s="13">
        <v>43896</v>
      </c>
      <c r="O1438" s="29">
        <v>0</v>
      </c>
      <c r="P1438" s="18" t="s">
        <v>1107</v>
      </c>
      <c r="Q1438" s="18">
        <v>0</v>
      </c>
      <c r="U1438" s="22">
        <v>0.87</v>
      </c>
      <c r="V1438" s="22">
        <f>3.75/5</f>
        <v>0.75</v>
      </c>
      <c r="W1438" s="14" t="s">
        <v>7777</v>
      </c>
      <c r="X1438" s="3">
        <v>2</v>
      </c>
      <c r="Z1438" s="23">
        <v>12.5</v>
      </c>
      <c r="AB1438" s="18">
        <f t="shared" si="44"/>
        <v>2019</v>
      </c>
      <c r="AC1438" s="22">
        <f t="shared" si="45"/>
        <v>0.67333333333333334</v>
      </c>
    </row>
    <row r="1439" spans="1:29">
      <c r="A1439" s="8" t="s">
        <v>15324</v>
      </c>
      <c r="B1439" s="17" t="s">
        <v>7800</v>
      </c>
      <c r="C1439" s="13">
        <v>43642</v>
      </c>
      <c r="D1439" s="13" t="s">
        <v>8465</v>
      </c>
      <c r="E1439" s="10" t="s">
        <v>15325</v>
      </c>
      <c r="F1439" s="10" t="s">
        <v>15325</v>
      </c>
      <c r="G1439" s="11" t="s">
        <v>15324</v>
      </c>
      <c r="H1439" s="2" t="s">
        <v>1040</v>
      </c>
      <c r="L1439" s="18">
        <v>1</v>
      </c>
      <c r="N1439" s="13">
        <v>45108</v>
      </c>
      <c r="O1439" s="29">
        <v>2.69</v>
      </c>
      <c r="P1439" s="18" t="s">
        <v>1107</v>
      </c>
      <c r="Q1439" s="18">
        <v>0</v>
      </c>
      <c r="W1439" s="14" t="s">
        <v>7777</v>
      </c>
      <c r="X1439" s="3">
        <v>3</v>
      </c>
      <c r="AB1439" s="18">
        <f t="shared" si="44"/>
        <v>2019</v>
      </c>
      <c r="AC1439" s="22">
        <f t="shared" si="45"/>
        <v>0.6</v>
      </c>
    </row>
    <row r="1440" spans="1:29">
      <c r="A1440" s="8" t="s">
        <v>6136</v>
      </c>
      <c r="B1440" s="17" t="s">
        <v>7760</v>
      </c>
      <c r="C1440" s="13">
        <v>43641</v>
      </c>
      <c r="D1440" s="13" t="s">
        <v>8465</v>
      </c>
      <c r="E1440" s="10" t="s">
        <v>455</v>
      </c>
      <c r="F1440" s="10" t="s">
        <v>6137</v>
      </c>
      <c r="G1440" s="11" t="s">
        <v>5600</v>
      </c>
      <c r="H1440" s="2" t="s">
        <v>80</v>
      </c>
      <c r="L1440" s="18">
        <v>1</v>
      </c>
      <c r="M1440" s="14" t="s">
        <v>8462</v>
      </c>
      <c r="N1440" s="13">
        <v>43641</v>
      </c>
      <c r="O1440" s="29">
        <v>57.97</v>
      </c>
      <c r="P1440" s="18" t="s">
        <v>14</v>
      </c>
      <c r="Q1440" s="18">
        <v>0</v>
      </c>
      <c r="U1440" s="22">
        <v>0.81</v>
      </c>
      <c r="V1440" s="22">
        <f>4.14/5</f>
        <v>0.82799999999999996</v>
      </c>
      <c r="X1440" s="3">
        <v>4</v>
      </c>
      <c r="Z1440" s="23">
        <v>24.5</v>
      </c>
      <c r="AB1440" s="18">
        <f t="shared" si="44"/>
        <v>2019</v>
      </c>
      <c r="AC1440" s="22">
        <f t="shared" si="45"/>
        <v>0.81266666666666654</v>
      </c>
    </row>
    <row r="1441" spans="1:29" ht="25.5">
      <c r="A1441" s="8" t="s">
        <v>1573</v>
      </c>
      <c r="B1441" s="17" t="s">
        <v>7744</v>
      </c>
      <c r="C1441" s="13">
        <v>43641</v>
      </c>
      <c r="D1441" s="13" t="s">
        <v>8465</v>
      </c>
      <c r="E1441" s="10" t="s">
        <v>1571</v>
      </c>
      <c r="F1441" s="10" t="s">
        <v>1574</v>
      </c>
      <c r="G1441" s="11" t="s">
        <v>1572</v>
      </c>
      <c r="H1441" s="2" t="s">
        <v>151</v>
      </c>
      <c r="L1441" s="18">
        <v>1</v>
      </c>
      <c r="M1441" s="14" t="s">
        <v>8462</v>
      </c>
      <c r="N1441" s="13">
        <v>43641</v>
      </c>
      <c r="O1441" s="29">
        <f>28+35.63</f>
        <v>63.63</v>
      </c>
      <c r="P1441" s="18" t="s">
        <v>8461</v>
      </c>
      <c r="Q1441" s="18">
        <v>0</v>
      </c>
      <c r="U1441" s="22">
        <v>0.81</v>
      </c>
      <c r="V1441" s="22">
        <f>3.63/5</f>
        <v>0.72599999999999998</v>
      </c>
      <c r="X1441" s="3">
        <v>4</v>
      </c>
      <c r="Z1441" s="23">
        <v>13</v>
      </c>
      <c r="AB1441" s="18">
        <f t="shared" si="44"/>
        <v>2019</v>
      </c>
      <c r="AC1441" s="22">
        <f t="shared" si="45"/>
        <v>0.77866666666666673</v>
      </c>
    </row>
    <row r="1442" spans="1:29">
      <c r="A1442" s="8" t="s">
        <v>519</v>
      </c>
      <c r="B1442" s="17" t="s">
        <v>7760</v>
      </c>
      <c r="C1442" s="13">
        <v>43641</v>
      </c>
      <c r="D1442" s="13" t="s">
        <v>8465</v>
      </c>
      <c r="E1442" s="10" t="s">
        <v>1666</v>
      </c>
      <c r="F1442" s="10" t="s">
        <v>170</v>
      </c>
      <c r="G1442" s="11" t="s">
        <v>519</v>
      </c>
      <c r="H1442" s="2" t="s">
        <v>459</v>
      </c>
      <c r="L1442" s="18">
        <v>1</v>
      </c>
      <c r="M1442" s="14" t="s">
        <v>8462</v>
      </c>
      <c r="N1442" s="13">
        <v>43641</v>
      </c>
      <c r="O1442" s="29">
        <v>54.18</v>
      </c>
      <c r="P1442" s="18" t="s">
        <v>14</v>
      </c>
      <c r="Q1442" s="18">
        <v>0</v>
      </c>
      <c r="U1442" s="22">
        <v>0.8</v>
      </c>
      <c r="V1442" s="22">
        <f>4.03/5</f>
        <v>0.80600000000000005</v>
      </c>
      <c r="X1442" s="3">
        <v>3</v>
      </c>
      <c r="Z1442" s="23">
        <v>13.5</v>
      </c>
      <c r="AB1442" s="18">
        <f t="shared" si="44"/>
        <v>2019</v>
      </c>
      <c r="AC1442" s="22">
        <f t="shared" si="45"/>
        <v>0.73533333333333328</v>
      </c>
    </row>
    <row r="1443" spans="1:29" ht="30">
      <c r="A1443" s="8" t="s">
        <v>1679</v>
      </c>
      <c r="B1443" s="17" t="s">
        <v>7744</v>
      </c>
      <c r="C1443" s="13">
        <v>43641</v>
      </c>
      <c r="D1443" s="13" t="s">
        <v>8465</v>
      </c>
      <c r="E1443" s="10" t="s">
        <v>1680</v>
      </c>
      <c r="F1443" s="10" t="s">
        <v>1681</v>
      </c>
      <c r="G1443" s="11" t="s">
        <v>1682</v>
      </c>
      <c r="H1443" s="2" t="s">
        <v>149</v>
      </c>
      <c r="L1443" s="18">
        <v>1</v>
      </c>
      <c r="M1443" s="14" t="s">
        <v>8462</v>
      </c>
      <c r="N1443" s="13">
        <v>43641</v>
      </c>
      <c r="O1443" s="29">
        <v>53.14</v>
      </c>
      <c r="P1443" s="18" t="s">
        <v>14</v>
      </c>
      <c r="Q1443" s="18">
        <v>0</v>
      </c>
      <c r="U1443" s="22">
        <v>0.61</v>
      </c>
      <c r="V1443" s="22">
        <f>2.73/5</f>
        <v>0.54600000000000004</v>
      </c>
      <c r="X1443" s="3">
        <v>2</v>
      </c>
      <c r="Z1443" s="23">
        <v>14.5</v>
      </c>
      <c r="AB1443" s="18">
        <f t="shared" si="44"/>
        <v>2019</v>
      </c>
      <c r="AC1443" s="22">
        <f t="shared" si="45"/>
        <v>0.51866666666666672</v>
      </c>
    </row>
    <row r="1444" spans="1:29">
      <c r="A1444" s="8" t="s">
        <v>6188</v>
      </c>
      <c r="B1444" s="17" t="s">
        <v>7800</v>
      </c>
      <c r="C1444" s="13">
        <v>43640</v>
      </c>
      <c r="D1444" s="13" t="s">
        <v>8465</v>
      </c>
      <c r="E1444" s="10" t="s">
        <v>4592</v>
      </c>
      <c r="F1444" s="10" t="s">
        <v>4592</v>
      </c>
      <c r="H1444" s="2" t="s">
        <v>67</v>
      </c>
      <c r="L1444" s="18">
        <v>1</v>
      </c>
      <c r="N1444" s="13">
        <v>43830</v>
      </c>
      <c r="O1444" s="29">
        <v>7.99</v>
      </c>
      <c r="P1444" s="18" t="s">
        <v>1107</v>
      </c>
      <c r="Q1444" s="18">
        <v>0</v>
      </c>
      <c r="U1444" s="22">
        <v>0.75</v>
      </c>
      <c r="V1444" s="22">
        <f>3.26/5</f>
        <v>0.65199999999999991</v>
      </c>
      <c r="W1444" s="14" t="s">
        <v>7097</v>
      </c>
      <c r="X1444" s="3">
        <v>4</v>
      </c>
      <c r="Z1444" s="23">
        <v>10</v>
      </c>
      <c r="AB1444" s="18">
        <f t="shared" si="44"/>
        <v>2019</v>
      </c>
      <c r="AC1444" s="22">
        <f t="shared" si="45"/>
        <v>0.73399999999999999</v>
      </c>
    </row>
    <row r="1445" spans="1:29" ht="25.5">
      <c r="A1445" s="8" t="s">
        <v>6206</v>
      </c>
      <c r="B1445" s="17" t="s">
        <v>7760</v>
      </c>
      <c r="C1445" s="13">
        <v>43637</v>
      </c>
      <c r="D1445" s="13" t="s">
        <v>8465</v>
      </c>
      <c r="E1445" s="10" t="s">
        <v>1273</v>
      </c>
      <c r="F1445" s="10" t="s">
        <v>6103</v>
      </c>
      <c r="G1445" s="11" t="s">
        <v>1576</v>
      </c>
      <c r="H1445" s="2" t="s">
        <v>150</v>
      </c>
      <c r="L1445" s="18">
        <v>1</v>
      </c>
      <c r="M1445" s="14" t="s">
        <v>8462</v>
      </c>
      <c r="N1445" s="13">
        <v>43637</v>
      </c>
      <c r="O1445" s="29">
        <v>43.39</v>
      </c>
      <c r="P1445" s="18" t="s">
        <v>14</v>
      </c>
      <c r="Q1445" s="18">
        <v>0</v>
      </c>
      <c r="U1445" s="22">
        <v>0.84</v>
      </c>
      <c r="V1445" s="22">
        <f>4.02/5</f>
        <v>0.80399999999999994</v>
      </c>
      <c r="X1445" s="3">
        <v>3</v>
      </c>
      <c r="Z1445" s="23">
        <v>5</v>
      </c>
      <c r="AB1445" s="18">
        <f t="shared" si="44"/>
        <v>2019</v>
      </c>
      <c r="AC1445" s="22">
        <f t="shared" si="45"/>
        <v>0.74799999999999989</v>
      </c>
    </row>
    <row r="1446" spans="1:29" ht="30">
      <c r="A1446" s="8" t="s">
        <v>8489</v>
      </c>
      <c r="B1446" s="17" t="s">
        <v>7800</v>
      </c>
      <c r="C1446" s="13">
        <v>43636</v>
      </c>
      <c r="D1446" s="13" t="s">
        <v>8465</v>
      </c>
      <c r="E1446" s="10" t="s">
        <v>3063</v>
      </c>
      <c r="F1446" s="10" t="s">
        <v>8490</v>
      </c>
      <c r="H1446" s="2" t="s">
        <v>143</v>
      </c>
      <c r="L1446" s="18">
        <v>1</v>
      </c>
      <c r="N1446" s="13">
        <v>43896</v>
      </c>
      <c r="O1446" s="29">
        <v>0</v>
      </c>
      <c r="P1446" s="18" t="s">
        <v>1107</v>
      </c>
      <c r="Q1446" s="18">
        <v>0</v>
      </c>
      <c r="U1446" s="22">
        <v>0.81</v>
      </c>
      <c r="V1446" s="22">
        <f>3.44/5</f>
        <v>0.68799999999999994</v>
      </c>
      <c r="W1446" s="14" t="s">
        <v>7777</v>
      </c>
      <c r="X1446" s="3">
        <v>4</v>
      </c>
      <c r="Z1446" s="23">
        <v>4</v>
      </c>
      <c r="AB1446" s="18">
        <f t="shared" si="44"/>
        <v>2019</v>
      </c>
      <c r="AC1446" s="22">
        <f t="shared" si="45"/>
        <v>0.76600000000000001</v>
      </c>
    </row>
    <row r="1447" spans="1:29">
      <c r="A1447" s="8" t="s">
        <v>8484</v>
      </c>
      <c r="B1447" s="17" t="s">
        <v>7800</v>
      </c>
      <c r="C1447" s="13">
        <v>43636</v>
      </c>
      <c r="D1447" s="13" t="s">
        <v>8465</v>
      </c>
      <c r="E1447" s="10" t="s">
        <v>8485</v>
      </c>
      <c r="F1447" s="10" t="s">
        <v>8485</v>
      </c>
      <c r="H1447" s="2" t="s">
        <v>143</v>
      </c>
      <c r="L1447" s="18">
        <v>1</v>
      </c>
      <c r="N1447" s="13">
        <v>43896</v>
      </c>
      <c r="O1447" s="29">
        <v>0</v>
      </c>
      <c r="P1447" s="18" t="s">
        <v>1107</v>
      </c>
      <c r="Q1447" s="18">
        <v>0</v>
      </c>
      <c r="U1447" s="22">
        <v>0.62</v>
      </c>
      <c r="V1447" s="22">
        <f>3.26/5</f>
        <v>0.65199999999999991</v>
      </c>
      <c r="W1447" s="14" t="s">
        <v>7777</v>
      </c>
      <c r="X1447" s="3">
        <v>2</v>
      </c>
      <c r="Z1447" s="23">
        <v>1.5</v>
      </c>
      <c r="AB1447" s="18">
        <f t="shared" si="44"/>
        <v>2019</v>
      </c>
      <c r="AC1447" s="22">
        <f t="shared" si="45"/>
        <v>0.55733333333333324</v>
      </c>
    </row>
    <row r="1448" spans="1:29">
      <c r="A1448" s="8" t="s">
        <v>11320</v>
      </c>
      <c r="B1448" s="17" t="s">
        <v>7800</v>
      </c>
      <c r="C1448" s="13">
        <v>43636</v>
      </c>
      <c r="D1448" s="13" t="s">
        <v>8465</v>
      </c>
      <c r="E1448" s="10" t="s">
        <v>5195</v>
      </c>
      <c r="F1448" s="10" t="s">
        <v>11321</v>
      </c>
      <c r="H1448" s="2" t="s">
        <v>1050</v>
      </c>
      <c r="L1448" s="18">
        <v>1</v>
      </c>
      <c r="N1448" s="13">
        <v>44624</v>
      </c>
      <c r="O1448" s="29">
        <v>12</v>
      </c>
      <c r="P1448" s="18" t="s">
        <v>1107</v>
      </c>
      <c r="Q1448" s="18">
        <v>0</v>
      </c>
      <c r="U1448" s="22">
        <v>0.85</v>
      </c>
      <c r="V1448" s="22">
        <f>3.86/5</f>
        <v>0.77200000000000002</v>
      </c>
      <c r="W1448" s="14" t="s">
        <v>7777</v>
      </c>
      <c r="X1448" s="3">
        <v>4</v>
      </c>
      <c r="Z1448" s="23">
        <v>8</v>
      </c>
      <c r="AB1448" s="18">
        <f t="shared" si="44"/>
        <v>2019</v>
      </c>
      <c r="AC1448" s="22">
        <f t="shared" si="45"/>
        <v>0.80733333333333324</v>
      </c>
    </row>
    <row r="1449" spans="1:29">
      <c r="A1449" s="8" t="s">
        <v>12053</v>
      </c>
      <c r="B1449" s="17" t="s">
        <v>7744</v>
      </c>
      <c r="C1449" s="13">
        <v>43634</v>
      </c>
      <c r="D1449" s="13" t="s">
        <v>8465</v>
      </c>
      <c r="E1449" s="10" t="s">
        <v>455</v>
      </c>
      <c r="F1449" s="10" t="s">
        <v>3457</v>
      </c>
      <c r="G1449" s="11" t="s">
        <v>3456</v>
      </c>
      <c r="H1449" s="2" t="s">
        <v>149</v>
      </c>
      <c r="L1449" s="18">
        <v>1</v>
      </c>
      <c r="N1449" s="13">
        <v>44735</v>
      </c>
      <c r="O1449" s="29">
        <v>2.99</v>
      </c>
      <c r="P1449" s="18" t="s">
        <v>1107</v>
      </c>
      <c r="Q1449" s="18">
        <v>0</v>
      </c>
      <c r="V1449" s="22">
        <f>3.59/5</f>
        <v>0.71799999999999997</v>
      </c>
      <c r="X1449" s="3">
        <v>3</v>
      </c>
      <c r="Z1449" s="23">
        <v>17</v>
      </c>
      <c r="AB1449" s="18">
        <f t="shared" si="44"/>
        <v>2019</v>
      </c>
      <c r="AC1449" s="22">
        <f t="shared" si="45"/>
        <v>0.65900000000000003</v>
      </c>
    </row>
    <row r="1450" spans="1:29" ht="30">
      <c r="A1450" s="8" t="s">
        <v>11574</v>
      </c>
      <c r="B1450" s="17" t="s">
        <v>7766</v>
      </c>
      <c r="C1450" s="13">
        <v>43633</v>
      </c>
      <c r="D1450" s="13" t="s">
        <v>8465</v>
      </c>
      <c r="E1450" s="10" t="s">
        <v>11575</v>
      </c>
      <c r="F1450" s="10" t="s">
        <v>11576</v>
      </c>
      <c r="H1450" s="2" t="s">
        <v>80</v>
      </c>
      <c r="L1450" s="18">
        <v>1</v>
      </c>
      <c r="N1450" s="13">
        <v>44651</v>
      </c>
      <c r="O1450" s="29">
        <v>0</v>
      </c>
      <c r="P1450" s="18" t="s">
        <v>1107</v>
      </c>
      <c r="Q1450" s="18">
        <v>0</v>
      </c>
      <c r="V1450" s="22">
        <f>3.5/5</f>
        <v>0.7</v>
      </c>
      <c r="W1450" s="14" t="s">
        <v>11393</v>
      </c>
      <c r="X1450" s="3">
        <v>2</v>
      </c>
      <c r="Z1450" s="23">
        <v>4</v>
      </c>
      <c r="AB1450" s="18">
        <f t="shared" si="44"/>
        <v>2019</v>
      </c>
      <c r="AC1450" s="22">
        <f t="shared" si="45"/>
        <v>0.55000000000000004</v>
      </c>
    </row>
    <row r="1451" spans="1:29" ht="51">
      <c r="A1451" s="8" t="s">
        <v>1741</v>
      </c>
      <c r="B1451" s="17" t="s">
        <v>7744</v>
      </c>
      <c r="C1451" s="13">
        <v>43629</v>
      </c>
      <c r="D1451" s="13" t="s">
        <v>8465</v>
      </c>
      <c r="E1451" s="10" t="s">
        <v>86</v>
      </c>
      <c r="F1451" s="10" t="s">
        <v>1731</v>
      </c>
      <c r="G1451" s="11" t="s">
        <v>85</v>
      </c>
      <c r="H1451" s="2" t="s">
        <v>1220</v>
      </c>
      <c r="L1451" s="18">
        <v>1</v>
      </c>
      <c r="M1451" s="14" t="s">
        <v>8462</v>
      </c>
      <c r="N1451" s="13">
        <v>43638</v>
      </c>
      <c r="O1451" s="29">
        <f>11.79+37.96</f>
        <v>49.75</v>
      </c>
      <c r="P1451" s="18" t="s">
        <v>8461</v>
      </c>
      <c r="Q1451" s="18">
        <v>0</v>
      </c>
      <c r="U1451" s="22">
        <v>0.87</v>
      </c>
      <c r="V1451" s="22">
        <f>4.13/5</f>
        <v>0.82599999999999996</v>
      </c>
      <c r="X1451" s="3">
        <v>4</v>
      </c>
      <c r="Z1451" s="23">
        <v>5.5</v>
      </c>
      <c r="AB1451" s="18">
        <f t="shared" si="44"/>
        <v>2019</v>
      </c>
      <c r="AC1451" s="22">
        <f t="shared" si="45"/>
        <v>0.83199999999999996</v>
      </c>
    </row>
    <row r="1452" spans="1:29" ht="25.5">
      <c r="A1452" s="8" t="s">
        <v>12786</v>
      </c>
      <c r="B1452" s="17" t="s">
        <v>7800</v>
      </c>
      <c r="C1452" s="13">
        <v>43629</v>
      </c>
      <c r="D1452" s="13" t="s">
        <v>8465</v>
      </c>
      <c r="E1452" s="10" t="s">
        <v>12787</v>
      </c>
      <c r="F1452" s="10" t="s">
        <v>12787</v>
      </c>
      <c r="G1452" s="11" t="s">
        <v>12788</v>
      </c>
      <c r="H1452" s="2" t="s">
        <v>75</v>
      </c>
      <c r="L1452" s="18">
        <v>1</v>
      </c>
      <c r="N1452" s="13">
        <v>44840</v>
      </c>
      <c r="O1452" s="29">
        <v>5.86</v>
      </c>
      <c r="P1452" s="18" t="s">
        <v>1107</v>
      </c>
      <c r="Q1452" s="18">
        <v>0</v>
      </c>
      <c r="V1452" s="22">
        <f>3.33/5</f>
        <v>0.66600000000000004</v>
      </c>
      <c r="W1452" s="14" t="s">
        <v>7777</v>
      </c>
      <c r="X1452" s="3">
        <v>3</v>
      </c>
      <c r="Z1452" s="23">
        <v>25</v>
      </c>
      <c r="AB1452" s="18">
        <f t="shared" si="44"/>
        <v>2019</v>
      </c>
      <c r="AC1452" s="22">
        <f t="shared" si="45"/>
        <v>0.63300000000000001</v>
      </c>
    </row>
    <row r="1453" spans="1:29">
      <c r="A1453" s="8" t="s">
        <v>7570</v>
      </c>
      <c r="B1453" s="17" t="s">
        <v>7744</v>
      </c>
      <c r="C1453" s="13">
        <v>43627</v>
      </c>
      <c r="D1453" s="13" t="s">
        <v>8465</v>
      </c>
      <c r="E1453" s="10" t="s">
        <v>1082</v>
      </c>
      <c r="F1453" s="10" t="s">
        <v>1082</v>
      </c>
      <c r="G1453" s="11" t="s">
        <v>1253</v>
      </c>
      <c r="H1453" s="2" t="s">
        <v>171</v>
      </c>
      <c r="L1453" s="18">
        <v>1</v>
      </c>
      <c r="M1453" s="14" t="s">
        <v>8462</v>
      </c>
      <c r="N1453" s="13">
        <v>43705</v>
      </c>
      <c r="O1453" s="29">
        <v>43.39</v>
      </c>
      <c r="P1453" s="18" t="s">
        <v>14</v>
      </c>
      <c r="Q1453" s="18">
        <v>0</v>
      </c>
      <c r="U1453" s="22">
        <v>0.86</v>
      </c>
      <c r="V1453" s="22">
        <f>4.16/5</f>
        <v>0.83200000000000007</v>
      </c>
      <c r="X1453" s="3">
        <v>2</v>
      </c>
      <c r="Z1453" s="23">
        <v>61.5</v>
      </c>
      <c r="AB1453" s="18">
        <f t="shared" si="44"/>
        <v>2019</v>
      </c>
      <c r="AC1453" s="22">
        <f t="shared" si="45"/>
        <v>0.69733333333333336</v>
      </c>
    </row>
    <row r="1454" spans="1:29">
      <c r="A1454" s="8" t="s">
        <v>12538</v>
      </c>
      <c r="B1454" s="17" t="s">
        <v>7800</v>
      </c>
      <c r="C1454" s="13">
        <v>43625</v>
      </c>
      <c r="D1454" s="13" t="s">
        <v>8465</v>
      </c>
      <c r="E1454" s="10" t="s">
        <v>3063</v>
      </c>
      <c r="F1454" s="10" t="s">
        <v>8262</v>
      </c>
      <c r="H1454" s="2" t="s">
        <v>6510</v>
      </c>
      <c r="L1454" s="18">
        <v>1</v>
      </c>
      <c r="N1454" s="13">
        <v>44823</v>
      </c>
      <c r="O1454" s="29">
        <v>1.49</v>
      </c>
      <c r="P1454" s="18" t="s">
        <v>1107</v>
      </c>
      <c r="Q1454" s="18">
        <v>0</v>
      </c>
      <c r="U1454" s="22">
        <v>0.69</v>
      </c>
      <c r="V1454" s="22">
        <f>2.9/5</f>
        <v>0.57999999999999996</v>
      </c>
      <c r="W1454" s="14" t="s">
        <v>7777</v>
      </c>
      <c r="X1454" s="3">
        <v>2</v>
      </c>
      <c r="Z1454" s="23">
        <v>2</v>
      </c>
      <c r="AB1454" s="18">
        <f t="shared" si="44"/>
        <v>2019</v>
      </c>
      <c r="AC1454" s="22">
        <f t="shared" si="45"/>
        <v>0.55666666666666664</v>
      </c>
    </row>
    <row r="1455" spans="1:29">
      <c r="A1455" s="8" t="s">
        <v>2831</v>
      </c>
      <c r="B1455" s="17" t="s">
        <v>7800</v>
      </c>
      <c r="C1455" s="13">
        <v>43623</v>
      </c>
      <c r="D1455" s="13" t="s">
        <v>8465</v>
      </c>
      <c r="E1455" s="10" t="s">
        <v>1598</v>
      </c>
      <c r="F1455" s="10" t="s">
        <v>1598</v>
      </c>
      <c r="G1455" s="11" t="s">
        <v>2831</v>
      </c>
      <c r="H1455" s="2" t="s">
        <v>64</v>
      </c>
      <c r="L1455" s="18">
        <v>1</v>
      </c>
      <c r="N1455" s="13">
        <v>43984</v>
      </c>
      <c r="O1455" s="29">
        <v>0</v>
      </c>
      <c r="P1455" s="18" t="s">
        <v>1107</v>
      </c>
      <c r="Q1455" s="18">
        <v>0</v>
      </c>
      <c r="V1455" s="22">
        <f>3.36/5</f>
        <v>0.67199999999999993</v>
      </c>
      <c r="W1455" s="14" t="s">
        <v>7777</v>
      </c>
      <c r="X1455" s="3">
        <v>2</v>
      </c>
      <c r="Z1455" s="23">
        <v>1</v>
      </c>
      <c r="AB1455" s="18">
        <f t="shared" si="44"/>
        <v>2019</v>
      </c>
      <c r="AC1455" s="22">
        <f t="shared" si="45"/>
        <v>0.53600000000000003</v>
      </c>
    </row>
    <row r="1456" spans="1:29" ht="25.5">
      <c r="A1456" s="8" t="s">
        <v>6169</v>
      </c>
      <c r="B1456" s="17" t="s">
        <v>7760</v>
      </c>
      <c r="C1456" s="13">
        <v>43620</v>
      </c>
      <c r="D1456" s="13" t="s">
        <v>8465</v>
      </c>
      <c r="E1456" s="10" t="s">
        <v>1534</v>
      </c>
      <c r="F1456" s="10" t="s">
        <v>1245</v>
      </c>
      <c r="G1456" s="11" t="s">
        <v>2892</v>
      </c>
      <c r="H1456" s="2" t="s">
        <v>149</v>
      </c>
      <c r="L1456" s="18">
        <v>1</v>
      </c>
      <c r="M1456" s="14" t="s">
        <v>8462</v>
      </c>
      <c r="N1456" s="13">
        <v>43620</v>
      </c>
      <c r="O1456" s="29">
        <v>49.99</v>
      </c>
      <c r="P1456" s="18" t="s">
        <v>14</v>
      </c>
      <c r="Q1456" s="18">
        <v>0</v>
      </c>
      <c r="U1456" s="22">
        <v>0.78</v>
      </c>
      <c r="V1456" s="22">
        <f>4.29/5</f>
        <v>0.85799999999999998</v>
      </c>
      <c r="W1456" s="14" t="s">
        <v>8848</v>
      </c>
      <c r="X1456" s="3">
        <v>4</v>
      </c>
      <c r="Z1456" s="23">
        <v>53.5</v>
      </c>
      <c r="AB1456" s="18">
        <f t="shared" si="44"/>
        <v>2019</v>
      </c>
      <c r="AC1456" s="22">
        <f t="shared" si="45"/>
        <v>0.81266666666666654</v>
      </c>
    </row>
    <row r="1457" spans="1:29" ht="25.5">
      <c r="A1457" s="8" t="s">
        <v>2390</v>
      </c>
      <c r="B1457" s="17" t="s">
        <v>7749</v>
      </c>
      <c r="C1457" s="13">
        <v>43620</v>
      </c>
      <c r="D1457" s="13" t="s">
        <v>8465</v>
      </c>
      <c r="E1457" s="10" t="s">
        <v>228</v>
      </c>
      <c r="F1457" s="10" t="s">
        <v>2458</v>
      </c>
      <c r="G1457" s="11" t="s">
        <v>1171</v>
      </c>
      <c r="H1457" s="2" t="s">
        <v>1377</v>
      </c>
      <c r="L1457" s="18">
        <v>1</v>
      </c>
      <c r="M1457" s="14" t="s">
        <v>8462</v>
      </c>
      <c r="N1457" s="13">
        <v>43620</v>
      </c>
      <c r="O1457" s="29">
        <v>43.39</v>
      </c>
      <c r="P1457" s="18" t="s">
        <v>14</v>
      </c>
      <c r="Q1457" s="18">
        <v>0</v>
      </c>
      <c r="U1457" s="22">
        <v>0.8</v>
      </c>
      <c r="V1457" s="22">
        <f>4.06/5</f>
        <v>0.81199999999999994</v>
      </c>
      <c r="X1457" s="3">
        <v>4</v>
      </c>
      <c r="Z1457" s="23">
        <v>45</v>
      </c>
      <c r="AB1457" s="18">
        <f t="shared" si="44"/>
        <v>2019</v>
      </c>
      <c r="AC1457" s="22">
        <f t="shared" si="45"/>
        <v>0.80399999999999994</v>
      </c>
    </row>
    <row r="1458" spans="1:29">
      <c r="A1458" s="8" t="s">
        <v>9796</v>
      </c>
      <c r="B1458" s="17" t="s">
        <v>7800</v>
      </c>
      <c r="C1458" s="13">
        <v>43620</v>
      </c>
      <c r="D1458" s="13" t="s">
        <v>8465</v>
      </c>
      <c r="E1458" s="10" t="s">
        <v>9797</v>
      </c>
      <c r="F1458" s="10" t="s">
        <v>9797</v>
      </c>
      <c r="H1458" s="2" t="s">
        <v>80</v>
      </c>
      <c r="L1458" s="18">
        <v>1</v>
      </c>
      <c r="N1458" s="13">
        <v>44250</v>
      </c>
      <c r="O1458" s="29">
        <v>0</v>
      </c>
      <c r="P1458" s="18" t="s">
        <v>1107</v>
      </c>
      <c r="Q1458" s="18">
        <v>0</v>
      </c>
      <c r="U1458" s="22">
        <v>0.83</v>
      </c>
      <c r="V1458" s="22">
        <f>3.56/5</f>
        <v>0.71199999999999997</v>
      </c>
      <c r="W1458" s="14" t="s">
        <v>7777</v>
      </c>
      <c r="X1458" s="3">
        <v>3</v>
      </c>
      <c r="Z1458" s="23">
        <v>7</v>
      </c>
      <c r="AB1458" s="18">
        <f t="shared" si="44"/>
        <v>2019</v>
      </c>
      <c r="AC1458" s="22">
        <f t="shared" si="45"/>
        <v>0.71399999999999997</v>
      </c>
    </row>
    <row r="1459" spans="1:29" ht="25.5">
      <c r="A1459" s="8" t="s">
        <v>8664</v>
      </c>
      <c r="B1459" s="17" t="s">
        <v>7800</v>
      </c>
      <c r="C1459" s="13">
        <v>43620</v>
      </c>
      <c r="D1459" s="13" t="s">
        <v>8465</v>
      </c>
      <c r="E1459" s="10" t="s">
        <v>8668</v>
      </c>
      <c r="F1459" s="10" t="s">
        <v>8668</v>
      </c>
      <c r="H1459" s="2" t="s">
        <v>67</v>
      </c>
      <c r="I1459" s="18">
        <v>1</v>
      </c>
      <c r="L1459" s="18">
        <v>1</v>
      </c>
      <c r="N1459" s="13">
        <v>43965</v>
      </c>
      <c r="O1459" s="29">
        <v>7.99</v>
      </c>
      <c r="P1459" s="18" t="s">
        <v>1107</v>
      </c>
      <c r="Q1459" s="18">
        <v>0</v>
      </c>
      <c r="U1459" s="22">
        <v>0.77</v>
      </c>
      <c r="V1459" s="22">
        <f>2.81/5</f>
        <v>0.56200000000000006</v>
      </c>
      <c r="W1459" s="14" t="s">
        <v>7097</v>
      </c>
      <c r="X1459" s="3">
        <v>3</v>
      </c>
      <c r="Z1459" s="23">
        <v>5</v>
      </c>
      <c r="AB1459" s="18">
        <f t="shared" si="44"/>
        <v>2019</v>
      </c>
      <c r="AC1459" s="22">
        <f t="shared" si="45"/>
        <v>0.64400000000000002</v>
      </c>
    </row>
    <row r="1460" spans="1:29" ht="25.5">
      <c r="A1460" s="8" t="s">
        <v>8712</v>
      </c>
      <c r="B1460" s="17" t="s">
        <v>7744</v>
      </c>
      <c r="C1460" s="13">
        <v>43620</v>
      </c>
      <c r="D1460" s="13" t="s">
        <v>8465</v>
      </c>
      <c r="E1460" s="10" t="s">
        <v>7877</v>
      </c>
      <c r="F1460" s="10" t="s">
        <v>8422</v>
      </c>
      <c r="H1460" s="2" t="s">
        <v>1057</v>
      </c>
      <c r="L1460" s="18">
        <v>1</v>
      </c>
      <c r="N1460" s="13">
        <v>43979</v>
      </c>
      <c r="O1460" s="29">
        <v>0</v>
      </c>
      <c r="P1460" s="18" t="s">
        <v>1107</v>
      </c>
      <c r="Q1460" s="18">
        <v>0</v>
      </c>
      <c r="U1460" s="22">
        <v>0.62</v>
      </c>
      <c r="V1460" s="22">
        <f>3.11/5</f>
        <v>0.622</v>
      </c>
      <c r="X1460" s="3">
        <v>2</v>
      </c>
      <c r="Z1460" s="23">
        <v>11</v>
      </c>
      <c r="AB1460" s="18">
        <f t="shared" si="44"/>
        <v>2019</v>
      </c>
      <c r="AC1460" s="22">
        <f t="shared" si="45"/>
        <v>0.54733333333333334</v>
      </c>
    </row>
    <row r="1461" spans="1:29">
      <c r="A1461" s="8" t="s">
        <v>10849</v>
      </c>
      <c r="B1461" s="17" t="s">
        <v>7800</v>
      </c>
      <c r="C1461" s="13">
        <v>43619</v>
      </c>
      <c r="D1461" s="13" t="s">
        <v>8465</v>
      </c>
      <c r="E1461" s="10" t="s">
        <v>10850</v>
      </c>
      <c r="F1461" s="10" t="s">
        <v>10850</v>
      </c>
      <c r="H1461" s="2" t="s">
        <v>171</v>
      </c>
      <c r="L1461" s="18">
        <v>1</v>
      </c>
      <c r="P1461" s="18" t="s">
        <v>1107</v>
      </c>
      <c r="Q1461" s="18">
        <v>0</v>
      </c>
      <c r="V1461" s="22">
        <f>2.67/5</f>
        <v>0.53400000000000003</v>
      </c>
      <c r="W1461" s="14" t="s">
        <v>7777</v>
      </c>
      <c r="X1461" s="3">
        <v>3</v>
      </c>
      <c r="Z1461" s="23">
        <v>23</v>
      </c>
      <c r="AB1461" s="18">
        <f t="shared" si="44"/>
        <v>2019</v>
      </c>
      <c r="AC1461" s="22">
        <f t="shared" si="45"/>
        <v>0.56699999999999995</v>
      </c>
    </row>
    <row r="1462" spans="1:29">
      <c r="A1462" s="8" t="s">
        <v>10571</v>
      </c>
      <c r="B1462" s="17" t="s">
        <v>7800</v>
      </c>
      <c r="C1462" s="13">
        <v>43616</v>
      </c>
      <c r="D1462" s="13" t="s">
        <v>8465</v>
      </c>
      <c r="E1462" s="10" t="s">
        <v>10572</v>
      </c>
      <c r="F1462" s="10" t="s">
        <v>10573</v>
      </c>
      <c r="H1462" s="2" t="s">
        <v>67</v>
      </c>
      <c r="L1462" s="18">
        <v>1</v>
      </c>
      <c r="N1462" s="13">
        <v>44498</v>
      </c>
      <c r="O1462" s="29">
        <v>0</v>
      </c>
      <c r="P1462" s="18" t="s">
        <v>1107</v>
      </c>
      <c r="Q1462" s="18">
        <v>0</v>
      </c>
      <c r="V1462" s="22">
        <f>3.86/5</f>
        <v>0.77200000000000002</v>
      </c>
      <c r="W1462" s="14" t="s">
        <v>7777</v>
      </c>
      <c r="X1462" s="3">
        <v>2</v>
      </c>
      <c r="Z1462" s="23">
        <v>4</v>
      </c>
      <c r="AB1462" s="18">
        <f t="shared" si="44"/>
        <v>2019</v>
      </c>
      <c r="AC1462" s="22">
        <f t="shared" si="45"/>
        <v>0.58600000000000008</v>
      </c>
    </row>
    <row r="1463" spans="1:29" ht="25.5">
      <c r="A1463" s="8" t="s">
        <v>9551</v>
      </c>
      <c r="B1463" s="17" t="s">
        <v>7800</v>
      </c>
      <c r="C1463" s="13">
        <v>43616</v>
      </c>
      <c r="D1463" s="13" t="s">
        <v>8465</v>
      </c>
      <c r="E1463" s="10" t="s">
        <v>9552</v>
      </c>
      <c r="F1463" s="10" t="s">
        <v>4140</v>
      </c>
      <c r="G1463" s="11" t="s">
        <v>4483</v>
      </c>
      <c r="H1463" s="2" t="s">
        <v>171</v>
      </c>
      <c r="L1463" s="18">
        <v>1</v>
      </c>
      <c r="N1463" s="13">
        <v>44197</v>
      </c>
      <c r="O1463" s="29">
        <v>0</v>
      </c>
      <c r="P1463" s="18" t="s">
        <v>1107</v>
      </c>
      <c r="Q1463" s="18">
        <v>0</v>
      </c>
      <c r="U1463" s="22">
        <v>0.69</v>
      </c>
      <c r="V1463" s="22">
        <f>2.82/5</f>
        <v>0.56399999999999995</v>
      </c>
      <c r="W1463" s="14" t="s">
        <v>7777</v>
      </c>
      <c r="X1463" s="3">
        <v>2</v>
      </c>
      <c r="Z1463" s="23">
        <v>10</v>
      </c>
      <c r="AB1463" s="18">
        <f t="shared" si="44"/>
        <v>2019</v>
      </c>
      <c r="AC1463" s="22">
        <f t="shared" si="45"/>
        <v>0.55133333333333334</v>
      </c>
    </row>
    <row r="1464" spans="1:29">
      <c r="A1464" s="8" t="s">
        <v>8257</v>
      </c>
      <c r="B1464" s="17" t="s">
        <v>7800</v>
      </c>
      <c r="C1464" s="13">
        <v>43615</v>
      </c>
      <c r="D1464" s="13" t="s">
        <v>8465</v>
      </c>
      <c r="E1464" s="10" t="s">
        <v>7300</v>
      </c>
      <c r="F1464" s="10" t="s">
        <v>8258</v>
      </c>
      <c r="H1464" s="2" t="s">
        <v>80</v>
      </c>
      <c r="L1464" s="18">
        <v>1</v>
      </c>
      <c r="N1464" s="13">
        <v>43824</v>
      </c>
      <c r="O1464" s="29">
        <v>14.99</v>
      </c>
      <c r="P1464" s="18" t="s">
        <v>1107</v>
      </c>
      <c r="Q1464" s="18">
        <v>0</v>
      </c>
      <c r="U1464" s="22">
        <v>0.85</v>
      </c>
      <c r="V1464" s="22">
        <f>4.22/5</f>
        <v>0.84399999999999997</v>
      </c>
      <c r="W1464" s="14" t="s">
        <v>7097</v>
      </c>
      <c r="X1464" s="3">
        <v>5</v>
      </c>
      <c r="Z1464" s="23">
        <v>15</v>
      </c>
      <c r="AB1464" s="18">
        <f t="shared" si="44"/>
        <v>2019</v>
      </c>
      <c r="AC1464" s="22">
        <f t="shared" si="45"/>
        <v>0.89800000000000002</v>
      </c>
    </row>
    <row r="1465" spans="1:29">
      <c r="A1465" s="8" t="s">
        <v>12218</v>
      </c>
      <c r="B1465" s="17" t="s">
        <v>7800</v>
      </c>
      <c r="C1465" s="13">
        <v>43614</v>
      </c>
      <c r="D1465" s="13" t="s">
        <v>8465</v>
      </c>
      <c r="E1465" s="10" t="s">
        <v>3712</v>
      </c>
      <c r="F1465" s="10" t="s">
        <v>3712</v>
      </c>
      <c r="H1465" s="2" t="s">
        <v>67</v>
      </c>
      <c r="L1465" s="18">
        <v>1</v>
      </c>
      <c r="N1465" s="13">
        <v>44771</v>
      </c>
      <c r="O1465" s="29">
        <v>0</v>
      </c>
      <c r="P1465" s="18" t="s">
        <v>1107</v>
      </c>
      <c r="Q1465" s="18">
        <v>0</v>
      </c>
      <c r="U1465" s="22">
        <v>0.73</v>
      </c>
      <c r="V1465" s="22">
        <f>3.26/5</f>
        <v>0.65199999999999991</v>
      </c>
      <c r="W1465" s="14" t="s">
        <v>7777</v>
      </c>
      <c r="X1465" s="3">
        <v>3</v>
      </c>
      <c r="Z1465" s="23">
        <v>3</v>
      </c>
      <c r="AB1465" s="18">
        <f t="shared" si="44"/>
        <v>2019</v>
      </c>
      <c r="AC1465" s="22">
        <f t="shared" si="45"/>
        <v>0.66066666666666662</v>
      </c>
    </row>
    <row r="1466" spans="1:29" ht="25.5">
      <c r="A1466" s="8" t="s">
        <v>1558</v>
      </c>
      <c r="B1466" s="17" t="s">
        <v>7744</v>
      </c>
      <c r="C1466" s="13">
        <v>43614</v>
      </c>
      <c r="D1466" s="13" t="s">
        <v>8465</v>
      </c>
      <c r="E1466" s="10" t="s">
        <v>1559</v>
      </c>
      <c r="F1466" s="10" t="s">
        <v>1559</v>
      </c>
      <c r="G1466" s="11" t="s">
        <v>1560</v>
      </c>
      <c r="H1466" s="2" t="s">
        <v>1061</v>
      </c>
      <c r="L1466" s="18">
        <v>1</v>
      </c>
      <c r="M1466" s="14" t="s">
        <v>8462</v>
      </c>
      <c r="N1466" s="13">
        <v>43614</v>
      </c>
      <c r="O1466" s="29">
        <v>29.99</v>
      </c>
      <c r="P1466" s="18" t="s">
        <v>14</v>
      </c>
      <c r="Q1466" s="18">
        <v>0</v>
      </c>
      <c r="U1466" s="22">
        <v>0.5</v>
      </c>
      <c r="V1466" s="22">
        <f>2.83/5</f>
        <v>0.56600000000000006</v>
      </c>
      <c r="X1466" s="3">
        <v>1</v>
      </c>
      <c r="Z1466" s="23">
        <v>2.5</v>
      </c>
      <c r="AB1466" s="18">
        <f t="shared" si="44"/>
        <v>2019</v>
      </c>
      <c r="AC1466" s="22">
        <f t="shared" si="45"/>
        <v>0.42199999999999999</v>
      </c>
    </row>
    <row r="1467" spans="1:29">
      <c r="A1467" s="8" t="s">
        <v>1577</v>
      </c>
      <c r="B1467" s="17" t="s">
        <v>7744</v>
      </c>
      <c r="C1467" s="13">
        <v>43613</v>
      </c>
      <c r="D1467" s="13" t="s">
        <v>8465</v>
      </c>
      <c r="E1467" s="10" t="s">
        <v>1578</v>
      </c>
      <c r="F1467" s="10" t="s">
        <v>1578</v>
      </c>
      <c r="H1467" s="2" t="s">
        <v>78</v>
      </c>
      <c r="L1467" s="18">
        <v>1</v>
      </c>
      <c r="M1467" s="14" t="s">
        <v>8462</v>
      </c>
      <c r="N1467" s="13">
        <v>43613</v>
      </c>
      <c r="O1467" s="29">
        <v>43.39</v>
      </c>
      <c r="P1467" s="18" t="s">
        <v>14</v>
      </c>
      <c r="Q1467" s="18">
        <v>0</v>
      </c>
      <c r="U1467" s="22">
        <v>0.74</v>
      </c>
      <c r="V1467" s="22">
        <f>3.32/5</f>
        <v>0.66399999999999992</v>
      </c>
      <c r="X1467" s="3">
        <v>2</v>
      </c>
      <c r="Z1467" s="23">
        <v>3</v>
      </c>
      <c r="AB1467" s="18">
        <f t="shared" si="44"/>
        <v>2019</v>
      </c>
      <c r="AC1467" s="22">
        <f t="shared" si="45"/>
        <v>0.60133333333333328</v>
      </c>
    </row>
    <row r="1468" spans="1:29" ht="30">
      <c r="A1468" s="8" t="s">
        <v>14239</v>
      </c>
      <c r="B1468" s="17" t="s">
        <v>7800</v>
      </c>
      <c r="C1468" s="13">
        <v>43613</v>
      </c>
      <c r="D1468" s="13" t="s">
        <v>8465</v>
      </c>
      <c r="E1468" s="10" t="s">
        <v>14240</v>
      </c>
      <c r="F1468" s="10" t="s">
        <v>14241</v>
      </c>
      <c r="H1468" s="2" t="s">
        <v>2820</v>
      </c>
      <c r="L1468" s="18">
        <v>1</v>
      </c>
      <c r="O1468" s="29">
        <v>0</v>
      </c>
      <c r="P1468" s="18" t="s">
        <v>1107</v>
      </c>
      <c r="Q1468" s="18">
        <v>0</v>
      </c>
      <c r="V1468" s="22">
        <f>2.96/5</f>
        <v>0.59199999999999997</v>
      </c>
      <c r="W1468" s="14" t="s">
        <v>8765</v>
      </c>
      <c r="X1468" s="3">
        <v>2</v>
      </c>
      <c r="Z1468" s="23">
        <f>22/60</f>
        <v>0.36666666666666664</v>
      </c>
      <c r="AB1468" s="18">
        <f t="shared" si="44"/>
        <v>2019</v>
      </c>
      <c r="AC1468" s="22">
        <f t="shared" si="45"/>
        <v>0.496</v>
      </c>
    </row>
    <row r="1469" spans="1:29">
      <c r="A1469" s="8" t="s">
        <v>1638</v>
      </c>
      <c r="B1469" s="17" t="s">
        <v>7744</v>
      </c>
      <c r="C1469" s="13">
        <v>43613</v>
      </c>
      <c r="D1469" s="13" t="s">
        <v>8465</v>
      </c>
      <c r="E1469" s="10" t="s">
        <v>1639</v>
      </c>
      <c r="F1469" s="10" t="s">
        <v>1639</v>
      </c>
      <c r="G1469" s="11" t="s">
        <v>1640</v>
      </c>
      <c r="H1469" s="2" t="s">
        <v>67</v>
      </c>
      <c r="L1469" s="18">
        <v>1</v>
      </c>
      <c r="M1469" s="14" t="s">
        <v>8462</v>
      </c>
      <c r="N1469" s="13">
        <v>43613</v>
      </c>
      <c r="O1469" s="29">
        <v>43.39</v>
      </c>
      <c r="P1469" s="18" t="s">
        <v>14</v>
      </c>
      <c r="Q1469" s="18">
        <v>0</v>
      </c>
      <c r="X1469" s="3">
        <v>2</v>
      </c>
      <c r="Z1469" s="23">
        <v>7</v>
      </c>
      <c r="AB1469" s="18">
        <f t="shared" si="44"/>
        <v>2019</v>
      </c>
      <c r="AC1469" s="22">
        <f t="shared" si="45"/>
        <v>0.4</v>
      </c>
    </row>
    <row r="1470" spans="1:29">
      <c r="A1470" s="8" t="s">
        <v>8305</v>
      </c>
      <c r="B1470" s="17" t="s">
        <v>7800</v>
      </c>
      <c r="C1470" s="13">
        <v>43613</v>
      </c>
      <c r="D1470" s="13" t="s">
        <v>8465</v>
      </c>
      <c r="E1470" s="10" t="s">
        <v>9249</v>
      </c>
      <c r="F1470" s="10" t="s">
        <v>8306</v>
      </c>
      <c r="H1470" s="2" t="s">
        <v>1050</v>
      </c>
      <c r="L1470" s="18">
        <v>1</v>
      </c>
      <c r="N1470" s="13">
        <v>43846</v>
      </c>
      <c r="O1470" s="29">
        <v>25</v>
      </c>
      <c r="P1470" s="18" t="s">
        <v>1107</v>
      </c>
      <c r="Q1470" s="18">
        <v>0</v>
      </c>
      <c r="U1470" s="22">
        <v>0.8</v>
      </c>
      <c r="V1470" s="22">
        <f>3.28/5</f>
        <v>0.65599999999999992</v>
      </c>
      <c r="W1470" s="14" t="s">
        <v>7777</v>
      </c>
      <c r="X1470" s="3">
        <v>3</v>
      </c>
      <c r="Z1470" s="23">
        <v>8</v>
      </c>
      <c r="AB1470" s="18">
        <f t="shared" si="44"/>
        <v>2019</v>
      </c>
      <c r="AC1470" s="22">
        <f t="shared" si="45"/>
        <v>0.68533333333333335</v>
      </c>
    </row>
    <row r="1471" spans="1:29" ht="30">
      <c r="A1471" s="8" t="s">
        <v>10704</v>
      </c>
      <c r="B1471" s="17" t="s">
        <v>7760</v>
      </c>
      <c r="C1471" s="13">
        <v>43613</v>
      </c>
      <c r="D1471" s="13" t="s">
        <v>8465</v>
      </c>
      <c r="E1471" s="10" t="s">
        <v>6107</v>
      </c>
      <c r="F1471" s="10" t="s">
        <v>9691</v>
      </c>
      <c r="H1471" s="2" t="s">
        <v>1050</v>
      </c>
      <c r="I1471" s="18">
        <v>1</v>
      </c>
      <c r="L1471" s="18">
        <v>1</v>
      </c>
      <c r="M1471" s="14" t="s">
        <v>8462</v>
      </c>
      <c r="N1471" s="13">
        <v>44520</v>
      </c>
      <c r="O1471" s="29">
        <v>9.99</v>
      </c>
      <c r="P1471" s="18" t="s">
        <v>14</v>
      </c>
      <c r="Q1471" s="18">
        <v>0</v>
      </c>
      <c r="U1471" s="22">
        <v>0.8</v>
      </c>
      <c r="V1471" s="22">
        <f>3.9/5</f>
        <v>0.78</v>
      </c>
      <c r="X1471" s="3">
        <v>3</v>
      </c>
      <c r="Z1471" s="23">
        <v>5</v>
      </c>
      <c r="AB1471" s="18">
        <f t="shared" si="44"/>
        <v>2019</v>
      </c>
      <c r="AC1471" s="22">
        <f t="shared" si="45"/>
        <v>0.72666666666666668</v>
      </c>
    </row>
    <row r="1472" spans="1:29">
      <c r="A1472" s="8" t="s">
        <v>9759</v>
      </c>
      <c r="B1472" s="17" t="s">
        <v>7800</v>
      </c>
      <c r="C1472" s="13">
        <v>43612</v>
      </c>
      <c r="D1472" s="13" t="s">
        <v>8465</v>
      </c>
      <c r="E1472" s="10" t="s">
        <v>9763</v>
      </c>
      <c r="F1472" s="10" t="s">
        <v>9764</v>
      </c>
      <c r="H1472" s="2" t="s">
        <v>75</v>
      </c>
      <c r="L1472" s="18">
        <v>1</v>
      </c>
      <c r="N1472" s="13">
        <v>44238</v>
      </c>
      <c r="O1472" s="29">
        <v>10.19</v>
      </c>
      <c r="P1472" s="18" t="s">
        <v>1107</v>
      </c>
      <c r="Q1472" s="18">
        <v>0</v>
      </c>
      <c r="U1472" s="22">
        <v>0.69</v>
      </c>
      <c r="V1472" s="22">
        <f>3/5</f>
        <v>0.6</v>
      </c>
      <c r="W1472" s="14" t="s">
        <v>7777</v>
      </c>
      <c r="X1472" s="3">
        <v>4</v>
      </c>
      <c r="Z1472" s="23">
        <v>45</v>
      </c>
      <c r="AB1472" s="18">
        <f t="shared" si="44"/>
        <v>2019</v>
      </c>
      <c r="AC1472" s="22">
        <f t="shared" si="45"/>
        <v>0.69666666666666666</v>
      </c>
    </row>
    <row r="1473" spans="1:29">
      <c r="A1473" s="8" t="s">
        <v>12128</v>
      </c>
      <c r="B1473" s="17" t="s">
        <v>7800</v>
      </c>
      <c r="C1473" s="13">
        <v>43612</v>
      </c>
      <c r="D1473" s="13" t="s">
        <v>8465</v>
      </c>
      <c r="E1473" s="10" t="s">
        <v>12129</v>
      </c>
      <c r="F1473" s="10" t="s">
        <v>12129</v>
      </c>
      <c r="H1473" s="2" t="s">
        <v>56</v>
      </c>
      <c r="L1473" s="18">
        <v>1</v>
      </c>
      <c r="O1473" s="29">
        <v>0</v>
      </c>
      <c r="P1473" s="18" t="s">
        <v>1107</v>
      </c>
      <c r="Q1473" s="18">
        <v>0</v>
      </c>
      <c r="W1473" s="14" t="s">
        <v>8765</v>
      </c>
      <c r="X1473" s="3">
        <v>2</v>
      </c>
      <c r="Z1473" s="23">
        <v>2.5</v>
      </c>
      <c r="AB1473" s="18">
        <f t="shared" si="44"/>
        <v>2019</v>
      </c>
      <c r="AC1473" s="22">
        <f t="shared" si="45"/>
        <v>0.4</v>
      </c>
    </row>
    <row r="1474" spans="1:29">
      <c r="A1474" s="8" t="s">
        <v>9553</v>
      </c>
      <c r="B1474" s="17" t="s">
        <v>7800</v>
      </c>
      <c r="C1474" s="13">
        <v>43608</v>
      </c>
      <c r="D1474" s="13" t="s">
        <v>8465</v>
      </c>
      <c r="E1474" s="10" t="s">
        <v>3464</v>
      </c>
      <c r="F1474" s="10" t="s">
        <v>4251</v>
      </c>
      <c r="G1474" s="11" t="s">
        <v>9554</v>
      </c>
      <c r="H1474" s="2" t="s">
        <v>1720</v>
      </c>
      <c r="L1474" s="18">
        <v>1</v>
      </c>
      <c r="N1474" s="13">
        <v>44197</v>
      </c>
      <c r="O1474" s="29">
        <v>0</v>
      </c>
      <c r="P1474" s="18" t="s">
        <v>1107</v>
      </c>
      <c r="Q1474" s="18">
        <v>0</v>
      </c>
      <c r="U1474" s="22">
        <v>0.69</v>
      </c>
      <c r="V1474" s="22">
        <f>4.22/5</f>
        <v>0.84399999999999997</v>
      </c>
      <c r="W1474" s="14" t="s">
        <v>7777</v>
      </c>
      <c r="X1474" s="3">
        <v>3</v>
      </c>
      <c r="Z1474" s="23">
        <v>28.5</v>
      </c>
      <c r="AB1474" s="18">
        <f t="shared" ref="AB1474:AB1537" si="46">IFERROR(YEAR(C1474), "Early Access")</f>
        <v>2019</v>
      </c>
      <c r="AC1474" s="22">
        <f t="shared" ref="AC1474:AC1537" si="47">AVERAGE(T1474, U1474, V1474, IF(ISBLANK(X1474), X1474, X1474/5))</f>
        <v>0.71133333333333326</v>
      </c>
    </row>
    <row r="1475" spans="1:29" ht="51">
      <c r="A1475" s="8" t="s">
        <v>10210</v>
      </c>
      <c r="B1475" s="17" t="s">
        <v>7744</v>
      </c>
      <c r="C1475" s="13">
        <v>43608</v>
      </c>
      <c r="D1475" s="13" t="s">
        <v>8465</v>
      </c>
      <c r="E1475" s="10" t="s">
        <v>479</v>
      </c>
      <c r="F1475" s="10" t="s">
        <v>10211</v>
      </c>
      <c r="G1475" s="11" t="s">
        <v>2291</v>
      </c>
      <c r="H1475" s="2" t="s">
        <v>1057</v>
      </c>
      <c r="L1475" s="18">
        <v>1</v>
      </c>
      <c r="N1475" s="13">
        <v>44371</v>
      </c>
      <c r="O1475" s="29">
        <v>4.03</v>
      </c>
      <c r="P1475" s="18" t="s">
        <v>1107</v>
      </c>
      <c r="Q1475" s="18">
        <v>0</v>
      </c>
      <c r="V1475" s="22">
        <f>3.5/5</f>
        <v>0.7</v>
      </c>
      <c r="X1475" s="3">
        <v>2</v>
      </c>
      <c r="Z1475" s="23">
        <v>7.5</v>
      </c>
      <c r="AB1475" s="18">
        <f t="shared" si="46"/>
        <v>2019</v>
      </c>
      <c r="AC1475" s="22">
        <f t="shared" si="47"/>
        <v>0.55000000000000004</v>
      </c>
    </row>
    <row r="1476" spans="1:29" ht="25.5">
      <c r="A1476" s="8" t="s">
        <v>1564</v>
      </c>
      <c r="B1476" s="17" t="s">
        <v>7744</v>
      </c>
      <c r="C1476" s="13">
        <v>43606</v>
      </c>
      <c r="D1476" s="13" t="s">
        <v>8465</v>
      </c>
      <c r="E1476" s="10" t="s">
        <v>1565</v>
      </c>
      <c r="F1476" s="10" t="s">
        <v>1566</v>
      </c>
      <c r="G1476" s="11" t="s">
        <v>1567</v>
      </c>
      <c r="H1476" s="2" t="s">
        <v>149</v>
      </c>
      <c r="L1476" s="18">
        <v>1</v>
      </c>
      <c r="M1476" s="14" t="s">
        <v>8462</v>
      </c>
      <c r="N1476" s="13">
        <v>43606</v>
      </c>
      <c r="O1476" s="29">
        <v>65.09</v>
      </c>
      <c r="P1476" s="18" t="s">
        <v>14</v>
      </c>
      <c r="Q1476" s="18">
        <v>0</v>
      </c>
      <c r="U1476" s="22">
        <v>0.82</v>
      </c>
      <c r="V1476" s="22">
        <f>3.94/5</f>
        <v>0.78800000000000003</v>
      </c>
      <c r="X1476" s="3">
        <v>4</v>
      </c>
      <c r="Z1476" s="23">
        <v>28</v>
      </c>
      <c r="AB1476" s="18">
        <f t="shared" si="46"/>
        <v>2019</v>
      </c>
      <c r="AC1476" s="22">
        <f t="shared" si="47"/>
        <v>0.80266666666666675</v>
      </c>
    </row>
    <row r="1477" spans="1:29">
      <c r="A1477" s="8" t="s">
        <v>1686</v>
      </c>
      <c r="B1477" s="17" t="s">
        <v>7744</v>
      </c>
      <c r="C1477" s="13">
        <v>43606</v>
      </c>
      <c r="D1477" s="13" t="s">
        <v>8465</v>
      </c>
      <c r="E1477" s="10" t="s">
        <v>455</v>
      </c>
      <c r="F1477" s="10" t="s">
        <v>1687</v>
      </c>
      <c r="G1477" s="11" t="s">
        <v>1688</v>
      </c>
      <c r="H1477" s="2" t="s">
        <v>150</v>
      </c>
      <c r="L1477" s="18">
        <v>1</v>
      </c>
      <c r="M1477" s="14" t="s">
        <v>8462</v>
      </c>
      <c r="N1477" s="13">
        <v>43606</v>
      </c>
      <c r="O1477" s="29">
        <v>35.630000000000003</v>
      </c>
      <c r="P1477" s="18" t="s">
        <v>14</v>
      </c>
      <c r="Q1477" s="18">
        <v>0</v>
      </c>
      <c r="U1477" s="22">
        <v>0.71</v>
      </c>
      <c r="V1477" s="22">
        <f>3.64/5</f>
        <v>0.72799999999999998</v>
      </c>
      <c r="X1477" s="3">
        <v>3</v>
      </c>
      <c r="Z1477" s="23">
        <v>10</v>
      </c>
      <c r="AB1477" s="18">
        <f t="shared" si="46"/>
        <v>2019</v>
      </c>
      <c r="AC1477" s="22">
        <f t="shared" si="47"/>
        <v>0.67933333333333323</v>
      </c>
    </row>
    <row r="1478" spans="1:29" ht="30">
      <c r="A1478" s="8" t="s">
        <v>10518</v>
      </c>
      <c r="B1478" s="17" t="s">
        <v>10521</v>
      </c>
      <c r="C1478" s="13">
        <v>43606</v>
      </c>
      <c r="D1478" s="13" t="s">
        <v>8465</v>
      </c>
      <c r="E1478" s="10" t="s">
        <v>10522</v>
      </c>
      <c r="F1478" s="10" t="s">
        <v>10523</v>
      </c>
      <c r="G1478" s="11" t="s">
        <v>1481</v>
      </c>
      <c r="H1478" s="2" t="s">
        <v>67</v>
      </c>
      <c r="I1478" s="18">
        <v>1</v>
      </c>
      <c r="L1478" s="18">
        <v>1</v>
      </c>
      <c r="N1478" s="13">
        <v>44484</v>
      </c>
      <c r="O1478" s="29">
        <v>14.99</v>
      </c>
      <c r="P1478" s="18" t="s">
        <v>1107</v>
      </c>
      <c r="Q1478" s="18">
        <v>0</v>
      </c>
      <c r="U1478" s="22">
        <v>0.78</v>
      </c>
      <c r="V1478" s="22">
        <f>3.14/5</f>
        <v>0.628</v>
      </c>
      <c r="W1478" s="14" t="s">
        <v>10524</v>
      </c>
      <c r="X1478" s="3">
        <v>3</v>
      </c>
      <c r="Z1478" s="23">
        <f>51/60</f>
        <v>0.85</v>
      </c>
      <c r="AB1478" s="18">
        <f t="shared" si="46"/>
        <v>2019</v>
      </c>
      <c r="AC1478" s="22">
        <f t="shared" si="47"/>
        <v>0.66933333333333334</v>
      </c>
    </row>
    <row r="1479" spans="1:29">
      <c r="A1479" s="8" t="s">
        <v>8324</v>
      </c>
      <c r="B1479" s="17" t="s">
        <v>7800</v>
      </c>
      <c r="C1479" s="13">
        <v>43606</v>
      </c>
      <c r="D1479" s="13" t="s">
        <v>8465</v>
      </c>
      <c r="E1479" s="10" t="s">
        <v>1151</v>
      </c>
      <c r="F1479" s="10" t="s">
        <v>8325</v>
      </c>
      <c r="H1479" s="2" t="s">
        <v>80</v>
      </c>
      <c r="L1479" s="18">
        <v>1</v>
      </c>
      <c r="N1479" s="13">
        <v>43864</v>
      </c>
      <c r="O1479" s="29">
        <v>0</v>
      </c>
      <c r="P1479" s="18" t="s">
        <v>1107</v>
      </c>
      <c r="Q1479" s="18">
        <v>0</v>
      </c>
      <c r="U1479" s="22">
        <v>0.66</v>
      </c>
      <c r="V1479" s="22">
        <f>2.83/5</f>
        <v>0.56600000000000006</v>
      </c>
      <c r="W1479" s="14" t="s">
        <v>7777</v>
      </c>
      <c r="X1479" s="3">
        <v>3</v>
      </c>
      <c r="Z1479" s="23">
        <v>9</v>
      </c>
      <c r="AB1479" s="18">
        <f t="shared" si="46"/>
        <v>2019</v>
      </c>
      <c r="AC1479" s="22">
        <f t="shared" si="47"/>
        <v>0.60866666666666669</v>
      </c>
    </row>
    <row r="1480" spans="1:29" ht="25.5">
      <c r="A1480" s="8" t="s">
        <v>1647</v>
      </c>
      <c r="B1480" s="17" t="s">
        <v>7744</v>
      </c>
      <c r="C1480" s="13">
        <v>43606</v>
      </c>
      <c r="D1480" s="13" t="s">
        <v>8465</v>
      </c>
      <c r="E1480" s="10" t="s">
        <v>73</v>
      </c>
      <c r="F1480" s="10" t="s">
        <v>73</v>
      </c>
      <c r="G1480" s="11" t="s">
        <v>943</v>
      </c>
      <c r="H1480" s="2" t="s">
        <v>1061</v>
      </c>
      <c r="L1480" s="18">
        <v>1</v>
      </c>
      <c r="M1480" s="14" t="s">
        <v>8462</v>
      </c>
      <c r="N1480" s="13">
        <v>43606</v>
      </c>
      <c r="O1480" s="29">
        <v>65.09</v>
      </c>
      <c r="P1480" s="18" t="s">
        <v>14</v>
      </c>
      <c r="Q1480" s="18">
        <v>0</v>
      </c>
      <c r="U1480" s="22">
        <v>0.7</v>
      </c>
      <c r="V1480" s="22">
        <f>4.13/5</f>
        <v>0.82599999999999996</v>
      </c>
      <c r="X1480" s="3">
        <v>2</v>
      </c>
      <c r="Z1480" s="23">
        <v>24.5</v>
      </c>
      <c r="AB1480" s="18">
        <f t="shared" si="46"/>
        <v>2019</v>
      </c>
      <c r="AC1480" s="22">
        <f t="shared" si="47"/>
        <v>0.6419999999999999</v>
      </c>
    </row>
    <row r="1481" spans="1:29" ht="30">
      <c r="A1481" s="8" t="s">
        <v>11172</v>
      </c>
      <c r="B1481" s="17" t="s">
        <v>7760</v>
      </c>
      <c r="C1481" s="13">
        <v>43606</v>
      </c>
      <c r="D1481" s="13" t="s">
        <v>8465</v>
      </c>
      <c r="E1481" s="10" t="s">
        <v>6107</v>
      </c>
      <c r="F1481" s="10" t="s">
        <v>10091</v>
      </c>
      <c r="G1481" s="11" t="s">
        <v>11029</v>
      </c>
      <c r="H1481" s="2" t="s">
        <v>255</v>
      </c>
      <c r="I1481" s="18">
        <v>1</v>
      </c>
      <c r="L1481" s="18">
        <v>1</v>
      </c>
      <c r="M1481" s="14" t="s">
        <v>8462</v>
      </c>
      <c r="N1481" s="13">
        <v>44605</v>
      </c>
      <c r="O1481" s="29">
        <v>10.86</v>
      </c>
      <c r="P1481" s="18" t="s">
        <v>14</v>
      </c>
      <c r="Q1481" s="18">
        <v>0</v>
      </c>
      <c r="U1481" s="22">
        <v>0.74</v>
      </c>
      <c r="V1481" s="22">
        <f>3.83/5</f>
        <v>0.76600000000000001</v>
      </c>
      <c r="X1481" s="3">
        <v>2</v>
      </c>
      <c r="Z1481" s="23">
        <v>5.5</v>
      </c>
      <c r="AB1481" s="18">
        <f t="shared" si="46"/>
        <v>2019</v>
      </c>
      <c r="AC1481" s="22">
        <f t="shared" si="47"/>
        <v>0.63533333333333342</v>
      </c>
    </row>
    <row r="1482" spans="1:29" ht="25.5">
      <c r="A1482" s="8" t="s">
        <v>1562</v>
      </c>
      <c r="B1482" s="17" t="s">
        <v>7744</v>
      </c>
      <c r="C1482" s="13">
        <v>43606</v>
      </c>
      <c r="D1482" s="13" t="s">
        <v>8465</v>
      </c>
      <c r="E1482" s="10" t="s">
        <v>1047</v>
      </c>
      <c r="F1482" s="10" t="s">
        <v>1048</v>
      </c>
      <c r="G1482" s="11" t="s">
        <v>1563</v>
      </c>
      <c r="H1482" s="2" t="s">
        <v>80</v>
      </c>
      <c r="L1482" s="18">
        <v>1</v>
      </c>
      <c r="M1482" s="14" t="s">
        <v>8462</v>
      </c>
      <c r="N1482" s="13">
        <v>43606</v>
      </c>
      <c r="O1482" s="29">
        <v>37.21</v>
      </c>
      <c r="P1482" s="18" t="s">
        <v>14</v>
      </c>
      <c r="Q1482" s="18">
        <v>0</v>
      </c>
      <c r="U1482" s="22">
        <v>0.6</v>
      </c>
      <c r="V1482" s="22">
        <f>3.59/5</f>
        <v>0.71799999999999997</v>
      </c>
      <c r="X1482" s="3">
        <v>2</v>
      </c>
      <c r="Z1482" s="23">
        <v>16</v>
      </c>
      <c r="AB1482" s="18">
        <f t="shared" si="46"/>
        <v>2019</v>
      </c>
      <c r="AC1482" s="22">
        <f t="shared" si="47"/>
        <v>0.57266666666666666</v>
      </c>
    </row>
    <row r="1483" spans="1:29" ht="30">
      <c r="A1483" s="8" t="s">
        <v>7974</v>
      </c>
      <c r="B1483" s="17" t="s">
        <v>7800</v>
      </c>
      <c r="C1483" s="13">
        <v>43606</v>
      </c>
      <c r="D1483" s="13" t="s">
        <v>8465</v>
      </c>
      <c r="E1483" s="10" t="s">
        <v>1680</v>
      </c>
      <c r="F1483" s="10" t="s">
        <v>1680</v>
      </c>
      <c r="G1483" s="11" t="s">
        <v>1682</v>
      </c>
      <c r="H1483" s="2" t="s">
        <v>21</v>
      </c>
      <c r="L1483" s="18">
        <v>1</v>
      </c>
      <c r="N1483" s="13">
        <v>43761</v>
      </c>
      <c r="O1483" s="29">
        <v>0</v>
      </c>
      <c r="P1483" s="18" t="s">
        <v>1107</v>
      </c>
      <c r="Q1483" s="18">
        <v>0</v>
      </c>
      <c r="U1483" s="22">
        <v>0.55000000000000004</v>
      </c>
      <c r="V1483" s="22">
        <f>2.75/5</f>
        <v>0.55000000000000004</v>
      </c>
      <c r="W1483" s="14" t="s">
        <v>7777</v>
      </c>
      <c r="X1483" s="3">
        <v>2</v>
      </c>
      <c r="Z1483" s="23">
        <v>1</v>
      </c>
      <c r="AB1483" s="18">
        <f t="shared" si="46"/>
        <v>2019</v>
      </c>
      <c r="AC1483" s="22">
        <f t="shared" si="47"/>
        <v>0.5</v>
      </c>
    </row>
    <row r="1484" spans="1:29">
      <c r="A1484" s="8" t="s">
        <v>10200</v>
      </c>
      <c r="B1484" s="17" t="s">
        <v>7800</v>
      </c>
      <c r="C1484" s="13">
        <v>43605</v>
      </c>
      <c r="D1484" s="13" t="s">
        <v>8465</v>
      </c>
      <c r="E1484" s="10" t="s">
        <v>10201</v>
      </c>
      <c r="F1484" s="10" t="s">
        <v>10202</v>
      </c>
      <c r="H1484" s="2" t="s">
        <v>1518</v>
      </c>
      <c r="L1484" s="18">
        <v>1</v>
      </c>
      <c r="N1484" s="13">
        <v>44364</v>
      </c>
      <c r="O1484" s="29">
        <v>0</v>
      </c>
      <c r="P1484" s="18" t="s">
        <v>1107</v>
      </c>
      <c r="Q1484" s="18">
        <v>0</v>
      </c>
      <c r="U1484" s="22">
        <v>0.85</v>
      </c>
      <c r="V1484" s="22">
        <f>3.39/5</f>
        <v>0.67800000000000005</v>
      </c>
      <c r="W1484" s="14" t="s">
        <v>7097</v>
      </c>
      <c r="X1484" s="3">
        <v>2</v>
      </c>
      <c r="Z1484" s="23">
        <v>3.5</v>
      </c>
      <c r="AB1484" s="18">
        <f t="shared" si="46"/>
        <v>2019</v>
      </c>
      <c r="AC1484" s="22">
        <f t="shared" si="47"/>
        <v>0.64266666666666661</v>
      </c>
    </row>
    <row r="1485" spans="1:29" ht="38.25">
      <c r="A1485" s="8" t="s">
        <v>1672</v>
      </c>
      <c r="B1485" s="17" t="s">
        <v>7744</v>
      </c>
      <c r="C1485" s="13">
        <v>43602</v>
      </c>
      <c r="D1485" s="13" t="s">
        <v>8465</v>
      </c>
      <c r="E1485" s="10" t="s">
        <v>1673</v>
      </c>
      <c r="F1485" s="10" t="s">
        <v>1674</v>
      </c>
      <c r="G1485" s="11" t="s">
        <v>1675</v>
      </c>
      <c r="H1485" s="2" t="s">
        <v>80</v>
      </c>
      <c r="L1485" s="18">
        <v>1</v>
      </c>
      <c r="M1485" s="14" t="s">
        <v>8462</v>
      </c>
      <c r="N1485" s="13">
        <v>43602</v>
      </c>
      <c r="O1485" s="29">
        <v>32.54</v>
      </c>
      <c r="P1485" s="18" t="s">
        <v>14</v>
      </c>
      <c r="Q1485" s="18">
        <v>0</v>
      </c>
      <c r="V1485" s="22">
        <f>3.1/5</f>
        <v>0.62</v>
      </c>
      <c r="X1485" s="3">
        <v>2</v>
      </c>
      <c r="Z1485" s="23">
        <f>12+11</f>
        <v>23</v>
      </c>
      <c r="AB1485" s="18">
        <f t="shared" si="46"/>
        <v>2019</v>
      </c>
      <c r="AC1485" s="22">
        <f t="shared" si="47"/>
        <v>0.51</v>
      </c>
    </row>
    <row r="1486" spans="1:29">
      <c r="A1486" s="8" t="s">
        <v>14441</v>
      </c>
      <c r="B1486" s="17" t="s">
        <v>7767</v>
      </c>
      <c r="C1486" s="13">
        <v>43602</v>
      </c>
      <c r="D1486" s="13" t="s">
        <v>8465</v>
      </c>
      <c r="E1486" s="10" t="s">
        <v>14442</v>
      </c>
      <c r="F1486" s="10" t="s">
        <v>14442</v>
      </c>
      <c r="G1486" s="11" t="s">
        <v>14441</v>
      </c>
      <c r="H1486" s="2" t="s">
        <v>78</v>
      </c>
      <c r="L1486" s="18">
        <v>1</v>
      </c>
      <c r="N1486" s="13">
        <v>45039</v>
      </c>
      <c r="O1486" s="29">
        <v>0</v>
      </c>
      <c r="P1486" s="18" t="s">
        <v>1107</v>
      </c>
      <c r="Q1486" s="18">
        <v>0</v>
      </c>
      <c r="W1486" s="14" t="s">
        <v>8765</v>
      </c>
      <c r="X1486" s="3">
        <v>2</v>
      </c>
      <c r="AB1486" s="18">
        <f t="shared" si="46"/>
        <v>2019</v>
      </c>
      <c r="AC1486" s="22">
        <f t="shared" si="47"/>
        <v>0.4</v>
      </c>
    </row>
    <row r="1487" spans="1:29" ht="30">
      <c r="A1487" s="8" t="s">
        <v>8675</v>
      </c>
      <c r="B1487" s="17" t="s">
        <v>7800</v>
      </c>
      <c r="C1487" s="13">
        <v>43601</v>
      </c>
      <c r="D1487" s="13" t="s">
        <v>8465</v>
      </c>
      <c r="E1487" s="10" t="s">
        <v>1680</v>
      </c>
      <c r="F1487" s="10" t="s">
        <v>3861</v>
      </c>
      <c r="G1487" s="11" t="s">
        <v>8675</v>
      </c>
      <c r="H1487" s="2" t="s">
        <v>149</v>
      </c>
      <c r="L1487" s="18">
        <v>1</v>
      </c>
      <c r="N1487" s="13">
        <v>43967</v>
      </c>
      <c r="O1487" s="29">
        <v>11.99</v>
      </c>
      <c r="P1487" s="18" t="s">
        <v>1107</v>
      </c>
      <c r="Q1487" s="18">
        <v>0</v>
      </c>
      <c r="V1487" s="22">
        <f>3.45/5</f>
        <v>0.69000000000000006</v>
      </c>
      <c r="W1487" s="14" t="s">
        <v>7777</v>
      </c>
      <c r="X1487" s="3">
        <v>4</v>
      </c>
      <c r="Z1487" s="23">
        <v>23.5</v>
      </c>
      <c r="AB1487" s="18">
        <f t="shared" si="46"/>
        <v>2019</v>
      </c>
      <c r="AC1487" s="22">
        <f t="shared" si="47"/>
        <v>0.74500000000000011</v>
      </c>
    </row>
    <row r="1488" spans="1:29" ht="30">
      <c r="A1488" s="8" t="s">
        <v>10190</v>
      </c>
      <c r="B1488" s="17" t="s">
        <v>7744</v>
      </c>
      <c r="C1488" s="13">
        <v>43601</v>
      </c>
      <c r="D1488" s="13" t="s">
        <v>8465</v>
      </c>
      <c r="E1488" s="10" t="s">
        <v>72</v>
      </c>
      <c r="F1488" s="10" t="s">
        <v>72</v>
      </c>
      <c r="G1488" s="11" t="s">
        <v>113</v>
      </c>
      <c r="H1488" s="2" t="s">
        <v>6510</v>
      </c>
      <c r="L1488" s="18">
        <v>1</v>
      </c>
      <c r="M1488" s="14" t="s">
        <v>8462</v>
      </c>
      <c r="N1488" s="13">
        <v>44330</v>
      </c>
      <c r="O1488" s="29">
        <v>34.99</v>
      </c>
      <c r="P1488" s="18" t="s">
        <v>14</v>
      </c>
      <c r="Q1488" s="18">
        <v>0</v>
      </c>
      <c r="U1488" s="22">
        <v>0.81</v>
      </c>
      <c r="V1488" s="22">
        <f>4.23/5</f>
        <v>0.84600000000000009</v>
      </c>
      <c r="W1488" s="14" t="s">
        <v>1134</v>
      </c>
      <c r="X1488" s="3">
        <v>2</v>
      </c>
      <c r="Z1488" s="23">
        <v>25</v>
      </c>
      <c r="AB1488" s="18">
        <f t="shared" si="46"/>
        <v>2019</v>
      </c>
      <c r="AC1488" s="22">
        <f t="shared" si="47"/>
        <v>0.68533333333333335</v>
      </c>
    </row>
    <row r="1489" spans="1:29">
      <c r="A1489" s="8" t="s">
        <v>11328</v>
      </c>
      <c r="B1489" s="17" t="s">
        <v>7800</v>
      </c>
      <c r="C1489" s="13">
        <v>43601</v>
      </c>
      <c r="D1489" s="13" t="s">
        <v>8465</v>
      </c>
      <c r="E1489" s="10" t="s">
        <v>11329</v>
      </c>
      <c r="F1489" s="10" t="s">
        <v>11329</v>
      </c>
      <c r="G1489" s="11" t="s">
        <v>11333</v>
      </c>
      <c r="H1489" s="2" t="s">
        <v>1050</v>
      </c>
      <c r="L1489" s="18">
        <v>1</v>
      </c>
      <c r="N1489" s="13">
        <v>44624</v>
      </c>
      <c r="O1489" s="29">
        <v>0</v>
      </c>
      <c r="P1489" s="18" t="s">
        <v>1107</v>
      </c>
      <c r="Q1489" s="18">
        <v>0</v>
      </c>
      <c r="V1489" s="22">
        <f>3.3/5</f>
        <v>0.65999999999999992</v>
      </c>
      <c r="W1489" s="14" t="s">
        <v>7777</v>
      </c>
      <c r="X1489" s="3">
        <v>3</v>
      </c>
      <c r="Z1489" s="23">
        <v>20</v>
      </c>
      <c r="AB1489" s="18">
        <f t="shared" si="46"/>
        <v>2019</v>
      </c>
      <c r="AC1489" s="22">
        <f t="shared" si="47"/>
        <v>0.62999999999999989</v>
      </c>
    </row>
    <row r="1490" spans="1:29" ht="25.5">
      <c r="A1490" s="8" t="s">
        <v>6093</v>
      </c>
      <c r="B1490" s="17" t="s">
        <v>7760</v>
      </c>
      <c r="C1490" s="13">
        <v>43599</v>
      </c>
      <c r="D1490" s="13" t="s">
        <v>8465</v>
      </c>
      <c r="E1490" s="10" t="s">
        <v>3493</v>
      </c>
      <c r="F1490" s="10" t="s">
        <v>6094</v>
      </c>
      <c r="H1490" s="2" t="s">
        <v>80</v>
      </c>
      <c r="L1490" s="18">
        <v>1</v>
      </c>
      <c r="M1490" s="14" t="s">
        <v>8462</v>
      </c>
      <c r="N1490" s="13">
        <v>43599</v>
      </c>
      <c r="O1490" s="29">
        <v>49.99</v>
      </c>
      <c r="P1490" s="18" t="s">
        <v>14</v>
      </c>
      <c r="Q1490" s="18">
        <v>0</v>
      </c>
      <c r="U1490" s="22">
        <v>0.81</v>
      </c>
      <c r="V1490" s="22">
        <f>3.86/5</f>
        <v>0.77200000000000002</v>
      </c>
      <c r="X1490" s="3">
        <v>4</v>
      </c>
      <c r="Z1490" s="23">
        <v>10</v>
      </c>
      <c r="AB1490" s="18">
        <f t="shared" si="46"/>
        <v>2019</v>
      </c>
      <c r="AC1490" s="22">
        <f t="shared" si="47"/>
        <v>0.79400000000000004</v>
      </c>
    </row>
    <row r="1491" spans="1:29">
      <c r="A1491" s="8" t="s">
        <v>1633</v>
      </c>
      <c r="B1491" s="17" t="s">
        <v>7744</v>
      </c>
      <c r="C1491" s="13">
        <v>43599</v>
      </c>
      <c r="D1491" s="13" t="s">
        <v>8465</v>
      </c>
      <c r="E1491" s="10" t="s">
        <v>1634</v>
      </c>
      <c r="F1491" s="10" t="s">
        <v>1635</v>
      </c>
      <c r="H1491" s="2" t="s">
        <v>1334</v>
      </c>
      <c r="L1491" s="18">
        <v>1</v>
      </c>
      <c r="M1491" s="14" t="s">
        <v>8462</v>
      </c>
      <c r="N1491" s="13">
        <v>43599</v>
      </c>
      <c r="O1491" s="29">
        <v>43.39</v>
      </c>
      <c r="P1491" s="18" t="s">
        <v>14</v>
      </c>
      <c r="Q1491" s="18">
        <v>0</v>
      </c>
      <c r="U1491" s="22">
        <v>0.72</v>
      </c>
      <c r="V1491" s="22">
        <f>3.6/5</f>
        <v>0.72</v>
      </c>
      <c r="X1491" s="3">
        <v>2</v>
      </c>
      <c r="Z1491" s="23">
        <v>64.5</v>
      </c>
      <c r="AB1491" s="18">
        <f t="shared" si="46"/>
        <v>2019</v>
      </c>
      <c r="AC1491" s="22">
        <f t="shared" si="47"/>
        <v>0.61333333333333329</v>
      </c>
    </row>
    <row r="1492" spans="1:29">
      <c r="A1492" s="8" t="s">
        <v>6155</v>
      </c>
      <c r="B1492" s="17" t="s">
        <v>7760</v>
      </c>
      <c r="C1492" s="13">
        <v>43599</v>
      </c>
      <c r="D1492" s="13" t="s">
        <v>8465</v>
      </c>
      <c r="E1492" s="10" t="s">
        <v>1690</v>
      </c>
      <c r="F1492" s="10" t="s">
        <v>4216</v>
      </c>
      <c r="G1492" s="11" t="s">
        <v>4778</v>
      </c>
      <c r="H1492" s="2" t="s">
        <v>1050</v>
      </c>
      <c r="L1492" s="18">
        <v>1</v>
      </c>
      <c r="M1492" s="14" t="s">
        <v>8462</v>
      </c>
      <c r="N1492" s="13">
        <v>43599</v>
      </c>
      <c r="O1492" s="29">
        <v>65.09</v>
      </c>
      <c r="P1492" s="18" t="s">
        <v>14</v>
      </c>
      <c r="Q1492" s="18">
        <v>0</v>
      </c>
      <c r="U1492" s="22">
        <v>0.66</v>
      </c>
      <c r="V1492" s="22">
        <f>3.35/5</f>
        <v>0.67</v>
      </c>
      <c r="X1492" s="3">
        <v>3</v>
      </c>
      <c r="Z1492" s="23">
        <v>10</v>
      </c>
      <c r="AB1492" s="18">
        <f t="shared" si="46"/>
        <v>2019</v>
      </c>
      <c r="AC1492" s="22">
        <f t="shared" si="47"/>
        <v>0.64333333333333342</v>
      </c>
    </row>
    <row r="1493" spans="1:29" ht="25.5">
      <c r="A1493" s="8" t="s">
        <v>14796</v>
      </c>
      <c r="B1493" s="17" t="s">
        <v>7800</v>
      </c>
      <c r="C1493" s="13">
        <v>43598</v>
      </c>
      <c r="D1493" s="13" t="s">
        <v>8465</v>
      </c>
      <c r="E1493" s="10" t="s">
        <v>14797</v>
      </c>
      <c r="F1493" s="10" t="s">
        <v>14797</v>
      </c>
      <c r="G1493" s="11" t="s">
        <v>14798</v>
      </c>
      <c r="H1493" s="2" t="s">
        <v>149</v>
      </c>
      <c r="L1493" s="18">
        <v>1</v>
      </c>
      <c r="N1493" s="13">
        <v>45065</v>
      </c>
      <c r="O1493" s="29">
        <v>0</v>
      </c>
      <c r="P1493" s="18" t="s">
        <v>1107</v>
      </c>
      <c r="Q1493" s="18">
        <v>0</v>
      </c>
      <c r="V1493" s="22">
        <f>3/5</f>
        <v>0.6</v>
      </c>
      <c r="W1493" s="14" t="s">
        <v>7777</v>
      </c>
      <c r="X1493" s="3">
        <v>3</v>
      </c>
      <c r="Z1493" s="23">
        <v>3</v>
      </c>
      <c r="AB1493" s="18">
        <f t="shared" si="46"/>
        <v>2019</v>
      </c>
      <c r="AC1493" s="22">
        <f t="shared" si="47"/>
        <v>0.6</v>
      </c>
    </row>
    <row r="1494" spans="1:29" ht="25.5">
      <c r="A1494" s="8" t="s">
        <v>1654</v>
      </c>
      <c r="B1494" s="17" t="s">
        <v>7744</v>
      </c>
      <c r="C1494" s="13">
        <v>43595</v>
      </c>
      <c r="D1494" s="13" t="s">
        <v>8465</v>
      </c>
      <c r="E1494" s="10" t="s">
        <v>1163</v>
      </c>
      <c r="F1494" s="10" t="s">
        <v>1655</v>
      </c>
      <c r="G1494" s="11" t="s">
        <v>1656</v>
      </c>
      <c r="H1494" s="2" t="s">
        <v>80</v>
      </c>
      <c r="L1494" s="18">
        <v>1</v>
      </c>
      <c r="M1494" s="14" t="s">
        <v>8462</v>
      </c>
      <c r="N1494" s="13">
        <v>43595</v>
      </c>
      <c r="O1494" s="29">
        <v>40.369999999999997</v>
      </c>
      <c r="P1494" s="18" t="s">
        <v>14</v>
      </c>
      <c r="Q1494" s="18">
        <v>0</v>
      </c>
      <c r="U1494" s="22">
        <v>0.73</v>
      </c>
      <c r="V1494" s="22">
        <f>3.99/5</f>
        <v>0.79800000000000004</v>
      </c>
      <c r="X1494" s="3">
        <v>2</v>
      </c>
      <c r="Z1494" s="23">
        <v>15.5</v>
      </c>
      <c r="AB1494" s="18">
        <f t="shared" si="46"/>
        <v>2019</v>
      </c>
      <c r="AC1494" s="22">
        <f t="shared" si="47"/>
        <v>0.64266666666666661</v>
      </c>
    </row>
    <row r="1495" spans="1:29">
      <c r="A1495" s="8" t="s">
        <v>8777</v>
      </c>
      <c r="B1495" s="17" t="s">
        <v>7800</v>
      </c>
      <c r="C1495" s="13">
        <v>43594</v>
      </c>
      <c r="D1495" s="13" t="s">
        <v>8465</v>
      </c>
      <c r="E1495" s="10" t="s">
        <v>5251</v>
      </c>
      <c r="F1495" s="10" t="s">
        <v>5251</v>
      </c>
      <c r="H1495" s="2" t="s">
        <v>67</v>
      </c>
      <c r="L1495" s="18">
        <v>1</v>
      </c>
      <c r="N1495" s="13">
        <v>43987</v>
      </c>
      <c r="O1495" s="29">
        <v>0.62</v>
      </c>
      <c r="P1495" s="18" t="s">
        <v>1107</v>
      </c>
      <c r="Q1495" s="18">
        <v>0</v>
      </c>
      <c r="U1495" s="22">
        <v>0.74</v>
      </c>
      <c r="V1495" s="22">
        <f>3.18/5</f>
        <v>0.63600000000000001</v>
      </c>
      <c r="W1495" s="14" t="s">
        <v>8765</v>
      </c>
      <c r="X1495" s="3">
        <v>2</v>
      </c>
      <c r="Z1495" s="23">
        <v>6</v>
      </c>
      <c r="AB1495" s="18">
        <f t="shared" si="46"/>
        <v>2019</v>
      </c>
      <c r="AC1495" s="22">
        <f t="shared" si="47"/>
        <v>0.59199999999999997</v>
      </c>
    </row>
    <row r="1496" spans="1:29">
      <c r="A1496" s="8" t="s">
        <v>6285</v>
      </c>
      <c r="B1496" s="17" t="s">
        <v>7763</v>
      </c>
      <c r="C1496" s="13">
        <v>43592</v>
      </c>
      <c r="D1496" s="13" t="s">
        <v>8465</v>
      </c>
      <c r="E1496" s="10" t="s">
        <v>4818</v>
      </c>
      <c r="F1496" s="10" t="s">
        <v>4818</v>
      </c>
      <c r="H1496" s="2" t="s">
        <v>80</v>
      </c>
      <c r="L1496" s="18">
        <v>1</v>
      </c>
      <c r="M1496" s="14" t="s">
        <v>8462</v>
      </c>
      <c r="N1496" s="13">
        <v>43592</v>
      </c>
      <c r="O1496" s="29">
        <v>33.83</v>
      </c>
      <c r="P1496" s="18" t="s">
        <v>14</v>
      </c>
      <c r="Q1496" s="18">
        <v>0</v>
      </c>
      <c r="U1496" s="22">
        <v>0.8</v>
      </c>
      <c r="V1496" s="22">
        <f>4.09/5</f>
        <v>0.81799999999999995</v>
      </c>
      <c r="X1496" s="3">
        <v>3</v>
      </c>
      <c r="Z1496" s="23">
        <v>6</v>
      </c>
      <c r="AB1496" s="18">
        <f t="shared" si="46"/>
        <v>2019</v>
      </c>
      <c r="AC1496" s="22">
        <f t="shared" si="47"/>
        <v>0.73933333333333329</v>
      </c>
    </row>
    <row r="1497" spans="1:29">
      <c r="A1497" s="8" t="s">
        <v>12455</v>
      </c>
      <c r="B1497" s="17" t="s">
        <v>7800</v>
      </c>
      <c r="C1497" s="13">
        <v>43592</v>
      </c>
      <c r="D1497" s="13" t="s">
        <v>8465</v>
      </c>
      <c r="E1497" s="10" t="s">
        <v>8659</v>
      </c>
      <c r="F1497" s="10" t="s">
        <v>12456</v>
      </c>
      <c r="H1497" s="2" t="s">
        <v>150</v>
      </c>
      <c r="L1497" s="18">
        <v>1</v>
      </c>
      <c r="N1497" s="13">
        <v>44810</v>
      </c>
      <c r="O1497" s="29">
        <v>0</v>
      </c>
      <c r="P1497" s="18" t="s">
        <v>1107</v>
      </c>
      <c r="Q1497" s="18">
        <v>0</v>
      </c>
      <c r="U1497" s="22">
        <v>0.78</v>
      </c>
      <c r="V1497" s="22">
        <f>3.15/5</f>
        <v>0.63</v>
      </c>
      <c r="W1497" s="14" t="s">
        <v>7777</v>
      </c>
      <c r="X1497" s="3">
        <v>2</v>
      </c>
      <c r="Z1497" s="23">
        <v>4.5</v>
      </c>
      <c r="AB1497" s="18">
        <f t="shared" si="46"/>
        <v>2019</v>
      </c>
      <c r="AC1497" s="22">
        <f t="shared" si="47"/>
        <v>0.60333333333333339</v>
      </c>
    </row>
    <row r="1498" spans="1:29" ht="30">
      <c r="A1498" s="8" t="s">
        <v>14118</v>
      </c>
      <c r="B1498" s="17" t="s">
        <v>7800</v>
      </c>
      <c r="C1498" s="13">
        <v>43591</v>
      </c>
      <c r="D1498" s="13" t="s">
        <v>8465</v>
      </c>
      <c r="E1498" s="10" t="s">
        <v>14119</v>
      </c>
      <c r="F1498" s="10" t="s">
        <v>14120</v>
      </c>
      <c r="H1498" s="2" t="s">
        <v>149</v>
      </c>
      <c r="L1498" s="18">
        <v>1</v>
      </c>
      <c r="O1498" s="29">
        <v>0</v>
      </c>
      <c r="P1498" s="18" t="s">
        <v>1107</v>
      </c>
      <c r="Q1498" s="18">
        <v>0</v>
      </c>
      <c r="W1498" s="14" t="s">
        <v>8765</v>
      </c>
      <c r="X1498" s="3">
        <v>2</v>
      </c>
      <c r="AB1498" s="18">
        <f t="shared" si="46"/>
        <v>2019</v>
      </c>
      <c r="AC1498" s="22">
        <f t="shared" si="47"/>
        <v>0.4</v>
      </c>
    </row>
    <row r="1499" spans="1:29">
      <c r="A1499" s="8" t="s">
        <v>8562</v>
      </c>
      <c r="B1499" s="17" t="s">
        <v>7800</v>
      </c>
      <c r="C1499" s="13">
        <v>43587</v>
      </c>
      <c r="D1499" s="13" t="s">
        <v>8465</v>
      </c>
      <c r="E1499" s="10" t="s">
        <v>1714</v>
      </c>
      <c r="F1499" s="10" t="s">
        <v>5150</v>
      </c>
      <c r="H1499" s="2" t="s">
        <v>1061</v>
      </c>
      <c r="L1499" s="18">
        <v>1</v>
      </c>
      <c r="N1499" s="13">
        <v>43930</v>
      </c>
      <c r="O1499" s="29">
        <v>0</v>
      </c>
      <c r="P1499" s="18" t="s">
        <v>1107</v>
      </c>
      <c r="Q1499" s="18">
        <v>0</v>
      </c>
      <c r="U1499" s="22">
        <v>0.65</v>
      </c>
      <c r="V1499" s="22">
        <f>3.02/5</f>
        <v>0.60399999999999998</v>
      </c>
      <c r="W1499" s="14" t="s">
        <v>7097</v>
      </c>
      <c r="X1499" s="3">
        <v>3</v>
      </c>
      <c r="Z1499" s="23">
        <v>4</v>
      </c>
      <c r="AB1499" s="18">
        <f t="shared" si="46"/>
        <v>2019</v>
      </c>
      <c r="AC1499" s="22">
        <f t="shared" si="47"/>
        <v>0.61799999999999999</v>
      </c>
    </row>
    <row r="1500" spans="1:29" ht="30">
      <c r="A1500" s="8" t="s">
        <v>1600</v>
      </c>
      <c r="B1500" s="17" t="s">
        <v>7744</v>
      </c>
      <c r="C1500" s="13">
        <v>43587</v>
      </c>
      <c r="D1500" s="13" t="s">
        <v>8465</v>
      </c>
      <c r="E1500" s="10" t="s">
        <v>1601</v>
      </c>
      <c r="F1500" s="10" t="s">
        <v>1354</v>
      </c>
      <c r="G1500" s="11" t="s">
        <v>1602</v>
      </c>
      <c r="H1500" s="2" t="s">
        <v>56</v>
      </c>
      <c r="L1500" s="18">
        <v>1</v>
      </c>
      <c r="M1500" s="14" t="s">
        <v>8462</v>
      </c>
      <c r="N1500" s="13">
        <v>43652</v>
      </c>
      <c r="O1500" s="29">
        <v>37.72</v>
      </c>
      <c r="P1500" s="18" t="s">
        <v>14</v>
      </c>
      <c r="Q1500" s="18">
        <v>0</v>
      </c>
      <c r="U1500" s="22">
        <v>0.68</v>
      </c>
      <c r="V1500" s="22">
        <f>3.83/5</f>
        <v>0.76600000000000001</v>
      </c>
      <c r="W1500" s="14" t="s">
        <v>1134</v>
      </c>
      <c r="X1500" s="3">
        <v>2</v>
      </c>
      <c r="Z1500" s="23">
        <v>11</v>
      </c>
      <c r="AB1500" s="18">
        <f t="shared" si="46"/>
        <v>2019</v>
      </c>
      <c r="AC1500" s="22">
        <f t="shared" si="47"/>
        <v>0.6153333333333334</v>
      </c>
    </row>
    <row r="1501" spans="1:29">
      <c r="A1501" s="8" t="s">
        <v>14180</v>
      </c>
      <c r="B1501" s="17" t="s">
        <v>7734</v>
      </c>
      <c r="C1501" s="13">
        <v>43586</v>
      </c>
      <c r="D1501" s="13" t="s">
        <v>8465</v>
      </c>
      <c r="E1501" s="10" t="s">
        <v>14181</v>
      </c>
      <c r="F1501" s="10" t="s">
        <v>14181</v>
      </c>
      <c r="H1501" s="2" t="s">
        <v>56</v>
      </c>
      <c r="L1501" s="18">
        <v>1</v>
      </c>
      <c r="O1501" s="29">
        <v>0</v>
      </c>
      <c r="P1501" s="18" t="s">
        <v>1107</v>
      </c>
      <c r="Q1501" s="18">
        <v>0</v>
      </c>
      <c r="V1501" s="22">
        <f>3.8/5</f>
        <v>0.76</v>
      </c>
      <c r="W1501" s="14" t="s">
        <v>8765</v>
      </c>
      <c r="X1501" s="3">
        <v>2</v>
      </c>
      <c r="Z1501" s="23">
        <f>30/60</f>
        <v>0.5</v>
      </c>
      <c r="AB1501" s="18">
        <f t="shared" si="46"/>
        <v>2019</v>
      </c>
      <c r="AC1501" s="22">
        <f t="shared" si="47"/>
        <v>0.58000000000000007</v>
      </c>
    </row>
    <row r="1502" spans="1:29" ht="25.5">
      <c r="A1502" s="8" t="s">
        <v>8480</v>
      </c>
      <c r="B1502" s="17" t="s">
        <v>7800</v>
      </c>
      <c r="C1502" s="13">
        <v>43585</v>
      </c>
      <c r="D1502" s="13" t="s">
        <v>8465</v>
      </c>
      <c r="E1502" s="10" t="s">
        <v>4514</v>
      </c>
      <c r="F1502" s="10" t="s">
        <v>8481</v>
      </c>
      <c r="H1502" s="2" t="s">
        <v>75</v>
      </c>
      <c r="L1502" s="18">
        <v>1</v>
      </c>
      <c r="N1502" s="13">
        <v>43896</v>
      </c>
      <c r="O1502" s="29">
        <v>0</v>
      </c>
      <c r="P1502" s="18" t="s">
        <v>1107</v>
      </c>
      <c r="Q1502" s="18">
        <v>0</v>
      </c>
      <c r="U1502" s="22">
        <v>0.82</v>
      </c>
      <c r="V1502" s="22">
        <f>3.86/5</f>
        <v>0.77200000000000002</v>
      </c>
      <c r="W1502" s="14" t="s">
        <v>7777</v>
      </c>
      <c r="X1502" s="3">
        <v>3</v>
      </c>
      <c r="Z1502" s="23">
        <v>37.5</v>
      </c>
      <c r="AB1502" s="18">
        <f t="shared" si="46"/>
        <v>2019</v>
      </c>
      <c r="AC1502" s="22">
        <f t="shared" si="47"/>
        <v>0.73066666666666669</v>
      </c>
    </row>
    <row r="1503" spans="1:29">
      <c r="A1503" s="8" t="s">
        <v>9542</v>
      </c>
      <c r="B1503" s="17" t="s">
        <v>7800</v>
      </c>
      <c r="C1503" s="13">
        <v>43584</v>
      </c>
      <c r="D1503" s="13" t="s">
        <v>8465</v>
      </c>
      <c r="E1503" s="10" t="s">
        <v>9543</v>
      </c>
      <c r="F1503" s="10" t="s">
        <v>9544</v>
      </c>
      <c r="H1503" s="2" t="s">
        <v>67</v>
      </c>
      <c r="L1503" s="18">
        <v>1</v>
      </c>
      <c r="N1503" s="13">
        <v>44197</v>
      </c>
      <c r="O1503" s="29">
        <v>0</v>
      </c>
      <c r="P1503" s="18" t="s">
        <v>1107</v>
      </c>
      <c r="Q1503" s="18">
        <v>0</v>
      </c>
      <c r="U1503" s="22">
        <v>0.62</v>
      </c>
      <c r="V1503" s="22">
        <f>3.09/5</f>
        <v>0.61799999999999999</v>
      </c>
      <c r="W1503" s="14" t="s">
        <v>7777</v>
      </c>
      <c r="X1503" s="3">
        <v>2</v>
      </c>
      <c r="Z1503" s="23">
        <v>9.5</v>
      </c>
      <c r="AB1503" s="18">
        <f t="shared" si="46"/>
        <v>2019</v>
      </c>
      <c r="AC1503" s="22">
        <f t="shared" si="47"/>
        <v>0.54599999999999993</v>
      </c>
    </row>
    <row r="1504" spans="1:29" ht="30">
      <c r="A1504" s="8" t="s">
        <v>6106</v>
      </c>
      <c r="B1504" s="17" t="s">
        <v>7760</v>
      </c>
      <c r="C1504" s="13">
        <v>43581</v>
      </c>
      <c r="D1504" s="13" t="s">
        <v>8465</v>
      </c>
      <c r="E1504" s="10" t="s">
        <v>6107</v>
      </c>
      <c r="F1504" s="10" t="s">
        <v>6108</v>
      </c>
      <c r="H1504" s="2" t="s">
        <v>1061</v>
      </c>
      <c r="L1504" s="18">
        <v>1</v>
      </c>
      <c r="M1504" s="14" t="s">
        <v>8462</v>
      </c>
      <c r="N1504" s="13">
        <v>43581</v>
      </c>
      <c r="O1504" s="29">
        <v>59.99</v>
      </c>
      <c r="P1504" s="18" t="s">
        <v>14</v>
      </c>
      <c r="Q1504" s="18">
        <v>0</v>
      </c>
      <c r="U1504" s="22">
        <v>0.71</v>
      </c>
      <c r="V1504" s="22">
        <f>3.81/5</f>
        <v>0.76200000000000001</v>
      </c>
      <c r="X1504" s="3">
        <v>4</v>
      </c>
      <c r="Z1504" s="23">
        <v>36</v>
      </c>
      <c r="AB1504" s="18">
        <f t="shared" si="46"/>
        <v>2019</v>
      </c>
      <c r="AC1504" s="22">
        <f t="shared" si="47"/>
        <v>0.75733333333333341</v>
      </c>
    </row>
    <row r="1505" spans="1:29" ht="30">
      <c r="A1505" s="8" t="s">
        <v>13808</v>
      </c>
      <c r="B1505" s="17" t="s">
        <v>7800</v>
      </c>
      <c r="C1505" s="13">
        <v>43581</v>
      </c>
      <c r="D1505" s="13" t="s">
        <v>8465</v>
      </c>
      <c r="E1505" s="10" t="s">
        <v>5290</v>
      </c>
      <c r="F1505" s="10" t="s">
        <v>5291</v>
      </c>
      <c r="G1505" s="11" t="s">
        <v>13809</v>
      </c>
      <c r="H1505" s="2" t="s">
        <v>67</v>
      </c>
      <c r="L1505" s="18">
        <v>1</v>
      </c>
      <c r="N1505" s="13">
        <v>45005</v>
      </c>
      <c r="O1505" s="29">
        <v>0</v>
      </c>
      <c r="P1505" s="18" t="s">
        <v>1107</v>
      </c>
      <c r="Q1505" s="18">
        <v>0</v>
      </c>
      <c r="V1505" s="22">
        <f>3.3/5</f>
        <v>0.65999999999999992</v>
      </c>
      <c r="W1505" s="14" t="s">
        <v>7778</v>
      </c>
      <c r="X1505" s="3">
        <v>2</v>
      </c>
      <c r="Z1505" s="23">
        <v>5.5</v>
      </c>
      <c r="AB1505" s="18">
        <f t="shared" si="46"/>
        <v>2019</v>
      </c>
      <c r="AC1505" s="22">
        <f t="shared" si="47"/>
        <v>0.53</v>
      </c>
    </row>
    <row r="1506" spans="1:29" ht="25.5">
      <c r="A1506" s="8" t="s">
        <v>8330</v>
      </c>
      <c r="B1506" s="17" t="s">
        <v>7744</v>
      </c>
      <c r="C1506" s="13">
        <v>43580</v>
      </c>
      <c r="D1506" s="13" t="s">
        <v>8467</v>
      </c>
      <c r="E1506" s="10" t="s">
        <v>8331</v>
      </c>
      <c r="F1506" s="10" t="s">
        <v>2480</v>
      </c>
      <c r="G1506" s="11" t="s">
        <v>2481</v>
      </c>
      <c r="H1506" s="2" t="s">
        <v>149</v>
      </c>
      <c r="L1506" s="18">
        <v>1</v>
      </c>
      <c r="M1506" s="14" t="s">
        <v>8462</v>
      </c>
      <c r="N1506" s="13">
        <v>43865</v>
      </c>
      <c r="O1506" s="29">
        <v>46.01</v>
      </c>
      <c r="P1506" s="18" t="s">
        <v>14</v>
      </c>
      <c r="Q1506" s="18">
        <v>0</v>
      </c>
      <c r="U1506" s="22">
        <v>0.8</v>
      </c>
      <c r="V1506" s="22">
        <f>3.78/5</f>
        <v>0.75600000000000001</v>
      </c>
      <c r="W1506" s="14" t="s">
        <v>1739</v>
      </c>
      <c r="X1506" s="3">
        <v>4</v>
      </c>
      <c r="Z1506" s="23">
        <v>14</v>
      </c>
      <c r="AB1506" s="18">
        <f t="shared" si="46"/>
        <v>2019</v>
      </c>
      <c r="AC1506" s="22">
        <f t="shared" si="47"/>
        <v>0.78533333333333333</v>
      </c>
    </row>
    <row r="1507" spans="1:29">
      <c r="A1507" s="8" t="s">
        <v>11965</v>
      </c>
      <c r="B1507" s="17" t="s">
        <v>7744</v>
      </c>
      <c r="C1507" s="13">
        <v>43580</v>
      </c>
      <c r="D1507" s="13" t="s">
        <v>8465</v>
      </c>
      <c r="E1507" s="10" t="s">
        <v>1794</v>
      </c>
      <c r="F1507" s="10" t="s">
        <v>1794</v>
      </c>
      <c r="G1507" s="11" t="s">
        <v>10286</v>
      </c>
      <c r="H1507" s="2" t="s">
        <v>78</v>
      </c>
      <c r="L1507" s="18">
        <v>1</v>
      </c>
      <c r="N1507" s="13">
        <v>44723</v>
      </c>
      <c r="O1507" s="29">
        <v>6.99</v>
      </c>
      <c r="P1507" s="18" t="s">
        <v>1107</v>
      </c>
      <c r="Q1507" s="18">
        <v>0</v>
      </c>
      <c r="U1507" s="22">
        <v>0.78</v>
      </c>
      <c r="V1507" s="22">
        <f>4.1/5</f>
        <v>0.82</v>
      </c>
      <c r="X1507" s="3">
        <v>3</v>
      </c>
      <c r="Z1507" s="23">
        <v>21.5</v>
      </c>
      <c r="AB1507" s="18">
        <f t="shared" si="46"/>
        <v>2019</v>
      </c>
      <c r="AC1507" s="22">
        <f t="shared" si="47"/>
        <v>0.73333333333333339</v>
      </c>
    </row>
    <row r="1508" spans="1:29">
      <c r="A1508" s="8" t="s">
        <v>10077</v>
      </c>
      <c r="B1508" s="17" t="s">
        <v>7744</v>
      </c>
      <c r="C1508" s="13">
        <v>43580</v>
      </c>
      <c r="D1508" s="13" t="s">
        <v>8467</v>
      </c>
      <c r="E1508" s="10" t="s">
        <v>7877</v>
      </c>
      <c r="F1508" s="10" t="s">
        <v>3899</v>
      </c>
      <c r="H1508" s="2" t="s">
        <v>171</v>
      </c>
      <c r="L1508" s="18">
        <v>1</v>
      </c>
      <c r="M1508" s="14" t="s">
        <v>8462</v>
      </c>
      <c r="N1508" s="13">
        <v>44297</v>
      </c>
      <c r="O1508" s="29">
        <v>40.56</v>
      </c>
      <c r="P1508" s="18" t="s">
        <v>14</v>
      </c>
      <c r="Q1508" s="18">
        <v>0</v>
      </c>
      <c r="U1508" s="22">
        <v>0.79</v>
      </c>
      <c r="V1508" s="22">
        <f>3.85/5</f>
        <v>0.77</v>
      </c>
      <c r="X1508" s="3">
        <v>3</v>
      </c>
      <c r="Z1508" s="23">
        <v>7.5</v>
      </c>
      <c r="AB1508" s="18">
        <f t="shared" si="46"/>
        <v>2019</v>
      </c>
      <c r="AC1508" s="22">
        <f t="shared" si="47"/>
        <v>0.72000000000000008</v>
      </c>
    </row>
    <row r="1509" spans="1:29">
      <c r="A1509" s="9" t="s">
        <v>8981</v>
      </c>
      <c r="B1509" s="17" t="s">
        <v>7800</v>
      </c>
      <c r="C1509" s="13">
        <v>43580</v>
      </c>
      <c r="D1509" s="13" t="s">
        <v>8465</v>
      </c>
      <c r="E1509" s="10" t="s">
        <v>8982</v>
      </c>
      <c r="F1509" s="10" t="s">
        <v>8983</v>
      </c>
      <c r="H1509" s="2" t="s">
        <v>171</v>
      </c>
      <c r="L1509" s="18">
        <v>1</v>
      </c>
      <c r="N1509" s="13">
        <v>44013</v>
      </c>
      <c r="O1509" s="29">
        <v>0</v>
      </c>
      <c r="P1509" s="18" t="s">
        <v>1107</v>
      </c>
      <c r="Q1509" s="18">
        <v>0</v>
      </c>
      <c r="U1509" s="22">
        <v>0.72</v>
      </c>
      <c r="V1509" s="22">
        <f>3.07/5</f>
        <v>0.61399999999999999</v>
      </c>
      <c r="W1509" s="14" t="s">
        <v>7777</v>
      </c>
      <c r="X1509" s="3">
        <v>3</v>
      </c>
      <c r="Z1509" s="23">
        <v>15.5</v>
      </c>
      <c r="AB1509" s="18">
        <f t="shared" si="46"/>
        <v>2019</v>
      </c>
      <c r="AC1509" s="22">
        <f t="shared" si="47"/>
        <v>0.64466666666666672</v>
      </c>
    </row>
    <row r="1510" spans="1:29">
      <c r="A1510" s="8" t="s">
        <v>8993</v>
      </c>
      <c r="B1510" s="17" t="s">
        <v>7800</v>
      </c>
      <c r="C1510" s="13">
        <v>43580</v>
      </c>
      <c r="D1510" s="13" t="s">
        <v>8465</v>
      </c>
      <c r="E1510" s="10" t="s">
        <v>4508</v>
      </c>
      <c r="F1510" s="10" t="s">
        <v>8995</v>
      </c>
      <c r="H1510" s="2" t="s">
        <v>67</v>
      </c>
      <c r="L1510" s="18">
        <v>1</v>
      </c>
      <c r="N1510" s="13">
        <v>44015</v>
      </c>
      <c r="O1510" s="29">
        <v>0</v>
      </c>
      <c r="P1510" s="18" t="s">
        <v>1107</v>
      </c>
      <c r="Q1510" s="18">
        <v>0</v>
      </c>
      <c r="U1510" s="22">
        <v>0.81</v>
      </c>
      <c r="V1510" s="22">
        <f>4.08/5</f>
        <v>0.81600000000000006</v>
      </c>
      <c r="W1510" s="14" t="s">
        <v>7777</v>
      </c>
      <c r="X1510" s="3">
        <v>2</v>
      </c>
      <c r="Z1510" s="23">
        <v>7.5</v>
      </c>
      <c r="AB1510" s="18">
        <f t="shared" si="46"/>
        <v>2019</v>
      </c>
      <c r="AC1510" s="22">
        <f t="shared" si="47"/>
        <v>0.67533333333333345</v>
      </c>
    </row>
    <row r="1511" spans="1:29" ht="25.5">
      <c r="A1511" s="8" t="s">
        <v>1593</v>
      </c>
      <c r="B1511" s="17" t="s">
        <v>7744</v>
      </c>
      <c r="C1511" s="13">
        <v>43578</v>
      </c>
      <c r="D1511" s="13" t="s">
        <v>8465</v>
      </c>
      <c r="E1511" s="10" t="s">
        <v>73</v>
      </c>
      <c r="F1511" s="10" t="s">
        <v>73</v>
      </c>
      <c r="G1511" s="11" t="s">
        <v>1594</v>
      </c>
      <c r="H1511" s="2" t="s">
        <v>171</v>
      </c>
      <c r="L1511" s="18">
        <v>1</v>
      </c>
      <c r="M1511" s="14" t="s">
        <v>8462</v>
      </c>
      <c r="N1511" s="13">
        <v>43578</v>
      </c>
      <c r="O1511" s="29">
        <v>30.29</v>
      </c>
      <c r="P1511" s="18" t="s">
        <v>14</v>
      </c>
      <c r="Q1511" s="18">
        <v>0</v>
      </c>
      <c r="U1511" s="22">
        <v>0.8</v>
      </c>
      <c r="V1511" s="22">
        <f>4.25/5</f>
        <v>0.85</v>
      </c>
      <c r="X1511" s="3">
        <v>4</v>
      </c>
      <c r="Z1511" s="23">
        <v>36.5</v>
      </c>
      <c r="AB1511" s="18">
        <f t="shared" si="46"/>
        <v>2019</v>
      </c>
      <c r="AC1511" s="22">
        <f t="shared" si="47"/>
        <v>0.81666666666666676</v>
      </c>
    </row>
    <row r="1512" spans="1:29" ht="45">
      <c r="A1512" s="8" t="s">
        <v>1631</v>
      </c>
      <c r="B1512" s="17" t="s">
        <v>7744</v>
      </c>
      <c r="C1512" s="13">
        <v>43578</v>
      </c>
      <c r="D1512" s="13" t="s">
        <v>8465</v>
      </c>
      <c r="E1512" s="10" t="s">
        <v>1156</v>
      </c>
      <c r="F1512" s="10" t="s">
        <v>1632</v>
      </c>
      <c r="G1512" s="11" t="s">
        <v>17</v>
      </c>
      <c r="H1512" s="2" t="s">
        <v>459</v>
      </c>
      <c r="L1512" s="18">
        <v>1</v>
      </c>
      <c r="M1512" s="14" t="s">
        <v>8462</v>
      </c>
      <c r="N1512" s="13">
        <v>43578</v>
      </c>
      <c r="O1512" s="29">
        <v>65.09</v>
      </c>
      <c r="P1512" s="18" t="s">
        <v>14</v>
      </c>
      <c r="Q1512" s="18">
        <v>0</v>
      </c>
      <c r="U1512" s="22">
        <v>0.73</v>
      </c>
      <c r="V1512" s="22">
        <f>3.62/5</f>
        <v>0.72399999999999998</v>
      </c>
      <c r="X1512" s="3">
        <v>3</v>
      </c>
      <c r="Z1512" s="23">
        <v>6</v>
      </c>
      <c r="AB1512" s="18">
        <f t="shared" si="46"/>
        <v>2019</v>
      </c>
      <c r="AC1512" s="22">
        <f t="shared" si="47"/>
        <v>0.68466666666666665</v>
      </c>
    </row>
    <row r="1513" spans="1:29">
      <c r="A1513" s="8" t="s">
        <v>3390</v>
      </c>
      <c r="B1513" s="17" t="s">
        <v>7800</v>
      </c>
      <c r="C1513" s="13">
        <v>43574</v>
      </c>
      <c r="D1513" s="13" t="s">
        <v>8465</v>
      </c>
      <c r="E1513" s="10" t="s">
        <v>3391</v>
      </c>
      <c r="F1513" s="10" t="s">
        <v>3391</v>
      </c>
      <c r="H1513" s="2" t="s">
        <v>67</v>
      </c>
      <c r="L1513" s="18">
        <v>1</v>
      </c>
      <c r="N1513" s="13">
        <v>43600</v>
      </c>
      <c r="O1513" s="29">
        <v>0</v>
      </c>
      <c r="P1513" s="18" t="s">
        <v>1107</v>
      </c>
      <c r="Q1513" s="18">
        <v>0</v>
      </c>
      <c r="V1513" s="22">
        <f>3.25/5</f>
        <v>0.65</v>
      </c>
      <c r="W1513" s="14" t="s">
        <v>7777</v>
      </c>
      <c r="X1513" s="3">
        <v>2</v>
      </c>
      <c r="Z1513" s="23">
        <v>0.7</v>
      </c>
      <c r="AB1513" s="18">
        <f t="shared" si="46"/>
        <v>2019</v>
      </c>
      <c r="AC1513" s="22">
        <f t="shared" si="47"/>
        <v>0.52500000000000002</v>
      </c>
    </row>
    <row r="1514" spans="1:29">
      <c r="A1514" s="8" t="s">
        <v>3533</v>
      </c>
      <c r="B1514" s="17" t="s">
        <v>7744</v>
      </c>
      <c r="C1514" s="13">
        <v>43573</v>
      </c>
      <c r="D1514" s="13" t="s">
        <v>8465</v>
      </c>
      <c r="E1514" s="10" t="s">
        <v>3534</v>
      </c>
      <c r="F1514" s="10" t="s">
        <v>3534</v>
      </c>
      <c r="G1514" s="11" t="s">
        <v>3533</v>
      </c>
      <c r="H1514" s="2" t="s">
        <v>56</v>
      </c>
      <c r="L1514" s="18">
        <v>1</v>
      </c>
      <c r="M1514" s="14" t="s">
        <v>8462</v>
      </c>
      <c r="N1514" s="13">
        <v>44846</v>
      </c>
      <c r="O1514" s="29">
        <v>43.44</v>
      </c>
      <c r="P1514" s="18" t="s">
        <v>14</v>
      </c>
      <c r="Q1514" s="18">
        <v>0</v>
      </c>
      <c r="U1514" s="22">
        <v>0.87</v>
      </c>
      <c r="V1514" s="22">
        <f>4.21/5</f>
        <v>0.84199999999999997</v>
      </c>
      <c r="W1514" s="14" t="s">
        <v>8581</v>
      </c>
      <c r="X1514" s="3">
        <v>3</v>
      </c>
      <c r="Z1514" s="23">
        <v>10.5</v>
      </c>
      <c r="AB1514" s="18">
        <f t="shared" si="46"/>
        <v>2019</v>
      </c>
      <c r="AC1514" s="22">
        <f t="shared" si="47"/>
        <v>0.77066666666666661</v>
      </c>
    </row>
    <row r="1515" spans="1:29">
      <c r="A1515" s="8" t="s">
        <v>9172</v>
      </c>
      <c r="B1515" s="17" t="s">
        <v>7760</v>
      </c>
      <c r="C1515" s="13">
        <v>43573</v>
      </c>
      <c r="D1515" s="13" t="s">
        <v>8465</v>
      </c>
      <c r="E1515" s="10" t="s">
        <v>7877</v>
      </c>
      <c r="F1515" s="10" t="s">
        <v>9144</v>
      </c>
      <c r="H1515" s="2" t="s">
        <v>1057</v>
      </c>
      <c r="L1515" s="18">
        <v>1</v>
      </c>
      <c r="M1515" s="14" t="s">
        <v>8462</v>
      </c>
      <c r="N1515" s="13">
        <v>44052</v>
      </c>
      <c r="O1515" s="29">
        <v>18.809999999999999</v>
      </c>
      <c r="P1515" s="18" t="s">
        <v>14</v>
      </c>
      <c r="Q1515" s="18">
        <v>0</v>
      </c>
      <c r="U1515" s="22">
        <v>0.59</v>
      </c>
      <c r="V1515" s="22">
        <f>2.7/5</f>
        <v>0.54</v>
      </c>
      <c r="W1515" s="14" t="s">
        <v>9173</v>
      </c>
      <c r="X1515" s="3">
        <v>3</v>
      </c>
      <c r="Z1515" s="23">
        <v>26</v>
      </c>
      <c r="AB1515" s="18">
        <f t="shared" si="46"/>
        <v>2019</v>
      </c>
      <c r="AC1515" s="22">
        <f t="shared" si="47"/>
        <v>0.57666666666666666</v>
      </c>
    </row>
    <row r="1516" spans="1:29">
      <c r="A1516" s="8" t="s">
        <v>7772</v>
      </c>
      <c r="B1516" s="17" t="s">
        <v>7800</v>
      </c>
      <c r="C1516" s="13">
        <v>43573</v>
      </c>
      <c r="D1516" s="13" t="s">
        <v>8465</v>
      </c>
      <c r="E1516" s="10" t="s">
        <v>3405</v>
      </c>
      <c r="F1516" s="10" t="s">
        <v>7776</v>
      </c>
      <c r="H1516" s="2" t="s">
        <v>1054</v>
      </c>
      <c r="L1516" s="18">
        <v>1</v>
      </c>
      <c r="N1516" s="13">
        <v>43716</v>
      </c>
      <c r="O1516" s="29">
        <v>0</v>
      </c>
      <c r="P1516" s="18" t="s">
        <v>1107</v>
      </c>
      <c r="Q1516" s="18">
        <v>0</v>
      </c>
      <c r="U1516" s="22">
        <v>0.85</v>
      </c>
      <c r="V1516" s="22">
        <f>2.9/5</f>
        <v>0.57999999999999996</v>
      </c>
      <c r="W1516" s="14" t="s">
        <v>7777</v>
      </c>
      <c r="X1516" s="3">
        <v>2</v>
      </c>
      <c r="Z1516" s="23">
        <v>5.5</v>
      </c>
      <c r="AB1516" s="18">
        <f t="shared" si="46"/>
        <v>2019</v>
      </c>
      <c r="AC1516" s="22">
        <f t="shared" si="47"/>
        <v>0.61</v>
      </c>
    </row>
    <row r="1517" spans="1:29" ht="25.5">
      <c r="A1517" s="8" t="s">
        <v>8540</v>
      </c>
      <c r="B1517" s="17" t="s">
        <v>7800</v>
      </c>
      <c r="C1517" s="13">
        <v>43573</v>
      </c>
      <c r="D1517" s="13" t="s">
        <v>8465</v>
      </c>
      <c r="E1517" s="10" t="s">
        <v>8541</v>
      </c>
      <c r="F1517" s="10" t="s">
        <v>8541</v>
      </c>
      <c r="H1517" s="2" t="s">
        <v>3123</v>
      </c>
      <c r="L1517" s="18">
        <v>1</v>
      </c>
      <c r="N1517" s="13">
        <v>43924</v>
      </c>
      <c r="O1517" s="29">
        <v>0</v>
      </c>
      <c r="P1517" s="18" t="s">
        <v>1107</v>
      </c>
      <c r="Q1517" s="18">
        <v>0</v>
      </c>
      <c r="U1517" s="22">
        <v>0.76</v>
      </c>
      <c r="V1517" s="22">
        <f>2.7/5</f>
        <v>0.54</v>
      </c>
      <c r="W1517" s="14" t="s">
        <v>7777</v>
      </c>
      <c r="X1517" s="3">
        <v>2</v>
      </c>
      <c r="Z1517" s="23">
        <v>25</v>
      </c>
      <c r="AB1517" s="18">
        <f t="shared" si="46"/>
        <v>2019</v>
      </c>
      <c r="AC1517" s="22">
        <f t="shared" si="47"/>
        <v>0.56666666666666676</v>
      </c>
    </row>
    <row r="1518" spans="1:29">
      <c r="A1518" s="8" t="s">
        <v>1706</v>
      </c>
      <c r="B1518" s="17" t="s">
        <v>7744</v>
      </c>
      <c r="C1518" s="13">
        <v>43572</v>
      </c>
      <c r="D1518" s="13" t="s">
        <v>8465</v>
      </c>
      <c r="E1518" s="10" t="s">
        <v>1707</v>
      </c>
      <c r="F1518" s="10" t="s">
        <v>1708</v>
      </c>
      <c r="H1518" s="2" t="s">
        <v>67</v>
      </c>
      <c r="L1518" s="18">
        <v>1</v>
      </c>
      <c r="M1518" s="14" t="s">
        <v>8462</v>
      </c>
      <c r="N1518" s="13">
        <v>43578</v>
      </c>
      <c r="O1518" s="29">
        <v>39.99</v>
      </c>
      <c r="P1518" s="18" t="s">
        <v>14</v>
      </c>
      <c r="Q1518" s="18">
        <v>0</v>
      </c>
      <c r="U1518" s="22">
        <v>0.7</v>
      </c>
      <c r="V1518" s="22">
        <f>3.43/5</f>
        <v>0.68600000000000005</v>
      </c>
      <c r="X1518" s="3">
        <v>3</v>
      </c>
      <c r="Z1518" s="23">
        <v>5.5</v>
      </c>
      <c r="AB1518" s="18">
        <f t="shared" si="46"/>
        <v>2019</v>
      </c>
      <c r="AC1518" s="22">
        <f t="shared" si="47"/>
        <v>0.66200000000000003</v>
      </c>
    </row>
    <row r="1519" spans="1:29">
      <c r="A1519" s="8" t="s">
        <v>8297</v>
      </c>
      <c r="B1519" s="17" t="s">
        <v>7800</v>
      </c>
      <c r="C1519" s="13">
        <v>43572</v>
      </c>
      <c r="D1519" s="13" t="s">
        <v>8465</v>
      </c>
      <c r="E1519" s="10" t="s">
        <v>3544</v>
      </c>
      <c r="F1519" s="10" t="s">
        <v>4229</v>
      </c>
      <c r="H1519" s="2" t="s">
        <v>67</v>
      </c>
      <c r="L1519" s="18">
        <v>1</v>
      </c>
      <c r="N1519" s="13">
        <v>43833</v>
      </c>
      <c r="O1519" s="29">
        <v>0</v>
      </c>
      <c r="P1519" s="18" t="s">
        <v>1107</v>
      </c>
      <c r="Q1519" s="18">
        <v>0</v>
      </c>
      <c r="U1519" s="22">
        <v>0.77</v>
      </c>
      <c r="V1519" s="22">
        <f>3.58/5</f>
        <v>0.71599999999999997</v>
      </c>
      <c r="W1519" s="14" t="s">
        <v>7777</v>
      </c>
      <c r="X1519" s="3">
        <v>2</v>
      </c>
      <c r="Z1519" s="23">
        <v>6</v>
      </c>
      <c r="AB1519" s="18">
        <f t="shared" si="46"/>
        <v>2019</v>
      </c>
      <c r="AC1519" s="22">
        <f t="shared" si="47"/>
        <v>0.62866666666666671</v>
      </c>
    </row>
    <row r="1520" spans="1:29">
      <c r="A1520" s="8" t="s">
        <v>9010</v>
      </c>
      <c r="B1520" s="17" t="s">
        <v>7800</v>
      </c>
      <c r="C1520" s="13">
        <v>43571</v>
      </c>
      <c r="D1520" s="13" t="s">
        <v>8465</v>
      </c>
      <c r="E1520" s="10" t="s">
        <v>5077</v>
      </c>
      <c r="F1520" s="10" t="s">
        <v>5077</v>
      </c>
      <c r="H1520" s="2" t="s">
        <v>67</v>
      </c>
      <c r="L1520" s="18">
        <v>1</v>
      </c>
      <c r="N1520" s="13">
        <v>44019</v>
      </c>
      <c r="O1520" s="29">
        <v>0</v>
      </c>
      <c r="P1520" s="18" t="s">
        <v>1107</v>
      </c>
      <c r="Q1520" s="18">
        <v>0</v>
      </c>
      <c r="U1520" s="22">
        <v>0.76</v>
      </c>
      <c r="V1520" s="22">
        <f>4/5</f>
        <v>0.8</v>
      </c>
      <c r="W1520" s="14" t="s">
        <v>7777</v>
      </c>
      <c r="X1520" s="3">
        <v>4</v>
      </c>
      <c r="Z1520" s="23">
        <v>17.5</v>
      </c>
      <c r="AB1520" s="18">
        <f t="shared" si="46"/>
        <v>2019</v>
      </c>
      <c r="AC1520" s="22">
        <f t="shared" si="47"/>
        <v>0.78666666666666674</v>
      </c>
    </row>
    <row r="1521" spans="1:29" ht="30">
      <c r="A1521" s="8" t="s">
        <v>6126</v>
      </c>
      <c r="B1521" s="17" t="s">
        <v>7744</v>
      </c>
      <c r="C1521" s="13">
        <v>43571</v>
      </c>
      <c r="D1521" s="13" t="s">
        <v>8465</v>
      </c>
      <c r="E1521" s="10" t="s">
        <v>1082</v>
      </c>
      <c r="F1521" s="10" t="s">
        <v>3892</v>
      </c>
      <c r="G1521" s="11" t="s">
        <v>126</v>
      </c>
      <c r="H1521" s="2" t="s">
        <v>149</v>
      </c>
      <c r="L1521" s="18">
        <v>1</v>
      </c>
      <c r="M1521" s="14" t="s">
        <v>8462</v>
      </c>
      <c r="N1521" s="13">
        <v>44916</v>
      </c>
      <c r="O1521" s="29">
        <v>35.29</v>
      </c>
      <c r="P1521" s="18" t="s">
        <v>14</v>
      </c>
      <c r="Q1521" s="18">
        <v>0</v>
      </c>
      <c r="U1521" s="22">
        <v>0.85</v>
      </c>
      <c r="V1521" s="22">
        <f>4.29/5</f>
        <v>0.85799999999999998</v>
      </c>
      <c r="X1521" s="3">
        <v>3</v>
      </c>
      <c r="Z1521" s="23">
        <v>75.5</v>
      </c>
      <c r="AB1521" s="18">
        <f t="shared" si="46"/>
        <v>2019</v>
      </c>
      <c r="AC1521" s="22">
        <f t="shared" si="47"/>
        <v>0.76933333333333331</v>
      </c>
    </row>
    <row r="1522" spans="1:29">
      <c r="A1522" s="8" t="s">
        <v>15223</v>
      </c>
      <c r="B1522" s="17" t="s">
        <v>7760</v>
      </c>
      <c r="C1522" s="13">
        <v>43571</v>
      </c>
      <c r="D1522" s="13" t="s">
        <v>8465</v>
      </c>
      <c r="E1522" s="10" t="s">
        <v>15224</v>
      </c>
      <c r="F1522" s="10" t="s">
        <v>15224</v>
      </c>
      <c r="H1522" s="2" t="s">
        <v>67</v>
      </c>
      <c r="I1522" s="18">
        <v>1</v>
      </c>
      <c r="L1522" s="18">
        <v>1</v>
      </c>
      <c r="N1522" s="13">
        <v>45098</v>
      </c>
      <c r="O1522" s="29">
        <v>4.99</v>
      </c>
      <c r="P1522" s="18" t="s">
        <v>1107</v>
      </c>
      <c r="Q1522" s="18">
        <v>0</v>
      </c>
      <c r="U1522" s="22">
        <v>0.8</v>
      </c>
      <c r="V1522" s="22">
        <f>3.68/5</f>
        <v>0.73599999999999999</v>
      </c>
      <c r="X1522" s="3">
        <v>3</v>
      </c>
      <c r="Z1522" s="23">
        <v>3</v>
      </c>
      <c r="AB1522" s="18">
        <f t="shared" si="46"/>
        <v>2019</v>
      </c>
      <c r="AC1522" s="22">
        <f t="shared" si="47"/>
        <v>0.71200000000000008</v>
      </c>
    </row>
    <row r="1523" spans="1:29">
      <c r="A1523" s="8" t="s">
        <v>8523</v>
      </c>
      <c r="B1523" s="17" t="s">
        <v>7800</v>
      </c>
      <c r="C1523" s="13">
        <v>43571</v>
      </c>
      <c r="D1523" s="13" t="s">
        <v>8465</v>
      </c>
      <c r="E1523" s="10" t="s">
        <v>7903</v>
      </c>
      <c r="F1523" s="10" t="s">
        <v>8524</v>
      </c>
      <c r="G1523" s="11" t="s">
        <v>8523</v>
      </c>
      <c r="H1523" s="2" t="s">
        <v>1168</v>
      </c>
      <c r="L1523" s="18">
        <v>1</v>
      </c>
      <c r="N1523" s="13">
        <v>43916</v>
      </c>
      <c r="O1523" s="29">
        <v>0</v>
      </c>
      <c r="P1523" s="18" t="s">
        <v>1107</v>
      </c>
      <c r="Q1523" s="18">
        <v>0</v>
      </c>
      <c r="U1523" s="22">
        <v>0.7</v>
      </c>
      <c r="V1523" s="22">
        <f>3.04/5</f>
        <v>0.60799999999999998</v>
      </c>
      <c r="W1523" s="14" t="s">
        <v>7097</v>
      </c>
      <c r="X1523" s="3">
        <v>3</v>
      </c>
      <c r="Z1523" s="23">
        <v>7</v>
      </c>
      <c r="AB1523" s="18">
        <f t="shared" si="46"/>
        <v>2019</v>
      </c>
      <c r="AC1523" s="22">
        <f t="shared" si="47"/>
        <v>0.63600000000000001</v>
      </c>
    </row>
    <row r="1524" spans="1:29">
      <c r="A1524" s="8" t="s">
        <v>16045</v>
      </c>
      <c r="B1524" s="17" t="s">
        <v>7736</v>
      </c>
      <c r="C1524" s="13">
        <v>43570</v>
      </c>
      <c r="D1524" s="13" t="s">
        <v>8465</v>
      </c>
      <c r="E1524" s="10" t="s">
        <v>5187</v>
      </c>
      <c r="F1524" s="10" t="s">
        <v>1329</v>
      </c>
      <c r="H1524" s="2" t="s">
        <v>153</v>
      </c>
      <c r="L1524" s="18">
        <v>0</v>
      </c>
      <c r="Q1524" s="18">
        <v>0</v>
      </c>
      <c r="V1524" s="22">
        <f>3.38/5</f>
        <v>0.67599999999999993</v>
      </c>
      <c r="X1524" s="3">
        <v>2</v>
      </c>
      <c r="Z1524" s="23">
        <v>1</v>
      </c>
      <c r="AB1524" s="18">
        <f t="shared" si="46"/>
        <v>2019</v>
      </c>
      <c r="AC1524" s="22">
        <f t="shared" si="47"/>
        <v>0.53800000000000003</v>
      </c>
    </row>
    <row r="1525" spans="1:29" ht="25.5">
      <c r="A1525" s="8" t="s">
        <v>16059</v>
      </c>
      <c r="B1525" s="17" t="s">
        <v>7751</v>
      </c>
      <c r="C1525" s="13">
        <v>43570</v>
      </c>
      <c r="D1525" s="13" t="s">
        <v>8465</v>
      </c>
      <c r="E1525" s="10" t="s">
        <v>5187</v>
      </c>
      <c r="F1525" s="10" t="s">
        <v>2634</v>
      </c>
      <c r="H1525" s="2" t="s">
        <v>75</v>
      </c>
      <c r="L1525" s="18">
        <v>0</v>
      </c>
      <c r="Q1525" s="18">
        <v>0</v>
      </c>
      <c r="V1525" s="22">
        <f>2.07/5</f>
        <v>0.41399999999999998</v>
      </c>
      <c r="X1525" s="3">
        <v>2</v>
      </c>
      <c r="AB1525" s="18">
        <f t="shared" si="46"/>
        <v>2019</v>
      </c>
      <c r="AC1525" s="22">
        <f t="shared" si="47"/>
        <v>0.40700000000000003</v>
      </c>
    </row>
    <row r="1526" spans="1:29">
      <c r="A1526" s="8" t="s">
        <v>8906</v>
      </c>
      <c r="B1526" s="17" t="s">
        <v>7800</v>
      </c>
      <c r="C1526" s="13">
        <v>43566</v>
      </c>
      <c r="D1526" s="13" t="s">
        <v>8465</v>
      </c>
      <c r="E1526" s="10" t="s">
        <v>4850</v>
      </c>
      <c r="F1526" s="10" t="s">
        <v>8907</v>
      </c>
      <c r="H1526" s="2" t="s">
        <v>75</v>
      </c>
      <c r="L1526" s="18">
        <v>1</v>
      </c>
      <c r="N1526" s="13">
        <v>44000</v>
      </c>
      <c r="O1526" s="29">
        <v>0</v>
      </c>
      <c r="P1526" s="18" t="s">
        <v>1107</v>
      </c>
      <c r="Q1526" s="18">
        <v>0</v>
      </c>
      <c r="U1526" s="22">
        <v>0.68</v>
      </c>
      <c r="V1526" s="22">
        <f>3.23/5</f>
        <v>0.64600000000000002</v>
      </c>
      <c r="W1526" s="14" t="s">
        <v>7777</v>
      </c>
      <c r="X1526" s="3">
        <v>3</v>
      </c>
      <c r="Z1526" s="23">
        <v>11.5</v>
      </c>
      <c r="AB1526" s="18">
        <f t="shared" si="46"/>
        <v>2019</v>
      </c>
      <c r="AC1526" s="22">
        <f t="shared" si="47"/>
        <v>0.64200000000000002</v>
      </c>
    </row>
    <row r="1527" spans="1:29" ht="25.5">
      <c r="A1527" s="8" t="s">
        <v>10710</v>
      </c>
      <c r="B1527" s="17" t="s">
        <v>7760</v>
      </c>
      <c r="C1527" s="13">
        <v>43564</v>
      </c>
      <c r="D1527" s="13" t="s">
        <v>8465</v>
      </c>
      <c r="E1527" s="10" t="s">
        <v>2452</v>
      </c>
      <c r="F1527" s="10" t="s">
        <v>2452</v>
      </c>
      <c r="H1527" s="2" t="s">
        <v>1377</v>
      </c>
      <c r="L1527" s="18">
        <v>1</v>
      </c>
      <c r="M1527" s="14" t="s">
        <v>8462</v>
      </c>
      <c r="N1527" s="13">
        <v>44521</v>
      </c>
      <c r="O1527" s="29">
        <v>18.98</v>
      </c>
      <c r="P1527" s="18" t="s">
        <v>14</v>
      </c>
      <c r="Q1527" s="18">
        <v>0</v>
      </c>
      <c r="U1527" s="22">
        <v>0.72</v>
      </c>
      <c r="V1527" s="22">
        <f>3.22/5</f>
        <v>0.64400000000000002</v>
      </c>
      <c r="X1527" s="3">
        <v>3</v>
      </c>
      <c r="Z1527" s="23">
        <v>26</v>
      </c>
      <c r="AB1527" s="18">
        <f t="shared" si="46"/>
        <v>2019</v>
      </c>
      <c r="AC1527" s="22">
        <f t="shared" si="47"/>
        <v>0.65466666666666662</v>
      </c>
    </row>
    <row r="1528" spans="1:29">
      <c r="A1528" s="8" t="s">
        <v>11413</v>
      </c>
      <c r="B1528" s="17" t="s">
        <v>7800</v>
      </c>
      <c r="C1528" s="13">
        <v>43560</v>
      </c>
      <c r="D1528" s="13" t="s">
        <v>8465</v>
      </c>
      <c r="E1528" s="10" t="s">
        <v>11414</v>
      </c>
      <c r="F1528" s="10" t="s">
        <v>11414</v>
      </c>
      <c r="G1528" s="11" t="s">
        <v>11413</v>
      </c>
      <c r="H1528" s="2" t="s">
        <v>151</v>
      </c>
      <c r="L1528" s="18">
        <v>1</v>
      </c>
      <c r="N1528" s="13">
        <v>44638</v>
      </c>
      <c r="O1528" s="29">
        <v>0</v>
      </c>
      <c r="P1528" s="18" t="s">
        <v>1107</v>
      </c>
      <c r="Q1528" s="18">
        <v>0</v>
      </c>
      <c r="U1528" s="22">
        <v>0.85</v>
      </c>
      <c r="V1528" s="22">
        <f>3.85/5</f>
        <v>0.77</v>
      </c>
      <c r="W1528" s="14" t="s">
        <v>7777</v>
      </c>
      <c r="X1528" s="3">
        <v>4</v>
      </c>
      <c r="Z1528" s="23">
        <v>13</v>
      </c>
      <c r="AB1528" s="18">
        <f t="shared" si="46"/>
        <v>2019</v>
      </c>
      <c r="AC1528" s="22">
        <f t="shared" si="47"/>
        <v>0.80666666666666664</v>
      </c>
    </row>
    <row r="1529" spans="1:29">
      <c r="A1529" s="8" t="s">
        <v>13731</v>
      </c>
      <c r="B1529" s="17" t="s">
        <v>7800</v>
      </c>
      <c r="C1529" s="13">
        <v>43560</v>
      </c>
      <c r="D1529" s="13" t="s">
        <v>8465</v>
      </c>
      <c r="E1529" s="10" t="s">
        <v>5141</v>
      </c>
      <c r="F1529" s="10" t="s">
        <v>13732</v>
      </c>
      <c r="G1529" s="11" t="s">
        <v>12635</v>
      </c>
      <c r="H1529" s="2" t="s">
        <v>255</v>
      </c>
      <c r="L1529" s="18">
        <v>1</v>
      </c>
      <c r="N1529" s="13">
        <v>45003</v>
      </c>
      <c r="O1529" s="29">
        <v>0.83</v>
      </c>
      <c r="P1529" s="18" t="s">
        <v>1107</v>
      </c>
      <c r="Q1529" s="18">
        <v>0</v>
      </c>
      <c r="W1529" s="14" t="s">
        <v>7777</v>
      </c>
      <c r="X1529" s="3">
        <v>2</v>
      </c>
      <c r="Z1529" s="23">
        <v>2.5</v>
      </c>
      <c r="AB1529" s="18">
        <f t="shared" si="46"/>
        <v>2019</v>
      </c>
      <c r="AC1529" s="22">
        <f t="shared" si="47"/>
        <v>0.4</v>
      </c>
    </row>
    <row r="1530" spans="1:29" ht="30">
      <c r="A1530" s="8" t="s">
        <v>9132</v>
      </c>
      <c r="B1530" s="17" t="s">
        <v>7744</v>
      </c>
      <c r="C1530" s="13">
        <v>43559</v>
      </c>
      <c r="D1530" s="13" t="s">
        <v>8465</v>
      </c>
      <c r="E1530" s="10" t="s">
        <v>2482</v>
      </c>
      <c r="F1530" s="10" t="s">
        <v>9133</v>
      </c>
      <c r="H1530" s="2" t="s">
        <v>153</v>
      </c>
      <c r="L1530" s="18">
        <v>1</v>
      </c>
      <c r="M1530" s="14" t="s">
        <v>8462</v>
      </c>
      <c r="N1530" s="13">
        <v>44033</v>
      </c>
      <c r="O1530" s="29">
        <v>43.56</v>
      </c>
      <c r="P1530" s="18" t="s">
        <v>14</v>
      </c>
      <c r="Q1530" s="18">
        <v>0</v>
      </c>
      <c r="U1530" s="22">
        <v>0.64</v>
      </c>
      <c r="V1530" s="22">
        <f>3.66/5</f>
        <v>0.73199999999999998</v>
      </c>
      <c r="W1530" s="14" t="s">
        <v>1134</v>
      </c>
      <c r="X1530" s="3">
        <v>3</v>
      </c>
      <c r="Z1530" s="23">
        <v>7</v>
      </c>
      <c r="AB1530" s="18">
        <f t="shared" si="46"/>
        <v>2019</v>
      </c>
      <c r="AC1530" s="22">
        <f t="shared" si="47"/>
        <v>0.65733333333333333</v>
      </c>
    </row>
    <row r="1531" spans="1:29" ht="25.5">
      <c r="A1531" s="8" t="s">
        <v>14300</v>
      </c>
      <c r="B1531" s="17" t="s">
        <v>7744</v>
      </c>
      <c r="C1531" s="13">
        <v>43558</v>
      </c>
      <c r="D1531" s="13" t="s">
        <v>8465</v>
      </c>
      <c r="E1531" s="10" t="s">
        <v>2475</v>
      </c>
      <c r="F1531" s="10" t="s">
        <v>2475</v>
      </c>
      <c r="H1531" s="2" t="s">
        <v>147</v>
      </c>
      <c r="L1531" s="18">
        <v>1</v>
      </c>
      <c r="N1531" s="13">
        <v>45026</v>
      </c>
      <c r="O1531" s="29">
        <v>2.15</v>
      </c>
      <c r="P1531" s="18" t="s">
        <v>1107</v>
      </c>
      <c r="Q1531" s="18">
        <v>0</v>
      </c>
      <c r="U1531" s="22">
        <v>0.79</v>
      </c>
      <c r="V1531" s="22">
        <f>4.11/5</f>
        <v>0.82200000000000006</v>
      </c>
      <c r="X1531" s="3">
        <v>3</v>
      </c>
      <c r="Z1531" s="23">
        <v>3</v>
      </c>
      <c r="AB1531" s="18">
        <f t="shared" si="46"/>
        <v>2019</v>
      </c>
      <c r="AC1531" s="22">
        <f t="shared" si="47"/>
        <v>0.7373333333333334</v>
      </c>
    </row>
    <row r="1532" spans="1:29" ht="25.5">
      <c r="A1532" s="8" t="s">
        <v>6513</v>
      </c>
      <c r="B1532" s="17" t="s">
        <v>7766</v>
      </c>
      <c r="C1532" s="13">
        <v>43558</v>
      </c>
      <c r="D1532" s="13" t="s">
        <v>8465</v>
      </c>
      <c r="E1532" s="10" t="s">
        <v>3310</v>
      </c>
      <c r="F1532" s="10" t="s">
        <v>3154</v>
      </c>
      <c r="G1532" s="11" t="s">
        <v>3356</v>
      </c>
      <c r="H1532" s="2" t="s">
        <v>1050</v>
      </c>
      <c r="L1532" s="18">
        <v>1</v>
      </c>
      <c r="M1532" s="14" t="s">
        <v>8462</v>
      </c>
      <c r="N1532" s="13">
        <v>43558</v>
      </c>
      <c r="O1532" s="29">
        <v>29.99</v>
      </c>
      <c r="P1532" s="18" t="s">
        <v>14</v>
      </c>
      <c r="Q1532" s="18">
        <v>0</v>
      </c>
      <c r="U1532" s="22">
        <v>0.8</v>
      </c>
      <c r="V1532" s="22">
        <f>4.13/5</f>
        <v>0.82599999999999996</v>
      </c>
      <c r="X1532" s="3">
        <v>2</v>
      </c>
      <c r="Z1532" s="23">
        <v>25</v>
      </c>
      <c r="AB1532" s="18">
        <f t="shared" si="46"/>
        <v>2019</v>
      </c>
      <c r="AC1532" s="22">
        <f t="shared" si="47"/>
        <v>0.67533333333333323</v>
      </c>
    </row>
    <row r="1533" spans="1:29" ht="25.5">
      <c r="A1533" s="8" t="s">
        <v>1582</v>
      </c>
      <c r="B1533" s="17" t="s">
        <v>7744</v>
      </c>
      <c r="C1533" s="13">
        <v>43557</v>
      </c>
      <c r="D1533" s="13" t="s">
        <v>8465</v>
      </c>
      <c r="E1533" s="10" t="s">
        <v>1583</v>
      </c>
      <c r="F1533" s="10" t="s">
        <v>1584</v>
      </c>
      <c r="G1533" s="11" t="s">
        <v>1585</v>
      </c>
      <c r="H1533" s="2" t="s">
        <v>80</v>
      </c>
      <c r="L1533" s="18">
        <v>1</v>
      </c>
      <c r="M1533" s="14" t="s">
        <v>8462</v>
      </c>
      <c r="N1533" s="13">
        <v>43557</v>
      </c>
      <c r="O1533" s="29">
        <v>32.54</v>
      </c>
      <c r="P1533" s="18" t="s">
        <v>14</v>
      </c>
      <c r="Q1533" s="18">
        <v>0</v>
      </c>
      <c r="U1533" s="22">
        <v>0.78</v>
      </c>
      <c r="V1533" s="22">
        <f>4/5</f>
        <v>0.8</v>
      </c>
      <c r="W1533" s="14" t="s">
        <v>8842</v>
      </c>
      <c r="X1533" s="3">
        <v>2</v>
      </c>
      <c r="Z1533" s="23">
        <v>17</v>
      </c>
      <c r="AB1533" s="18">
        <f t="shared" si="46"/>
        <v>2019</v>
      </c>
      <c r="AC1533" s="22">
        <f t="shared" si="47"/>
        <v>0.66</v>
      </c>
    </row>
    <row r="1534" spans="1:29">
      <c r="A1534" s="8" t="s">
        <v>9025</v>
      </c>
      <c r="B1534" s="17" t="s">
        <v>7800</v>
      </c>
      <c r="C1534" s="13">
        <v>43557</v>
      </c>
      <c r="D1534" s="13" t="s">
        <v>8465</v>
      </c>
      <c r="E1534" s="10" t="s">
        <v>9026</v>
      </c>
      <c r="F1534" s="10" t="s">
        <v>9026</v>
      </c>
      <c r="G1534" s="11" t="s">
        <v>9025</v>
      </c>
      <c r="H1534" s="2" t="s">
        <v>67</v>
      </c>
      <c r="L1534" s="18">
        <v>1</v>
      </c>
      <c r="N1534" s="13">
        <v>44024</v>
      </c>
      <c r="O1534" s="29">
        <v>0</v>
      </c>
      <c r="P1534" s="18" t="s">
        <v>1107</v>
      </c>
      <c r="Q1534" s="18">
        <v>0</v>
      </c>
      <c r="W1534" s="14" t="s">
        <v>8765</v>
      </c>
      <c r="X1534" s="3">
        <v>2</v>
      </c>
      <c r="Z1534" s="23">
        <f>38/60</f>
        <v>0.6333333333333333</v>
      </c>
      <c r="AB1534" s="18">
        <f t="shared" si="46"/>
        <v>2019</v>
      </c>
      <c r="AC1534" s="22">
        <f t="shared" si="47"/>
        <v>0.4</v>
      </c>
    </row>
    <row r="1535" spans="1:29">
      <c r="A1535" s="8" t="s">
        <v>14094</v>
      </c>
      <c r="B1535" s="17" t="s">
        <v>7800</v>
      </c>
      <c r="C1535" s="13">
        <v>43554</v>
      </c>
      <c r="D1535" s="13" t="s">
        <v>8465</v>
      </c>
      <c r="E1535" s="10" t="s">
        <v>14095</v>
      </c>
      <c r="F1535" s="10" t="s">
        <v>14095</v>
      </c>
      <c r="H1535" s="2" t="s">
        <v>1061</v>
      </c>
      <c r="L1535" s="18">
        <v>1</v>
      </c>
      <c r="O1535" s="29">
        <v>0</v>
      </c>
      <c r="P1535" s="18" t="s">
        <v>1107</v>
      </c>
      <c r="Q1535" s="18">
        <v>0</v>
      </c>
      <c r="W1535" s="14" t="s">
        <v>8765</v>
      </c>
      <c r="X1535" s="3">
        <v>2</v>
      </c>
      <c r="Z1535" s="23">
        <v>2</v>
      </c>
      <c r="AB1535" s="18">
        <f t="shared" si="46"/>
        <v>2019</v>
      </c>
      <c r="AC1535" s="22">
        <f t="shared" si="47"/>
        <v>0.4</v>
      </c>
    </row>
    <row r="1536" spans="1:29">
      <c r="A1536" s="8" t="s">
        <v>9356</v>
      </c>
      <c r="B1536" s="17" t="s">
        <v>7800</v>
      </c>
      <c r="C1536" s="13">
        <v>43553</v>
      </c>
      <c r="D1536" s="13" t="s">
        <v>8465</v>
      </c>
      <c r="E1536" s="10" t="s">
        <v>3553</v>
      </c>
      <c r="F1536" s="10" t="s">
        <v>9357</v>
      </c>
      <c r="G1536" s="11" t="s">
        <v>5473</v>
      </c>
      <c r="H1536" s="2" t="s">
        <v>1334</v>
      </c>
      <c r="L1536" s="18">
        <v>1</v>
      </c>
      <c r="N1536" s="13">
        <v>44106</v>
      </c>
      <c r="O1536" s="29">
        <v>0</v>
      </c>
      <c r="P1536" s="18" t="s">
        <v>1107</v>
      </c>
      <c r="Q1536" s="18">
        <v>0</v>
      </c>
      <c r="U1536" s="22">
        <v>0.78</v>
      </c>
      <c r="V1536" s="22">
        <f>3.26/5</f>
        <v>0.65199999999999991</v>
      </c>
      <c r="W1536" s="14" t="s">
        <v>7777</v>
      </c>
      <c r="X1536" s="3">
        <v>2</v>
      </c>
      <c r="Z1536" s="23">
        <v>26.5</v>
      </c>
      <c r="AB1536" s="18">
        <f t="shared" si="46"/>
        <v>2019</v>
      </c>
      <c r="AC1536" s="22">
        <f t="shared" si="47"/>
        <v>0.61066666666666658</v>
      </c>
    </row>
    <row r="1537" spans="1:29">
      <c r="A1537" s="8" t="s">
        <v>9450</v>
      </c>
      <c r="B1537" s="17" t="s">
        <v>7800</v>
      </c>
      <c r="C1537" s="13">
        <v>43552</v>
      </c>
      <c r="D1537" s="13" t="s">
        <v>8465</v>
      </c>
      <c r="E1537" s="10" t="s">
        <v>9451</v>
      </c>
      <c r="F1537" s="10" t="s">
        <v>9452</v>
      </c>
      <c r="H1537" s="2" t="s">
        <v>78</v>
      </c>
      <c r="L1537" s="18">
        <v>1</v>
      </c>
      <c r="N1537" s="13">
        <v>44154</v>
      </c>
      <c r="O1537" s="29">
        <v>0</v>
      </c>
      <c r="P1537" s="18" t="s">
        <v>1107</v>
      </c>
      <c r="Q1537" s="18">
        <v>0</v>
      </c>
      <c r="V1537" s="22">
        <f>3.28/5</f>
        <v>0.65599999999999992</v>
      </c>
      <c r="W1537" s="14" t="s">
        <v>7777</v>
      </c>
      <c r="X1537" s="3">
        <v>3</v>
      </c>
      <c r="Z1537" s="23">
        <v>3.5</v>
      </c>
      <c r="AB1537" s="18">
        <f t="shared" si="46"/>
        <v>2019</v>
      </c>
      <c r="AC1537" s="22">
        <f t="shared" si="47"/>
        <v>0.62799999999999989</v>
      </c>
    </row>
    <row r="1538" spans="1:29" ht="25.5">
      <c r="A1538" s="8" t="s">
        <v>6168</v>
      </c>
      <c r="B1538" s="17" t="s">
        <v>7760</v>
      </c>
      <c r="C1538" s="13">
        <v>43550</v>
      </c>
      <c r="D1538" s="13" t="s">
        <v>8465</v>
      </c>
      <c r="E1538" s="10" t="s">
        <v>1534</v>
      </c>
      <c r="F1538" s="10" t="s">
        <v>1245</v>
      </c>
      <c r="G1538" s="11" t="s">
        <v>2892</v>
      </c>
      <c r="H1538" s="2" t="s">
        <v>149</v>
      </c>
      <c r="L1538" s="18">
        <v>1</v>
      </c>
      <c r="M1538" s="14" t="s">
        <v>8462</v>
      </c>
      <c r="N1538" s="13">
        <v>43550</v>
      </c>
      <c r="O1538" s="29">
        <v>49.99</v>
      </c>
      <c r="P1538" s="18" t="s">
        <v>14</v>
      </c>
      <c r="Q1538" s="18">
        <v>0</v>
      </c>
      <c r="U1538" s="22">
        <v>0.79</v>
      </c>
      <c r="V1538" s="22">
        <f>4.27/5</f>
        <v>0.85399999999999987</v>
      </c>
      <c r="W1538" s="14" t="s">
        <v>8849</v>
      </c>
      <c r="X1538" s="3">
        <v>4</v>
      </c>
      <c r="Z1538" s="23">
        <v>61.5</v>
      </c>
      <c r="AB1538" s="18">
        <f t="shared" ref="AB1538:AB1601" si="48">IFERROR(YEAR(C1538), "Early Access")</f>
        <v>2019</v>
      </c>
      <c r="AC1538" s="22">
        <f t="shared" ref="AC1538:AC1601" si="49">AVERAGE(T1538, U1538, V1538, IF(ISBLANK(X1538), X1538, X1538/5))</f>
        <v>0.81466666666666665</v>
      </c>
    </row>
    <row r="1539" spans="1:29">
      <c r="A1539" s="8" t="s">
        <v>6104</v>
      </c>
      <c r="B1539" s="17" t="s">
        <v>7760</v>
      </c>
      <c r="C1539" s="13">
        <v>43550</v>
      </c>
      <c r="D1539" s="13" t="s">
        <v>8465</v>
      </c>
      <c r="E1539" s="10" t="s">
        <v>1062</v>
      </c>
      <c r="F1539" s="10" t="s">
        <v>2452</v>
      </c>
      <c r="G1539" s="11" t="s">
        <v>3547</v>
      </c>
      <c r="H1539" s="2" t="s">
        <v>1057</v>
      </c>
      <c r="L1539" s="18">
        <v>1</v>
      </c>
      <c r="M1539" s="14" t="s">
        <v>8462</v>
      </c>
      <c r="N1539" s="13">
        <v>43550</v>
      </c>
      <c r="O1539" s="29">
        <v>57.97</v>
      </c>
      <c r="P1539" s="18" t="s">
        <v>14</v>
      </c>
      <c r="Q1539" s="18">
        <v>0</v>
      </c>
      <c r="V1539" s="22">
        <f>3.76/5</f>
        <v>0.752</v>
      </c>
      <c r="X1539" s="3">
        <v>4</v>
      </c>
      <c r="Z1539" s="23">
        <f>24.5+33.5+39</f>
        <v>97</v>
      </c>
      <c r="AB1539" s="18">
        <f t="shared" si="48"/>
        <v>2019</v>
      </c>
      <c r="AC1539" s="22">
        <f t="shared" si="49"/>
        <v>0.77600000000000002</v>
      </c>
    </row>
    <row r="1540" spans="1:29" ht="25.5">
      <c r="A1540" s="8" t="s">
        <v>9007</v>
      </c>
      <c r="B1540" s="17" t="s">
        <v>7800</v>
      </c>
      <c r="C1540" s="13">
        <v>43550</v>
      </c>
      <c r="D1540" s="13" t="s">
        <v>8465</v>
      </c>
      <c r="E1540" s="10" t="s">
        <v>9008</v>
      </c>
      <c r="F1540" s="10" t="s">
        <v>3246</v>
      </c>
      <c r="G1540" s="11" t="s">
        <v>5388</v>
      </c>
      <c r="H1540" s="2" t="s">
        <v>67</v>
      </c>
      <c r="L1540" s="18">
        <v>1</v>
      </c>
      <c r="N1540" s="13">
        <v>44019</v>
      </c>
      <c r="O1540" s="29">
        <v>0</v>
      </c>
      <c r="P1540" s="18" t="s">
        <v>1107</v>
      </c>
      <c r="Q1540" s="18">
        <v>0</v>
      </c>
      <c r="U1540" s="22">
        <v>0.77</v>
      </c>
      <c r="V1540" s="22">
        <f>3.8/5</f>
        <v>0.76</v>
      </c>
      <c r="W1540" s="14" t="s">
        <v>7777</v>
      </c>
      <c r="X1540" s="3">
        <v>3</v>
      </c>
      <c r="Z1540" s="23">
        <v>9.5</v>
      </c>
      <c r="AB1540" s="18">
        <f t="shared" si="48"/>
        <v>2019</v>
      </c>
      <c r="AC1540" s="22">
        <f t="shared" si="49"/>
        <v>0.71</v>
      </c>
    </row>
    <row r="1541" spans="1:29" ht="38.25">
      <c r="A1541" s="8" t="s">
        <v>9405</v>
      </c>
      <c r="B1541" s="17" t="s">
        <v>7744</v>
      </c>
      <c r="C1541" s="13">
        <v>43550</v>
      </c>
      <c r="D1541" s="13" t="s">
        <v>8465</v>
      </c>
      <c r="E1541" s="10" t="s">
        <v>1565</v>
      </c>
      <c r="F1541" s="10" t="s">
        <v>1566</v>
      </c>
      <c r="G1541" s="11" t="s">
        <v>1567</v>
      </c>
      <c r="H1541" s="2" t="s">
        <v>1334</v>
      </c>
      <c r="L1541" s="18">
        <v>1</v>
      </c>
      <c r="M1541" s="14" t="s">
        <v>8462</v>
      </c>
      <c r="N1541" s="13">
        <v>44107</v>
      </c>
      <c r="O1541" s="29">
        <v>24.89</v>
      </c>
      <c r="P1541" s="18" t="s">
        <v>14</v>
      </c>
      <c r="Q1541" s="18">
        <v>0</v>
      </c>
      <c r="U1541" s="22">
        <v>0.7</v>
      </c>
      <c r="V1541" s="22">
        <f>3.65/5</f>
        <v>0.73</v>
      </c>
      <c r="X1541" s="3">
        <v>3</v>
      </c>
      <c r="Z1541" s="23">
        <v>28.5</v>
      </c>
      <c r="AB1541" s="18">
        <f t="shared" si="48"/>
        <v>2019</v>
      </c>
      <c r="AC1541" s="22">
        <f t="shared" si="49"/>
        <v>0.67666666666666664</v>
      </c>
    </row>
    <row r="1542" spans="1:29">
      <c r="A1542" s="8" t="s">
        <v>8665</v>
      </c>
      <c r="B1542" s="17" t="s">
        <v>7800</v>
      </c>
      <c r="C1542" s="13">
        <v>43550</v>
      </c>
      <c r="D1542" s="13" t="s">
        <v>8465</v>
      </c>
      <c r="E1542" s="10" t="s">
        <v>1163</v>
      </c>
      <c r="F1542" s="10" t="s">
        <v>8669</v>
      </c>
      <c r="H1542" s="2" t="s">
        <v>171</v>
      </c>
      <c r="L1542" s="18">
        <v>1</v>
      </c>
      <c r="N1542" s="13">
        <v>43965</v>
      </c>
      <c r="O1542" s="29">
        <v>5.99</v>
      </c>
      <c r="P1542" s="18" t="s">
        <v>1107</v>
      </c>
      <c r="Q1542" s="18">
        <v>0</v>
      </c>
      <c r="U1542" s="22">
        <v>0.67</v>
      </c>
      <c r="V1542" s="22">
        <f>3.23/5</f>
        <v>0.64600000000000002</v>
      </c>
      <c r="W1542" s="14" t="s">
        <v>7097</v>
      </c>
      <c r="X1542" s="3">
        <v>3</v>
      </c>
      <c r="Z1542" s="23">
        <v>29.5</v>
      </c>
      <c r="AB1542" s="18">
        <f t="shared" si="48"/>
        <v>2019</v>
      </c>
      <c r="AC1542" s="22">
        <f t="shared" si="49"/>
        <v>0.6386666666666666</v>
      </c>
    </row>
    <row r="1543" spans="1:29" ht="30">
      <c r="A1543" s="8" t="s">
        <v>8116</v>
      </c>
      <c r="B1543" s="17" t="s">
        <v>7744</v>
      </c>
      <c r="C1543" s="13">
        <v>43550</v>
      </c>
      <c r="D1543" s="13" t="s">
        <v>8465</v>
      </c>
      <c r="E1543" s="10" t="s">
        <v>8117</v>
      </c>
      <c r="F1543" s="10" t="s">
        <v>8118</v>
      </c>
      <c r="G1543" s="11" t="s">
        <v>8119</v>
      </c>
      <c r="H1543" s="2" t="s">
        <v>459</v>
      </c>
      <c r="L1543" s="18">
        <v>1</v>
      </c>
      <c r="M1543" s="14" t="s">
        <v>8462</v>
      </c>
      <c r="N1543" s="13">
        <v>43787</v>
      </c>
      <c r="O1543" s="29">
        <v>70.13</v>
      </c>
      <c r="P1543" s="18" t="s">
        <v>14</v>
      </c>
      <c r="Q1543" s="18">
        <v>0</v>
      </c>
      <c r="U1543" s="22">
        <v>0.59140000000000004</v>
      </c>
      <c r="V1543" s="22">
        <f>3.5/5</f>
        <v>0.7</v>
      </c>
      <c r="W1543" s="14" t="s">
        <v>1134</v>
      </c>
      <c r="X1543" s="3">
        <v>2</v>
      </c>
      <c r="Z1543" s="23">
        <v>2</v>
      </c>
      <c r="AB1543" s="18">
        <f t="shared" si="48"/>
        <v>2019</v>
      </c>
      <c r="AC1543" s="22">
        <f t="shared" si="49"/>
        <v>0.56379999999999997</v>
      </c>
    </row>
    <row r="1544" spans="1:29">
      <c r="A1544" s="8" t="s">
        <v>9251</v>
      </c>
      <c r="B1544" s="17" t="s">
        <v>7800</v>
      </c>
      <c r="C1544" s="13">
        <v>43550</v>
      </c>
      <c r="D1544" s="13" t="s">
        <v>8465</v>
      </c>
      <c r="E1544" s="10" t="s">
        <v>9252</v>
      </c>
      <c r="F1544" s="10" t="s">
        <v>9252</v>
      </c>
      <c r="H1544" s="2" t="s">
        <v>1050</v>
      </c>
      <c r="L1544" s="18">
        <v>1</v>
      </c>
      <c r="N1544" s="13">
        <v>44078</v>
      </c>
      <c r="O1544" s="29">
        <v>0</v>
      </c>
      <c r="P1544" s="18" t="s">
        <v>1107</v>
      </c>
      <c r="Q1544" s="18">
        <v>0</v>
      </c>
      <c r="U1544" s="22">
        <v>0.51</v>
      </c>
      <c r="V1544" s="22">
        <f>2.79/5</f>
        <v>0.55800000000000005</v>
      </c>
      <c r="W1544" s="14" t="s">
        <v>7777</v>
      </c>
      <c r="X1544" s="3">
        <v>3</v>
      </c>
      <c r="Z1544" s="23">
        <v>19.5</v>
      </c>
      <c r="AB1544" s="18">
        <f t="shared" si="48"/>
        <v>2019</v>
      </c>
      <c r="AC1544" s="22">
        <f t="shared" si="49"/>
        <v>0.55600000000000005</v>
      </c>
    </row>
    <row r="1545" spans="1:29">
      <c r="A1545" s="8" t="s">
        <v>15710</v>
      </c>
      <c r="B1545" s="17" t="s">
        <v>7744</v>
      </c>
      <c r="C1545" s="13">
        <v>43550</v>
      </c>
      <c r="D1545" s="13" t="s">
        <v>8465</v>
      </c>
      <c r="E1545" s="10" t="s">
        <v>1062</v>
      </c>
      <c r="F1545" s="10" t="s">
        <v>2285</v>
      </c>
      <c r="H1545" s="2" t="s">
        <v>171</v>
      </c>
      <c r="L1545" s="18">
        <v>1</v>
      </c>
      <c r="N1545" s="13">
        <v>45173</v>
      </c>
      <c r="O1545" s="29">
        <v>4.99</v>
      </c>
      <c r="P1545" s="18" t="s">
        <v>1107</v>
      </c>
      <c r="Q1545" s="18">
        <v>0</v>
      </c>
      <c r="U1545" s="22">
        <v>0.67</v>
      </c>
      <c r="V1545" s="22">
        <f>3.4/5</f>
        <v>0.67999999999999994</v>
      </c>
      <c r="X1545" s="3">
        <v>2</v>
      </c>
      <c r="Z1545" s="23">
        <v>8</v>
      </c>
      <c r="AB1545" s="18">
        <f t="shared" si="48"/>
        <v>2019</v>
      </c>
      <c r="AC1545" s="22">
        <f t="shared" si="49"/>
        <v>0.58333333333333337</v>
      </c>
    </row>
    <row r="1546" spans="1:29">
      <c r="A1546" s="8" t="s">
        <v>12391</v>
      </c>
      <c r="B1546" s="17" t="s">
        <v>7800</v>
      </c>
      <c r="C1546" s="13">
        <v>43545</v>
      </c>
      <c r="D1546" s="13" t="s">
        <v>8465</v>
      </c>
      <c r="E1546" s="10" t="s">
        <v>12392</v>
      </c>
      <c r="F1546" s="10" t="s">
        <v>12393</v>
      </c>
      <c r="H1546" s="2" t="s">
        <v>1334</v>
      </c>
      <c r="L1546" s="18">
        <v>1</v>
      </c>
      <c r="N1546" s="13">
        <v>44805</v>
      </c>
      <c r="O1546" s="29">
        <v>0</v>
      </c>
      <c r="P1546" s="18" t="s">
        <v>1107</v>
      </c>
      <c r="Q1546" s="18">
        <v>0</v>
      </c>
      <c r="U1546" s="22">
        <v>0.75</v>
      </c>
      <c r="V1546" s="22">
        <f>3.07/5</f>
        <v>0.61399999999999999</v>
      </c>
      <c r="W1546" s="14" t="s">
        <v>7799</v>
      </c>
      <c r="X1546" s="3">
        <v>2</v>
      </c>
      <c r="Z1546" s="23">
        <v>12</v>
      </c>
      <c r="AB1546" s="18">
        <f t="shared" si="48"/>
        <v>2019</v>
      </c>
      <c r="AC1546" s="22">
        <f t="shared" si="49"/>
        <v>0.58799999999999997</v>
      </c>
    </row>
    <row r="1547" spans="1:29">
      <c r="A1547" s="8" t="s">
        <v>12369</v>
      </c>
      <c r="B1547" s="17" t="s">
        <v>7760</v>
      </c>
      <c r="C1547" s="13">
        <v>43544</v>
      </c>
      <c r="D1547" s="13" t="s">
        <v>9335</v>
      </c>
      <c r="E1547" s="10" t="s">
        <v>3568</v>
      </c>
      <c r="F1547" s="10" t="s">
        <v>11049</v>
      </c>
      <c r="G1547" s="11" t="s">
        <v>299</v>
      </c>
      <c r="H1547" s="2" t="s">
        <v>75</v>
      </c>
      <c r="K1547" s="18">
        <v>2</v>
      </c>
      <c r="L1547" s="18">
        <v>1</v>
      </c>
      <c r="M1547" s="14" t="s">
        <v>8462</v>
      </c>
      <c r="N1547" s="13">
        <v>44957</v>
      </c>
      <c r="O1547" s="29">
        <v>28.08</v>
      </c>
      <c r="P1547" s="18" t="s">
        <v>14</v>
      </c>
      <c r="Q1547" s="18">
        <v>0</v>
      </c>
      <c r="V1547" s="22">
        <f>4.17/5</f>
        <v>0.83399999999999996</v>
      </c>
      <c r="X1547" s="3">
        <v>3</v>
      </c>
      <c r="Z1547" s="23">
        <v>74.5</v>
      </c>
      <c r="AB1547" s="18">
        <f t="shared" si="48"/>
        <v>2019</v>
      </c>
      <c r="AC1547" s="22">
        <f t="shared" si="49"/>
        <v>0.71699999999999997</v>
      </c>
    </row>
    <row r="1548" spans="1:29" ht="38.25">
      <c r="A1548" s="8" t="s">
        <v>10208</v>
      </c>
      <c r="B1548" s="17" t="s">
        <v>7744</v>
      </c>
      <c r="C1548" s="13">
        <v>43544</v>
      </c>
      <c r="D1548" s="13" t="s">
        <v>8465</v>
      </c>
      <c r="E1548" s="10" t="s">
        <v>1082</v>
      </c>
      <c r="F1548" s="10" t="s">
        <v>1521</v>
      </c>
      <c r="G1548" s="11" t="s">
        <v>126</v>
      </c>
      <c r="H1548" s="2" t="s">
        <v>1377</v>
      </c>
      <c r="L1548" s="18">
        <v>1</v>
      </c>
      <c r="N1548" s="13">
        <v>44364</v>
      </c>
      <c r="O1548" s="29">
        <v>15.36</v>
      </c>
      <c r="P1548" s="18" t="s">
        <v>1107</v>
      </c>
      <c r="Q1548" s="18">
        <v>0</v>
      </c>
      <c r="U1548" s="22">
        <v>0.73</v>
      </c>
      <c r="V1548" s="22">
        <f>3.94/5</f>
        <v>0.78800000000000003</v>
      </c>
      <c r="X1548" s="3">
        <v>3</v>
      </c>
      <c r="Z1548" s="23">
        <v>27</v>
      </c>
      <c r="AB1548" s="18">
        <f t="shared" si="48"/>
        <v>2019</v>
      </c>
      <c r="AC1548" s="22">
        <f t="shared" si="49"/>
        <v>0.70599999999999996</v>
      </c>
    </row>
    <row r="1549" spans="1:29" ht="25.5">
      <c r="A1549" s="8" t="s">
        <v>14749</v>
      </c>
      <c r="B1549" s="17" t="s">
        <v>7744</v>
      </c>
      <c r="C1549" s="13">
        <v>43544</v>
      </c>
      <c r="D1549" s="13" t="s">
        <v>9335</v>
      </c>
      <c r="E1549" s="10" t="s">
        <v>11735</v>
      </c>
      <c r="F1549" s="10" t="s">
        <v>1136</v>
      </c>
      <c r="G1549" s="11" t="s">
        <v>10281</v>
      </c>
      <c r="H1549" s="2" t="s">
        <v>255</v>
      </c>
      <c r="K1549" s="18">
        <v>2</v>
      </c>
      <c r="L1549" s="18">
        <v>1</v>
      </c>
      <c r="M1549" s="14" t="s">
        <v>8462</v>
      </c>
      <c r="N1549" s="13">
        <v>45052</v>
      </c>
      <c r="O1549" s="29">
        <v>59.99</v>
      </c>
      <c r="P1549" s="18" t="s">
        <v>14</v>
      </c>
      <c r="Q1549" s="18">
        <v>0</v>
      </c>
      <c r="V1549" s="22">
        <f>3.73/5</f>
        <v>0.746</v>
      </c>
      <c r="X1549" s="3">
        <v>2</v>
      </c>
      <c r="Z1549" s="23">
        <v>5</v>
      </c>
      <c r="AB1549" s="18">
        <f t="shared" si="48"/>
        <v>2019</v>
      </c>
      <c r="AC1549" s="22">
        <f t="shared" si="49"/>
        <v>0.57299999999999995</v>
      </c>
    </row>
    <row r="1550" spans="1:29">
      <c r="A1550" s="8" t="s">
        <v>12994</v>
      </c>
      <c r="B1550" s="17" t="s">
        <v>7744</v>
      </c>
      <c r="C1550" s="13">
        <v>43543</v>
      </c>
      <c r="D1550" s="13" t="s">
        <v>8465</v>
      </c>
      <c r="E1550" s="10" t="s">
        <v>1534</v>
      </c>
      <c r="F1550" s="10" t="s">
        <v>5025</v>
      </c>
      <c r="G1550" s="11" t="s">
        <v>8439</v>
      </c>
      <c r="H1550" s="2" t="s">
        <v>171</v>
      </c>
      <c r="L1550" s="18">
        <v>1</v>
      </c>
      <c r="M1550" s="14" t="s">
        <v>8462</v>
      </c>
      <c r="N1550" s="13">
        <v>44898</v>
      </c>
      <c r="O1550" s="29">
        <v>38.03</v>
      </c>
      <c r="P1550" s="18" t="s">
        <v>14</v>
      </c>
      <c r="Q1550" s="18">
        <v>0</v>
      </c>
      <c r="U1550" s="22">
        <v>0.74</v>
      </c>
      <c r="V1550" s="22">
        <f>3.73/5</f>
        <v>0.746</v>
      </c>
      <c r="X1550" s="3">
        <v>3</v>
      </c>
      <c r="Z1550" s="23">
        <v>9.5</v>
      </c>
      <c r="AB1550" s="18">
        <f t="shared" si="48"/>
        <v>2019</v>
      </c>
      <c r="AC1550" s="22">
        <f t="shared" si="49"/>
        <v>0.69533333333333325</v>
      </c>
    </row>
    <row r="1551" spans="1:29" ht="25.5">
      <c r="A1551" s="8" t="s">
        <v>8213</v>
      </c>
      <c r="B1551" s="17" t="s">
        <v>7800</v>
      </c>
      <c r="C1551" s="13">
        <v>43539</v>
      </c>
      <c r="D1551" s="13" t="s">
        <v>8465</v>
      </c>
      <c r="E1551" s="10" t="s">
        <v>1047</v>
      </c>
      <c r="F1551" s="10" t="s">
        <v>5432</v>
      </c>
      <c r="G1551" s="11" t="s">
        <v>5433</v>
      </c>
      <c r="H1551" s="2" t="s">
        <v>171</v>
      </c>
      <c r="L1551" s="18">
        <v>1</v>
      </c>
      <c r="N1551" s="13">
        <v>43802</v>
      </c>
      <c r="O1551" s="29">
        <v>15</v>
      </c>
      <c r="P1551" s="18" t="s">
        <v>1107</v>
      </c>
      <c r="Q1551" s="18">
        <v>0</v>
      </c>
      <c r="U1551" s="22">
        <v>0.84499999999999997</v>
      </c>
      <c r="V1551" s="22">
        <f>3.56/5</f>
        <v>0.71199999999999997</v>
      </c>
      <c r="W1551" s="14" t="s">
        <v>7798</v>
      </c>
      <c r="X1551" s="3">
        <v>3</v>
      </c>
      <c r="Z1551" s="23">
        <v>26</v>
      </c>
      <c r="AB1551" s="18">
        <f t="shared" si="48"/>
        <v>2019</v>
      </c>
      <c r="AC1551" s="22">
        <f t="shared" si="49"/>
        <v>0.71899999999999997</v>
      </c>
    </row>
    <row r="1552" spans="1:29" ht="30">
      <c r="A1552" s="8" t="s">
        <v>12274</v>
      </c>
      <c r="B1552" s="17" t="s">
        <v>7800</v>
      </c>
      <c r="C1552" s="13">
        <v>43539</v>
      </c>
      <c r="D1552" s="13" t="s">
        <v>8465</v>
      </c>
      <c r="E1552" s="10" t="s">
        <v>1604</v>
      </c>
      <c r="F1552" s="10" t="s">
        <v>1546</v>
      </c>
      <c r="G1552" s="11" t="s">
        <v>9669</v>
      </c>
      <c r="H1552" s="2" t="s">
        <v>80</v>
      </c>
      <c r="L1552" s="18">
        <v>1</v>
      </c>
      <c r="N1552" s="13">
        <v>44783</v>
      </c>
      <c r="O1552" s="29">
        <v>5.4</v>
      </c>
      <c r="P1552" s="18" t="s">
        <v>1107</v>
      </c>
      <c r="Q1552" s="18">
        <v>0</v>
      </c>
      <c r="U1552" s="22">
        <v>0.51</v>
      </c>
      <c r="V1552" s="22">
        <f>3.34/5</f>
        <v>0.66799999999999993</v>
      </c>
      <c r="W1552" s="14" t="s">
        <v>7777</v>
      </c>
      <c r="X1552" s="3">
        <v>3</v>
      </c>
      <c r="Z1552" s="23">
        <v>11.5</v>
      </c>
      <c r="AB1552" s="18">
        <f t="shared" si="48"/>
        <v>2019</v>
      </c>
      <c r="AC1552" s="22">
        <f t="shared" si="49"/>
        <v>0.59266666666666667</v>
      </c>
    </row>
    <row r="1553" spans="1:29" ht="45">
      <c r="A1553" s="8" t="s">
        <v>8658</v>
      </c>
      <c r="B1553" s="17" t="s">
        <v>7800</v>
      </c>
      <c r="C1553" s="13">
        <v>43536</v>
      </c>
      <c r="D1553" s="13" t="s">
        <v>8465</v>
      </c>
      <c r="E1553" s="10" t="s">
        <v>8659</v>
      </c>
      <c r="F1553" s="10" t="s">
        <v>8660</v>
      </c>
      <c r="H1553" s="2" t="s">
        <v>67</v>
      </c>
      <c r="L1553" s="18">
        <v>1</v>
      </c>
      <c r="N1553" s="13">
        <v>43963</v>
      </c>
      <c r="O1553" s="29">
        <v>15</v>
      </c>
      <c r="P1553" s="18" t="s">
        <v>1107</v>
      </c>
      <c r="Q1553" s="18">
        <v>0</v>
      </c>
      <c r="U1553" s="22">
        <v>0.82</v>
      </c>
      <c r="V1553" s="22">
        <f>3.95/5</f>
        <v>0.79</v>
      </c>
      <c r="W1553" s="14" t="s">
        <v>7777</v>
      </c>
      <c r="X1553" s="3">
        <v>4</v>
      </c>
      <c r="Z1553" s="23">
        <v>6</v>
      </c>
      <c r="AB1553" s="18">
        <f t="shared" si="48"/>
        <v>2019</v>
      </c>
      <c r="AC1553" s="22">
        <f t="shared" si="49"/>
        <v>0.80333333333333334</v>
      </c>
    </row>
    <row r="1554" spans="1:29" ht="25.5">
      <c r="A1554" s="8" t="s">
        <v>9801</v>
      </c>
      <c r="B1554" s="17" t="s">
        <v>7744</v>
      </c>
      <c r="C1554" s="13">
        <v>43536</v>
      </c>
      <c r="D1554" s="13" t="s">
        <v>8465</v>
      </c>
      <c r="E1554" s="10" t="s">
        <v>1062</v>
      </c>
      <c r="F1554" s="10" t="s">
        <v>9802</v>
      </c>
      <c r="G1554" s="11" t="s">
        <v>9803</v>
      </c>
      <c r="H1554" s="2" t="s">
        <v>149</v>
      </c>
      <c r="L1554" s="18">
        <v>1</v>
      </c>
      <c r="N1554" s="13">
        <v>44252</v>
      </c>
      <c r="O1554" s="29">
        <v>0</v>
      </c>
      <c r="P1554" s="18" t="s">
        <v>1107</v>
      </c>
      <c r="Q1554" s="18">
        <v>0</v>
      </c>
      <c r="U1554" s="22">
        <v>0.6</v>
      </c>
      <c r="V1554" s="22">
        <f>3.56/5</f>
        <v>0.71199999999999997</v>
      </c>
      <c r="X1554" s="3">
        <v>4</v>
      </c>
      <c r="Z1554" s="23">
        <v>27.5</v>
      </c>
      <c r="AB1554" s="18">
        <f t="shared" si="48"/>
        <v>2019</v>
      </c>
      <c r="AC1554" s="22">
        <f t="shared" si="49"/>
        <v>0.70400000000000007</v>
      </c>
    </row>
    <row r="1555" spans="1:29">
      <c r="A1555" s="8" t="s">
        <v>6116</v>
      </c>
      <c r="B1555" s="17" t="s">
        <v>7760</v>
      </c>
      <c r="C1555" s="13">
        <v>43532</v>
      </c>
      <c r="D1555" s="13" t="s">
        <v>8465</v>
      </c>
      <c r="E1555" s="10" t="s">
        <v>73</v>
      </c>
      <c r="F1555" s="10" t="s">
        <v>73</v>
      </c>
      <c r="G1555" s="11" t="s">
        <v>3655</v>
      </c>
      <c r="H1555" s="2" t="s">
        <v>1059</v>
      </c>
      <c r="L1555" s="18">
        <v>1</v>
      </c>
      <c r="M1555" s="14" t="s">
        <v>8462</v>
      </c>
      <c r="N1555" s="13">
        <v>43532</v>
      </c>
      <c r="O1555" s="29">
        <v>59.99</v>
      </c>
      <c r="P1555" s="18" t="s">
        <v>14</v>
      </c>
      <c r="Q1555" s="18">
        <v>0</v>
      </c>
      <c r="U1555" s="22">
        <v>0.87</v>
      </c>
      <c r="V1555" s="22">
        <f>4.15/5</f>
        <v>0.83000000000000007</v>
      </c>
      <c r="X1555" s="3">
        <v>4</v>
      </c>
      <c r="Z1555" s="23">
        <v>11</v>
      </c>
      <c r="AB1555" s="18">
        <f t="shared" si="48"/>
        <v>2019</v>
      </c>
      <c r="AC1555" s="22">
        <f t="shared" si="49"/>
        <v>0.83333333333333337</v>
      </c>
    </row>
    <row r="1556" spans="1:29">
      <c r="A1556" s="8" t="s">
        <v>2378</v>
      </c>
      <c r="B1556" s="17" t="s">
        <v>7749</v>
      </c>
      <c r="C1556" s="13">
        <v>43532</v>
      </c>
      <c r="D1556" s="13" t="s">
        <v>8465</v>
      </c>
      <c r="E1556" s="10" t="s">
        <v>86</v>
      </c>
      <c r="F1556" s="10" t="s">
        <v>1172</v>
      </c>
      <c r="G1556" s="11" t="s">
        <v>223</v>
      </c>
      <c r="H1556" s="2" t="s">
        <v>64</v>
      </c>
      <c r="L1556" s="18">
        <v>1</v>
      </c>
      <c r="M1556" s="14" t="s">
        <v>8462</v>
      </c>
      <c r="N1556" s="13">
        <v>43532</v>
      </c>
      <c r="O1556" s="29">
        <v>40.229999999999997</v>
      </c>
      <c r="P1556" s="18" t="s">
        <v>14</v>
      </c>
      <c r="Q1556" s="18">
        <v>0</v>
      </c>
      <c r="U1556" s="22">
        <v>0.81</v>
      </c>
      <c r="V1556" s="22">
        <f>3.81/5</f>
        <v>0.76200000000000001</v>
      </c>
      <c r="X1556" s="3">
        <v>3</v>
      </c>
      <c r="Z1556" s="23">
        <v>5.5</v>
      </c>
      <c r="AB1556" s="18">
        <f t="shared" si="48"/>
        <v>2019</v>
      </c>
      <c r="AC1556" s="22">
        <f t="shared" si="49"/>
        <v>0.72400000000000009</v>
      </c>
    </row>
    <row r="1557" spans="1:29">
      <c r="A1557" s="8" t="s">
        <v>9248</v>
      </c>
      <c r="B1557" s="17" t="s">
        <v>7800</v>
      </c>
      <c r="C1557" s="13">
        <v>43529</v>
      </c>
      <c r="D1557" s="13" t="s">
        <v>8465</v>
      </c>
      <c r="E1557" s="10" t="s">
        <v>9249</v>
      </c>
      <c r="F1557" s="10" t="s">
        <v>9250</v>
      </c>
      <c r="H1557" s="2" t="s">
        <v>67</v>
      </c>
      <c r="L1557" s="18">
        <v>1</v>
      </c>
      <c r="N1557" s="13">
        <v>44078</v>
      </c>
      <c r="O1557" s="29">
        <v>0</v>
      </c>
      <c r="P1557" s="18" t="s">
        <v>1107</v>
      </c>
      <c r="Q1557" s="18">
        <v>0</v>
      </c>
      <c r="U1557" s="22">
        <v>0.68</v>
      </c>
      <c r="V1557" s="22">
        <f>2.8/5</f>
        <v>0.55999999999999994</v>
      </c>
      <c r="W1557" s="14" t="s">
        <v>7777</v>
      </c>
      <c r="X1557" s="3">
        <v>3</v>
      </c>
      <c r="Z1557" s="23">
        <v>6</v>
      </c>
      <c r="AB1557" s="18">
        <f t="shared" si="48"/>
        <v>2019</v>
      </c>
      <c r="AC1557" s="22">
        <f t="shared" si="49"/>
        <v>0.61333333333333329</v>
      </c>
    </row>
    <row r="1558" spans="1:29">
      <c r="A1558" s="8" t="s">
        <v>12132</v>
      </c>
      <c r="B1558" s="17" t="s">
        <v>7800</v>
      </c>
      <c r="C1558" s="13">
        <v>43529</v>
      </c>
      <c r="D1558" s="13" t="s">
        <v>8465</v>
      </c>
      <c r="E1558" s="10" t="s">
        <v>12097</v>
      </c>
      <c r="F1558" s="10" t="s">
        <v>12097</v>
      </c>
      <c r="H1558" s="2" t="s">
        <v>27</v>
      </c>
      <c r="L1558" s="18">
        <v>1</v>
      </c>
      <c r="O1558" s="29">
        <v>0</v>
      </c>
      <c r="P1558" s="18" t="s">
        <v>1107</v>
      </c>
      <c r="Q1558" s="18">
        <v>0</v>
      </c>
      <c r="W1558" s="14" t="s">
        <v>8765</v>
      </c>
      <c r="X1558" s="3">
        <v>3</v>
      </c>
      <c r="Z1558" s="23">
        <v>2.5</v>
      </c>
      <c r="AB1558" s="18">
        <f t="shared" si="48"/>
        <v>2019</v>
      </c>
      <c r="AC1558" s="22">
        <f t="shared" si="49"/>
        <v>0.6</v>
      </c>
    </row>
    <row r="1559" spans="1:29">
      <c r="A1559" s="8" t="s">
        <v>6144</v>
      </c>
      <c r="B1559" s="17" t="s">
        <v>7760</v>
      </c>
      <c r="C1559" s="13">
        <v>43529</v>
      </c>
      <c r="D1559" s="13" t="s">
        <v>8465</v>
      </c>
      <c r="E1559" s="10" t="s">
        <v>1082</v>
      </c>
      <c r="F1559" s="10" t="s">
        <v>1082</v>
      </c>
      <c r="G1559" s="11" t="s">
        <v>812</v>
      </c>
      <c r="H1559" s="2" t="s">
        <v>1168</v>
      </c>
      <c r="L1559" s="18">
        <v>1</v>
      </c>
      <c r="M1559" s="14" t="s">
        <v>8462</v>
      </c>
      <c r="N1559" s="13">
        <v>43529</v>
      </c>
      <c r="O1559" s="29">
        <v>59.88</v>
      </c>
      <c r="P1559" s="18" t="s">
        <v>14</v>
      </c>
      <c r="Q1559" s="18">
        <v>0</v>
      </c>
      <c r="U1559" s="22">
        <v>0.37</v>
      </c>
      <c r="V1559" s="22">
        <f>2.46/5</f>
        <v>0.49199999999999999</v>
      </c>
      <c r="X1559" s="3">
        <v>3</v>
      </c>
      <c r="Z1559" s="23">
        <v>13</v>
      </c>
      <c r="AB1559" s="18">
        <f t="shared" si="48"/>
        <v>2019</v>
      </c>
      <c r="AC1559" s="22">
        <f t="shared" si="49"/>
        <v>0.48733333333333334</v>
      </c>
    </row>
    <row r="1560" spans="1:29" ht="30">
      <c r="A1560" s="8" t="s">
        <v>1702</v>
      </c>
      <c r="B1560" s="17" t="s">
        <v>7744</v>
      </c>
      <c r="C1560" s="13">
        <v>43525</v>
      </c>
      <c r="D1560" s="13" t="s">
        <v>8465</v>
      </c>
      <c r="E1560" s="10" t="s">
        <v>1703</v>
      </c>
      <c r="F1560" s="10" t="s">
        <v>1703</v>
      </c>
      <c r="G1560" s="11" t="s">
        <v>1704</v>
      </c>
      <c r="H1560" s="2" t="s">
        <v>56</v>
      </c>
      <c r="L1560" s="18">
        <v>1</v>
      </c>
      <c r="M1560" s="14" t="s">
        <v>8462</v>
      </c>
      <c r="N1560" s="13">
        <v>43635</v>
      </c>
      <c r="O1560" s="29">
        <v>35.36</v>
      </c>
      <c r="P1560" s="18" t="s">
        <v>14</v>
      </c>
      <c r="Q1560" s="18">
        <v>0</v>
      </c>
      <c r="U1560" s="22">
        <v>0.78</v>
      </c>
      <c r="V1560" s="22">
        <f>3.63/5</f>
        <v>0.72599999999999998</v>
      </c>
      <c r="W1560" s="14" t="s">
        <v>1134</v>
      </c>
      <c r="X1560" s="3">
        <v>3</v>
      </c>
      <c r="Z1560" s="23">
        <v>2.5</v>
      </c>
      <c r="AB1560" s="18">
        <f t="shared" si="48"/>
        <v>2019</v>
      </c>
      <c r="AC1560" s="22">
        <f t="shared" si="49"/>
        <v>0.70199999999999996</v>
      </c>
    </row>
    <row r="1561" spans="1:29" ht="25.5">
      <c r="A1561" s="8" t="s">
        <v>14185</v>
      </c>
      <c r="B1561" s="17" t="s">
        <v>7800</v>
      </c>
      <c r="C1561" s="13">
        <v>43525</v>
      </c>
      <c r="D1561" s="13" t="s">
        <v>8465</v>
      </c>
      <c r="E1561" s="10" t="s">
        <v>14186</v>
      </c>
      <c r="F1561" s="10" t="s">
        <v>14186</v>
      </c>
      <c r="H1561" s="2" t="s">
        <v>151</v>
      </c>
      <c r="L1561" s="18">
        <v>1</v>
      </c>
      <c r="O1561" s="29">
        <v>0</v>
      </c>
      <c r="P1561" s="18" t="s">
        <v>1107</v>
      </c>
      <c r="Q1561" s="18">
        <v>0</v>
      </c>
      <c r="V1561" s="22">
        <f>3.63/5</f>
        <v>0.72599999999999998</v>
      </c>
      <c r="W1561" s="14" t="s">
        <v>8765</v>
      </c>
      <c r="X1561" s="3">
        <v>2</v>
      </c>
      <c r="Z1561" s="23">
        <f>36/60</f>
        <v>0.6</v>
      </c>
      <c r="AB1561" s="18">
        <f t="shared" si="48"/>
        <v>2019</v>
      </c>
      <c r="AC1561" s="22">
        <f t="shared" si="49"/>
        <v>0.56299999999999994</v>
      </c>
    </row>
    <row r="1562" spans="1:29">
      <c r="A1562" s="8" t="s">
        <v>14221</v>
      </c>
      <c r="B1562" s="17" t="s">
        <v>7734</v>
      </c>
      <c r="C1562" s="13">
        <v>43525</v>
      </c>
      <c r="D1562" s="13" t="s">
        <v>8465</v>
      </c>
      <c r="E1562" s="10" t="s">
        <v>14155</v>
      </c>
      <c r="F1562" s="10" t="s">
        <v>14155</v>
      </c>
      <c r="H1562" s="2" t="s">
        <v>64</v>
      </c>
      <c r="L1562" s="18">
        <v>1</v>
      </c>
      <c r="O1562" s="29">
        <v>0</v>
      </c>
      <c r="P1562" s="18" t="s">
        <v>1107</v>
      </c>
      <c r="Q1562" s="18">
        <v>0</v>
      </c>
      <c r="W1562" s="14" t="s">
        <v>8765</v>
      </c>
      <c r="X1562" s="3">
        <v>2</v>
      </c>
      <c r="AB1562" s="18">
        <f t="shared" si="48"/>
        <v>2019</v>
      </c>
      <c r="AC1562" s="22">
        <f t="shared" si="49"/>
        <v>0.4</v>
      </c>
    </row>
    <row r="1563" spans="1:29">
      <c r="A1563" s="8" t="s">
        <v>8247</v>
      </c>
      <c r="B1563" s="17" t="s">
        <v>7800</v>
      </c>
      <c r="C1563" s="13">
        <v>43524</v>
      </c>
      <c r="D1563" s="13" t="s">
        <v>8465</v>
      </c>
      <c r="E1563" s="10" t="s">
        <v>3063</v>
      </c>
      <c r="F1563" s="10" t="s">
        <v>8252</v>
      </c>
      <c r="H1563" s="2" t="s">
        <v>153</v>
      </c>
      <c r="L1563" s="18">
        <v>1</v>
      </c>
      <c r="N1563" s="13">
        <v>43822</v>
      </c>
      <c r="O1563" s="29">
        <v>0</v>
      </c>
      <c r="P1563" s="18" t="s">
        <v>1107</v>
      </c>
      <c r="Q1563" s="18">
        <v>0</v>
      </c>
      <c r="U1563" s="22">
        <v>0.83</v>
      </c>
      <c r="V1563" s="22">
        <f>3.48/5</f>
        <v>0.69599999999999995</v>
      </c>
      <c r="W1563" s="14" t="s">
        <v>7097</v>
      </c>
      <c r="X1563" s="3">
        <v>3</v>
      </c>
      <c r="Z1563" s="23">
        <v>2.5</v>
      </c>
      <c r="AB1563" s="18">
        <f t="shared" si="48"/>
        <v>2019</v>
      </c>
      <c r="AC1563" s="22">
        <f t="shared" si="49"/>
        <v>0.70866666666666667</v>
      </c>
    </row>
    <row r="1564" spans="1:29">
      <c r="A1564" s="8" t="s">
        <v>9514</v>
      </c>
      <c r="B1564" s="17" t="s">
        <v>7800</v>
      </c>
      <c r="C1564" s="13">
        <v>43522</v>
      </c>
      <c r="D1564" s="13" t="s">
        <v>8465</v>
      </c>
      <c r="E1564" s="10" t="s">
        <v>1047</v>
      </c>
      <c r="F1564" s="10" t="s">
        <v>5467</v>
      </c>
      <c r="G1564" s="11" t="s">
        <v>5468</v>
      </c>
      <c r="H1564" s="2" t="s">
        <v>150</v>
      </c>
      <c r="L1564" s="18">
        <v>1</v>
      </c>
      <c r="N1564" s="13">
        <v>44182</v>
      </c>
      <c r="O1564" s="29">
        <v>0</v>
      </c>
      <c r="P1564" s="18" t="s">
        <v>1107</v>
      </c>
      <c r="Q1564" s="18">
        <v>0</v>
      </c>
      <c r="U1564" s="22">
        <v>0.83</v>
      </c>
      <c r="V1564" s="22">
        <f>3.41/5</f>
        <v>0.68200000000000005</v>
      </c>
      <c r="W1564" s="14" t="s">
        <v>7798</v>
      </c>
      <c r="X1564" s="3">
        <v>3</v>
      </c>
      <c r="Z1564" s="23">
        <v>18</v>
      </c>
      <c r="AB1564" s="18">
        <f t="shared" si="48"/>
        <v>2019</v>
      </c>
      <c r="AC1564" s="22">
        <f t="shared" si="49"/>
        <v>0.70400000000000007</v>
      </c>
    </row>
    <row r="1565" spans="1:29" ht="25.5">
      <c r="A1565" s="8" t="s">
        <v>13769</v>
      </c>
      <c r="B1565" s="17" t="s">
        <v>7744</v>
      </c>
      <c r="C1565" s="13">
        <v>43522</v>
      </c>
      <c r="D1565" s="13" t="s">
        <v>8465</v>
      </c>
      <c r="E1565" s="10" t="s">
        <v>1578</v>
      </c>
      <c r="F1565" s="10" t="s">
        <v>13804</v>
      </c>
      <c r="H1565" s="2" t="s">
        <v>1518</v>
      </c>
      <c r="L1565" s="18">
        <v>1</v>
      </c>
      <c r="M1565" s="14" t="s">
        <v>8462</v>
      </c>
      <c r="N1565" s="13">
        <v>45003</v>
      </c>
      <c r="O1565" s="29">
        <v>43.94</v>
      </c>
      <c r="P1565" s="18" t="s">
        <v>14</v>
      </c>
      <c r="Q1565" s="18">
        <v>0</v>
      </c>
      <c r="U1565" s="22">
        <v>0.61</v>
      </c>
      <c r="V1565" s="22">
        <f>3.43/5</f>
        <v>0.68600000000000005</v>
      </c>
      <c r="X1565" s="3">
        <v>3</v>
      </c>
      <c r="Z1565" s="23">
        <v>4</v>
      </c>
      <c r="AB1565" s="18">
        <f t="shared" si="48"/>
        <v>2019</v>
      </c>
      <c r="AC1565" s="22">
        <f t="shared" si="49"/>
        <v>0.63200000000000001</v>
      </c>
    </row>
    <row r="1566" spans="1:29">
      <c r="A1566" s="8" t="s">
        <v>8296</v>
      </c>
      <c r="B1566" s="17" t="s">
        <v>7800</v>
      </c>
      <c r="C1566" s="13">
        <v>43521</v>
      </c>
      <c r="D1566" s="13" t="s">
        <v>8465</v>
      </c>
      <c r="E1566" s="10" t="s">
        <v>1513</v>
      </c>
      <c r="F1566" s="10" t="s">
        <v>1513</v>
      </c>
      <c r="G1566" s="11" t="s">
        <v>3666</v>
      </c>
      <c r="H1566" s="2" t="s">
        <v>150</v>
      </c>
      <c r="L1566" s="18">
        <v>1</v>
      </c>
      <c r="N1566" s="13">
        <v>43833</v>
      </c>
      <c r="O1566" s="29">
        <v>0</v>
      </c>
      <c r="P1566" s="18" t="s">
        <v>1107</v>
      </c>
      <c r="Q1566" s="18">
        <v>0</v>
      </c>
      <c r="U1566" s="22">
        <v>0.84</v>
      </c>
      <c r="V1566" s="22">
        <f>3.7/5</f>
        <v>0.74</v>
      </c>
      <c r="W1566" s="14" t="s">
        <v>7777</v>
      </c>
      <c r="X1566" s="3">
        <v>2</v>
      </c>
      <c r="Z1566" s="23">
        <v>11.5</v>
      </c>
      <c r="AB1566" s="18">
        <f t="shared" si="48"/>
        <v>2019</v>
      </c>
      <c r="AC1566" s="22">
        <f t="shared" si="49"/>
        <v>0.66</v>
      </c>
    </row>
    <row r="1567" spans="1:29">
      <c r="A1567" s="8" t="s">
        <v>14182</v>
      </c>
      <c r="B1567" s="17" t="s">
        <v>7800</v>
      </c>
      <c r="C1567" s="13">
        <v>43518</v>
      </c>
      <c r="D1567" s="13" t="s">
        <v>8465</v>
      </c>
      <c r="E1567" s="10" t="s">
        <v>14183</v>
      </c>
      <c r="F1567" s="10" t="s">
        <v>14183</v>
      </c>
      <c r="H1567" s="2" t="s">
        <v>21</v>
      </c>
      <c r="L1567" s="18">
        <v>1</v>
      </c>
      <c r="O1567" s="29">
        <v>0</v>
      </c>
      <c r="P1567" s="18" t="s">
        <v>1107</v>
      </c>
      <c r="Q1567" s="18">
        <v>0</v>
      </c>
      <c r="W1567" s="14" t="s">
        <v>8765</v>
      </c>
      <c r="X1567" s="3">
        <v>3</v>
      </c>
      <c r="Z1567" s="23">
        <f>15/60</f>
        <v>0.25</v>
      </c>
      <c r="AB1567" s="18">
        <f t="shared" si="48"/>
        <v>2019</v>
      </c>
      <c r="AC1567" s="22">
        <f t="shared" si="49"/>
        <v>0.6</v>
      </c>
    </row>
    <row r="1568" spans="1:29">
      <c r="A1568" s="8" t="s">
        <v>7571</v>
      </c>
      <c r="B1568" s="17" t="s">
        <v>7800</v>
      </c>
      <c r="C1568" s="13">
        <v>43518</v>
      </c>
      <c r="D1568" s="13" t="s">
        <v>8465</v>
      </c>
      <c r="E1568" s="10" t="s">
        <v>7573</v>
      </c>
      <c r="F1568" s="10" t="s">
        <v>7572</v>
      </c>
      <c r="H1568" s="2" t="s">
        <v>1061</v>
      </c>
      <c r="L1568" s="18">
        <v>1</v>
      </c>
      <c r="N1568" s="13">
        <v>43705</v>
      </c>
      <c r="O1568" s="29">
        <v>0</v>
      </c>
      <c r="P1568" s="18" t="s">
        <v>1107</v>
      </c>
      <c r="Q1568" s="18">
        <v>0</v>
      </c>
      <c r="V1568" s="22">
        <f>2.92/5</f>
        <v>0.58399999999999996</v>
      </c>
      <c r="W1568" s="14" t="s">
        <v>7777</v>
      </c>
      <c r="X1568" s="3">
        <v>2</v>
      </c>
      <c r="Z1568" s="23">
        <v>1</v>
      </c>
      <c r="AB1568" s="18">
        <f t="shared" si="48"/>
        <v>2019</v>
      </c>
      <c r="AC1568" s="22">
        <f t="shared" si="49"/>
        <v>0.49199999999999999</v>
      </c>
    </row>
    <row r="1569" spans="1:29">
      <c r="A1569" s="8" t="s">
        <v>9845</v>
      </c>
      <c r="B1569" s="17" t="s">
        <v>7800</v>
      </c>
      <c r="C1569" s="13">
        <v>43515</v>
      </c>
      <c r="D1569" s="13" t="s">
        <v>8465</v>
      </c>
      <c r="E1569" s="10" t="s">
        <v>3644</v>
      </c>
      <c r="F1569" s="10" t="s">
        <v>3644</v>
      </c>
      <c r="H1569" s="2" t="s">
        <v>1061</v>
      </c>
      <c r="L1569" s="18">
        <v>1</v>
      </c>
      <c r="N1569" s="13">
        <v>44272</v>
      </c>
      <c r="O1569" s="29">
        <v>16.989999999999998</v>
      </c>
      <c r="P1569" s="18" t="s">
        <v>1107</v>
      </c>
      <c r="Q1569" s="18">
        <v>0</v>
      </c>
      <c r="U1569" s="22">
        <v>0.85</v>
      </c>
      <c r="V1569" s="22">
        <f>3.92/5</f>
        <v>0.78400000000000003</v>
      </c>
      <c r="W1569" s="14" t="s">
        <v>5675</v>
      </c>
      <c r="X1569" s="3">
        <v>4</v>
      </c>
      <c r="Z1569" s="23">
        <v>3</v>
      </c>
      <c r="AB1569" s="18">
        <f t="shared" si="48"/>
        <v>2019</v>
      </c>
      <c r="AC1569" s="22">
        <f t="shared" si="49"/>
        <v>0.81133333333333335</v>
      </c>
    </row>
    <row r="1570" spans="1:29" ht="25.5">
      <c r="A1570" s="8" t="s">
        <v>12185</v>
      </c>
      <c r="B1570" s="17" t="s">
        <v>7800</v>
      </c>
      <c r="C1570" s="13">
        <v>43511</v>
      </c>
      <c r="D1570" s="13" t="s">
        <v>8465</v>
      </c>
      <c r="E1570" s="10" t="s">
        <v>9397</v>
      </c>
      <c r="F1570" s="10" t="s">
        <v>1552</v>
      </c>
      <c r="G1570" s="11" t="s">
        <v>12186</v>
      </c>
      <c r="H1570" s="2" t="s">
        <v>80</v>
      </c>
      <c r="L1570" s="18">
        <v>1</v>
      </c>
      <c r="N1570" s="13">
        <v>44758</v>
      </c>
      <c r="O1570" s="29">
        <v>0</v>
      </c>
      <c r="P1570" s="18" t="s">
        <v>1107</v>
      </c>
      <c r="Q1570" s="18">
        <v>0</v>
      </c>
      <c r="V1570" s="22">
        <f>3.5/5</f>
        <v>0.7</v>
      </c>
      <c r="W1570" s="14" t="s">
        <v>7777</v>
      </c>
      <c r="X1570" s="3">
        <v>3</v>
      </c>
      <c r="Z1570" s="23">
        <v>5.5</v>
      </c>
      <c r="AB1570" s="18">
        <f t="shared" si="48"/>
        <v>2019</v>
      </c>
      <c r="AC1570" s="22">
        <f t="shared" si="49"/>
        <v>0.64999999999999991</v>
      </c>
    </row>
    <row r="1571" spans="1:29">
      <c r="A1571" s="8" t="s">
        <v>6516</v>
      </c>
      <c r="B1571" s="17" t="s">
        <v>7766</v>
      </c>
      <c r="C1571" s="13">
        <v>43511</v>
      </c>
      <c r="D1571" s="13" t="s">
        <v>8465</v>
      </c>
      <c r="E1571" s="10" t="s">
        <v>6517</v>
      </c>
      <c r="F1571" s="10" t="s">
        <v>1687</v>
      </c>
      <c r="G1571" s="11" t="s">
        <v>6311</v>
      </c>
      <c r="H1571" s="2" t="s">
        <v>80</v>
      </c>
      <c r="L1571" s="18">
        <v>1</v>
      </c>
      <c r="M1571" s="14" t="s">
        <v>8462</v>
      </c>
      <c r="N1571" s="13">
        <v>43511</v>
      </c>
      <c r="O1571" s="29">
        <v>65.09</v>
      </c>
      <c r="P1571" s="18" t="s">
        <v>14</v>
      </c>
      <c r="Q1571" s="18">
        <v>0</v>
      </c>
      <c r="U1571" s="22">
        <v>0.63</v>
      </c>
      <c r="V1571" s="22">
        <f>2.95/5</f>
        <v>0.59000000000000008</v>
      </c>
      <c r="X1571" s="3">
        <v>3</v>
      </c>
      <c r="Z1571" s="23">
        <v>6.5</v>
      </c>
      <c r="AB1571" s="18">
        <f t="shared" si="48"/>
        <v>2019</v>
      </c>
      <c r="AC1571" s="22">
        <f t="shared" si="49"/>
        <v>0.6066666666666668</v>
      </c>
    </row>
    <row r="1572" spans="1:29" ht="30">
      <c r="A1572" s="8" t="s">
        <v>9478</v>
      </c>
      <c r="B1572" s="17" t="s">
        <v>7760</v>
      </c>
      <c r="C1572" s="13">
        <v>43511</v>
      </c>
      <c r="D1572" s="13" t="s">
        <v>8465</v>
      </c>
      <c r="E1572" s="10" t="s">
        <v>1604</v>
      </c>
      <c r="F1572" s="10" t="s">
        <v>2452</v>
      </c>
      <c r="G1572" s="11" t="s">
        <v>2326</v>
      </c>
      <c r="H1572" s="2" t="s">
        <v>459</v>
      </c>
      <c r="L1572" s="18">
        <v>1</v>
      </c>
      <c r="M1572" s="14" t="s">
        <v>8462</v>
      </c>
      <c r="N1572" s="13">
        <v>44157</v>
      </c>
      <c r="O1572" s="29">
        <v>15.73</v>
      </c>
      <c r="P1572" s="18" t="s">
        <v>14</v>
      </c>
      <c r="Q1572" s="18">
        <v>0</v>
      </c>
      <c r="U1572" s="22">
        <v>0.56000000000000005</v>
      </c>
      <c r="V1572" s="22">
        <f>2.83/5</f>
        <v>0.56600000000000006</v>
      </c>
      <c r="X1572" s="3">
        <v>3</v>
      </c>
      <c r="Z1572" s="23">
        <v>13</v>
      </c>
      <c r="AB1572" s="18">
        <f t="shared" si="48"/>
        <v>2019</v>
      </c>
      <c r="AC1572" s="22">
        <f t="shared" si="49"/>
        <v>0.57533333333333336</v>
      </c>
    </row>
    <row r="1573" spans="1:29">
      <c r="A1573" s="8" t="s">
        <v>8242</v>
      </c>
      <c r="B1573" s="17" t="s">
        <v>7800</v>
      </c>
      <c r="C1573" s="13">
        <v>43511</v>
      </c>
      <c r="D1573" s="13" t="s">
        <v>8465</v>
      </c>
      <c r="E1573" s="10" t="s">
        <v>1163</v>
      </c>
      <c r="F1573" s="10" t="s">
        <v>4439</v>
      </c>
      <c r="G1573" s="11" t="s">
        <v>4440</v>
      </c>
      <c r="H1573" s="2" t="s">
        <v>1050</v>
      </c>
      <c r="L1573" s="18">
        <v>1</v>
      </c>
      <c r="N1573" s="13">
        <v>43818</v>
      </c>
      <c r="O1573" s="29">
        <v>9.99</v>
      </c>
      <c r="P1573" s="18" t="s">
        <v>1107</v>
      </c>
      <c r="Q1573" s="18">
        <v>0</v>
      </c>
      <c r="U1573" s="22">
        <v>0.82</v>
      </c>
      <c r="V1573" s="22">
        <f>3.8/5</f>
        <v>0.76</v>
      </c>
      <c r="W1573" s="14" t="s">
        <v>7097</v>
      </c>
      <c r="X1573" s="3">
        <v>4</v>
      </c>
      <c r="Z1573" s="23">
        <v>14</v>
      </c>
      <c r="AB1573" s="18">
        <f t="shared" si="48"/>
        <v>2019</v>
      </c>
      <c r="AC1573" s="22">
        <f t="shared" si="49"/>
        <v>0.79333333333333333</v>
      </c>
    </row>
    <row r="1574" spans="1:29">
      <c r="A1574" s="8" t="s">
        <v>8323</v>
      </c>
      <c r="B1574" s="17" t="s">
        <v>7800</v>
      </c>
      <c r="C1574" s="13">
        <v>43510</v>
      </c>
      <c r="D1574" s="13" t="s">
        <v>8465</v>
      </c>
      <c r="E1574" s="10" t="s">
        <v>7300</v>
      </c>
      <c r="F1574" s="10" t="s">
        <v>5959</v>
      </c>
      <c r="H1574" s="2" t="s">
        <v>67</v>
      </c>
      <c r="L1574" s="18">
        <v>1</v>
      </c>
      <c r="N1574" s="13">
        <v>43863</v>
      </c>
      <c r="O1574" s="29">
        <v>3.49</v>
      </c>
      <c r="P1574" s="18" t="s">
        <v>1107</v>
      </c>
      <c r="Q1574" s="18">
        <v>0</v>
      </c>
      <c r="V1574" s="22">
        <f>3.39/5</f>
        <v>0.67800000000000005</v>
      </c>
      <c r="W1574" s="14" t="s">
        <v>7777</v>
      </c>
      <c r="X1574" s="3">
        <v>3</v>
      </c>
      <c r="Z1574" s="23">
        <v>2</v>
      </c>
      <c r="AB1574" s="18">
        <f t="shared" si="48"/>
        <v>2019</v>
      </c>
      <c r="AC1574" s="22">
        <f t="shared" si="49"/>
        <v>0.63900000000000001</v>
      </c>
    </row>
    <row r="1575" spans="1:29" ht="25.5">
      <c r="A1575" s="8" t="s">
        <v>16076</v>
      </c>
      <c r="B1575" s="17" t="s">
        <v>7800</v>
      </c>
      <c r="C1575" s="13">
        <v>43510</v>
      </c>
      <c r="D1575" s="13" t="s">
        <v>8465</v>
      </c>
      <c r="E1575" s="10" t="s">
        <v>13628</v>
      </c>
      <c r="F1575" s="10" t="s">
        <v>16077</v>
      </c>
      <c r="H1575" s="2" t="s">
        <v>2138</v>
      </c>
      <c r="L1575" s="18">
        <v>1</v>
      </c>
      <c r="N1575" s="13">
        <v>45218</v>
      </c>
      <c r="O1575" s="29">
        <v>0</v>
      </c>
      <c r="P1575" s="18" t="s">
        <v>1107</v>
      </c>
      <c r="Q1575" s="18">
        <v>0</v>
      </c>
      <c r="U1575" s="22">
        <v>0.78</v>
      </c>
      <c r="V1575" s="22">
        <f>3.19/5</f>
        <v>0.63800000000000001</v>
      </c>
      <c r="W1575" s="14" t="s">
        <v>7778</v>
      </c>
      <c r="X1575" s="3">
        <v>3</v>
      </c>
      <c r="Z1575" s="23">
        <v>4</v>
      </c>
      <c r="AB1575" s="18">
        <f t="shared" si="48"/>
        <v>2019</v>
      </c>
      <c r="AC1575" s="22">
        <f t="shared" si="49"/>
        <v>0.67266666666666675</v>
      </c>
    </row>
    <row r="1576" spans="1:29">
      <c r="A1576" s="8" t="s">
        <v>3012</v>
      </c>
      <c r="B1576" s="17" t="s">
        <v>7744</v>
      </c>
      <c r="C1576" s="13">
        <v>43509</v>
      </c>
      <c r="D1576" s="13" t="s">
        <v>9335</v>
      </c>
      <c r="E1576" s="10" t="s">
        <v>1082</v>
      </c>
      <c r="F1576" s="10" t="s">
        <v>1082</v>
      </c>
      <c r="G1576" s="11" t="s">
        <v>126</v>
      </c>
      <c r="H1576" s="2" t="s">
        <v>149</v>
      </c>
      <c r="K1576" s="18">
        <v>2</v>
      </c>
      <c r="L1576" s="18">
        <v>1</v>
      </c>
      <c r="M1576" s="14" t="s">
        <v>8462</v>
      </c>
      <c r="N1576" s="13">
        <v>44131</v>
      </c>
      <c r="O1576" s="29">
        <v>41.99</v>
      </c>
      <c r="P1576" s="18" t="s">
        <v>14</v>
      </c>
      <c r="Q1576" s="18">
        <v>0</v>
      </c>
      <c r="U1576" s="22">
        <v>0.76</v>
      </c>
      <c r="V1576" s="22">
        <f>4.25/5</f>
        <v>0.85</v>
      </c>
      <c r="X1576" s="3">
        <v>2</v>
      </c>
      <c r="Z1576" s="23">
        <v>39.5</v>
      </c>
      <c r="AB1576" s="18">
        <f t="shared" si="48"/>
        <v>2019</v>
      </c>
      <c r="AC1576" s="22">
        <f t="shared" si="49"/>
        <v>0.66999999999999993</v>
      </c>
    </row>
    <row r="1577" spans="1:29" ht="25.5">
      <c r="A1577" s="8" t="s">
        <v>8830</v>
      </c>
      <c r="B1577" s="17" t="s">
        <v>7800</v>
      </c>
      <c r="C1577" s="13">
        <v>43509</v>
      </c>
      <c r="D1577" s="13" t="s">
        <v>8465</v>
      </c>
      <c r="E1577" s="10" t="s">
        <v>3074</v>
      </c>
      <c r="F1577" s="10" t="s">
        <v>5350</v>
      </c>
      <c r="H1577" s="2" t="s">
        <v>1518</v>
      </c>
      <c r="L1577" s="18">
        <v>1</v>
      </c>
      <c r="N1577" s="13">
        <v>43991</v>
      </c>
      <c r="O1577" s="29">
        <v>0.25</v>
      </c>
      <c r="P1577" s="18" t="s">
        <v>1107</v>
      </c>
      <c r="Q1577" s="18">
        <v>0</v>
      </c>
      <c r="U1577" s="22">
        <v>0.51</v>
      </c>
      <c r="V1577" s="22">
        <f>3.1/5</f>
        <v>0.62</v>
      </c>
      <c r="W1577" s="14" t="s">
        <v>7777</v>
      </c>
      <c r="X1577" s="3">
        <v>2</v>
      </c>
      <c r="Z1577" s="23">
        <v>3.5</v>
      </c>
      <c r="AB1577" s="18">
        <f t="shared" si="48"/>
        <v>2019</v>
      </c>
      <c r="AC1577" s="22">
        <f t="shared" si="49"/>
        <v>0.5099999999999999</v>
      </c>
    </row>
    <row r="1578" spans="1:29">
      <c r="A1578" s="8" t="s">
        <v>5244</v>
      </c>
      <c r="B1578" s="17" t="s">
        <v>7800</v>
      </c>
      <c r="C1578" s="13">
        <v>43509</v>
      </c>
      <c r="D1578" s="13" t="s">
        <v>8465</v>
      </c>
      <c r="E1578" s="10" t="s">
        <v>5245</v>
      </c>
      <c r="F1578" s="10" t="s">
        <v>5245</v>
      </c>
      <c r="H1578" s="2" t="s">
        <v>1050</v>
      </c>
      <c r="L1578" s="18">
        <v>1</v>
      </c>
      <c r="N1578" s="13">
        <v>43565</v>
      </c>
      <c r="O1578" s="29">
        <v>0</v>
      </c>
      <c r="P1578" s="18" t="s">
        <v>1107</v>
      </c>
      <c r="Q1578" s="18">
        <v>0</v>
      </c>
      <c r="U1578" s="22">
        <v>0.73</v>
      </c>
      <c r="V1578" s="22">
        <f>3.5/5</f>
        <v>0.7</v>
      </c>
      <c r="W1578" s="14" t="s">
        <v>7777</v>
      </c>
      <c r="X1578" s="3">
        <v>2</v>
      </c>
      <c r="Z1578" s="23">
        <v>2</v>
      </c>
      <c r="AB1578" s="18">
        <f t="shared" si="48"/>
        <v>2019</v>
      </c>
      <c r="AC1578" s="22">
        <f t="shared" si="49"/>
        <v>0.61</v>
      </c>
    </row>
    <row r="1579" spans="1:29" ht="25.5">
      <c r="A1579" s="8" t="s">
        <v>13241</v>
      </c>
      <c r="B1579" s="17" t="s">
        <v>7760</v>
      </c>
      <c r="C1579" s="13">
        <v>43508</v>
      </c>
      <c r="D1579" s="13" t="s">
        <v>8465</v>
      </c>
      <c r="E1579" s="10" t="s">
        <v>1062</v>
      </c>
      <c r="F1579" s="10" t="s">
        <v>2285</v>
      </c>
      <c r="H1579" s="2" t="s">
        <v>80</v>
      </c>
      <c r="L1579" s="18">
        <v>1</v>
      </c>
      <c r="M1579" s="14" t="s">
        <v>8462</v>
      </c>
      <c r="N1579" s="13">
        <v>44933</v>
      </c>
      <c r="O1579" s="29">
        <v>44.48</v>
      </c>
      <c r="P1579" s="18" t="s">
        <v>14</v>
      </c>
      <c r="Q1579" s="18">
        <v>0</v>
      </c>
      <c r="U1579" s="22">
        <v>0.69</v>
      </c>
      <c r="V1579" s="22">
        <f>3.67/5</f>
        <v>0.73399999999999999</v>
      </c>
      <c r="X1579" s="3">
        <v>2</v>
      </c>
      <c r="Z1579" s="23">
        <v>4.5</v>
      </c>
      <c r="AB1579" s="18">
        <f t="shared" si="48"/>
        <v>2019</v>
      </c>
      <c r="AC1579" s="22">
        <f t="shared" si="49"/>
        <v>0.60799999999999998</v>
      </c>
    </row>
    <row r="1580" spans="1:29">
      <c r="A1580" s="8" t="s">
        <v>8862</v>
      </c>
      <c r="B1580" s="17" t="s">
        <v>7800</v>
      </c>
      <c r="C1580" s="13">
        <v>43508</v>
      </c>
      <c r="D1580" s="13" t="s">
        <v>8465</v>
      </c>
      <c r="E1580" s="10" t="s">
        <v>7877</v>
      </c>
      <c r="F1580" s="10" t="s">
        <v>8863</v>
      </c>
      <c r="H1580" s="2" t="s">
        <v>1057</v>
      </c>
      <c r="L1580" s="18">
        <v>1</v>
      </c>
      <c r="N1580" s="13">
        <v>43987</v>
      </c>
      <c r="O1580" s="29">
        <v>0</v>
      </c>
      <c r="P1580" s="18" t="s">
        <v>1107</v>
      </c>
      <c r="Q1580" s="18">
        <v>0</v>
      </c>
      <c r="U1580" s="22">
        <v>0.78</v>
      </c>
      <c r="V1580" s="22">
        <f>3/5</f>
        <v>0.6</v>
      </c>
      <c r="W1580" s="14" t="s">
        <v>7777</v>
      </c>
      <c r="X1580" s="3">
        <v>2</v>
      </c>
      <c r="Z1580" s="23">
        <v>8</v>
      </c>
      <c r="AB1580" s="18">
        <f t="shared" si="48"/>
        <v>2019</v>
      </c>
      <c r="AC1580" s="22">
        <f t="shared" si="49"/>
        <v>0.59333333333333327</v>
      </c>
    </row>
    <row r="1581" spans="1:29">
      <c r="A1581" s="8" t="s">
        <v>12030</v>
      </c>
      <c r="B1581" s="17" t="s">
        <v>7800</v>
      </c>
      <c r="C1581" s="13">
        <v>43508</v>
      </c>
      <c r="D1581" s="13" t="s">
        <v>8465</v>
      </c>
      <c r="E1581" s="10" t="s">
        <v>4388</v>
      </c>
      <c r="F1581" s="10" t="s">
        <v>12033</v>
      </c>
      <c r="H1581" s="2" t="s">
        <v>1334</v>
      </c>
      <c r="L1581" s="18">
        <v>1</v>
      </c>
      <c r="N1581" s="13">
        <v>44730</v>
      </c>
      <c r="O1581" s="29">
        <v>0</v>
      </c>
      <c r="P1581" s="18" t="s">
        <v>1107</v>
      </c>
      <c r="Q1581" s="18">
        <v>0</v>
      </c>
      <c r="U1581" s="22">
        <v>0.54</v>
      </c>
      <c r="V1581" s="22">
        <f>1.5/5</f>
        <v>0.3</v>
      </c>
      <c r="W1581" s="14" t="s">
        <v>7777</v>
      </c>
      <c r="X1581" s="3">
        <v>2</v>
      </c>
      <c r="AB1581" s="18">
        <f t="shared" si="48"/>
        <v>2019</v>
      </c>
      <c r="AC1581" s="22">
        <f t="shared" si="49"/>
        <v>0.41333333333333339</v>
      </c>
    </row>
    <row r="1582" spans="1:29">
      <c r="A1582" s="8" t="s">
        <v>10275</v>
      </c>
      <c r="B1582" s="17" t="s">
        <v>7749</v>
      </c>
      <c r="C1582" s="13">
        <v>43504</v>
      </c>
      <c r="D1582" s="13" t="s">
        <v>8465</v>
      </c>
      <c r="E1582" s="10" t="s">
        <v>86</v>
      </c>
      <c r="F1582" s="10" t="s">
        <v>2129</v>
      </c>
      <c r="G1582" s="11" t="s">
        <v>10273</v>
      </c>
      <c r="H1582" s="2" t="s">
        <v>149</v>
      </c>
      <c r="L1582" s="18">
        <v>1</v>
      </c>
      <c r="N1582" s="13">
        <v>44923</v>
      </c>
      <c r="O1582" s="29">
        <v>39.99</v>
      </c>
      <c r="P1582" s="18" t="s">
        <v>1107</v>
      </c>
      <c r="Q1582" s="18">
        <v>0</v>
      </c>
      <c r="U1582" s="22">
        <v>0.8</v>
      </c>
      <c r="V1582" s="22">
        <f>4.42/5</f>
        <v>0.88400000000000001</v>
      </c>
      <c r="X1582" s="3">
        <v>3</v>
      </c>
      <c r="Z1582" s="23">
        <v>46.5</v>
      </c>
      <c r="AB1582" s="18">
        <f t="shared" si="48"/>
        <v>2019</v>
      </c>
      <c r="AC1582" s="22">
        <f t="shared" si="49"/>
        <v>0.76133333333333342</v>
      </c>
    </row>
    <row r="1583" spans="1:29" ht="30">
      <c r="A1583" s="8" t="s">
        <v>8312</v>
      </c>
      <c r="B1583" s="17" t="s">
        <v>7800</v>
      </c>
      <c r="C1583" s="13">
        <v>43503</v>
      </c>
      <c r="D1583" s="13" t="s">
        <v>8465</v>
      </c>
      <c r="E1583" s="10" t="s">
        <v>4063</v>
      </c>
      <c r="F1583" s="10" t="s">
        <v>8313</v>
      </c>
      <c r="H1583" s="2" t="s">
        <v>67</v>
      </c>
      <c r="L1583" s="18">
        <v>1</v>
      </c>
      <c r="N1583" s="13">
        <v>43846</v>
      </c>
      <c r="O1583" s="29">
        <v>0</v>
      </c>
      <c r="P1583" s="18" t="s">
        <v>1107</v>
      </c>
      <c r="Q1583" s="18">
        <v>0</v>
      </c>
      <c r="U1583" s="22">
        <v>0.76</v>
      </c>
      <c r="V1583" s="22">
        <f>3/5</f>
        <v>0.6</v>
      </c>
      <c r="W1583" s="14" t="s">
        <v>7777</v>
      </c>
      <c r="X1583" s="3">
        <v>2</v>
      </c>
      <c r="Z1583" s="23">
        <v>3.5</v>
      </c>
      <c r="AB1583" s="18">
        <f t="shared" si="48"/>
        <v>2019</v>
      </c>
      <c r="AC1583" s="22">
        <f t="shared" si="49"/>
        <v>0.58666666666666656</v>
      </c>
    </row>
    <row r="1584" spans="1:29">
      <c r="A1584" s="8" t="s">
        <v>2370</v>
      </c>
      <c r="B1584" s="17" t="s">
        <v>7749</v>
      </c>
      <c r="C1584" s="13">
        <v>43501</v>
      </c>
      <c r="D1584" s="13" t="s">
        <v>8465</v>
      </c>
      <c r="E1584" s="10" t="s">
        <v>228</v>
      </c>
      <c r="F1584" s="10" t="s">
        <v>228</v>
      </c>
      <c r="G1584" s="11" t="s">
        <v>2239</v>
      </c>
      <c r="H1584" s="2" t="s">
        <v>1377</v>
      </c>
      <c r="L1584" s="18">
        <v>1</v>
      </c>
      <c r="M1584" s="14" t="s">
        <v>8462</v>
      </c>
      <c r="N1584" s="13">
        <v>43501</v>
      </c>
      <c r="O1584" s="29">
        <v>41.64</v>
      </c>
      <c r="P1584" s="18" t="s">
        <v>14</v>
      </c>
      <c r="Q1584" s="18">
        <v>0</v>
      </c>
      <c r="U1584" s="22">
        <v>0.82</v>
      </c>
      <c r="V1584" s="22">
        <f>4.02/5</f>
        <v>0.80399999999999994</v>
      </c>
      <c r="X1584" s="3">
        <v>4</v>
      </c>
      <c r="Z1584" s="23">
        <v>64.5</v>
      </c>
      <c r="AB1584" s="18">
        <f t="shared" si="48"/>
        <v>2019</v>
      </c>
      <c r="AC1584" s="22">
        <f t="shared" si="49"/>
        <v>0.80799999999999994</v>
      </c>
    </row>
    <row r="1585" spans="1:29">
      <c r="A1585" s="8" t="s">
        <v>8005</v>
      </c>
      <c r="B1585" s="17" t="s">
        <v>7800</v>
      </c>
      <c r="C1585" s="13">
        <v>43501</v>
      </c>
      <c r="D1585" s="13" t="s">
        <v>8465</v>
      </c>
      <c r="E1585" s="10" t="s">
        <v>8006</v>
      </c>
      <c r="F1585" s="10" t="s">
        <v>8007</v>
      </c>
      <c r="H1585" s="2" t="s">
        <v>2820</v>
      </c>
      <c r="L1585" s="18">
        <v>1</v>
      </c>
      <c r="N1585" s="13">
        <v>43767</v>
      </c>
      <c r="O1585" s="29">
        <v>0</v>
      </c>
      <c r="P1585" s="18" t="s">
        <v>1107</v>
      </c>
      <c r="Q1585" s="18">
        <v>0</v>
      </c>
      <c r="V1585" s="22">
        <f>2.63/5</f>
        <v>0.52600000000000002</v>
      </c>
      <c r="W1585" s="14" t="s">
        <v>7777</v>
      </c>
      <c r="X1585" s="3">
        <v>2</v>
      </c>
      <c r="Z1585" s="23">
        <v>5</v>
      </c>
      <c r="AB1585" s="18">
        <f t="shared" si="48"/>
        <v>2019</v>
      </c>
      <c r="AC1585" s="22">
        <f t="shared" si="49"/>
        <v>0.46300000000000002</v>
      </c>
    </row>
    <row r="1586" spans="1:29">
      <c r="A1586" s="8" t="s">
        <v>9157</v>
      </c>
      <c r="B1586" s="17" t="s">
        <v>7800</v>
      </c>
      <c r="C1586" s="13">
        <v>43497</v>
      </c>
      <c r="D1586" s="13" t="s">
        <v>8465</v>
      </c>
      <c r="E1586" s="10" t="s">
        <v>4850</v>
      </c>
      <c r="F1586" s="10" t="s">
        <v>4850</v>
      </c>
      <c r="H1586" s="2" t="s">
        <v>75</v>
      </c>
      <c r="L1586" s="18">
        <v>1</v>
      </c>
      <c r="N1586" s="13">
        <v>44050</v>
      </c>
      <c r="O1586" s="29">
        <v>11</v>
      </c>
      <c r="P1586" s="18" t="s">
        <v>1107</v>
      </c>
      <c r="Q1586" s="18">
        <v>0</v>
      </c>
      <c r="U1586" s="22">
        <v>0.82</v>
      </c>
      <c r="V1586" s="22">
        <f>3.74/5</f>
        <v>0.748</v>
      </c>
      <c r="W1586" s="14" t="s">
        <v>7777</v>
      </c>
      <c r="X1586" s="3">
        <v>4</v>
      </c>
      <c r="Z1586" s="23">
        <v>20</v>
      </c>
      <c r="AB1586" s="18">
        <f t="shared" si="48"/>
        <v>2019</v>
      </c>
      <c r="AC1586" s="22">
        <f t="shared" si="49"/>
        <v>0.78933333333333344</v>
      </c>
    </row>
    <row r="1587" spans="1:29">
      <c r="A1587" s="8" t="s">
        <v>9355</v>
      </c>
      <c r="B1587" s="17" t="s">
        <v>7800</v>
      </c>
      <c r="C1587" s="13">
        <v>43496</v>
      </c>
      <c r="D1587" s="13" t="s">
        <v>8465</v>
      </c>
      <c r="E1587" s="10" t="s">
        <v>5184</v>
      </c>
      <c r="F1587" s="10" t="s">
        <v>5184</v>
      </c>
      <c r="G1587" s="11" t="s">
        <v>5185</v>
      </c>
      <c r="H1587" s="2" t="s">
        <v>1720</v>
      </c>
      <c r="L1587" s="18">
        <v>1</v>
      </c>
      <c r="N1587" s="13">
        <v>44106</v>
      </c>
      <c r="O1587" s="29">
        <v>0</v>
      </c>
      <c r="P1587" s="18" t="s">
        <v>1107</v>
      </c>
      <c r="Q1587" s="18">
        <v>0</v>
      </c>
      <c r="U1587" s="22">
        <v>0.87</v>
      </c>
      <c r="V1587" s="22">
        <f>3.5/5</f>
        <v>0.7</v>
      </c>
      <c r="W1587" s="14" t="s">
        <v>7777</v>
      </c>
      <c r="X1587" s="3">
        <v>2</v>
      </c>
      <c r="Z1587" s="23">
        <v>32</v>
      </c>
      <c r="AB1587" s="18">
        <f t="shared" si="48"/>
        <v>2019</v>
      </c>
      <c r="AC1587" s="22">
        <f t="shared" si="49"/>
        <v>0.65666666666666662</v>
      </c>
    </row>
    <row r="1588" spans="1:29" ht="30">
      <c r="A1588" s="8" t="s">
        <v>8957</v>
      </c>
      <c r="B1588" s="17" t="s">
        <v>7800</v>
      </c>
      <c r="C1588" s="13">
        <v>43496</v>
      </c>
      <c r="D1588" s="13" t="s">
        <v>8465</v>
      </c>
      <c r="E1588" s="10" t="s">
        <v>1680</v>
      </c>
      <c r="F1588" s="10" t="s">
        <v>3113</v>
      </c>
      <c r="G1588" s="11" t="s">
        <v>3114</v>
      </c>
      <c r="H1588" s="2" t="s">
        <v>75</v>
      </c>
      <c r="L1588" s="18">
        <v>1</v>
      </c>
      <c r="N1588" s="13">
        <v>44007</v>
      </c>
      <c r="O1588" s="29">
        <v>3.74</v>
      </c>
      <c r="P1588" s="18" t="s">
        <v>1107</v>
      </c>
      <c r="Q1588" s="18">
        <v>0</v>
      </c>
      <c r="V1588" s="22">
        <f>3.72/5</f>
        <v>0.74399999999999999</v>
      </c>
      <c r="W1588" s="14" t="s">
        <v>7777</v>
      </c>
      <c r="X1588" s="3">
        <v>2</v>
      </c>
      <c r="Z1588" s="23">
        <v>23</v>
      </c>
      <c r="AB1588" s="18">
        <f t="shared" si="48"/>
        <v>2019</v>
      </c>
      <c r="AC1588" s="22">
        <f t="shared" si="49"/>
        <v>0.57200000000000006</v>
      </c>
    </row>
    <row r="1589" spans="1:29" ht="25.5">
      <c r="A1589" s="8" t="s">
        <v>1590</v>
      </c>
      <c r="B1589" s="17" t="s">
        <v>7744</v>
      </c>
      <c r="C1589" s="13">
        <v>43496</v>
      </c>
      <c r="D1589" s="13" t="s">
        <v>8465</v>
      </c>
      <c r="E1589" s="10" t="s">
        <v>1591</v>
      </c>
      <c r="F1589" s="10" t="s">
        <v>1070</v>
      </c>
      <c r="H1589" s="2" t="s">
        <v>171</v>
      </c>
      <c r="L1589" s="18">
        <v>1</v>
      </c>
      <c r="M1589" s="14" t="s">
        <v>8462</v>
      </c>
      <c r="N1589" s="13">
        <v>43550</v>
      </c>
      <c r="O1589" s="29">
        <v>54.24</v>
      </c>
      <c r="P1589" s="18" t="s">
        <v>14</v>
      </c>
      <c r="Q1589" s="18">
        <v>0</v>
      </c>
      <c r="U1589" s="22">
        <v>0.71</v>
      </c>
      <c r="V1589" s="22">
        <f>3.68/5</f>
        <v>0.73599999999999999</v>
      </c>
      <c r="X1589" s="3">
        <v>2</v>
      </c>
      <c r="Z1589" s="23">
        <v>21</v>
      </c>
      <c r="AB1589" s="18">
        <f t="shared" si="48"/>
        <v>2019</v>
      </c>
      <c r="AC1589" s="22">
        <f t="shared" si="49"/>
        <v>0.6153333333333334</v>
      </c>
    </row>
    <row r="1590" spans="1:29" ht="30">
      <c r="A1590" s="8" t="s">
        <v>7882</v>
      </c>
      <c r="B1590" s="17" t="s">
        <v>7763</v>
      </c>
      <c r="C1590" s="13">
        <v>43496</v>
      </c>
      <c r="D1590" s="13" t="s">
        <v>8467</v>
      </c>
      <c r="E1590" s="10" t="s">
        <v>7883</v>
      </c>
      <c r="F1590" s="10" t="s">
        <v>7884</v>
      </c>
      <c r="H1590" s="2" t="s">
        <v>56</v>
      </c>
      <c r="L1590" s="18">
        <v>1</v>
      </c>
      <c r="M1590" s="14" t="s">
        <v>8462</v>
      </c>
      <c r="N1590" s="13">
        <v>43736</v>
      </c>
      <c r="O1590" s="29">
        <v>35.619999999999997</v>
      </c>
      <c r="P1590" s="18" t="s">
        <v>14</v>
      </c>
      <c r="Q1590" s="18">
        <v>0</v>
      </c>
      <c r="U1590" s="22">
        <v>0.7</v>
      </c>
      <c r="W1590" s="14" t="s">
        <v>1740</v>
      </c>
      <c r="X1590" s="3">
        <v>2</v>
      </c>
      <c r="Z1590" s="23">
        <v>2.5</v>
      </c>
      <c r="AB1590" s="18">
        <f t="shared" si="48"/>
        <v>2019</v>
      </c>
      <c r="AC1590" s="22">
        <f t="shared" si="49"/>
        <v>0.55000000000000004</v>
      </c>
    </row>
    <row r="1591" spans="1:29" ht="30">
      <c r="A1591" s="8" t="s">
        <v>6141</v>
      </c>
      <c r="B1591" s="17" t="s">
        <v>7760</v>
      </c>
      <c r="C1591" s="13">
        <v>43494</v>
      </c>
      <c r="D1591" s="13" t="s">
        <v>8465</v>
      </c>
      <c r="E1591" s="10" t="s">
        <v>1082</v>
      </c>
      <c r="F1591" s="10" t="s">
        <v>6140</v>
      </c>
      <c r="G1591" s="11" t="s">
        <v>1957</v>
      </c>
      <c r="H1591" s="2" t="s">
        <v>171</v>
      </c>
      <c r="L1591" s="18">
        <v>1</v>
      </c>
      <c r="M1591" s="14" t="s">
        <v>8462</v>
      </c>
      <c r="N1591" s="13">
        <v>43506</v>
      </c>
      <c r="O1591" s="29">
        <v>38.869999999999997</v>
      </c>
      <c r="P1591" s="18" t="s">
        <v>14</v>
      </c>
      <c r="Q1591" s="18">
        <v>0</v>
      </c>
      <c r="U1591" s="22">
        <v>0.82</v>
      </c>
      <c r="V1591" s="22">
        <f>3.93/5</f>
        <v>0.78600000000000003</v>
      </c>
      <c r="X1591" s="3">
        <v>4</v>
      </c>
      <c r="Z1591" s="23">
        <v>28.5</v>
      </c>
      <c r="AB1591" s="18">
        <f t="shared" si="48"/>
        <v>2019</v>
      </c>
      <c r="AC1591" s="22">
        <f t="shared" si="49"/>
        <v>0.80199999999999994</v>
      </c>
    </row>
    <row r="1592" spans="1:29" ht="30">
      <c r="A1592" s="8" t="s">
        <v>12601</v>
      </c>
      <c r="B1592" s="17" t="s">
        <v>7800</v>
      </c>
      <c r="C1592" s="13">
        <v>43494</v>
      </c>
      <c r="D1592" s="13" t="s">
        <v>8465</v>
      </c>
      <c r="E1592" s="10" t="s">
        <v>8762</v>
      </c>
      <c r="F1592" s="10" t="s">
        <v>12602</v>
      </c>
      <c r="G1592" s="11" t="s">
        <v>12601</v>
      </c>
      <c r="H1592" s="2" t="s">
        <v>1334</v>
      </c>
      <c r="L1592" s="18">
        <v>1</v>
      </c>
      <c r="P1592" s="18" t="s">
        <v>1107</v>
      </c>
      <c r="Q1592" s="18">
        <v>0</v>
      </c>
      <c r="V1592" s="22">
        <f>3.44/5</f>
        <v>0.68799999999999994</v>
      </c>
      <c r="W1592" s="14" t="s">
        <v>7777</v>
      </c>
      <c r="X1592" s="3">
        <v>2</v>
      </c>
      <c r="Z1592" s="23">
        <v>26.5</v>
      </c>
      <c r="AB1592" s="18">
        <f t="shared" si="48"/>
        <v>2019</v>
      </c>
      <c r="AC1592" s="22">
        <f t="shared" si="49"/>
        <v>0.54400000000000004</v>
      </c>
    </row>
    <row r="1593" spans="1:29">
      <c r="A1593" s="8" t="s">
        <v>9159</v>
      </c>
      <c r="B1593" s="17" t="s">
        <v>7800</v>
      </c>
      <c r="C1593" s="13">
        <v>43494</v>
      </c>
      <c r="D1593" s="13" t="s">
        <v>8465</v>
      </c>
      <c r="E1593" s="10" t="s">
        <v>1634</v>
      </c>
      <c r="F1593" s="10" t="s">
        <v>9160</v>
      </c>
      <c r="H1593" s="2" t="s">
        <v>1050</v>
      </c>
      <c r="L1593" s="18">
        <v>1</v>
      </c>
      <c r="N1593" s="13">
        <v>44050</v>
      </c>
      <c r="O1593" s="29">
        <v>0</v>
      </c>
      <c r="P1593" s="18" t="s">
        <v>1107</v>
      </c>
      <c r="Q1593" s="18">
        <v>0</v>
      </c>
      <c r="U1593" s="22">
        <v>0.67</v>
      </c>
      <c r="V1593" s="22">
        <f>2.94/5</f>
        <v>0.58799999999999997</v>
      </c>
      <c r="W1593" s="14" t="s">
        <v>7777</v>
      </c>
      <c r="X1593" s="3">
        <v>2</v>
      </c>
      <c r="Z1593" s="23">
        <v>8</v>
      </c>
      <c r="AB1593" s="18">
        <f t="shared" si="48"/>
        <v>2019</v>
      </c>
      <c r="AC1593" s="22">
        <f t="shared" si="49"/>
        <v>0.55266666666666664</v>
      </c>
    </row>
    <row r="1594" spans="1:29" ht="45">
      <c r="A1594" s="8" t="s">
        <v>7049</v>
      </c>
      <c r="B1594" s="17" t="s">
        <v>7800</v>
      </c>
      <c r="C1594" s="13">
        <v>43489</v>
      </c>
      <c r="D1594" s="13" t="s">
        <v>8465</v>
      </c>
      <c r="E1594" s="10" t="s">
        <v>3063</v>
      </c>
      <c r="F1594" s="10" t="s">
        <v>7050</v>
      </c>
      <c r="H1594" s="2" t="s">
        <v>67</v>
      </c>
      <c r="L1594" s="18">
        <v>1</v>
      </c>
      <c r="O1594" s="29">
        <v>0</v>
      </c>
      <c r="P1594" s="18" t="s">
        <v>1107</v>
      </c>
      <c r="Q1594" s="18">
        <v>0</v>
      </c>
      <c r="U1594" s="22">
        <v>0.71</v>
      </c>
      <c r="V1594" s="22">
        <f>3.43/5</f>
        <v>0.68600000000000005</v>
      </c>
      <c r="W1594" s="14" t="s">
        <v>7799</v>
      </c>
      <c r="X1594" s="3">
        <v>2</v>
      </c>
      <c r="Z1594" s="23">
        <v>3</v>
      </c>
      <c r="AB1594" s="18">
        <f t="shared" si="48"/>
        <v>2019</v>
      </c>
      <c r="AC1594" s="22">
        <f t="shared" si="49"/>
        <v>0.59866666666666657</v>
      </c>
    </row>
    <row r="1595" spans="1:29">
      <c r="A1595" s="8" t="s">
        <v>5037</v>
      </c>
      <c r="B1595" s="17" t="s">
        <v>7800</v>
      </c>
      <c r="C1595" s="13">
        <v>43488</v>
      </c>
      <c r="D1595" s="13" t="s">
        <v>8465</v>
      </c>
      <c r="E1595" s="10" t="s">
        <v>5038</v>
      </c>
      <c r="F1595" s="10" t="s">
        <v>5038</v>
      </c>
      <c r="H1595" s="2" t="s">
        <v>3411</v>
      </c>
      <c r="L1595" s="18">
        <v>1</v>
      </c>
      <c r="N1595" s="13">
        <v>43680</v>
      </c>
      <c r="O1595" s="29">
        <v>11</v>
      </c>
      <c r="P1595" s="18" t="s">
        <v>1107</v>
      </c>
      <c r="Q1595" s="18">
        <v>0</v>
      </c>
      <c r="U1595" s="22">
        <v>0.87</v>
      </c>
      <c r="V1595" s="22">
        <f>4.06/5</f>
        <v>0.81199999999999994</v>
      </c>
      <c r="W1595" s="14" t="s">
        <v>7777</v>
      </c>
      <c r="X1595" s="3">
        <v>3</v>
      </c>
      <c r="Z1595" s="23">
        <v>9.5</v>
      </c>
      <c r="AB1595" s="18">
        <f t="shared" si="48"/>
        <v>2019</v>
      </c>
      <c r="AC1595" s="22">
        <f t="shared" si="49"/>
        <v>0.76066666666666671</v>
      </c>
    </row>
    <row r="1596" spans="1:29" ht="25.5">
      <c r="A1596" s="8" t="s">
        <v>11135</v>
      </c>
      <c r="B1596" s="17" t="s">
        <v>7760</v>
      </c>
      <c r="C1596" s="13">
        <v>43487</v>
      </c>
      <c r="D1596" s="13" t="s">
        <v>8465</v>
      </c>
      <c r="E1596" s="10" t="s">
        <v>1534</v>
      </c>
      <c r="F1596" s="10" t="s">
        <v>7413</v>
      </c>
      <c r="G1596" s="11" t="s">
        <v>10280</v>
      </c>
      <c r="H1596" s="2" t="s">
        <v>153</v>
      </c>
      <c r="L1596" s="18">
        <v>1</v>
      </c>
      <c r="N1596" s="13">
        <v>44598</v>
      </c>
      <c r="O1596" s="29">
        <v>14.99</v>
      </c>
      <c r="P1596" s="18" t="s">
        <v>1107</v>
      </c>
      <c r="Q1596" s="18">
        <v>0</v>
      </c>
      <c r="U1596" s="22">
        <v>0.65</v>
      </c>
      <c r="V1596" s="22">
        <f>3.34/5</f>
        <v>0.66799999999999993</v>
      </c>
      <c r="X1596" s="3">
        <v>3</v>
      </c>
      <c r="Z1596" s="23">
        <v>15</v>
      </c>
      <c r="AB1596" s="18">
        <f t="shared" si="48"/>
        <v>2019</v>
      </c>
      <c r="AC1596" s="22">
        <f t="shared" si="49"/>
        <v>0.63933333333333342</v>
      </c>
    </row>
    <row r="1597" spans="1:29">
      <c r="A1597" s="8" t="s">
        <v>15355</v>
      </c>
      <c r="B1597" s="17" t="s">
        <v>7800</v>
      </c>
      <c r="C1597" s="13">
        <v>43485</v>
      </c>
      <c r="D1597" s="13" t="s">
        <v>8465</v>
      </c>
      <c r="E1597" s="10" t="s">
        <v>15356</v>
      </c>
      <c r="F1597" s="10" t="s">
        <v>15356</v>
      </c>
      <c r="H1597" s="2" t="s">
        <v>151</v>
      </c>
      <c r="L1597" s="18">
        <v>1</v>
      </c>
      <c r="N1597" s="13">
        <v>45114</v>
      </c>
      <c r="O1597" s="29">
        <v>2.2400000000000002</v>
      </c>
      <c r="P1597" s="18" t="s">
        <v>1107</v>
      </c>
      <c r="Q1597" s="18">
        <v>0</v>
      </c>
      <c r="W1597" s="14" t="s">
        <v>7777</v>
      </c>
      <c r="X1597" s="3">
        <v>3</v>
      </c>
      <c r="AB1597" s="18">
        <f t="shared" si="48"/>
        <v>2019</v>
      </c>
      <c r="AC1597" s="22">
        <f t="shared" si="49"/>
        <v>0.6</v>
      </c>
    </row>
    <row r="1598" spans="1:29" ht="30">
      <c r="A1598" s="8" t="s">
        <v>8916</v>
      </c>
      <c r="B1598" s="17" t="s">
        <v>7760</v>
      </c>
      <c r="C1598" s="13">
        <v>43483</v>
      </c>
      <c r="D1598" s="13" t="s">
        <v>8465</v>
      </c>
      <c r="E1598" s="10" t="s">
        <v>1604</v>
      </c>
      <c r="F1598" s="10" t="s">
        <v>1614</v>
      </c>
      <c r="G1598" s="11" t="s">
        <v>3101</v>
      </c>
      <c r="H1598" s="2" t="s">
        <v>7594</v>
      </c>
      <c r="I1598" s="18">
        <v>1</v>
      </c>
      <c r="L1598" s="18">
        <v>1</v>
      </c>
      <c r="M1598" s="14" t="s">
        <v>8462</v>
      </c>
      <c r="N1598" s="13">
        <v>43996</v>
      </c>
      <c r="O1598" s="29">
        <v>28.93</v>
      </c>
      <c r="P1598" s="18" t="s">
        <v>14</v>
      </c>
      <c r="Q1598" s="18">
        <v>0</v>
      </c>
      <c r="U1598" s="22">
        <v>0.8</v>
      </c>
      <c r="V1598" s="22">
        <f>4.01/5</f>
        <v>0.80199999999999994</v>
      </c>
      <c r="X1598" s="3">
        <v>4</v>
      </c>
      <c r="Z1598" s="23">
        <v>10.5</v>
      </c>
      <c r="AB1598" s="18">
        <f t="shared" si="48"/>
        <v>2019</v>
      </c>
      <c r="AC1598" s="22">
        <f t="shared" si="49"/>
        <v>0.80066666666666675</v>
      </c>
    </row>
    <row r="1599" spans="1:29" ht="30">
      <c r="A1599" s="8" t="s">
        <v>1705</v>
      </c>
      <c r="B1599" s="17" t="s">
        <v>7744</v>
      </c>
      <c r="C1599" s="13">
        <v>43483</v>
      </c>
      <c r="D1599" s="13" t="s">
        <v>8465</v>
      </c>
      <c r="E1599" s="10" t="s">
        <v>1505</v>
      </c>
      <c r="F1599" s="10" t="s">
        <v>1505</v>
      </c>
      <c r="G1599" s="11" t="s">
        <v>1012</v>
      </c>
      <c r="H1599" s="2" t="s">
        <v>80</v>
      </c>
      <c r="L1599" s="18">
        <v>1</v>
      </c>
      <c r="M1599" s="14" t="s">
        <v>8462</v>
      </c>
      <c r="N1599" s="13">
        <v>43483</v>
      </c>
      <c r="O1599" s="29">
        <v>43.39</v>
      </c>
      <c r="P1599" s="18" t="s">
        <v>14</v>
      </c>
      <c r="Q1599" s="18">
        <v>0</v>
      </c>
      <c r="U1599" s="22">
        <v>0.67</v>
      </c>
      <c r="V1599" s="22">
        <f>3.7/5</f>
        <v>0.74</v>
      </c>
      <c r="X1599" s="3">
        <v>3</v>
      </c>
      <c r="Z1599" s="23">
        <v>9.5</v>
      </c>
      <c r="AB1599" s="18">
        <f t="shared" si="48"/>
        <v>2019</v>
      </c>
      <c r="AC1599" s="22">
        <f t="shared" si="49"/>
        <v>0.67</v>
      </c>
    </row>
    <row r="1600" spans="1:29" ht="30">
      <c r="A1600" s="8" t="s">
        <v>7987</v>
      </c>
      <c r="B1600" s="17" t="s">
        <v>7744</v>
      </c>
      <c r="C1600" s="13">
        <v>43482</v>
      </c>
      <c r="D1600" s="13" t="s">
        <v>8465</v>
      </c>
      <c r="E1600" s="10" t="s">
        <v>1192</v>
      </c>
      <c r="F1600" s="10" t="s">
        <v>1192</v>
      </c>
      <c r="G1600" s="11" t="s">
        <v>7289</v>
      </c>
      <c r="H1600" s="2" t="s">
        <v>67</v>
      </c>
      <c r="L1600" s="18">
        <v>1</v>
      </c>
      <c r="M1600" s="14" t="s">
        <v>8462</v>
      </c>
      <c r="N1600" s="13">
        <v>43766</v>
      </c>
      <c r="O1600" s="29">
        <v>37.72</v>
      </c>
      <c r="P1600" s="18" t="s">
        <v>14</v>
      </c>
      <c r="Q1600" s="18">
        <v>0</v>
      </c>
      <c r="U1600" s="22">
        <v>0.85</v>
      </c>
      <c r="V1600" s="22">
        <f>3.82/5</f>
        <v>0.76400000000000001</v>
      </c>
      <c r="W1600" s="14" t="s">
        <v>1134</v>
      </c>
      <c r="X1600" s="3">
        <v>2</v>
      </c>
      <c r="Z1600" s="23">
        <v>1.5</v>
      </c>
      <c r="AB1600" s="18">
        <f t="shared" si="48"/>
        <v>2019</v>
      </c>
      <c r="AC1600" s="22">
        <f t="shared" si="49"/>
        <v>0.67133333333333323</v>
      </c>
    </row>
    <row r="1601" spans="1:29">
      <c r="A1601" s="8" t="s">
        <v>15309</v>
      </c>
      <c r="B1601" s="17" t="s">
        <v>7800</v>
      </c>
      <c r="C1601" s="13">
        <v>43482</v>
      </c>
      <c r="D1601" s="13" t="s">
        <v>8465</v>
      </c>
      <c r="E1601" s="10" t="s">
        <v>15310</v>
      </c>
      <c r="F1601" s="10" t="s">
        <v>15310</v>
      </c>
      <c r="H1601" s="2" t="s">
        <v>151</v>
      </c>
      <c r="L1601" s="18">
        <v>1</v>
      </c>
      <c r="N1601" s="13">
        <v>45106</v>
      </c>
      <c r="O1601" s="29">
        <v>1.69</v>
      </c>
      <c r="P1601" s="18" t="s">
        <v>1107</v>
      </c>
      <c r="Q1601" s="18">
        <v>0</v>
      </c>
      <c r="U1601" s="22">
        <v>0.76</v>
      </c>
      <c r="V1601" s="22">
        <f>3.28/5</f>
        <v>0.65599999999999992</v>
      </c>
      <c r="W1601" s="14" t="s">
        <v>7777</v>
      </c>
      <c r="X1601" s="3">
        <v>2</v>
      </c>
      <c r="Z1601" s="23">
        <v>7</v>
      </c>
      <c r="AB1601" s="18">
        <f t="shared" si="48"/>
        <v>2019</v>
      </c>
      <c r="AC1601" s="22">
        <f t="shared" si="49"/>
        <v>0.60533333333333328</v>
      </c>
    </row>
    <row r="1602" spans="1:29">
      <c r="A1602" s="8" t="s">
        <v>6151</v>
      </c>
      <c r="B1602" s="17" t="s">
        <v>7760</v>
      </c>
      <c r="C1602" s="13">
        <v>43480</v>
      </c>
      <c r="D1602" s="13" t="s">
        <v>8465</v>
      </c>
      <c r="E1602" s="10" t="s">
        <v>73</v>
      </c>
      <c r="F1602" s="10" t="s">
        <v>73</v>
      </c>
      <c r="G1602" s="11" t="s">
        <v>1967</v>
      </c>
      <c r="H1602" s="2" t="s">
        <v>80</v>
      </c>
      <c r="L1602" s="18">
        <v>1</v>
      </c>
      <c r="M1602" s="14" t="s">
        <v>8462</v>
      </c>
      <c r="N1602" s="13">
        <v>43480</v>
      </c>
      <c r="O1602" s="29">
        <v>21.24</v>
      </c>
      <c r="P1602" s="18" t="s">
        <v>14</v>
      </c>
      <c r="Q1602" s="18">
        <v>0</v>
      </c>
      <c r="U1602" s="22">
        <v>0.72</v>
      </c>
      <c r="V1602" s="22">
        <f>4.11/5</f>
        <v>0.82200000000000006</v>
      </c>
      <c r="X1602" s="3">
        <v>3</v>
      </c>
      <c r="Z1602" s="23">
        <v>4.5</v>
      </c>
      <c r="AB1602" s="18">
        <f t="shared" ref="AB1602:AB1665" si="50">IFERROR(YEAR(C1602), "Early Access")</f>
        <v>2019</v>
      </c>
      <c r="AC1602" s="22">
        <f t="shared" ref="AC1602:AC1665" si="51">AVERAGE(T1602, U1602, V1602, IF(ISBLANK(X1602), X1602, X1602/5))</f>
        <v>0.71399999999999997</v>
      </c>
    </row>
    <row r="1603" spans="1:29" ht="25.5">
      <c r="A1603" s="8" t="s">
        <v>1685</v>
      </c>
      <c r="B1603" s="17" t="s">
        <v>7744</v>
      </c>
      <c r="C1603" s="13">
        <v>43476</v>
      </c>
      <c r="D1603" s="13" t="s">
        <v>8465</v>
      </c>
      <c r="E1603" s="10" t="s">
        <v>1509</v>
      </c>
      <c r="F1603" s="10" t="s">
        <v>1500</v>
      </c>
      <c r="G1603" s="11" t="s">
        <v>1422</v>
      </c>
      <c r="H1603" s="2" t="s">
        <v>171</v>
      </c>
      <c r="L1603" s="18">
        <v>1</v>
      </c>
      <c r="M1603" s="14" t="s">
        <v>8462</v>
      </c>
      <c r="N1603" s="13">
        <v>43476</v>
      </c>
      <c r="O1603" s="29">
        <v>44.19</v>
      </c>
      <c r="P1603" s="18" t="s">
        <v>14</v>
      </c>
      <c r="Q1603" s="18">
        <v>0</v>
      </c>
      <c r="U1603" s="22">
        <v>0.83</v>
      </c>
      <c r="V1603" s="22">
        <f>4.13/5</f>
        <v>0.82599999999999996</v>
      </c>
      <c r="X1603" s="3">
        <v>4</v>
      </c>
      <c r="Z1603" s="23">
        <v>44</v>
      </c>
      <c r="AB1603" s="18">
        <f t="shared" si="50"/>
        <v>2019</v>
      </c>
      <c r="AC1603" s="22">
        <f t="shared" si="51"/>
        <v>0.81866666666666665</v>
      </c>
    </row>
    <row r="1604" spans="1:29" ht="38.25">
      <c r="A1604" s="8" t="s">
        <v>2381</v>
      </c>
      <c r="B1604" s="17" t="s">
        <v>7749</v>
      </c>
      <c r="C1604" s="13">
        <v>43476</v>
      </c>
      <c r="D1604" s="13" t="s">
        <v>8465</v>
      </c>
      <c r="E1604" s="10" t="s">
        <v>86</v>
      </c>
      <c r="F1604" s="10" t="s">
        <v>1892</v>
      </c>
      <c r="G1604" s="11" t="s">
        <v>1893</v>
      </c>
      <c r="H1604" s="2" t="s">
        <v>149</v>
      </c>
      <c r="L1604" s="18">
        <v>1</v>
      </c>
      <c r="M1604" s="14" t="s">
        <v>8462</v>
      </c>
      <c r="N1604" s="13">
        <v>43476</v>
      </c>
      <c r="O1604" s="29">
        <v>32.770000000000003</v>
      </c>
      <c r="P1604" s="18" t="s">
        <v>14</v>
      </c>
      <c r="Q1604" s="18">
        <v>0</v>
      </c>
      <c r="U1604" s="22">
        <v>0.84</v>
      </c>
      <c r="V1604" s="22">
        <f>4.15/5</f>
        <v>0.83000000000000007</v>
      </c>
      <c r="X1604" s="3">
        <v>3</v>
      </c>
      <c r="Z1604" s="23">
        <v>24</v>
      </c>
      <c r="AB1604" s="18">
        <f t="shared" si="50"/>
        <v>2019</v>
      </c>
      <c r="AC1604" s="22">
        <f t="shared" si="51"/>
        <v>0.75666666666666671</v>
      </c>
    </row>
    <row r="1605" spans="1:29" ht="25.5">
      <c r="A1605" s="8" t="s">
        <v>1636</v>
      </c>
      <c r="B1605" s="17" t="s">
        <v>7744</v>
      </c>
      <c r="C1605" s="13">
        <v>43476</v>
      </c>
      <c r="D1605" s="13" t="s">
        <v>8465</v>
      </c>
      <c r="E1605" s="10" t="s">
        <v>86</v>
      </c>
      <c r="F1605" s="10" t="s">
        <v>87</v>
      </c>
      <c r="G1605" s="11" t="s">
        <v>137</v>
      </c>
      <c r="H1605" s="2" t="s">
        <v>64</v>
      </c>
      <c r="L1605" s="18">
        <v>1</v>
      </c>
      <c r="M1605" s="14" t="s">
        <v>8462</v>
      </c>
      <c r="N1605" s="13">
        <v>43476</v>
      </c>
      <c r="O1605" s="29">
        <v>50.9</v>
      </c>
      <c r="P1605" s="18" t="s">
        <v>14</v>
      </c>
      <c r="Q1605" s="18">
        <v>0</v>
      </c>
      <c r="U1605" s="22">
        <v>0.8</v>
      </c>
      <c r="V1605" s="22">
        <f>3.93/5</f>
        <v>0.78600000000000003</v>
      </c>
      <c r="X1605" s="3">
        <v>3</v>
      </c>
      <c r="Z1605" s="23">
        <v>8.5</v>
      </c>
      <c r="AB1605" s="18">
        <f t="shared" si="50"/>
        <v>2019</v>
      </c>
      <c r="AC1605" s="22">
        <f t="shared" si="51"/>
        <v>0.72866666666666668</v>
      </c>
    </row>
    <row r="1606" spans="1:29">
      <c r="A1606" s="8" t="s">
        <v>14187</v>
      </c>
      <c r="B1606" s="17" t="s">
        <v>7800</v>
      </c>
      <c r="C1606" s="13">
        <v>43476</v>
      </c>
      <c r="D1606" s="13" t="s">
        <v>8465</v>
      </c>
      <c r="E1606" s="10" t="s">
        <v>14188</v>
      </c>
      <c r="F1606" s="10" t="s">
        <v>14188</v>
      </c>
      <c r="H1606" s="2" t="s">
        <v>149</v>
      </c>
      <c r="L1606" s="18">
        <v>1</v>
      </c>
      <c r="O1606" s="29">
        <v>0</v>
      </c>
      <c r="P1606" s="18" t="s">
        <v>1107</v>
      </c>
      <c r="Q1606" s="18">
        <v>0</v>
      </c>
      <c r="V1606" s="22">
        <f>3.75/5</f>
        <v>0.75</v>
      </c>
      <c r="W1606" s="14" t="s">
        <v>8765</v>
      </c>
      <c r="X1606" s="3">
        <v>3</v>
      </c>
      <c r="Z1606" s="23">
        <v>6</v>
      </c>
      <c r="AB1606" s="18">
        <f t="shared" si="50"/>
        <v>2019</v>
      </c>
      <c r="AC1606" s="22">
        <f t="shared" si="51"/>
        <v>0.67500000000000004</v>
      </c>
    </row>
    <row r="1607" spans="1:29" ht="30">
      <c r="A1607" s="8" t="s">
        <v>4467</v>
      </c>
      <c r="B1607" s="17" t="s">
        <v>7744</v>
      </c>
      <c r="C1607" s="13">
        <v>43475</v>
      </c>
      <c r="D1607" s="13" t="s">
        <v>8465</v>
      </c>
      <c r="E1607" s="10" t="s">
        <v>7867</v>
      </c>
      <c r="F1607" s="10" t="s">
        <v>4468</v>
      </c>
      <c r="G1607" s="11" t="s">
        <v>4466</v>
      </c>
      <c r="H1607" s="2" t="s">
        <v>151</v>
      </c>
      <c r="L1607" s="18">
        <v>1</v>
      </c>
      <c r="M1607" s="14" t="s">
        <v>8462</v>
      </c>
      <c r="N1607" s="13">
        <v>43730</v>
      </c>
      <c r="O1607" s="29">
        <v>35.06</v>
      </c>
      <c r="P1607" s="18" t="s">
        <v>14</v>
      </c>
      <c r="Q1607" s="18">
        <v>0</v>
      </c>
      <c r="U1607" s="22">
        <v>0.73750000000000004</v>
      </c>
      <c r="V1607" s="22">
        <f>3.86/5</f>
        <v>0.77200000000000002</v>
      </c>
      <c r="W1607" s="14" t="s">
        <v>1134</v>
      </c>
      <c r="X1607" s="3">
        <v>4</v>
      </c>
      <c r="Z1607" s="23">
        <v>4.5</v>
      </c>
      <c r="AB1607" s="18">
        <f t="shared" si="50"/>
        <v>2019</v>
      </c>
      <c r="AC1607" s="22">
        <f t="shared" si="51"/>
        <v>0.76983333333333326</v>
      </c>
    </row>
    <row r="1608" spans="1:29">
      <c r="A1608" s="8" t="s">
        <v>8771</v>
      </c>
      <c r="B1608" s="17" t="s">
        <v>7800</v>
      </c>
      <c r="C1608" s="13">
        <v>43475</v>
      </c>
      <c r="D1608" s="13" t="s">
        <v>8465</v>
      </c>
      <c r="E1608" s="10" t="s">
        <v>7039</v>
      </c>
      <c r="F1608" s="10" t="s">
        <v>8772</v>
      </c>
      <c r="H1608" s="2" t="s">
        <v>56</v>
      </c>
      <c r="L1608" s="18">
        <v>1</v>
      </c>
      <c r="N1608" s="13">
        <v>43987</v>
      </c>
      <c r="O1608" s="29">
        <v>0.62</v>
      </c>
      <c r="P1608" s="18" t="s">
        <v>1107</v>
      </c>
      <c r="Q1608" s="18">
        <v>0</v>
      </c>
      <c r="V1608" s="22">
        <f>3.56/5</f>
        <v>0.71199999999999997</v>
      </c>
      <c r="W1608" s="14" t="s">
        <v>8765</v>
      </c>
      <c r="X1608" s="3">
        <v>3</v>
      </c>
      <c r="Z1608" s="23">
        <v>6</v>
      </c>
      <c r="AB1608" s="18">
        <f t="shared" si="50"/>
        <v>2019</v>
      </c>
      <c r="AC1608" s="22">
        <f t="shared" si="51"/>
        <v>0.65599999999999992</v>
      </c>
    </row>
    <row r="1609" spans="1:29">
      <c r="A1609" s="8" t="s">
        <v>10656</v>
      </c>
      <c r="B1609" s="17" t="s">
        <v>7800</v>
      </c>
      <c r="C1609" s="13">
        <v>43469</v>
      </c>
      <c r="D1609" s="13" t="s">
        <v>8465</v>
      </c>
      <c r="E1609" s="10" t="s">
        <v>10657</v>
      </c>
      <c r="F1609" s="10" t="s">
        <v>10657</v>
      </c>
      <c r="H1609" s="2" t="s">
        <v>27</v>
      </c>
      <c r="L1609" s="18">
        <v>1</v>
      </c>
      <c r="N1609" s="13">
        <v>44510</v>
      </c>
      <c r="O1609" s="29">
        <v>5.99</v>
      </c>
      <c r="P1609" s="18" t="s">
        <v>1107</v>
      </c>
      <c r="Q1609" s="18">
        <v>0</v>
      </c>
      <c r="W1609" s="14" t="s">
        <v>7777</v>
      </c>
      <c r="X1609" s="3">
        <v>2</v>
      </c>
      <c r="AB1609" s="18">
        <f t="shared" si="50"/>
        <v>2019</v>
      </c>
      <c r="AC1609" s="22">
        <f t="shared" si="51"/>
        <v>0.4</v>
      </c>
    </row>
    <row r="1610" spans="1:29" ht="25.5">
      <c r="A1610" s="8" t="s">
        <v>10422</v>
      </c>
      <c r="B1610" s="17" t="s">
        <v>7783</v>
      </c>
      <c r="C1610" s="13">
        <v>43818</v>
      </c>
      <c r="D1610" s="13" t="s">
        <v>8465</v>
      </c>
      <c r="E1610" s="10" t="s">
        <v>10438</v>
      </c>
      <c r="F1610" s="10" t="s">
        <v>10438</v>
      </c>
      <c r="G1610" s="11" t="s">
        <v>4305</v>
      </c>
      <c r="H1610" s="2" t="s">
        <v>78</v>
      </c>
      <c r="L1610" s="18">
        <v>0</v>
      </c>
      <c r="Q1610" s="18">
        <v>1</v>
      </c>
      <c r="R1610" s="13">
        <v>44851</v>
      </c>
      <c r="S1610" s="21">
        <f>1+47/60</f>
        <v>1.7833333333333332</v>
      </c>
      <c r="T1610" s="22">
        <v>0.75</v>
      </c>
      <c r="U1610" s="22">
        <v>0.8</v>
      </c>
      <c r="W1610" s="14" t="s">
        <v>8572</v>
      </c>
      <c r="AB1610" s="18">
        <f t="shared" si="50"/>
        <v>2019</v>
      </c>
      <c r="AC1610" s="22">
        <f t="shared" si="51"/>
        <v>0.77500000000000002</v>
      </c>
    </row>
    <row r="1611" spans="1:29" ht="38.25">
      <c r="A1611" s="8" t="s">
        <v>9488</v>
      </c>
      <c r="B1611" s="17" t="s">
        <v>7800</v>
      </c>
      <c r="C1611" s="13">
        <v>43808</v>
      </c>
      <c r="D1611" s="13" t="s">
        <v>8465</v>
      </c>
      <c r="E1611" s="10" t="s">
        <v>8000</v>
      </c>
      <c r="F1611" s="10" t="s">
        <v>8001</v>
      </c>
      <c r="G1611" s="11" t="s">
        <v>8002</v>
      </c>
      <c r="H1611" s="2" t="s">
        <v>67</v>
      </c>
      <c r="L1611" s="18">
        <v>1</v>
      </c>
      <c r="N1611" s="13">
        <v>44169</v>
      </c>
      <c r="O1611" s="29">
        <v>0</v>
      </c>
      <c r="P1611" s="18" t="s">
        <v>1107</v>
      </c>
      <c r="Q1611" s="18">
        <v>1</v>
      </c>
      <c r="R1611" s="13">
        <v>44967</v>
      </c>
      <c r="S1611" s="21">
        <f>66/60</f>
        <v>1.1000000000000001</v>
      </c>
      <c r="T1611" s="22">
        <v>0.6</v>
      </c>
      <c r="U1611" s="22">
        <v>0.81</v>
      </c>
      <c r="V1611" s="22">
        <f>3.72/5</f>
        <v>0.74399999999999999</v>
      </c>
      <c r="W1611" s="14" t="s">
        <v>7777</v>
      </c>
      <c r="AB1611" s="18">
        <f t="shared" si="50"/>
        <v>2019</v>
      </c>
      <c r="AC1611" s="22">
        <f t="shared" si="51"/>
        <v>0.71799999999999997</v>
      </c>
    </row>
    <row r="1612" spans="1:29">
      <c r="A1612" s="8" t="s">
        <v>8835</v>
      </c>
      <c r="B1612" s="17" t="s">
        <v>7744</v>
      </c>
      <c r="C1612" s="13">
        <v>43790</v>
      </c>
      <c r="D1612" s="13" t="s">
        <v>8465</v>
      </c>
      <c r="E1612" s="10" t="s">
        <v>1733</v>
      </c>
      <c r="F1612" s="10" t="s">
        <v>1733</v>
      </c>
      <c r="H1612" s="2" t="s">
        <v>80</v>
      </c>
      <c r="L1612" s="18">
        <v>1</v>
      </c>
      <c r="N1612" s="13">
        <v>43992</v>
      </c>
      <c r="O1612" s="29">
        <v>13.99</v>
      </c>
      <c r="P1612" s="18" t="s">
        <v>1107</v>
      </c>
      <c r="Q1612" s="18">
        <v>1</v>
      </c>
      <c r="R1612" s="13">
        <v>44067</v>
      </c>
      <c r="S1612" s="21">
        <f>3+23/60</f>
        <v>3.3833333333333333</v>
      </c>
      <c r="T1612" s="22">
        <v>0.6</v>
      </c>
      <c r="U1612" s="22">
        <v>0.79</v>
      </c>
      <c r="V1612" s="22">
        <f>3.97/5</f>
        <v>0.79400000000000004</v>
      </c>
      <c r="AB1612" s="18">
        <f t="shared" si="50"/>
        <v>2019</v>
      </c>
      <c r="AC1612" s="22">
        <f t="shared" si="51"/>
        <v>0.72800000000000009</v>
      </c>
    </row>
    <row r="1613" spans="1:29">
      <c r="A1613" s="8" t="s">
        <v>8554</v>
      </c>
      <c r="B1613" s="17" t="s">
        <v>8555</v>
      </c>
      <c r="C1613" s="13">
        <v>43788</v>
      </c>
      <c r="D1613" s="13" t="s">
        <v>8465</v>
      </c>
      <c r="E1613" s="10" t="s">
        <v>3602</v>
      </c>
      <c r="F1613" s="10" t="s">
        <v>3602</v>
      </c>
      <c r="H1613" s="2" t="s">
        <v>80</v>
      </c>
      <c r="L1613" s="18">
        <v>1</v>
      </c>
      <c r="N1613" s="13">
        <v>43929</v>
      </c>
      <c r="O1613" s="29">
        <v>9</v>
      </c>
      <c r="P1613" s="18" t="s">
        <v>1107</v>
      </c>
      <c r="Q1613" s="18">
        <v>1</v>
      </c>
      <c r="R1613" s="13">
        <v>43974</v>
      </c>
      <c r="S1613" s="21">
        <f>4+6/60+20/3600</f>
        <v>4.1055555555555552</v>
      </c>
      <c r="T1613" s="22">
        <v>0.7</v>
      </c>
      <c r="U1613" s="22">
        <v>0.68</v>
      </c>
      <c r="V1613" s="22">
        <f>3.67/5</f>
        <v>0.73399999999999999</v>
      </c>
      <c r="W1613" s="14" t="s">
        <v>8695</v>
      </c>
      <c r="AB1613" s="18">
        <f t="shared" si="50"/>
        <v>2019</v>
      </c>
      <c r="AC1613" s="22">
        <f t="shared" si="51"/>
        <v>0.70466666666666666</v>
      </c>
    </row>
    <row r="1614" spans="1:29" ht="25.5">
      <c r="A1614" s="8" t="s">
        <v>8241</v>
      </c>
      <c r="B1614" s="17" t="s">
        <v>7800</v>
      </c>
      <c r="C1614" s="13">
        <v>43784</v>
      </c>
      <c r="D1614" s="13" t="s">
        <v>8465</v>
      </c>
      <c r="E1614" s="10" t="s">
        <v>231</v>
      </c>
      <c r="F1614" s="10" t="s">
        <v>6559</v>
      </c>
      <c r="G1614" s="11" t="s">
        <v>1481</v>
      </c>
      <c r="H1614" s="2" t="s">
        <v>80</v>
      </c>
      <c r="L1614" s="18">
        <v>1</v>
      </c>
      <c r="N1614" s="13">
        <v>43818</v>
      </c>
      <c r="O1614" s="29">
        <v>39.79</v>
      </c>
      <c r="P1614" s="18" t="s">
        <v>1107</v>
      </c>
      <c r="Q1614" s="18">
        <v>1</v>
      </c>
      <c r="R1614" s="13">
        <v>43838</v>
      </c>
      <c r="S1614" s="21">
        <f>12+24/60+35/3600</f>
        <v>12.409722222222223</v>
      </c>
      <c r="T1614" s="22">
        <v>0.8</v>
      </c>
      <c r="U1614" s="22">
        <v>0.81</v>
      </c>
      <c r="V1614" s="22">
        <f>3.81/5</f>
        <v>0.76200000000000001</v>
      </c>
      <c r="W1614" s="14" t="s">
        <v>7097</v>
      </c>
      <c r="AB1614" s="18">
        <f t="shared" si="50"/>
        <v>2019</v>
      </c>
      <c r="AC1614" s="22">
        <f t="shared" si="51"/>
        <v>0.79066666666666663</v>
      </c>
    </row>
    <row r="1615" spans="1:29">
      <c r="A1615" s="8" t="s">
        <v>10433</v>
      </c>
      <c r="B1615" s="17" t="s">
        <v>7783</v>
      </c>
      <c r="C1615" s="13">
        <v>43777</v>
      </c>
      <c r="D1615" s="13" t="s">
        <v>8465</v>
      </c>
      <c r="E1615" s="10" t="s">
        <v>10444</v>
      </c>
      <c r="F1615" s="10" t="s">
        <v>10444</v>
      </c>
      <c r="H1615" s="2" t="s">
        <v>67</v>
      </c>
      <c r="L1615" s="18">
        <v>0</v>
      </c>
      <c r="Q1615" s="18">
        <v>1</v>
      </c>
      <c r="R1615" s="13">
        <v>45055</v>
      </c>
      <c r="S1615" s="21">
        <f>1+39/60</f>
        <v>1.65</v>
      </c>
      <c r="T1615" s="22">
        <v>0.3</v>
      </c>
      <c r="W1615" s="14" t="s">
        <v>8572</v>
      </c>
      <c r="AB1615" s="18">
        <f t="shared" si="50"/>
        <v>2019</v>
      </c>
      <c r="AC1615" s="22">
        <f t="shared" si="51"/>
        <v>0.3</v>
      </c>
    </row>
    <row r="1616" spans="1:29">
      <c r="A1616" s="8" t="s">
        <v>14815</v>
      </c>
      <c r="B1616" s="17" t="s">
        <v>7783</v>
      </c>
      <c r="C1616" s="13">
        <v>43770</v>
      </c>
      <c r="D1616" s="13" t="s">
        <v>8465</v>
      </c>
      <c r="E1616" s="10" t="s">
        <v>3544</v>
      </c>
      <c r="F1616" s="10" t="s">
        <v>1559</v>
      </c>
      <c r="H1616" s="2" t="s">
        <v>67</v>
      </c>
      <c r="L1616" s="18">
        <v>0</v>
      </c>
      <c r="Q1616" s="18">
        <v>1</v>
      </c>
      <c r="R1616" s="13">
        <v>45067</v>
      </c>
      <c r="S1616" s="21">
        <f>2+23/60</f>
        <v>2.3833333333333333</v>
      </c>
      <c r="T1616" s="22">
        <v>0.3</v>
      </c>
      <c r="W1616" s="14" t="s">
        <v>8572</v>
      </c>
      <c r="AB1616" s="18">
        <f t="shared" si="50"/>
        <v>2019</v>
      </c>
      <c r="AC1616" s="22">
        <f t="shared" si="51"/>
        <v>0.3</v>
      </c>
    </row>
    <row r="1617" spans="1:29">
      <c r="A1617" s="8" t="s">
        <v>8098</v>
      </c>
      <c r="B1617" s="17" t="s">
        <v>7744</v>
      </c>
      <c r="C1617" s="13">
        <v>43769</v>
      </c>
      <c r="D1617" s="13" t="s">
        <v>8465</v>
      </c>
      <c r="E1617" s="10" t="s">
        <v>86</v>
      </c>
      <c r="F1617" s="10" t="s">
        <v>1535</v>
      </c>
      <c r="G1617" s="11" t="s">
        <v>908</v>
      </c>
      <c r="H1617" s="2" t="s">
        <v>80</v>
      </c>
      <c r="L1617" s="18">
        <v>1</v>
      </c>
      <c r="M1617" s="14" t="s">
        <v>8462</v>
      </c>
      <c r="N1617" s="13">
        <v>43769</v>
      </c>
      <c r="O1617" s="29">
        <v>59.96</v>
      </c>
      <c r="P1617" s="18" t="s">
        <v>14</v>
      </c>
      <c r="Q1617" s="18">
        <v>1</v>
      </c>
      <c r="R1617" s="13">
        <v>43826</v>
      </c>
      <c r="S1617" s="21">
        <f>11+21/60</f>
        <v>11.35</v>
      </c>
      <c r="T1617" s="22">
        <v>0.8</v>
      </c>
      <c r="U1617" s="22">
        <v>0.84919999999999995</v>
      </c>
      <c r="V1617" s="22">
        <f>4.02/5</f>
        <v>0.80399999999999994</v>
      </c>
      <c r="AB1617" s="18">
        <f t="shared" si="50"/>
        <v>2019</v>
      </c>
      <c r="AC1617" s="22">
        <f t="shared" si="51"/>
        <v>0.81773333333333331</v>
      </c>
    </row>
    <row r="1618" spans="1:29" ht="38.25">
      <c r="A1618" s="8" t="s">
        <v>9412</v>
      </c>
      <c r="B1618" s="17" t="s">
        <v>7744</v>
      </c>
      <c r="C1618" s="13">
        <v>43767</v>
      </c>
      <c r="D1618" s="13" t="s">
        <v>8465</v>
      </c>
      <c r="E1618" s="10" t="s">
        <v>1565</v>
      </c>
      <c r="F1618" s="10" t="s">
        <v>1566</v>
      </c>
      <c r="G1618" s="11" t="s">
        <v>1567</v>
      </c>
      <c r="H1618" s="2" t="s">
        <v>149</v>
      </c>
      <c r="L1618" s="18">
        <v>1</v>
      </c>
      <c r="M1618" s="14" t="s">
        <v>8462</v>
      </c>
      <c r="N1618" s="13">
        <v>44131</v>
      </c>
      <c r="O1618" s="29">
        <v>45.25</v>
      </c>
      <c r="P1618" s="18" t="s">
        <v>14</v>
      </c>
      <c r="Q1618" s="18">
        <v>1</v>
      </c>
      <c r="R1618" s="13">
        <v>44232</v>
      </c>
      <c r="S1618" s="21">
        <f>22+13/60+42/3600</f>
        <v>22.228333333333332</v>
      </c>
      <c r="T1618" s="22">
        <v>0.7</v>
      </c>
      <c r="U1618" s="22">
        <v>0.84</v>
      </c>
      <c r="V1618" s="22">
        <f>4/5</f>
        <v>0.8</v>
      </c>
      <c r="AB1618" s="18">
        <f t="shared" si="50"/>
        <v>2019</v>
      </c>
      <c r="AC1618" s="22">
        <f t="shared" si="51"/>
        <v>0.77999999999999992</v>
      </c>
    </row>
    <row r="1619" spans="1:29" ht="25.5">
      <c r="A1619" s="8" t="s">
        <v>8235</v>
      </c>
      <c r="B1619" s="17" t="s">
        <v>7800</v>
      </c>
      <c r="C1619" s="13">
        <v>43763</v>
      </c>
      <c r="D1619" s="13" t="s">
        <v>8465</v>
      </c>
      <c r="E1619" s="10" t="s">
        <v>1273</v>
      </c>
      <c r="F1619" s="10" t="s">
        <v>3400</v>
      </c>
      <c r="G1619" s="11" t="s">
        <v>3401</v>
      </c>
      <c r="H1619" s="2" t="s">
        <v>1050</v>
      </c>
      <c r="L1619" s="18">
        <v>1</v>
      </c>
      <c r="N1619" s="13">
        <v>43806</v>
      </c>
      <c r="O1619" s="29">
        <v>39.99</v>
      </c>
      <c r="P1619" s="18" t="s">
        <v>1107</v>
      </c>
      <c r="Q1619" s="18">
        <v>1</v>
      </c>
      <c r="R1619" s="13">
        <v>43813</v>
      </c>
      <c r="T1619" s="22">
        <v>0.8</v>
      </c>
      <c r="U1619" s="22">
        <v>0.78859999999999997</v>
      </c>
      <c r="V1619" s="22">
        <f>3.32/5</f>
        <v>0.66399999999999992</v>
      </c>
      <c r="W1619" s="14" t="s">
        <v>7797</v>
      </c>
      <c r="AB1619" s="18">
        <f t="shared" si="50"/>
        <v>2019</v>
      </c>
      <c r="AC1619" s="22">
        <f t="shared" si="51"/>
        <v>0.75086666666666668</v>
      </c>
    </row>
    <row r="1620" spans="1:29">
      <c r="A1620" s="8" t="s">
        <v>8507</v>
      </c>
      <c r="B1620" s="17" t="s">
        <v>7800</v>
      </c>
      <c r="C1620" s="13">
        <v>43753</v>
      </c>
      <c r="D1620" s="13" t="s">
        <v>8465</v>
      </c>
      <c r="E1620" s="10" t="s">
        <v>8508</v>
      </c>
      <c r="F1620" s="10" t="s">
        <v>8508</v>
      </c>
      <c r="H1620" s="2" t="s">
        <v>1720</v>
      </c>
      <c r="L1620" s="18">
        <v>1</v>
      </c>
      <c r="N1620" s="13">
        <v>43909</v>
      </c>
      <c r="O1620" s="29">
        <v>29.99</v>
      </c>
      <c r="P1620" s="18" t="s">
        <v>1107</v>
      </c>
      <c r="Q1620" s="18">
        <v>1</v>
      </c>
      <c r="R1620" s="13">
        <v>43962</v>
      </c>
      <c r="S1620" s="21">
        <f>15+21/60</f>
        <v>15.35</v>
      </c>
      <c r="T1620" s="22">
        <v>0.9</v>
      </c>
      <c r="U1620" s="22">
        <v>0.9</v>
      </c>
      <c r="V1620" s="22">
        <f>4.16/5</f>
        <v>0.83200000000000007</v>
      </c>
      <c r="W1620" s="14" t="s">
        <v>7777</v>
      </c>
      <c r="AB1620" s="18">
        <f t="shared" si="50"/>
        <v>2019</v>
      </c>
      <c r="AC1620" s="22">
        <f t="shared" si="51"/>
        <v>0.87733333333333341</v>
      </c>
    </row>
    <row r="1621" spans="1:29">
      <c r="A1621" s="8" t="s">
        <v>10432</v>
      </c>
      <c r="B1621" s="17" t="s">
        <v>7783</v>
      </c>
      <c r="C1621" s="13">
        <v>43749</v>
      </c>
      <c r="D1621" s="13" t="s">
        <v>8465</v>
      </c>
      <c r="E1621" s="10" t="s">
        <v>10443</v>
      </c>
      <c r="F1621" s="10" t="s">
        <v>10443</v>
      </c>
      <c r="H1621" s="2" t="s">
        <v>1267</v>
      </c>
      <c r="L1621" s="18">
        <v>0</v>
      </c>
      <c r="Q1621" s="18">
        <v>1</v>
      </c>
      <c r="R1621" s="13">
        <v>45054</v>
      </c>
      <c r="S1621" s="21">
        <f>2+10/60</f>
        <v>2.1666666666666665</v>
      </c>
      <c r="T1621" s="22">
        <v>0.4</v>
      </c>
      <c r="U1621" s="22">
        <v>0.7</v>
      </c>
      <c r="W1621" s="14" t="s">
        <v>8572</v>
      </c>
      <c r="AB1621" s="18">
        <f t="shared" si="50"/>
        <v>2019</v>
      </c>
      <c r="AC1621" s="22">
        <f t="shared" si="51"/>
        <v>0.55000000000000004</v>
      </c>
    </row>
    <row r="1622" spans="1:29">
      <c r="A1622" s="8" t="s">
        <v>8592</v>
      </c>
      <c r="B1622" s="17" t="s">
        <v>7783</v>
      </c>
      <c r="C1622" s="13">
        <v>43745</v>
      </c>
      <c r="D1622" s="13" t="s">
        <v>8465</v>
      </c>
      <c r="E1622" s="10" t="s">
        <v>1625</v>
      </c>
      <c r="F1622" s="10" t="s">
        <v>1625</v>
      </c>
      <c r="H1622" s="2" t="s">
        <v>67</v>
      </c>
      <c r="L1622" s="18">
        <v>0</v>
      </c>
      <c r="Q1622" s="18">
        <v>1</v>
      </c>
      <c r="R1622" s="13">
        <v>43937</v>
      </c>
      <c r="T1622" s="22">
        <v>0.7</v>
      </c>
      <c r="V1622" s="22">
        <f>3.57/5</f>
        <v>0.71399999999999997</v>
      </c>
      <c r="W1622" s="14" t="s">
        <v>8572</v>
      </c>
      <c r="AB1622" s="18">
        <f t="shared" si="50"/>
        <v>2019</v>
      </c>
      <c r="AC1622" s="22">
        <f t="shared" si="51"/>
        <v>0.70699999999999996</v>
      </c>
    </row>
    <row r="1623" spans="1:29" ht="25.5">
      <c r="A1623" s="8" t="s">
        <v>14765</v>
      </c>
      <c r="B1623" s="17" t="s">
        <v>7783</v>
      </c>
      <c r="C1623" s="13">
        <v>43732</v>
      </c>
      <c r="D1623" s="13" t="s">
        <v>8465</v>
      </c>
      <c r="E1623" s="10" t="s">
        <v>7877</v>
      </c>
      <c r="F1623" s="10" t="s">
        <v>7717</v>
      </c>
      <c r="G1623" s="11" t="s">
        <v>7716</v>
      </c>
      <c r="H1623" s="2" t="s">
        <v>171</v>
      </c>
      <c r="L1623" s="18">
        <v>0</v>
      </c>
      <c r="Q1623" s="18">
        <v>1</v>
      </c>
      <c r="R1623" s="13">
        <v>45062</v>
      </c>
      <c r="S1623" s="21">
        <f>4+40/60</f>
        <v>4.666666666666667</v>
      </c>
      <c r="T1623" s="22">
        <v>0.7</v>
      </c>
      <c r="V1623" s="22">
        <f>2.33/5</f>
        <v>0.46600000000000003</v>
      </c>
      <c r="W1623" s="14" t="s">
        <v>8572</v>
      </c>
      <c r="AB1623" s="18">
        <f t="shared" si="50"/>
        <v>2019</v>
      </c>
      <c r="AC1623" s="22">
        <f t="shared" si="51"/>
        <v>0.58299999999999996</v>
      </c>
    </row>
    <row r="1624" spans="1:29" ht="25.5">
      <c r="A1624" s="8" t="s">
        <v>1820</v>
      </c>
      <c r="B1624" s="17" t="s">
        <v>7744</v>
      </c>
      <c r="C1624" s="13">
        <v>43728</v>
      </c>
      <c r="D1624" s="13" t="s">
        <v>8465</v>
      </c>
      <c r="E1624" s="10" t="s">
        <v>86</v>
      </c>
      <c r="F1624" s="10" t="s">
        <v>1138</v>
      </c>
      <c r="G1624" s="11" t="s">
        <v>85</v>
      </c>
      <c r="H1624" s="2" t="s">
        <v>80</v>
      </c>
      <c r="L1624" s="18">
        <v>1</v>
      </c>
      <c r="M1624" s="14" t="s">
        <v>8462</v>
      </c>
      <c r="N1624" s="13">
        <v>43728</v>
      </c>
      <c r="O1624" s="29">
        <v>65.09</v>
      </c>
      <c r="P1624" s="18" t="s">
        <v>14</v>
      </c>
      <c r="Q1624" s="18">
        <v>1</v>
      </c>
      <c r="R1624" s="13">
        <v>43742</v>
      </c>
      <c r="T1624" s="22">
        <v>0.9</v>
      </c>
      <c r="U1624" s="22">
        <v>0.88070000000000004</v>
      </c>
      <c r="V1624" s="22">
        <f>4.2/5</f>
        <v>0.84000000000000008</v>
      </c>
      <c r="AB1624" s="18">
        <f t="shared" si="50"/>
        <v>2019</v>
      </c>
      <c r="AC1624" s="22">
        <f t="shared" si="51"/>
        <v>0.87356666666666671</v>
      </c>
    </row>
    <row r="1625" spans="1:29">
      <c r="A1625" s="8" t="s">
        <v>15052</v>
      </c>
      <c r="B1625" s="17" t="s">
        <v>7783</v>
      </c>
      <c r="C1625" s="13">
        <v>43727</v>
      </c>
      <c r="D1625" s="13" t="s">
        <v>8465</v>
      </c>
      <c r="E1625" s="10" t="s">
        <v>15053</v>
      </c>
      <c r="F1625" s="10" t="s">
        <v>15053</v>
      </c>
      <c r="H1625" s="2" t="s">
        <v>78</v>
      </c>
      <c r="L1625" s="18">
        <v>0</v>
      </c>
      <c r="Q1625" s="18">
        <v>1</v>
      </c>
      <c r="R1625" s="13">
        <v>45085</v>
      </c>
      <c r="S1625" s="21">
        <f>28+43/60</f>
        <v>28.716666666666665</v>
      </c>
      <c r="T1625" s="22">
        <v>0.7</v>
      </c>
      <c r="U1625" s="22">
        <v>0.88</v>
      </c>
      <c r="V1625" s="22">
        <f>4.4/5</f>
        <v>0.88000000000000012</v>
      </c>
      <c r="W1625" s="14" t="s">
        <v>8572</v>
      </c>
      <c r="AB1625" s="18">
        <f t="shared" si="50"/>
        <v>2019</v>
      </c>
      <c r="AC1625" s="22">
        <f t="shared" si="51"/>
        <v>0.82</v>
      </c>
    </row>
    <row r="1626" spans="1:29">
      <c r="A1626" s="8" t="s">
        <v>8590</v>
      </c>
      <c r="B1626" s="17" t="s">
        <v>7783</v>
      </c>
      <c r="C1626" s="13">
        <v>43727</v>
      </c>
      <c r="D1626" s="13" t="s">
        <v>8465</v>
      </c>
      <c r="E1626" s="10" t="s">
        <v>8591</v>
      </c>
      <c r="F1626" s="10" t="s">
        <v>8591</v>
      </c>
      <c r="H1626" s="2" t="s">
        <v>255</v>
      </c>
      <c r="L1626" s="18">
        <v>0</v>
      </c>
      <c r="Q1626" s="18">
        <v>1</v>
      </c>
      <c r="R1626" s="13">
        <v>43937</v>
      </c>
      <c r="S1626" s="21">
        <f>2+22/60+8/3600</f>
        <v>2.3688888888888888</v>
      </c>
      <c r="T1626" s="22">
        <v>0.75</v>
      </c>
      <c r="U1626" s="22">
        <v>0.79</v>
      </c>
      <c r="V1626" s="22">
        <f>3.83/5</f>
        <v>0.76600000000000001</v>
      </c>
      <c r="W1626" s="14" t="s">
        <v>8572</v>
      </c>
      <c r="AB1626" s="18">
        <f t="shared" si="50"/>
        <v>2019</v>
      </c>
      <c r="AC1626" s="22">
        <f t="shared" si="51"/>
        <v>0.76866666666666672</v>
      </c>
    </row>
    <row r="1627" spans="1:29">
      <c r="A1627" s="8" t="s">
        <v>8593</v>
      </c>
      <c r="B1627" s="17" t="s">
        <v>7783</v>
      </c>
      <c r="C1627" s="13">
        <v>43727</v>
      </c>
      <c r="D1627" s="13" t="s">
        <v>8465</v>
      </c>
      <c r="E1627" s="10" t="s">
        <v>3642</v>
      </c>
      <c r="F1627" s="10" t="s">
        <v>3642</v>
      </c>
      <c r="G1627" s="11" t="s">
        <v>3640</v>
      </c>
      <c r="H1627" s="2" t="s">
        <v>67</v>
      </c>
      <c r="L1627" s="18">
        <v>0</v>
      </c>
      <c r="Q1627" s="18">
        <v>1</v>
      </c>
      <c r="R1627" s="13">
        <v>43938</v>
      </c>
      <c r="T1627" s="22">
        <v>0.7</v>
      </c>
      <c r="V1627" s="22">
        <f>4/5</f>
        <v>0.8</v>
      </c>
      <c r="W1627" s="14" t="s">
        <v>8572</v>
      </c>
      <c r="AB1627" s="18">
        <f t="shared" si="50"/>
        <v>2019</v>
      </c>
      <c r="AC1627" s="22">
        <f t="shared" si="51"/>
        <v>0.75</v>
      </c>
    </row>
    <row r="1628" spans="1:29">
      <c r="A1628" s="8" t="s">
        <v>10416</v>
      </c>
      <c r="B1628" s="17" t="s">
        <v>7783</v>
      </c>
      <c r="C1628" s="13">
        <v>43727</v>
      </c>
      <c r="D1628" s="13" t="s">
        <v>8465</v>
      </c>
      <c r="E1628" s="10" t="s">
        <v>3063</v>
      </c>
      <c r="F1628" s="10" t="s">
        <v>10436</v>
      </c>
      <c r="H1628" s="2" t="s">
        <v>171</v>
      </c>
      <c r="L1628" s="18">
        <v>0</v>
      </c>
      <c r="Q1628" s="18">
        <v>1</v>
      </c>
      <c r="R1628" s="13">
        <v>45057</v>
      </c>
      <c r="S1628" s="21">
        <f>2+39/60</f>
        <v>2.65</v>
      </c>
      <c r="T1628" s="22">
        <v>0.7</v>
      </c>
      <c r="W1628" s="14" t="s">
        <v>8572</v>
      </c>
      <c r="AB1628" s="18">
        <f t="shared" si="50"/>
        <v>2019</v>
      </c>
      <c r="AC1628" s="22">
        <f t="shared" si="51"/>
        <v>0.7</v>
      </c>
    </row>
    <row r="1629" spans="1:29">
      <c r="A1629" s="8" t="s">
        <v>14609</v>
      </c>
      <c r="B1629" s="17" t="s">
        <v>7783</v>
      </c>
      <c r="C1629" s="13">
        <v>43727</v>
      </c>
      <c r="D1629" s="13" t="s">
        <v>8465</v>
      </c>
      <c r="E1629" s="10" t="s">
        <v>14610</v>
      </c>
      <c r="F1629" s="10" t="s">
        <v>14610</v>
      </c>
      <c r="H1629" s="2" t="s">
        <v>67</v>
      </c>
      <c r="L1629" s="18">
        <v>0</v>
      </c>
      <c r="Q1629" s="18">
        <v>1</v>
      </c>
      <c r="R1629" s="13">
        <v>45048</v>
      </c>
      <c r="S1629" s="21">
        <f>1+21/60</f>
        <v>1.35</v>
      </c>
      <c r="T1629" s="22">
        <v>0.5</v>
      </c>
      <c r="V1629" s="22">
        <f>3/5</f>
        <v>0.6</v>
      </c>
      <c r="W1629" s="14" t="s">
        <v>8572</v>
      </c>
      <c r="AB1629" s="18">
        <f t="shared" si="50"/>
        <v>2019</v>
      </c>
      <c r="AC1629" s="22">
        <f t="shared" si="51"/>
        <v>0.55000000000000004</v>
      </c>
    </row>
    <row r="1630" spans="1:29" ht="25.5">
      <c r="A1630" s="8" t="s">
        <v>8600</v>
      </c>
      <c r="B1630" s="17" t="s">
        <v>7783</v>
      </c>
      <c r="C1630" s="13">
        <v>43727</v>
      </c>
      <c r="D1630" s="13" t="s">
        <v>8465</v>
      </c>
      <c r="E1630" s="10" t="s">
        <v>8601</v>
      </c>
      <c r="F1630" s="10" t="s">
        <v>8601</v>
      </c>
      <c r="G1630" s="11" t="s">
        <v>8602</v>
      </c>
      <c r="H1630" s="2" t="s">
        <v>67</v>
      </c>
      <c r="L1630" s="18">
        <v>0</v>
      </c>
      <c r="Q1630" s="18">
        <v>1</v>
      </c>
      <c r="R1630" s="13">
        <v>43945</v>
      </c>
      <c r="S1630" s="21">
        <f>10+23/60</f>
        <v>10.383333333333333</v>
      </c>
      <c r="T1630" s="22">
        <v>0.5</v>
      </c>
      <c r="W1630" s="14" t="s">
        <v>8572</v>
      </c>
      <c r="AB1630" s="18">
        <f t="shared" si="50"/>
        <v>2019</v>
      </c>
      <c r="AC1630" s="22">
        <f t="shared" si="51"/>
        <v>0.5</v>
      </c>
    </row>
    <row r="1631" spans="1:29">
      <c r="A1631" s="8" t="s">
        <v>15225</v>
      </c>
      <c r="B1631" s="17" t="s">
        <v>7783</v>
      </c>
      <c r="C1631" s="13">
        <v>43727</v>
      </c>
      <c r="D1631" s="13" t="s">
        <v>8465</v>
      </c>
      <c r="E1631" s="10" t="s">
        <v>10440</v>
      </c>
      <c r="F1631" s="10" t="s">
        <v>15226</v>
      </c>
      <c r="H1631" s="2" t="s">
        <v>78</v>
      </c>
      <c r="L1631" s="18">
        <v>0</v>
      </c>
      <c r="Q1631" s="18">
        <v>1</v>
      </c>
      <c r="R1631" s="13">
        <v>45099</v>
      </c>
      <c r="S1631" s="21">
        <f>42/60</f>
        <v>0.7</v>
      </c>
      <c r="T1631" s="22">
        <v>0.4</v>
      </c>
      <c r="W1631" s="14" t="s">
        <v>8572</v>
      </c>
      <c r="AB1631" s="18">
        <f t="shared" si="50"/>
        <v>2019</v>
      </c>
      <c r="AC1631" s="22">
        <f t="shared" si="51"/>
        <v>0.4</v>
      </c>
    </row>
    <row r="1632" spans="1:29">
      <c r="A1632" s="8" t="s">
        <v>15434</v>
      </c>
      <c r="B1632" s="17" t="s">
        <v>7783</v>
      </c>
      <c r="C1632" s="13">
        <v>43727</v>
      </c>
      <c r="D1632" s="13" t="s">
        <v>8465</v>
      </c>
      <c r="E1632" s="10" t="s">
        <v>15435</v>
      </c>
      <c r="F1632" s="10" t="s">
        <v>15435</v>
      </c>
      <c r="H1632" s="2" t="s">
        <v>3411</v>
      </c>
      <c r="L1632" s="18">
        <v>0</v>
      </c>
      <c r="Q1632" s="18">
        <v>1</v>
      </c>
      <c r="R1632" s="13">
        <v>45133</v>
      </c>
      <c r="S1632" s="21">
        <f>8+20/60</f>
        <v>8.3333333333333339</v>
      </c>
      <c r="T1632" s="22">
        <v>0.6</v>
      </c>
      <c r="V1632" s="22">
        <f>3.75/5</f>
        <v>0.75</v>
      </c>
      <c r="W1632" s="14" t="s">
        <v>8572</v>
      </c>
      <c r="AB1632" s="18">
        <f t="shared" si="50"/>
        <v>2019</v>
      </c>
      <c r="AC1632" s="22">
        <f t="shared" si="51"/>
        <v>0.67500000000000004</v>
      </c>
    </row>
    <row r="1633" spans="1:29">
      <c r="A1633" s="8" t="s">
        <v>8578</v>
      </c>
      <c r="B1633" s="17" t="s">
        <v>7783</v>
      </c>
      <c r="C1633" s="13">
        <v>43722</v>
      </c>
      <c r="D1633" s="13" t="s">
        <v>8465</v>
      </c>
      <c r="E1633" s="10" t="s">
        <v>4063</v>
      </c>
      <c r="F1633" s="10" t="s">
        <v>8579</v>
      </c>
      <c r="H1633" s="2" t="s">
        <v>67</v>
      </c>
      <c r="L1633" s="18">
        <v>0</v>
      </c>
      <c r="Q1633" s="18">
        <v>1</v>
      </c>
      <c r="R1633" s="13">
        <v>43934</v>
      </c>
      <c r="T1633" s="22">
        <v>0.75</v>
      </c>
      <c r="V1633" s="22">
        <f>3.5/5</f>
        <v>0.7</v>
      </c>
      <c r="W1633" s="14" t="s">
        <v>8572</v>
      </c>
      <c r="AB1633" s="18">
        <f t="shared" si="50"/>
        <v>2019</v>
      </c>
      <c r="AC1633" s="22">
        <f t="shared" si="51"/>
        <v>0.72499999999999998</v>
      </c>
    </row>
    <row r="1634" spans="1:29">
      <c r="A1634" s="8" t="s">
        <v>7849</v>
      </c>
      <c r="B1634" s="17" t="s">
        <v>7800</v>
      </c>
      <c r="C1634" s="13">
        <v>43721</v>
      </c>
      <c r="D1634" s="13" t="s">
        <v>8465</v>
      </c>
      <c r="E1634" s="10" t="s">
        <v>3310</v>
      </c>
      <c r="F1634" s="10" t="s">
        <v>3154</v>
      </c>
      <c r="G1634" s="11" t="s">
        <v>3356</v>
      </c>
      <c r="H1634" s="2" t="s">
        <v>1050</v>
      </c>
      <c r="L1634" s="18">
        <v>1</v>
      </c>
      <c r="N1634" s="13">
        <v>43799</v>
      </c>
      <c r="O1634" s="29">
        <v>0</v>
      </c>
      <c r="P1634" s="18" t="s">
        <v>1107</v>
      </c>
      <c r="Q1634" s="18">
        <v>1</v>
      </c>
      <c r="R1634" s="13">
        <v>43810</v>
      </c>
      <c r="S1634" s="21">
        <f>28+14/3600</f>
        <v>28.003888888888888</v>
      </c>
      <c r="T1634" s="22">
        <v>0.9</v>
      </c>
      <c r="U1634" s="22">
        <v>0.79830000000000001</v>
      </c>
      <c r="V1634" s="22">
        <f>3.43/5</f>
        <v>0.68600000000000005</v>
      </c>
      <c r="W1634" s="14" t="s">
        <v>7097</v>
      </c>
      <c r="AB1634" s="18">
        <f t="shared" si="50"/>
        <v>2019</v>
      </c>
      <c r="AC1634" s="22">
        <f t="shared" si="51"/>
        <v>0.79476666666666673</v>
      </c>
    </row>
    <row r="1635" spans="1:29">
      <c r="A1635" s="8" t="s">
        <v>8571</v>
      </c>
      <c r="B1635" s="17" t="s">
        <v>7783</v>
      </c>
      <c r="C1635" s="13">
        <v>43720</v>
      </c>
      <c r="D1635" s="13" t="s">
        <v>8465</v>
      </c>
      <c r="E1635" s="10" t="s">
        <v>8573</v>
      </c>
      <c r="F1635" s="10" t="s">
        <v>8573</v>
      </c>
      <c r="H1635" s="2" t="s">
        <v>67</v>
      </c>
      <c r="L1635" s="18">
        <v>0</v>
      </c>
      <c r="Q1635" s="18">
        <v>1</v>
      </c>
      <c r="R1635" s="13">
        <v>43932</v>
      </c>
      <c r="T1635" s="22">
        <v>0.8</v>
      </c>
      <c r="U1635" s="22">
        <v>0.72</v>
      </c>
      <c r="V1635" s="22">
        <f>4.33/5</f>
        <v>0.86599999999999999</v>
      </c>
      <c r="W1635" s="14" t="s">
        <v>8572</v>
      </c>
      <c r="AB1635" s="18">
        <f t="shared" si="50"/>
        <v>2019</v>
      </c>
      <c r="AC1635" s="22">
        <f t="shared" si="51"/>
        <v>0.79533333333333334</v>
      </c>
    </row>
    <row r="1636" spans="1:29" ht="30">
      <c r="A1636" s="8" t="s">
        <v>8223</v>
      </c>
      <c r="B1636" s="17" t="s">
        <v>7744</v>
      </c>
      <c r="C1636" s="13">
        <v>43718</v>
      </c>
      <c r="D1636" s="13" t="s">
        <v>8465</v>
      </c>
      <c r="E1636" s="10" t="s">
        <v>1634</v>
      </c>
      <c r="F1636" s="10" t="s">
        <v>5331</v>
      </c>
      <c r="G1636" s="11" t="s">
        <v>8223</v>
      </c>
      <c r="H1636" s="2" t="s">
        <v>151</v>
      </c>
      <c r="L1636" s="18">
        <v>1</v>
      </c>
      <c r="M1636" s="14" t="s">
        <v>8462</v>
      </c>
      <c r="N1636" s="13">
        <v>43866</v>
      </c>
      <c r="O1636" s="29">
        <v>43.76</v>
      </c>
      <c r="P1636" s="18" t="s">
        <v>14</v>
      </c>
      <c r="Q1636" s="18">
        <v>1</v>
      </c>
      <c r="R1636" s="13">
        <v>45156</v>
      </c>
      <c r="S1636" s="21">
        <f>14+57/60</f>
        <v>14.95</v>
      </c>
      <c r="T1636" s="22">
        <v>0.8</v>
      </c>
      <c r="U1636" s="22">
        <v>0.76</v>
      </c>
      <c r="V1636" s="22">
        <f>3.86/5</f>
        <v>0.77200000000000002</v>
      </c>
      <c r="W1636" s="14" t="s">
        <v>1134</v>
      </c>
      <c r="AB1636" s="18">
        <f t="shared" si="50"/>
        <v>2019</v>
      </c>
      <c r="AC1636" s="22">
        <f t="shared" si="51"/>
        <v>0.77733333333333332</v>
      </c>
    </row>
    <row r="1637" spans="1:29">
      <c r="A1637" s="8" t="s">
        <v>7822</v>
      </c>
      <c r="B1637" s="17" t="s">
        <v>7766</v>
      </c>
      <c r="C1637" s="13">
        <v>43718</v>
      </c>
      <c r="D1637" s="13" t="s">
        <v>8465</v>
      </c>
      <c r="E1637" s="10" t="s">
        <v>6517</v>
      </c>
      <c r="F1637" s="10" t="s">
        <v>6520</v>
      </c>
      <c r="G1637" s="11" t="s">
        <v>6303</v>
      </c>
      <c r="H1637" s="2" t="s">
        <v>1168</v>
      </c>
      <c r="L1637" s="18">
        <v>1</v>
      </c>
      <c r="M1637" s="14" t="s">
        <v>8462</v>
      </c>
      <c r="N1637" s="13">
        <v>43718</v>
      </c>
      <c r="O1637" s="29">
        <v>54.18</v>
      </c>
      <c r="P1637" s="18" t="s">
        <v>14</v>
      </c>
      <c r="Q1637" s="18">
        <v>1</v>
      </c>
      <c r="R1637" s="13">
        <v>44074</v>
      </c>
      <c r="S1637" s="21">
        <f>8+27/60</f>
        <v>8.4499999999999993</v>
      </c>
      <c r="T1637" s="22">
        <v>0.75</v>
      </c>
      <c r="U1637" s="22">
        <v>0.84260000000000002</v>
      </c>
      <c r="V1637" s="22">
        <f>3.6/5</f>
        <v>0.72</v>
      </c>
      <c r="AB1637" s="18">
        <f t="shared" si="50"/>
        <v>2019</v>
      </c>
      <c r="AC1637" s="22">
        <f t="shared" si="51"/>
        <v>0.77086666666666659</v>
      </c>
    </row>
    <row r="1638" spans="1:29">
      <c r="A1638" s="8" t="s">
        <v>8717</v>
      </c>
      <c r="B1638" s="17" t="s">
        <v>7760</v>
      </c>
      <c r="C1638" s="13">
        <v>43718</v>
      </c>
      <c r="D1638" s="13" t="s">
        <v>8465</v>
      </c>
      <c r="E1638" s="10" t="s">
        <v>1062</v>
      </c>
      <c r="F1638" s="10" t="s">
        <v>7413</v>
      </c>
      <c r="G1638" s="11" t="s">
        <v>8709</v>
      </c>
      <c r="H1638" s="2" t="s">
        <v>1059</v>
      </c>
      <c r="L1638" s="18">
        <v>1</v>
      </c>
      <c r="N1638" s="13">
        <v>43982</v>
      </c>
      <c r="O1638" s="29">
        <v>29.99</v>
      </c>
      <c r="P1638" s="18" t="s">
        <v>1107</v>
      </c>
      <c r="Q1638" s="18">
        <v>1</v>
      </c>
      <c r="R1638" s="13">
        <v>44059</v>
      </c>
      <c r="S1638" s="21">
        <v>3</v>
      </c>
      <c r="T1638" s="22">
        <v>0.5</v>
      </c>
      <c r="U1638" s="22">
        <v>0.59</v>
      </c>
      <c r="V1638" s="22">
        <f>3.65/5</f>
        <v>0.73</v>
      </c>
      <c r="AB1638" s="18">
        <f t="shared" si="50"/>
        <v>2019</v>
      </c>
      <c r="AC1638" s="22">
        <f t="shared" si="51"/>
        <v>0.60666666666666658</v>
      </c>
    </row>
    <row r="1639" spans="1:29">
      <c r="A1639" s="8" t="s">
        <v>8633</v>
      </c>
      <c r="B1639" s="17" t="s">
        <v>7800</v>
      </c>
      <c r="C1639" s="13">
        <v>43714</v>
      </c>
      <c r="D1639" s="13" t="s">
        <v>8465</v>
      </c>
      <c r="E1639" s="10" t="s">
        <v>8636</v>
      </c>
      <c r="F1639" s="10" t="s">
        <v>8636</v>
      </c>
      <c r="H1639" s="2" t="s">
        <v>1061</v>
      </c>
      <c r="L1639" s="18">
        <v>1</v>
      </c>
      <c r="N1639" s="13">
        <v>43955</v>
      </c>
      <c r="O1639" s="29">
        <v>2.39</v>
      </c>
      <c r="P1639" s="18" t="s">
        <v>1107</v>
      </c>
      <c r="Q1639" s="18">
        <v>1</v>
      </c>
      <c r="R1639" s="13">
        <v>44014</v>
      </c>
      <c r="S1639" s="21">
        <f>23/60</f>
        <v>0.38333333333333336</v>
      </c>
      <c r="T1639" s="22">
        <v>0.3</v>
      </c>
      <c r="V1639" s="22">
        <f>3.75/5</f>
        <v>0.75</v>
      </c>
      <c r="W1639" s="14" t="s">
        <v>7777</v>
      </c>
      <c r="AB1639" s="18">
        <f t="shared" si="50"/>
        <v>2019</v>
      </c>
      <c r="AC1639" s="22">
        <f t="shared" si="51"/>
        <v>0.52500000000000002</v>
      </c>
    </row>
    <row r="1640" spans="1:29">
      <c r="A1640" s="8" t="s">
        <v>8279</v>
      </c>
      <c r="B1640" s="17" t="s">
        <v>7800</v>
      </c>
      <c r="C1640" s="13">
        <v>43707</v>
      </c>
      <c r="D1640" s="13" t="s">
        <v>8465</v>
      </c>
      <c r="E1640" s="10" t="s">
        <v>8117</v>
      </c>
      <c r="F1640" s="10" t="s">
        <v>3048</v>
      </c>
      <c r="G1640" s="11" t="s">
        <v>8279</v>
      </c>
      <c r="H1640" s="2" t="s">
        <v>1061</v>
      </c>
      <c r="L1640" s="18">
        <v>0</v>
      </c>
      <c r="Q1640" s="18">
        <v>1</v>
      </c>
      <c r="R1640" s="13">
        <v>43831</v>
      </c>
      <c r="S1640" s="21">
        <f>3+58/60</f>
        <v>3.9666666666666668</v>
      </c>
      <c r="T1640" s="22">
        <v>0.6</v>
      </c>
      <c r="U1640" s="22">
        <v>0.69</v>
      </c>
      <c r="V1640" s="22">
        <f>2.93/5</f>
        <v>0.58600000000000008</v>
      </c>
      <c r="W1640" s="14" t="s">
        <v>8280</v>
      </c>
      <c r="AB1640" s="18">
        <f t="shared" si="50"/>
        <v>2019</v>
      </c>
      <c r="AC1640" s="22">
        <f t="shared" si="51"/>
        <v>0.62533333333333341</v>
      </c>
    </row>
    <row r="1641" spans="1:29">
      <c r="A1641" s="8" t="s">
        <v>10765</v>
      </c>
      <c r="B1641" s="17" t="s">
        <v>7800</v>
      </c>
      <c r="C1641" s="13">
        <v>43706</v>
      </c>
      <c r="D1641" s="13" t="s">
        <v>8465</v>
      </c>
      <c r="E1641" s="10" t="s">
        <v>8787</v>
      </c>
      <c r="F1641" s="10" t="s">
        <v>10766</v>
      </c>
      <c r="H1641" s="2" t="s">
        <v>78</v>
      </c>
      <c r="L1641" s="18">
        <v>0</v>
      </c>
      <c r="Q1641" s="18">
        <v>1</v>
      </c>
      <c r="R1641" s="13">
        <v>44535</v>
      </c>
      <c r="S1641" s="21">
        <f>325/60+52/3600</f>
        <v>5.431111111111111</v>
      </c>
      <c r="T1641" s="22">
        <v>0.7</v>
      </c>
      <c r="V1641" s="22">
        <f>3.23/5</f>
        <v>0.64600000000000002</v>
      </c>
      <c r="W1641" s="14" t="s">
        <v>8280</v>
      </c>
      <c r="AB1641" s="18">
        <f t="shared" si="50"/>
        <v>2019</v>
      </c>
      <c r="AC1641" s="22">
        <f t="shared" si="51"/>
        <v>0.67300000000000004</v>
      </c>
    </row>
    <row r="1642" spans="1:29">
      <c r="A1642" s="8" t="s">
        <v>7761</v>
      </c>
      <c r="B1642" s="17" t="s">
        <v>7800</v>
      </c>
      <c r="C1642" s="13">
        <v>43704</v>
      </c>
      <c r="D1642" s="13" t="s">
        <v>8465</v>
      </c>
      <c r="E1642" s="10" t="s">
        <v>1571</v>
      </c>
      <c r="F1642" s="10" t="s">
        <v>3130</v>
      </c>
      <c r="H1642" s="2" t="s">
        <v>1168</v>
      </c>
      <c r="L1642" s="18">
        <v>1</v>
      </c>
      <c r="N1642" s="13">
        <v>43818</v>
      </c>
      <c r="O1642" s="29">
        <v>30.19</v>
      </c>
      <c r="P1642" s="18" t="s">
        <v>1107</v>
      </c>
      <c r="Q1642" s="18">
        <v>1</v>
      </c>
      <c r="R1642" s="13">
        <v>43829</v>
      </c>
      <c r="S1642" s="21">
        <f>10+44/60+28/3600</f>
        <v>10.74111111111111</v>
      </c>
      <c r="T1642" s="22">
        <v>0.9</v>
      </c>
      <c r="U1642" s="22">
        <v>0.85</v>
      </c>
      <c r="V1642" s="22">
        <f>3.79/5</f>
        <v>0.75800000000000001</v>
      </c>
      <c r="W1642" s="14" t="s">
        <v>7097</v>
      </c>
      <c r="AB1642" s="18">
        <f t="shared" si="50"/>
        <v>2019</v>
      </c>
      <c r="AC1642" s="22">
        <f t="shared" si="51"/>
        <v>0.83599999999999997</v>
      </c>
    </row>
    <row r="1643" spans="1:29">
      <c r="A1643" s="8" t="s">
        <v>7978</v>
      </c>
      <c r="B1643" s="17" t="s">
        <v>7800</v>
      </c>
      <c r="C1643" s="13">
        <v>43676</v>
      </c>
      <c r="D1643" s="13" t="s">
        <v>8465</v>
      </c>
      <c r="E1643" s="10" t="s">
        <v>7979</v>
      </c>
      <c r="F1643" s="10" t="s">
        <v>7979</v>
      </c>
      <c r="H1643" s="2" t="s">
        <v>67</v>
      </c>
      <c r="L1643" s="18">
        <v>1</v>
      </c>
      <c r="N1643" s="13">
        <v>43761</v>
      </c>
      <c r="O1643" s="29">
        <v>0</v>
      </c>
      <c r="P1643" s="18" t="s">
        <v>1107</v>
      </c>
      <c r="Q1643" s="18">
        <v>1</v>
      </c>
      <c r="R1643" s="13">
        <v>44813</v>
      </c>
      <c r="S1643" s="21">
        <f>119/60</f>
        <v>1.9833333333333334</v>
      </c>
      <c r="T1643" s="22">
        <v>0.8</v>
      </c>
      <c r="U1643" s="22">
        <v>0.77500000000000002</v>
      </c>
      <c r="V1643" s="22">
        <f>3.99/5</f>
        <v>0.79800000000000004</v>
      </c>
      <c r="W1643" s="14" t="s">
        <v>7777</v>
      </c>
      <c r="AB1643" s="18">
        <f t="shared" si="50"/>
        <v>2019</v>
      </c>
      <c r="AC1643" s="22">
        <f t="shared" si="51"/>
        <v>0.79100000000000004</v>
      </c>
    </row>
    <row r="1644" spans="1:29" ht="25.5">
      <c r="A1644" s="8" t="s">
        <v>1597</v>
      </c>
      <c r="B1644" s="17" t="s">
        <v>7744</v>
      </c>
      <c r="C1644" s="13">
        <v>43672</v>
      </c>
      <c r="D1644" s="13" t="s">
        <v>8465</v>
      </c>
      <c r="E1644" s="10" t="s">
        <v>86</v>
      </c>
      <c r="F1644" s="10" t="s">
        <v>1069</v>
      </c>
      <c r="G1644" s="11" t="s">
        <v>305</v>
      </c>
      <c r="H1644" s="2" t="s">
        <v>75</v>
      </c>
      <c r="L1644" s="18">
        <v>1</v>
      </c>
      <c r="M1644" s="14" t="s">
        <v>8462</v>
      </c>
      <c r="N1644" s="13">
        <v>43672</v>
      </c>
      <c r="O1644" s="29">
        <v>52.07</v>
      </c>
      <c r="P1644" s="18" t="s">
        <v>14</v>
      </c>
      <c r="Q1644" s="18">
        <v>1</v>
      </c>
      <c r="R1644" s="13">
        <v>45005</v>
      </c>
      <c r="S1644" s="21">
        <f>46+26/60</f>
        <v>46.43333333333333</v>
      </c>
      <c r="T1644" s="22">
        <v>0.9</v>
      </c>
      <c r="U1644" s="22">
        <v>0.89</v>
      </c>
      <c r="V1644" s="22">
        <f>4.34/5</f>
        <v>0.86799999999999999</v>
      </c>
      <c r="AB1644" s="18">
        <f t="shared" si="50"/>
        <v>2019</v>
      </c>
      <c r="AC1644" s="22">
        <f t="shared" si="51"/>
        <v>0.88600000000000001</v>
      </c>
    </row>
    <row r="1645" spans="1:29" ht="25.5">
      <c r="A1645" s="8" t="s">
        <v>8206</v>
      </c>
      <c r="B1645" s="17" t="s">
        <v>7800</v>
      </c>
      <c r="C1645" s="13">
        <v>43671</v>
      </c>
      <c r="D1645" s="13" t="s">
        <v>8465</v>
      </c>
      <c r="E1645" s="10" t="s">
        <v>1690</v>
      </c>
      <c r="F1645" s="10" t="s">
        <v>1723</v>
      </c>
      <c r="G1645" s="11" t="s">
        <v>1724</v>
      </c>
      <c r="H1645" s="2" t="s">
        <v>1050</v>
      </c>
      <c r="L1645" s="18">
        <v>1</v>
      </c>
      <c r="N1645" s="13">
        <v>43799</v>
      </c>
      <c r="O1645" s="29">
        <v>19.989999999999998</v>
      </c>
      <c r="P1645" s="18" t="s">
        <v>1107</v>
      </c>
      <c r="Q1645" s="18">
        <v>1</v>
      </c>
      <c r="R1645" s="13">
        <v>44013</v>
      </c>
      <c r="S1645" s="21">
        <f>7+12/60</f>
        <v>7.2</v>
      </c>
      <c r="T1645" s="22">
        <v>0.5</v>
      </c>
      <c r="U1645" s="22">
        <v>0.64929999999999999</v>
      </c>
      <c r="V1645" s="22">
        <f>2.51/5</f>
        <v>0.502</v>
      </c>
      <c r="W1645" s="14" t="s">
        <v>7777</v>
      </c>
      <c r="AB1645" s="18">
        <f t="shared" si="50"/>
        <v>2019</v>
      </c>
      <c r="AC1645" s="22">
        <f t="shared" si="51"/>
        <v>0.55043333333333333</v>
      </c>
    </row>
    <row r="1646" spans="1:29">
      <c r="A1646" s="8" t="s">
        <v>8495</v>
      </c>
      <c r="B1646" s="17" t="s">
        <v>7800</v>
      </c>
      <c r="C1646" s="13">
        <v>43671</v>
      </c>
      <c r="D1646" s="13" t="s">
        <v>8465</v>
      </c>
      <c r="E1646" s="10" t="s">
        <v>1690</v>
      </c>
      <c r="F1646" s="10" t="s">
        <v>3218</v>
      </c>
      <c r="G1646" s="11" t="s">
        <v>1724</v>
      </c>
      <c r="H1646" s="2" t="s">
        <v>1050</v>
      </c>
      <c r="I1646" s="18">
        <v>1</v>
      </c>
      <c r="L1646" s="18">
        <v>1</v>
      </c>
      <c r="N1646" s="13">
        <v>43901</v>
      </c>
      <c r="O1646" s="29">
        <v>11.25</v>
      </c>
      <c r="P1646" s="18" t="s">
        <v>1107</v>
      </c>
      <c r="Q1646" s="18">
        <v>1</v>
      </c>
      <c r="R1646" s="13">
        <v>43964</v>
      </c>
      <c r="S1646" s="21">
        <f>1+38/60</f>
        <v>1.6333333333333333</v>
      </c>
      <c r="T1646" s="22">
        <v>0.5</v>
      </c>
      <c r="U1646" s="22">
        <v>0.54</v>
      </c>
      <c r="V1646" s="22">
        <f>1/5</f>
        <v>0.2</v>
      </c>
      <c r="W1646" s="14" t="s">
        <v>7777</v>
      </c>
      <c r="AB1646" s="18">
        <f t="shared" si="50"/>
        <v>2019</v>
      </c>
      <c r="AC1646" s="22">
        <f t="shared" si="51"/>
        <v>0.41333333333333333</v>
      </c>
    </row>
    <row r="1647" spans="1:29">
      <c r="A1647" s="8" t="s">
        <v>1642</v>
      </c>
      <c r="B1647" s="17" t="s">
        <v>7744</v>
      </c>
      <c r="C1647" s="13">
        <v>43669</v>
      </c>
      <c r="D1647" s="13" t="s">
        <v>8465</v>
      </c>
      <c r="E1647" s="10" t="s">
        <v>1643</v>
      </c>
      <c r="F1647" s="10" t="s">
        <v>8169</v>
      </c>
      <c r="G1647" s="11" t="s">
        <v>1644</v>
      </c>
      <c r="H1647" s="2" t="s">
        <v>21</v>
      </c>
      <c r="L1647" s="18">
        <v>1</v>
      </c>
      <c r="M1647" s="14" t="s">
        <v>8462</v>
      </c>
      <c r="N1647" s="13">
        <v>43669</v>
      </c>
      <c r="O1647" s="29">
        <v>32.54</v>
      </c>
      <c r="P1647" s="18" t="s">
        <v>14</v>
      </c>
      <c r="Q1647" s="18">
        <v>1</v>
      </c>
      <c r="R1647" s="13">
        <v>43898</v>
      </c>
      <c r="T1647" s="22">
        <v>0.6</v>
      </c>
      <c r="U1647" s="22">
        <v>0.8</v>
      </c>
      <c r="V1647" s="22">
        <f>4.2/5</f>
        <v>0.84000000000000008</v>
      </c>
      <c r="AB1647" s="18">
        <f t="shared" si="50"/>
        <v>2019</v>
      </c>
      <c r="AC1647" s="22">
        <f t="shared" si="51"/>
        <v>0.7466666666666667</v>
      </c>
    </row>
    <row r="1648" spans="1:29" ht="30">
      <c r="A1648" s="8" t="s">
        <v>9751</v>
      </c>
      <c r="B1648" s="17" t="s">
        <v>7800</v>
      </c>
      <c r="C1648" s="13">
        <v>43648</v>
      </c>
      <c r="D1648" s="13" t="s">
        <v>8465</v>
      </c>
      <c r="E1648" s="10" t="s">
        <v>1082</v>
      </c>
      <c r="F1648" s="10" t="s">
        <v>9752</v>
      </c>
      <c r="G1648" s="11" t="s">
        <v>126</v>
      </c>
      <c r="H1648" s="2" t="s">
        <v>9780</v>
      </c>
      <c r="J1648" s="18">
        <v>1</v>
      </c>
      <c r="L1648" s="18">
        <v>1</v>
      </c>
      <c r="N1648" s="13">
        <v>44235</v>
      </c>
      <c r="O1648" s="29">
        <v>0</v>
      </c>
      <c r="P1648" s="18" t="s">
        <v>1107</v>
      </c>
      <c r="Q1648" s="18">
        <v>1</v>
      </c>
      <c r="R1648" s="13">
        <v>44279</v>
      </c>
      <c r="S1648" s="21">
        <f>79+6/60</f>
        <v>79.099999999999994</v>
      </c>
      <c r="T1648" s="22">
        <v>0.95</v>
      </c>
      <c r="U1648" s="22">
        <v>0.9</v>
      </c>
      <c r="V1648" s="22">
        <f>4.1/5</f>
        <v>0.82</v>
      </c>
      <c r="W1648" s="14" t="s">
        <v>1082</v>
      </c>
      <c r="AB1648" s="18">
        <f t="shared" si="50"/>
        <v>2019</v>
      </c>
      <c r="AC1648" s="22">
        <f t="shared" si="51"/>
        <v>0.89</v>
      </c>
    </row>
    <row r="1649" spans="1:29" ht="25.5">
      <c r="A1649" s="8" t="s">
        <v>1645</v>
      </c>
      <c r="B1649" s="17" t="s">
        <v>7744</v>
      </c>
      <c r="C1649" s="13">
        <v>43648</v>
      </c>
      <c r="D1649" s="13" t="s">
        <v>8465</v>
      </c>
      <c r="E1649" s="10" t="s">
        <v>1583</v>
      </c>
      <c r="F1649" s="10" t="s">
        <v>1584</v>
      </c>
      <c r="G1649" s="11" t="s">
        <v>1646</v>
      </c>
      <c r="H1649" s="2" t="s">
        <v>1168</v>
      </c>
      <c r="L1649" s="18">
        <v>1</v>
      </c>
      <c r="M1649" s="14" t="s">
        <v>8462</v>
      </c>
      <c r="N1649" s="13">
        <v>43648</v>
      </c>
      <c r="O1649" s="29">
        <v>32.54</v>
      </c>
      <c r="P1649" s="18" t="s">
        <v>14</v>
      </c>
      <c r="Q1649" s="18">
        <v>1</v>
      </c>
      <c r="R1649" s="13">
        <v>43779</v>
      </c>
      <c r="T1649" s="22">
        <v>0.75</v>
      </c>
      <c r="U1649" s="22">
        <v>0.7</v>
      </c>
      <c r="V1649" s="22">
        <f>3.71/5</f>
        <v>0.74199999999999999</v>
      </c>
      <c r="AB1649" s="18">
        <f t="shared" si="50"/>
        <v>2019</v>
      </c>
      <c r="AC1649" s="22">
        <f t="shared" si="51"/>
        <v>0.73066666666666669</v>
      </c>
    </row>
    <row r="1650" spans="1:29" ht="38.25">
      <c r="A1650" s="8" t="s">
        <v>8517</v>
      </c>
      <c r="B1650" s="17" t="s">
        <v>7800</v>
      </c>
      <c r="C1650" s="13">
        <v>43641</v>
      </c>
      <c r="D1650" s="13" t="s">
        <v>8465</v>
      </c>
      <c r="E1650" s="10" t="s">
        <v>8518</v>
      </c>
      <c r="F1650" s="10" t="s">
        <v>8519</v>
      </c>
      <c r="G1650" s="11" t="s">
        <v>1264</v>
      </c>
      <c r="H1650" s="2" t="s">
        <v>80</v>
      </c>
      <c r="I1650" s="18">
        <v>1</v>
      </c>
      <c r="L1650" s="18">
        <v>1</v>
      </c>
      <c r="N1650" s="13">
        <v>43906</v>
      </c>
      <c r="O1650" s="29">
        <v>0</v>
      </c>
      <c r="P1650" s="18" t="s">
        <v>1107</v>
      </c>
      <c r="Q1650" s="18">
        <v>1</v>
      </c>
      <c r="R1650" s="13">
        <v>43910</v>
      </c>
      <c r="S1650" s="21">
        <f>17/60</f>
        <v>0.28333333333333333</v>
      </c>
      <c r="T1650" s="22">
        <v>0.6</v>
      </c>
      <c r="V1650" s="22">
        <f>3.1/5</f>
        <v>0.62</v>
      </c>
      <c r="W1650" s="14" t="s">
        <v>7777</v>
      </c>
      <c r="AB1650" s="18">
        <f t="shared" si="50"/>
        <v>2019</v>
      </c>
      <c r="AC1650" s="22">
        <f t="shared" si="51"/>
        <v>0.61</v>
      </c>
    </row>
    <row r="1651" spans="1:29">
      <c r="A1651" s="8" t="s">
        <v>8260</v>
      </c>
      <c r="B1651" s="17" t="s">
        <v>7800</v>
      </c>
      <c r="C1651" s="13">
        <v>43615</v>
      </c>
      <c r="D1651" s="13" t="s">
        <v>8465</v>
      </c>
      <c r="E1651" s="10" t="s">
        <v>3063</v>
      </c>
      <c r="F1651" s="10" t="s">
        <v>8262</v>
      </c>
      <c r="H1651" s="2" t="s">
        <v>151</v>
      </c>
      <c r="L1651" s="18">
        <v>1</v>
      </c>
      <c r="N1651" s="13">
        <v>43825</v>
      </c>
      <c r="O1651" s="29">
        <v>0</v>
      </c>
      <c r="P1651" s="18" t="s">
        <v>1107</v>
      </c>
      <c r="Q1651" s="18">
        <v>1</v>
      </c>
      <c r="R1651" s="13">
        <v>45084</v>
      </c>
      <c r="S1651" s="21">
        <f>3+8/60</f>
        <v>3.1333333333333333</v>
      </c>
      <c r="T1651" s="22">
        <v>0.7</v>
      </c>
      <c r="U1651" s="22">
        <v>0.79</v>
      </c>
      <c r="V1651" s="22">
        <f>3.57/5</f>
        <v>0.71399999999999997</v>
      </c>
      <c r="W1651" s="14" t="s">
        <v>7777</v>
      </c>
      <c r="AB1651" s="18">
        <f t="shared" si="50"/>
        <v>2019</v>
      </c>
      <c r="AC1651" s="22">
        <f t="shared" si="51"/>
        <v>0.73466666666666658</v>
      </c>
    </row>
    <row r="1652" spans="1:29">
      <c r="A1652" s="8" t="s">
        <v>9393</v>
      </c>
      <c r="B1652" s="17" t="s">
        <v>7800</v>
      </c>
      <c r="C1652" s="13">
        <v>43613</v>
      </c>
      <c r="D1652" s="13" t="s">
        <v>8465</v>
      </c>
      <c r="E1652" s="10" t="s">
        <v>9394</v>
      </c>
      <c r="F1652" s="10" t="s">
        <v>3048</v>
      </c>
      <c r="G1652" s="11" t="s">
        <v>4283</v>
      </c>
      <c r="H1652" s="2" t="s">
        <v>1061</v>
      </c>
      <c r="L1652" s="18">
        <v>1</v>
      </c>
      <c r="N1652" s="13">
        <v>44126</v>
      </c>
      <c r="O1652" s="29">
        <v>0</v>
      </c>
      <c r="P1652" s="18" t="s">
        <v>1107</v>
      </c>
      <c r="Q1652" s="18">
        <v>1</v>
      </c>
      <c r="R1652" s="13">
        <v>44853</v>
      </c>
      <c r="S1652" s="21">
        <f>3+19/60+30/3600</f>
        <v>3.3249999999999997</v>
      </c>
      <c r="T1652" s="22">
        <v>0.4</v>
      </c>
      <c r="U1652" s="22">
        <v>0.7</v>
      </c>
      <c r="V1652" s="22">
        <f>2.87/5</f>
        <v>0.57400000000000007</v>
      </c>
      <c r="W1652" s="14" t="s">
        <v>7097</v>
      </c>
      <c r="AB1652" s="18">
        <f t="shared" si="50"/>
        <v>2019</v>
      </c>
      <c r="AC1652" s="22">
        <f t="shared" si="51"/>
        <v>0.55800000000000005</v>
      </c>
    </row>
    <row r="1653" spans="1:29">
      <c r="A1653" s="8" t="s">
        <v>8850</v>
      </c>
      <c r="B1653" s="17" t="s">
        <v>7800</v>
      </c>
      <c r="C1653" s="13">
        <v>43611</v>
      </c>
      <c r="D1653" s="13" t="s">
        <v>8465</v>
      </c>
      <c r="E1653" s="10" t="s">
        <v>3410</v>
      </c>
      <c r="F1653" s="10" t="s">
        <v>3410</v>
      </c>
      <c r="G1653" s="11" t="s">
        <v>4192</v>
      </c>
      <c r="H1653" s="2" t="s">
        <v>80</v>
      </c>
      <c r="L1653" s="18">
        <v>1</v>
      </c>
      <c r="N1653" s="13">
        <v>43458</v>
      </c>
      <c r="O1653" s="29">
        <v>3.04</v>
      </c>
      <c r="P1653" s="18" t="s">
        <v>1107</v>
      </c>
      <c r="Q1653" s="18">
        <v>1</v>
      </c>
      <c r="R1653" s="13">
        <v>44963</v>
      </c>
      <c r="S1653" s="21">
        <f>4+39/60</f>
        <v>4.6500000000000004</v>
      </c>
      <c r="T1653" s="22">
        <v>0.5</v>
      </c>
      <c r="V1653" s="22">
        <f>4.19/5</f>
        <v>0.83800000000000008</v>
      </c>
      <c r="W1653" s="14" t="s">
        <v>7777</v>
      </c>
      <c r="AB1653" s="18">
        <f t="shared" si="50"/>
        <v>2019</v>
      </c>
      <c r="AC1653" s="22">
        <f t="shared" si="51"/>
        <v>0.66900000000000004</v>
      </c>
    </row>
    <row r="1654" spans="1:29">
      <c r="A1654" s="8" t="s">
        <v>8274</v>
      </c>
      <c r="B1654" s="17" t="s">
        <v>7800</v>
      </c>
      <c r="C1654" s="13">
        <v>43606</v>
      </c>
      <c r="D1654" s="13" t="s">
        <v>8465</v>
      </c>
      <c r="E1654" s="10" t="s">
        <v>3063</v>
      </c>
      <c r="F1654" s="10" t="s">
        <v>7093</v>
      </c>
      <c r="H1654" s="2" t="s">
        <v>67</v>
      </c>
      <c r="L1654" s="18">
        <v>1</v>
      </c>
      <c r="N1654" s="13">
        <v>43828</v>
      </c>
      <c r="O1654" s="29">
        <v>12.49</v>
      </c>
      <c r="P1654" s="18" t="s">
        <v>1107</v>
      </c>
      <c r="Q1654" s="18">
        <v>1</v>
      </c>
      <c r="R1654" s="13">
        <v>43855</v>
      </c>
      <c r="S1654" s="21">
        <f>4+37/60+48/3600</f>
        <v>4.6300000000000008</v>
      </c>
      <c r="T1654" s="22">
        <v>0.6</v>
      </c>
      <c r="U1654" s="22">
        <v>0.79</v>
      </c>
      <c r="V1654" s="22">
        <f>3.33/5</f>
        <v>0.66600000000000004</v>
      </c>
      <c r="W1654" s="14" t="s">
        <v>7097</v>
      </c>
      <c r="AB1654" s="18">
        <f t="shared" si="50"/>
        <v>2019</v>
      </c>
      <c r="AC1654" s="22">
        <f t="shared" si="51"/>
        <v>0.68533333333333335</v>
      </c>
    </row>
    <row r="1655" spans="1:29" ht="25.5">
      <c r="A1655" s="8" t="s">
        <v>1595</v>
      </c>
      <c r="B1655" s="17" t="s">
        <v>7744</v>
      </c>
      <c r="C1655" s="13">
        <v>43585</v>
      </c>
      <c r="D1655" s="13" t="s">
        <v>8465</v>
      </c>
      <c r="E1655" s="10" t="s">
        <v>1082</v>
      </c>
      <c r="F1655" s="10" t="s">
        <v>1082</v>
      </c>
      <c r="G1655" s="11" t="s">
        <v>126</v>
      </c>
      <c r="H1655" s="2" t="s">
        <v>149</v>
      </c>
      <c r="L1655" s="18">
        <v>1</v>
      </c>
      <c r="M1655" s="14" t="s">
        <v>8462</v>
      </c>
      <c r="N1655" s="13">
        <v>43585</v>
      </c>
      <c r="O1655" s="29">
        <v>46.04</v>
      </c>
      <c r="P1655" s="18" t="s">
        <v>14</v>
      </c>
      <c r="Q1655" s="18">
        <v>1</v>
      </c>
      <c r="R1655" s="13">
        <v>44366</v>
      </c>
      <c r="S1655" s="21">
        <f>37+10/60+24/3600</f>
        <v>37.173333333333332</v>
      </c>
      <c r="T1655" s="22">
        <v>0.9</v>
      </c>
      <c r="U1655" s="22">
        <v>0.87</v>
      </c>
      <c r="V1655" s="22">
        <f>4.17/5</f>
        <v>0.83399999999999996</v>
      </c>
      <c r="AB1655" s="18">
        <f t="shared" si="50"/>
        <v>2019</v>
      </c>
      <c r="AC1655" s="22">
        <f t="shared" si="51"/>
        <v>0.86799999999999999</v>
      </c>
    </row>
    <row r="1656" spans="1:29">
      <c r="A1656" s="8" t="s">
        <v>10963</v>
      </c>
      <c r="B1656" s="17" t="s">
        <v>7744</v>
      </c>
      <c r="C1656" s="13">
        <v>43581</v>
      </c>
      <c r="D1656" s="13" t="s">
        <v>8465</v>
      </c>
      <c r="E1656" s="10" t="s">
        <v>86</v>
      </c>
      <c r="F1656" s="10" t="s">
        <v>30</v>
      </c>
      <c r="G1656" s="11" t="s">
        <v>10282</v>
      </c>
      <c r="H1656" s="2" t="s">
        <v>27</v>
      </c>
      <c r="L1656" s="18">
        <v>1</v>
      </c>
      <c r="N1656" s="13">
        <v>44567</v>
      </c>
      <c r="O1656" s="29">
        <v>6.25</v>
      </c>
      <c r="P1656" s="18" t="s">
        <v>1107</v>
      </c>
      <c r="Q1656" s="18">
        <v>1</v>
      </c>
      <c r="R1656" s="13">
        <v>44572</v>
      </c>
      <c r="S1656" s="21">
        <v>4</v>
      </c>
      <c r="T1656" s="22">
        <v>0.65</v>
      </c>
      <c r="U1656" s="22">
        <v>0.81</v>
      </c>
      <c r="V1656" s="22">
        <f>3.99/5</f>
        <v>0.79800000000000004</v>
      </c>
      <c r="AB1656" s="18">
        <f t="shared" si="50"/>
        <v>2019</v>
      </c>
      <c r="AC1656" s="22">
        <f t="shared" si="51"/>
        <v>0.75266666666666671</v>
      </c>
    </row>
    <row r="1657" spans="1:29">
      <c r="A1657" s="8" t="s">
        <v>13038</v>
      </c>
      <c r="B1657" s="17" t="s">
        <v>7800</v>
      </c>
      <c r="C1657" s="13">
        <v>43573</v>
      </c>
      <c r="D1657" s="13" t="s">
        <v>8465</v>
      </c>
      <c r="E1657" s="10" t="s">
        <v>3063</v>
      </c>
      <c r="F1657" s="10" t="s">
        <v>2823</v>
      </c>
      <c r="H1657" s="2" t="s">
        <v>56</v>
      </c>
      <c r="L1657" s="18">
        <v>1</v>
      </c>
      <c r="N1657" s="13">
        <v>44922</v>
      </c>
      <c r="O1657" s="29">
        <v>8.99</v>
      </c>
      <c r="P1657" s="18" t="s">
        <v>1107</v>
      </c>
      <c r="Q1657" s="18">
        <v>1</v>
      </c>
      <c r="R1657" s="13">
        <v>44935</v>
      </c>
      <c r="S1657" s="21">
        <f>3+26/60</f>
        <v>3.4333333333333336</v>
      </c>
      <c r="T1657" s="22">
        <v>0.8</v>
      </c>
      <c r="U1657" s="22">
        <v>0.83</v>
      </c>
      <c r="V1657" s="22">
        <f>4.03/5</f>
        <v>0.80600000000000005</v>
      </c>
      <c r="W1657" s="14" t="s">
        <v>7777</v>
      </c>
      <c r="AB1657" s="18">
        <f t="shared" si="50"/>
        <v>2019</v>
      </c>
      <c r="AC1657" s="22">
        <f t="shared" si="51"/>
        <v>0.81199999999999994</v>
      </c>
    </row>
    <row r="1658" spans="1:29">
      <c r="A1658" s="8" t="s">
        <v>1729</v>
      </c>
      <c r="B1658" s="17" t="s">
        <v>7744</v>
      </c>
      <c r="C1658" s="13">
        <v>43553</v>
      </c>
      <c r="D1658" s="13" t="s">
        <v>8465</v>
      </c>
      <c r="E1658" s="10" t="s">
        <v>86</v>
      </c>
      <c r="F1658" s="10" t="s">
        <v>1172</v>
      </c>
      <c r="G1658" s="11" t="s">
        <v>1173</v>
      </c>
      <c r="H1658" s="2" t="s">
        <v>64</v>
      </c>
      <c r="L1658" s="18">
        <v>1</v>
      </c>
      <c r="M1658" s="14" t="s">
        <v>8462</v>
      </c>
      <c r="N1658" s="13">
        <v>43553</v>
      </c>
      <c r="O1658" s="29">
        <v>59.99</v>
      </c>
      <c r="P1658" s="18" t="s">
        <v>14</v>
      </c>
      <c r="Q1658" s="18">
        <v>1</v>
      </c>
      <c r="R1658" s="13">
        <v>43600</v>
      </c>
      <c r="T1658" s="22">
        <v>0.8</v>
      </c>
      <c r="U1658" s="22">
        <v>0.8</v>
      </c>
      <c r="V1658" s="22">
        <f>3.81/5</f>
        <v>0.76200000000000001</v>
      </c>
      <c r="AB1658" s="18">
        <f t="shared" si="50"/>
        <v>2019</v>
      </c>
      <c r="AC1658" s="22">
        <f t="shared" si="51"/>
        <v>0.78733333333333333</v>
      </c>
    </row>
    <row r="1659" spans="1:29" ht="25.5">
      <c r="A1659" s="8" t="s">
        <v>4938</v>
      </c>
      <c r="B1659" s="17" t="s">
        <v>7800</v>
      </c>
      <c r="C1659" s="13">
        <v>43546</v>
      </c>
      <c r="D1659" s="13" t="s">
        <v>8465</v>
      </c>
      <c r="E1659" s="10" t="s">
        <v>1273</v>
      </c>
      <c r="F1659" s="10" t="s">
        <v>1580</v>
      </c>
      <c r="H1659" s="2" t="s">
        <v>171</v>
      </c>
      <c r="L1659" s="18">
        <v>1</v>
      </c>
      <c r="N1659" s="13">
        <v>43546</v>
      </c>
      <c r="O1659" s="29">
        <v>59.99</v>
      </c>
      <c r="P1659" s="18" t="s">
        <v>1107</v>
      </c>
      <c r="Q1659" s="18">
        <v>1</v>
      </c>
      <c r="R1659" s="13">
        <v>44126</v>
      </c>
      <c r="S1659" s="21">
        <f>27+33/60</f>
        <v>27.55</v>
      </c>
      <c r="T1659" s="22">
        <v>1</v>
      </c>
      <c r="U1659" s="22">
        <v>0.93</v>
      </c>
      <c r="V1659" s="22">
        <f>4.18/5</f>
        <v>0.83599999999999997</v>
      </c>
      <c r="W1659" s="14" t="s">
        <v>7777</v>
      </c>
      <c r="AB1659" s="18">
        <f t="shared" si="50"/>
        <v>2019</v>
      </c>
      <c r="AC1659" s="22">
        <f t="shared" si="51"/>
        <v>0.92200000000000004</v>
      </c>
    </row>
    <row r="1660" spans="1:29">
      <c r="A1660" s="8" t="s">
        <v>8853</v>
      </c>
      <c r="B1660" s="17" t="s">
        <v>7800</v>
      </c>
      <c r="C1660" s="13">
        <v>43537</v>
      </c>
      <c r="D1660" s="13" t="s">
        <v>8465</v>
      </c>
      <c r="E1660" s="10" t="s">
        <v>3802</v>
      </c>
      <c r="F1660" s="10" t="s">
        <v>3802</v>
      </c>
      <c r="H1660" s="2" t="s">
        <v>78</v>
      </c>
      <c r="L1660" s="18">
        <v>1</v>
      </c>
      <c r="N1660" s="13">
        <v>43998</v>
      </c>
      <c r="O1660" s="29">
        <v>30</v>
      </c>
      <c r="P1660" s="18" t="s">
        <v>1107</v>
      </c>
      <c r="Q1660" s="18">
        <v>1</v>
      </c>
      <c r="R1660" s="13">
        <v>44820</v>
      </c>
      <c r="S1660" s="21">
        <f>8+20/60</f>
        <v>8.3333333333333339</v>
      </c>
      <c r="T1660" s="22">
        <v>0.75</v>
      </c>
      <c r="U1660" s="22">
        <v>0.87</v>
      </c>
      <c r="V1660" s="22">
        <f>4.04/5</f>
        <v>0.80800000000000005</v>
      </c>
      <c r="W1660" s="14" t="s">
        <v>7777</v>
      </c>
      <c r="AB1660" s="18">
        <f t="shared" si="50"/>
        <v>2019</v>
      </c>
      <c r="AC1660" s="22">
        <f t="shared" si="51"/>
        <v>0.80933333333333335</v>
      </c>
    </row>
    <row r="1661" spans="1:29">
      <c r="A1661" s="8" t="s">
        <v>6529</v>
      </c>
      <c r="B1661" s="17" t="s">
        <v>7800</v>
      </c>
      <c r="C1661" s="13">
        <v>43518</v>
      </c>
      <c r="D1661" s="13" t="s">
        <v>8465</v>
      </c>
      <c r="E1661" s="10" t="s">
        <v>231</v>
      </c>
      <c r="F1661" s="10" t="s">
        <v>1161</v>
      </c>
      <c r="H1661" s="2" t="s">
        <v>1168</v>
      </c>
      <c r="L1661" s="18">
        <v>1</v>
      </c>
      <c r="N1661" s="13">
        <v>43518</v>
      </c>
      <c r="O1661" s="29">
        <v>59.99</v>
      </c>
      <c r="P1661" s="18" t="s">
        <v>1107</v>
      </c>
      <c r="Q1661" s="18">
        <v>1</v>
      </c>
      <c r="R1661" s="13">
        <v>44378</v>
      </c>
      <c r="S1661" s="21">
        <v>7</v>
      </c>
      <c r="T1661" s="22">
        <v>0.55000000000000004</v>
      </c>
      <c r="U1661" s="22">
        <v>0.57999999999999996</v>
      </c>
      <c r="V1661" s="22">
        <f>2.51/5</f>
        <v>0.502</v>
      </c>
      <c r="W1661" s="14" t="s">
        <v>7796</v>
      </c>
      <c r="AB1661" s="18">
        <f t="shared" si="50"/>
        <v>2019</v>
      </c>
      <c r="AC1661" s="22">
        <f t="shared" si="51"/>
        <v>0.54399999999999993</v>
      </c>
    </row>
    <row r="1662" spans="1:29">
      <c r="A1662" s="8" t="s">
        <v>6989</v>
      </c>
      <c r="B1662" s="17" t="s">
        <v>7800</v>
      </c>
      <c r="C1662" s="13">
        <v>43511</v>
      </c>
      <c r="D1662" s="13" t="s">
        <v>8465</v>
      </c>
      <c r="E1662" s="10" t="s">
        <v>1047</v>
      </c>
      <c r="F1662" s="10" t="s">
        <v>1048</v>
      </c>
      <c r="G1662" s="11" t="s">
        <v>1049</v>
      </c>
      <c r="H1662" s="2" t="s">
        <v>1050</v>
      </c>
      <c r="L1662" s="18">
        <v>1</v>
      </c>
      <c r="N1662" s="13">
        <v>43627</v>
      </c>
      <c r="O1662" s="29">
        <v>17.98</v>
      </c>
      <c r="P1662" s="18" t="s">
        <v>1107</v>
      </c>
      <c r="Q1662" s="18">
        <v>1</v>
      </c>
      <c r="R1662" s="13">
        <v>43643</v>
      </c>
      <c r="S1662" s="21">
        <v>7.67</v>
      </c>
      <c r="T1662" s="22">
        <v>0.7</v>
      </c>
      <c r="U1662" s="22">
        <v>0.78</v>
      </c>
      <c r="V1662" s="22">
        <f>3.1/5</f>
        <v>0.62</v>
      </c>
      <c r="W1662" s="14" t="s">
        <v>7798</v>
      </c>
      <c r="AB1662" s="18">
        <f t="shared" si="50"/>
        <v>2019</v>
      </c>
      <c r="AC1662" s="22">
        <f t="shared" si="51"/>
        <v>0.70000000000000007</v>
      </c>
    </row>
    <row r="1663" spans="1:29" ht="25.5">
      <c r="A1663" s="8" t="s">
        <v>10818</v>
      </c>
      <c r="B1663" s="17" t="s">
        <v>7744</v>
      </c>
      <c r="C1663" s="13">
        <v>43503</v>
      </c>
      <c r="D1663" s="13" t="s">
        <v>8465</v>
      </c>
      <c r="E1663" s="10" t="s">
        <v>10820</v>
      </c>
      <c r="F1663" s="10" t="s">
        <v>10820</v>
      </c>
      <c r="H1663" s="2" t="s">
        <v>80</v>
      </c>
      <c r="L1663" s="18">
        <v>1</v>
      </c>
      <c r="N1663" s="13">
        <v>44555</v>
      </c>
      <c r="O1663" s="29">
        <v>2.52</v>
      </c>
      <c r="P1663" s="18" t="s">
        <v>1107</v>
      </c>
      <c r="Q1663" s="18">
        <v>1</v>
      </c>
      <c r="R1663" s="13">
        <v>44574</v>
      </c>
      <c r="S1663" s="21">
        <f>2+48/60+34/3600</f>
        <v>2.8094444444444444</v>
      </c>
      <c r="T1663" s="22">
        <v>0.5</v>
      </c>
      <c r="U1663" s="22">
        <v>0.71</v>
      </c>
      <c r="V1663" s="22">
        <f>3.75/5</f>
        <v>0.75</v>
      </c>
      <c r="AB1663" s="18">
        <f t="shared" si="50"/>
        <v>2019</v>
      </c>
      <c r="AC1663" s="22">
        <f t="shared" si="51"/>
        <v>0.65333333333333332</v>
      </c>
    </row>
    <row r="1664" spans="1:29">
      <c r="A1664" s="8" t="s">
        <v>10660</v>
      </c>
      <c r="B1664" s="17" t="s">
        <v>7781</v>
      </c>
      <c r="C1664" s="13">
        <v>43502</v>
      </c>
      <c r="D1664" s="13" t="s">
        <v>8465</v>
      </c>
      <c r="E1664" s="10" t="s">
        <v>10661</v>
      </c>
      <c r="F1664" s="10" t="s">
        <v>10661</v>
      </c>
      <c r="H1664" s="2" t="s">
        <v>1334</v>
      </c>
      <c r="L1664" s="18">
        <v>0</v>
      </c>
      <c r="Q1664" s="18">
        <v>1</v>
      </c>
      <c r="R1664" s="13">
        <v>45023</v>
      </c>
      <c r="T1664" s="22">
        <v>0.5</v>
      </c>
      <c r="W1664" s="15" t="str">
        <f>HYPERLINK("https://cattsmall.itch.io/sweetxheart", "Link")</f>
        <v>Link</v>
      </c>
      <c r="AB1664" s="18">
        <f t="shared" si="50"/>
        <v>2019</v>
      </c>
      <c r="AC1664" s="22">
        <f t="shared" si="51"/>
        <v>0.5</v>
      </c>
    </row>
    <row r="1665" spans="1:29">
      <c r="A1665" s="8" t="s">
        <v>883</v>
      </c>
      <c r="B1665" s="17" t="s">
        <v>7760</v>
      </c>
      <c r="C1665" s="13">
        <v>43490</v>
      </c>
      <c r="D1665" s="13" t="s">
        <v>8465</v>
      </c>
      <c r="E1665" s="10" t="s">
        <v>73</v>
      </c>
      <c r="F1665" s="10" t="s">
        <v>6157</v>
      </c>
      <c r="G1665" s="11" t="s">
        <v>943</v>
      </c>
      <c r="H1665" s="2" t="s">
        <v>1061</v>
      </c>
      <c r="L1665" s="18">
        <v>1</v>
      </c>
      <c r="M1665" s="14" t="s">
        <v>8462</v>
      </c>
      <c r="N1665" s="13">
        <v>43490</v>
      </c>
      <c r="O1665" s="29">
        <v>64.97</v>
      </c>
      <c r="P1665" s="18" t="s">
        <v>14</v>
      </c>
      <c r="Q1665" s="18">
        <v>1</v>
      </c>
      <c r="R1665" s="13">
        <v>43558</v>
      </c>
      <c r="S1665" s="21">
        <v>12.07</v>
      </c>
      <c r="T1665" s="22">
        <v>0.8</v>
      </c>
      <c r="U1665" s="22">
        <v>0.92</v>
      </c>
      <c r="V1665" s="22">
        <f>4.32/5</f>
        <v>0.8640000000000001</v>
      </c>
      <c r="AB1665" s="18">
        <f t="shared" si="50"/>
        <v>2019</v>
      </c>
      <c r="AC1665" s="22">
        <f t="shared" si="51"/>
        <v>0.86133333333333351</v>
      </c>
    </row>
    <row r="1666" spans="1:29">
      <c r="A1666" s="8" t="s">
        <v>13734</v>
      </c>
      <c r="B1666" s="17" t="s">
        <v>7800</v>
      </c>
      <c r="C1666" s="13">
        <v>43453</v>
      </c>
      <c r="D1666" s="13" t="s">
        <v>8465</v>
      </c>
      <c r="E1666" s="10" t="s">
        <v>8331</v>
      </c>
      <c r="F1666" s="10" t="s">
        <v>5325</v>
      </c>
      <c r="H1666" s="2" t="s">
        <v>1143</v>
      </c>
      <c r="L1666" s="18">
        <v>1</v>
      </c>
      <c r="N1666" s="13">
        <v>45003</v>
      </c>
      <c r="O1666" s="29">
        <v>0.99</v>
      </c>
      <c r="P1666" s="18" t="s">
        <v>1107</v>
      </c>
      <c r="Q1666" s="18">
        <v>0</v>
      </c>
      <c r="W1666" s="14" t="s">
        <v>7777</v>
      </c>
      <c r="X1666" s="3">
        <v>2</v>
      </c>
      <c r="AB1666" s="18">
        <f t="shared" ref="AB1666:AB1729" si="52">IFERROR(YEAR(C1666), "Early Access")</f>
        <v>2018</v>
      </c>
      <c r="AC1666" s="22">
        <f t="shared" ref="AC1666:AC1729" si="53">AVERAGE(T1666, U1666, V1666, IF(ISBLANK(X1666), X1666, X1666/5))</f>
        <v>0.4</v>
      </c>
    </row>
    <row r="1667" spans="1:29">
      <c r="A1667" s="8" t="s">
        <v>13403</v>
      </c>
      <c r="B1667" s="17" t="s">
        <v>7800</v>
      </c>
      <c r="C1667" s="13">
        <v>43452</v>
      </c>
      <c r="D1667" s="13" t="s">
        <v>8465</v>
      </c>
      <c r="E1667" s="10" t="s">
        <v>13404</v>
      </c>
      <c r="F1667" s="10" t="s">
        <v>13404</v>
      </c>
      <c r="H1667" s="2" t="s">
        <v>1334</v>
      </c>
      <c r="L1667" s="18">
        <v>1</v>
      </c>
      <c r="N1667" s="13">
        <v>44595</v>
      </c>
      <c r="O1667" s="29">
        <v>0</v>
      </c>
      <c r="P1667" s="18" t="s">
        <v>1107</v>
      </c>
      <c r="Q1667" s="18">
        <v>0</v>
      </c>
      <c r="V1667" s="22">
        <f>3.67/5</f>
        <v>0.73399999999999999</v>
      </c>
      <c r="W1667" s="14" t="s">
        <v>7777</v>
      </c>
      <c r="X1667" s="3">
        <v>2</v>
      </c>
      <c r="Z1667" s="23">
        <v>103</v>
      </c>
      <c r="AB1667" s="18">
        <f t="shared" si="52"/>
        <v>2018</v>
      </c>
      <c r="AC1667" s="22">
        <f t="shared" si="53"/>
        <v>0.56699999999999995</v>
      </c>
    </row>
    <row r="1668" spans="1:29" ht="25.5">
      <c r="A1668" s="8" t="s">
        <v>12062</v>
      </c>
      <c r="B1668" s="17" t="s">
        <v>7800</v>
      </c>
      <c r="C1668" s="13">
        <v>43452</v>
      </c>
      <c r="D1668" s="13" t="s">
        <v>8465</v>
      </c>
      <c r="E1668" s="10" t="s">
        <v>12063</v>
      </c>
      <c r="F1668" s="10" t="s">
        <v>12063</v>
      </c>
      <c r="H1668" s="2" t="s">
        <v>1334</v>
      </c>
      <c r="L1668" s="18">
        <v>1</v>
      </c>
      <c r="N1668" s="13">
        <v>44735</v>
      </c>
      <c r="O1668" s="29">
        <v>3.99</v>
      </c>
      <c r="P1668" s="18" t="s">
        <v>1107</v>
      </c>
      <c r="Q1668" s="18">
        <v>0</v>
      </c>
      <c r="W1668" s="14" t="s">
        <v>7777</v>
      </c>
      <c r="X1668" s="3">
        <v>2</v>
      </c>
      <c r="AB1668" s="18">
        <f t="shared" si="52"/>
        <v>2018</v>
      </c>
      <c r="AC1668" s="22">
        <f t="shared" si="53"/>
        <v>0.4</v>
      </c>
    </row>
    <row r="1669" spans="1:29">
      <c r="A1669" s="8" t="s">
        <v>12846</v>
      </c>
      <c r="B1669" s="17" t="s">
        <v>7800</v>
      </c>
      <c r="C1669" s="13">
        <v>43448</v>
      </c>
      <c r="D1669" s="13" t="s">
        <v>8465</v>
      </c>
      <c r="E1669" s="10" t="s">
        <v>3507</v>
      </c>
      <c r="F1669" s="10" t="s">
        <v>3507</v>
      </c>
      <c r="H1669" s="2" t="s">
        <v>80</v>
      </c>
      <c r="L1669" s="18">
        <v>1</v>
      </c>
      <c r="N1669" s="13">
        <v>44859</v>
      </c>
      <c r="O1669" s="29">
        <v>4.6500000000000004</v>
      </c>
      <c r="P1669" s="18" t="s">
        <v>1107</v>
      </c>
      <c r="Q1669" s="18">
        <v>0</v>
      </c>
      <c r="U1669" s="22">
        <v>0.67</v>
      </c>
      <c r="V1669" s="22">
        <f>3.06/5</f>
        <v>0.61199999999999999</v>
      </c>
      <c r="W1669" s="14" t="s">
        <v>7777</v>
      </c>
      <c r="X1669" s="3">
        <v>3</v>
      </c>
      <c r="Z1669" s="23">
        <v>19</v>
      </c>
      <c r="AB1669" s="18">
        <f t="shared" si="52"/>
        <v>2018</v>
      </c>
      <c r="AC1669" s="22">
        <f t="shared" si="53"/>
        <v>0.62733333333333341</v>
      </c>
    </row>
    <row r="1670" spans="1:29" ht="25.5">
      <c r="A1670" s="8" t="s">
        <v>12052</v>
      </c>
      <c r="B1670" s="17" t="s">
        <v>7744</v>
      </c>
      <c r="C1670" s="13">
        <v>43447</v>
      </c>
      <c r="D1670" s="13" t="s">
        <v>8465</v>
      </c>
      <c r="E1670" s="10" t="s">
        <v>455</v>
      </c>
      <c r="F1670" s="10" t="s">
        <v>1081</v>
      </c>
      <c r="G1670" s="11" t="s">
        <v>1936</v>
      </c>
      <c r="H1670" s="2" t="s">
        <v>149</v>
      </c>
      <c r="L1670" s="18">
        <v>1</v>
      </c>
      <c r="N1670" s="13">
        <v>44735</v>
      </c>
      <c r="O1670" s="29">
        <v>4.79</v>
      </c>
      <c r="P1670" s="18" t="s">
        <v>1107</v>
      </c>
      <c r="Q1670" s="18">
        <v>0</v>
      </c>
      <c r="U1670" s="22">
        <v>0.82</v>
      </c>
      <c r="V1670" s="22">
        <f>3.94/5</f>
        <v>0.78800000000000003</v>
      </c>
      <c r="X1670" s="3">
        <v>4</v>
      </c>
      <c r="Z1670" s="23">
        <v>16.5</v>
      </c>
      <c r="AB1670" s="18">
        <f t="shared" si="52"/>
        <v>2018</v>
      </c>
      <c r="AC1670" s="22">
        <f t="shared" si="53"/>
        <v>0.80266666666666675</v>
      </c>
    </row>
    <row r="1671" spans="1:29">
      <c r="A1671" s="8" t="s">
        <v>8343</v>
      </c>
      <c r="B1671" s="17" t="s">
        <v>7800</v>
      </c>
      <c r="C1671" s="13">
        <v>43447</v>
      </c>
      <c r="D1671" s="13" t="s">
        <v>8465</v>
      </c>
      <c r="E1671" s="10" t="s">
        <v>8344</v>
      </c>
      <c r="F1671" s="10" t="s">
        <v>8344</v>
      </c>
      <c r="H1671" s="2" t="s">
        <v>171</v>
      </c>
      <c r="L1671" s="18">
        <v>1</v>
      </c>
      <c r="N1671" s="13">
        <v>43870</v>
      </c>
      <c r="O1671" s="29">
        <v>0</v>
      </c>
      <c r="P1671" s="18" t="s">
        <v>1107</v>
      </c>
      <c r="Q1671" s="18">
        <v>0</v>
      </c>
      <c r="U1671" s="22">
        <v>0.73</v>
      </c>
      <c r="V1671" s="22">
        <f>3.31/5</f>
        <v>0.66200000000000003</v>
      </c>
      <c r="W1671" s="14" t="s">
        <v>7777</v>
      </c>
      <c r="X1671" s="3">
        <v>3</v>
      </c>
      <c r="Z1671" s="23">
        <v>10</v>
      </c>
      <c r="AB1671" s="18">
        <f t="shared" si="52"/>
        <v>2018</v>
      </c>
      <c r="AC1671" s="22">
        <f t="shared" si="53"/>
        <v>0.66400000000000003</v>
      </c>
    </row>
    <row r="1672" spans="1:29" ht="30">
      <c r="A1672" s="8" t="s">
        <v>1649</v>
      </c>
      <c r="B1672" s="17" t="s">
        <v>7744</v>
      </c>
      <c r="C1672" s="13">
        <v>43447</v>
      </c>
      <c r="D1672" s="13" t="s">
        <v>8467</v>
      </c>
      <c r="E1672" s="10" t="s">
        <v>1650</v>
      </c>
      <c r="F1672" s="10" t="s">
        <v>1650</v>
      </c>
      <c r="G1672" s="11" t="s">
        <v>404</v>
      </c>
      <c r="H1672" s="2" t="s">
        <v>21</v>
      </c>
      <c r="L1672" s="18">
        <v>1</v>
      </c>
      <c r="M1672" s="14" t="s">
        <v>8462</v>
      </c>
      <c r="N1672" s="13">
        <v>43633</v>
      </c>
      <c r="O1672" s="29">
        <v>42.72</v>
      </c>
      <c r="P1672" s="18" t="s">
        <v>14</v>
      </c>
      <c r="Q1672" s="18">
        <v>0</v>
      </c>
      <c r="U1672" s="22">
        <v>0.78</v>
      </c>
      <c r="V1672" s="22">
        <f>3.81/5</f>
        <v>0.76200000000000001</v>
      </c>
      <c r="W1672" s="14" t="s">
        <v>1740</v>
      </c>
      <c r="X1672" s="3">
        <v>2</v>
      </c>
      <c r="Z1672" s="23">
        <v>2</v>
      </c>
      <c r="AB1672" s="18">
        <f t="shared" si="52"/>
        <v>2018</v>
      </c>
      <c r="AC1672" s="22">
        <f t="shared" si="53"/>
        <v>0.64733333333333343</v>
      </c>
    </row>
    <row r="1673" spans="1:29">
      <c r="A1673" s="8" t="s">
        <v>9375</v>
      </c>
      <c r="B1673" s="17" t="s">
        <v>7800</v>
      </c>
      <c r="C1673" s="13">
        <v>43447</v>
      </c>
      <c r="D1673" s="13" t="s">
        <v>8465</v>
      </c>
      <c r="E1673" s="10" t="s">
        <v>4361</v>
      </c>
      <c r="F1673" s="10" t="s">
        <v>4361</v>
      </c>
      <c r="G1673" s="11" t="s">
        <v>4360</v>
      </c>
      <c r="H1673" s="2" t="s">
        <v>1061</v>
      </c>
      <c r="L1673" s="18">
        <v>1</v>
      </c>
      <c r="N1673" s="13">
        <v>44119</v>
      </c>
      <c r="O1673" s="29">
        <v>0</v>
      </c>
      <c r="P1673" s="18" t="s">
        <v>1107</v>
      </c>
      <c r="Q1673" s="18">
        <v>0</v>
      </c>
      <c r="V1673" s="22">
        <f>2.17/5</f>
        <v>0.434</v>
      </c>
      <c r="W1673" s="14" t="s">
        <v>7777</v>
      </c>
      <c r="X1673" s="3">
        <v>2</v>
      </c>
      <c r="Z1673" s="23">
        <v>5</v>
      </c>
      <c r="AB1673" s="18">
        <f t="shared" si="52"/>
        <v>2018</v>
      </c>
      <c r="AC1673" s="22">
        <f t="shared" si="53"/>
        <v>0.41700000000000004</v>
      </c>
    </row>
    <row r="1674" spans="1:29">
      <c r="A1674" s="8" t="s">
        <v>1407</v>
      </c>
      <c r="B1674" s="17" t="s">
        <v>7800</v>
      </c>
      <c r="C1674" s="13">
        <v>43446</v>
      </c>
      <c r="D1674" s="13" t="s">
        <v>8465</v>
      </c>
      <c r="E1674" s="10" t="s">
        <v>4097</v>
      </c>
      <c r="F1674" s="10" t="s">
        <v>4097</v>
      </c>
      <c r="H1674" s="2" t="s">
        <v>149</v>
      </c>
      <c r="L1674" s="18">
        <v>1</v>
      </c>
      <c r="N1674" s="13">
        <v>43642</v>
      </c>
      <c r="O1674" s="29">
        <v>5.68</v>
      </c>
      <c r="P1674" s="18" t="s">
        <v>1107</v>
      </c>
      <c r="Q1674" s="18">
        <v>0</v>
      </c>
      <c r="V1674" s="22">
        <f>4.2/5</f>
        <v>0.84000000000000008</v>
      </c>
      <c r="W1674" s="14" t="s">
        <v>7777</v>
      </c>
      <c r="X1674" s="3">
        <v>4</v>
      </c>
      <c r="Z1674" s="23">
        <v>29</v>
      </c>
      <c r="AB1674" s="18">
        <f t="shared" si="52"/>
        <v>2018</v>
      </c>
      <c r="AC1674" s="22">
        <f t="shared" si="53"/>
        <v>0.82000000000000006</v>
      </c>
    </row>
    <row r="1675" spans="1:29" ht="30">
      <c r="A1675" s="8" t="s">
        <v>6111</v>
      </c>
      <c r="B1675" s="17" t="s">
        <v>7760</v>
      </c>
      <c r="C1675" s="13">
        <v>43445</v>
      </c>
      <c r="D1675" s="13" t="s">
        <v>8465</v>
      </c>
      <c r="E1675" s="10" t="s">
        <v>6112</v>
      </c>
      <c r="F1675" s="10" t="s">
        <v>6112</v>
      </c>
      <c r="H1675" s="2" t="s">
        <v>143</v>
      </c>
      <c r="L1675" s="18">
        <v>1</v>
      </c>
      <c r="M1675" s="14" t="s">
        <v>8462</v>
      </c>
      <c r="N1675" s="13">
        <v>43658</v>
      </c>
      <c r="O1675" s="29">
        <v>32.549999999999997</v>
      </c>
      <c r="P1675" s="18" t="s">
        <v>14</v>
      </c>
      <c r="Q1675" s="18">
        <v>0</v>
      </c>
      <c r="U1675" s="22">
        <v>0.6</v>
      </c>
      <c r="V1675" s="22">
        <f>3.11/5</f>
        <v>0.622</v>
      </c>
      <c r="W1675" s="14" t="s">
        <v>1134</v>
      </c>
      <c r="X1675" s="3">
        <v>4</v>
      </c>
      <c r="Z1675" s="23">
        <v>3</v>
      </c>
      <c r="AB1675" s="18">
        <f t="shared" si="52"/>
        <v>2018</v>
      </c>
      <c r="AC1675" s="22">
        <f t="shared" si="53"/>
        <v>0.67400000000000004</v>
      </c>
    </row>
    <row r="1676" spans="1:29">
      <c r="A1676" s="8" t="s">
        <v>9387</v>
      </c>
      <c r="B1676" s="17" t="s">
        <v>7760</v>
      </c>
      <c r="C1676" s="13">
        <v>43445</v>
      </c>
      <c r="D1676" s="13" t="s">
        <v>8465</v>
      </c>
      <c r="E1676" s="10" t="s">
        <v>2298</v>
      </c>
      <c r="F1676" s="10" t="s">
        <v>1549</v>
      </c>
      <c r="G1676" s="11" t="s">
        <v>665</v>
      </c>
      <c r="H1676" s="2" t="s">
        <v>1168</v>
      </c>
      <c r="L1676" s="18">
        <v>1</v>
      </c>
      <c r="M1676" s="14" t="s">
        <v>8462</v>
      </c>
      <c r="N1676" s="13">
        <v>44020</v>
      </c>
      <c r="O1676" s="29">
        <v>39.99</v>
      </c>
      <c r="P1676" s="18" t="s">
        <v>14</v>
      </c>
      <c r="Q1676" s="18">
        <v>0</v>
      </c>
      <c r="U1676" s="22">
        <v>0.72</v>
      </c>
      <c r="V1676" s="22">
        <f>4.27/5</f>
        <v>0.85399999999999987</v>
      </c>
      <c r="X1676" s="3">
        <v>3</v>
      </c>
      <c r="Z1676" s="23">
        <v>27.5</v>
      </c>
      <c r="AB1676" s="18">
        <f t="shared" si="52"/>
        <v>2018</v>
      </c>
      <c r="AC1676" s="22">
        <f t="shared" si="53"/>
        <v>0.72466666666666668</v>
      </c>
    </row>
    <row r="1677" spans="1:29">
      <c r="A1677" s="8" t="s">
        <v>9822</v>
      </c>
      <c r="B1677" s="17" t="s">
        <v>7800</v>
      </c>
      <c r="C1677" s="13">
        <v>43445</v>
      </c>
      <c r="D1677" s="13" t="s">
        <v>8465</v>
      </c>
      <c r="E1677" s="10" t="s">
        <v>3544</v>
      </c>
      <c r="F1677" s="10" t="s">
        <v>9823</v>
      </c>
      <c r="G1677" s="11" t="s">
        <v>4239</v>
      </c>
      <c r="H1677" s="2" t="s">
        <v>61</v>
      </c>
      <c r="L1677" s="18">
        <v>1</v>
      </c>
      <c r="N1677" s="13">
        <v>44257</v>
      </c>
      <c r="O1677" s="29">
        <v>0</v>
      </c>
      <c r="P1677" s="18" t="s">
        <v>1107</v>
      </c>
      <c r="Q1677" s="18">
        <v>0</v>
      </c>
      <c r="V1677" s="22">
        <f>3.1/5</f>
        <v>0.62</v>
      </c>
      <c r="W1677" s="14" t="s">
        <v>7777</v>
      </c>
      <c r="X1677" s="3">
        <v>3</v>
      </c>
      <c r="Z1677" s="23">
        <v>33</v>
      </c>
      <c r="AB1677" s="18">
        <f t="shared" si="52"/>
        <v>2018</v>
      </c>
      <c r="AC1677" s="22">
        <f t="shared" si="53"/>
        <v>0.61</v>
      </c>
    </row>
    <row r="1678" spans="1:29">
      <c r="A1678" s="8" t="s">
        <v>11322</v>
      </c>
      <c r="B1678" s="17" t="s">
        <v>7800</v>
      </c>
      <c r="C1678" s="13">
        <v>43444</v>
      </c>
      <c r="D1678" s="13" t="s">
        <v>8465</v>
      </c>
      <c r="E1678" s="10" t="s">
        <v>5195</v>
      </c>
      <c r="F1678" s="10" t="s">
        <v>11323</v>
      </c>
      <c r="H1678" s="2" t="s">
        <v>1050</v>
      </c>
      <c r="L1678" s="18">
        <v>1</v>
      </c>
      <c r="N1678" s="13">
        <v>44624</v>
      </c>
      <c r="O1678" s="29">
        <v>0</v>
      </c>
      <c r="P1678" s="18" t="s">
        <v>1107</v>
      </c>
      <c r="Q1678" s="18">
        <v>0</v>
      </c>
      <c r="U1678" s="22">
        <v>0.88</v>
      </c>
      <c r="V1678" s="22">
        <f>4.15/5</f>
        <v>0.83000000000000007</v>
      </c>
      <c r="W1678" s="14" t="s">
        <v>7777</v>
      </c>
      <c r="X1678" s="3">
        <v>4</v>
      </c>
      <c r="Z1678" s="23">
        <v>7.5</v>
      </c>
      <c r="AB1678" s="18">
        <f t="shared" si="52"/>
        <v>2018</v>
      </c>
      <c r="AC1678" s="22">
        <f t="shared" si="53"/>
        <v>0.83666666666666656</v>
      </c>
    </row>
    <row r="1679" spans="1:29" ht="25.5">
      <c r="A1679" s="8" t="s">
        <v>1683</v>
      </c>
      <c r="B1679" s="17" t="s">
        <v>7744</v>
      </c>
      <c r="C1679" s="13">
        <v>43441</v>
      </c>
      <c r="D1679" s="13" t="s">
        <v>8465</v>
      </c>
      <c r="E1679" s="10" t="s">
        <v>86</v>
      </c>
      <c r="F1679" s="10" t="s">
        <v>1144</v>
      </c>
      <c r="G1679" s="11" t="s">
        <v>892</v>
      </c>
      <c r="H1679" s="2" t="s">
        <v>459</v>
      </c>
      <c r="L1679" s="18">
        <v>1</v>
      </c>
      <c r="M1679" s="14" t="s">
        <v>8462</v>
      </c>
      <c r="N1679" s="13">
        <v>43441</v>
      </c>
      <c r="O1679" s="29">
        <v>52.07</v>
      </c>
      <c r="P1679" s="18" t="s">
        <v>14</v>
      </c>
      <c r="Q1679" s="18">
        <v>0</v>
      </c>
      <c r="U1679" s="22">
        <v>0.92</v>
      </c>
      <c r="V1679" s="22">
        <f>4.39/5</f>
        <v>0.87799999999999989</v>
      </c>
      <c r="X1679" s="3">
        <v>4</v>
      </c>
      <c r="Z1679" s="23">
        <v>22.5</v>
      </c>
      <c r="AB1679" s="18">
        <f t="shared" si="52"/>
        <v>2018</v>
      </c>
      <c r="AC1679" s="22">
        <f t="shared" si="53"/>
        <v>0.86599999999999999</v>
      </c>
    </row>
    <row r="1680" spans="1:29" ht="30">
      <c r="A1680" s="8" t="s">
        <v>1613</v>
      </c>
      <c r="B1680" s="17" t="s">
        <v>7744</v>
      </c>
      <c r="C1680" s="13">
        <v>43441</v>
      </c>
      <c r="D1680" s="13" t="s">
        <v>8465</v>
      </c>
      <c r="E1680" s="10" t="s">
        <v>1604</v>
      </c>
      <c r="F1680" s="10" t="s">
        <v>1614</v>
      </c>
      <c r="G1680" s="11" t="s">
        <v>1615</v>
      </c>
      <c r="H1680" s="2" t="s">
        <v>31</v>
      </c>
      <c r="L1680" s="18">
        <v>1</v>
      </c>
      <c r="M1680" s="14" t="s">
        <v>8462</v>
      </c>
      <c r="N1680" s="13">
        <v>43558</v>
      </c>
      <c r="O1680" s="29">
        <v>29.99</v>
      </c>
      <c r="P1680" s="18" t="s">
        <v>14</v>
      </c>
      <c r="Q1680" s="18">
        <v>0</v>
      </c>
      <c r="U1680" s="22">
        <v>0.88</v>
      </c>
      <c r="V1680" s="22">
        <f>4.02/5</f>
        <v>0.80399999999999994</v>
      </c>
      <c r="X1680" s="3">
        <v>4</v>
      </c>
      <c r="Z1680" s="23">
        <v>4.5</v>
      </c>
      <c r="AB1680" s="18">
        <f t="shared" si="52"/>
        <v>2018</v>
      </c>
      <c r="AC1680" s="22">
        <f t="shared" si="53"/>
        <v>0.82799999999999996</v>
      </c>
    </row>
    <row r="1681" spans="1:29">
      <c r="A1681" s="8" t="s">
        <v>8663</v>
      </c>
      <c r="B1681" s="17" t="s">
        <v>7800</v>
      </c>
      <c r="C1681" s="13">
        <v>43441</v>
      </c>
      <c r="D1681" s="13" t="s">
        <v>8465</v>
      </c>
      <c r="E1681" s="10" t="s">
        <v>7300</v>
      </c>
      <c r="F1681" s="10" t="s">
        <v>8667</v>
      </c>
      <c r="H1681" s="2" t="s">
        <v>171</v>
      </c>
      <c r="L1681" s="18">
        <v>1</v>
      </c>
      <c r="N1681" s="13">
        <v>43965</v>
      </c>
      <c r="O1681" s="29">
        <v>9.99</v>
      </c>
      <c r="P1681" s="18" t="s">
        <v>1107</v>
      </c>
      <c r="Q1681" s="18">
        <v>0</v>
      </c>
      <c r="U1681" s="22">
        <v>0.81</v>
      </c>
      <c r="V1681" s="22">
        <f>3.02/5</f>
        <v>0.60399999999999998</v>
      </c>
      <c r="W1681" s="14" t="s">
        <v>7097</v>
      </c>
      <c r="X1681" s="3">
        <v>4</v>
      </c>
      <c r="Z1681" s="23">
        <v>15.5</v>
      </c>
      <c r="AB1681" s="18">
        <f t="shared" si="52"/>
        <v>2018</v>
      </c>
      <c r="AC1681" s="22">
        <f t="shared" si="53"/>
        <v>0.7380000000000001</v>
      </c>
    </row>
    <row r="1682" spans="1:29">
      <c r="A1682" s="8" t="s">
        <v>8271</v>
      </c>
      <c r="B1682" s="17" t="s">
        <v>7800</v>
      </c>
      <c r="C1682" s="13">
        <v>43441</v>
      </c>
      <c r="D1682" s="13" t="s">
        <v>8465</v>
      </c>
      <c r="E1682" s="10" t="s">
        <v>8272</v>
      </c>
      <c r="F1682" s="10" t="s">
        <v>8272</v>
      </c>
      <c r="G1682" s="11" t="s">
        <v>8273</v>
      </c>
      <c r="H1682" s="2" t="s">
        <v>67</v>
      </c>
      <c r="L1682" s="18">
        <v>1</v>
      </c>
      <c r="N1682" s="13">
        <v>43827</v>
      </c>
      <c r="O1682" s="29">
        <v>0</v>
      </c>
      <c r="P1682" s="18" t="s">
        <v>1107</v>
      </c>
      <c r="Q1682" s="18">
        <v>0</v>
      </c>
      <c r="V1682" s="22">
        <f>3.25/5</f>
        <v>0.65</v>
      </c>
      <c r="W1682" s="14" t="s">
        <v>7777</v>
      </c>
      <c r="X1682" s="3">
        <v>3</v>
      </c>
      <c r="Z1682" s="23">
        <v>1.5</v>
      </c>
      <c r="AB1682" s="18">
        <f t="shared" si="52"/>
        <v>2018</v>
      </c>
      <c r="AC1682" s="22">
        <f t="shared" si="53"/>
        <v>0.625</v>
      </c>
    </row>
    <row r="1683" spans="1:29" ht="30">
      <c r="A1683" s="8" t="s">
        <v>1613</v>
      </c>
      <c r="B1683" s="17" t="s">
        <v>7800</v>
      </c>
      <c r="C1683" s="13">
        <v>43440</v>
      </c>
      <c r="D1683" s="13" t="s">
        <v>8465</v>
      </c>
      <c r="E1683" s="10" t="s">
        <v>1604</v>
      </c>
      <c r="F1683" s="10" t="s">
        <v>8680</v>
      </c>
      <c r="G1683" s="11" t="s">
        <v>5818</v>
      </c>
      <c r="H1683" s="2" t="s">
        <v>31</v>
      </c>
      <c r="L1683" s="18">
        <v>1</v>
      </c>
      <c r="N1683" s="13">
        <v>43970</v>
      </c>
      <c r="O1683" s="29">
        <v>0</v>
      </c>
      <c r="P1683" s="18" t="s">
        <v>1107</v>
      </c>
      <c r="Q1683" s="18">
        <v>0</v>
      </c>
      <c r="U1683" s="22">
        <v>0.81</v>
      </c>
      <c r="V1683" s="22">
        <f>4.12/5</f>
        <v>0.82400000000000007</v>
      </c>
      <c r="W1683" s="14" t="s">
        <v>7777</v>
      </c>
      <c r="X1683" s="3">
        <v>4</v>
      </c>
      <c r="Z1683" s="23">
        <v>4.5</v>
      </c>
      <c r="AB1683" s="18">
        <f t="shared" si="52"/>
        <v>2018</v>
      </c>
      <c r="AC1683" s="22">
        <f t="shared" si="53"/>
        <v>0.81133333333333335</v>
      </c>
    </row>
    <row r="1684" spans="1:29" ht="30">
      <c r="A1684" s="8" t="s">
        <v>15063</v>
      </c>
      <c r="B1684" s="17" t="s">
        <v>7800</v>
      </c>
      <c r="C1684" s="13">
        <v>43440</v>
      </c>
      <c r="D1684" s="13" t="s">
        <v>8465</v>
      </c>
      <c r="E1684" s="10" t="s">
        <v>4168</v>
      </c>
      <c r="F1684" s="10" t="s">
        <v>4168</v>
      </c>
      <c r="H1684" s="2" t="s">
        <v>56</v>
      </c>
      <c r="L1684" s="18">
        <v>1</v>
      </c>
      <c r="N1684" s="13">
        <v>45087</v>
      </c>
      <c r="O1684" s="29">
        <v>1.19</v>
      </c>
      <c r="P1684" s="18" t="s">
        <v>1107</v>
      </c>
      <c r="Q1684" s="18">
        <v>0</v>
      </c>
      <c r="W1684" s="14" t="s">
        <v>7777</v>
      </c>
      <c r="X1684" s="3">
        <v>3</v>
      </c>
      <c r="AB1684" s="18">
        <f t="shared" si="52"/>
        <v>2018</v>
      </c>
      <c r="AC1684" s="22">
        <f t="shared" si="53"/>
        <v>0.6</v>
      </c>
    </row>
    <row r="1685" spans="1:29">
      <c r="A1685" s="8" t="s">
        <v>8339</v>
      </c>
      <c r="B1685" s="17" t="s">
        <v>7800</v>
      </c>
      <c r="C1685" s="13">
        <v>43440</v>
      </c>
      <c r="D1685" s="13" t="s">
        <v>8465</v>
      </c>
      <c r="E1685" s="10" t="s">
        <v>8340</v>
      </c>
      <c r="F1685" s="10" t="s">
        <v>8341</v>
      </c>
      <c r="G1685" s="11" t="s">
        <v>8339</v>
      </c>
      <c r="H1685" s="2" t="s">
        <v>1050</v>
      </c>
      <c r="L1685" s="18">
        <v>1</v>
      </c>
      <c r="N1685" s="13">
        <v>43870</v>
      </c>
      <c r="O1685" s="29">
        <v>0</v>
      </c>
      <c r="P1685" s="18" t="s">
        <v>1107</v>
      </c>
      <c r="Q1685" s="18">
        <v>0</v>
      </c>
      <c r="U1685" s="22">
        <v>0.78</v>
      </c>
      <c r="V1685" s="22">
        <f>3.62/5</f>
        <v>0.72399999999999998</v>
      </c>
      <c r="W1685" s="14" t="s">
        <v>7777</v>
      </c>
      <c r="X1685" s="3">
        <v>3</v>
      </c>
      <c r="Z1685" s="23">
        <v>6.5</v>
      </c>
      <c r="AB1685" s="18">
        <f t="shared" si="52"/>
        <v>2018</v>
      </c>
      <c r="AC1685" s="22">
        <f t="shared" si="53"/>
        <v>0.70133333333333336</v>
      </c>
    </row>
    <row r="1686" spans="1:29" ht="25.5">
      <c r="A1686" s="8" t="s">
        <v>9094</v>
      </c>
      <c r="B1686" s="17" t="s">
        <v>7760</v>
      </c>
      <c r="C1686" s="13">
        <v>43438</v>
      </c>
      <c r="D1686" s="13" t="s">
        <v>8465</v>
      </c>
      <c r="E1686" s="10" t="s">
        <v>2461</v>
      </c>
      <c r="F1686" s="10" t="s">
        <v>2458</v>
      </c>
      <c r="G1686" s="11" t="s">
        <v>1171</v>
      </c>
      <c r="H1686" s="2" t="s">
        <v>1220</v>
      </c>
      <c r="L1686" s="18">
        <v>1</v>
      </c>
      <c r="M1686" s="14" t="s">
        <v>8462</v>
      </c>
      <c r="N1686" s="13">
        <v>44034</v>
      </c>
      <c r="O1686" s="29">
        <v>19.5</v>
      </c>
      <c r="P1686" s="18" t="s">
        <v>14</v>
      </c>
      <c r="Q1686" s="18">
        <v>0</v>
      </c>
      <c r="U1686" s="22">
        <v>0.73</v>
      </c>
      <c r="V1686" s="22">
        <f>3.71/5</f>
        <v>0.74199999999999999</v>
      </c>
      <c r="X1686" s="3">
        <v>4</v>
      </c>
      <c r="Z1686" s="23">
        <v>6.5</v>
      </c>
      <c r="AB1686" s="18">
        <f t="shared" si="52"/>
        <v>2018</v>
      </c>
      <c r="AC1686" s="22">
        <f t="shared" si="53"/>
        <v>0.75733333333333341</v>
      </c>
    </row>
    <row r="1687" spans="1:29" ht="25.5">
      <c r="A1687" s="8" t="s">
        <v>9071</v>
      </c>
      <c r="B1687" s="17" t="s">
        <v>7760</v>
      </c>
      <c r="C1687" s="13">
        <v>43438</v>
      </c>
      <c r="D1687" s="13" t="s">
        <v>8465</v>
      </c>
      <c r="E1687" s="10" t="s">
        <v>2461</v>
      </c>
      <c r="F1687" s="10" t="s">
        <v>2458</v>
      </c>
      <c r="G1687" s="11" t="s">
        <v>1171</v>
      </c>
      <c r="H1687" s="2" t="s">
        <v>1220</v>
      </c>
      <c r="L1687" s="18">
        <v>1</v>
      </c>
      <c r="M1687" s="14" t="s">
        <v>8462</v>
      </c>
      <c r="N1687" s="13">
        <v>44032</v>
      </c>
      <c r="O1687" s="29">
        <v>24.01</v>
      </c>
      <c r="P1687" s="18" t="s">
        <v>14</v>
      </c>
      <c r="Q1687" s="18">
        <v>0</v>
      </c>
      <c r="U1687" s="22">
        <v>0.72</v>
      </c>
      <c r="V1687" s="22">
        <f>3.7/5</f>
        <v>0.74</v>
      </c>
      <c r="X1687" s="3">
        <v>4</v>
      </c>
      <c r="Z1687" s="23">
        <v>7.5</v>
      </c>
      <c r="AB1687" s="18">
        <f t="shared" si="52"/>
        <v>2018</v>
      </c>
      <c r="AC1687" s="22">
        <f t="shared" si="53"/>
        <v>0.7533333333333333</v>
      </c>
    </row>
    <row r="1688" spans="1:29">
      <c r="A1688" s="8" t="s">
        <v>8586</v>
      </c>
      <c r="B1688" s="17" t="s">
        <v>7800</v>
      </c>
      <c r="C1688" s="13">
        <v>43438</v>
      </c>
      <c r="D1688" s="13" t="s">
        <v>8465</v>
      </c>
      <c r="E1688" s="10" t="s">
        <v>1082</v>
      </c>
      <c r="F1688" s="10" t="s">
        <v>4216</v>
      </c>
      <c r="G1688" s="11" t="s">
        <v>4215</v>
      </c>
      <c r="H1688" s="2" t="s">
        <v>1168</v>
      </c>
      <c r="L1688" s="18">
        <v>1</v>
      </c>
      <c r="N1688" s="13">
        <v>43937</v>
      </c>
      <c r="O1688" s="29">
        <v>0</v>
      </c>
      <c r="P1688" s="18" t="s">
        <v>1107</v>
      </c>
      <c r="Q1688" s="18">
        <v>0</v>
      </c>
      <c r="U1688" s="22">
        <v>0.68</v>
      </c>
      <c r="V1688" s="22">
        <f>3.07/5</f>
        <v>0.61399999999999999</v>
      </c>
      <c r="W1688" s="14" t="s">
        <v>7777</v>
      </c>
      <c r="X1688" s="3">
        <v>4</v>
      </c>
      <c r="Z1688" s="23">
        <v>16</v>
      </c>
      <c r="AB1688" s="18">
        <f t="shared" si="52"/>
        <v>2018</v>
      </c>
      <c r="AC1688" s="22">
        <f t="shared" si="53"/>
        <v>0.69800000000000006</v>
      </c>
    </row>
    <row r="1689" spans="1:29" ht="25.5">
      <c r="A1689" s="8" t="s">
        <v>4500</v>
      </c>
      <c r="B1689" s="17" t="s">
        <v>7800</v>
      </c>
      <c r="C1689" s="13">
        <v>43438</v>
      </c>
      <c r="D1689" s="13" t="s">
        <v>8465</v>
      </c>
      <c r="E1689" s="10" t="s">
        <v>4501</v>
      </c>
      <c r="F1689" s="10" t="s">
        <v>4502</v>
      </c>
      <c r="G1689" s="11" t="s">
        <v>4503</v>
      </c>
      <c r="H1689" s="2" t="s">
        <v>75</v>
      </c>
      <c r="L1689" s="18">
        <v>1</v>
      </c>
      <c r="N1689" s="13">
        <v>43525</v>
      </c>
      <c r="O1689" s="29">
        <v>11</v>
      </c>
      <c r="P1689" s="18" t="s">
        <v>1107</v>
      </c>
      <c r="Q1689" s="18">
        <v>0</v>
      </c>
      <c r="U1689" s="22">
        <v>0.78</v>
      </c>
      <c r="V1689" s="22">
        <f>3.61/5</f>
        <v>0.72199999999999998</v>
      </c>
      <c r="W1689" s="14" t="s">
        <v>7777</v>
      </c>
      <c r="X1689" s="3">
        <v>3</v>
      </c>
      <c r="Z1689" s="23">
        <v>13</v>
      </c>
      <c r="AB1689" s="18">
        <f t="shared" si="52"/>
        <v>2018</v>
      </c>
      <c r="AC1689" s="22">
        <f t="shared" si="53"/>
        <v>0.70066666666666666</v>
      </c>
    </row>
    <row r="1690" spans="1:29">
      <c r="A1690" s="8" t="s">
        <v>7574</v>
      </c>
      <c r="B1690" s="17" t="s">
        <v>7800</v>
      </c>
      <c r="C1690" s="13">
        <v>43438</v>
      </c>
      <c r="D1690" s="13" t="s">
        <v>8465</v>
      </c>
      <c r="E1690" s="10" t="s">
        <v>3689</v>
      </c>
      <c r="F1690" s="10" t="s">
        <v>3286</v>
      </c>
      <c r="G1690" s="11" t="s">
        <v>3284</v>
      </c>
      <c r="H1690" s="2" t="s">
        <v>67</v>
      </c>
      <c r="L1690" s="18">
        <v>1</v>
      </c>
      <c r="N1690" s="13">
        <v>43705</v>
      </c>
      <c r="O1690" s="29">
        <v>0</v>
      </c>
      <c r="P1690" s="18" t="s">
        <v>1107</v>
      </c>
      <c r="Q1690" s="18">
        <v>0</v>
      </c>
      <c r="U1690" s="22">
        <v>0.76</v>
      </c>
      <c r="V1690" s="22">
        <f>3.42/5</f>
        <v>0.68399999999999994</v>
      </c>
      <c r="W1690" s="14" t="s">
        <v>7777</v>
      </c>
      <c r="X1690" s="3">
        <v>3</v>
      </c>
      <c r="Z1690" s="23">
        <v>10.5</v>
      </c>
      <c r="AB1690" s="18">
        <f t="shared" si="52"/>
        <v>2018</v>
      </c>
      <c r="AC1690" s="22">
        <f t="shared" si="53"/>
        <v>0.68133333333333335</v>
      </c>
    </row>
    <row r="1691" spans="1:29">
      <c r="A1691" s="8" t="s">
        <v>14116</v>
      </c>
      <c r="B1691" s="17" t="s">
        <v>7800</v>
      </c>
      <c r="C1691" s="13">
        <v>43438</v>
      </c>
      <c r="D1691" s="13" t="s">
        <v>8465</v>
      </c>
      <c r="E1691" s="10" t="s">
        <v>3934</v>
      </c>
      <c r="F1691" s="10" t="s">
        <v>14117</v>
      </c>
      <c r="H1691" s="2" t="s">
        <v>56</v>
      </c>
      <c r="L1691" s="18">
        <v>1</v>
      </c>
      <c r="O1691" s="29">
        <v>0</v>
      </c>
      <c r="P1691" s="18" t="s">
        <v>1107</v>
      </c>
      <c r="Q1691" s="18">
        <v>0</v>
      </c>
      <c r="V1691" s="22">
        <f>3.83/5</f>
        <v>0.76600000000000001</v>
      </c>
      <c r="W1691" s="14" t="s">
        <v>8765</v>
      </c>
      <c r="X1691" s="3">
        <v>2</v>
      </c>
      <c r="Z1691" s="23">
        <v>6</v>
      </c>
      <c r="AB1691" s="18">
        <f t="shared" si="52"/>
        <v>2018</v>
      </c>
      <c r="AC1691" s="22">
        <f t="shared" si="53"/>
        <v>0.58299999999999996</v>
      </c>
    </row>
    <row r="1692" spans="1:29">
      <c r="A1692" s="8" t="s">
        <v>15331</v>
      </c>
      <c r="B1692" s="17" t="s">
        <v>7800</v>
      </c>
      <c r="C1692" s="13">
        <v>43438</v>
      </c>
      <c r="D1692" s="13" t="s">
        <v>8465</v>
      </c>
      <c r="E1692" s="10" t="s">
        <v>12148</v>
      </c>
      <c r="F1692" s="10" t="s">
        <v>13132</v>
      </c>
      <c r="H1692" s="2" t="s">
        <v>67</v>
      </c>
      <c r="L1692" s="18">
        <v>1</v>
      </c>
      <c r="N1692" s="13">
        <v>45108</v>
      </c>
      <c r="O1692" s="29">
        <v>2.99</v>
      </c>
      <c r="P1692" s="18" t="s">
        <v>1107</v>
      </c>
      <c r="Q1692" s="18">
        <v>0</v>
      </c>
      <c r="U1692" s="22">
        <v>0.67</v>
      </c>
      <c r="V1692" s="22">
        <f>3.58/5</f>
        <v>0.71599999999999997</v>
      </c>
      <c r="W1692" s="14" t="s">
        <v>7777</v>
      </c>
      <c r="X1692" s="3">
        <v>2</v>
      </c>
      <c r="Z1692" s="23">
        <v>14</v>
      </c>
      <c r="AB1692" s="18">
        <f t="shared" si="52"/>
        <v>2018</v>
      </c>
      <c r="AC1692" s="22">
        <f t="shared" si="53"/>
        <v>0.59533333333333338</v>
      </c>
    </row>
    <row r="1693" spans="1:29" ht="25.5">
      <c r="A1693" s="8" t="s">
        <v>7893</v>
      </c>
      <c r="B1693" s="17" t="s">
        <v>7800</v>
      </c>
      <c r="C1693" s="13">
        <v>43437</v>
      </c>
      <c r="D1693" s="13" t="s">
        <v>8465</v>
      </c>
      <c r="E1693" s="10" t="s">
        <v>7894</v>
      </c>
      <c r="F1693" s="10" t="s">
        <v>7895</v>
      </c>
      <c r="G1693" s="11" t="s">
        <v>15557</v>
      </c>
      <c r="H1693" s="2" t="s">
        <v>459</v>
      </c>
      <c r="L1693" s="18">
        <v>1</v>
      </c>
      <c r="N1693" s="13">
        <v>43742</v>
      </c>
      <c r="O1693" s="29">
        <v>0</v>
      </c>
      <c r="P1693" s="18" t="s">
        <v>1107</v>
      </c>
      <c r="Q1693" s="18">
        <v>0</v>
      </c>
      <c r="U1693" s="22">
        <v>0.7</v>
      </c>
      <c r="V1693" s="22">
        <f>3.2/5</f>
        <v>0.64</v>
      </c>
      <c r="W1693" s="14" t="s">
        <v>7777</v>
      </c>
      <c r="X1693" s="3">
        <v>2</v>
      </c>
      <c r="Z1693" s="23">
        <v>1.5</v>
      </c>
      <c r="AB1693" s="18">
        <f t="shared" si="52"/>
        <v>2018</v>
      </c>
      <c r="AC1693" s="22">
        <f t="shared" si="53"/>
        <v>0.57999999999999996</v>
      </c>
    </row>
    <row r="1694" spans="1:29" ht="30">
      <c r="A1694" s="8" t="s">
        <v>6163</v>
      </c>
      <c r="B1694" s="17" t="s">
        <v>7760</v>
      </c>
      <c r="C1694" s="13">
        <v>43434</v>
      </c>
      <c r="D1694" s="13" t="s">
        <v>8465</v>
      </c>
      <c r="E1694" s="10" t="s">
        <v>6164</v>
      </c>
      <c r="F1694" s="10" t="s">
        <v>6164</v>
      </c>
      <c r="H1694" s="2" t="s">
        <v>67</v>
      </c>
      <c r="L1694" s="18">
        <v>1</v>
      </c>
      <c r="M1694" s="14" t="s">
        <v>8462</v>
      </c>
      <c r="N1694" s="13">
        <v>43652</v>
      </c>
      <c r="O1694" s="29">
        <v>37.72</v>
      </c>
      <c r="P1694" s="18" t="s">
        <v>14</v>
      </c>
      <c r="Q1694" s="18">
        <v>0</v>
      </c>
      <c r="U1694" s="22">
        <v>0.87</v>
      </c>
      <c r="V1694" s="22">
        <f>2.75/5</f>
        <v>0.55000000000000004</v>
      </c>
      <c r="W1694" s="14" t="s">
        <v>1134</v>
      </c>
      <c r="X1694" s="3">
        <v>2</v>
      </c>
      <c r="Z1694" s="23">
        <v>1.5</v>
      </c>
      <c r="AB1694" s="18">
        <f t="shared" si="52"/>
        <v>2018</v>
      </c>
      <c r="AC1694" s="22">
        <f t="shared" si="53"/>
        <v>0.60666666666666658</v>
      </c>
    </row>
    <row r="1695" spans="1:29">
      <c r="A1695" s="8" t="s">
        <v>4507</v>
      </c>
      <c r="B1695" s="17" t="s">
        <v>7800</v>
      </c>
      <c r="C1695" s="13">
        <v>43433</v>
      </c>
      <c r="D1695" s="13" t="s">
        <v>8465</v>
      </c>
      <c r="E1695" s="10" t="s">
        <v>4508</v>
      </c>
      <c r="F1695" s="10" t="s">
        <v>4509</v>
      </c>
      <c r="G1695" s="11" t="s">
        <v>8648</v>
      </c>
      <c r="H1695" s="2" t="s">
        <v>67</v>
      </c>
      <c r="L1695" s="18">
        <v>1</v>
      </c>
      <c r="N1695" s="13">
        <v>43651</v>
      </c>
      <c r="O1695" s="29">
        <v>0</v>
      </c>
      <c r="P1695" s="18" t="s">
        <v>1107</v>
      </c>
      <c r="Q1695" s="18">
        <v>0</v>
      </c>
      <c r="U1695" s="22">
        <v>0.8</v>
      </c>
      <c r="V1695" s="22">
        <f>3.06/5</f>
        <v>0.61199999999999999</v>
      </c>
      <c r="W1695" s="14" t="s">
        <v>7777</v>
      </c>
      <c r="X1695" s="3">
        <v>2</v>
      </c>
      <c r="Z1695" s="23">
        <v>4</v>
      </c>
      <c r="AB1695" s="18">
        <f t="shared" si="52"/>
        <v>2018</v>
      </c>
      <c r="AC1695" s="22">
        <f t="shared" si="53"/>
        <v>0.60399999999999998</v>
      </c>
    </row>
    <row r="1696" spans="1:29">
      <c r="A1696" s="8" t="s">
        <v>6105</v>
      </c>
      <c r="B1696" s="17" t="s">
        <v>7760</v>
      </c>
      <c r="C1696" s="13">
        <v>43431</v>
      </c>
      <c r="D1696" s="13" t="s">
        <v>8465</v>
      </c>
      <c r="E1696" s="10" t="s">
        <v>1583</v>
      </c>
      <c r="F1696" s="10" t="s">
        <v>3581</v>
      </c>
      <c r="G1696" s="11" t="s">
        <v>1585</v>
      </c>
      <c r="H1696" s="2" t="s">
        <v>80</v>
      </c>
      <c r="L1696" s="18">
        <v>1</v>
      </c>
      <c r="M1696" s="14" t="s">
        <v>8462</v>
      </c>
      <c r="N1696" s="13">
        <v>43469</v>
      </c>
      <c r="O1696" s="29">
        <v>43.39</v>
      </c>
      <c r="P1696" s="18" t="s">
        <v>14</v>
      </c>
      <c r="Q1696" s="18">
        <v>0</v>
      </c>
      <c r="U1696" s="22">
        <v>0.61</v>
      </c>
      <c r="V1696" s="22">
        <f>3.37/5</f>
        <v>0.67400000000000004</v>
      </c>
      <c r="X1696" s="3">
        <v>4</v>
      </c>
      <c r="Z1696" s="23">
        <v>14.5</v>
      </c>
      <c r="AB1696" s="18">
        <f t="shared" si="52"/>
        <v>2018</v>
      </c>
      <c r="AC1696" s="22">
        <f t="shared" si="53"/>
        <v>0.69466666666666665</v>
      </c>
    </row>
    <row r="1697" spans="1:29" ht="25.5">
      <c r="A1697" s="8" t="s">
        <v>1697</v>
      </c>
      <c r="B1697" s="17" t="s">
        <v>7744</v>
      </c>
      <c r="C1697" s="13">
        <v>43431</v>
      </c>
      <c r="D1697" s="13" t="s">
        <v>8465</v>
      </c>
      <c r="E1697" s="10" t="s">
        <v>1698</v>
      </c>
      <c r="F1697" s="10" t="s">
        <v>1698</v>
      </c>
      <c r="H1697" s="2" t="s">
        <v>1699</v>
      </c>
      <c r="L1697" s="18">
        <v>1</v>
      </c>
      <c r="M1697" s="14" t="s">
        <v>8462</v>
      </c>
      <c r="N1697" s="13">
        <v>43624</v>
      </c>
      <c r="O1697" s="29">
        <v>37.21</v>
      </c>
      <c r="P1697" s="18" t="s">
        <v>14</v>
      </c>
      <c r="Q1697" s="18">
        <v>0</v>
      </c>
      <c r="U1697" s="22">
        <v>0.8</v>
      </c>
      <c r="V1697" s="22">
        <f>3.9/5</f>
        <v>0.78</v>
      </c>
      <c r="X1697" s="3">
        <v>3</v>
      </c>
      <c r="Z1697" s="23">
        <v>10.5</v>
      </c>
      <c r="AB1697" s="18">
        <f t="shared" si="52"/>
        <v>2018</v>
      </c>
      <c r="AC1697" s="22">
        <f t="shared" si="53"/>
        <v>0.72666666666666668</v>
      </c>
    </row>
    <row r="1698" spans="1:29" ht="30">
      <c r="A1698" s="8" t="s">
        <v>7880</v>
      </c>
      <c r="B1698" s="17" t="s">
        <v>7744</v>
      </c>
      <c r="C1698" s="13">
        <v>43431</v>
      </c>
      <c r="D1698" s="13" t="s">
        <v>8467</v>
      </c>
      <c r="E1698" s="10" t="s">
        <v>7881</v>
      </c>
      <c r="F1698" s="10" t="s">
        <v>7881</v>
      </c>
      <c r="H1698" s="2" t="s">
        <v>153</v>
      </c>
      <c r="L1698" s="18">
        <v>1</v>
      </c>
      <c r="M1698" s="14" t="s">
        <v>8462</v>
      </c>
      <c r="N1698" s="13">
        <v>43736</v>
      </c>
      <c r="O1698" s="29">
        <v>35.619999999999997</v>
      </c>
      <c r="P1698" s="18" t="s">
        <v>14</v>
      </c>
      <c r="Q1698" s="18">
        <v>0</v>
      </c>
      <c r="V1698" s="22">
        <f>3.47/5</f>
        <v>0.69400000000000006</v>
      </c>
      <c r="W1698" s="14" t="s">
        <v>1740</v>
      </c>
      <c r="X1698" s="3">
        <v>2</v>
      </c>
      <c r="Z1698" s="23">
        <v>3</v>
      </c>
      <c r="AB1698" s="18">
        <f t="shared" si="52"/>
        <v>2018</v>
      </c>
      <c r="AC1698" s="22">
        <f t="shared" si="53"/>
        <v>0.54700000000000004</v>
      </c>
    </row>
    <row r="1699" spans="1:29">
      <c r="A1699" s="8" t="s">
        <v>15676</v>
      </c>
      <c r="B1699" s="17" t="s">
        <v>7800</v>
      </c>
      <c r="C1699" s="13">
        <v>43427</v>
      </c>
      <c r="D1699" s="13" t="s">
        <v>8465</v>
      </c>
      <c r="E1699" s="10" t="s">
        <v>15684</v>
      </c>
      <c r="F1699" s="10" t="s">
        <v>15684</v>
      </c>
      <c r="H1699" s="2" t="s">
        <v>1040</v>
      </c>
      <c r="L1699" s="18">
        <v>1</v>
      </c>
      <c r="N1699" s="13">
        <v>45167</v>
      </c>
      <c r="O1699" s="29">
        <v>4.99</v>
      </c>
      <c r="P1699" s="18" t="s">
        <v>1107</v>
      </c>
      <c r="Q1699" s="18">
        <v>0</v>
      </c>
      <c r="W1699" s="14" t="s">
        <v>7777</v>
      </c>
      <c r="X1699" s="3">
        <v>2</v>
      </c>
      <c r="AB1699" s="18">
        <f t="shared" si="52"/>
        <v>2018</v>
      </c>
      <c r="AC1699" s="22">
        <f t="shared" si="53"/>
        <v>0.4</v>
      </c>
    </row>
    <row r="1700" spans="1:29" ht="25.5">
      <c r="A1700" s="8" t="s">
        <v>1568</v>
      </c>
      <c r="B1700" s="17" t="s">
        <v>7744</v>
      </c>
      <c r="C1700" s="13">
        <v>43424</v>
      </c>
      <c r="D1700" s="13" t="s">
        <v>8465</v>
      </c>
      <c r="E1700" s="10" t="s">
        <v>1569</v>
      </c>
      <c r="F1700" s="10" t="s">
        <v>1569</v>
      </c>
      <c r="H1700" s="2" t="s">
        <v>1061</v>
      </c>
      <c r="L1700" s="18">
        <v>1</v>
      </c>
      <c r="M1700" s="14" t="s">
        <v>8462</v>
      </c>
      <c r="N1700" s="13">
        <v>43558</v>
      </c>
      <c r="O1700" s="29">
        <v>29.99</v>
      </c>
      <c r="P1700" s="18" t="s">
        <v>14</v>
      </c>
      <c r="Q1700" s="18">
        <v>0</v>
      </c>
      <c r="U1700" s="22">
        <v>0.65</v>
      </c>
      <c r="V1700" s="22">
        <f>3.25/5</f>
        <v>0.65</v>
      </c>
      <c r="X1700" s="3">
        <v>2</v>
      </c>
      <c r="Z1700" s="23">
        <v>3.5</v>
      </c>
      <c r="AB1700" s="18">
        <f t="shared" si="52"/>
        <v>2018</v>
      </c>
      <c r="AC1700" s="22">
        <f t="shared" si="53"/>
        <v>0.56666666666666676</v>
      </c>
    </row>
    <row r="1701" spans="1:29">
      <c r="A1701" s="8" t="s">
        <v>10146</v>
      </c>
      <c r="B1701" s="17" t="s">
        <v>7760</v>
      </c>
      <c r="C1701" s="13">
        <v>43424</v>
      </c>
      <c r="D1701" s="13" t="s">
        <v>8465</v>
      </c>
      <c r="E1701" s="10" t="s">
        <v>231</v>
      </c>
      <c r="F1701" s="10" t="s">
        <v>4461</v>
      </c>
      <c r="G1701" s="11" t="s">
        <v>6350</v>
      </c>
      <c r="H1701" s="2" t="s">
        <v>1050</v>
      </c>
      <c r="L1701" s="18">
        <v>1</v>
      </c>
      <c r="N1701" s="13">
        <v>44320</v>
      </c>
      <c r="O1701" s="29">
        <v>0</v>
      </c>
      <c r="P1701" s="18" t="s">
        <v>1107</v>
      </c>
      <c r="Q1701" s="18">
        <v>0</v>
      </c>
      <c r="U1701" s="22">
        <v>0.73</v>
      </c>
      <c r="V1701" s="22">
        <f>2.79/5</f>
        <v>0.55800000000000005</v>
      </c>
      <c r="W1701" s="14" t="s">
        <v>6072</v>
      </c>
      <c r="X1701" s="3">
        <v>4</v>
      </c>
      <c r="Z1701" s="23">
        <v>6</v>
      </c>
      <c r="AB1701" s="18">
        <f t="shared" si="52"/>
        <v>2018</v>
      </c>
      <c r="AC1701" s="22">
        <f t="shared" si="53"/>
        <v>0.69600000000000006</v>
      </c>
    </row>
    <row r="1702" spans="1:29">
      <c r="A1702" s="8" t="s">
        <v>8152</v>
      </c>
      <c r="B1702" s="17" t="s">
        <v>7800</v>
      </c>
      <c r="C1702" s="13">
        <v>43420</v>
      </c>
      <c r="D1702" s="13" t="s">
        <v>8465</v>
      </c>
      <c r="E1702" s="10" t="s">
        <v>3544</v>
      </c>
      <c r="F1702" s="10" t="s">
        <v>8153</v>
      </c>
      <c r="H1702" s="2" t="s">
        <v>1143</v>
      </c>
      <c r="L1702" s="18">
        <v>1</v>
      </c>
      <c r="N1702" s="13">
        <v>43790</v>
      </c>
      <c r="O1702" s="29">
        <v>0</v>
      </c>
      <c r="P1702" s="18" t="s">
        <v>1107</v>
      </c>
      <c r="Q1702" s="18">
        <v>0</v>
      </c>
      <c r="U1702" s="22">
        <v>0.77329999999999999</v>
      </c>
      <c r="V1702" s="22">
        <f>3.06/5</f>
        <v>0.61199999999999999</v>
      </c>
      <c r="W1702" s="14" t="s">
        <v>7097</v>
      </c>
      <c r="X1702" s="3">
        <v>3</v>
      </c>
      <c r="Z1702" s="23">
        <v>7</v>
      </c>
      <c r="AB1702" s="18">
        <f t="shared" si="52"/>
        <v>2018</v>
      </c>
      <c r="AC1702" s="22">
        <f t="shared" si="53"/>
        <v>0.66176666666666673</v>
      </c>
    </row>
    <row r="1703" spans="1:29">
      <c r="A1703" s="8" t="s">
        <v>12094</v>
      </c>
      <c r="B1703" s="17" t="s">
        <v>7800</v>
      </c>
      <c r="C1703" s="13">
        <v>43420</v>
      </c>
      <c r="D1703" s="13" t="s">
        <v>8465</v>
      </c>
      <c r="E1703" s="10" t="s">
        <v>12095</v>
      </c>
      <c r="F1703" s="10" t="s">
        <v>12095</v>
      </c>
      <c r="H1703" s="2" t="s">
        <v>1061</v>
      </c>
      <c r="L1703" s="18">
        <v>1</v>
      </c>
      <c r="N1703" s="13">
        <v>44744</v>
      </c>
      <c r="O1703" s="29">
        <v>0</v>
      </c>
      <c r="P1703" s="18" t="s">
        <v>1107</v>
      </c>
      <c r="Q1703" s="18">
        <v>0</v>
      </c>
      <c r="V1703" s="22">
        <f>3.17/5</f>
        <v>0.63400000000000001</v>
      </c>
      <c r="W1703" s="14" t="s">
        <v>8765</v>
      </c>
      <c r="X1703" s="3">
        <v>3</v>
      </c>
      <c r="Z1703" s="23">
        <v>1</v>
      </c>
      <c r="AB1703" s="18">
        <f t="shared" si="52"/>
        <v>2018</v>
      </c>
      <c r="AC1703" s="22">
        <f t="shared" si="53"/>
        <v>0.61699999999999999</v>
      </c>
    </row>
    <row r="1704" spans="1:29">
      <c r="A1704" s="8" t="s">
        <v>14353</v>
      </c>
      <c r="B1704" s="17" t="s">
        <v>7744</v>
      </c>
      <c r="C1704" s="13">
        <v>43420</v>
      </c>
      <c r="D1704" s="13" t="s">
        <v>9335</v>
      </c>
      <c r="E1704" s="10" t="s">
        <v>4664</v>
      </c>
      <c r="F1704" s="10" t="s">
        <v>14354</v>
      </c>
      <c r="G1704" s="11" t="s">
        <v>14355</v>
      </c>
      <c r="H1704" s="2" t="s">
        <v>21</v>
      </c>
      <c r="K1704" s="18">
        <v>2</v>
      </c>
      <c r="L1704" s="18">
        <v>1</v>
      </c>
      <c r="M1704" s="14" t="s">
        <v>8462</v>
      </c>
      <c r="N1704" s="13">
        <v>45011</v>
      </c>
      <c r="O1704" s="29">
        <v>28.49</v>
      </c>
      <c r="P1704" s="18" t="s">
        <v>14</v>
      </c>
      <c r="Q1704" s="18">
        <v>0</v>
      </c>
      <c r="V1704" s="22">
        <f>3.87/5</f>
        <v>0.77400000000000002</v>
      </c>
      <c r="W1704" s="14" t="s">
        <v>7524</v>
      </c>
      <c r="X1704" s="3">
        <v>2</v>
      </c>
      <c r="Z1704" s="23">
        <f>37/60</f>
        <v>0.6166666666666667</v>
      </c>
      <c r="AB1704" s="18">
        <f t="shared" si="52"/>
        <v>2018</v>
      </c>
      <c r="AC1704" s="22">
        <f t="shared" si="53"/>
        <v>0.58699999999999997</v>
      </c>
    </row>
    <row r="1705" spans="1:29" ht="25.5">
      <c r="A1705" s="8" t="s">
        <v>5537</v>
      </c>
      <c r="B1705" s="17" t="s">
        <v>7800</v>
      </c>
      <c r="C1705" s="13">
        <v>43419</v>
      </c>
      <c r="D1705" s="13" t="s">
        <v>8465</v>
      </c>
      <c r="E1705" s="10" t="s">
        <v>4749</v>
      </c>
      <c r="F1705" s="10" t="s">
        <v>5538</v>
      </c>
      <c r="G1705" s="11" t="s">
        <v>5534</v>
      </c>
      <c r="H1705" s="2" t="s">
        <v>3937</v>
      </c>
      <c r="L1705" s="18">
        <v>1</v>
      </c>
      <c r="N1705" s="13">
        <v>43651</v>
      </c>
      <c r="O1705" s="29">
        <v>0</v>
      </c>
      <c r="P1705" s="18" t="s">
        <v>1107</v>
      </c>
      <c r="Q1705" s="18">
        <v>0</v>
      </c>
      <c r="U1705" s="22">
        <v>0.79</v>
      </c>
      <c r="V1705" s="22">
        <f>3.41/5</f>
        <v>0.68200000000000005</v>
      </c>
      <c r="W1705" s="14" t="s">
        <v>7777</v>
      </c>
      <c r="X1705" s="3">
        <v>2</v>
      </c>
      <c r="Z1705" s="23">
        <v>15</v>
      </c>
      <c r="AB1705" s="18">
        <f t="shared" si="52"/>
        <v>2018</v>
      </c>
      <c r="AC1705" s="22">
        <f t="shared" si="53"/>
        <v>0.624</v>
      </c>
    </row>
    <row r="1706" spans="1:29" ht="38.25">
      <c r="A1706" s="8" t="s">
        <v>13967</v>
      </c>
      <c r="B1706" s="17" t="s">
        <v>7760</v>
      </c>
      <c r="C1706" s="13">
        <v>43419</v>
      </c>
      <c r="D1706" s="13" t="s">
        <v>8463</v>
      </c>
      <c r="E1706" s="10" t="s">
        <v>8799</v>
      </c>
      <c r="F1706" s="10" t="s">
        <v>8799</v>
      </c>
      <c r="H1706" s="2" t="s">
        <v>1518</v>
      </c>
      <c r="K1706" s="18">
        <v>0</v>
      </c>
      <c r="L1706" s="18">
        <v>0</v>
      </c>
      <c r="Q1706" s="18">
        <v>0</v>
      </c>
      <c r="X1706" s="3">
        <v>2</v>
      </c>
      <c r="Y1706" s="18">
        <v>1</v>
      </c>
      <c r="AB1706" s="18">
        <f t="shared" si="52"/>
        <v>2018</v>
      </c>
      <c r="AC1706" s="22">
        <f t="shared" si="53"/>
        <v>0.4</v>
      </c>
    </row>
    <row r="1707" spans="1:29">
      <c r="A1707" s="8" t="s">
        <v>12724</v>
      </c>
      <c r="B1707" s="17" t="s">
        <v>7800</v>
      </c>
      <c r="C1707" s="13">
        <v>43418</v>
      </c>
      <c r="D1707" s="13" t="s">
        <v>8465</v>
      </c>
      <c r="E1707" s="10" t="s">
        <v>1690</v>
      </c>
      <c r="F1707" s="10" t="s">
        <v>1691</v>
      </c>
      <c r="G1707" s="11" t="s">
        <v>3864</v>
      </c>
      <c r="H1707" s="2" t="s">
        <v>171</v>
      </c>
      <c r="L1707" s="18">
        <v>1</v>
      </c>
      <c r="N1707" s="13">
        <v>44837</v>
      </c>
      <c r="O1707" s="29">
        <v>0</v>
      </c>
      <c r="P1707" s="18" t="s">
        <v>1107</v>
      </c>
      <c r="Q1707" s="18">
        <v>0</v>
      </c>
      <c r="U1707" s="22">
        <v>0.52</v>
      </c>
      <c r="V1707" s="22">
        <f>2.19/5</f>
        <v>0.438</v>
      </c>
      <c r="W1707" s="14" t="s">
        <v>7777</v>
      </c>
      <c r="X1707" s="3">
        <v>2</v>
      </c>
      <c r="Z1707" s="23">
        <v>33.5</v>
      </c>
      <c r="AB1707" s="18">
        <f t="shared" si="52"/>
        <v>2018</v>
      </c>
      <c r="AC1707" s="22">
        <f t="shared" si="53"/>
        <v>0.45266666666666672</v>
      </c>
    </row>
    <row r="1708" spans="1:29" ht="25.5">
      <c r="A1708" s="8" t="s">
        <v>6162</v>
      </c>
      <c r="B1708" s="17" t="s">
        <v>7760</v>
      </c>
      <c r="C1708" s="13">
        <v>43417</v>
      </c>
      <c r="D1708" s="13" t="s">
        <v>8465</v>
      </c>
      <c r="E1708" s="10" t="s">
        <v>1273</v>
      </c>
      <c r="F1708" s="10" t="s">
        <v>3035</v>
      </c>
      <c r="G1708" s="11" t="s">
        <v>1975</v>
      </c>
      <c r="H1708" s="2" t="s">
        <v>1040</v>
      </c>
      <c r="L1708" s="18">
        <v>1</v>
      </c>
      <c r="M1708" s="14" t="s">
        <v>8462</v>
      </c>
      <c r="N1708" s="13">
        <v>43417</v>
      </c>
      <c r="O1708" s="29">
        <v>34.71</v>
      </c>
      <c r="P1708" s="18" t="s">
        <v>14</v>
      </c>
      <c r="Q1708" s="18">
        <v>0</v>
      </c>
      <c r="U1708" s="22">
        <v>0.83</v>
      </c>
      <c r="V1708" s="22">
        <f>4.22/5</f>
        <v>0.84399999999999997</v>
      </c>
      <c r="X1708" s="3">
        <v>4</v>
      </c>
      <c r="Z1708" s="23">
        <v>17</v>
      </c>
      <c r="AB1708" s="18">
        <f t="shared" si="52"/>
        <v>2018</v>
      </c>
      <c r="AC1708" s="22">
        <f t="shared" si="53"/>
        <v>0.82466666666666677</v>
      </c>
    </row>
    <row r="1709" spans="1:29" ht="30">
      <c r="A1709" s="8" t="s">
        <v>8546</v>
      </c>
      <c r="B1709" s="17" t="s">
        <v>7800</v>
      </c>
      <c r="C1709" s="13">
        <v>43417</v>
      </c>
      <c r="D1709" s="13" t="s">
        <v>8465</v>
      </c>
      <c r="E1709" s="10" t="s">
        <v>8547</v>
      </c>
      <c r="F1709" s="10" t="s">
        <v>4118</v>
      </c>
      <c r="G1709" s="11" t="s">
        <v>4117</v>
      </c>
      <c r="H1709" s="2" t="s">
        <v>245</v>
      </c>
      <c r="L1709" s="18">
        <v>1</v>
      </c>
      <c r="N1709" s="13">
        <v>43924</v>
      </c>
      <c r="O1709" s="29">
        <v>0</v>
      </c>
      <c r="P1709" s="18" t="s">
        <v>1107</v>
      </c>
      <c r="Q1709" s="18">
        <v>0</v>
      </c>
      <c r="U1709" s="22">
        <v>0.82</v>
      </c>
      <c r="V1709" s="22">
        <f>4.02/5</f>
        <v>0.80399999999999994</v>
      </c>
      <c r="W1709" s="14" t="s">
        <v>7777</v>
      </c>
      <c r="X1709" s="3">
        <v>4</v>
      </c>
      <c r="Z1709" s="23">
        <v>10</v>
      </c>
      <c r="AB1709" s="18">
        <f t="shared" si="52"/>
        <v>2018</v>
      </c>
      <c r="AC1709" s="22">
        <f t="shared" si="53"/>
        <v>0.80799999999999994</v>
      </c>
    </row>
    <row r="1710" spans="1:29" ht="25.5">
      <c r="A1710" s="8" t="s">
        <v>8932</v>
      </c>
      <c r="B1710" s="17" t="s">
        <v>7800</v>
      </c>
      <c r="C1710" s="13">
        <v>43417</v>
      </c>
      <c r="D1710" s="13" t="s">
        <v>8465</v>
      </c>
      <c r="E1710" s="10" t="s">
        <v>3568</v>
      </c>
      <c r="F1710" s="10" t="s">
        <v>8933</v>
      </c>
      <c r="G1710" s="11" t="s">
        <v>8931</v>
      </c>
      <c r="H1710" s="2" t="s">
        <v>171</v>
      </c>
      <c r="L1710" s="18">
        <v>1</v>
      </c>
      <c r="N1710" s="13">
        <v>44002</v>
      </c>
      <c r="O1710" s="29">
        <v>4.99</v>
      </c>
      <c r="P1710" s="18" t="s">
        <v>1107</v>
      </c>
      <c r="Q1710" s="18">
        <v>0</v>
      </c>
      <c r="V1710" s="22">
        <f>3.89/5</f>
        <v>0.77800000000000002</v>
      </c>
      <c r="W1710" s="14" t="s">
        <v>7777</v>
      </c>
      <c r="X1710" s="3">
        <v>3</v>
      </c>
      <c r="Z1710" s="23">
        <v>26</v>
      </c>
      <c r="AB1710" s="18">
        <f t="shared" si="52"/>
        <v>2018</v>
      </c>
      <c r="AC1710" s="22">
        <f t="shared" si="53"/>
        <v>0.68900000000000006</v>
      </c>
    </row>
    <row r="1711" spans="1:29" ht="25.5">
      <c r="A1711" s="8" t="s">
        <v>1665</v>
      </c>
      <c r="B1711" s="17" t="s">
        <v>7744</v>
      </c>
      <c r="C1711" s="13">
        <v>43417</v>
      </c>
      <c r="D1711" s="13" t="s">
        <v>8465</v>
      </c>
      <c r="E1711" s="10" t="s">
        <v>1666</v>
      </c>
      <c r="F1711" s="10" t="s">
        <v>1667</v>
      </c>
      <c r="H1711" s="2" t="s">
        <v>6510</v>
      </c>
      <c r="L1711" s="18">
        <v>1</v>
      </c>
      <c r="M1711" s="14" t="s">
        <v>8462</v>
      </c>
      <c r="N1711" s="13">
        <v>43582</v>
      </c>
      <c r="O1711" s="29">
        <v>27.91</v>
      </c>
      <c r="P1711" s="18" t="s">
        <v>14</v>
      </c>
      <c r="Q1711" s="18">
        <v>0</v>
      </c>
      <c r="U1711" s="22">
        <v>0.78</v>
      </c>
      <c r="V1711" s="22">
        <f>3.78/5</f>
        <v>0.75600000000000001</v>
      </c>
      <c r="X1711" s="3">
        <v>2</v>
      </c>
      <c r="Z1711" s="23">
        <v>2</v>
      </c>
      <c r="AB1711" s="18">
        <f t="shared" si="52"/>
        <v>2018</v>
      </c>
      <c r="AC1711" s="22">
        <f t="shared" si="53"/>
        <v>0.64533333333333331</v>
      </c>
    </row>
    <row r="1712" spans="1:29" ht="30">
      <c r="A1712" s="8" t="s">
        <v>8104</v>
      </c>
      <c r="B1712" s="17" t="s">
        <v>7800</v>
      </c>
      <c r="C1712" s="13">
        <v>43412</v>
      </c>
      <c r="D1712" s="13" t="s">
        <v>8465</v>
      </c>
      <c r="E1712" s="10" t="s">
        <v>1604</v>
      </c>
      <c r="F1712" s="10" t="s">
        <v>8105</v>
      </c>
      <c r="H1712" s="2" t="s">
        <v>67</v>
      </c>
      <c r="L1712" s="18">
        <v>1</v>
      </c>
      <c r="N1712" s="13">
        <v>43772</v>
      </c>
      <c r="O1712" s="29">
        <v>0</v>
      </c>
      <c r="P1712" s="18" t="s">
        <v>1107</v>
      </c>
      <c r="Q1712" s="18">
        <v>0</v>
      </c>
      <c r="U1712" s="22">
        <v>0.9</v>
      </c>
      <c r="V1712" s="22">
        <f>3.52/5</f>
        <v>0.70399999999999996</v>
      </c>
      <c r="W1712" s="14" t="s">
        <v>7777</v>
      </c>
      <c r="X1712" s="3">
        <v>2</v>
      </c>
      <c r="Z1712" s="23">
        <v>5</v>
      </c>
      <c r="AB1712" s="18">
        <f t="shared" si="52"/>
        <v>2018</v>
      </c>
      <c r="AC1712" s="22">
        <f t="shared" si="53"/>
        <v>0.66800000000000004</v>
      </c>
    </row>
    <row r="1713" spans="1:29" ht="25.5">
      <c r="A1713" s="8" t="s">
        <v>15061</v>
      </c>
      <c r="B1713" s="17" t="s">
        <v>7744</v>
      </c>
      <c r="C1713" s="13">
        <v>43412</v>
      </c>
      <c r="D1713" s="13" t="s">
        <v>8465</v>
      </c>
      <c r="E1713" s="10" t="s">
        <v>10018</v>
      </c>
      <c r="F1713" s="10" t="s">
        <v>15062</v>
      </c>
      <c r="G1713" s="11" t="s">
        <v>11915</v>
      </c>
      <c r="H1713" s="2" t="s">
        <v>75</v>
      </c>
      <c r="L1713" s="18">
        <v>1</v>
      </c>
      <c r="N1713" s="13">
        <v>45087</v>
      </c>
      <c r="O1713" s="29">
        <v>7.99</v>
      </c>
      <c r="P1713" s="18" t="s">
        <v>1107</v>
      </c>
      <c r="Q1713" s="18">
        <v>0</v>
      </c>
      <c r="U1713" s="22">
        <v>0.64</v>
      </c>
      <c r="V1713" s="22">
        <f>3.85/5</f>
        <v>0.77</v>
      </c>
      <c r="X1713" s="3">
        <v>2</v>
      </c>
      <c r="Z1713" s="23">
        <v>21.5</v>
      </c>
      <c r="AB1713" s="18">
        <f t="shared" si="52"/>
        <v>2018</v>
      </c>
      <c r="AC1713" s="22">
        <f t="shared" si="53"/>
        <v>0.60333333333333339</v>
      </c>
    </row>
    <row r="1714" spans="1:29">
      <c r="A1714" s="8" t="s">
        <v>5140</v>
      </c>
      <c r="B1714" s="17" t="s">
        <v>7800</v>
      </c>
      <c r="C1714" s="13">
        <v>43411</v>
      </c>
      <c r="D1714" s="13" t="s">
        <v>8465</v>
      </c>
      <c r="E1714" s="10" t="s">
        <v>5141</v>
      </c>
      <c r="F1714" s="10" t="s">
        <v>5141</v>
      </c>
      <c r="H1714" s="2" t="s">
        <v>150</v>
      </c>
      <c r="L1714" s="18">
        <v>1</v>
      </c>
      <c r="N1714" s="13">
        <v>43565</v>
      </c>
      <c r="O1714" s="29">
        <v>0</v>
      </c>
      <c r="P1714" s="18" t="s">
        <v>1107</v>
      </c>
      <c r="Q1714" s="18">
        <v>0</v>
      </c>
      <c r="U1714" s="22">
        <v>0.75</v>
      </c>
      <c r="V1714" s="22">
        <f>2.86/5</f>
        <v>0.57199999999999995</v>
      </c>
      <c r="W1714" s="14" t="s">
        <v>7777</v>
      </c>
      <c r="X1714" s="3">
        <v>2</v>
      </c>
      <c r="Z1714" s="23">
        <v>5.5</v>
      </c>
      <c r="AB1714" s="18">
        <f t="shared" si="52"/>
        <v>2018</v>
      </c>
      <c r="AC1714" s="22">
        <f t="shared" si="53"/>
        <v>0.57399999999999995</v>
      </c>
    </row>
    <row r="1715" spans="1:29">
      <c r="A1715" s="8" t="s">
        <v>8568</v>
      </c>
      <c r="B1715" s="17" t="s">
        <v>7800</v>
      </c>
      <c r="C1715" s="13">
        <v>43410</v>
      </c>
      <c r="D1715" s="13" t="s">
        <v>8465</v>
      </c>
      <c r="E1715" s="10" t="s">
        <v>8569</v>
      </c>
      <c r="F1715" s="10" t="s">
        <v>8569</v>
      </c>
      <c r="H1715" s="2" t="s">
        <v>3191</v>
      </c>
      <c r="I1715" s="18">
        <v>1</v>
      </c>
      <c r="L1715" s="18">
        <v>1</v>
      </c>
      <c r="N1715" s="13">
        <v>43931</v>
      </c>
      <c r="O1715" s="29">
        <v>0</v>
      </c>
      <c r="P1715" s="18" t="s">
        <v>1107</v>
      </c>
      <c r="Q1715" s="18">
        <v>0</v>
      </c>
      <c r="U1715" s="22">
        <v>0.79</v>
      </c>
      <c r="V1715" s="22">
        <f>4/5</f>
        <v>0.8</v>
      </c>
      <c r="W1715" s="14" t="s">
        <v>7777</v>
      </c>
      <c r="X1715" s="3">
        <v>3</v>
      </c>
      <c r="Z1715" s="23">
        <v>5.5</v>
      </c>
      <c r="AB1715" s="18">
        <f t="shared" si="52"/>
        <v>2018</v>
      </c>
      <c r="AC1715" s="22">
        <f t="shared" si="53"/>
        <v>0.73</v>
      </c>
    </row>
    <row r="1716" spans="1:29" ht="30">
      <c r="A1716" s="8" t="s">
        <v>12821</v>
      </c>
      <c r="B1716" s="17" t="s">
        <v>7760</v>
      </c>
      <c r="C1716" s="13">
        <v>43410</v>
      </c>
      <c r="D1716" s="13" t="s">
        <v>8465</v>
      </c>
      <c r="E1716" s="10" t="s">
        <v>6107</v>
      </c>
      <c r="F1716" s="10" t="s">
        <v>1580</v>
      </c>
      <c r="H1716" s="2" t="s">
        <v>67</v>
      </c>
      <c r="I1716" s="18">
        <v>1</v>
      </c>
      <c r="L1716" s="18">
        <v>1</v>
      </c>
      <c r="M1716" s="14" t="s">
        <v>8462</v>
      </c>
      <c r="N1716" s="13">
        <v>44848</v>
      </c>
      <c r="O1716" s="29">
        <v>27.71</v>
      </c>
      <c r="P1716" s="18" t="s">
        <v>14</v>
      </c>
      <c r="Q1716" s="18">
        <v>0</v>
      </c>
      <c r="U1716" s="22">
        <v>0.68</v>
      </c>
      <c r="V1716" s="22">
        <f>4/5</f>
        <v>0.8</v>
      </c>
      <c r="X1716" s="3">
        <v>3</v>
      </c>
      <c r="Z1716" s="23">
        <v>4.5</v>
      </c>
      <c r="AB1716" s="18">
        <f t="shared" si="52"/>
        <v>2018</v>
      </c>
      <c r="AC1716" s="22">
        <f t="shared" si="53"/>
        <v>0.69333333333333336</v>
      </c>
    </row>
    <row r="1717" spans="1:29" ht="25.5">
      <c r="A1717" s="8" t="s">
        <v>5222</v>
      </c>
      <c r="B1717" s="17" t="s">
        <v>7800</v>
      </c>
      <c r="C1717" s="13">
        <v>43410</v>
      </c>
      <c r="D1717" s="13" t="s">
        <v>8465</v>
      </c>
      <c r="E1717" s="10" t="s">
        <v>5223</v>
      </c>
      <c r="F1717" s="10" t="s">
        <v>5223</v>
      </c>
      <c r="G1717" s="11" t="s">
        <v>5224</v>
      </c>
      <c r="H1717" s="2" t="s">
        <v>1143</v>
      </c>
      <c r="L1717" s="18">
        <v>1</v>
      </c>
      <c r="N1717" s="13">
        <v>43680</v>
      </c>
      <c r="O1717" s="29">
        <v>0</v>
      </c>
      <c r="P1717" s="18" t="s">
        <v>1107</v>
      </c>
      <c r="Q1717" s="18">
        <v>0</v>
      </c>
      <c r="U1717" s="22">
        <v>0.78</v>
      </c>
      <c r="V1717" s="22">
        <f>3.75/5</f>
        <v>0.75</v>
      </c>
      <c r="W1717" s="14" t="s">
        <v>7777</v>
      </c>
      <c r="X1717" s="3">
        <v>2</v>
      </c>
      <c r="Z1717" s="23">
        <v>7</v>
      </c>
      <c r="AB1717" s="18">
        <f t="shared" si="52"/>
        <v>2018</v>
      </c>
      <c r="AC1717" s="22">
        <f t="shared" si="53"/>
        <v>0.64333333333333342</v>
      </c>
    </row>
    <row r="1718" spans="1:29">
      <c r="A1718" s="8" t="s">
        <v>8298</v>
      </c>
      <c r="B1718" s="17" t="s">
        <v>7800</v>
      </c>
      <c r="C1718" s="13">
        <v>43410</v>
      </c>
      <c r="D1718" s="13" t="s">
        <v>8465</v>
      </c>
      <c r="E1718" s="10" t="s">
        <v>1714</v>
      </c>
      <c r="F1718" s="10" t="s">
        <v>8299</v>
      </c>
      <c r="H1718" s="2" t="s">
        <v>150</v>
      </c>
      <c r="I1718" s="18">
        <v>1</v>
      </c>
      <c r="L1718" s="18">
        <v>1</v>
      </c>
      <c r="N1718" s="13">
        <v>43833</v>
      </c>
      <c r="O1718" s="29">
        <v>0</v>
      </c>
      <c r="P1718" s="18" t="s">
        <v>1107</v>
      </c>
      <c r="Q1718" s="18">
        <v>0</v>
      </c>
      <c r="U1718" s="22">
        <v>0.74</v>
      </c>
      <c r="V1718" s="22">
        <f>3.52/5</f>
        <v>0.70399999999999996</v>
      </c>
      <c r="W1718" s="14" t="s">
        <v>7777</v>
      </c>
      <c r="X1718" s="3">
        <v>2</v>
      </c>
      <c r="Z1718" s="23">
        <v>13.5</v>
      </c>
      <c r="AB1718" s="18">
        <f t="shared" si="52"/>
        <v>2018</v>
      </c>
      <c r="AC1718" s="22">
        <f t="shared" si="53"/>
        <v>0.61466666666666658</v>
      </c>
    </row>
    <row r="1719" spans="1:29" ht="25.5">
      <c r="A1719" s="8" t="s">
        <v>9255</v>
      </c>
      <c r="B1719" s="17" t="s">
        <v>7800</v>
      </c>
      <c r="C1719" s="13">
        <v>43410</v>
      </c>
      <c r="D1719" s="13" t="s">
        <v>8465</v>
      </c>
      <c r="E1719" s="10" t="s">
        <v>4281</v>
      </c>
      <c r="F1719" s="10" t="s">
        <v>9256</v>
      </c>
      <c r="H1719" s="2" t="s">
        <v>1194</v>
      </c>
      <c r="L1719" s="18">
        <v>1</v>
      </c>
      <c r="N1719" s="13">
        <v>44078</v>
      </c>
      <c r="O1719" s="29">
        <v>0</v>
      </c>
      <c r="P1719" s="18" t="s">
        <v>1107</v>
      </c>
      <c r="Q1719" s="18">
        <v>0</v>
      </c>
      <c r="U1719" s="22">
        <v>0.66</v>
      </c>
      <c r="V1719" s="22">
        <f>3.29/5</f>
        <v>0.65800000000000003</v>
      </c>
      <c r="W1719" s="14" t="s">
        <v>7777</v>
      </c>
      <c r="X1719" s="3">
        <v>2</v>
      </c>
      <c r="Z1719" s="23">
        <v>3</v>
      </c>
      <c r="AB1719" s="18">
        <f t="shared" si="52"/>
        <v>2018</v>
      </c>
      <c r="AC1719" s="22">
        <f t="shared" si="53"/>
        <v>0.57266666666666666</v>
      </c>
    </row>
    <row r="1720" spans="1:29">
      <c r="A1720" s="8" t="s">
        <v>12092</v>
      </c>
      <c r="B1720" s="17" t="s">
        <v>7800</v>
      </c>
      <c r="C1720" s="13">
        <v>43409</v>
      </c>
      <c r="D1720" s="13" t="s">
        <v>8465</v>
      </c>
      <c r="E1720" s="10" t="s">
        <v>12093</v>
      </c>
      <c r="F1720" s="10" t="s">
        <v>12093</v>
      </c>
      <c r="H1720" s="2" t="s">
        <v>1061</v>
      </c>
      <c r="L1720" s="18">
        <v>1</v>
      </c>
      <c r="N1720" s="13">
        <v>44744</v>
      </c>
      <c r="O1720" s="29">
        <v>0</v>
      </c>
      <c r="P1720" s="18" t="s">
        <v>1107</v>
      </c>
      <c r="Q1720" s="18">
        <v>0</v>
      </c>
      <c r="V1720" s="22">
        <f>3.93/5</f>
        <v>0.78600000000000003</v>
      </c>
      <c r="W1720" s="14" t="s">
        <v>8765</v>
      </c>
      <c r="X1720" s="3">
        <v>3</v>
      </c>
      <c r="Z1720" s="23">
        <v>4</v>
      </c>
      <c r="AB1720" s="18">
        <f t="shared" si="52"/>
        <v>2018</v>
      </c>
      <c r="AC1720" s="22">
        <f t="shared" si="53"/>
        <v>0.69300000000000006</v>
      </c>
    </row>
    <row r="1721" spans="1:29">
      <c r="A1721" s="8" t="s">
        <v>1624</v>
      </c>
      <c r="B1721" s="17" t="s">
        <v>7744</v>
      </c>
      <c r="C1721" s="13">
        <v>43405</v>
      </c>
      <c r="D1721" s="13" t="s">
        <v>8467</v>
      </c>
      <c r="E1721" s="10" t="s">
        <v>1625</v>
      </c>
      <c r="F1721" s="10" t="s">
        <v>1625</v>
      </c>
      <c r="H1721" s="2" t="s">
        <v>67</v>
      </c>
      <c r="L1721" s="18">
        <v>1</v>
      </c>
      <c r="M1721" s="14" t="s">
        <v>8462</v>
      </c>
      <c r="N1721" s="13">
        <v>43636</v>
      </c>
      <c r="O1721" s="29">
        <v>44.83</v>
      </c>
      <c r="P1721" s="18" t="s">
        <v>14</v>
      </c>
      <c r="Q1721" s="18">
        <v>0</v>
      </c>
      <c r="U1721" s="22">
        <v>0.8</v>
      </c>
      <c r="V1721" s="22">
        <f>4.1/5</f>
        <v>0.82</v>
      </c>
      <c r="W1721" s="14" t="s">
        <v>1739</v>
      </c>
      <c r="X1721" s="3">
        <v>3</v>
      </c>
      <c r="Z1721" s="23">
        <v>5</v>
      </c>
      <c r="AB1721" s="18">
        <f t="shared" si="52"/>
        <v>2018</v>
      </c>
      <c r="AC1721" s="22">
        <f t="shared" si="53"/>
        <v>0.7400000000000001</v>
      </c>
    </row>
    <row r="1722" spans="1:29" ht="30">
      <c r="A1722" s="8" t="s">
        <v>5463</v>
      </c>
      <c r="B1722" s="17" t="s">
        <v>7744</v>
      </c>
      <c r="C1722" s="13">
        <v>43405</v>
      </c>
      <c r="D1722" s="13" t="s">
        <v>8465</v>
      </c>
      <c r="E1722" s="10" t="s">
        <v>3261</v>
      </c>
      <c r="F1722" s="10" t="s">
        <v>3261</v>
      </c>
      <c r="H1722" s="2" t="s">
        <v>171</v>
      </c>
      <c r="L1722" s="18">
        <v>1</v>
      </c>
      <c r="M1722" s="14" t="s">
        <v>8462</v>
      </c>
      <c r="N1722" s="13">
        <v>43769</v>
      </c>
      <c r="O1722" s="29">
        <v>38.15</v>
      </c>
      <c r="P1722" s="18" t="s">
        <v>14</v>
      </c>
      <c r="Q1722" s="18">
        <v>0</v>
      </c>
      <c r="U1722" s="22">
        <v>0.87</v>
      </c>
      <c r="V1722" s="22">
        <f>3.88/5</f>
        <v>0.77600000000000002</v>
      </c>
      <c r="W1722" s="14" t="s">
        <v>1134</v>
      </c>
      <c r="X1722" s="3">
        <v>2</v>
      </c>
      <c r="Z1722" s="23">
        <v>6</v>
      </c>
      <c r="AB1722" s="18">
        <f t="shared" si="52"/>
        <v>2018</v>
      </c>
      <c r="AC1722" s="22">
        <f t="shared" si="53"/>
        <v>0.68199999999999994</v>
      </c>
    </row>
    <row r="1723" spans="1:29">
      <c r="A1723" s="8" t="s">
        <v>8552</v>
      </c>
      <c r="B1723" s="17" t="s">
        <v>7800</v>
      </c>
      <c r="C1723" s="13">
        <v>43404</v>
      </c>
      <c r="D1723" s="13" t="s">
        <v>8465</v>
      </c>
      <c r="E1723" s="10" t="s">
        <v>1712</v>
      </c>
      <c r="F1723" s="10" t="s">
        <v>1712</v>
      </c>
      <c r="G1723" s="11" t="s">
        <v>1711</v>
      </c>
      <c r="H1723" s="2" t="s">
        <v>149</v>
      </c>
      <c r="L1723" s="18">
        <v>0</v>
      </c>
      <c r="Q1723" s="18">
        <v>0</v>
      </c>
      <c r="V1723" s="22">
        <f>4.01/5</f>
        <v>0.80199999999999994</v>
      </c>
      <c r="W1723" s="14" t="s">
        <v>5674</v>
      </c>
      <c r="X1723" s="3">
        <v>4</v>
      </c>
      <c r="Z1723" s="23">
        <v>3</v>
      </c>
      <c r="AB1723" s="18">
        <f t="shared" si="52"/>
        <v>2018</v>
      </c>
      <c r="AC1723" s="22">
        <f t="shared" si="53"/>
        <v>0.80099999999999993</v>
      </c>
    </row>
    <row r="1724" spans="1:29" ht="25.5">
      <c r="A1724" s="8" t="s">
        <v>9129</v>
      </c>
      <c r="B1724" s="17" t="s">
        <v>7763</v>
      </c>
      <c r="C1724" s="13">
        <v>43404</v>
      </c>
      <c r="D1724" s="13" t="s">
        <v>8465</v>
      </c>
      <c r="E1724" s="10" t="s">
        <v>1519</v>
      </c>
      <c r="F1724" s="10" t="s">
        <v>8972</v>
      </c>
      <c r="G1724" s="11" t="s">
        <v>9130</v>
      </c>
      <c r="H1724" s="2" t="s">
        <v>1057</v>
      </c>
      <c r="L1724" s="18">
        <v>1</v>
      </c>
      <c r="M1724" s="14" t="s">
        <v>8462</v>
      </c>
      <c r="N1724" s="13">
        <v>44042</v>
      </c>
      <c r="O1724" s="29">
        <v>22.77</v>
      </c>
      <c r="P1724" s="18" t="s">
        <v>14</v>
      </c>
      <c r="Q1724" s="18">
        <v>0</v>
      </c>
      <c r="V1724" s="22">
        <f>3.96/5</f>
        <v>0.79200000000000004</v>
      </c>
      <c r="X1724" s="3">
        <v>3</v>
      </c>
      <c r="Z1724" s="23">
        <v>9.5</v>
      </c>
      <c r="AB1724" s="18">
        <f t="shared" si="52"/>
        <v>2018</v>
      </c>
      <c r="AC1724" s="22">
        <f t="shared" si="53"/>
        <v>0.69599999999999995</v>
      </c>
    </row>
    <row r="1725" spans="1:29" ht="25.5">
      <c r="A1725" s="8" t="s">
        <v>14121</v>
      </c>
      <c r="B1725" s="17" t="s">
        <v>7800</v>
      </c>
      <c r="C1725" s="13">
        <v>43404</v>
      </c>
      <c r="D1725" s="13" t="s">
        <v>8465</v>
      </c>
      <c r="E1725" s="10" t="s">
        <v>14122</v>
      </c>
      <c r="F1725" s="10" t="s">
        <v>14122</v>
      </c>
      <c r="H1725" s="2" t="s">
        <v>149</v>
      </c>
      <c r="L1725" s="18">
        <v>1</v>
      </c>
      <c r="O1725" s="29">
        <v>0</v>
      </c>
      <c r="P1725" s="18" t="s">
        <v>1107</v>
      </c>
      <c r="Q1725" s="18">
        <v>0</v>
      </c>
      <c r="W1725" s="14" t="s">
        <v>8765</v>
      </c>
      <c r="X1725" s="3">
        <v>3</v>
      </c>
      <c r="AB1725" s="18">
        <f t="shared" si="52"/>
        <v>2018</v>
      </c>
      <c r="AC1725" s="22">
        <f t="shared" si="53"/>
        <v>0.6</v>
      </c>
    </row>
    <row r="1726" spans="1:29">
      <c r="A1726" s="9" t="s">
        <v>9158</v>
      </c>
      <c r="B1726" s="17" t="s">
        <v>7800</v>
      </c>
      <c r="C1726" s="13">
        <v>43402</v>
      </c>
      <c r="D1726" s="13" t="s">
        <v>8465</v>
      </c>
      <c r="E1726" s="10" t="s">
        <v>3493</v>
      </c>
      <c r="F1726" s="10" t="s">
        <v>3959</v>
      </c>
      <c r="H1726" s="2" t="s">
        <v>1061</v>
      </c>
      <c r="L1726" s="18">
        <v>1</v>
      </c>
      <c r="N1726" s="13">
        <v>44050</v>
      </c>
      <c r="O1726" s="29">
        <v>0</v>
      </c>
      <c r="P1726" s="18" t="s">
        <v>1107</v>
      </c>
      <c r="Q1726" s="18">
        <v>0</v>
      </c>
      <c r="U1726" s="22">
        <v>0.67</v>
      </c>
      <c r="V1726" s="22">
        <f>3.05/5</f>
        <v>0.61</v>
      </c>
      <c r="W1726" s="14" t="s">
        <v>7777</v>
      </c>
      <c r="X1726" s="3">
        <v>4</v>
      </c>
      <c r="Z1726" s="23">
        <v>8</v>
      </c>
      <c r="AB1726" s="18">
        <f t="shared" si="52"/>
        <v>2018</v>
      </c>
      <c r="AC1726" s="22">
        <f t="shared" si="53"/>
        <v>0.69333333333333336</v>
      </c>
    </row>
    <row r="1727" spans="1:29" ht="25.5">
      <c r="A1727" s="8" t="s">
        <v>6156</v>
      </c>
      <c r="B1727" s="17" t="s">
        <v>7760</v>
      </c>
      <c r="C1727" s="13">
        <v>43399</v>
      </c>
      <c r="D1727" s="13" t="s">
        <v>8465</v>
      </c>
      <c r="E1727" s="10" t="s">
        <v>1618</v>
      </c>
      <c r="F1727" s="10" t="s">
        <v>4409</v>
      </c>
      <c r="G1727" s="11" t="s">
        <v>5884</v>
      </c>
      <c r="H1727" s="2" t="s">
        <v>80</v>
      </c>
      <c r="L1727" s="18">
        <v>1</v>
      </c>
      <c r="M1727" s="14" t="s">
        <v>8462</v>
      </c>
      <c r="N1727" s="13">
        <v>43399</v>
      </c>
      <c r="O1727" s="29">
        <v>59.96</v>
      </c>
      <c r="P1727" s="18" t="s">
        <v>14</v>
      </c>
      <c r="Q1727" s="18">
        <v>0</v>
      </c>
      <c r="U1727" s="22">
        <v>0.96</v>
      </c>
      <c r="V1727" s="22">
        <f>4.31/5</f>
        <v>0.86199999999999988</v>
      </c>
      <c r="X1727" s="3">
        <v>4</v>
      </c>
      <c r="Z1727" s="23">
        <v>46</v>
      </c>
      <c r="AB1727" s="18">
        <f t="shared" si="52"/>
        <v>2018</v>
      </c>
      <c r="AC1727" s="22">
        <f t="shared" si="53"/>
        <v>0.874</v>
      </c>
    </row>
    <row r="1728" spans="1:29">
      <c r="A1728" s="8" t="s">
        <v>4669</v>
      </c>
      <c r="B1728" s="17" t="s">
        <v>7800</v>
      </c>
      <c r="C1728" s="13">
        <v>43398</v>
      </c>
      <c r="D1728" s="13" t="s">
        <v>8465</v>
      </c>
      <c r="E1728" s="10" t="s">
        <v>3464</v>
      </c>
      <c r="F1728" s="10" t="s">
        <v>4668</v>
      </c>
      <c r="G1728" s="11" t="s">
        <v>4667</v>
      </c>
      <c r="H1728" s="2" t="s">
        <v>143</v>
      </c>
      <c r="L1728" s="18">
        <v>1</v>
      </c>
      <c r="N1728" s="13">
        <v>43606</v>
      </c>
      <c r="O1728" s="29">
        <v>0</v>
      </c>
      <c r="P1728" s="18" t="s">
        <v>1107</v>
      </c>
      <c r="Q1728" s="18">
        <v>0</v>
      </c>
      <c r="U1728" s="22">
        <v>0.76</v>
      </c>
      <c r="V1728" s="22">
        <f>3.47/5</f>
        <v>0.69400000000000006</v>
      </c>
      <c r="W1728" s="14" t="s">
        <v>7777</v>
      </c>
      <c r="X1728" s="3">
        <v>2</v>
      </c>
      <c r="Z1728" s="23">
        <v>7.5</v>
      </c>
      <c r="AB1728" s="18">
        <f t="shared" si="52"/>
        <v>2018</v>
      </c>
      <c r="AC1728" s="22">
        <f t="shared" si="53"/>
        <v>0.61799999999999999</v>
      </c>
    </row>
    <row r="1729" spans="1:29" ht="30">
      <c r="A1729" s="8" t="s">
        <v>9479</v>
      </c>
      <c r="B1729" s="17" t="s">
        <v>7760</v>
      </c>
      <c r="C1729" s="13">
        <v>43398</v>
      </c>
      <c r="D1729" s="13" t="s">
        <v>8465</v>
      </c>
      <c r="E1729" s="10" t="s">
        <v>1604</v>
      </c>
      <c r="F1729" s="10" t="s">
        <v>9480</v>
      </c>
      <c r="G1729" s="11" t="s">
        <v>9481</v>
      </c>
      <c r="H1729" s="2" t="s">
        <v>459</v>
      </c>
      <c r="L1729" s="18">
        <v>1</v>
      </c>
      <c r="M1729" s="14" t="s">
        <v>8462</v>
      </c>
      <c r="N1729" s="13">
        <v>44157</v>
      </c>
      <c r="O1729" s="29">
        <v>15.73</v>
      </c>
      <c r="P1729" s="18" t="s">
        <v>14</v>
      </c>
      <c r="Q1729" s="18">
        <v>0</v>
      </c>
      <c r="U1729" s="22">
        <v>0.68</v>
      </c>
      <c r="V1729" s="22">
        <f>3.53/5</f>
        <v>0.70599999999999996</v>
      </c>
      <c r="X1729" s="3">
        <v>2</v>
      </c>
      <c r="Z1729" s="23">
        <v>5</v>
      </c>
      <c r="AB1729" s="18">
        <f t="shared" si="52"/>
        <v>2018</v>
      </c>
      <c r="AC1729" s="22">
        <f t="shared" si="53"/>
        <v>0.59533333333333338</v>
      </c>
    </row>
    <row r="1730" spans="1:29">
      <c r="A1730" s="8" t="s">
        <v>9253</v>
      </c>
      <c r="B1730" s="17" t="s">
        <v>7800</v>
      </c>
      <c r="C1730" s="13">
        <v>43397</v>
      </c>
      <c r="D1730" s="13" t="s">
        <v>8465</v>
      </c>
      <c r="E1730" s="10" t="s">
        <v>4316</v>
      </c>
      <c r="F1730" s="10" t="s">
        <v>4316</v>
      </c>
      <c r="G1730" s="11" t="s">
        <v>4315</v>
      </c>
      <c r="H1730" s="2" t="s">
        <v>459</v>
      </c>
      <c r="L1730" s="18">
        <v>1</v>
      </c>
      <c r="N1730" s="13">
        <v>44078</v>
      </c>
      <c r="O1730" s="29">
        <v>0</v>
      </c>
      <c r="P1730" s="18" t="s">
        <v>1107</v>
      </c>
      <c r="Q1730" s="18">
        <v>0</v>
      </c>
      <c r="V1730" s="22">
        <f>3.81/5</f>
        <v>0.76200000000000001</v>
      </c>
      <c r="W1730" s="14" t="s">
        <v>7777</v>
      </c>
      <c r="X1730" s="3">
        <v>4</v>
      </c>
      <c r="Z1730" s="23">
        <v>2</v>
      </c>
      <c r="AB1730" s="18">
        <f t="shared" ref="AB1730:AB1792" si="54">IFERROR(YEAR(C1730), "Early Access")</f>
        <v>2018</v>
      </c>
      <c r="AC1730" s="22">
        <f t="shared" ref="AC1730:AC1792" si="55">AVERAGE(T1730, U1730, V1730, IF(ISBLANK(X1730), X1730, X1730/5))</f>
        <v>0.78100000000000003</v>
      </c>
    </row>
    <row r="1731" spans="1:29" ht="25.5">
      <c r="A1731" s="8" t="s">
        <v>8277</v>
      </c>
      <c r="B1731" s="17" t="s">
        <v>7800</v>
      </c>
      <c r="C1731" s="13">
        <v>43396</v>
      </c>
      <c r="D1731" s="13" t="s">
        <v>8465</v>
      </c>
      <c r="E1731" s="10" t="s">
        <v>3536</v>
      </c>
      <c r="F1731" s="10" t="s">
        <v>3537</v>
      </c>
      <c r="G1731" s="11" t="s">
        <v>5392</v>
      </c>
      <c r="H1731" s="2" t="s">
        <v>3411</v>
      </c>
      <c r="L1731" s="18">
        <v>1</v>
      </c>
      <c r="N1731" s="13">
        <v>43829</v>
      </c>
      <c r="O1731" s="29">
        <v>7.49</v>
      </c>
      <c r="P1731" s="18" t="s">
        <v>1107</v>
      </c>
      <c r="Q1731" s="18">
        <v>0</v>
      </c>
      <c r="U1731" s="22">
        <v>0.85</v>
      </c>
      <c r="V1731" s="22">
        <f>3.81/5</f>
        <v>0.76200000000000001</v>
      </c>
      <c r="W1731" s="14" t="s">
        <v>7777</v>
      </c>
      <c r="X1731" s="3">
        <v>4</v>
      </c>
      <c r="Z1731" s="23">
        <v>26</v>
      </c>
      <c r="AB1731" s="18">
        <f t="shared" si="54"/>
        <v>2018</v>
      </c>
      <c r="AC1731" s="22">
        <f t="shared" si="55"/>
        <v>0.80399999999999994</v>
      </c>
    </row>
    <row r="1732" spans="1:29" ht="30">
      <c r="A1732" s="8" t="s">
        <v>543</v>
      </c>
      <c r="B1732" s="17" t="s">
        <v>7744</v>
      </c>
      <c r="C1732" s="13">
        <v>43396</v>
      </c>
      <c r="D1732" s="13" t="s">
        <v>8465</v>
      </c>
      <c r="E1732" s="10" t="s">
        <v>1721</v>
      </c>
      <c r="F1732" s="10" t="s">
        <v>1721</v>
      </c>
      <c r="G1732" s="11" t="s">
        <v>543</v>
      </c>
      <c r="H1732" s="2" t="s">
        <v>255</v>
      </c>
      <c r="L1732" s="18">
        <v>1</v>
      </c>
      <c r="M1732" s="14" t="s">
        <v>8462</v>
      </c>
      <c r="N1732" s="13">
        <v>43553</v>
      </c>
      <c r="P1732" s="18" t="s">
        <v>14</v>
      </c>
      <c r="Q1732" s="18">
        <v>0</v>
      </c>
      <c r="U1732" s="22">
        <v>0.83</v>
      </c>
      <c r="V1732" s="22">
        <f>4.05/5</f>
        <v>0.80999999999999994</v>
      </c>
      <c r="W1732" s="14" t="s">
        <v>1134</v>
      </c>
      <c r="X1732" s="3">
        <v>2</v>
      </c>
      <c r="Z1732" s="23">
        <v>0.62</v>
      </c>
      <c r="AB1732" s="18">
        <f t="shared" si="54"/>
        <v>2018</v>
      </c>
      <c r="AC1732" s="22">
        <f t="shared" si="55"/>
        <v>0.68</v>
      </c>
    </row>
    <row r="1733" spans="1:29" ht="25.5">
      <c r="A1733" s="8" t="s">
        <v>3688</v>
      </c>
      <c r="B1733" s="17" t="s">
        <v>7800</v>
      </c>
      <c r="C1733" s="13">
        <v>43396</v>
      </c>
      <c r="D1733" s="13" t="s">
        <v>8465</v>
      </c>
      <c r="E1733" s="10" t="s">
        <v>3689</v>
      </c>
      <c r="F1733" s="10" t="s">
        <v>3596</v>
      </c>
      <c r="H1733" s="2" t="s">
        <v>1334</v>
      </c>
      <c r="L1733" s="18">
        <v>1</v>
      </c>
      <c r="N1733" s="13">
        <v>43595</v>
      </c>
      <c r="O1733" s="29">
        <v>0</v>
      </c>
      <c r="P1733" s="18" t="s">
        <v>1107</v>
      </c>
      <c r="Q1733" s="18">
        <v>0</v>
      </c>
      <c r="V1733" s="22">
        <f>3.41/5</f>
        <v>0.68200000000000005</v>
      </c>
      <c r="W1733" s="14" t="s">
        <v>7777</v>
      </c>
      <c r="X1733" s="3">
        <v>2</v>
      </c>
      <c r="Z1733" s="23">
        <v>3.5</v>
      </c>
      <c r="AB1733" s="18">
        <f t="shared" si="54"/>
        <v>2018</v>
      </c>
      <c r="AC1733" s="22">
        <f t="shared" si="55"/>
        <v>0.54100000000000004</v>
      </c>
    </row>
    <row r="1734" spans="1:29">
      <c r="A1734" s="8" t="s">
        <v>12176</v>
      </c>
      <c r="B1734" s="17" t="s">
        <v>7800</v>
      </c>
      <c r="C1734" s="13">
        <v>43395</v>
      </c>
      <c r="D1734" s="13" t="s">
        <v>8465</v>
      </c>
      <c r="E1734" s="10" t="s">
        <v>1062</v>
      </c>
      <c r="F1734" s="10" t="s">
        <v>2285</v>
      </c>
      <c r="G1734" s="11" t="s">
        <v>2302</v>
      </c>
      <c r="H1734" s="2" t="s">
        <v>75</v>
      </c>
      <c r="L1734" s="18">
        <v>1</v>
      </c>
      <c r="N1734" s="13">
        <v>44758</v>
      </c>
      <c r="O1734" s="29">
        <v>10.79</v>
      </c>
      <c r="P1734" s="18" t="s">
        <v>1107</v>
      </c>
      <c r="Q1734" s="18">
        <v>0</v>
      </c>
      <c r="V1734" s="22">
        <f>4.28/5</f>
        <v>0.85600000000000009</v>
      </c>
      <c r="W1734" s="14" t="s">
        <v>7777</v>
      </c>
      <c r="X1734" s="3">
        <v>4</v>
      </c>
      <c r="Z1734" s="23">
        <v>52.5</v>
      </c>
      <c r="AB1734" s="18">
        <f t="shared" si="54"/>
        <v>2018</v>
      </c>
      <c r="AC1734" s="22">
        <f t="shared" si="55"/>
        <v>0.82800000000000007</v>
      </c>
    </row>
    <row r="1735" spans="1:29" ht="30">
      <c r="A1735" s="8" t="s">
        <v>4421</v>
      </c>
      <c r="B1735" s="17" t="s">
        <v>7800</v>
      </c>
      <c r="C1735" s="13">
        <v>43395</v>
      </c>
      <c r="D1735" s="13" t="s">
        <v>8465</v>
      </c>
      <c r="E1735" s="10" t="s">
        <v>1680</v>
      </c>
      <c r="F1735" s="10" t="s">
        <v>3113</v>
      </c>
      <c r="G1735" s="11" t="s">
        <v>1682</v>
      </c>
      <c r="H1735" s="2" t="s">
        <v>149</v>
      </c>
      <c r="L1735" s="18">
        <v>1</v>
      </c>
      <c r="N1735" s="13">
        <v>43485</v>
      </c>
      <c r="O1735" s="29">
        <v>3.99</v>
      </c>
      <c r="P1735" s="18" t="s">
        <v>1107</v>
      </c>
      <c r="Q1735" s="18">
        <v>0</v>
      </c>
      <c r="V1735" s="22">
        <f>3.89/5</f>
        <v>0.77800000000000002</v>
      </c>
      <c r="W1735" s="14" t="s">
        <v>7777</v>
      </c>
      <c r="X1735" s="3">
        <v>3</v>
      </c>
      <c r="Z1735" s="23">
        <v>35.5</v>
      </c>
      <c r="AB1735" s="18">
        <f t="shared" si="54"/>
        <v>2018</v>
      </c>
      <c r="AC1735" s="22">
        <f t="shared" si="55"/>
        <v>0.68900000000000006</v>
      </c>
    </row>
    <row r="1736" spans="1:29">
      <c r="A1736" s="8" t="s">
        <v>8486</v>
      </c>
      <c r="B1736" s="17" t="s">
        <v>7800</v>
      </c>
      <c r="C1736" s="13">
        <v>43395</v>
      </c>
      <c r="D1736" s="13" t="s">
        <v>8465</v>
      </c>
      <c r="E1736" s="10" t="s">
        <v>5085</v>
      </c>
      <c r="F1736" s="10" t="s">
        <v>5085</v>
      </c>
      <c r="H1736" s="2" t="s">
        <v>78</v>
      </c>
      <c r="L1736" s="18">
        <v>1</v>
      </c>
      <c r="N1736" s="13">
        <v>43896</v>
      </c>
      <c r="O1736" s="29">
        <v>0</v>
      </c>
      <c r="P1736" s="18" t="s">
        <v>1107</v>
      </c>
      <c r="Q1736" s="18">
        <v>0</v>
      </c>
      <c r="V1736" s="22">
        <f>3.83/5</f>
        <v>0.76600000000000001</v>
      </c>
      <c r="W1736" s="14" t="s">
        <v>7777</v>
      </c>
      <c r="X1736" s="3">
        <v>2</v>
      </c>
      <c r="Z1736" s="23">
        <v>28</v>
      </c>
      <c r="AB1736" s="18">
        <f t="shared" si="54"/>
        <v>2018</v>
      </c>
      <c r="AC1736" s="22">
        <f t="shared" si="55"/>
        <v>0.58299999999999996</v>
      </c>
    </row>
    <row r="1737" spans="1:29" ht="25.5">
      <c r="A1737" s="8" t="s">
        <v>1579</v>
      </c>
      <c r="B1737" s="17" t="s">
        <v>7744</v>
      </c>
      <c r="C1737" s="13">
        <v>43392</v>
      </c>
      <c r="D1737" s="13" t="s">
        <v>8465</v>
      </c>
      <c r="E1737" s="10" t="s">
        <v>1509</v>
      </c>
      <c r="F1737" s="10" t="s">
        <v>1580</v>
      </c>
      <c r="G1737" s="11" t="s">
        <v>1581</v>
      </c>
      <c r="H1737" s="2" t="s">
        <v>171</v>
      </c>
      <c r="L1737" s="18">
        <v>1</v>
      </c>
      <c r="M1737" s="14" t="s">
        <v>8462</v>
      </c>
      <c r="N1737" s="13">
        <v>43392</v>
      </c>
      <c r="O1737" s="29">
        <v>29.49</v>
      </c>
      <c r="P1737" s="18" t="s">
        <v>14</v>
      </c>
      <c r="Q1737" s="18">
        <v>0</v>
      </c>
      <c r="U1737" s="22">
        <v>0.83</v>
      </c>
      <c r="V1737" s="22">
        <f>4.27/5</f>
        <v>0.85399999999999987</v>
      </c>
      <c r="X1737" s="3">
        <v>3</v>
      </c>
      <c r="Z1737" s="23">
        <v>25.5</v>
      </c>
      <c r="AB1737" s="18">
        <f t="shared" si="54"/>
        <v>2018</v>
      </c>
      <c r="AC1737" s="22">
        <f t="shared" si="55"/>
        <v>0.76133333333333331</v>
      </c>
    </row>
    <row r="1738" spans="1:29" ht="30">
      <c r="A1738" s="8" t="s">
        <v>6160</v>
      </c>
      <c r="B1738" s="17" t="s">
        <v>7760</v>
      </c>
      <c r="C1738" s="13">
        <v>43392</v>
      </c>
      <c r="D1738" s="13" t="s">
        <v>8465</v>
      </c>
      <c r="E1738" s="10" t="s">
        <v>1604</v>
      </c>
      <c r="F1738" s="10" t="s">
        <v>1614</v>
      </c>
      <c r="G1738" s="11" t="s">
        <v>6161</v>
      </c>
      <c r="H1738" s="2" t="s">
        <v>459</v>
      </c>
      <c r="L1738" s="18">
        <v>1</v>
      </c>
      <c r="M1738" s="14" t="s">
        <v>8462</v>
      </c>
      <c r="N1738" s="13">
        <v>43578</v>
      </c>
      <c r="O1738" s="29">
        <v>21.69</v>
      </c>
      <c r="P1738" s="18" t="s">
        <v>14</v>
      </c>
      <c r="Q1738" s="18">
        <v>0</v>
      </c>
      <c r="U1738" s="22">
        <v>0.83</v>
      </c>
      <c r="V1738" s="22">
        <f>3.82/5</f>
        <v>0.76400000000000001</v>
      </c>
      <c r="X1738" s="3">
        <v>3</v>
      </c>
      <c r="Z1738" s="23">
        <v>7</v>
      </c>
      <c r="AB1738" s="18">
        <f t="shared" si="54"/>
        <v>2018</v>
      </c>
      <c r="AC1738" s="22">
        <f t="shared" si="55"/>
        <v>0.73133333333333328</v>
      </c>
    </row>
    <row r="1739" spans="1:29">
      <c r="A1739" s="8" t="s">
        <v>14205</v>
      </c>
      <c r="B1739" s="17" t="s">
        <v>7800</v>
      </c>
      <c r="C1739" s="13">
        <v>43392</v>
      </c>
      <c r="D1739" s="13" t="s">
        <v>8465</v>
      </c>
      <c r="E1739" s="10" t="s">
        <v>14206</v>
      </c>
      <c r="F1739" s="10" t="s">
        <v>14206</v>
      </c>
      <c r="H1739" s="2" t="s">
        <v>1334</v>
      </c>
      <c r="L1739" s="18">
        <v>1</v>
      </c>
      <c r="O1739" s="29">
        <v>0</v>
      </c>
      <c r="P1739" s="18" t="s">
        <v>1107</v>
      </c>
      <c r="Q1739" s="18">
        <v>0</v>
      </c>
      <c r="W1739" s="14" t="s">
        <v>8765</v>
      </c>
      <c r="X1739" s="3">
        <v>2</v>
      </c>
      <c r="Z1739" s="23">
        <f>15/60</f>
        <v>0.25</v>
      </c>
      <c r="AB1739" s="18">
        <f t="shared" si="54"/>
        <v>2018</v>
      </c>
      <c r="AC1739" s="22">
        <f t="shared" si="55"/>
        <v>0.4</v>
      </c>
    </row>
    <row r="1740" spans="1:29">
      <c r="A1740" s="8" t="s">
        <v>13702</v>
      </c>
      <c r="B1740" s="17" t="s">
        <v>7800</v>
      </c>
      <c r="C1740" s="13">
        <v>43391</v>
      </c>
      <c r="D1740" s="13" t="s">
        <v>8465</v>
      </c>
      <c r="E1740" s="10" t="s">
        <v>3703</v>
      </c>
      <c r="F1740" s="10" t="s">
        <v>8668</v>
      </c>
      <c r="H1740" s="2" t="s">
        <v>67</v>
      </c>
      <c r="I1740" s="18">
        <v>1</v>
      </c>
      <c r="L1740" s="18">
        <v>1</v>
      </c>
      <c r="N1740" s="13">
        <v>45001</v>
      </c>
      <c r="O1740" s="29">
        <v>2.39</v>
      </c>
      <c r="P1740" s="18" t="s">
        <v>1107</v>
      </c>
      <c r="Q1740" s="18">
        <v>0</v>
      </c>
      <c r="V1740" s="22">
        <f>3.88/5</f>
        <v>0.77600000000000002</v>
      </c>
      <c r="W1740" s="14" t="s">
        <v>7777</v>
      </c>
      <c r="X1740" s="3">
        <v>4</v>
      </c>
      <c r="Z1740" s="23">
        <v>1</v>
      </c>
      <c r="AB1740" s="18">
        <f t="shared" si="54"/>
        <v>2018</v>
      </c>
      <c r="AC1740" s="22">
        <f t="shared" si="55"/>
        <v>0.78800000000000003</v>
      </c>
    </row>
    <row r="1741" spans="1:29">
      <c r="A1741" s="8" t="s">
        <v>10349</v>
      </c>
      <c r="B1741" s="17" t="s">
        <v>7800</v>
      </c>
      <c r="C1741" s="13">
        <v>43391</v>
      </c>
      <c r="D1741" s="13" t="s">
        <v>8465</v>
      </c>
      <c r="E1741" s="10" t="s">
        <v>3361</v>
      </c>
      <c r="F1741" s="10" t="s">
        <v>3361</v>
      </c>
      <c r="H1741" s="2" t="s">
        <v>1061</v>
      </c>
      <c r="L1741" s="18">
        <v>1</v>
      </c>
      <c r="N1741" s="13">
        <v>44396</v>
      </c>
      <c r="O1741" s="29">
        <v>4.99</v>
      </c>
      <c r="P1741" s="18" t="s">
        <v>1107</v>
      </c>
      <c r="Q1741" s="18">
        <v>0</v>
      </c>
      <c r="V1741" s="22">
        <f>3.2/5</f>
        <v>0.64</v>
      </c>
      <c r="W1741" s="14" t="s">
        <v>7777</v>
      </c>
      <c r="X1741" s="3">
        <v>3</v>
      </c>
      <c r="Z1741" s="23">
        <v>3.5</v>
      </c>
      <c r="AB1741" s="18">
        <f t="shared" si="54"/>
        <v>2018</v>
      </c>
      <c r="AC1741" s="22">
        <f t="shared" si="55"/>
        <v>0.62</v>
      </c>
    </row>
    <row r="1742" spans="1:29" ht="45">
      <c r="A1742" s="8" t="s">
        <v>10769</v>
      </c>
      <c r="B1742" s="17" t="s">
        <v>7760</v>
      </c>
      <c r="C1742" s="13">
        <v>43389</v>
      </c>
      <c r="D1742" s="13" t="s">
        <v>8465</v>
      </c>
      <c r="E1742" s="10" t="s">
        <v>1156</v>
      </c>
      <c r="F1742" s="10" t="s">
        <v>1309</v>
      </c>
      <c r="G1742" s="11" t="s">
        <v>4305</v>
      </c>
      <c r="H1742" s="2" t="s">
        <v>80</v>
      </c>
      <c r="L1742" s="18">
        <v>1</v>
      </c>
      <c r="N1742" s="13">
        <v>44537</v>
      </c>
      <c r="O1742" s="29">
        <v>0</v>
      </c>
      <c r="P1742" s="18" t="s">
        <v>1107</v>
      </c>
      <c r="Q1742" s="18">
        <v>0</v>
      </c>
      <c r="U1742" s="22">
        <v>0.74</v>
      </c>
      <c r="V1742" s="22">
        <f>3.77/5</f>
        <v>0.754</v>
      </c>
      <c r="W1742" s="14" t="s">
        <v>6072</v>
      </c>
      <c r="X1742" s="3">
        <v>3</v>
      </c>
      <c r="Z1742" s="23">
        <v>10.5</v>
      </c>
      <c r="AB1742" s="18">
        <f t="shared" si="54"/>
        <v>2018</v>
      </c>
      <c r="AC1742" s="22">
        <f t="shared" si="55"/>
        <v>0.69799999999999995</v>
      </c>
    </row>
    <row r="1743" spans="1:29" ht="25.5">
      <c r="A1743" s="8" t="s">
        <v>1670</v>
      </c>
      <c r="B1743" s="17" t="s">
        <v>7744</v>
      </c>
      <c r="C1743" s="13">
        <v>43389</v>
      </c>
      <c r="D1743" s="13" t="s">
        <v>8465</v>
      </c>
      <c r="E1743" s="10" t="s">
        <v>1047</v>
      </c>
      <c r="F1743" s="10" t="s">
        <v>1671</v>
      </c>
      <c r="H1743" s="2" t="s">
        <v>80</v>
      </c>
      <c r="L1743" s="18">
        <v>1</v>
      </c>
      <c r="M1743" s="14" t="s">
        <v>8462</v>
      </c>
      <c r="N1743" s="13">
        <v>43470</v>
      </c>
      <c r="O1743" s="29">
        <v>32.54</v>
      </c>
      <c r="P1743" s="18" t="s">
        <v>14</v>
      </c>
      <c r="Q1743" s="18">
        <v>0</v>
      </c>
      <c r="U1743" s="22">
        <v>0.75</v>
      </c>
      <c r="V1743" s="22">
        <f>3.68/5</f>
        <v>0.73599999999999999</v>
      </c>
      <c r="X1743" s="3">
        <v>3</v>
      </c>
      <c r="Z1743" s="23">
        <v>15</v>
      </c>
      <c r="AB1743" s="18">
        <f t="shared" si="54"/>
        <v>2018</v>
      </c>
      <c r="AC1743" s="22">
        <f t="shared" si="55"/>
        <v>0.69533333333333325</v>
      </c>
    </row>
    <row r="1744" spans="1:29">
      <c r="A1744" s="8" t="s">
        <v>8335</v>
      </c>
      <c r="B1744" s="17" t="s">
        <v>7800</v>
      </c>
      <c r="C1744" s="13">
        <v>43389</v>
      </c>
      <c r="D1744" s="13" t="s">
        <v>8465</v>
      </c>
      <c r="E1744" s="10" t="s">
        <v>4727</v>
      </c>
      <c r="F1744" s="10" t="s">
        <v>4727</v>
      </c>
      <c r="H1744" s="2" t="s">
        <v>80</v>
      </c>
      <c r="L1744" s="18">
        <v>1</v>
      </c>
      <c r="N1744" s="13">
        <v>43870</v>
      </c>
      <c r="O1744" s="29">
        <v>0</v>
      </c>
      <c r="P1744" s="18" t="s">
        <v>1107</v>
      </c>
      <c r="Q1744" s="18">
        <v>0</v>
      </c>
      <c r="U1744" s="22">
        <v>0.81</v>
      </c>
      <c r="V1744" s="22">
        <f>3.63/5</f>
        <v>0.72599999999999998</v>
      </c>
      <c r="W1744" s="14" t="s">
        <v>7777</v>
      </c>
      <c r="X1744" s="3">
        <v>2</v>
      </c>
      <c r="Z1744" s="23">
        <v>5</v>
      </c>
      <c r="AB1744" s="18">
        <f t="shared" si="54"/>
        <v>2018</v>
      </c>
      <c r="AC1744" s="22">
        <f t="shared" si="55"/>
        <v>0.64533333333333331</v>
      </c>
    </row>
    <row r="1745" spans="1:29">
      <c r="A1745" s="8" t="s">
        <v>12188</v>
      </c>
      <c r="B1745" s="17" t="s">
        <v>7800</v>
      </c>
      <c r="C1745" s="13">
        <v>43389</v>
      </c>
      <c r="D1745" s="13" t="s">
        <v>8465</v>
      </c>
      <c r="E1745" s="10" t="s">
        <v>9397</v>
      </c>
      <c r="F1745" s="10" t="s">
        <v>1552</v>
      </c>
      <c r="G1745" s="11" t="s">
        <v>12189</v>
      </c>
      <c r="H1745" s="2" t="s">
        <v>255</v>
      </c>
      <c r="L1745" s="18">
        <v>1</v>
      </c>
      <c r="N1745" s="13">
        <v>44758</v>
      </c>
      <c r="O1745" s="29">
        <v>0</v>
      </c>
      <c r="P1745" s="18" t="s">
        <v>1107</v>
      </c>
      <c r="Q1745" s="18">
        <v>0</v>
      </c>
      <c r="V1745" s="22">
        <f>3.83/5</f>
        <v>0.76600000000000001</v>
      </c>
      <c r="W1745" s="14" t="s">
        <v>7777</v>
      </c>
      <c r="X1745" s="3">
        <v>2</v>
      </c>
      <c r="Z1745" s="23">
        <v>5</v>
      </c>
      <c r="AB1745" s="18">
        <f t="shared" si="54"/>
        <v>2018</v>
      </c>
      <c r="AC1745" s="22">
        <f t="shared" si="55"/>
        <v>0.58299999999999996</v>
      </c>
    </row>
    <row r="1746" spans="1:29">
      <c r="A1746" s="8" t="s">
        <v>7961</v>
      </c>
      <c r="B1746" s="17" t="s">
        <v>7760</v>
      </c>
      <c r="C1746" s="13">
        <v>43389</v>
      </c>
      <c r="D1746" s="13" t="s">
        <v>8465</v>
      </c>
      <c r="E1746" s="10" t="s">
        <v>2335</v>
      </c>
      <c r="F1746" s="10" t="s">
        <v>1471</v>
      </c>
      <c r="G1746" s="11" t="s">
        <v>7958</v>
      </c>
      <c r="H1746" s="2" t="s">
        <v>1059</v>
      </c>
      <c r="L1746" s="18">
        <v>0</v>
      </c>
      <c r="Q1746" s="18">
        <v>0</v>
      </c>
      <c r="U1746" s="22">
        <v>0.72499999999999998</v>
      </c>
      <c r="V1746" s="22">
        <f>3.74/5</f>
        <v>0.748</v>
      </c>
      <c r="X1746" s="3">
        <v>2</v>
      </c>
      <c r="Y1746" s="18">
        <v>1</v>
      </c>
      <c r="Z1746" s="23">
        <v>13.5</v>
      </c>
      <c r="AB1746" s="18">
        <f t="shared" si="54"/>
        <v>2018</v>
      </c>
      <c r="AC1746" s="22">
        <f t="shared" si="55"/>
        <v>0.6243333333333333</v>
      </c>
    </row>
    <row r="1747" spans="1:29" ht="30">
      <c r="A1747" s="8" t="s">
        <v>1695</v>
      </c>
      <c r="B1747" s="17" t="s">
        <v>7744</v>
      </c>
      <c r="C1747" s="13">
        <v>43385</v>
      </c>
      <c r="D1747" s="13" t="s">
        <v>8465</v>
      </c>
      <c r="E1747" s="10" t="s">
        <v>1082</v>
      </c>
      <c r="F1747" s="10" t="s">
        <v>1521</v>
      </c>
      <c r="G1747" s="11" t="s">
        <v>1696</v>
      </c>
      <c r="H1747" s="2" t="s">
        <v>171</v>
      </c>
      <c r="L1747" s="18">
        <v>1</v>
      </c>
      <c r="M1747" s="14" t="s">
        <v>8462</v>
      </c>
      <c r="N1747" s="13">
        <v>43385</v>
      </c>
      <c r="O1747" s="29">
        <v>47.99</v>
      </c>
      <c r="P1747" s="18" t="s">
        <v>14</v>
      </c>
      <c r="Q1747" s="18">
        <v>0</v>
      </c>
      <c r="U1747" s="22">
        <v>0.77</v>
      </c>
      <c r="V1747" s="22">
        <f>4.22/5</f>
        <v>0.84399999999999997</v>
      </c>
      <c r="X1747" s="3">
        <v>4</v>
      </c>
      <c r="Z1747" s="23">
        <v>16.5</v>
      </c>
      <c r="AB1747" s="18">
        <f t="shared" si="54"/>
        <v>2018</v>
      </c>
      <c r="AC1747" s="22">
        <f t="shared" si="55"/>
        <v>0.80466666666666653</v>
      </c>
    </row>
    <row r="1748" spans="1:29">
      <c r="A1748" s="8" t="s">
        <v>908</v>
      </c>
      <c r="B1748" s="17" t="s">
        <v>7749</v>
      </c>
      <c r="C1748" s="13">
        <v>43385</v>
      </c>
      <c r="D1748" s="13" t="s">
        <v>8465</v>
      </c>
      <c r="E1748" s="10" t="s">
        <v>86</v>
      </c>
      <c r="F1748" s="10" t="s">
        <v>2453</v>
      </c>
      <c r="G1748" s="11" t="s">
        <v>908</v>
      </c>
      <c r="H1748" s="2" t="s">
        <v>80</v>
      </c>
      <c r="L1748" s="18">
        <v>1</v>
      </c>
      <c r="M1748" s="14" t="s">
        <v>8462</v>
      </c>
      <c r="N1748" s="13">
        <v>43385</v>
      </c>
      <c r="O1748" s="29">
        <v>34.71</v>
      </c>
      <c r="P1748" s="18" t="s">
        <v>14</v>
      </c>
      <c r="Q1748" s="18">
        <v>0</v>
      </c>
      <c r="U1748" s="22">
        <v>0.75</v>
      </c>
      <c r="V1748" s="22">
        <f>4.04/5</f>
        <v>0.80800000000000005</v>
      </c>
      <c r="X1748" s="3">
        <v>4</v>
      </c>
      <c r="Z1748" s="23">
        <v>6</v>
      </c>
      <c r="AB1748" s="18">
        <f t="shared" si="54"/>
        <v>2018</v>
      </c>
      <c r="AC1748" s="22">
        <f t="shared" si="55"/>
        <v>0.78600000000000003</v>
      </c>
    </row>
    <row r="1749" spans="1:29" ht="25.5">
      <c r="A1749" s="8" t="s">
        <v>6978</v>
      </c>
      <c r="B1749" s="17" t="s">
        <v>7800</v>
      </c>
      <c r="C1749" s="13">
        <v>43385</v>
      </c>
      <c r="D1749" s="13" t="s">
        <v>8465</v>
      </c>
      <c r="E1749" s="10" t="s">
        <v>1273</v>
      </c>
      <c r="F1749" s="10" t="s">
        <v>1508</v>
      </c>
      <c r="G1749" s="11" t="s">
        <v>3401</v>
      </c>
      <c r="H1749" s="2" t="s">
        <v>1050</v>
      </c>
      <c r="L1749" s="18">
        <v>1</v>
      </c>
      <c r="N1749" s="13">
        <v>43624</v>
      </c>
      <c r="O1749" s="29">
        <v>11</v>
      </c>
      <c r="P1749" s="18" t="s">
        <v>1107</v>
      </c>
      <c r="Q1749" s="18">
        <v>0</v>
      </c>
      <c r="U1749" s="22">
        <v>0.82</v>
      </c>
      <c r="V1749" s="22">
        <f>3.02/5</f>
        <v>0.60399999999999998</v>
      </c>
      <c r="W1749" s="14" t="s">
        <v>7797</v>
      </c>
      <c r="X1749" s="3">
        <v>2</v>
      </c>
      <c r="Z1749" s="23">
        <v>5.5</v>
      </c>
      <c r="AB1749" s="18">
        <f t="shared" si="54"/>
        <v>2018</v>
      </c>
      <c r="AC1749" s="22">
        <f t="shared" si="55"/>
        <v>0.60799999999999998</v>
      </c>
    </row>
    <row r="1750" spans="1:29" ht="38.25">
      <c r="A1750" s="8" t="s">
        <v>9228</v>
      </c>
      <c r="B1750" s="17" t="s">
        <v>7744</v>
      </c>
      <c r="C1750" s="13">
        <v>43384</v>
      </c>
      <c r="D1750" s="13" t="s">
        <v>8465</v>
      </c>
      <c r="E1750" s="10" t="s">
        <v>479</v>
      </c>
      <c r="F1750" s="10" t="s">
        <v>9229</v>
      </c>
      <c r="H1750" s="2" t="s">
        <v>27</v>
      </c>
      <c r="L1750" s="18">
        <v>1</v>
      </c>
      <c r="M1750" s="14" t="s">
        <v>8462</v>
      </c>
      <c r="N1750" s="13">
        <v>44071</v>
      </c>
      <c r="O1750" s="29">
        <v>49.18</v>
      </c>
      <c r="P1750" s="18" t="s">
        <v>14</v>
      </c>
      <c r="Q1750" s="18">
        <v>0</v>
      </c>
      <c r="U1750" s="22">
        <v>0.74</v>
      </c>
      <c r="V1750" s="22">
        <f>3.63/5</f>
        <v>0.72599999999999998</v>
      </c>
      <c r="W1750" s="14" t="s">
        <v>1134</v>
      </c>
      <c r="X1750" s="3">
        <v>4</v>
      </c>
      <c r="Z1750" s="23">
        <v>6</v>
      </c>
      <c r="AB1750" s="18">
        <f t="shared" si="54"/>
        <v>2018</v>
      </c>
      <c r="AC1750" s="22">
        <f t="shared" si="55"/>
        <v>0.7553333333333333</v>
      </c>
    </row>
    <row r="1751" spans="1:29">
      <c r="A1751" s="8" t="s">
        <v>9116</v>
      </c>
      <c r="B1751" s="17" t="s">
        <v>7763</v>
      </c>
      <c r="C1751" s="13">
        <v>43382</v>
      </c>
      <c r="D1751" s="13" t="s">
        <v>8465</v>
      </c>
      <c r="E1751" s="10" t="s">
        <v>7877</v>
      </c>
      <c r="F1751" s="10" t="s">
        <v>9117</v>
      </c>
      <c r="G1751" s="11" t="s">
        <v>9116</v>
      </c>
      <c r="H1751" s="2" t="s">
        <v>1057</v>
      </c>
      <c r="L1751" s="18">
        <v>1</v>
      </c>
      <c r="M1751" s="14" t="s">
        <v>8462</v>
      </c>
      <c r="N1751" s="13">
        <v>44036</v>
      </c>
      <c r="O1751" s="29">
        <v>29.7</v>
      </c>
      <c r="P1751" s="18" t="s">
        <v>14</v>
      </c>
      <c r="Q1751" s="18">
        <v>0</v>
      </c>
      <c r="V1751" s="22">
        <f>2.72/5</f>
        <v>0.54400000000000004</v>
      </c>
      <c r="X1751" s="3">
        <v>3</v>
      </c>
      <c r="Z1751" s="23">
        <v>12</v>
      </c>
      <c r="AB1751" s="18">
        <f t="shared" si="54"/>
        <v>2018</v>
      </c>
      <c r="AC1751" s="22">
        <f t="shared" si="55"/>
        <v>0.57200000000000006</v>
      </c>
    </row>
    <row r="1752" spans="1:29">
      <c r="A1752" s="8" t="s">
        <v>1678</v>
      </c>
      <c r="B1752" s="17" t="s">
        <v>7744</v>
      </c>
      <c r="C1752" s="13">
        <v>43378</v>
      </c>
      <c r="D1752" s="13" t="s">
        <v>8465</v>
      </c>
      <c r="E1752" s="10" t="s">
        <v>86</v>
      </c>
      <c r="F1752" s="10" t="s">
        <v>1159</v>
      </c>
      <c r="G1752" s="11" t="s">
        <v>860</v>
      </c>
      <c r="H1752" s="2" t="s">
        <v>1142</v>
      </c>
      <c r="L1752" s="18">
        <v>1</v>
      </c>
      <c r="M1752" s="14" t="s">
        <v>8462</v>
      </c>
      <c r="N1752" s="13">
        <v>43378</v>
      </c>
      <c r="O1752" s="29">
        <v>65.09</v>
      </c>
      <c r="P1752" s="18" t="s">
        <v>14</v>
      </c>
      <c r="Q1752" s="18">
        <v>0</v>
      </c>
      <c r="U1752" s="22">
        <v>0.74</v>
      </c>
      <c r="V1752" s="22">
        <f>3.66/5</f>
        <v>0.73199999999999998</v>
      </c>
      <c r="X1752" s="3">
        <v>2</v>
      </c>
      <c r="Z1752" s="23">
        <v>5.5</v>
      </c>
      <c r="AB1752" s="18">
        <f t="shared" si="54"/>
        <v>2018</v>
      </c>
      <c r="AC1752" s="22">
        <f t="shared" si="55"/>
        <v>0.624</v>
      </c>
    </row>
    <row r="1753" spans="1:29" ht="25.5">
      <c r="A1753" s="8" t="s">
        <v>11964</v>
      </c>
      <c r="B1753" s="17" t="s">
        <v>7744</v>
      </c>
      <c r="C1753" s="13">
        <v>43377</v>
      </c>
      <c r="D1753" s="13" t="s">
        <v>8465</v>
      </c>
      <c r="E1753" s="10" t="s">
        <v>1794</v>
      </c>
      <c r="F1753" s="10" t="s">
        <v>1794</v>
      </c>
      <c r="G1753" s="11" t="s">
        <v>10286</v>
      </c>
      <c r="H1753" s="2" t="s">
        <v>78</v>
      </c>
      <c r="L1753" s="18">
        <v>1</v>
      </c>
      <c r="N1753" s="13">
        <v>44723</v>
      </c>
      <c r="O1753" s="29">
        <v>6.99</v>
      </c>
      <c r="P1753" s="18" t="s">
        <v>1107</v>
      </c>
      <c r="Q1753" s="18">
        <v>0</v>
      </c>
      <c r="V1753" s="22">
        <f>3.83/5</f>
        <v>0.76600000000000001</v>
      </c>
      <c r="X1753" s="3">
        <v>3</v>
      </c>
      <c r="Z1753" s="23">
        <v>16.5</v>
      </c>
      <c r="AB1753" s="18">
        <f t="shared" si="54"/>
        <v>2018</v>
      </c>
      <c r="AC1753" s="22">
        <f t="shared" si="55"/>
        <v>0.68300000000000005</v>
      </c>
    </row>
    <row r="1754" spans="1:29">
      <c r="A1754" s="8" t="s">
        <v>1630</v>
      </c>
      <c r="B1754" s="17" t="s">
        <v>7744</v>
      </c>
      <c r="C1754" s="13">
        <v>43375</v>
      </c>
      <c r="D1754" s="13" t="s">
        <v>8465</v>
      </c>
      <c r="E1754" s="10" t="s">
        <v>73</v>
      </c>
      <c r="F1754" s="10" t="s">
        <v>73</v>
      </c>
      <c r="G1754" s="11" t="s">
        <v>89</v>
      </c>
      <c r="H1754" s="2" t="s">
        <v>64</v>
      </c>
      <c r="L1754" s="18">
        <v>1</v>
      </c>
      <c r="M1754" s="14" t="s">
        <v>8462</v>
      </c>
      <c r="N1754" s="13">
        <v>43375</v>
      </c>
      <c r="O1754" s="29">
        <v>26.03</v>
      </c>
      <c r="P1754" s="18" t="s">
        <v>14</v>
      </c>
      <c r="Q1754" s="18">
        <v>0</v>
      </c>
      <c r="U1754" s="22">
        <v>0.8</v>
      </c>
      <c r="V1754" s="22">
        <f>4.1/5</f>
        <v>0.82</v>
      </c>
      <c r="X1754" s="3">
        <v>4</v>
      </c>
      <c r="Z1754" s="23">
        <v>4.5</v>
      </c>
      <c r="AB1754" s="18">
        <f t="shared" si="54"/>
        <v>2018</v>
      </c>
      <c r="AC1754" s="22">
        <f t="shared" si="55"/>
        <v>0.80666666666666664</v>
      </c>
    </row>
    <row r="1755" spans="1:29">
      <c r="A1755" s="8" t="s">
        <v>12905</v>
      </c>
      <c r="B1755" s="17" t="s">
        <v>7766</v>
      </c>
      <c r="C1755" s="13">
        <v>43375</v>
      </c>
      <c r="D1755" s="13" t="s">
        <v>8465</v>
      </c>
      <c r="E1755" s="10" t="s">
        <v>3116</v>
      </c>
      <c r="F1755" s="10" t="s">
        <v>10641</v>
      </c>
      <c r="G1755" s="11" t="s">
        <v>10642</v>
      </c>
      <c r="H1755" s="2" t="s">
        <v>150</v>
      </c>
      <c r="L1755" s="18">
        <v>0</v>
      </c>
      <c r="Q1755" s="18">
        <v>0</v>
      </c>
      <c r="U1755" s="22">
        <v>0.92</v>
      </c>
      <c r="V1755" s="22">
        <f>4.17/5</f>
        <v>0.83399999999999996</v>
      </c>
      <c r="X1755" s="3">
        <v>3</v>
      </c>
      <c r="Y1755" s="18">
        <v>1</v>
      </c>
      <c r="Z1755" s="23">
        <v>13.5</v>
      </c>
      <c r="AB1755" s="18">
        <f t="shared" si="54"/>
        <v>2018</v>
      </c>
      <c r="AC1755" s="22">
        <f t="shared" si="55"/>
        <v>0.78466666666666673</v>
      </c>
    </row>
    <row r="1756" spans="1:29" ht="25.5">
      <c r="A1756" s="8" t="s">
        <v>9858</v>
      </c>
      <c r="B1756" s="17" t="s">
        <v>7760</v>
      </c>
      <c r="C1756" s="13">
        <v>43375</v>
      </c>
      <c r="D1756" s="13" t="s">
        <v>8465</v>
      </c>
      <c r="E1756" s="10" t="s">
        <v>455</v>
      </c>
      <c r="F1756" s="10" t="s">
        <v>6137</v>
      </c>
      <c r="G1756" s="11" t="s">
        <v>7845</v>
      </c>
      <c r="H1756" s="2" t="s">
        <v>153</v>
      </c>
      <c r="L1756" s="18">
        <v>1</v>
      </c>
      <c r="M1756" s="14" t="s">
        <v>8462</v>
      </c>
      <c r="N1756" s="13">
        <v>44279</v>
      </c>
      <c r="O1756" s="29">
        <v>30.37</v>
      </c>
      <c r="P1756" s="18" t="s">
        <v>14</v>
      </c>
      <c r="Q1756" s="18">
        <v>0</v>
      </c>
      <c r="U1756" s="22">
        <v>0.72</v>
      </c>
      <c r="V1756" s="22">
        <f>3.99/5</f>
        <v>0.79800000000000004</v>
      </c>
      <c r="W1756" s="14" t="s">
        <v>9859</v>
      </c>
      <c r="X1756" s="3">
        <v>3</v>
      </c>
      <c r="Z1756" s="23">
        <v>20.5</v>
      </c>
      <c r="AB1756" s="18">
        <f t="shared" si="54"/>
        <v>2018</v>
      </c>
      <c r="AC1756" s="22">
        <f t="shared" si="55"/>
        <v>0.70599999999999996</v>
      </c>
    </row>
    <row r="1757" spans="1:29" ht="25.5">
      <c r="A1757" s="8" t="s">
        <v>10717</v>
      </c>
      <c r="B1757" s="17" t="s">
        <v>7800</v>
      </c>
      <c r="C1757" s="13">
        <v>43375</v>
      </c>
      <c r="D1757" s="13" t="s">
        <v>8465</v>
      </c>
      <c r="E1757" s="10" t="s">
        <v>7877</v>
      </c>
      <c r="F1757" s="10" t="s">
        <v>10721</v>
      </c>
      <c r="G1757" s="11" t="s">
        <v>15295</v>
      </c>
      <c r="H1757" s="2" t="s">
        <v>1334</v>
      </c>
      <c r="L1757" s="18">
        <v>1</v>
      </c>
      <c r="N1757" s="13">
        <v>44527</v>
      </c>
      <c r="O1757" s="29">
        <v>2.83</v>
      </c>
      <c r="P1757" s="18" t="s">
        <v>1107</v>
      </c>
      <c r="Q1757" s="18">
        <v>0</v>
      </c>
      <c r="V1757" s="22">
        <f>3.65/5</f>
        <v>0.73</v>
      </c>
      <c r="W1757" s="14" t="s">
        <v>7777</v>
      </c>
      <c r="X1757" s="3">
        <v>2</v>
      </c>
      <c r="Z1757" s="23">
        <v>18</v>
      </c>
      <c r="AB1757" s="18">
        <f t="shared" si="54"/>
        <v>2018</v>
      </c>
      <c r="AC1757" s="22">
        <f t="shared" si="55"/>
        <v>0.56499999999999995</v>
      </c>
    </row>
    <row r="1758" spans="1:29">
      <c r="A1758" s="8" t="s">
        <v>12827</v>
      </c>
      <c r="B1758" s="17" t="s">
        <v>7800</v>
      </c>
      <c r="C1758" s="13">
        <v>43375</v>
      </c>
      <c r="D1758" s="13" t="s">
        <v>8465</v>
      </c>
      <c r="E1758" s="10" t="s">
        <v>1062</v>
      </c>
      <c r="F1758" s="10" t="s">
        <v>12828</v>
      </c>
      <c r="H1758" s="2" t="s">
        <v>153</v>
      </c>
      <c r="L1758" s="18">
        <v>1</v>
      </c>
      <c r="N1758" s="13">
        <v>44854</v>
      </c>
      <c r="O1758" s="29">
        <v>4.99</v>
      </c>
      <c r="P1758" s="18" t="s">
        <v>1107</v>
      </c>
      <c r="Q1758" s="18">
        <v>0</v>
      </c>
      <c r="V1758" s="22">
        <f>3.56/5</f>
        <v>0.71199999999999997</v>
      </c>
      <c r="W1758" s="14" t="s">
        <v>7777</v>
      </c>
      <c r="X1758" s="3">
        <v>2</v>
      </c>
      <c r="Z1758" s="23">
        <v>5.5</v>
      </c>
      <c r="AB1758" s="18">
        <f t="shared" si="54"/>
        <v>2018</v>
      </c>
      <c r="AC1758" s="22">
        <f t="shared" si="55"/>
        <v>0.55600000000000005</v>
      </c>
    </row>
    <row r="1759" spans="1:29" ht="25.5">
      <c r="A1759" s="8" t="s">
        <v>14409</v>
      </c>
      <c r="B1759" s="17" t="s">
        <v>6317</v>
      </c>
      <c r="C1759" s="12">
        <v>43374</v>
      </c>
      <c r="D1759" s="13" t="s">
        <v>8465</v>
      </c>
      <c r="E1759" s="10" t="s">
        <v>455</v>
      </c>
      <c r="F1759" s="10" t="s">
        <v>10822</v>
      </c>
      <c r="G1759" s="11" t="s">
        <v>1524</v>
      </c>
      <c r="H1759" s="2" t="s">
        <v>1170</v>
      </c>
      <c r="L1759" s="18">
        <v>0</v>
      </c>
      <c r="Q1759" s="18">
        <v>0</v>
      </c>
      <c r="V1759" s="22">
        <f>4/5</f>
        <v>0.8</v>
      </c>
      <c r="X1759" s="3">
        <v>2</v>
      </c>
      <c r="Z1759" s="23">
        <v>1</v>
      </c>
      <c r="AB1759" s="18">
        <f t="shared" si="54"/>
        <v>2018</v>
      </c>
      <c r="AC1759" s="22">
        <f t="shared" si="55"/>
        <v>0.60000000000000009</v>
      </c>
    </row>
    <row r="1760" spans="1:29" ht="38.25">
      <c r="A1760" s="8" t="s">
        <v>8812</v>
      </c>
      <c r="B1760" s="17" t="s">
        <v>7749</v>
      </c>
      <c r="C1760" s="13">
        <v>43371</v>
      </c>
      <c r="D1760" s="13" t="s">
        <v>8465</v>
      </c>
      <c r="E1760" s="10" t="s">
        <v>1519</v>
      </c>
      <c r="F1760" s="10" t="s">
        <v>479</v>
      </c>
      <c r="G1760" s="11" t="s">
        <v>2291</v>
      </c>
      <c r="H1760" s="2" t="s">
        <v>67</v>
      </c>
      <c r="L1760" s="18">
        <v>1</v>
      </c>
      <c r="M1760" s="14" t="s">
        <v>8462</v>
      </c>
      <c r="N1760" s="13">
        <v>43987</v>
      </c>
      <c r="O1760" s="29">
        <v>20.6</v>
      </c>
      <c r="P1760" s="18" t="s">
        <v>14</v>
      </c>
      <c r="Q1760" s="18">
        <v>0</v>
      </c>
      <c r="U1760" s="22">
        <v>0.65</v>
      </c>
      <c r="V1760" s="22">
        <f>4.07/5</f>
        <v>0.81400000000000006</v>
      </c>
      <c r="X1760" s="3">
        <v>3</v>
      </c>
      <c r="Z1760" s="23">
        <v>12</v>
      </c>
      <c r="AB1760" s="18">
        <f t="shared" si="54"/>
        <v>2018</v>
      </c>
      <c r="AC1760" s="22">
        <f t="shared" si="55"/>
        <v>0.68800000000000006</v>
      </c>
    </row>
    <row r="1761" spans="1:29">
      <c r="A1761" s="8" t="s">
        <v>5529</v>
      </c>
      <c r="B1761" s="17" t="s">
        <v>7800</v>
      </c>
      <c r="C1761" s="13">
        <v>43370</v>
      </c>
      <c r="D1761" s="13" t="s">
        <v>8465</v>
      </c>
      <c r="E1761" s="10" t="s">
        <v>5530</v>
      </c>
      <c r="F1761" s="10" t="s">
        <v>5530</v>
      </c>
      <c r="H1761" s="2" t="s">
        <v>1220</v>
      </c>
      <c r="L1761" s="18">
        <v>1</v>
      </c>
      <c r="N1761" s="13">
        <v>43574</v>
      </c>
      <c r="O1761" s="29">
        <v>11</v>
      </c>
      <c r="P1761" s="18" t="s">
        <v>1107</v>
      </c>
      <c r="Q1761" s="18">
        <v>0</v>
      </c>
      <c r="U1761" s="22">
        <v>0.81</v>
      </c>
      <c r="V1761" s="22">
        <f>3.8/5</f>
        <v>0.76</v>
      </c>
      <c r="W1761" s="14" t="s">
        <v>7777</v>
      </c>
      <c r="X1761" s="3">
        <v>2</v>
      </c>
      <c r="Z1761" s="23">
        <v>9</v>
      </c>
      <c r="AB1761" s="18">
        <f t="shared" si="54"/>
        <v>2018</v>
      </c>
      <c r="AC1761" s="22">
        <f t="shared" si="55"/>
        <v>0.65666666666666673</v>
      </c>
    </row>
    <row r="1762" spans="1:29">
      <c r="A1762" s="8" t="s">
        <v>14171</v>
      </c>
      <c r="B1762" s="17" t="s">
        <v>7800</v>
      </c>
      <c r="C1762" s="13">
        <v>43369</v>
      </c>
      <c r="D1762" s="13" t="s">
        <v>8465</v>
      </c>
      <c r="E1762" s="10" t="s">
        <v>4946</v>
      </c>
      <c r="F1762" s="10" t="s">
        <v>4946</v>
      </c>
      <c r="H1762" s="2" t="s">
        <v>80</v>
      </c>
      <c r="L1762" s="18">
        <v>1</v>
      </c>
      <c r="O1762" s="29">
        <v>0</v>
      </c>
      <c r="P1762" s="18" t="s">
        <v>1107</v>
      </c>
      <c r="Q1762" s="18">
        <v>0</v>
      </c>
      <c r="U1762" s="22">
        <v>0.83</v>
      </c>
      <c r="W1762" s="14" t="s">
        <v>8765</v>
      </c>
      <c r="X1762" s="3">
        <v>3</v>
      </c>
      <c r="AB1762" s="18">
        <f t="shared" si="54"/>
        <v>2018</v>
      </c>
      <c r="AC1762" s="22">
        <f t="shared" si="55"/>
        <v>0.71499999999999997</v>
      </c>
    </row>
    <row r="1763" spans="1:29">
      <c r="A1763" s="8" t="s">
        <v>10718</v>
      </c>
      <c r="B1763" s="17" t="s">
        <v>7783</v>
      </c>
      <c r="C1763" s="13">
        <v>43369</v>
      </c>
      <c r="D1763" s="13" t="s">
        <v>8465</v>
      </c>
      <c r="E1763" s="10" t="s">
        <v>10722</v>
      </c>
      <c r="F1763" s="10" t="s">
        <v>10722</v>
      </c>
      <c r="H1763" s="2" t="s">
        <v>56</v>
      </c>
      <c r="L1763" s="18">
        <v>1</v>
      </c>
      <c r="N1763" s="13">
        <v>44528</v>
      </c>
      <c r="O1763" s="29">
        <v>1.99</v>
      </c>
      <c r="P1763" s="18" t="s">
        <v>1107</v>
      </c>
      <c r="Q1763" s="18">
        <v>0</v>
      </c>
      <c r="U1763" s="22">
        <v>0.86</v>
      </c>
      <c r="V1763" s="22">
        <f>3.39/5</f>
        <v>0.67800000000000005</v>
      </c>
      <c r="X1763" s="3">
        <v>3</v>
      </c>
      <c r="Z1763" s="23">
        <v>9.5</v>
      </c>
      <c r="AB1763" s="18">
        <f t="shared" si="54"/>
        <v>2018</v>
      </c>
      <c r="AC1763" s="22">
        <f t="shared" si="55"/>
        <v>0.71266666666666667</v>
      </c>
    </row>
    <row r="1764" spans="1:29">
      <c r="A1764" s="8" t="s">
        <v>7721</v>
      </c>
      <c r="B1764" s="17" t="s">
        <v>7800</v>
      </c>
      <c r="C1764" s="13">
        <v>43369</v>
      </c>
      <c r="D1764" s="13" t="s">
        <v>8465</v>
      </c>
      <c r="E1764" s="10" t="s">
        <v>4514</v>
      </c>
      <c r="F1764" s="10" t="s">
        <v>7722</v>
      </c>
      <c r="H1764" s="2" t="s">
        <v>149</v>
      </c>
      <c r="L1764" s="18">
        <v>1</v>
      </c>
      <c r="N1764" s="13">
        <v>43711</v>
      </c>
      <c r="O1764" s="29">
        <v>0</v>
      </c>
      <c r="P1764" s="18" t="s">
        <v>1107</v>
      </c>
      <c r="Q1764" s="18">
        <v>0</v>
      </c>
      <c r="U1764" s="22">
        <v>0.7</v>
      </c>
      <c r="V1764" s="22">
        <f>3.54/5</f>
        <v>0.70799999999999996</v>
      </c>
      <c r="W1764" s="14" t="s">
        <v>7777</v>
      </c>
      <c r="X1764" s="3">
        <v>2</v>
      </c>
      <c r="Z1764" s="23">
        <v>25</v>
      </c>
      <c r="AB1764" s="18">
        <f t="shared" si="54"/>
        <v>2018</v>
      </c>
      <c r="AC1764" s="22">
        <f t="shared" si="55"/>
        <v>0.60266666666666657</v>
      </c>
    </row>
    <row r="1765" spans="1:29">
      <c r="A1765" s="8" t="s">
        <v>6177</v>
      </c>
      <c r="B1765" s="17" t="s">
        <v>7760</v>
      </c>
      <c r="C1765" s="13">
        <v>43368</v>
      </c>
      <c r="D1765" s="13" t="s">
        <v>8465</v>
      </c>
      <c r="E1765" s="10" t="s">
        <v>455</v>
      </c>
      <c r="F1765" s="10" t="s">
        <v>455</v>
      </c>
      <c r="G1765" s="11" t="s">
        <v>5494</v>
      </c>
      <c r="H1765" s="2" t="s">
        <v>75</v>
      </c>
      <c r="L1765" s="18">
        <v>1</v>
      </c>
      <c r="M1765" s="14" t="s">
        <v>8462</v>
      </c>
      <c r="N1765" s="13">
        <v>43521</v>
      </c>
      <c r="O1765" s="29">
        <v>21.69</v>
      </c>
      <c r="P1765" s="18" t="s">
        <v>14</v>
      </c>
      <c r="Q1765" s="18">
        <v>0</v>
      </c>
      <c r="U1765" s="22">
        <v>0.85</v>
      </c>
      <c r="V1765" s="22">
        <f>4.22/5</f>
        <v>0.84399999999999997</v>
      </c>
      <c r="X1765" s="3">
        <v>4</v>
      </c>
      <c r="Z1765" s="23">
        <v>36</v>
      </c>
      <c r="AB1765" s="18">
        <f t="shared" si="54"/>
        <v>2018</v>
      </c>
      <c r="AC1765" s="22">
        <f t="shared" si="55"/>
        <v>0.83133333333333326</v>
      </c>
    </row>
    <row r="1766" spans="1:29">
      <c r="A1766" s="8" t="s">
        <v>8345</v>
      </c>
      <c r="B1766" s="17" t="s">
        <v>7800</v>
      </c>
      <c r="C1766" s="13">
        <v>43368</v>
      </c>
      <c r="D1766" s="13" t="s">
        <v>8465</v>
      </c>
      <c r="E1766" s="10" t="s">
        <v>1163</v>
      </c>
      <c r="F1766" s="10" t="s">
        <v>8346</v>
      </c>
      <c r="G1766" s="11" t="s">
        <v>8347</v>
      </c>
      <c r="H1766" s="2" t="s">
        <v>1720</v>
      </c>
      <c r="L1766" s="18">
        <v>1</v>
      </c>
      <c r="N1766" s="13">
        <v>43870</v>
      </c>
      <c r="O1766" s="29">
        <v>0</v>
      </c>
      <c r="P1766" s="18" t="s">
        <v>1107</v>
      </c>
      <c r="Q1766" s="18">
        <v>0</v>
      </c>
      <c r="U1766" s="22">
        <v>0.73</v>
      </c>
      <c r="V1766" s="22">
        <f>3.92/5</f>
        <v>0.78400000000000003</v>
      </c>
      <c r="W1766" s="14" t="s">
        <v>7777</v>
      </c>
      <c r="X1766" s="3">
        <v>4</v>
      </c>
      <c r="Z1766" s="23">
        <v>83.5</v>
      </c>
      <c r="AB1766" s="18">
        <f t="shared" si="54"/>
        <v>2018</v>
      </c>
      <c r="AC1766" s="22">
        <f t="shared" si="55"/>
        <v>0.77133333333333332</v>
      </c>
    </row>
    <row r="1767" spans="1:29">
      <c r="A1767" s="8" t="s">
        <v>9422</v>
      </c>
      <c r="B1767" s="17" t="s">
        <v>7800</v>
      </c>
      <c r="C1767" s="13">
        <v>43368</v>
      </c>
      <c r="D1767" s="13" t="s">
        <v>8465</v>
      </c>
      <c r="E1767" s="10" t="s">
        <v>9423</v>
      </c>
      <c r="F1767" s="10" t="s">
        <v>9423</v>
      </c>
      <c r="H1767" s="2" t="s">
        <v>255</v>
      </c>
      <c r="I1767" s="18">
        <v>1</v>
      </c>
      <c r="L1767" s="18">
        <v>1</v>
      </c>
      <c r="N1767" s="13">
        <v>44145</v>
      </c>
      <c r="O1767" s="29">
        <v>0</v>
      </c>
      <c r="P1767" s="18" t="s">
        <v>1107</v>
      </c>
      <c r="Q1767" s="18">
        <v>0</v>
      </c>
      <c r="U1767" s="22">
        <v>0.84</v>
      </c>
      <c r="V1767" s="22">
        <f>3.75/5</f>
        <v>0.75</v>
      </c>
      <c r="W1767" s="14" t="s">
        <v>7777</v>
      </c>
      <c r="X1767" s="3">
        <v>3</v>
      </c>
      <c r="Z1767" s="23">
        <v>1.5</v>
      </c>
      <c r="AB1767" s="18">
        <f t="shared" si="54"/>
        <v>2018</v>
      </c>
      <c r="AC1767" s="22">
        <f t="shared" si="55"/>
        <v>0.73</v>
      </c>
    </row>
    <row r="1768" spans="1:29">
      <c r="A1768" s="8" t="s">
        <v>9204</v>
      </c>
      <c r="B1768" s="17" t="s">
        <v>7760</v>
      </c>
      <c r="C1768" s="13">
        <v>43368</v>
      </c>
      <c r="D1768" s="13" t="s">
        <v>8465</v>
      </c>
      <c r="E1768" s="10" t="s">
        <v>1062</v>
      </c>
      <c r="F1768" s="10" t="s">
        <v>9205</v>
      </c>
      <c r="G1768" s="11" t="s">
        <v>1392</v>
      </c>
      <c r="H1768" s="2" t="s">
        <v>149</v>
      </c>
      <c r="L1768" s="18">
        <v>1</v>
      </c>
      <c r="N1768" s="13">
        <v>44062</v>
      </c>
      <c r="O1768" s="29">
        <v>11.99</v>
      </c>
      <c r="P1768" s="18" t="s">
        <v>1107</v>
      </c>
      <c r="Q1768" s="18">
        <v>0</v>
      </c>
      <c r="U1768" s="22">
        <v>0.61</v>
      </c>
      <c r="V1768" s="22">
        <f>3.65/5</f>
        <v>0.73</v>
      </c>
      <c r="X1768" s="3">
        <v>3</v>
      </c>
      <c r="Z1768" s="23">
        <v>27</v>
      </c>
      <c r="AB1768" s="18">
        <f t="shared" si="54"/>
        <v>2018</v>
      </c>
      <c r="AC1768" s="22">
        <f t="shared" si="55"/>
        <v>0.64666666666666661</v>
      </c>
    </row>
    <row r="1769" spans="1:29">
      <c r="A1769" s="8" t="s">
        <v>3510</v>
      </c>
      <c r="B1769" s="17" t="s">
        <v>7800</v>
      </c>
      <c r="C1769" s="13">
        <v>43363</v>
      </c>
      <c r="D1769" s="13" t="s">
        <v>8465</v>
      </c>
      <c r="E1769" s="10" t="s">
        <v>3511</v>
      </c>
      <c r="F1769" s="10" t="s">
        <v>3512</v>
      </c>
      <c r="H1769" s="2" t="s">
        <v>171</v>
      </c>
      <c r="L1769" s="18">
        <v>1</v>
      </c>
      <c r="N1769" s="13">
        <v>42359</v>
      </c>
      <c r="P1769" s="18" t="s">
        <v>1107</v>
      </c>
      <c r="Q1769" s="18">
        <v>0</v>
      </c>
      <c r="U1769" s="22">
        <v>0.85</v>
      </c>
      <c r="V1769" s="22">
        <f>4.2/5</f>
        <v>0.84000000000000008</v>
      </c>
      <c r="W1769" s="14" t="s">
        <v>7777</v>
      </c>
      <c r="X1769" s="3">
        <v>4</v>
      </c>
      <c r="Z1769" s="23">
        <v>31.5</v>
      </c>
      <c r="AB1769" s="18">
        <f t="shared" si="54"/>
        <v>2018</v>
      </c>
      <c r="AC1769" s="22">
        <f t="shared" si="55"/>
        <v>0.83000000000000007</v>
      </c>
    </row>
    <row r="1770" spans="1:29">
      <c r="A1770" s="8" t="s">
        <v>8314</v>
      </c>
      <c r="B1770" s="17" t="s">
        <v>7800</v>
      </c>
      <c r="C1770" s="13">
        <v>43362</v>
      </c>
      <c r="D1770" s="13" t="s">
        <v>8465</v>
      </c>
      <c r="E1770" s="10" t="s">
        <v>8315</v>
      </c>
      <c r="F1770" s="10" t="s">
        <v>8315</v>
      </c>
      <c r="H1770" s="2" t="s">
        <v>67</v>
      </c>
      <c r="L1770" s="18">
        <v>1</v>
      </c>
      <c r="N1770" s="13">
        <v>43846</v>
      </c>
      <c r="O1770" s="29">
        <v>0</v>
      </c>
      <c r="P1770" s="18" t="s">
        <v>1107</v>
      </c>
      <c r="Q1770" s="18">
        <v>0</v>
      </c>
      <c r="U1770" s="22">
        <v>0.8</v>
      </c>
      <c r="V1770" s="22">
        <f>3.68/5</f>
        <v>0.73599999999999999</v>
      </c>
      <c r="W1770" s="14" t="s">
        <v>7777</v>
      </c>
      <c r="X1770" s="3">
        <v>2</v>
      </c>
      <c r="Z1770" s="23">
        <v>2.5</v>
      </c>
      <c r="AB1770" s="18">
        <f t="shared" si="54"/>
        <v>2018</v>
      </c>
      <c r="AC1770" s="22">
        <f t="shared" si="55"/>
        <v>0.64533333333333331</v>
      </c>
    </row>
    <row r="1771" spans="1:29">
      <c r="A1771" s="8" t="s">
        <v>8333</v>
      </c>
      <c r="B1771" s="17" t="s">
        <v>7800</v>
      </c>
      <c r="C1771" s="13">
        <v>43362</v>
      </c>
      <c r="D1771" s="13" t="s">
        <v>8465</v>
      </c>
      <c r="E1771" s="10" t="s">
        <v>8334</v>
      </c>
      <c r="F1771" s="10" t="s">
        <v>8334</v>
      </c>
      <c r="H1771" s="2" t="s">
        <v>171</v>
      </c>
      <c r="L1771" s="18">
        <v>1</v>
      </c>
      <c r="N1771" s="13">
        <v>43870</v>
      </c>
      <c r="O1771" s="29">
        <v>0</v>
      </c>
      <c r="P1771" s="18" t="s">
        <v>1107</v>
      </c>
      <c r="Q1771" s="18">
        <v>0</v>
      </c>
      <c r="V1771" s="22">
        <f>3.44/5</f>
        <v>0.68799999999999994</v>
      </c>
      <c r="W1771" s="14" t="s">
        <v>7777</v>
      </c>
      <c r="X1771" s="3">
        <v>2</v>
      </c>
      <c r="Z1771" s="23">
        <v>12.5</v>
      </c>
      <c r="AB1771" s="18">
        <f t="shared" si="54"/>
        <v>2018</v>
      </c>
      <c r="AC1771" s="22">
        <f t="shared" si="55"/>
        <v>0.54400000000000004</v>
      </c>
    </row>
    <row r="1772" spans="1:29" ht="30">
      <c r="A1772" s="8" t="s">
        <v>9386</v>
      </c>
      <c r="B1772" s="17" t="s">
        <v>7744</v>
      </c>
      <c r="C1772" s="13">
        <v>43361</v>
      </c>
      <c r="D1772" s="13" t="s">
        <v>8465</v>
      </c>
      <c r="E1772" s="10" t="s">
        <v>1062</v>
      </c>
      <c r="F1772" s="10" t="s">
        <v>2285</v>
      </c>
      <c r="G1772" s="11" t="s">
        <v>10394</v>
      </c>
      <c r="H1772" s="2" t="s">
        <v>1377</v>
      </c>
      <c r="L1772" s="18">
        <v>1</v>
      </c>
      <c r="M1772" s="14" t="s">
        <v>8462</v>
      </c>
      <c r="N1772" s="13">
        <v>44117</v>
      </c>
      <c r="O1772" s="29">
        <v>25.77</v>
      </c>
      <c r="P1772" s="18" t="s">
        <v>14</v>
      </c>
      <c r="Q1772" s="18">
        <v>0</v>
      </c>
      <c r="U1772" s="22">
        <v>0.75</v>
      </c>
      <c r="V1772" s="22">
        <f>4/5</f>
        <v>0.8</v>
      </c>
      <c r="X1772" s="3">
        <v>4</v>
      </c>
      <c r="Z1772" s="23">
        <v>55.5</v>
      </c>
      <c r="AB1772" s="18">
        <f t="shared" si="54"/>
        <v>2018</v>
      </c>
      <c r="AC1772" s="22">
        <f t="shared" si="55"/>
        <v>0.78333333333333333</v>
      </c>
    </row>
    <row r="1773" spans="1:29">
      <c r="A1773" s="8" t="s">
        <v>14096</v>
      </c>
      <c r="B1773" s="17" t="s">
        <v>7800</v>
      </c>
      <c r="C1773" s="13">
        <v>43361</v>
      </c>
      <c r="D1773" s="13" t="s">
        <v>8465</v>
      </c>
      <c r="E1773" s="10" t="s">
        <v>14097</v>
      </c>
      <c r="F1773" s="10" t="s">
        <v>14097</v>
      </c>
      <c r="H1773" s="2" t="s">
        <v>1061</v>
      </c>
      <c r="L1773" s="18">
        <v>1</v>
      </c>
      <c r="O1773" s="29">
        <v>0</v>
      </c>
      <c r="P1773" s="18" t="s">
        <v>1107</v>
      </c>
      <c r="Q1773" s="18">
        <v>0</v>
      </c>
      <c r="V1773" s="22">
        <f>4/5</f>
        <v>0.8</v>
      </c>
      <c r="W1773" s="14" t="s">
        <v>8765</v>
      </c>
      <c r="X1773" s="3">
        <v>3</v>
      </c>
      <c r="Z1773" s="23">
        <v>2</v>
      </c>
      <c r="AB1773" s="18">
        <f t="shared" si="54"/>
        <v>2018</v>
      </c>
      <c r="AC1773" s="22">
        <f t="shared" si="55"/>
        <v>0.7</v>
      </c>
    </row>
    <row r="1774" spans="1:29">
      <c r="A1774" s="8" t="s">
        <v>1711</v>
      </c>
      <c r="B1774" s="17" t="s">
        <v>7744</v>
      </c>
      <c r="C1774" s="13">
        <v>43361</v>
      </c>
      <c r="D1774" s="13" t="s">
        <v>8465</v>
      </c>
      <c r="E1774" s="10" t="s">
        <v>1712</v>
      </c>
      <c r="F1774" s="10" t="s">
        <v>1712</v>
      </c>
      <c r="G1774" s="11" t="s">
        <v>1711</v>
      </c>
      <c r="H1774" s="2" t="s">
        <v>149</v>
      </c>
      <c r="L1774" s="18">
        <v>1</v>
      </c>
      <c r="M1774" s="14" t="s">
        <v>8462</v>
      </c>
      <c r="N1774" s="13">
        <v>43587</v>
      </c>
      <c r="O1774" s="29">
        <v>35.39</v>
      </c>
      <c r="P1774" s="18" t="s">
        <v>14</v>
      </c>
      <c r="Q1774" s="18">
        <v>0</v>
      </c>
      <c r="U1774" s="22">
        <v>0.92</v>
      </c>
      <c r="V1774" s="22">
        <f>4.16/5</f>
        <v>0.83200000000000007</v>
      </c>
      <c r="X1774" s="3">
        <v>2</v>
      </c>
      <c r="Z1774" s="23">
        <v>6.5</v>
      </c>
      <c r="AB1774" s="18">
        <f t="shared" si="54"/>
        <v>2018</v>
      </c>
      <c r="AC1774" s="22">
        <f t="shared" si="55"/>
        <v>0.71733333333333338</v>
      </c>
    </row>
    <row r="1775" spans="1:29">
      <c r="A1775" s="8" t="s">
        <v>7770</v>
      </c>
      <c r="B1775" s="17" t="s">
        <v>7800</v>
      </c>
      <c r="C1775" s="13">
        <v>43361</v>
      </c>
      <c r="D1775" s="13" t="s">
        <v>8465</v>
      </c>
      <c r="E1775" s="10" t="s">
        <v>7774</v>
      </c>
      <c r="F1775" s="10" t="s">
        <v>7774</v>
      </c>
      <c r="H1775" s="2" t="s">
        <v>150</v>
      </c>
      <c r="I1775" s="18">
        <v>1</v>
      </c>
      <c r="L1775" s="18">
        <v>1</v>
      </c>
      <c r="N1775" s="13">
        <v>43716</v>
      </c>
      <c r="O1775" s="29">
        <v>0</v>
      </c>
      <c r="P1775" s="18" t="s">
        <v>1107</v>
      </c>
      <c r="Q1775" s="18">
        <v>0</v>
      </c>
      <c r="U1775" s="22">
        <v>0.9</v>
      </c>
      <c r="V1775" s="22">
        <f>3.66/5</f>
        <v>0.73199999999999998</v>
      </c>
      <c r="W1775" s="14" t="s">
        <v>7777</v>
      </c>
      <c r="X1775" s="3">
        <v>2</v>
      </c>
      <c r="Z1775" s="23">
        <v>2</v>
      </c>
      <c r="AB1775" s="18">
        <f t="shared" si="54"/>
        <v>2018</v>
      </c>
      <c r="AC1775" s="22">
        <f t="shared" si="55"/>
        <v>0.67733333333333334</v>
      </c>
    </row>
    <row r="1776" spans="1:29">
      <c r="A1776" s="8" t="s">
        <v>10292</v>
      </c>
      <c r="B1776" s="17" t="s">
        <v>7800</v>
      </c>
      <c r="C1776" s="13">
        <v>43361</v>
      </c>
      <c r="D1776" s="13" t="s">
        <v>8465</v>
      </c>
      <c r="E1776" s="10" t="s">
        <v>1047</v>
      </c>
      <c r="F1776" s="10" t="s">
        <v>1047</v>
      </c>
      <c r="H1776" s="2" t="s">
        <v>1061</v>
      </c>
      <c r="I1776" s="18">
        <v>1</v>
      </c>
      <c r="L1776" s="18">
        <v>1</v>
      </c>
      <c r="N1776" s="13">
        <v>44376</v>
      </c>
      <c r="O1776" s="29">
        <v>4.99</v>
      </c>
      <c r="P1776" s="18" t="s">
        <v>1107</v>
      </c>
      <c r="Q1776" s="18">
        <v>0</v>
      </c>
      <c r="U1776" s="22">
        <v>0.78</v>
      </c>
      <c r="V1776" s="22">
        <f>4/5</f>
        <v>0.8</v>
      </c>
      <c r="W1776" s="14" t="s">
        <v>7777</v>
      </c>
      <c r="X1776" s="3">
        <v>2</v>
      </c>
      <c r="Z1776" s="23">
        <v>1.5</v>
      </c>
      <c r="AB1776" s="18">
        <f t="shared" si="54"/>
        <v>2018</v>
      </c>
      <c r="AC1776" s="22">
        <f t="shared" si="55"/>
        <v>0.66</v>
      </c>
    </row>
    <row r="1777" spans="1:29">
      <c r="A1777" s="8" t="s">
        <v>8992</v>
      </c>
      <c r="B1777" s="17" t="s">
        <v>7800</v>
      </c>
      <c r="C1777" s="13">
        <v>43361</v>
      </c>
      <c r="D1777" s="13" t="s">
        <v>8465</v>
      </c>
      <c r="E1777" s="10" t="s">
        <v>8994</v>
      </c>
      <c r="F1777" s="10" t="s">
        <v>8994</v>
      </c>
      <c r="H1777" s="2" t="s">
        <v>143</v>
      </c>
      <c r="L1777" s="18">
        <v>1</v>
      </c>
      <c r="N1777" s="13">
        <v>44015</v>
      </c>
      <c r="O1777" s="29">
        <v>0</v>
      </c>
      <c r="P1777" s="18" t="s">
        <v>1107</v>
      </c>
      <c r="Q1777" s="18">
        <v>0</v>
      </c>
      <c r="V1777" s="22">
        <f>3.88/5</f>
        <v>0.77600000000000002</v>
      </c>
      <c r="W1777" s="14" t="s">
        <v>7777</v>
      </c>
      <c r="X1777" s="3">
        <v>2</v>
      </c>
      <c r="Z1777" s="23">
        <v>19.5</v>
      </c>
      <c r="AB1777" s="18">
        <f t="shared" si="54"/>
        <v>2018</v>
      </c>
      <c r="AC1777" s="22">
        <f t="shared" si="55"/>
        <v>0.58800000000000008</v>
      </c>
    </row>
    <row r="1778" spans="1:29" ht="38.25">
      <c r="A1778" s="8" t="s">
        <v>12059</v>
      </c>
      <c r="B1778" s="17" t="s">
        <v>7800</v>
      </c>
      <c r="C1778" s="13">
        <v>43357</v>
      </c>
      <c r="D1778" s="13" t="s">
        <v>8465</v>
      </c>
      <c r="E1778" s="10" t="s">
        <v>12060</v>
      </c>
      <c r="F1778" s="10" t="s">
        <v>12060</v>
      </c>
      <c r="G1778" s="11" t="s">
        <v>12061</v>
      </c>
      <c r="H1778" s="2" t="s">
        <v>80</v>
      </c>
      <c r="L1778" s="18">
        <v>1</v>
      </c>
      <c r="N1778" s="13">
        <v>44735</v>
      </c>
      <c r="O1778" s="29">
        <v>2.99</v>
      </c>
      <c r="P1778" s="18" t="s">
        <v>1107</v>
      </c>
      <c r="Q1778" s="18">
        <v>0</v>
      </c>
      <c r="W1778" s="14" t="s">
        <v>7777</v>
      </c>
      <c r="X1778" s="3">
        <v>3</v>
      </c>
      <c r="AB1778" s="18">
        <f t="shared" si="54"/>
        <v>2018</v>
      </c>
      <c r="AC1778" s="22">
        <f t="shared" si="55"/>
        <v>0.6</v>
      </c>
    </row>
    <row r="1779" spans="1:29" ht="25.5">
      <c r="A1779" s="8" t="s">
        <v>1717</v>
      </c>
      <c r="B1779" s="17" t="s">
        <v>7744</v>
      </c>
      <c r="C1779" s="13">
        <v>43356</v>
      </c>
      <c r="D1779" s="13" t="s">
        <v>8465</v>
      </c>
      <c r="E1779" s="10" t="s">
        <v>1718</v>
      </c>
      <c r="F1779" s="10" t="s">
        <v>1718</v>
      </c>
      <c r="G1779" s="11" t="s">
        <v>1719</v>
      </c>
      <c r="H1779" s="2" t="s">
        <v>1720</v>
      </c>
      <c r="L1779" s="18">
        <v>1</v>
      </c>
      <c r="M1779" s="14" t="s">
        <v>8462</v>
      </c>
      <c r="N1779" s="13">
        <v>43571</v>
      </c>
      <c r="O1779" s="29">
        <v>29.99</v>
      </c>
      <c r="P1779" s="18" t="s">
        <v>14</v>
      </c>
      <c r="Q1779" s="18">
        <v>0</v>
      </c>
      <c r="U1779" s="22">
        <v>0.74</v>
      </c>
      <c r="V1779" s="22">
        <f>4.06/5</f>
        <v>0.81199999999999994</v>
      </c>
      <c r="X1779" s="3">
        <v>3</v>
      </c>
      <c r="Z1779" s="23">
        <v>39.5</v>
      </c>
      <c r="AB1779" s="18">
        <f t="shared" si="54"/>
        <v>2018</v>
      </c>
      <c r="AC1779" s="22">
        <f t="shared" si="55"/>
        <v>0.71733333333333338</v>
      </c>
    </row>
    <row r="1780" spans="1:29" ht="25.5">
      <c r="A1780" s="8" t="s">
        <v>12205</v>
      </c>
      <c r="B1780" s="17" t="s">
        <v>7744</v>
      </c>
      <c r="C1780" s="13">
        <v>43356</v>
      </c>
      <c r="D1780" s="13" t="s">
        <v>8465</v>
      </c>
      <c r="E1780" s="10" t="s">
        <v>1082</v>
      </c>
      <c r="F1780" s="10" t="s">
        <v>8816</v>
      </c>
      <c r="G1780" s="11" t="s">
        <v>126</v>
      </c>
      <c r="H1780" s="2" t="s">
        <v>171</v>
      </c>
      <c r="L1780" s="18">
        <v>1</v>
      </c>
      <c r="N1780" s="13">
        <v>44763</v>
      </c>
      <c r="O1780" s="29">
        <v>11.25</v>
      </c>
      <c r="P1780" s="18" t="s">
        <v>1107</v>
      </c>
      <c r="Q1780" s="18">
        <v>0</v>
      </c>
      <c r="U1780" s="22">
        <v>0.69</v>
      </c>
      <c r="V1780" s="22">
        <f>3.47/5</f>
        <v>0.69400000000000006</v>
      </c>
      <c r="X1780" s="3">
        <v>3</v>
      </c>
      <c r="Z1780" s="23">
        <v>16</v>
      </c>
      <c r="AB1780" s="18">
        <f t="shared" si="54"/>
        <v>2018</v>
      </c>
      <c r="AC1780" s="22">
        <f t="shared" si="55"/>
        <v>0.66133333333333333</v>
      </c>
    </row>
    <row r="1781" spans="1:29">
      <c r="A1781" s="8" t="s">
        <v>3125</v>
      </c>
      <c r="B1781" s="17" t="s">
        <v>7800</v>
      </c>
      <c r="C1781" s="13">
        <v>43353</v>
      </c>
      <c r="D1781" s="13" t="s">
        <v>8465</v>
      </c>
      <c r="E1781" s="10" t="s">
        <v>3126</v>
      </c>
      <c r="F1781" s="10" t="s">
        <v>3126</v>
      </c>
      <c r="H1781" s="2" t="s">
        <v>1059</v>
      </c>
      <c r="L1781" s="18">
        <v>1</v>
      </c>
      <c r="N1781" s="13">
        <v>43355</v>
      </c>
      <c r="O1781" s="29">
        <v>2.99</v>
      </c>
      <c r="P1781" s="18" t="s">
        <v>1107</v>
      </c>
      <c r="Q1781" s="18">
        <v>0</v>
      </c>
      <c r="V1781" s="22">
        <f>3.28/5</f>
        <v>0.65599999999999992</v>
      </c>
      <c r="W1781" s="14" t="s">
        <v>7777</v>
      </c>
      <c r="X1781" s="3">
        <v>3</v>
      </c>
      <c r="Z1781" s="23">
        <v>3.5</v>
      </c>
      <c r="AB1781" s="18">
        <f t="shared" si="54"/>
        <v>2018</v>
      </c>
      <c r="AC1781" s="22">
        <f t="shared" si="55"/>
        <v>0.62799999999999989</v>
      </c>
    </row>
    <row r="1782" spans="1:29" ht="25.5">
      <c r="A1782" s="8" t="s">
        <v>10276</v>
      </c>
      <c r="B1782" s="17" t="s">
        <v>7749</v>
      </c>
      <c r="C1782" s="13">
        <v>43350</v>
      </c>
      <c r="D1782" s="13" t="s">
        <v>8465</v>
      </c>
      <c r="E1782" s="10" t="s">
        <v>86</v>
      </c>
      <c r="F1782" s="10" t="s">
        <v>2129</v>
      </c>
      <c r="G1782" s="11" t="s">
        <v>10273</v>
      </c>
      <c r="H1782" s="2" t="s">
        <v>149</v>
      </c>
      <c r="L1782" s="18">
        <v>1</v>
      </c>
      <c r="N1782" s="13">
        <v>44923</v>
      </c>
      <c r="O1782" s="29">
        <v>39.99</v>
      </c>
      <c r="P1782" s="18" t="s">
        <v>1107</v>
      </c>
      <c r="Q1782" s="18">
        <v>0</v>
      </c>
      <c r="U1782" s="22">
        <v>0.67</v>
      </c>
      <c r="V1782" s="22">
        <f>4.23/5</f>
        <v>0.84600000000000009</v>
      </c>
      <c r="X1782" s="3">
        <v>3</v>
      </c>
      <c r="Z1782" s="23">
        <v>17</v>
      </c>
      <c r="AB1782" s="18">
        <f t="shared" si="54"/>
        <v>2018</v>
      </c>
      <c r="AC1782" s="22">
        <f t="shared" si="55"/>
        <v>0.70533333333333337</v>
      </c>
    </row>
    <row r="1783" spans="1:29" ht="25.5">
      <c r="A1783" s="8" t="s">
        <v>1668</v>
      </c>
      <c r="B1783" s="17" t="s">
        <v>7744</v>
      </c>
      <c r="C1783" s="13">
        <v>43350</v>
      </c>
      <c r="D1783" s="13" t="s">
        <v>8465</v>
      </c>
      <c r="E1783" s="10" t="s">
        <v>1669</v>
      </c>
      <c r="F1783" s="10" t="s">
        <v>170</v>
      </c>
      <c r="H1783" s="2" t="s">
        <v>459</v>
      </c>
      <c r="L1783" s="18">
        <v>1</v>
      </c>
      <c r="M1783" s="14" t="s">
        <v>8462</v>
      </c>
      <c r="N1783" s="13">
        <v>43653</v>
      </c>
      <c r="O1783" s="29">
        <v>9.9700000000000006</v>
      </c>
      <c r="P1783" s="18" t="s">
        <v>14</v>
      </c>
      <c r="Q1783" s="18">
        <v>0</v>
      </c>
      <c r="U1783" s="22">
        <v>0.62</v>
      </c>
      <c r="V1783" s="22">
        <f>3.42/5</f>
        <v>0.68399999999999994</v>
      </c>
      <c r="X1783" s="3">
        <v>2</v>
      </c>
      <c r="Z1783" s="23">
        <v>1</v>
      </c>
      <c r="AB1783" s="18">
        <f t="shared" si="54"/>
        <v>2018</v>
      </c>
      <c r="AC1783" s="22">
        <f t="shared" si="55"/>
        <v>0.56799999999999995</v>
      </c>
    </row>
    <row r="1784" spans="1:29">
      <c r="A1784" s="8" t="s">
        <v>4665</v>
      </c>
      <c r="B1784" s="17" t="s">
        <v>7800</v>
      </c>
      <c r="C1784" s="13">
        <v>43349</v>
      </c>
      <c r="D1784" s="13" t="s">
        <v>8465</v>
      </c>
      <c r="E1784" s="10" t="s">
        <v>4666</v>
      </c>
      <c r="F1784" s="10" t="s">
        <v>4666</v>
      </c>
      <c r="H1784" s="2" t="s">
        <v>1061</v>
      </c>
      <c r="L1784" s="18">
        <v>1</v>
      </c>
      <c r="N1784" s="13">
        <v>43624</v>
      </c>
      <c r="O1784" s="29">
        <v>0</v>
      </c>
      <c r="P1784" s="18" t="s">
        <v>1107</v>
      </c>
      <c r="Q1784" s="18">
        <v>0</v>
      </c>
      <c r="U1784" s="22">
        <v>0.8</v>
      </c>
      <c r="V1784" s="22">
        <f>3.31/5</f>
        <v>0.66200000000000003</v>
      </c>
      <c r="W1784" s="14" t="s">
        <v>7777</v>
      </c>
      <c r="X1784" s="3">
        <v>3</v>
      </c>
      <c r="Z1784" s="23">
        <v>0.7</v>
      </c>
      <c r="AB1784" s="18">
        <f t="shared" si="54"/>
        <v>2018</v>
      </c>
      <c r="AC1784" s="22">
        <f t="shared" si="55"/>
        <v>0.68733333333333346</v>
      </c>
    </row>
    <row r="1785" spans="1:29" ht="38.25">
      <c r="A1785" s="8" t="s">
        <v>6122</v>
      </c>
      <c r="B1785" s="17" t="s">
        <v>7760</v>
      </c>
      <c r="C1785" s="13">
        <v>43347</v>
      </c>
      <c r="D1785" s="13" t="s">
        <v>8465</v>
      </c>
      <c r="E1785" s="10" t="s">
        <v>1082</v>
      </c>
      <c r="F1785" s="10" t="s">
        <v>1082</v>
      </c>
      <c r="G1785" s="11" t="s">
        <v>140</v>
      </c>
      <c r="H1785" s="2" t="s">
        <v>149</v>
      </c>
      <c r="L1785" s="18">
        <v>1</v>
      </c>
      <c r="M1785" s="14" t="s">
        <v>8462</v>
      </c>
      <c r="N1785" s="13">
        <v>43506</v>
      </c>
      <c r="O1785" s="29">
        <v>38.869999999999997</v>
      </c>
      <c r="P1785" s="18" t="s">
        <v>14</v>
      </c>
      <c r="Q1785" s="18">
        <v>0</v>
      </c>
      <c r="U1785" s="22">
        <v>0.89</v>
      </c>
      <c r="V1785" s="22">
        <f>4.31/5</f>
        <v>0.86199999999999988</v>
      </c>
      <c r="X1785" s="3">
        <v>4</v>
      </c>
      <c r="Z1785" s="23">
        <v>56</v>
      </c>
      <c r="AB1785" s="18">
        <f t="shared" si="54"/>
        <v>2018</v>
      </c>
      <c r="AC1785" s="22">
        <f t="shared" si="55"/>
        <v>0.85066666666666657</v>
      </c>
    </row>
    <row r="1786" spans="1:29" ht="38.25">
      <c r="A1786" s="8" t="s">
        <v>6122</v>
      </c>
      <c r="B1786" s="17" t="s">
        <v>7800</v>
      </c>
      <c r="C1786" s="13">
        <v>43347</v>
      </c>
      <c r="D1786" s="13" t="s">
        <v>8465</v>
      </c>
      <c r="E1786" s="10" t="s">
        <v>1082</v>
      </c>
      <c r="F1786" s="10" t="s">
        <v>1082</v>
      </c>
      <c r="G1786" s="11" t="s">
        <v>140</v>
      </c>
      <c r="H1786" s="2" t="s">
        <v>149</v>
      </c>
      <c r="L1786" s="18">
        <v>1</v>
      </c>
      <c r="N1786" s="13">
        <v>43952</v>
      </c>
      <c r="O1786" s="29">
        <v>17.09</v>
      </c>
      <c r="P1786" s="18" t="s">
        <v>1107</v>
      </c>
      <c r="Q1786" s="18">
        <v>0</v>
      </c>
      <c r="U1786" s="22">
        <v>0.8</v>
      </c>
      <c r="V1786" s="22">
        <f>4.27/5</f>
        <v>0.85399999999999987</v>
      </c>
      <c r="W1786" s="14" t="s">
        <v>7777</v>
      </c>
      <c r="X1786" s="3">
        <v>4</v>
      </c>
      <c r="Z1786" s="23">
        <v>56</v>
      </c>
      <c r="AB1786" s="18">
        <f t="shared" si="54"/>
        <v>2018</v>
      </c>
      <c r="AC1786" s="22">
        <f t="shared" si="55"/>
        <v>0.81799999999999995</v>
      </c>
    </row>
    <row r="1787" spans="1:29">
      <c r="A1787" s="8" t="s">
        <v>7896</v>
      </c>
      <c r="B1787" s="17" t="s">
        <v>7800</v>
      </c>
      <c r="C1787" s="13">
        <v>43347</v>
      </c>
      <c r="D1787" s="13" t="s">
        <v>8465</v>
      </c>
      <c r="E1787" s="10" t="s">
        <v>1634</v>
      </c>
      <c r="F1787" s="10" t="s">
        <v>7897</v>
      </c>
      <c r="H1787" s="2" t="s">
        <v>80</v>
      </c>
      <c r="L1787" s="18">
        <v>1</v>
      </c>
      <c r="N1787" s="13">
        <v>43742</v>
      </c>
      <c r="O1787" s="29">
        <v>0</v>
      </c>
      <c r="P1787" s="18" t="s">
        <v>1107</v>
      </c>
      <c r="Q1787" s="18">
        <v>0</v>
      </c>
      <c r="U1787" s="22">
        <v>0.71599999999999997</v>
      </c>
      <c r="V1787" s="22">
        <f>3.4/5</f>
        <v>0.67999999999999994</v>
      </c>
      <c r="W1787" s="14" t="s">
        <v>7777</v>
      </c>
      <c r="X1787" s="3">
        <v>2</v>
      </c>
      <c r="Z1787" s="23">
        <v>5</v>
      </c>
      <c r="AB1787" s="18">
        <f t="shared" si="54"/>
        <v>2018</v>
      </c>
      <c r="AC1787" s="22">
        <f t="shared" si="55"/>
        <v>0.59866666666666657</v>
      </c>
    </row>
    <row r="1788" spans="1:29">
      <c r="A1788" s="8" t="s">
        <v>15507</v>
      </c>
      <c r="B1788" s="17" t="s">
        <v>7800</v>
      </c>
      <c r="C1788" s="13">
        <v>43347</v>
      </c>
      <c r="D1788" s="13" t="s">
        <v>8465</v>
      </c>
      <c r="E1788" s="10" t="s">
        <v>2452</v>
      </c>
      <c r="F1788" s="10" t="s">
        <v>2452</v>
      </c>
      <c r="H1788" s="2" t="s">
        <v>1057</v>
      </c>
      <c r="L1788" s="18">
        <v>1</v>
      </c>
      <c r="N1788" s="13">
        <v>45147</v>
      </c>
      <c r="O1788" s="29">
        <v>9.99</v>
      </c>
      <c r="P1788" s="18" t="s">
        <v>1107</v>
      </c>
      <c r="Q1788" s="18">
        <v>0</v>
      </c>
      <c r="V1788" s="22">
        <f>3.99/5</f>
        <v>0.79800000000000004</v>
      </c>
      <c r="W1788" s="14" t="s">
        <v>7777</v>
      </c>
      <c r="X1788" s="3">
        <v>4</v>
      </c>
      <c r="Z1788" s="23">
        <v>27</v>
      </c>
      <c r="AB1788" s="18">
        <f t="shared" si="54"/>
        <v>2018</v>
      </c>
      <c r="AC1788" s="22">
        <f t="shared" si="55"/>
        <v>0.79900000000000004</v>
      </c>
    </row>
    <row r="1789" spans="1:29">
      <c r="A1789" s="8" t="s">
        <v>8367</v>
      </c>
      <c r="B1789" s="17" t="s">
        <v>7800</v>
      </c>
      <c r="C1789" s="13">
        <v>43343</v>
      </c>
      <c r="D1789" s="13" t="s">
        <v>8465</v>
      </c>
      <c r="E1789" s="10" t="s">
        <v>3553</v>
      </c>
      <c r="F1789" s="10" t="s">
        <v>8211</v>
      </c>
      <c r="G1789" s="11" t="s">
        <v>4263</v>
      </c>
      <c r="H1789" s="2" t="s">
        <v>171</v>
      </c>
      <c r="L1789" s="18">
        <v>1</v>
      </c>
      <c r="N1789" s="13">
        <v>43881</v>
      </c>
      <c r="O1789" s="29">
        <v>3.33</v>
      </c>
      <c r="P1789" s="18" t="s">
        <v>1107</v>
      </c>
      <c r="Q1789" s="18">
        <v>0</v>
      </c>
      <c r="U1789" s="22">
        <v>0.77</v>
      </c>
      <c r="V1789" s="22">
        <f>3.5/5</f>
        <v>0.7</v>
      </c>
      <c r="W1789" s="14" t="s">
        <v>7777</v>
      </c>
      <c r="X1789" s="3">
        <v>4</v>
      </c>
      <c r="Z1789" s="23">
        <v>25</v>
      </c>
      <c r="AB1789" s="18">
        <f t="shared" si="54"/>
        <v>2018</v>
      </c>
      <c r="AC1789" s="22">
        <f t="shared" si="55"/>
        <v>0.75666666666666671</v>
      </c>
    </row>
    <row r="1790" spans="1:29" ht="30">
      <c r="A1790" s="8" t="s">
        <v>11615</v>
      </c>
      <c r="B1790" s="17" t="s">
        <v>7800</v>
      </c>
      <c r="C1790" s="13">
        <v>43343</v>
      </c>
      <c r="D1790" s="13" t="s">
        <v>8465</v>
      </c>
      <c r="E1790" s="10" t="s">
        <v>1604</v>
      </c>
      <c r="F1790" s="10" t="s">
        <v>11616</v>
      </c>
      <c r="G1790" s="11" t="s">
        <v>11617</v>
      </c>
      <c r="H1790" s="2" t="s">
        <v>459</v>
      </c>
      <c r="L1790" s="18">
        <v>1</v>
      </c>
      <c r="N1790" s="13">
        <v>44656</v>
      </c>
      <c r="O1790" s="29">
        <v>0</v>
      </c>
      <c r="P1790" s="18" t="s">
        <v>1107</v>
      </c>
      <c r="Q1790" s="18">
        <v>0</v>
      </c>
      <c r="U1790" s="22">
        <v>0.66</v>
      </c>
      <c r="V1790" s="22">
        <f>3.42/5</f>
        <v>0.68399999999999994</v>
      </c>
      <c r="W1790" s="14" t="s">
        <v>7777</v>
      </c>
      <c r="X1790" s="3">
        <v>2</v>
      </c>
      <c r="Z1790" s="23">
        <v>6</v>
      </c>
      <c r="AB1790" s="18">
        <f t="shared" si="54"/>
        <v>2018</v>
      </c>
      <c r="AC1790" s="22">
        <f t="shared" si="55"/>
        <v>0.58133333333333326</v>
      </c>
    </row>
    <row r="1791" spans="1:29" ht="30">
      <c r="A1791" s="8" t="s">
        <v>7077</v>
      </c>
      <c r="B1791" s="17" t="s">
        <v>7744</v>
      </c>
      <c r="C1791" s="13">
        <v>43342</v>
      </c>
      <c r="D1791" s="13" t="s">
        <v>8465</v>
      </c>
      <c r="E1791" s="10" t="s">
        <v>3063</v>
      </c>
      <c r="F1791" s="10" t="s">
        <v>7078</v>
      </c>
      <c r="H1791" s="2" t="s">
        <v>56</v>
      </c>
      <c r="L1791" s="18">
        <v>1</v>
      </c>
      <c r="M1791" s="14" t="s">
        <v>8462</v>
      </c>
      <c r="N1791" s="13">
        <v>43711</v>
      </c>
      <c r="O1791" s="29">
        <v>40.74</v>
      </c>
      <c r="P1791" s="18" t="s">
        <v>14</v>
      </c>
      <c r="Q1791" s="18">
        <v>1</v>
      </c>
      <c r="R1791" s="13">
        <v>45247</v>
      </c>
      <c r="S1791" s="21">
        <f>9+50/60+12/3600</f>
        <v>9.8366666666666678</v>
      </c>
      <c r="T1791" s="22">
        <v>0.8</v>
      </c>
      <c r="U1791" s="22">
        <v>0.87</v>
      </c>
      <c r="V1791" s="22">
        <f>4.21/5</f>
        <v>0.84199999999999997</v>
      </c>
      <c r="W1791" s="14" t="s">
        <v>1134</v>
      </c>
      <c r="AB1791" s="18">
        <f t="shared" si="54"/>
        <v>2018</v>
      </c>
      <c r="AC1791" s="22">
        <f t="shared" si="55"/>
        <v>0.83733333333333337</v>
      </c>
    </row>
    <row r="1792" spans="1:29" ht="30">
      <c r="A1792" s="8" t="s">
        <v>3933</v>
      </c>
      <c r="B1792" s="17" t="s">
        <v>7744</v>
      </c>
      <c r="C1792" s="13">
        <v>43342</v>
      </c>
      <c r="D1792" s="13" t="s">
        <v>8465</v>
      </c>
      <c r="E1792" s="10" t="s">
        <v>3934</v>
      </c>
      <c r="F1792" s="10" t="s">
        <v>3934</v>
      </c>
      <c r="G1792" s="11" t="s">
        <v>3933</v>
      </c>
      <c r="H1792" s="2" t="s">
        <v>64</v>
      </c>
      <c r="L1792" s="18">
        <v>1</v>
      </c>
      <c r="M1792" s="14" t="s">
        <v>8462</v>
      </c>
      <c r="N1792" s="13">
        <v>43746</v>
      </c>
      <c r="O1792" s="29">
        <v>37.950000000000003</v>
      </c>
      <c r="P1792" s="18" t="s">
        <v>14</v>
      </c>
      <c r="Q1792" s="18">
        <v>0</v>
      </c>
      <c r="U1792" s="22">
        <v>0.85209999999999997</v>
      </c>
      <c r="V1792" s="22">
        <f>4.19/5</f>
        <v>0.83800000000000008</v>
      </c>
      <c r="W1792" s="14" t="s">
        <v>1134</v>
      </c>
      <c r="X1792" s="3">
        <v>3</v>
      </c>
      <c r="Z1792" s="23">
        <v>4.5</v>
      </c>
      <c r="AB1792" s="18">
        <f t="shared" si="54"/>
        <v>2018</v>
      </c>
      <c r="AC1792" s="22">
        <f t="shared" si="55"/>
        <v>0.76336666666666675</v>
      </c>
    </row>
    <row r="1793" spans="1:29">
      <c r="A1793" s="8" t="s">
        <v>8294</v>
      </c>
      <c r="B1793" s="17" t="s">
        <v>7800</v>
      </c>
      <c r="C1793" s="13">
        <v>43341</v>
      </c>
      <c r="D1793" s="13" t="s">
        <v>8465</v>
      </c>
      <c r="E1793" s="10" t="s">
        <v>455</v>
      </c>
      <c r="F1793" s="10" t="s">
        <v>8295</v>
      </c>
      <c r="H1793" s="2" t="s">
        <v>1334</v>
      </c>
      <c r="L1793" s="18">
        <v>1</v>
      </c>
      <c r="N1793" s="13">
        <v>43833</v>
      </c>
      <c r="O1793" s="29">
        <v>0</v>
      </c>
      <c r="P1793" s="18" t="s">
        <v>1107</v>
      </c>
      <c r="Q1793" s="18">
        <v>0</v>
      </c>
      <c r="U1793" s="22">
        <v>0.83</v>
      </c>
      <c r="V1793" s="22">
        <f>3.65/5</f>
        <v>0.73</v>
      </c>
      <c r="W1793" s="14" t="s">
        <v>7777</v>
      </c>
      <c r="X1793" s="3">
        <v>2</v>
      </c>
      <c r="Z1793" s="23">
        <v>32</v>
      </c>
      <c r="AB1793" s="18">
        <f t="shared" ref="AB1793:AB1856" si="56">IFERROR(YEAR(C1793), "Early Access")</f>
        <v>2018</v>
      </c>
      <c r="AC1793" s="22">
        <f t="shared" ref="AC1793:AC1856" si="57">AVERAGE(T1793, U1793, V1793, IF(ISBLANK(X1793), X1793, X1793/5))</f>
        <v>0.65333333333333332</v>
      </c>
    </row>
    <row r="1794" spans="1:29">
      <c r="A1794" s="8" t="s">
        <v>6180</v>
      </c>
      <c r="B1794" s="17" t="s">
        <v>7760</v>
      </c>
      <c r="C1794" s="13">
        <v>43340</v>
      </c>
      <c r="D1794" s="13" t="s">
        <v>8465</v>
      </c>
      <c r="E1794" s="10" t="s">
        <v>455</v>
      </c>
      <c r="F1794" s="10" t="s">
        <v>5599</v>
      </c>
      <c r="G1794" s="11" t="s">
        <v>5600</v>
      </c>
      <c r="H1794" s="2" t="s">
        <v>80</v>
      </c>
      <c r="L1794" s="18">
        <v>1</v>
      </c>
      <c r="M1794" s="14" t="s">
        <v>8462</v>
      </c>
      <c r="N1794" s="13">
        <v>43502</v>
      </c>
      <c r="O1794" s="29">
        <v>29.99</v>
      </c>
      <c r="P1794" s="18" t="s">
        <v>14</v>
      </c>
      <c r="Q1794" s="18">
        <v>0</v>
      </c>
      <c r="U1794" s="22">
        <v>0.85</v>
      </c>
      <c r="V1794" s="22">
        <f>4.26/5</f>
        <v>0.85199999999999998</v>
      </c>
      <c r="X1794" s="3">
        <v>4</v>
      </c>
      <c r="Z1794" s="23">
        <v>18.5</v>
      </c>
      <c r="AB1794" s="18">
        <f t="shared" si="56"/>
        <v>2018</v>
      </c>
      <c r="AC1794" s="22">
        <f t="shared" si="57"/>
        <v>0.83399999999999996</v>
      </c>
    </row>
    <row r="1795" spans="1:29">
      <c r="A1795" s="8" t="s">
        <v>8584</v>
      </c>
      <c r="B1795" s="17" t="s">
        <v>7744</v>
      </c>
      <c r="C1795" s="13">
        <v>43340</v>
      </c>
      <c r="D1795" s="13" t="s">
        <v>8465</v>
      </c>
      <c r="E1795" s="10" t="s">
        <v>7300</v>
      </c>
      <c r="F1795" s="10" t="s">
        <v>8585</v>
      </c>
      <c r="H1795" s="2" t="s">
        <v>143</v>
      </c>
      <c r="L1795" s="18">
        <v>1</v>
      </c>
      <c r="M1795" s="14" t="s">
        <v>8462</v>
      </c>
      <c r="N1795" s="13">
        <v>43935</v>
      </c>
      <c r="O1795" s="29">
        <v>41.3</v>
      </c>
      <c r="P1795" s="18" t="s">
        <v>14</v>
      </c>
      <c r="Q1795" s="18">
        <v>0</v>
      </c>
      <c r="U1795" s="22">
        <v>0.79</v>
      </c>
      <c r="V1795" s="22">
        <f>3.59/5</f>
        <v>0.71799999999999997</v>
      </c>
      <c r="W1795" s="14" t="s">
        <v>8581</v>
      </c>
      <c r="X1795" s="3">
        <v>4</v>
      </c>
      <c r="Z1795" s="23">
        <v>2</v>
      </c>
      <c r="AB1795" s="18">
        <f t="shared" si="56"/>
        <v>2018</v>
      </c>
      <c r="AC1795" s="22">
        <f t="shared" si="57"/>
        <v>0.76933333333333331</v>
      </c>
    </row>
    <row r="1796" spans="1:29" ht="25.5">
      <c r="A1796" s="8" t="s">
        <v>9812</v>
      </c>
      <c r="B1796" s="17" t="s">
        <v>7744</v>
      </c>
      <c r="C1796" s="13">
        <v>43340</v>
      </c>
      <c r="D1796" s="13" t="s">
        <v>8465</v>
      </c>
      <c r="E1796" s="10" t="s">
        <v>73</v>
      </c>
      <c r="F1796" s="10" t="s">
        <v>73</v>
      </c>
      <c r="G1796" s="11" t="s">
        <v>1141</v>
      </c>
      <c r="H1796" s="2" t="s">
        <v>171</v>
      </c>
      <c r="L1796" s="18">
        <v>1</v>
      </c>
      <c r="M1796" s="14" t="s">
        <v>8462</v>
      </c>
      <c r="N1796" s="13">
        <v>44255</v>
      </c>
      <c r="O1796" s="29">
        <v>27.11</v>
      </c>
      <c r="P1796" s="18" t="s">
        <v>14</v>
      </c>
      <c r="Q1796" s="18">
        <v>0</v>
      </c>
      <c r="U1796" s="22">
        <v>0.8</v>
      </c>
      <c r="V1796" s="22">
        <f>4.28/5</f>
        <v>0.85600000000000009</v>
      </c>
      <c r="X1796" s="3">
        <v>3</v>
      </c>
      <c r="Z1796" s="23">
        <v>83</v>
      </c>
      <c r="AB1796" s="18">
        <f t="shared" si="56"/>
        <v>2018</v>
      </c>
      <c r="AC1796" s="22">
        <f t="shared" si="57"/>
        <v>0.75200000000000011</v>
      </c>
    </row>
    <row r="1797" spans="1:29">
      <c r="A1797" s="8" t="s">
        <v>8514</v>
      </c>
      <c r="B1797" s="17" t="s">
        <v>7800</v>
      </c>
      <c r="C1797" s="13">
        <v>43340</v>
      </c>
      <c r="D1797" s="13" t="s">
        <v>8465</v>
      </c>
      <c r="E1797" s="10" t="s">
        <v>1578</v>
      </c>
      <c r="F1797" s="10" t="s">
        <v>1710</v>
      </c>
      <c r="H1797" s="2" t="s">
        <v>459</v>
      </c>
      <c r="L1797" s="18">
        <v>1</v>
      </c>
      <c r="N1797" s="13">
        <v>43910</v>
      </c>
      <c r="O1797" s="29">
        <v>1.98</v>
      </c>
      <c r="P1797" s="18" t="s">
        <v>1107</v>
      </c>
      <c r="Q1797" s="18">
        <v>0</v>
      </c>
      <c r="V1797" s="22">
        <f>3.94/5</f>
        <v>0.78800000000000003</v>
      </c>
      <c r="W1797" s="14" t="s">
        <v>7777</v>
      </c>
      <c r="X1797" s="3">
        <v>3</v>
      </c>
      <c r="Z1797" s="23">
        <v>2</v>
      </c>
      <c r="AB1797" s="18">
        <f t="shared" si="56"/>
        <v>2018</v>
      </c>
      <c r="AC1797" s="22">
        <f t="shared" si="57"/>
        <v>0.69399999999999995</v>
      </c>
    </row>
    <row r="1798" spans="1:29" ht="25.5">
      <c r="A1798" s="8" t="s">
        <v>1713</v>
      </c>
      <c r="B1798" s="17" t="s">
        <v>7744</v>
      </c>
      <c r="C1798" s="13">
        <v>43340</v>
      </c>
      <c r="D1798" s="13" t="s">
        <v>8465</v>
      </c>
      <c r="E1798" s="10" t="s">
        <v>1714</v>
      </c>
      <c r="F1798" s="10" t="s">
        <v>1715</v>
      </c>
      <c r="G1798" s="11" t="s">
        <v>1716</v>
      </c>
      <c r="H1798" s="2" t="s">
        <v>171</v>
      </c>
      <c r="L1798" s="18">
        <v>1</v>
      </c>
      <c r="M1798" s="14" t="s">
        <v>8462</v>
      </c>
      <c r="N1798" s="13">
        <v>43619</v>
      </c>
      <c r="O1798" s="29">
        <v>19.989999999999998</v>
      </c>
      <c r="P1798" s="18" t="s">
        <v>14</v>
      </c>
      <c r="Q1798" s="18">
        <v>0</v>
      </c>
      <c r="U1798" s="22">
        <v>0.78</v>
      </c>
      <c r="V1798" s="22">
        <f>3.98/5</f>
        <v>0.79600000000000004</v>
      </c>
      <c r="X1798" s="3">
        <v>2</v>
      </c>
      <c r="Z1798" s="23">
        <v>10.5</v>
      </c>
      <c r="AB1798" s="18">
        <f t="shared" si="56"/>
        <v>2018</v>
      </c>
      <c r="AC1798" s="22">
        <f t="shared" si="57"/>
        <v>0.65866666666666662</v>
      </c>
    </row>
    <row r="1799" spans="1:29" ht="30">
      <c r="A1799" s="8" t="s">
        <v>9254</v>
      </c>
      <c r="B1799" s="17" t="s">
        <v>7800</v>
      </c>
      <c r="C1799" s="13">
        <v>43339</v>
      </c>
      <c r="D1799" s="13" t="s">
        <v>8465</v>
      </c>
      <c r="E1799" s="10" t="s">
        <v>3152</v>
      </c>
      <c r="F1799" s="10" t="s">
        <v>3152</v>
      </c>
      <c r="H1799" s="2" t="s">
        <v>1168</v>
      </c>
      <c r="L1799" s="18">
        <v>1</v>
      </c>
      <c r="N1799" s="13">
        <v>44078</v>
      </c>
      <c r="O1799" s="29">
        <v>0</v>
      </c>
      <c r="P1799" s="18" t="s">
        <v>1107</v>
      </c>
      <c r="Q1799" s="18">
        <v>0</v>
      </c>
      <c r="U1799" s="22">
        <v>0.68</v>
      </c>
      <c r="V1799" s="22">
        <f>3.56/5</f>
        <v>0.71199999999999997</v>
      </c>
      <c r="W1799" s="14" t="s">
        <v>7777</v>
      </c>
      <c r="X1799" s="3">
        <v>2</v>
      </c>
      <c r="Z1799" s="23">
        <v>7.5</v>
      </c>
      <c r="AB1799" s="18">
        <f t="shared" si="56"/>
        <v>2018</v>
      </c>
      <c r="AC1799" s="22">
        <f t="shared" si="57"/>
        <v>0.59733333333333327</v>
      </c>
    </row>
    <row r="1800" spans="1:29" ht="30">
      <c r="A1800" s="8" t="s">
        <v>13106</v>
      </c>
      <c r="B1800" s="17" t="s">
        <v>7744</v>
      </c>
      <c r="C1800" s="13">
        <v>43336</v>
      </c>
      <c r="D1800" s="13" t="s">
        <v>8465</v>
      </c>
      <c r="E1800" s="10" t="s">
        <v>8102</v>
      </c>
      <c r="F1800" s="10" t="s">
        <v>8103</v>
      </c>
      <c r="H1800" s="2" t="s">
        <v>1194</v>
      </c>
      <c r="L1800" s="18">
        <v>1</v>
      </c>
      <c r="M1800" s="14" t="s">
        <v>8462</v>
      </c>
      <c r="N1800" s="13">
        <v>44928</v>
      </c>
      <c r="O1800" s="29">
        <v>29.99</v>
      </c>
      <c r="P1800" s="18" t="s">
        <v>14</v>
      </c>
      <c r="Q1800" s="18">
        <v>0</v>
      </c>
      <c r="V1800" s="22">
        <f>3.1/5</f>
        <v>0.62</v>
      </c>
      <c r="W1800" s="14" t="s">
        <v>1134</v>
      </c>
      <c r="X1800" s="3">
        <v>3</v>
      </c>
      <c r="Z1800" s="23">
        <v>2</v>
      </c>
      <c r="AB1800" s="18">
        <f t="shared" si="56"/>
        <v>2018</v>
      </c>
      <c r="AC1800" s="22">
        <f t="shared" si="57"/>
        <v>0.61</v>
      </c>
    </row>
    <row r="1801" spans="1:29">
      <c r="A1801" s="8" t="s">
        <v>8773</v>
      </c>
      <c r="B1801" s="17" t="s">
        <v>7800</v>
      </c>
      <c r="C1801" s="13">
        <v>43335</v>
      </c>
      <c r="D1801" s="13" t="s">
        <v>8465</v>
      </c>
      <c r="E1801" s="10" t="s">
        <v>7039</v>
      </c>
      <c r="F1801" s="10" t="s">
        <v>8774</v>
      </c>
      <c r="H1801" s="2" t="s">
        <v>56</v>
      </c>
      <c r="L1801" s="18">
        <v>1</v>
      </c>
      <c r="N1801" s="13">
        <v>43987</v>
      </c>
      <c r="O1801" s="29">
        <v>0.62</v>
      </c>
      <c r="P1801" s="18" t="s">
        <v>1107</v>
      </c>
      <c r="Q1801" s="18">
        <v>0</v>
      </c>
      <c r="U1801" s="22">
        <v>0.67</v>
      </c>
      <c r="V1801" s="22">
        <f>2.69/5</f>
        <v>0.53800000000000003</v>
      </c>
      <c r="W1801" s="14" t="s">
        <v>8765</v>
      </c>
      <c r="X1801" s="3">
        <v>3</v>
      </c>
      <c r="Z1801" s="23">
        <v>10</v>
      </c>
      <c r="AB1801" s="18">
        <f t="shared" si="56"/>
        <v>2018</v>
      </c>
      <c r="AC1801" s="22">
        <f t="shared" si="57"/>
        <v>0.60266666666666679</v>
      </c>
    </row>
    <row r="1802" spans="1:29">
      <c r="A1802" s="8" t="s">
        <v>7769</v>
      </c>
      <c r="B1802" s="17" t="s">
        <v>7800</v>
      </c>
      <c r="C1802" s="13">
        <v>43333</v>
      </c>
      <c r="D1802" s="13" t="s">
        <v>8465</v>
      </c>
      <c r="E1802" s="10" t="s">
        <v>4045</v>
      </c>
      <c r="F1802" s="10" t="s">
        <v>4045</v>
      </c>
      <c r="G1802" s="11" t="s">
        <v>4046</v>
      </c>
      <c r="H1802" s="2" t="s">
        <v>151</v>
      </c>
      <c r="L1802" s="18">
        <v>1</v>
      </c>
      <c r="N1802" s="13">
        <v>43716</v>
      </c>
      <c r="O1802" s="29">
        <v>0</v>
      </c>
      <c r="P1802" s="18" t="s">
        <v>1107</v>
      </c>
      <c r="Q1802" s="18">
        <v>0</v>
      </c>
      <c r="U1802" s="22">
        <v>0.85</v>
      </c>
      <c r="V1802" s="22">
        <f>3.88/5</f>
        <v>0.77600000000000002</v>
      </c>
      <c r="W1802" s="14" t="s">
        <v>7777</v>
      </c>
      <c r="X1802" s="3">
        <v>4</v>
      </c>
      <c r="Z1802" s="23">
        <v>8.5</v>
      </c>
      <c r="AB1802" s="18">
        <f t="shared" si="56"/>
        <v>2018</v>
      </c>
      <c r="AC1802" s="22">
        <f t="shared" si="57"/>
        <v>0.80866666666666676</v>
      </c>
    </row>
    <row r="1803" spans="1:29">
      <c r="A1803" s="8" t="s">
        <v>6159</v>
      </c>
      <c r="B1803" s="17" t="s">
        <v>7760</v>
      </c>
      <c r="C1803" s="13">
        <v>43333</v>
      </c>
      <c r="D1803" s="13" t="s">
        <v>8465</v>
      </c>
      <c r="E1803" s="10" t="s">
        <v>455</v>
      </c>
      <c r="F1803" s="10" t="s">
        <v>456</v>
      </c>
      <c r="G1803" s="11" t="s">
        <v>2758</v>
      </c>
      <c r="H1803" s="2" t="s">
        <v>80</v>
      </c>
      <c r="L1803" s="18">
        <v>1</v>
      </c>
      <c r="M1803" s="14" t="s">
        <v>8462</v>
      </c>
      <c r="N1803" s="13">
        <v>43472</v>
      </c>
      <c r="O1803" s="29">
        <v>17.45</v>
      </c>
      <c r="P1803" s="18" t="s">
        <v>14</v>
      </c>
      <c r="Q1803" s="18">
        <v>0</v>
      </c>
      <c r="U1803" s="22">
        <v>0.74</v>
      </c>
      <c r="V1803" s="22">
        <f>4.1/5</f>
        <v>0.82</v>
      </c>
      <c r="X1803" s="3">
        <v>4</v>
      </c>
      <c r="Z1803" s="23">
        <v>38</v>
      </c>
      <c r="AB1803" s="18">
        <f t="shared" si="56"/>
        <v>2018</v>
      </c>
      <c r="AC1803" s="22">
        <f t="shared" si="57"/>
        <v>0.78666666666666674</v>
      </c>
    </row>
    <row r="1804" spans="1:29" ht="25.5">
      <c r="A1804" s="8" t="s">
        <v>8929</v>
      </c>
      <c r="B1804" s="17" t="s">
        <v>7800</v>
      </c>
      <c r="C1804" s="13">
        <v>43333</v>
      </c>
      <c r="D1804" s="13" t="s">
        <v>8465</v>
      </c>
      <c r="E1804" s="10" t="s">
        <v>3568</v>
      </c>
      <c r="F1804" s="10" t="s">
        <v>8930</v>
      </c>
      <c r="G1804" s="11" t="s">
        <v>8931</v>
      </c>
      <c r="H1804" s="2" t="s">
        <v>149</v>
      </c>
      <c r="L1804" s="18">
        <v>1</v>
      </c>
      <c r="N1804" s="13">
        <v>44002</v>
      </c>
      <c r="O1804" s="29">
        <v>4.99</v>
      </c>
      <c r="P1804" s="18" t="s">
        <v>1107</v>
      </c>
      <c r="Q1804" s="18">
        <v>0</v>
      </c>
      <c r="V1804" s="22">
        <f>3.71/5</f>
        <v>0.74199999999999999</v>
      </c>
      <c r="W1804" s="14" t="s">
        <v>7777</v>
      </c>
      <c r="X1804" s="3">
        <v>3</v>
      </c>
      <c r="Z1804" s="23">
        <v>64.5</v>
      </c>
      <c r="AB1804" s="18">
        <f t="shared" si="56"/>
        <v>2018</v>
      </c>
      <c r="AC1804" s="22">
        <f t="shared" si="57"/>
        <v>0.67100000000000004</v>
      </c>
    </row>
    <row r="1805" spans="1:29">
      <c r="A1805" s="8" t="s">
        <v>9546</v>
      </c>
      <c r="B1805" s="17" t="s">
        <v>7800</v>
      </c>
      <c r="C1805" s="13">
        <v>43329</v>
      </c>
      <c r="D1805" s="13" t="s">
        <v>8465</v>
      </c>
      <c r="E1805" s="10" t="s">
        <v>8659</v>
      </c>
      <c r="F1805" s="10" t="s">
        <v>9547</v>
      </c>
      <c r="H1805" s="2" t="s">
        <v>1334</v>
      </c>
      <c r="L1805" s="18">
        <v>1</v>
      </c>
      <c r="N1805" s="13">
        <v>44197</v>
      </c>
      <c r="O1805" s="29">
        <v>0</v>
      </c>
      <c r="P1805" s="18" t="s">
        <v>1107</v>
      </c>
      <c r="Q1805" s="18">
        <v>0</v>
      </c>
      <c r="U1805" s="22">
        <v>0.71</v>
      </c>
      <c r="V1805" s="22">
        <f>3.64/5</f>
        <v>0.72799999999999998</v>
      </c>
      <c r="W1805" s="14" t="s">
        <v>7777</v>
      </c>
      <c r="X1805" s="3">
        <v>2</v>
      </c>
      <c r="Z1805" s="23">
        <v>10</v>
      </c>
      <c r="AB1805" s="18">
        <f t="shared" si="56"/>
        <v>2018</v>
      </c>
      <c r="AC1805" s="22">
        <f t="shared" si="57"/>
        <v>0.61266666666666669</v>
      </c>
    </row>
    <row r="1806" spans="1:29">
      <c r="A1806" s="8" t="s">
        <v>8106</v>
      </c>
      <c r="B1806" s="17" t="s">
        <v>7800</v>
      </c>
      <c r="C1806" s="13">
        <v>43328</v>
      </c>
      <c r="D1806" s="13" t="s">
        <v>8465</v>
      </c>
      <c r="E1806" s="10" t="s">
        <v>4777</v>
      </c>
      <c r="F1806" s="10" t="s">
        <v>4777</v>
      </c>
      <c r="H1806" s="2" t="s">
        <v>78</v>
      </c>
      <c r="L1806" s="18">
        <v>1</v>
      </c>
      <c r="N1806" s="13">
        <v>43772</v>
      </c>
      <c r="O1806" s="29">
        <v>0</v>
      </c>
      <c r="P1806" s="18" t="s">
        <v>1107</v>
      </c>
      <c r="Q1806" s="18">
        <v>0</v>
      </c>
      <c r="U1806" s="22">
        <v>0.9</v>
      </c>
      <c r="V1806" s="22">
        <f>3.06/5</f>
        <v>0.61199999999999999</v>
      </c>
      <c r="W1806" s="14" t="s">
        <v>7777</v>
      </c>
      <c r="X1806" s="3">
        <v>2</v>
      </c>
      <c r="Z1806" s="23">
        <v>8.5</v>
      </c>
      <c r="AB1806" s="18">
        <f t="shared" si="56"/>
        <v>2018</v>
      </c>
      <c r="AC1806" s="22">
        <f t="shared" si="57"/>
        <v>0.63733333333333331</v>
      </c>
    </row>
    <row r="1807" spans="1:29">
      <c r="A1807" s="8" t="s">
        <v>4026</v>
      </c>
      <c r="B1807" s="17" t="s">
        <v>7800</v>
      </c>
      <c r="C1807" s="13">
        <v>43327</v>
      </c>
      <c r="D1807" s="13" t="s">
        <v>8465</v>
      </c>
      <c r="E1807" s="10" t="s">
        <v>3464</v>
      </c>
      <c r="F1807" s="10" t="s">
        <v>4027</v>
      </c>
      <c r="H1807" s="2" t="s">
        <v>1334</v>
      </c>
      <c r="L1807" s="18">
        <v>1</v>
      </c>
      <c r="N1807" s="13">
        <v>43606</v>
      </c>
      <c r="O1807" s="29">
        <v>13</v>
      </c>
      <c r="P1807" s="18" t="s">
        <v>1107</v>
      </c>
      <c r="Q1807" s="18">
        <v>0</v>
      </c>
      <c r="U1807" s="22">
        <v>0.68</v>
      </c>
      <c r="V1807" s="22">
        <f>3.61/5</f>
        <v>0.72199999999999998</v>
      </c>
      <c r="W1807" s="14" t="s">
        <v>7777</v>
      </c>
      <c r="X1807" s="3">
        <v>3</v>
      </c>
      <c r="Z1807" s="23">
        <v>47</v>
      </c>
      <c r="AB1807" s="18">
        <f t="shared" si="56"/>
        <v>2018</v>
      </c>
      <c r="AC1807" s="22">
        <f t="shared" si="57"/>
        <v>0.66733333333333344</v>
      </c>
    </row>
    <row r="1808" spans="1:29">
      <c r="A1808" s="8" t="s">
        <v>7773</v>
      </c>
      <c r="B1808" s="17" t="s">
        <v>7800</v>
      </c>
      <c r="C1808" s="13">
        <v>43327</v>
      </c>
      <c r="D1808" s="13" t="s">
        <v>8465</v>
      </c>
      <c r="E1808" s="10" t="s">
        <v>3072</v>
      </c>
      <c r="F1808" s="10" t="s">
        <v>3072</v>
      </c>
      <c r="H1808" s="2" t="s">
        <v>67</v>
      </c>
      <c r="L1808" s="18">
        <v>1</v>
      </c>
      <c r="N1808" s="13">
        <v>43716</v>
      </c>
      <c r="O1808" s="29">
        <v>0</v>
      </c>
      <c r="P1808" s="18" t="s">
        <v>1107</v>
      </c>
      <c r="Q1808" s="18">
        <v>0</v>
      </c>
      <c r="U1808" s="22">
        <v>0.63</v>
      </c>
      <c r="V1808" s="22">
        <f>3.06/5</f>
        <v>0.61199999999999999</v>
      </c>
      <c r="W1808" s="14" t="s">
        <v>7777</v>
      </c>
      <c r="X1808" s="3">
        <v>2</v>
      </c>
      <c r="Z1808" s="23">
        <v>10</v>
      </c>
      <c r="AB1808" s="18">
        <f t="shared" si="56"/>
        <v>2018</v>
      </c>
      <c r="AC1808" s="22">
        <f t="shared" si="57"/>
        <v>0.54733333333333334</v>
      </c>
    </row>
    <row r="1809" spans="1:29">
      <c r="A1809" s="8" t="s">
        <v>8869</v>
      </c>
      <c r="B1809" s="17" t="s">
        <v>7751</v>
      </c>
      <c r="C1809" s="13">
        <v>43326</v>
      </c>
      <c r="D1809" s="13" t="s">
        <v>8465</v>
      </c>
      <c r="E1809" s="10" t="s">
        <v>8870</v>
      </c>
      <c r="F1809" s="10" t="s">
        <v>8870</v>
      </c>
      <c r="H1809" s="2" t="s">
        <v>64</v>
      </c>
      <c r="L1809" s="18">
        <v>1</v>
      </c>
      <c r="N1809" s="13">
        <v>43987</v>
      </c>
      <c r="O1809" s="29">
        <v>0</v>
      </c>
      <c r="P1809" s="18" t="s">
        <v>1107</v>
      </c>
      <c r="Q1809" s="18">
        <v>0</v>
      </c>
      <c r="U1809" s="22">
        <v>0.79</v>
      </c>
      <c r="V1809" s="22">
        <f>3.29/5</f>
        <v>0.65800000000000003</v>
      </c>
      <c r="W1809" s="14" t="s">
        <v>8765</v>
      </c>
      <c r="X1809" s="3">
        <v>3</v>
      </c>
      <c r="Z1809" s="23">
        <v>5</v>
      </c>
      <c r="AB1809" s="18">
        <f t="shared" si="56"/>
        <v>2018</v>
      </c>
      <c r="AC1809" s="22">
        <f t="shared" si="57"/>
        <v>0.68266666666666664</v>
      </c>
    </row>
    <row r="1810" spans="1:29" ht="30">
      <c r="A1810" s="8" t="s">
        <v>8226</v>
      </c>
      <c r="B1810" s="17" t="s">
        <v>7800</v>
      </c>
      <c r="C1810" s="13">
        <v>43326</v>
      </c>
      <c r="D1810" s="13" t="s">
        <v>8465</v>
      </c>
      <c r="E1810" s="10" t="s">
        <v>4498</v>
      </c>
      <c r="F1810" s="10" t="s">
        <v>8227</v>
      </c>
      <c r="H1810" s="2" t="s">
        <v>3937</v>
      </c>
      <c r="L1810" s="18">
        <v>1</v>
      </c>
      <c r="N1810" s="13">
        <v>43805</v>
      </c>
      <c r="O1810" s="29">
        <v>0</v>
      </c>
      <c r="P1810" s="18" t="s">
        <v>1107</v>
      </c>
      <c r="Q1810" s="18">
        <v>0</v>
      </c>
      <c r="U1810" s="22">
        <v>0.69579999999999997</v>
      </c>
      <c r="V1810" s="22">
        <f>3.29/5</f>
        <v>0.65800000000000003</v>
      </c>
      <c r="W1810" s="14" t="s">
        <v>7777</v>
      </c>
      <c r="X1810" s="3">
        <v>3</v>
      </c>
      <c r="Z1810" s="23">
        <v>30</v>
      </c>
      <c r="AB1810" s="18">
        <f t="shared" si="56"/>
        <v>2018</v>
      </c>
      <c r="AC1810" s="22">
        <f t="shared" si="57"/>
        <v>0.65126666666666677</v>
      </c>
    </row>
    <row r="1811" spans="1:29" ht="30">
      <c r="A1811" s="8" t="s">
        <v>8520</v>
      </c>
      <c r="B1811" s="17" t="s">
        <v>7744</v>
      </c>
      <c r="C1811" s="13">
        <v>43326</v>
      </c>
      <c r="D1811" s="13" t="s">
        <v>8465</v>
      </c>
      <c r="E1811" s="10" t="s">
        <v>3053</v>
      </c>
      <c r="F1811" s="10" t="s">
        <v>3053</v>
      </c>
      <c r="G1811" s="11" t="s">
        <v>8510</v>
      </c>
      <c r="H1811" s="2" t="s">
        <v>67</v>
      </c>
      <c r="L1811" s="18">
        <v>1</v>
      </c>
      <c r="M1811" s="14" t="s">
        <v>8462</v>
      </c>
      <c r="N1811" s="13">
        <v>43910</v>
      </c>
      <c r="O1811" s="29">
        <v>38.32</v>
      </c>
      <c r="P1811" s="18" t="s">
        <v>14</v>
      </c>
      <c r="Q1811" s="18">
        <v>0</v>
      </c>
      <c r="U1811" s="22">
        <v>0.74</v>
      </c>
      <c r="V1811" s="22">
        <f>3.8/5</f>
        <v>0.76</v>
      </c>
      <c r="W1811" s="14" t="s">
        <v>1134</v>
      </c>
      <c r="X1811" s="3">
        <v>2</v>
      </c>
      <c r="Z1811" s="23">
        <v>9.5</v>
      </c>
      <c r="AB1811" s="18">
        <f t="shared" si="56"/>
        <v>2018</v>
      </c>
      <c r="AC1811" s="22">
        <f t="shared" si="57"/>
        <v>0.6333333333333333</v>
      </c>
    </row>
    <row r="1812" spans="1:29">
      <c r="A1812" s="8" t="s">
        <v>6109</v>
      </c>
      <c r="B1812" s="17" t="s">
        <v>7760</v>
      </c>
      <c r="C1812" s="13">
        <v>43326</v>
      </c>
      <c r="D1812" s="13" t="s">
        <v>8465</v>
      </c>
      <c r="E1812" s="10" t="s">
        <v>3272</v>
      </c>
      <c r="F1812" s="10" t="s">
        <v>6110</v>
      </c>
      <c r="H1812" s="2" t="s">
        <v>151</v>
      </c>
      <c r="L1812" s="18">
        <v>1</v>
      </c>
      <c r="M1812" s="14" t="s">
        <v>8462</v>
      </c>
      <c r="N1812" s="13">
        <v>43641</v>
      </c>
      <c r="O1812" s="29">
        <v>27.11</v>
      </c>
      <c r="P1812" s="18" t="s">
        <v>14</v>
      </c>
      <c r="Q1812" s="18">
        <v>0</v>
      </c>
      <c r="U1812" s="22">
        <v>0.71</v>
      </c>
      <c r="V1812" s="22">
        <f>3.5/5</f>
        <v>0.7</v>
      </c>
      <c r="X1812" s="3">
        <v>2</v>
      </c>
      <c r="Z1812" s="23">
        <v>11</v>
      </c>
      <c r="AB1812" s="18">
        <f t="shared" si="56"/>
        <v>2018</v>
      </c>
      <c r="AC1812" s="22">
        <f t="shared" si="57"/>
        <v>0.60333333333333339</v>
      </c>
    </row>
    <row r="1813" spans="1:29">
      <c r="A1813" s="8" t="s">
        <v>4474</v>
      </c>
      <c r="B1813" s="17" t="s">
        <v>7800</v>
      </c>
      <c r="C1813" s="13">
        <v>43321</v>
      </c>
      <c r="D1813" s="13" t="s">
        <v>8465</v>
      </c>
      <c r="E1813" s="10" t="s">
        <v>73</v>
      </c>
      <c r="F1813" s="10" t="s">
        <v>73</v>
      </c>
      <c r="G1813" s="11" t="s">
        <v>1141</v>
      </c>
      <c r="H1813" s="2" t="s">
        <v>171</v>
      </c>
      <c r="L1813" s="18">
        <v>1</v>
      </c>
      <c r="N1813" s="13">
        <v>43321</v>
      </c>
      <c r="O1813" s="29">
        <v>58.97</v>
      </c>
      <c r="P1813" s="18" t="s">
        <v>1107</v>
      </c>
      <c r="Q1813" s="18">
        <v>0</v>
      </c>
      <c r="U1813" s="22">
        <v>0.89</v>
      </c>
      <c r="V1813" s="22">
        <f>4.16/5</f>
        <v>0.83200000000000007</v>
      </c>
      <c r="W1813" s="14" t="s">
        <v>7777</v>
      </c>
      <c r="X1813" s="3">
        <v>4</v>
      </c>
      <c r="Z1813" s="23">
        <v>50</v>
      </c>
      <c r="AB1813" s="18">
        <f t="shared" si="56"/>
        <v>2018</v>
      </c>
      <c r="AC1813" s="22">
        <f t="shared" si="57"/>
        <v>0.84066666666666678</v>
      </c>
    </row>
    <row r="1814" spans="1:29" ht="30">
      <c r="A1814" s="8" t="s">
        <v>4456</v>
      </c>
      <c r="B1814" s="17" t="s">
        <v>7744</v>
      </c>
      <c r="C1814" s="13">
        <v>43321</v>
      </c>
      <c r="D1814" s="13" t="s">
        <v>8465</v>
      </c>
      <c r="E1814" s="10" t="s">
        <v>3063</v>
      </c>
      <c r="F1814" s="10" t="s">
        <v>4457</v>
      </c>
      <c r="G1814" s="11" t="s">
        <v>4456</v>
      </c>
      <c r="H1814" s="2" t="s">
        <v>67</v>
      </c>
      <c r="L1814" s="18">
        <v>1</v>
      </c>
      <c r="M1814" s="14" t="s">
        <v>8462</v>
      </c>
      <c r="N1814" s="13">
        <v>43720</v>
      </c>
      <c r="O1814" s="29">
        <v>39.99</v>
      </c>
      <c r="P1814" s="18" t="s">
        <v>14</v>
      </c>
      <c r="Q1814" s="18">
        <v>0</v>
      </c>
      <c r="U1814" s="22">
        <v>0.8125</v>
      </c>
      <c r="V1814" s="22">
        <f>3.7/5</f>
        <v>0.74</v>
      </c>
      <c r="W1814" s="14" t="s">
        <v>8101</v>
      </c>
      <c r="X1814" s="3">
        <v>3</v>
      </c>
      <c r="Z1814" s="23">
        <v>1.5</v>
      </c>
      <c r="AB1814" s="18">
        <f t="shared" si="56"/>
        <v>2018</v>
      </c>
      <c r="AC1814" s="22">
        <f t="shared" si="57"/>
        <v>0.71749999999999992</v>
      </c>
    </row>
    <row r="1815" spans="1:29">
      <c r="A1815" s="8" t="s">
        <v>12698</v>
      </c>
      <c r="B1815" s="17" t="s">
        <v>7800</v>
      </c>
      <c r="C1815" s="13">
        <v>43321</v>
      </c>
      <c r="D1815" s="13" t="s">
        <v>8465</v>
      </c>
      <c r="E1815" s="10" t="s">
        <v>11356</v>
      </c>
      <c r="F1815" s="10" t="s">
        <v>11356</v>
      </c>
      <c r="G1815" s="11" t="s">
        <v>12698</v>
      </c>
      <c r="H1815" s="2" t="s">
        <v>1334</v>
      </c>
      <c r="L1815" s="18">
        <v>1</v>
      </c>
      <c r="P1815" s="18" t="s">
        <v>1107</v>
      </c>
      <c r="Q1815" s="18">
        <v>0</v>
      </c>
      <c r="V1815" s="22">
        <f>2.98/5</f>
        <v>0.59599999999999997</v>
      </c>
      <c r="W1815" s="14" t="s">
        <v>7777</v>
      </c>
      <c r="X1815" s="3">
        <v>2</v>
      </c>
      <c r="Z1815" s="23">
        <v>10.5</v>
      </c>
      <c r="AB1815" s="18">
        <f t="shared" si="56"/>
        <v>2018</v>
      </c>
      <c r="AC1815" s="22">
        <f t="shared" si="57"/>
        <v>0.498</v>
      </c>
    </row>
    <row r="1816" spans="1:29">
      <c r="A1816" s="8" t="s">
        <v>12217</v>
      </c>
      <c r="B1816" s="17" t="s">
        <v>7800</v>
      </c>
      <c r="C1816" s="13">
        <v>43320</v>
      </c>
      <c r="D1816" s="13" t="s">
        <v>8465</v>
      </c>
      <c r="E1816" s="10" t="s">
        <v>3066</v>
      </c>
      <c r="F1816" s="10" t="s">
        <v>3066</v>
      </c>
      <c r="H1816" s="2" t="s">
        <v>67</v>
      </c>
      <c r="L1816" s="18">
        <v>1</v>
      </c>
      <c r="N1816" s="13">
        <v>44771</v>
      </c>
      <c r="O1816" s="29">
        <v>0</v>
      </c>
      <c r="P1816" s="18" t="s">
        <v>1107</v>
      </c>
      <c r="Q1816" s="18">
        <v>0</v>
      </c>
      <c r="U1816" s="22">
        <v>0.87</v>
      </c>
      <c r="V1816" s="22">
        <f>3.84/5</f>
        <v>0.76800000000000002</v>
      </c>
      <c r="W1816" s="14" t="s">
        <v>7777</v>
      </c>
      <c r="X1816" s="3">
        <v>3</v>
      </c>
      <c r="Z1816" s="23">
        <v>9.5</v>
      </c>
      <c r="AB1816" s="18">
        <f t="shared" si="56"/>
        <v>2018</v>
      </c>
      <c r="AC1816" s="22">
        <f t="shared" si="57"/>
        <v>0.746</v>
      </c>
    </row>
    <row r="1817" spans="1:29">
      <c r="A1817" s="8" t="s">
        <v>11365</v>
      </c>
      <c r="B1817" s="17" t="s">
        <v>7749</v>
      </c>
      <c r="C1817" s="13">
        <v>43320</v>
      </c>
      <c r="D1817" s="13" t="s">
        <v>8463</v>
      </c>
      <c r="E1817" s="10" t="s">
        <v>1794</v>
      </c>
      <c r="F1817" s="10" t="s">
        <v>1794</v>
      </c>
      <c r="G1817" s="11" t="s">
        <v>10286</v>
      </c>
      <c r="H1817" s="2" t="s">
        <v>78</v>
      </c>
      <c r="K1817" s="18">
        <v>2</v>
      </c>
      <c r="L1817" s="18">
        <v>0</v>
      </c>
      <c r="Q1817" s="18">
        <v>0</v>
      </c>
      <c r="V1817" s="22">
        <f>3.75/5</f>
        <v>0.75</v>
      </c>
      <c r="X1817" s="3">
        <v>3</v>
      </c>
      <c r="Z1817" s="23">
        <v>20.5</v>
      </c>
      <c r="AB1817" s="18">
        <f t="shared" si="56"/>
        <v>2018</v>
      </c>
      <c r="AC1817" s="22">
        <f t="shared" si="57"/>
        <v>0.67500000000000004</v>
      </c>
    </row>
    <row r="1818" spans="1:29" ht="25.5">
      <c r="A1818" s="8" t="s">
        <v>12130</v>
      </c>
      <c r="B1818" s="17" t="s">
        <v>7800</v>
      </c>
      <c r="C1818" s="13">
        <v>43319</v>
      </c>
      <c r="D1818" s="13" t="s">
        <v>8465</v>
      </c>
      <c r="E1818" s="10" t="s">
        <v>12131</v>
      </c>
      <c r="F1818" s="10" t="s">
        <v>12131</v>
      </c>
      <c r="H1818" s="2" t="s">
        <v>149</v>
      </c>
      <c r="L1818" s="18">
        <v>1</v>
      </c>
      <c r="O1818" s="29">
        <v>0</v>
      </c>
      <c r="P1818" s="18" t="s">
        <v>1107</v>
      </c>
      <c r="Q1818" s="18">
        <v>0</v>
      </c>
      <c r="U1818" s="22">
        <v>0.82</v>
      </c>
      <c r="V1818" s="22">
        <f>4.2/5</f>
        <v>0.84000000000000008</v>
      </c>
      <c r="W1818" s="14" t="s">
        <v>8765</v>
      </c>
      <c r="X1818" s="3">
        <v>4</v>
      </c>
      <c r="Z1818" s="23">
        <v>36</v>
      </c>
      <c r="AB1818" s="18">
        <f t="shared" si="56"/>
        <v>2018</v>
      </c>
      <c r="AC1818" s="22">
        <f t="shared" si="57"/>
        <v>0.82</v>
      </c>
    </row>
    <row r="1819" spans="1:29">
      <c r="A1819" s="8" t="s">
        <v>1586</v>
      </c>
      <c r="B1819" s="17" t="s">
        <v>7744</v>
      </c>
      <c r="C1819" s="13">
        <v>43319</v>
      </c>
      <c r="D1819" s="13" t="s">
        <v>8465</v>
      </c>
      <c r="E1819" s="10" t="s">
        <v>1587</v>
      </c>
      <c r="F1819" s="10" t="s">
        <v>1587</v>
      </c>
      <c r="H1819" s="2" t="s">
        <v>1518</v>
      </c>
      <c r="L1819" s="18">
        <v>1</v>
      </c>
      <c r="M1819" s="14" t="s">
        <v>8462</v>
      </c>
      <c r="N1819" s="13">
        <v>43579</v>
      </c>
      <c r="O1819" s="29">
        <v>27.51</v>
      </c>
      <c r="P1819" s="18" t="s">
        <v>14</v>
      </c>
      <c r="Q1819" s="18">
        <v>0</v>
      </c>
      <c r="U1819" s="22">
        <v>0.88</v>
      </c>
      <c r="V1819" s="22">
        <f>4.14/5</f>
        <v>0.82799999999999996</v>
      </c>
      <c r="X1819" s="3">
        <v>3</v>
      </c>
      <c r="Z1819" s="23">
        <v>13.5</v>
      </c>
      <c r="AB1819" s="18">
        <f t="shared" si="56"/>
        <v>2018</v>
      </c>
      <c r="AC1819" s="22">
        <f t="shared" si="57"/>
        <v>0.76933333333333331</v>
      </c>
    </row>
    <row r="1820" spans="1:29">
      <c r="A1820" s="8" t="s">
        <v>9482</v>
      </c>
      <c r="B1820" s="17" t="s">
        <v>7800</v>
      </c>
      <c r="C1820" s="13">
        <v>43319</v>
      </c>
      <c r="D1820" s="13" t="s">
        <v>8465</v>
      </c>
      <c r="E1820" s="10" t="s">
        <v>1634</v>
      </c>
      <c r="F1820" s="10" t="s">
        <v>7046</v>
      </c>
      <c r="G1820" s="11" t="s">
        <v>7045</v>
      </c>
      <c r="H1820" s="2" t="s">
        <v>1334</v>
      </c>
      <c r="L1820" s="18">
        <v>1</v>
      </c>
      <c r="N1820" s="13">
        <v>44169</v>
      </c>
      <c r="O1820" s="29">
        <v>12</v>
      </c>
      <c r="P1820" s="18" t="s">
        <v>1107</v>
      </c>
      <c r="Q1820" s="18">
        <v>0</v>
      </c>
      <c r="U1820" s="22">
        <v>0.81</v>
      </c>
      <c r="V1820" s="22">
        <f>3.89/5</f>
        <v>0.77800000000000002</v>
      </c>
      <c r="W1820" s="14" t="s">
        <v>7777</v>
      </c>
      <c r="X1820" s="3">
        <v>3</v>
      </c>
      <c r="Z1820" s="23">
        <v>6.5</v>
      </c>
      <c r="AB1820" s="18">
        <f t="shared" si="56"/>
        <v>2018</v>
      </c>
      <c r="AC1820" s="22">
        <f t="shared" si="57"/>
        <v>0.72933333333333339</v>
      </c>
    </row>
    <row r="1821" spans="1:29">
      <c r="A1821" s="8" t="s">
        <v>8003</v>
      </c>
      <c r="B1821" s="17" t="s">
        <v>7800</v>
      </c>
      <c r="C1821" s="13">
        <v>43318</v>
      </c>
      <c r="D1821" s="13" t="s">
        <v>8465</v>
      </c>
      <c r="E1821" s="10" t="s">
        <v>8004</v>
      </c>
      <c r="F1821" s="10" t="s">
        <v>8004</v>
      </c>
      <c r="H1821" s="2" t="s">
        <v>27</v>
      </c>
      <c r="L1821" s="18">
        <v>1</v>
      </c>
      <c r="N1821" s="13">
        <v>43767</v>
      </c>
      <c r="O1821" s="29">
        <v>0</v>
      </c>
      <c r="P1821" s="18" t="s">
        <v>1107</v>
      </c>
      <c r="Q1821" s="18">
        <v>0</v>
      </c>
      <c r="U1821" s="22">
        <v>0.73750000000000004</v>
      </c>
      <c r="V1821" s="22">
        <f>3.53/5</f>
        <v>0.70599999999999996</v>
      </c>
      <c r="W1821" s="14" t="s">
        <v>7777</v>
      </c>
      <c r="X1821" s="3">
        <v>2</v>
      </c>
      <c r="Z1821" s="23">
        <v>6</v>
      </c>
      <c r="AB1821" s="18">
        <f t="shared" si="56"/>
        <v>2018</v>
      </c>
      <c r="AC1821" s="22">
        <f t="shared" si="57"/>
        <v>0.61450000000000005</v>
      </c>
    </row>
    <row r="1822" spans="1:29">
      <c r="A1822" s="8" t="s">
        <v>2421</v>
      </c>
      <c r="B1822" s="17" t="s">
        <v>7749</v>
      </c>
      <c r="C1822" s="13">
        <v>43315</v>
      </c>
      <c r="D1822" s="13" t="s">
        <v>8465</v>
      </c>
      <c r="E1822" s="10" t="s">
        <v>86</v>
      </c>
      <c r="F1822" s="10" t="s">
        <v>1069</v>
      </c>
      <c r="G1822" s="11" t="s">
        <v>1516</v>
      </c>
      <c r="H1822" s="2" t="s">
        <v>143</v>
      </c>
      <c r="L1822" s="18">
        <v>1</v>
      </c>
      <c r="M1822" s="14" t="s">
        <v>8462</v>
      </c>
      <c r="N1822" s="13">
        <v>43537</v>
      </c>
      <c r="O1822" s="29">
        <v>24.97</v>
      </c>
      <c r="P1822" s="18" t="s">
        <v>14</v>
      </c>
      <c r="Q1822" s="18">
        <v>0</v>
      </c>
      <c r="U1822" s="22">
        <v>0.8</v>
      </c>
      <c r="V1822" s="22">
        <f>4.18/5</f>
        <v>0.83599999999999997</v>
      </c>
      <c r="X1822" s="3">
        <v>3</v>
      </c>
      <c r="Z1822" s="23">
        <v>2.5</v>
      </c>
      <c r="AB1822" s="18">
        <f t="shared" si="56"/>
        <v>2018</v>
      </c>
      <c r="AC1822" s="22">
        <f t="shared" si="57"/>
        <v>0.7453333333333334</v>
      </c>
    </row>
    <row r="1823" spans="1:29">
      <c r="A1823" s="8" t="s">
        <v>1657</v>
      </c>
      <c r="B1823" s="17" t="s">
        <v>7744</v>
      </c>
      <c r="C1823" s="13">
        <v>43314</v>
      </c>
      <c r="D1823" s="13" t="s">
        <v>8465</v>
      </c>
      <c r="E1823" s="10" t="s">
        <v>1658</v>
      </c>
      <c r="F1823" s="10" t="s">
        <v>1658</v>
      </c>
      <c r="H1823" s="2" t="s">
        <v>171</v>
      </c>
      <c r="L1823" s="18">
        <v>1</v>
      </c>
      <c r="M1823" s="14" t="s">
        <v>8462</v>
      </c>
      <c r="N1823" s="13">
        <v>43562</v>
      </c>
      <c r="O1823" s="29">
        <v>21.69</v>
      </c>
      <c r="P1823" s="18" t="s">
        <v>14</v>
      </c>
      <c r="Q1823" s="18">
        <v>0</v>
      </c>
      <c r="U1823" s="22">
        <v>0.81</v>
      </c>
      <c r="V1823" s="22">
        <f>4.18/5</f>
        <v>0.83599999999999997</v>
      </c>
      <c r="X1823" s="3">
        <v>4</v>
      </c>
      <c r="Z1823" s="23">
        <v>16</v>
      </c>
      <c r="AB1823" s="18">
        <f t="shared" si="56"/>
        <v>2018</v>
      </c>
      <c r="AC1823" s="22">
        <f t="shared" si="57"/>
        <v>0.81533333333333324</v>
      </c>
    </row>
    <row r="1824" spans="1:29" ht="30">
      <c r="A1824" s="8" t="s">
        <v>1610</v>
      </c>
      <c r="B1824" s="17" t="s">
        <v>7744</v>
      </c>
      <c r="C1824" s="13">
        <v>43314</v>
      </c>
      <c r="D1824" s="13" t="s">
        <v>8465</v>
      </c>
      <c r="E1824" s="10" t="s">
        <v>1611</v>
      </c>
      <c r="F1824" s="10" t="s">
        <v>1612</v>
      </c>
      <c r="H1824" s="2" t="s">
        <v>151</v>
      </c>
      <c r="L1824" s="18">
        <v>1</v>
      </c>
      <c r="M1824" s="14" t="s">
        <v>8462</v>
      </c>
      <c r="N1824" s="13">
        <v>43556</v>
      </c>
      <c r="O1824" s="29">
        <v>40.49</v>
      </c>
      <c r="P1824" s="18" t="s">
        <v>14</v>
      </c>
      <c r="Q1824" s="18">
        <v>0</v>
      </c>
      <c r="U1824" s="22">
        <v>0.91</v>
      </c>
      <c r="V1824" s="22">
        <f>3.9/5</f>
        <v>0.78</v>
      </c>
      <c r="W1824" s="14" t="s">
        <v>1134</v>
      </c>
      <c r="X1824" s="3">
        <v>3</v>
      </c>
      <c r="Z1824" s="23">
        <v>11</v>
      </c>
      <c r="AB1824" s="18">
        <f t="shared" si="56"/>
        <v>2018</v>
      </c>
      <c r="AC1824" s="22">
        <f t="shared" si="57"/>
        <v>0.76333333333333331</v>
      </c>
    </row>
    <row r="1825" spans="1:29">
      <c r="A1825" s="8" t="s">
        <v>11962</v>
      </c>
      <c r="B1825" s="17" t="s">
        <v>7744</v>
      </c>
      <c r="C1825" s="13">
        <v>43314</v>
      </c>
      <c r="D1825" s="13" t="s">
        <v>8465</v>
      </c>
      <c r="E1825" s="10" t="s">
        <v>1794</v>
      </c>
      <c r="F1825" s="10" t="s">
        <v>1794</v>
      </c>
      <c r="G1825" s="11" t="s">
        <v>10286</v>
      </c>
      <c r="H1825" s="2" t="s">
        <v>78</v>
      </c>
      <c r="L1825" s="18">
        <v>1</v>
      </c>
      <c r="N1825" s="13">
        <v>44723</v>
      </c>
      <c r="O1825" s="29">
        <v>6.29</v>
      </c>
      <c r="P1825" s="18" t="s">
        <v>1107</v>
      </c>
      <c r="Q1825" s="18">
        <v>0</v>
      </c>
      <c r="U1825" s="22">
        <v>0.73</v>
      </c>
      <c r="V1825" s="22">
        <f>3.9/5</f>
        <v>0.78</v>
      </c>
      <c r="X1825" s="3">
        <v>3</v>
      </c>
      <c r="Z1825" s="23">
        <v>21</v>
      </c>
      <c r="AB1825" s="18">
        <f t="shared" si="56"/>
        <v>2018</v>
      </c>
      <c r="AC1825" s="22">
        <f t="shared" si="57"/>
        <v>0.70333333333333325</v>
      </c>
    </row>
    <row r="1826" spans="1:29">
      <c r="A1826" s="8" t="s">
        <v>7898</v>
      </c>
      <c r="B1826" s="17" t="s">
        <v>7800</v>
      </c>
      <c r="C1826" s="13">
        <v>43314</v>
      </c>
      <c r="D1826" s="13" t="s">
        <v>8465</v>
      </c>
      <c r="E1826" s="10" t="s">
        <v>7899</v>
      </c>
      <c r="F1826" s="10" t="s">
        <v>7899</v>
      </c>
      <c r="H1826" s="2" t="s">
        <v>31</v>
      </c>
      <c r="L1826" s="18">
        <v>1</v>
      </c>
      <c r="N1826" s="13">
        <v>43742</v>
      </c>
      <c r="O1826" s="29">
        <v>0</v>
      </c>
      <c r="P1826" s="18" t="s">
        <v>1107</v>
      </c>
      <c r="Q1826" s="18">
        <v>0</v>
      </c>
      <c r="U1826" s="22">
        <v>0.6</v>
      </c>
      <c r="V1826" s="22">
        <f>3.43/5</f>
        <v>0.68600000000000005</v>
      </c>
      <c r="W1826" s="14" t="s">
        <v>7777</v>
      </c>
      <c r="X1826" s="3">
        <v>2</v>
      </c>
      <c r="Z1826" s="23">
        <v>7</v>
      </c>
      <c r="AB1826" s="18">
        <f t="shared" si="56"/>
        <v>2018</v>
      </c>
      <c r="AC1826" s="22">
        <f t="shared" si="57"/>
        <v>0.56199999999999994</v>
      </c>
    </row>
    <row r="1827" spans="1:29">
      <c r="A1827" s="8" t="s">
        <v>5598</v>
      </c>
      <c r="B1827" s="17" t="s">
        <v>7800</v>
      </c>
      <c r="C1827" s="13">
        <v>43313</v>
      </c>
      <c r="D1827" s="13" t="s">
        <v>8465</v>
      </c>
      <c r="E1827" s="10" t="s">
        <v>455</v>
      </c>
      <c r="F1827" s="10" t="s">
        <v>5599</v>
      </c>
      <c r="G1827" s="11" t="s">
        <v>5600</v>
      </c>
      <c r="H1827" s="2" t="s">
        <v>80</v>
      </c>
      <c r="L1827" s="18">
        <v>1</v>
      </c>
      <c r="N1827" s="13">
        <v>43469</v>
      </c>
      <c r="P1827" s="18" t="s">
        <v>1107</v>
      </c>
      <c r="Q1827" s="18">
        <v>0</v>
      </c>
      <c r="U1827" s="22">
        <v>0.9</v>
      </c>
      <c r="V1827" s="22">
        <f>4.37/5</f>
        <v>0.874</v>
      </c>
      <c r="W1827" s="14" t="s">
        <v>7777</v>
      </c>
      <c r="X1827" s="3">
        <v>5</v>
      </c>
      <c r="Z1827" s="23">
        <v>31</v>
      </c>
      <c r="AB1827" s="18">
        <f t="shared" si="56"/>
        <v>2018</v>
      </c>
      <c r="AC1827" s="22">
        <f t="shared" si="57"/>
        <v>0.92466666666666664</v>
      </c>
    </row>
    <row r="1828" spans="1:29">
      <c r="A1828" s="8" t="s">
        <v>8221</v>
      </c>
      <c r="B1828" s="17" t="s">
        <v>7800</v>
      </c>
      <c r="C1828" s="13">
        <v>43312</v>
      </c>
      <c r="D1828" s="13" t="s">
        <v>8465</v>
      </c>
      <c r="E1828" s="10" t="s">
        <v>8222</v>
      </c>
      <c r="F1828" s="10" t="s">
        <v>8222</v>
      </c>
      <c r="H1828" s="2" t="s">
        <v>151</v>
      </c>
      <c r="L1828" s="18">
        <v>1</v>
      </c>
      <c r="N1828" s="13">
        <v>43805</v>
      </c>
      <c r="O1828" s="29">
        <v>11</v>
      </c>
      <c r="P1828" s="18" t="s">
        <v>1107</v>
      </c>
      <c r="Q1828" s="18">
        <v>0</v>
      </c>
      <c r="U1828" s="22">
        <v>0.72250000000000003</v>
      </c>
      <c r="V1828" s="22">
        <f>3.58/5</f>
        <v>0.71599999999999997</v>
      </c>
      <c r="W1828" s="14" t="s">
        <v>7777</v>
      </c>
      <c r="X1828" s="3">
        <v>3</v>
      </c>
      <c r="Z1828" s="23">
        <v>8.5</v>
      </c>
      <c r="AB1828" s="18">
        <f t="shared" si="56"/>
        <v>2018</v>
      </c>
      <c r="AC1828" s="22">
        <f t="shared" si="57"/>
        <v>0.67949999999999999</v>
      </c>
    </row>
    <row r="1829" spans="1:29">
      <c r="A1829" s="8" t="s">
        <v>1700</v>
      </c>
      <c r="B1829" s="17" t="s">
        <v>7744</v>
      </c>
      <c r="C1829" s="13">
        <v>43312</v>
      </c>
      <c r="D1829" s="13" t="s">
        <v>8465</v>
      </c>
      <c r="E1829" s="10" t="s">
        <v>1583</v>
      </c>
      <c r="F1829" s="10" t="s">
        <v>1701</v>
      </c>
      <c r="G1829" s="11" t="s">
        <v>1700</v>
      </c>
      <c r="H1829" s="2" t="s">
        <v>171</v>
      </c>
      <c r="L1829" s="18">
        <v>1</v>
      </c>
      <c r="M1829" s="14" t="s">
        <v>8462</v>
      </c>
      <c r="N1829" s="13">
        <v>43562</v>
      </c>
      <c r="O1829" s="29">
        <v>21.69</v>
      </c>
      <c r="P1829" s="18" t="s">
        <v>14</v>
      </c>
      <c r="Q1829" s="18">
        <v>0</v>
      </c>
      <c r="U1829" s="22">
        <v>0.67</v>
      </c>
      <c r="V1829" s="22">
        <f>3.71/5</f>
        <v>0.74199999999999999</v>
      </c>
      <c r="X1829" s="3">
        <v>3</v>
      </c>
      <c r="Z1829" s="23">
        <v>25.5</v>
      </c>
      <c r="AB1829" s="18">
        <f t="shared" si="56"/>
        <v>2018</v>
      </c>
      <c r="AC1829" s="22">
        <f t="shared" si="57"/>
        <v>0.67066666666666663</v>
      </c>
    </row>
    <row r="1830" spans="1:29">
      <c r="A1830" s="8" t="s">
        <v>8543</v>
      </c>
      <c r="B1830" s="17" t="s">
        <v>7800</v>
      </c>
      <c r="C1830" s="13">
        <v>43312</v>
      </c>
      <c r="D1830" s="13" t="s">
        <v>8465</v>
      </c>
      <c r="E1830" s="10" t="s">
        <v>1583</v>
      </c>
      <c r="F1830" s="10" t="s">
        <v>8544</v>
      </c>
      <c r="G1830" s="11" t="s">
        <v>8545</v>
      </c>
      <c r="H1830" s="2" t="s">
        <v>3937</v>
      </c>
      <c r="L1830" s="18">
        <v>1</v>
      </c>
      <c r="N1830" s="13">
        <v>43924</v>
      </c>
      <c r="O1830" s="29">
        <v>0</v>
      </c>
      <c r="P1830" s="18" t="s">
        <v>1107</v>
      </c>
      <c r="Q1830" s="18">
        <v>0</v>
      </c>
      <c r="U1830" s="22">
        <v>0.66</v>
      </c>
      <c r="V1830" s="22">
        <f>3.23/5</f>
        <v>0.64600000000000002</v>
      </c>
      <c r="W1830" s="14" t="s">
        <v>7777</v>
      </c>
      <c r="X1830" s="3">
        <v>2</v>
      </c>
      <c r="Z1830" s="23">
        <v>21.5</v>
      </c>
      <c r="AB1830" s="18">
        <f t="shared" si="56"/>
        <v>2018</v>
      </c>
      <c r="AC1830" s="22">
        <f t="shared" si="57"/>
        <v>0.56866666666666665</v>
      </c>
    </row>
    <row r="1831" spans="1:29">
      <c r="A1831" s="8" t="s">
        <v>8721</v>
      </c>
      <c r="B1831" s="17" t="s">
        <v>7800</v>
      </c>
      <c r="C1831" s="13">
        <v>43312</v>
      </c>
      <c r="D1831" s="13" t="s">
        <v>8465</v>
      </c>
      <c r="E1831" s="10" t="s">
        <v>8722</v>
      </c>
      <c r="F1831" s="10" t="s">
        <v>8722</v>
      </c>
      <c r="G1831" s="11" t="s">
        <v>1488</v>
      </c>
      <c r="H1831" s="2" t="s">
        <v>1050</v>
      </c>
      <c r="L1831" s="18">
        <v>1</v>
      </c>
      <c r="N1831" s="13">
        <v>43983</v>
      </c>
      <c r="O1831" s="29">
        <v>0</v>
      </c>
      <c r="P1831" s="18" t="s">
        <v>1107</v>
      </c>
      <c r="Q1831" s="18">
        <v>0</v>
      </c>
      <c r="V1831" s="22">
        <f>3.3/5</f>
        <v>0.65999999999999992</v>
      </c>
      <c r="W1831" s="14" t="s">
        <v>7799</v>
      </c>
      <c r="X1831" s="3">
        <v>2</v>
      </c>
      <c r="Z1831" s="23">
        <v>9</v>
      </c>
      <c r="AB1831" s="18">
        <f t="shared" si="56"/>
        <v>2018</v>
      </c>
      <c r="AC1831" s="22">
        <f t="shared" si="57"/>
        <v>0.53</v>
      </c>
    </row>
    <row r="1832" spans="1:29" ht="25.5">
      <c r="A1832" s="8" t="s">
        <v>14148</v>
      </c>
      <c r="B1832" s="17" t="s">
        <v>7800</v>
      </c>
      <c r="C1832" s="13">
        <v>43307</v>
      </c>
      <c r="D1832" s="13" t="s">
        <v>8465</v>
      </c>
      <c r="E1832" s="10" t="s">
        <v>14149</v>
      </c>
      <c r="F1832" s="10" t="s">
        <v>14149</v>
      </c>
      <c r="H1832" s="2" t="s">
        <v>75</v>
      </c>
      <c r="L1832" s="18">
        <v>1</v>
      </c>
      <c r="O1832" s="29">
        <v>0</v>
      </c>
      <c r="P1832" s="18" t="s">
        <v>1107</v>
      </c>
      <c r="Q1832" s="18">
        <v>0</v>
      </c>
      <c r="V1832" s="22">
        <f>4/5</f>
        <v>0.8</v>
      </c>
      <c r="W1832" s="14" t="s">
        <v>8765</v>
      </c>
      <c r="X1832" s="3">
        <v>2</v>
      </c>
      <c r="AB1832" s="18">
        <f t="shared" si="56"/>
        <v>2018</v>
      </c>
      <c r="AC1832" s="22">
        <f t="shared" si="57"/>
        <v>0.60000000000000009</v>
      </c>
    </row>
    <row r="1833" spans="1:29" ht="30">
      <c r="A1833" s="8" t="s">
        <v>6127</v>
      </c>
      <c r="B1833" s="17" t="s">
        <v>7760</v>
      </c>
      <c r="C1833" s="13">
        <v>43307</v>
      </c>
      <c r="D1833" s="13" t="s">
        <v>8465</v>
      </c>
      <c r="E1833" s="10" t="s">
        <v>3467</v>
      </c>
      <c r="F1833" s="10" t="s">
        <v>3467</v>
      </c>
      <c r="G1833" s="11" t="s">
        <v>2742</v>
      </c>
      <c r="H1833" s="2" t="s">
        <v>21</v>
      </c>
      <c r="L1833" s="18">
        <v>1</v>
      </c>
      <c r="M1833" s="14" t="s">
        <v>8462</v>
      </c>
      <c r="N1833" s="13">
        <v>43633</v>
      </c>
      <c r="O1833" s="29">
        <v>45.74</v>
      </c>
      <c r="P1833" s="18" t="s">
        <v>14</v>
      </c>
      <c r="Q1833" s="18">
        <v>0</v>
      </c>
      <c r="V1833" s="22">
        <f>3.9/5</f>
        <v>0.78</v>
      </c>
      <c r="W1833" s="14" t="s">
        <v>1134</v>
      </c>
      <c r="X1833" s="3">
        <v>2</v>
      </c>
      <c r="Z1833" s="23">
        <f>26/60</f>
        <v>0.43333333333333335</v>
      </c>
      <c r="AB1833" s="18">
        <f t="shared" si="56"/>
        <v>2018</v>
      </c>
      <c r="AC1833" s="22">
        <f t="shared" si="57"/>
        <v>0.59000000000000008</v>
      </c>
    </row>
    <row r="1834" spans="1:29">
      <c r="A1834" s="8" t="s">
        <v>15567</v>
      </c>
      <c r="B1834" s="17" t="s">
        <v>7800</v>
      </c>
      <c r="C1834" s="13">
        <v>43307</v>
      </c>
      <c r="D1834" s="13" t="s">
        <v>8465</v>
      </c>
      <c r="E1834" s="10" t="s">
        <v>5273</v>
      </c>
      <c r="F1834" s="10" t="s">
        <v>5273</v>
      </c>
      <c r="G1834" s="11" t="s">
        <v>5272</v>
      </c>
      <c r="H1834" s="2" t="s">
        <v>75</v>
      </c>
      <c r="L1834" s="18">
        <v>1</v>
      </c>
      <c r="N1834" s="13">
        <v>45159</v>
      </c>
      <c r="O1834" s="29">
        <v>0</v>
      </c>
      <c r="P1834" s="18" t="s">
        <v>1107</v>
      </c>
      <c r="Q1834" s="18">
        <v>0</v>
      </c>
      <c r="U1834" s="22">
        <v>0.82</v>
      </c>
      <c r="V1834" s="22">
        <f>3.94/5</f>
        <v>0.78800000000000003</v>
      </c>
      <c r="W1834" s="14" t="s">
        <v>7777</v>
      </c>
      <c r="X1834" s="3">
        <v>3</v>
      </c>
      <c r="Z1834" s="23">
        <v>9.5</v>
      </c>
      <c r="AB1834" s="18">
        <f t="shared" si="56"/>
        <v>2018</v>
      </c>
      <c r="AC1834" s="22">
        <f t="shared" si="57"/>
        <v>0.7360000000000001</v>
      </c>
    </row>
    <row r="1835" spans="1:29" ht="25.5">
      <c r="A1835" s="8" t="s">
        <v>8607</v>
      </c>
      <c r="B1835" s="17" t="s">
        <v>7800</v>
      </c>
      <c r="C1835" s="13">
        <v>43306</v>
      </c>
      <c r="D1835" s="13" t="s">
        <v>8465</v>
      </c>
      <c r="E1835" s="10" t="s">
        <v>1534</v>
      </c>
      <c r="F1835" s="10" t="s">
        <v>1245</v>
      </c>
      <c r="G1835" s="11" t="s">
        <v>304</v>
      </c>
      <c r="H1835" s="2" t="s">
        <v>171</v>
      </c>
      <c r="L1835" s="18">
        <v>1</v>
      </c>
      <c r="N1835" s="13">
        <v>43948</v>
      </c>
      <c r="O1835" s="29">
        <v>14.99</v>
      </c>
      <c r="P1835" s="18" t="s">
        <v>1107</v>
      </c>
      <c r="Q1835" s="18">
        <v>0</v>
      </c>
      <c r="U1835" s="22">
        <v>0.74</v>
      </c>
      <c r="V1835" s="22">
        <f>3.89/5</f>
        <v>0.77800000000000002</v>
      </c>
      <c r="W1835" s="14" t="s">
        <v>7777</v>
      </c>
      <c r="X1835" s="3">
        <v>4</v>
      </c>
      <c r="Z1835" s="23">
        <v>22.5</v>
      </c>
      <c r="AB1835" s="18">
        <f t="shared" si="56"/>
        <v>2018</v>
      </c>
      <c r="AC1835" s="22">
        <f t="shared" si="57"/>
        <v>0.77266666666666672</v>
      </c>
    </row>
    <row r="1836" spans="1:29">
      <c r="A1836" s="8" t="s">
        <v>10491</v>
      </c>
      <c r="B1836" s="17" t="s">
        <v>7800</v>
      </c>
      <c r="C1836" s="13">
        <v>43306</v>
      </c>
      <c r="D1836" s="13" t="s">
        <v>8465</v>
      </c>
      <c r="E1836" s="10" t="s">
        <v>7873</v>
      </c>
      <c r="F1836" s="10" t="s">
        <v>7873</v>
      </c>
      <c r="H1836" s="2" t="s">
        <v>67</v>
      </c>
      <c r="L1836" s="18">
        <v>1</v>
      </c>
      <c r="N1836" s="13">
        <v>44481</v>
      </c>
      <c r="O1836" s="29">
        <v>0.99</v>
      </c>
      <c r="P1836" s="18" t="s">
        <v>1107</v>
      </c>
      <c r="Q1836" s="18">
        <v>0</v>
      </c>
      <c r="V1836" s="22">
        <f>2.83/5</f>
        <v>0.56600000000000006</v>
      </c>
      <c r="W1836" s="14" t="s">
        <v>7777</v>
      </c>
      <c r="X1836" s="3">
        <v>2</v>
      </c>
      <c r="Z1836" s="23">
        <v>2.5</v>
      </c>
      <c r="AB1836" s="18">
        <f t="shared" si="56"/>
        <v>2018</v>
      </c>
      <c r="AC1836" s="22">
        <f t="shared" si="57"/>
        <v>0.48300000000000004</v>
      </c>
    </row>
    <row r="1837" spans="1:29" ht="30">
      <c r="A1837" s="8" t="s">
        <v>8784</v>
      </c>
      <c r="B1837" s="17" t="s">
        <v>7800</v>
      </c>
      <c r="C1837" s="13">
        <v>43305</v>
      </c>
      <c r="D1837" s="13" t="s">
        <v>8465</v>
      </c>
      <c r="E1837" s="10" t="s">
        <v>4498</v>
      </c>
      <c r="F1837" s="10" t="s">
        <v>8785</v>
      </c>
      <c r="H1837" s="2" t="s">
        <v>27</v>
      </c>
      <c r="L1837" s="18">
        <v>1</v>
      </c>
      <c r="N1837" s="13">
        <v>43987</v>
      </c>
      <c r="O1837" s="29">
        <v>0.62</v>
      </c>
      <c r="P1837" s="18" t="s">
        <v>1107</v>
      </c>
      <c r="Q1837" s="18">
        <v>0</v>
      </c>
      <c r="U1837" s="22">
        <v>0.79</v>
      </c>
      <c r="V1837" s="22">
        <f>3.75/5</f>
        <v>0.75</v>
      </c>
      <c r="W1837" s="14" t="s">
        <v>7777</v>
      </c>
      <c r="X1837" s="3">
        <v>2</v>
      </c>
      <c r="Z1837" s="23">
        <v>3.5</v>
      </c>
      <c r="AB1837" s="18">
        <f t="shared" si="56"/>
        <v>2018</v>
      </c>
      <c r="AC1837" s="22">
        <f t="shared" si="57"/>
        <v>0.64666666666666661</v>
      </c>
    </row>
    <row r="1838" spans="1:29" ht="30">
      <c r="A1838" s="9" t="s">
        <v>9672</v>
      </c>
      <c r="B1838" s="17" t="s">
        <v>7760</v>
      </c>
      <c r="C1838" s="13">
        <v>43304</v>
      </c>
      <c r="D1838" s="13" t="s">
        <v>8465</v>
      </c>
      <c r="E1838" s="10" t="s">
        <v>1604</v>
      </c>
      <c r="F1838" s="10" t="s">
        <v>8375</v>
      </c>
      <c r="G1838" s="11" t="s">
        <v>1395</v>
      </c>
      <c r="H1838" s="2" t="s">
        <v>143</v>
      </c>
      <c r="L1838" s="18">
        <v>1</v>
      </c>
      <c r="M1838" s="14" t="s">
        <v>8462</v>
      </c>
      <c r="N1838" s="13">
        <v>44211</v>
      </c>
      <c r="O1838" s="29">
        <v>4.99</v>
      </c>
      <c r="P1838" s="18" t="s">
        <v>14</v>
      </c>
      <c r="Q1838" s="18">
        <v>0</v>
      </c>
      <c r="U1838" s="22">
        <v>0.43</v>
      </c>
      <c r="V1838" s="22">
        <f>2.28/5</f>
        <v>0.45599999999999996</v>
      </c>
      <c r="X1838" s="3">
        <v>2</v>
      </c>
      <c r="Z1838" s="23">
        <v>20.5</v>
      </c>
      <c r="AB1838" s="18">
        <f t="shared" si="56"/>
        <v>2018</v>
      </c>
      <c r="AC1838" s="22">
        <f t="shared" si="57"/>
        <v>0.4286666666666667</v>
      </c>
    </row>
    <row r="1839" spans="1:29">
      <c r="A1839" s="8" t="s">
        <v>14189</v>
      </c>
      <c r="B1839" s="17" t="s">
        <v>7800</v>
      </c>
      <c r="C1839" s="13">
        <v>43304</v>
      </c>
      <c r="D1839" s="13" t="s">
        <v>8465</v>
      </c>
      <c r="E1839" s="10" t="s">
        <v>14190</v>
      </c>
      <c r="F1839" s="10" t="s">
        <v>14190</v>
      </c>
      <c r="H1839" s="2" t="s">
        <v>21</v>
      </c>
      <c r="L1839" s="18">
        <v>1</v>
      </c>
      <c r="O1839" s="29">
        <v>0</v>
      </c>
      <c r="P1839" s="18" t="s">
        <v>1107</v>
      </c>
      <c r="Q1839" s="18">
        <v>0</v>
      </c>
      <c r="W1839" s="14" t="s">
        <v>8765</v>
      </c>
      <c r="X1839" s="3">
        <v>2</v>
      </c>
      <c r="Z1839" s="23">
        <v>3</v>
      </c>
      <c r="AB1839" s="18">
        <f t="shared" si="56"/>
        <v>2018</v>
      </c>
      <c r="AC1839" s="22">
        <f t="shared" si="57"/>
        <v>0.4</v>
      </c>
    </row>
    <row r="1840" spans="1:29" ht="25.5">
      <c r="A1840" s="8" t="s">
        <v>11363</v>
      </c>
      <c r="B1840" s="17" t="s">
        <v>7749</v>
      </c>
      <c r="C1840" s="13">
        <v>43300</v>
      </c>
      <c r="D1840" s="13" t="s">
        <v>8465</v>
      </c>
      <c r="E1840" s="10" t="s">
        <v>1794</v>
      </c>
      <c r="F1840" s="10" t="s">
        <v>1794</v>
      </c>
      <c r="G1840" s="11" t="s">
        <v>10286</v>
      </c>
      <c r="H1840" s="2" t="s">
        <v>78</v>
      </c>
      <c r="L1840" s="18">
        <v>1</v>
      </c>
      <c r="N1840" s="13">
        <v>44634</v>
      </c>
      <c r="O1840" s="29">
        <v>7.99</v>
      </c>
      <c r="P1840" s="18" t="s">
        <v>1107</v>
      </c>
      <c r="Q1840" s="18">
        <v>0</v>
      </c>
      <c r="V1840" s="22">
        <f>4/5</f>
        <v>0.8</v>
      </c>
      <c r="X1840" s="3">
        <v>3</v>
      </c>
      <c r="Z1840" s="23">
        <v>16</v>
      </c>
      <c r="AB1840" s="18">
        <f t="shared" si="56"/>
        <v>2018</v>
      </c>
      <c r="AC1840" s="22">
        <f t="shared" si="57"/>
        <v>0.7</v>
      </c>
    </row>
    <row r="1841" spans="1:29">
      <c r="A1841" s="8" t="s">
        <v>4730</v>
      </c>
      <c r="B1841" s="17" t="s">
        <v>7800</v>
      </c>
      <c r="C1841" s="13">
        <v>43300</v>
      </c>
      <c r="D1841" s="13" t="s">
        <v>8465</v>
      </c>
      <c r="E1841" s="10" t="s">
        <v>3272</v>
      </c>
      <c r="F1841" s="10" t="s">
        <v>4731</v>
      </c>
      <c r="H1841" s="2" t="s">
        <v>80</v>
      </c>
      <c r="L1841" s="18">
        <v>1</v>
      </c>
      <c r="N1841" s="13">
        <v>43624</v>
      </c>
      <c r="O1841" s="29">
        <v>0</v>
      </c>
      <c r="P1841" s="18" t="s">
        <v>1107</v>
      </c>
      <c r="Q1841" s="18">
        <v>0</v>
      </c>
      <c r="U1841" s="22">
        <v>0.78</v>
      </c>
      <c r="V1841" s="22">
        <f>3/5</f>
        <v>0.6</v>
      </c>
      <c r="W1841" s="14" t="s">
        <v>7777</v>
      </c>
      <c r="X1841" s="3">
        <v>3</v>
      </c>
      <c r="Z1841" s="23">
        <v>5.5</v>
      </c>
      <c r="AB1841" s="18">
        <f t="shared" si="56"/>
        <v>2018</v>
      </c>
      <c r="AC1841" s="22">
        <f t="shared" si="57"/>
        <v>0.66</v>
      </c>
    </row>
    <row r="1842" spans="1:29">
      <c r="A1842" s="8" t="s">
        <v>8632</v>
      </c>
      <c r="B1842" s="17" t="s">
        <v>7800</v>
      </c>
      <c r="C1842" s="13">
        <v>43300</v>
      </c>
      <c r="D1842" s="13" t="s">
        <v>8465</v>
      </c>
      <c r="E1842" s="10" t="s">
        <v>8635</v>
      </c>
      <c r="F1842" s="10" t="s">
        <v>8635</v>
      </c>
      <c r="H1842" s="2" t="s">
        <v>67</v>
      </c>
      <c r="L1842" s="18">
        <v>1</v>
      </c>
      <c r="N1842" s="13">
        <v>43955</v>
      </c>
      <c r="O1842" s="29">
        <v>2.59</v>
      </c>
      <c r="P1842" s="18" t="s">
        <v>1107</v>
      </c>
      <c r="Q1842" s="18">
        <v>0</v>
      </c>
      <c r="W1842" s="14" t="s">
        <v>7777</v>
      </c>
      <c r="X1842" s="3">
        <v>3</v>
      </c>
      <c r="AB1842" s="18">
        <f t="shared" si="56"/>
        <v>2018</v>
      </c>
      <c r="AC1842" s="22">
        <f t="shared" si="57"/>
        <v>0.6</v>
      </c>
    </row>
    <row r="1843" spans="1:29" ht="38.25">
      <c r="A1843" s="8" t="s">
        <v>12187</v>
      </c>
      <c r="B1843" s="17" t="s">
        <v>7800</v>
      </c>
      <c r="C1843" s="13">
        <v>43298</v>
      </c>
      <c r="D1843" s="13" t="s">
        <v>8465</v>
      </c>
      <c r="E1843" s="10" t="s">
        <v>9397</v>
      </c>
      <c r="F1843" s="10" t="s">
        <v>1552</v>
      </c>
      <c r="G1843" s="11" t="s">
        <v>11510</v>
      </c>
      <c r="H1843" s="2" t="s">
        <v>80</v>
      </c>
      <c r="L1843" s="18">
        <v>1</v>
      </c>
      <c r="N1843" s="13">
        <v>44758</v>
      </c>
      <c r="O1843" s="29">
        <v>0</v>
      </c>
      <c r="P1843" s="18" t="s">
        <v>1107</v>
      </c>
      <c r="Q1843" s="18">
        <v>0</v>
      </c>
      <c r="V1843" s="22">
        <f>3.68/5</f>
        <v>0.73599999999999999</v>
      </c>
      <c r="W1843" s="14" t="s">
        <v>7777</v>
      </c>
      <c r="X1843" s="3">
        <v>3</v>
      </c>
      <c r="Z1843" s="23">
        <v>6</v>
      </c>
      <c r="AB1843" s="18">
        <f t="shared" si="56"/>
        <v>2018</v>
      </c>
      <c r="AC1843" s="22">
        <f t="shared" si="57"/>
        <v>0.66799999999999993</v>
      </c>
    </row>
    <row r="1844" spans="1:29">
      <c r="A1844" s="8" t="s">
        <v>8433</v>
      </c>
      <c r="B1844" s="17" t="s">
        <v>7800</v>
      </c>
      <c r="C1844" s="13">
        <v>43298</v>
      </c>
      <c r="D1844" s="13" t="s">
        <v>8465</v>
      </c>
      <c r="E1844" s="10" t="s">
        <v>1634</v>
      </c>
      <c r="F1844" s="10" t="s">
        <v>8434</v>
      </c>
      <c r="H1844" s="2" t="s">
        <v>143</v>
      </c>
      <c r="L1844" s="18">
        <v>1</v>
      </c>
      <c r="N1844" s="13">
        <v>43892</v>
      </c>
      <c r="O1844" s="29">
        <v>0</v>
      </c>
      <c r="P1844" s="18" t="s">
        <v>1107</v>
      </c>
      <c r="Q1844" s="18">
        <v>0</v>
      </c>
      <c r="V1844" s="22">
        <f>3.5/5</f>
        <v>0.7</v>
      </c>
      <c r="W1844" s="14" t="s">
        <v>7799</v>
      </c>
      <c r="X1844" s="3">
        <v>2</v>
      </c>
      <c r="AB1844" s="18">
        <f t="shared" si="56"/>
        <v>2018</v>
      </c>
      <c r="AC1844" s="22">
        <f t="shared" si="57"/>
        <v>0.55000000000000004</v>
      </c>
    </row>
    <row r="1845" spans="1:29">
      <c r="A1845" s="8" t="s">
        <v>7095</v>
      </c>
      <c r="B1845" s="17" t="s">
        <v>7800</v>
      </c>
      <c r="C1845" s="13">
        <v>43298</v>
      </c>
      <c r="D1845" s="13" t="s">
        <v>8465</v>
      </c>
      <c r="E1845" s="10" t="s">
        <v>3815</v>
      </c>
      <c r="F1845" s="10" t="s">
        <v>7096</v>
      </c>
      <c r="H1845" s="2" t="s">
        <v>78</v>
      </c>
      <c r="L1845" s="18">
        <v>1</v>
      </c>
      <c r="N1845" s="13">
        <v>43685</v>
      </c>
      <c r="O1845" s="29">
        <v>0</v>
      </c>
      <c r="P1845" s="18" t="s">
        <v>1107</v>
      </c>
      <c r="Q1845" s="18">
        <v>0</v>
      </c>
      <c r="U1845" s="22">
        <v>0.8</v>
      </c>
      <c r="V1845" s="22">
        <f>2.98/5</f>
        <v>0.59599999999999997</v>
      </c>
      <c r="W1845" s="14" t="s">
        <v>7097</v>
      </c>
      <c r="X1845" s="3">
        <v>2</v>
      </c>
      <c r="Z1845" s="23">
        <v>2</v>
      </c>
      <c r="AB1845" s="18">
        <f t="shared" si="56"/>
        <v>2018</v>
      </c>
      <c r="AC1845" s="22">
        <f t="shared" si="57"/>
        <v>0.59866666666666657</v>
      </c>
    </row>
    <row r="1846" spans="1:29">
      <c r="A1846" s="8" t="s">
        <v>7771</v>
      </c>
      <c r="B1846" s="17" t="s">
        <v>7800</v>
      </c>
      <c r="C1846" s="13">
        <v>43298</v>
      </c>
      <c r="D1846" s="13" t="s">
        <v>8465</v>
      </c>
      <c r="E1846" s="10" t="s">
        <v>7775</v>
      </c>
      <c r="F1846" s="10" t="s">
        <v>5454</v>
      </c>
      <c r="H1846" s="2" t="s">
        <v>1050</v>
      </c>
      <c r="L1846" s="18">
        <v>1</v>
      </c>
      <c r="N1846" s="13">
        <v>43716</v>
      </c>
      <c r="O1846" s="29">
        <v>0</v>
      </c>
      <c r="P1846" s="18" t="s">
        <v>1107</v>
      </c>
      <c r="Q1846" s="18">
        <v>0</v>
      </c>
      <c r="U1846" s="22">
        <v>0.73</v>
      </c>
      <c r="V1846" s="22">
        <f>2.71/5</f>
        <v>0.54200000000000004</v>
      </c>
      <c r="W1846" s="14" t="s">
        <v>7777</v>
      </c>
      <c r="X1846" s="3">
        <v>3</v>
      </c>
      <c r="Z1846" s="23">
        <v>4</v>
      </c>
      <c r="AB1846" s="18">
        <f t="shared" si="56"/>
        <v>2018</v>
      </c>
      <c r="AC1846" s="22">
        <f t="shared" si="57"/>
        <v>0.624</v>
      </c>
    </row>
    <row r="1847" spans="1:29" ht="25.5">
      <c r="A1847" s="8" t="s">
        <v>1114</v>
      </c>
      <c r="B1847" s="17" t="s">
        <v>7744</v>
      </c>
      <c r="C1847" s="13">
        <v>43294</v>
      </c>
      <c r="D1847" s="13" t="s">
        <v>8465</v>
      </c>
      <c r="E1847" s="10" t="s">
        <v>86</v>
      </c>
      <c r="F1847" s="10" t="s">
        <v>1137</v>
      </c>
      <c r="G1847" s="11" t="s">
        <v>137</v>
      </c>
      <c r="H1847" s="2" t="s">
        <v>31</v>
      </c>
      <c r="L1847" s="18">
        <v>1</v>
      </c>
      <c r="N1847" s="13">
        <v>44214</v>
      </c>
      <c r="O1847" s="29">
        <v>4.55</v>
      </c>
      <c r="P1847" s="18" t="s">
        <v>1107</v>
      </c>
      <c r="Q1847" s="18">
        <v>0</v>
      </c>
      <c r="U1847" s="22">
        <v>0.82</v>
      </c>
      <c r="V1847" s="22">
        <f>3.93/5</f>
        <v>0.78600000000000003</v>
      </c>
      <c r="X1847" s="3">
        <v>2</v>
      </c>
      <c r="Z1847" s="23">
        <v>7</v>
      </c>
      <c r="AB1847" s="18">
        <f t="shared" si="56"/>
        <v>2018</v>
      </c>
      <c r="AC1847" s="22">
        <f t="shared" si="57"/>
        <v>0.66866666666666663</v>
      </c>
    </row>
    <row r="1848" spans="1:29">
      <c r="A1848" s="8" t="s">
        <v>5380</v>
      </c>
      <c r="B1848" s="17" t="s">
        <v>7800</v>
      </c>
      <c r="C1848" s="13">
        <v>43294</v>
      </c>
      <c r="D1848" s="13" t="s">
        <v>8465</v>
      </c>
      <c r="E1848" s="10" t="s">
        <v>5381</v>
      </c>
      <c r="F1848" s="10" t="s">
        <v>5382</v>
      </c>
      <c r="H1848" s="2" t="s">
        <v>171</v>
      </c>
      <c r="L1848" s="18">
        <v>1</v>
      </c>
      <c r="N1848" s="13">
        <v>43367</v>
      </c>
      <c r="O1848" s="29">
        <v>1.99</v>
      </c>
      <c r="P1848" s="18" t="s">
        <v>1107</v>
      </c>
      <c r="Q1848" s="18">
        <v>0</v>
      </c>
      <c r="V1848" s="22">
        <f>3.61/5</f>
        <v>0.72199999999999998</v>
      </c>
      <c r="W1848" s="14" t="s">
        <v>7777</v>
      </c>
      <c r="X1848" s="3">
        <v>2</v>
      </c>
      <c r="Z1848" s="23">
        <v>10</v>
      </c>
      <c r="AB1848" s="18">
        <f t="shared" si="56"/>
        <v>2018</v>
      </c>
      <c r="AC1848" s="22">
        <f t="shared" si="57"/>
        <v>0.56099999999999994</v>
      </c>
    </row>
    <row r="1849" spans="1:29">
      <c r="A1849" s="8" t="s">
        <v>7900</v>
      </c>
      <c r="B1849" s="17" t="s">
        <v>7800</v>
      </c>
      <c r="C1849" s="13">
        <v>43293</v>
      </c>
      <c r="D1849" s="13" t="s">
        <v>8465</v>
      </c>
      <c r="E1849" s="10" t="s">
        <v>7901</v>
      </c>
      <c r="F1849" s="10" t="s">
        <v>7901</v>
      </c>
      <c r="H1849" s="2" t="s">
        <v>31</v>
      </c>
      <c r="L1849" s="18">
        <v>1</v>
      </c>
      <c r="N1849" s="13">
        <v>43742</v>
      </c>
      <c r="O1849" s="29">
        <v>0</v>
      </c>
      <c r="P1849" s="18" t="s">
        <v>1107</v>
      </c>
      <c r="Q1849" s="18">
        <v>0</v>
      </c>
      <c r="U1849" s="22">
        <v>0.85</v>
      </c>
      <c r="V1849" s="22">
        <f>2.8/5</f>
        <v>0.55999999999999994</v>
      </c>
      <c r="W1849" s="14" t="s">
        <v>7777</v>
      </c>
      <c r="X1849" s="3">
        <v>2</v>
      </c>
      <c r="Z1849" s="23">
        <v>5</v>
      </c>
      <c r="AB1849" s="18">
        <f t="shared" si="56"/>
        <v>2018</v>
      </c>
      <c r="AC1849" s="22">
        <f t="shared" si="57"/>
        <v>0.60333333333333339</v>
      </c>
    </row>
    <row r="1850" spans="1:29" ht="25.5">
      <c r="A1850" s="8" t="s">
        <v>8618</v>
      </c>
      <c r="B1850" s="17" t="s">
        <v>7800</v>
      </c>
      <c r="C1850" s="13">
        <v>43293</v>
      </c>
      <c r="D1850" s="13" t="s">
        <v>8465</v>
      </c>
      <c r="E1850" s="10" t="s">
        <v>8619</v>
      </c>
      <c r="F1850" s="10" t="s">
        <v>8620</v>
      </c>
      <c r="G1850" s="11" t="s">
        <v>5534</v>
      </c>
      <c r="H1850" s="2" t="s">
        <v>3123</v>
      </c>
      <c r="L1850" s="18">
        <v>1</v>
      </c>
      <c r="N1850" s="13">
        <v>43952</v>
      </c>
      <c r="O1850" s="29">
        <v>0</v>
      </c>
      <c r="P1850" s="18" t="s">
        <v>1107</v>
      </c>
      <c r="Q1850" s="18">
        <v>0</v>
      </c>
      <c r="U1850" s="22">
        <v>0.71</v>
      </c>
      <c r="V1850" s="22">
        <f>3/5</f>
        <v>0.6</v>
      </c>
      <c r="W1850" s="14" t="s">
        <v>7777</v>
      </c>
      <c r="X1850" s="3">
        <v>2</v>
      </c>
      <c r="Z1850" s="23">
        <v>7.5</v>
      </c>
      <c r="AB1850" s="18">
        <f t="shared" si="56"/>
        <v>2018</v>
      </c>
      <c r="AC1850" s="22">
        <f t="shared" si="57"/>
        <v>0.56999999999999995</v>
      </c>
    </row>
    <row r="1851" spans="1:29" ht="25.5">
      <c r="A1851" s="8" t="s">
        <v>1659</v>
      </c>
      <c r="B1851" s="17" t="s">
        <v>7744</v>
      </c>
      <c r="C1851" s="13">
        <v>43291</v>
      </c>
      <c r="D1851" s="13" t="s">
        <v>8465</v>
      </c>
      <c r="E1851" s="10" t="s">
        <v>455</v>
      </c>
      <c r="F1851" s="10" t="s">
        <v>1660</v>
      </c>
      <c r="G1851" s="11" t="s">
        <v>1661</v>
      </c>
      <c r="H1851" s="2" t="s">
        <v>149</v>
      </c>
      <c r="L1851" s="18">
        <v>1</v>
      </c>
      <c r="M1851" s="14" t="s">
        <v>8462</v>
      </c>
      <c r="N1851" s="13">
        <v>43653</v>
      </c>
      <c r="O1851" s="29">
        <v>19.97</v>
      </c>
      <c r="P1851" s="18" t="s">
        <v>14</v>
      </c>
      <c r="Q1851" s="18">
        <v>0</v>
      </c>
      <c r="U1851" s="22">
        <v>0.69</v>
      </c>
      <c r="V1851" s="22">
        <f>3.8/5</f>
        <v>0.76</v>
      </c>
      <c r="X1851" s="3">
        <v>3</v>
      </c>
      <c r="Z1851" s="23">
        <v>30.5</v>
      </c>
      <c r="AB1851" s="18">
        <f t="shared" si="56"/>
        <v>2018</v>
      </c>
      <c r="AC1851" s="22">
        <f t="shared" si="57"/>
        <v>0.68333333333333324</v>
      </c>
    </row>
    <row r="1852" spans="1:29" ht="25.5">
      <c r="A1852" s="8" t="s">
        <v>1645</v>
      </c>
      <c r="B1852" s="17" t="s">
        <v>7766</v>
      </c>
      <c r="C1852" s="13">
        <v>43284</v>
      </c>
      <c r="D1852" s="13" t="s">
        <v>8465</v>
      </c>
      <c r="E1852" s="10" t="s">
        <v>1583</v>
      </c>
      <c r="F1852" s="10" t="s">
        <v>1655</v>
      </c>
      <c r="G1852" s="11" t="s">
        <v>1646</v>
      </c>
      <c r="H1852" s="2" t="s">
        <v>1168</v>
      </c>
      <c r="L1852" s="18">
        <v>1</v>
      </c>
      <c r="M1852" s="14" t="s">
        <v>8462</v>
      </c>
      <c r="N1852" s="13">
        <v>43454</v>
      </c>
      <c r="O1852" s="29">
        <v>29.99</v>
      </c>
      <c r="P1852" s="18" t="s">
        <v>14</v>
      </c>
      <c r="Q1852" s="18">
        <v>0</v>
      </c>
      <c r="U1852" s="22">
        <v>0.7</v>
      </c>
      <c r="V1852" s="22">
        <f>3.61/5</f>
        <v>0.72199999999999998</v>
      </c>
      <c r="X1852" s="3">
        <v>2</v>
      </c>
      <c r="Z1852" s="23">
        <v>12</v>
      </c>
      <c r="AB1852" s="18">
        <f t="shared" si="56"/>
        <v>2018</v>
      </c>
      <c r="AC1852" s="22">
        <f t="shared" si="57"/>
        <v>0.60733333333333339</v>
      </c>
    </row>
    <row r="1853" spans="1:29" ht="30">
      <c r="A1853" s="8" t="s">
        <v>14232</v>
      </c>
      <c r="B1853" s="17" t="s">
        <v>7800</v>
      </c>
      <c r="C1853" s="13">
        <v>43284</v>
      </c>
      <c r="D1853" s="13" t="s">
        <v>8465</v>
      </c>
      <c r="E1853" s="10" t="s">
        <v>14233</v>
      </c>
      <c r="F1853" s="10" t="s">
        <v>14234</v>
      </c>
      <c r="H1853" s="2" t="s">
        <v>64</v>
      </c>
      <c r="L1853" s="18">
        <v>1</v>
      </c>
      <c r="O1853" s="29">
        <v>0</v>
      </c>
      <c r="P1853" s="18" t="s">
        <v>1107</v>
      </c>
      <c r="Q1853" s="18">
        <v>0</v>
      </c>
      <c r="V1853" s="22">
        <f>3.17/5</f>
        <v>0.63400000000000001</v>
      </c>
      <c r="W1853" s="14" t="s">
        <v>8765</v>
      </c>
      <c r="X1853" s="3">
        <v>2</v>
      </c>
      <c r="Z1853" s="23">
        <v>1.5</v>
      </c>
      <c r="AB1853" s="18">
        <f t="shared" si="56"/>
        <v>2018</v>
      </c>
      <c r="AC1853" s="22">
        <f t="shared" si="57"/>
        <v>0.51700000000000002</v>
      </c>
    </row>
    <row r="1854" spans="1:29">
      <c r="A1854" s="8" t="s">
        <v>14207</v>
      </c>
      <c r="B1854" s="17" t="s">
        <v>7800</v>
      </c>
      <c r="C1854" s="13">
        <v>43281</v>
      </c>
      <c r="D1854" s="13" t="s">
        <v>8465</v>
      </c>
      <c r="E1854" s="10" t="s">
        <v>14208</v>
      </c>
      <c r="F1854" s="10" t="s">
        <v>14208</v>
      </c>
      <c r="H1854" s="2" t="s">
        <v>78</v>
      </c>
      <c r="L1854" s="18">
        <v>1</v>
      </c>
      <c r="O1854" s="29">
        <v>0</v>
      </c>
      <c r="P1854" s="18" t="s">
        <v>1107</v>
      </c>
      <c r="Q1854" s="18">
        <v>0</v>
      </c>
      <c r="W1854" s="14" t="s">
        <v>8765</v>
      </c>
      <c r="X1854" s="3">
        <v>2</v>
      </c>
      <c r="Z1854" s="23">
        <v>2</v>
      </c>
      <c r="AB1854" s="18">
        <f t="shared" si="56"/>
        <v>2018</v>
      </c>
      <c r="AC1854" s="22">
        <f t="shared" si="57"/>
        <v>0.4</v>
      </c>
    </row>
    <row r="1855" spans="1:29" ht="25.5">
      <c r="A1855" s="8" t="s">
        <v>1575</v>
      </c>
      <c r="B1855" s="17" t="s">
        <v>7744</v>
      </c>
      <c r="C1855" s="13">
        <v>43280</v>
      </c>
      <c r="D1855" s="13" t="s">
        <v>8465</v>
      </c>
      <c r="E1855" s="10" t="s">
        <v>1273</v>
      </c>
      <c r="F1855" s="10" t="s">
        <v>1511</v>
      </c>
      <c r="G1855" s="11" t="s">
        <v>1576</v>
      </c>
      <c r="H1855" s="2" t="s">
        <v>1040</v>
      </c>
      <c r="L1855" s="18">
        <v>1</v>
      </c>
      <c r="M1855" s="14" t="s">
        <v>8462</v>
      </c>
      <c r="N1855" s="13">
        <v>43280</v>
      </c>
      <c r="O1855" s="29">
        <v>34.71</v>
      </c>
      <c r="P1855" s="18" t="s">
        <v>14</v>
      </c>
      <c r="Q1855" s="18">
        <v>0</v>
      </c>
      <c r="U1855" s="22">
        <v>0.77</v>
      </c>
      <c r="V1855" s="22">
        <f>3.84/5</f>
        <v>0.76800000000000002</v>
      </c>
      <c r="X1855" s="3">
        <v>4</v>
      </c>
      <c r="Z1855" s="23">
        <v>15</v>
      </c>
      <c r="AB1855" s="18">
        <f t="shared" si="56"/>
        <v>2018</v>
      </c>
      <c r="AC1855" s="22">
        <f t="shared" si="57"/>
        <v>0.77933333333333332</v>
      </c>
    </row>
    <row r="1856" spans="1:29" ht="25.5">
      <c r="A1856" s="8" t="s">
        <v>1575</v>
      </c>
      <c r="B1856" s="17" t="s">
        <v>7800</v>
      </c>
      <c r="C1856" s="13">
        <v>43280</v>
      </c>
      <c r="D1856" s="13" t="s">
        <v>8465</v>
      </c>
      <c r="E1856" s="10" t="s">
        <v>1273</v>
      </c>
      <c r="F1856" s="10" t="s">
        <v>1511</v>
      </c>
      <c r="G1856" s="11" t="s">
        <v>1576</v>
      </c>
      <c r="H1856" s="2" t="s">
        <v>1040</v>
      </c>
      <c r="L1856" s="18">
        <v>1</v>
      </c>
      <c r="N1856" s="13">
        <v>43742</v>
      </c>
      <c r="O1856" s="29">
        <v>0</v>
      </c>
      <c r="P1856" s="18" t="s">
        <v>1107</v>
      </c>
      <c r="Q1856" s="18">
        <v>0</v>
      </c>
      <c r="U1856" s="22">
        <v>0.6</v>
      </c>
      <c r="V1856" s="22">
        <f>4.01/5</f>
        <v>0.80199999999999994</v>
      </c>
      <c r="W1856" s="14" t="s">
        <v>7777</v>
      </c>
      <c r="X1856" s="3">
        <v>4</v>
      </c>
      <c r="Z1856" s="23">
        <v>15</v>
      </c>
      <c r="AB1856" s="18">
        <f t="shared" si="56"/>
        <v>2018</v>
      </c>
      <c r="AC1856" s="22">
        <f t="shared" si="57"/>
        <v>0.73399999999999999</v>
      </c>
    </row>
    <row r="1857" spans="1:29">
      <c r="A1857" s="8" t="s">
        <v>8249</v>
      </c>
      <c r="B1857" s="17" t="s">
        <v>7800</v>
      </c>
      <c r="C1857" s="13">
        <v>43280</v>
      </c>
      <c r="D1857" s="13" t="s">
        <v>8465</v>
      </c>
      <c r="E1857" s="10" t="s">
        <v>1047</v>
      </c>
      <c r="F1857" s="10" t="s">
        <v>8253</v>
      </c>
      <c r="G1857" s="11" t="s">
        <v>8248</v>
      </c>
      <c r="H1857" s="2" t="s">
        <v>150</v>
      </c>
      <c r="L1857" s="18">
        <v>1</v>
      </c>
      <c r="N1857" s="13">
        <v>43822</v>
      </c>
      <c r="O1857" s="29">
        <v>9</v>
      </c>
      <c r="P1857" s="18" t="s">
        <v>1107</v>
      </c>
      <c r="Q1857" s="18">
        <v>0</v>
      </c>
      <c r="U1857" s="22">
        <v>0.66</v>
      </c>
      <c r="V1857" s="22">
        <f>2.76/5</f>
        <v>0.55199999999999994</v>
      </c>
      <c r="W1857" s="14" t="s">
        <v>7798</v>
      </c>
      <c r="X1857" s="3">
        <v>3</v>
      </c>
      <c r="Z1857" s="23">
        <v>18</v>
      </c>
      <c r="AB1857" s="18">
        <f t="shared" ref="AB1857:AB1920" si="58">IFERROR(YEAR(C1857), "Early Access")</f>
        <v>2018</v>
      </c>
      <c r="AC1857" s="22">
        <f t="shared" ref="AC1857:AC1920" si="59">AVERAGE(T1857, U1857, V1857, IF(ISBLANK(X1857), X1857, X1857/5))</f>
        <v>0.60399999999999998</v>
      </c>
    </row>
    <row r="1858" spans="1:29" ht="30">
      <c r="A1858" s="8" t="s">
        <v>1620</v>
      </c>
      <c r="B1858" s="17" t="s">
        <v>7744</v>
      </c>
      <c r="C1858" s="13">
        <v>43277</v>
      </c>
      <c r="D1858" s="13" t="s">
        <v>8465</v>
      </c>
      <c r="E1858" s="10" t="s">
        <v>1621</v>
      </c>
      <c r="F1858" s="10" t="s">
        <v>1622</v>
      </c>
      <c r="G1858" s="11" t="s">
        <v>1623</v>
      </c>
      <c r="H1858" s="2" t="s">
        <v>1220</v>
      </c>
      <c r="L1858" s="18">
        <v>1</v>
      </c>
      <c r="M1858" s="14" t="s">
        <v>8462</v>
      </c>
      <c r="N1858" s="13">
        <v>43602</v>
      </c>
      <c r="O1858" s="29">
        <v>37.909999999999997</v>
      </c>
      <c r="P1858" s="18" t="s">
        <v>14</v>
      </c>
      <c r="Q1858" s="18">
        <v>0</v>
      </c>
      <c r="U1858" s="22">
        <v>0.86</v>
      </c>
      <c r="V1858" s="22">
        <f>4.09/5</f>
        <v>0.81799999999999995</v>
      </c>
      <c r="W1858" s="14" t="s">
        <v>1134</v>
      </c>
      <c r="X1858" s="3">
        <v>2</v>
      </c>
      <c r="Z1858" s="23">
        <v>2.5</v>
      </c>
      <c r="AB1858" s="18">
        <f t="shared" si="58"/>
        <v>2018</v>
      </c>
      <c r="AC1858" s="22">
        <f t="shared" si="59"/>
        <v>0.69266666666666665</v>
      </c>
    </row>
    <row r="1859" spans="1:29" ht="30">
      <c r="A1859" s="9" t="s">
        <v>1628</v>
      </c>
      <c r="B1859" s="17" t="s">
        <v>7744</v>
      </c>
      <c r="C1859" s="13">
        <v>43273</v>
      </c>
      <c r="D1859" s="13" t="s">
        <v>8465</v>
      </c>
      <c r="E1859" s="10" t="s">
        <v>86</v>
      </c>
      <c r="F1859" s="10" t="s">
        <v>1160</v>
      </c>
      <c r="G1859" s="11" t="s">
        <v>877</v>
      </c>
      <c r="H1859" s="2" t="s">
        <v>255</v>
      </c>
      <c r="L1859" s="18">
        <v>1</v>
      </c>
      <c r="M1859" s="14" t="s">
        <v>8462</v>
      </c>
      <c r="N1859" s="13">
        <v>43273</v>
      </c>
      <c r="O1859" s="29">
        <v>59.96</v>
      </c>
      <c r="P1859" s="18" t="s">
        <v>14</v>
      </c>
      <c r="Q1859" s="18">
        <v>0</v>
      </c>
      <c r="U1859" s="22">
        <v>0.73</v>
      </c>
      <c r="V1859" s="22">
        <f>3.67/5</f>
        <v>0.73399999999999999</v>
      </c>
      <c r="X1859" s="3">
        <v>3</v>
      </c>
      <c r="Z1859" s="23">
        <v>5</v>
      </c>
      <c r="AB1859" s="18">
        <f t="shared" si="58"/>
        <v>2018</v>
      </c>
      <c r="AC1859" s="22">
        <f t="shared" si="59"/>
        <v>0.68800000000000006</v>
      </c>
    </row>
    <row r="1860" spans="1:29">
      <c r="A1860" s="8" t="s">
        <v>8718</v>
      </c>
      <c r="B1860" s="17" t="s">
        <v>7760</v>
      </c>
      <c r="C1860" s="13">
        <v>43270</v>
      </c>
      <c r="D1860" s="13" t="s">
        <v>8465</v>
      </c>
      <c r="E1860" s="10" t="s">
        <v>1062</v>
      </c>
      <c r="F1860" s="10" t="s">
        <v>8719</v>
      </c>
      <c r="G1860" s="11" t="s">
        <v>8720</v>
      </c>
      <c r="H1860" s="2" t="s">
        <v>1377</v>
      </c>
      <c r="L1860" s="18">
        <v>1</v>
      </c>
      <c r="N1860" s="13">
        <v>43982</v>
      </c>
      <c r="O1860" s="29">
        <v>19.989999999999998</v>
      </c>
      <c r="P1860" s="18" t="s">
        <v>1107</v>
      </c>
      <c r="Q1860" s="18">
        <v>0</v>
      </c>
      <c r="U1860" s="22">
        <v>0.62</v>
      </c>
      <c r="V1860" s="22">
        <f>3.87/5</f>
        <v>0.77400000000000002</v>
      </c>
      <c r="X1860" s="3">
        <v>3</v>
      </c>
      <c r="Z1860" s="23">
        <v>40.5</v>
      </c>
      <c r="AB1860" s="18">
        <f t="shared" si="58"/>
        <v>2018</v>
      </c>
      <c r="AC1860" s="22">
        <f t="shared" si="59"/>
        <v>0.66466666666666674</v>
      </c>
    </row>
    <row r="1861" spans="1:29">
      <c r="A1861" s="8" t="s">
        <v>1305</v>
      </c>
      <c r="B1861" s="17" t="s">
        <v>7744</v>
      </c>
      <c r="C1861" s="13">
        <v>43268</v>
      </c>
      <c r="D1861" s="13" t="s">
        <v>8465</v>
      </c>
      <c r="E1861" s="10" t="s">
        <v>1598</v>
      </c>
      <c r="F1861" s="10" t="s">
        <v>1599</v>
      </c>
      <c r="G1861" s="11" t="s">
        <v>1305</v>
      </c>
      <c r="H1861" s="2" t="s">
        <v>64</v>
      </c>
      <c r="L1861" s="18">
        <v>1</v>
      </c>
      <c r="M1861" s="14" t="s">
        <v>8462</v>
      </c>
      <c r="N1861" s="13">
        <v>43578</v>
      </c>
      <c r="O1861" s="29">
        <v>21.69</v>
      </c>
      <c r="P1861" s="18" t="s">
        <v>14</v>
      </c>
      <c r="Q1861" s="18">
        <v>0</v>
      </c>
      <c r="U1861" s="22">
        <v>0.8</v>
      </c>
      <c r="V1861" s="22">
        <f>3.96/5</f>
        <v>0.79200000000000004</v>
      </c>
      <c r="X1861" s="3">
        <v>3</v>
      </c>
      <c r="Z1861" s="23">
        <v>6</v>
      </c>
      <c r="AB1861" s="18">
        <f t="shared" si="58"/>
        <v>2018</v>
      </c>
      <c r="AC1861" s="22">
        <f t="shared" si="59"/>
        <v>0.73066666666666669</v>
      </c>
    </row>
    <row r="1862" spans="1:29" ht="45">
      <c r="A1862" s="8" t="s">
        <v>11653</v>
      </c>
      <c r="B1862" s="17" t="s">
        <v>7800</v>
      </c>
      <c r="C1862" s="13">
        <v>43266</v>
      </c>
      <c r="D1862" s="13" t="s">
        <v>8465</v>
      </c>
      <c r="E1862" s="10" t="s">
        <v>1156</v>
      </c>
      <c r="F1862" s="10" t="s">
        <v>4304</v>
      </c>
      <c r="G1862" s="11" t="s">
        <v>4305</v>
      </c>
      <c r="H1862" s="2" t="s">
        <v>80</v>
      </c>
      <c r="L1862" s="18">
        <v>1</v>
      </c>
      <c r="N1862" s="13">
        <v>44665</v>
      </c>
      <c r="O1862" s="29">
        <v>5.99</v>
      </c>
      <c r="P1862" s="18" t="s">
        <v>1107</v>
      </c>
      <c r="Q1862" s="18">
        <v>0</v>
      </c>
      <c r="V1862" s="22">
        <f>3.89/5</f>
        <v>0.77800000000000002</v>
      </c>
      <c r="W1862" s="14" t="s">
        <v>7777</v>
      </c>
      <c r="X1862" s="3">
        <v>3</v>
      </c>
      <c r="Z1862" s="23">
        <v>7</v>
      </c>
      <c r="AB1862" s="18">
        <f t="shared" si="58"/>
        <v>2018</v>
      </c>
      <c r="AC1862" s="22">
        <f t="shared" si="59"/>
        <v>0.68900000000000006</v>
      </c>
    </row>
    <row r="1863" spans="1:29">
      <c r="A1863" s="8" t="s">
        <v>8362</v>
      </c>
      <c r="B1863" s="17" t="s">
        <v>7800</v>
      </c>
      <c r="C1863" s="13">
        <v>43265</v>
      </c>
      <c r="D1863" s="13" t="s">
        <v>8465</v>
      </c>
      <c r="E1863" s="10" t="s">
        <v>8363</v>
      </c>
      <c r="F1863" s="10" t="s">
        <v>8363</v>
      </c>
      <c r="H1863" s="2" t="s">
        <v>80</v>
      </c>
      <c r="I1863" s="18">
        <v>1</v>
      </c>
      <c r="L1863" s="18">
        <v>1</v>
      </c>
      <c r="N1863" s="13">
        <v>43880</v>
      </c>
      <c r="O1863" s="29">
        <v>0</v>
      </c>
      <c r="P1863" s="18" t="s">
        <v>1107</v>
      </c>
      <c r="Q1863" s="18">
        <v>0</v>
      </c>
      <c r="U1863" s="22">
        <v>0.76</v>
      </c>
      <c r="V1863" s="22">
        <f>3.06/5</f>
        <v>0.61199999999999999</v>
      </c>
      <c r="W1863" s="14" t="s">
        <v>7777</v>
      </c>
      <c r="X1863" s="3">
        <v>3</v>
      </c>
      <c r="Z1863" s="23">
        <v>5</v>
      </c>
      <c r="AB1863" s="18">
        <f t="shared" si="58"/>
        <v>2018</v>
      </c>
      <c r="AC1863" s="22">
        <f t="shared" si="59"/>
        <v>0.65733333333333333</v>
      </c>
    </row>
    <row r="1864" spans="1:29">
      <c r="A1864" s="8" t="s">
        <v>9290</v>
      </c>
      <c r="B1864" s="17" t="s">
        <v>7763</v>
      </c>
      <c r="C1864" s="13">
        <v>43263</v>
      </c>
      <c r="D1864" s="13" t="s">
        <v>8465</v>
      </c>
      <c r="E1864" s="10" t="s">
        <v>7877</v>
      </c>
      <c r="F1864" s="10" t="s">
        <v>9291</v>
      </c>
      <c r="G1864" s="11" t="s">
        <v>9265</v>
      </c>
      <c r="H1864" s="2" t="s">
        <v>1057</v>
      </c>
      <c r="L1864" s="18">
        <v>1</v>
      </c>
      <c r="M1864" s="14" t="s">
        <v>8462</v>
      </c>
      <c r="N1864" s="13">
        <v>44083</v>
      </c>
      <c r="O1864" s="29">
        <v>29.99</v>
      </c>
      <c r="P1864" s="18" t="s">
        <v>14</v>
      </c>
      <c r="Q1864" s="18">
        <v>0</v>
      </c>
      <c r="V1864" s="22">
        <f>4.16/5</f>
        <v>0.83200000000000007</v>
      </c>
      <c r="X1864" s="3">
        <v>4</v>
      </c>
      <c r="Z1864" s="23">
        <v>50</v>
      </c>
      <c r="AB1864" s="18">
        <f t="shared" si="58"/>
        <v>2018</v>
      </c>
      <c r="AC1864" s="22">
        <f t="shared" si="59"/>
        <v>0.81600000000000006</v>
      </c>
    </row>
    <row r="1865" spans="1:29">
      <c r="A1865" s="8" t="s">
        <v>9265</v>
      </c>
      <c r="B1865" s="17" t="s">
        <v>7763</v>
      </c>
      <c r="C1865" s="13">
        <v>43263</v>
      </c>
      <c r="D1865" s="13" t="s">
        <v>8465</v>
      </c>
      <c r="E1865" s="10" t="s">
        <v>7877</v>
      </c>
      <c r="F1865" s="10" t="s">
        <v>9117</v>
      </c>
      <c r="G1865" s="11" t="s">
        <v>9265</v>
      </c>
      <c r="H1865" s="2" t="s">
        <v>1057</v>
      </c>
      <c r="L1865" s="18">
        <v>1</v>
      </c>
      <c r="M1865" s="14" t="s">
        <v>8462</v>
      </c>
      <c r="N1865" s="13">
        <v>44078</v>
      </c>
      <c r="O1865" s="29">
        <v>32.99</v>
      </c>
      <c r="P1865" s="18" t="s">
        <v>14</v>
      </c>
      <c r="Q1865" s="18">
        <v>0</v>
      </c>
      <c r="U1865" s="22">
        <v>0.77</v>
      </c>
      <c r="V1865" s="22">
        <f>3.8/5</f>
        <v>0.76</v>
      </c>
      <c r="X1865" s="3">
        <v>4</v>
      </c>
      <c r="Z1865" s="23">
        <v>22.5</v>
      </c>
      <c r="AB1865" s="18">
        <f t="shared" si="58"/>
        <v>2018</v>
      </c>
      <c r="AC1865" s="22">
        <f t="shared" si="59"/>
        <v>0.77666666666666673</v>
      </c>
    </row>
    <row r="1866" spans="1:29">
      <c r="A1866" s="8" t="s">
        <v>1607</v>
      </c>
      <c r="B1866" s="17" t="s">
        <v>7744</v>
      </c>
      <c r="C1866" s="13">
        <v>43263</v>
      </c>
      <c r="D1866" s="13" t="s">
        <v>8465</v>
      </c>
      <c r="E1866" s="10" t="s">
        <v>1608</v>
      </c>
      <c r="F1866" s="10" t="s">
        <v>1608</v>
      </c>
      <c r="G1866" s="11" t="s">
        <v>1607</v>
      </c>
      <c r="H1866" s="2" t="s">
        <v>151</v>
      </c>
      <c r="L1866" s="18">
        <v>1</v>
      </c>
      <c r="M1866" s="14" t="s">
        <v>8462</v>
      </c>
      <c r="N1866" s="13">
        <v>43616</v>
      </c>
      <c r="O1866" s="29">
        <v>40.47</v>
      </c>
      <c r="P1866" s="18" t="s">
        <v>14</v>
      </c>
      <c r="Q1866" s="18">
        <v>0</v>
      </c>
      <c r="U1866" s="22">
        <v>0.9</v>
      </c>
      <c r="V1866" s="22">
        <f>4.31/5</f>
        <v>0.86199999999999988</v>
      </c>
      <c r="X1866" s="3">
        <v>3</v>
      </c>
      <c r="Z1866" s="23">
        <v>23.5</v>
      </c>
      <c r="AB1866" s="18">
        <f t="shared" si="58"/>
        <v>2018</v>
      </c>
      <c r="AC1866" s="22">
        <f t="shared" si="59"/>
        <v>0.78733333333333333</v>
      </c>
    </row>
    <row r="1867" spans="1:29" ht="25.5">
      <c r="A1867" s="8" t="s">
        <v>8621</v>
      </c>
      <c r="B1867" s="17" t="s">
        <v>7800</v>
      </c>
      <c r="C1867" s="13">
        <v>43263</v>
      </c>
      <c r="D1867" s="13" t="s">
        <v>8465</v>
      </c>
      <c r="E1867" s="10" t="s">
        <v>4352</v>
      </c>
      <c r="F1867" s="10" t="s">
        <v>4352</v>
      </c>
      <c r="G1867" s="11" t="s">
        <v>2569</v>
      </c>
      <c r="H1867" s="2" t="s">
        <v>1334</v>
      </c>
      <c r="L1867" s="18">
        <v>1</v>
      </c>
      <c r="N1867" s="13">
        <v>43952</v>
      </c>
      <c r="O1867" s="29">
        <v>0</v>
      </c>
      <c r="P1867" s="18" t="s">
        <v>1107</v>
      </c>
      <c r="Q1867" s="18">
        <v>0</v>
      </c>
      <c r="U1867" s="22">
        <v>0.69</v>
      </c>
      <c r="V1867" s="22">
        <f>3.61/5</f>
        <v>0.72199999999999998</v>
      </c>
      <c r="W1867" s="14" t="s">
        <v>7777</v>
      </c>
      <c r="X1867" s="3">
        <v>3</v>
      </c>
      <c r="Z1867" s="23">
        <v>24</v>
      </c>
      <c r="AB1867" s="18">
        <f t="shared" si="58"/>
        <v>2018</v>
      </c>
      <c r="AC1867" s="22">
        <f t="shared" si="59"/>
        <v>0.67066666666666663</v>
      </c>
    </row>
    <row r="1868" spans="1:29">
      <c r="A1868" s="8" t="s">
        <v>12664</v>
      </c>
      <c r="B1868" s="17" t="s">
        <v>7800</v>
      </c>
      <c r="C1868" s="13">
        <v>43263</v>
      </c>
      <c r="D1868" s="13" t="s">
        <v>8465</v>
      </c>
      <c r="E1868" s="10" t="s">
        <v>9484</v>
      </c>
      <c r="F1868" s="10" t="s">
        <v>11439</v>
      </c>
      <c r="G1868" s="11" t="s">
        <v>12663</v>
      </c>
      <c r="H1868" s="2" t="s">
        <v>1061</v>
      </c>
      <c r="L1868" s="18">
        <v>1</v>
      </c>
      <c r="P1868" s="18" t="s">
        <v>1107</v>
      </c>
      <c r="Q1868" s="18">
        <v>0</v>
      </c>
      <c r="U1868" s="22">
        <v>0.5</v>
      </c>
      <c r="V1868" s="22">
        <f>2.65/5</f>
        <v>0.53</v>
      </c>
      <c r="W1868" s="14" t="s">
        <v>7777</v>
      </c>
      <c r="X1868" s="3">
        <v>2</v>
      </c>
      <c r="Z1868" s="23">
        <v>2.5</v>
      </c>
      <c r="AB1868" s="18">
        <f t="shared" si="58"/>
        <v>2018</v>
      </c>
      <c r="AC1868" s="22">
        <f t="shared" si="59"/>
        <v>0.47666666666666674</v>
      </c>
    </row>
    <row r="1869" spans="1:29">
      <c r="A1869" s="8" t="s">
        <v>9226</v>
      </c>
      <c r="B1869" s="17" t="s">
        <v>7800</v>
      </c>
      <c r="C1869" s="13">
        <v>43259</v>
      </c>
      <c r="D1869" s="13" t="s">
        <v>8465</v>
      </c>
      <c r="E1869" s="10" t="s">
        <v>231</v>
      </c>
      <c r="F1869" s="10" t="s">
        <v>9225</v>
      </c>
      <c r="G1869" s="11" t="s">
        <v>9224</v>
      </c>
      <c r="H1869" s="2" t="s">
        <v>27</v>
      </c>
      <c r="L1869" s="18">
        <v>1</v>
      </c>
      <c r="N1869" s="13">
        <v>44070</v>
      </c>
      <c r="O1869" s="29">
        <v>5.24</v>
      </c>
      <c r="P1869" s="18" t="s">
        <v>1107</v>
      </c>
      <c r="Q1869" s="18">
        <v>0</v>
      </c>
      <c r="U1869" s="22">
        <v>0.76</v>
      </c>
      <c r="V1869" s="22">
        <f>3.49/5</f>
        <v>0.69800000000000006</v>
      </c>
      <c r="W1869" s="14" t="s">
        <v>7777</v>
      </c>
      <c r="X1869" s="3">
        <v>4</v>
      </c>
      <c r="Z1869" s="23">
        <v>5</v>
      </c>
      <c r="AB1869" s="18">
        <f t="shared" si="58"/>
        <v>2018</v>
      </c>
      <c r="AC1869" s="22">
        <f t="shared" si="59"/>
        <v>0.75266666666666671</v>
      </c>
    </row>
    <row r="1870" spans="1:29" ht="25.5">
      <c r="A1870" s="8" t="s">
        <v>1684</v>
      </c>
      <c r="B1870" s="17" t="s">
        <v>7744</v>
      </c>
      <c r="C1870" s="13">
        <v>43258</v>
      </c>
      <c r="D1870" s="13" t="s">
        <v>8465</v>
      </c>
      <c r="E1870" s="10" t="s">
        <v>86</v>
      </c>
      <c r="F1870" s="10" t="s">
        <v>1138</v>
      </c>
      <c r="H1870" s="2" t="s">
        <v>31</v>
      </c>
      <c r="L1870" s="18">
        <v>1</v>
      </c>
      <c r="M1870" s="14" t="s">
        <v>8462</v>
      </c>
      <c r="N1870" s="13">
        <v>43541</v>
      </c>
      <c r="O1870" s="29">
        <v>23.68</v>
      </c>
      <c r="P1870" s="18" t="s">
        <v>14</v>
      </c>
      <c r="Q1870" s="18">
        <v>0</v>
      </c>
      <c r="U1870" s="22">
        <v>0.77</v>
      </c>
      <c r="V1870" s="22">
        <f>3.91/5</f>
        <v>0.78200000000000003</v>
      </c>
      <c r="X1870" s="3">
        <v>2</v>
      </c>
      <c r="Z1870" s="23">
        <v>15.5</v>
      </c>
      <c r="AB1870" s="18">
        <f t="shared" si="58"/>
        <v>2018</v>
      </c>
      <c r="AC1870" s="22">
        <f t="shared" si="59"/>
        <v>0.65066666666666662</v>
      </c>
    </row>
    <row r="1871" spans="1:29" ht="30">
      <c r="A1871" s="8" t="s">
        <v>8263</v>
      </c>
      <c r="B1871" s="17" t="s">
        <v>7800</v>
      </c>
      <c r="C1871" s="13">
        <v>43256</v>
      </c>
      <c r="D1871" s="13" t="s">
        <v>8465</v>
      </c>
      <c r="E1871" s="10" t="s">
        <v>3493</v>
      </c>
      <c r="F1871" s="10" t="s">
        <v>4321</v>
      </c>
      <c r="H1871" s="2" t="s">
        <v>171</v>
      </c>
      <c r="L1871" s="18">
        <v>1</v>
      </c>
      <c r="N1871" s="13">
        <v>43827</v>
      </c>
      <c r="O1871" s="29">
        <v>6.99</v>
      </c>
      <c r="P1871" s="18" t="s">
        <v>1107</v>
      </c>
      <c r="Q1871" s="18">
        <v>0</v>
      </c>
      <c r="U1871" s="22">
        <v>0.72</v>
      </c>
      <c r="V1871" s="22">
        <f>3.41/5</f>
        <v>0.68200000000000005</v>
      </c>
      <c r="W1871" s="14" t="s">
        <v>7777</v>
      </c>
      <c r="X1871" s="3">
        <v>3</v>
      </c>
      <c r="Z1871" s="23">
        <v>16</v>
      </c>
      <c r="AB1871" s="18">
        <f t="shared" si="58"/>
        <v>2018</v>
      </c>
      <c r="AC1871" s="22">
        <f t="shared" si="59"/>
        <v>0.66733333333333344</v>
      </c>
    </row>
    <row r="1872" spans="1:29">
      <c r="A1872" s="8" t="s">
        <v>6190</v>
      </c>
      <c r="B1872" s="17" t="s">
        <v>7760</v>
      </c>
      <c r="C1872" s="13">
        <v>43256</v>
      </c>
      <c r="D1872" s="13" t="s">
        <v>8465</v>
      </c>
      <c r="E1872" s="10" t="s">
        <v>1163</v>
      </c>
      <c r="F1872" s="10" t="s">
        <v>6191</v>
      </c>
      <c r="H1872" s="2" t="s">
        <v>1204</v>
      </c>
      <c r="L1872" s="18">
        <v>1</v>
      </c>
      <c r="N1872" s="13">
        <v>43442</v>
      </c>
      <c r="O1872" s="29">
        <v>0</v>
      </c>
      <c r="P1872" s="18" t="s">
        <v>1107</v>
      </c>
      <c r="Q1872" s="18">
        <v>0</v>
      </c>
      <c r="U1872" s="22">
        <v>0.78</v>
      </c>
      <c r="V1872" s="22">
        <f>3.47/5</f>
        <v>0.69400000000000006</v>
      </c>
      <c r="W1872" s="14" t="s">
        <v>6072</v>
      </c>
      <c r="X1872" s="3">
        <v>2</v>
      </c>
      <c r="Z1872" s="23">
        <v>12</v>
      </c>
      <c r="AB1872" s="18">
        <f t="shared" si="58"/>
        <v>2018</v>
      </c>
      <c r="AC1872" s="22">
        <f t="shared" si="59"/>
        <v>0.6246666666666667</v>
      </c>
    </row>
    <row r="1873" spans="1:29" ht="25.5">
      <c r="A1873" s="8" t="s">
        <v>5315</v>
      </c>
      <c r="B1873" s="17" t="s">
        <v>7800</v>
      </c>
      <c r="C1873" s="13">
        <v>43256</v>
      </c>
      <c r="D1873" s="13" t="s">
        <v>8465</v>
      </c>
      <c r="E1873" s="10" t="s">
        <v>5316</v>
      </c>
      <c r="F1873" s="10" t="s">
        <v>5316</v>
      </c>
      <c r="H1873" s="2" t="s">
        <v>171</v>
      </c>
      <c r="L1873" s="18">
        <v>1</v>
      </c>
      <c r="N1873" s="13">
        <v>43318</v>
      </c>
      <c r="O1873" s="29">
        <v>2.99</v>
      </c>
      <c r="P1873" s="18" t="s">
        <v>1107</v>
      </c>
      <c r="Q1873" s="18">
        <v>0</v>
      </c>
      <c r="V1873" s="22">
        <f>2.75/5</f>
        <v>0.55000000000000004</v>
      </c>
      <c r="W1873" s="14" t="s">
        <v>7777</v>
      </c>
      <c r="X1873" s="3">
        <v>2</v>
      </c>
      <c r="AB1873" s="18">
        <f t="shared" si="58"/>
        <v>2018</v>
      </c>
      <c r="AC1873" s="22">
        <f t="shared" si="59"/>
        <v>0.47500000000000003</v>
      </c>
    </row>
    <row r="1874" spans="1:29" ht="25.5">
      <c r="A1874" s="8" t="s">
        <v>9122</v>
      </c>
      <c r="B1874" s="17" t="s">
        <v>7800</v>
      </c>
      <c r="C1874" s="13">
        <v>43256</v>
      </c>
      <c r="D1874" s="13" t="s">
        <v>8465</v>
      </c>
      <c r="E1874" s="10" t="s">
        <v>7903</v>
      </c>
      <c r="F1874" s="10" t="s">
        <v>9125</v>
      </c>
      <c r="G1874" s="11" t="s">
        <v>9126</v>
      </c>
      <c r="H1874" s="2" t="s">
        <v>153</v>
      </c>
      <c r="L1874" s="18">
        <v>1</v>
      </c>
      <c r="N1874" s="13">
        <v>44046</v>
      </c>
      <c r="O1874" s="29">
        <v>0</v>
      </c>
      <c r="P1874" s="18" t="s">
        <v>1107</v>
      </c>
      <c r="Q1874" s="18">
        <v>0</v>
      </c>
      <c r="U1874" s="22">
        <v>0.3</v>
      </c>
      <c r="V1874" s="22">
        <f>3.19/5</f>
        <v>0.63800000000000001</v>
      </c>
      <c r="W1874" s="14" t="s">
        <v>7777</v>
      </c>
      <c r="X1874" s="3">
        <v>2</v>
      </c>
      <c r="Z1874" s="23">
        <v>3</v>
      </c>
      <c r="AB1874" s="18">
        <f t="shared" si="58"/>
        <v>2018</v>
      </c>
      <c r="AC1874" s="22">
        <f t="shared" si="59"/>
        <v>0.44600000000000001</v>
      </c>
    </row>
    <row r="1875" spans="1:29" ht="25.5">
      <c r="A1875" s="8" t="s">
        <v>9776</v>
      </c>
      <c r="B1875" s="17" t="s">
        <v>7800</v>
      </c>
      <c r="C1875" s="13">
        <v>43255</v>
      </c>
      <c r="D1875" s="13" t="s">
        <v>8465</v>
      </c>
      <c r="E1875" s="10" t="s">
        <v>3112</v>
      </c>
      <c r="F1875" s="10" t="s">
        <v>3861</v>
      </c>
      <c r="G1875" s="11" t="s">
        <v>9777</v>
      </c>
      <c r="H1875" s="2" t="s">
        <v>1377</v>
      </c>
      <c r="L1875" s="18">
        <v>1</v>
      </c>
      <c r="N1875" s="13">
        <v>44241</v>
      </c>
      <c r="O1875" s="29">
        <v>3.99</v>
      </c>
      <c r="P1875" s="18" t="s">
        <v>1107</v>
      </c>
      <c r="Q1875" s="18">
        <v>0</v>
      </c>
      <c r="V1875" s="22">
        <f>3.38/5</f>
        <v>0.67599999999999993</v>
      </c>
      <c r="W1875" s="14" t="s">
        <v>7777</v>
      </c>
      <c r="X1875" s="3">
        <v>3</v>
      </c>
      <c r="Z1875" s="23">
        <v>20.5</v>
      </c>
      <c r="AB1875" s="18">
        <f t="shared" si="58"/>
        <v>2018</v>
      </c>
      <c r="AC1875" s="22">
        <f t="shared" si="59"/>
        <v>0.6379999999999999</v>
      </c>
    </row>
    <row r="1876" spans="1:29">
      <c r="A1876" s="8" t="s">
        <v>3531</v>
      </c>
      <c r="B1876" s="17" t="s">
        <v>7800</v>
      </c>
      <c r="C1876" s="13">
        <v>43251</v>
      </c>
      <c r="D1876" s="13" t="s">
        <v>8465</v>
      </c>
      <c r="E1876" s="10" t="s">
        <v>9249</v>
      </c>
      <c r="F1876" s="10" t="s">
        <v>3532</v>
      </c>
      <c r="H1876" s="2" t="s">
        <v>3411</v>
      </c>
      <c r="L1876" s="18">
        <v>1</v>
      </c>
      <c r="N1876" s="13">
        <v>43497</v>
      </c>
      <c r="P1876" s="18" t="s">
        <v>1107</v>
      </c>
      <c r="Q1876" s="18">
        <v>0</v>
      </c>
      <c r="U1876" s="22">
        <v>0.75</v>
      </c>
      <c r="V1876" s="22">
        <f>3.24/5</f>
        <v>0.64800000000000002</v>
      </c>
      <c r="W1876" s="14" t="s">
        <v>7777</v>
      </c>
      <c r="X1876" s="3">
        <v>3</v>
      </c>
      <c r="Z1876" s="23">
        <v>19.5</v>
      </c>
      <c r="AB1876" s="18">
        <f t="shared" si="58"/>
        <v>2018</v>
      </c>
      <c r="AC1876" s="22">
        <f t="shared" si="59"/>
        <v>0.66600000000000004</v>
      </c>
    </row>
    <row r="1877" spans="1:29">
      <c r="A1877" s="8" t="s">
        <v>7061</v>
      </c>
      <c r="B1877" s="17" t="s">
        <v>7800</v>
      </c>
      <c r="C1877" s="13">
        <v>43251</v>
      </c>
      <c r="D1877" s="13" t="s">
        <v>8465</v>
      </c>
      <c r="E1877" s="10" t="s">
        <v>1151</v>
      </c>
      <c r="F1877" s="10" t="s">
        <v>7062</v>
      </c>
      <c r="H1877" s="2" t="s">
        <v>80</v>
      </c>
      <c r="L1877" s="18">
        <v>1</v>
      </c>
      <c r="O1877" s="29">
        <v>0</v>
      </c>
      <c r="P1877" s="18" t="s">
        <v>1107</v>
      </c>
      <c r="Q1877" s="18">
        <v>0</v>
      </c>
      <c r="U1877" s="22">
        <v>0.63</v>
      </c>
      <c r="V1877" s="22">
        <f>3.45/5</f>
        <v>0.69000000000000006</v>
      </c>
      <c r="W1877" s="14" t="s">
        <v>7799</v>
      </c>
      <c r="X1877" s="3">
        <v>3</v>
      </c>
      <c r="Z1877" s="23">
        <v>10.5</v>
      </c>
      <c r="AB1877" s="18">
        <f t="shared" si="58"/>
        <v>2018</v>
      </c>
      <c r="AC1877" s="22">
        <f t="shared" si="59"/>
        <v>0.64</v>
      </c>
    </row>
    <row r="1878" spans="1:29" ht="25.5">
      <c r="A1878" s="8" t="s">
        <v>12251</v>
      </c>
      <c r="B1878" s="17" t="s">
        <v>7760</v>
      </c>
      <c r="C1878" s="13">
        <v>43251</v>
      </c>
      <c r="D1878" s="13" t="s">
        <v>9335</v>
      </c>
      <c r="E1878" s="10" t="s">
        <v>3568</v>
      </c>
      <c r="F1878" s="10" t="s">
        <v>12252</v>
      </c>
      <c r="G1878" s="11" t="s">
        <v>12253</v>
      </c>
      <c r="H1878" s="2" t="s">
        <v>75</v>
      </c>
      <c r="K1878" s="18">
        <v>2</v>
      </c>
      <c r="L1878" s="18">
        <v>1</v>
      </c>
      <c r="M1878" s="14" t="s">
        <v>8462</v>
      </c>
      <c r="N1878" s="13">
        <v>45099</v>
      </c>
      <c r="O1878" s="29">
        <v>74.180000000000007</v>
      </c>
      <c r="P1878" s="18" t="s">
        <v>14</v>
      </c>
      <c r="Q1878" s="18">
        <v>0</v>
      </c>
      <c r="V1878" s="22">
        <f>3.06/5</f>
        <v>0.61199999999999999</v>
      </c>
      <c r="X1878" s="3">
        <v>3</v>
      </c>
      <c r="Z1878" s="23">
        <v>12</v>
      </c>
      <c r="AB1878" s="18">
        <f t="shared" si="58"/>
        <v>2018</v>
      </c>
      <c r="AC1878" s="22">
        <f t="shared" si="59"/>
        <v>0.60599999999999998</v>
      </c>
    </row>
    <row r="1879" spans="1:29">
      <c r="A1879" s="8" t="s">
        <v>7047</v>
      </c>
      <c r="B1879" s="17" t="s">
        <v>7800</v>
      </c>
      <c r="C1879" s="13">
        <v>43251</v>
      </c>
      <c r="D1879" s="13" t="s">
        <v>8465</v>
      </c>
      <c r="E1879" s="10" t="s">
        <v>7048</v>
      </c>
      <c r="F1879" s="10" t="s">
        <v>7048</v>
      </c>
      <c r="H1879" s="2" t="s">
        <v>2138</v>
      </c>
      <c r="L1879" s="18">
        <v>1</v>
      </c>
      <c r="O1879" s="29">
        <v>0</v>
      </c>
      <c r="P1879" s="18" t="s">
        <v>1107</v>
      </c>
      <c r="Q1879" s="18">
        <v>0</v>
      </c>
      <c r="U1879" s="22">
        <v>0.74</v>
      </c>
      <c r="V1879" s="22">
        <f>4.07/5</f>
        <v>0.81400000000000006</v>
      </c>
      <c r="W1879" s="14" t="s">
        <v>7799</v>
      </c>
      <c r="X1879" s="3">
        <v>2</v>
      </c>
      <c r="Z1879" s="23">
        <v>8</v>
      </c>
      <c r="AB1879" s="18">
        <f t="shared" si="58"/>
        <v>2018</v>
      </c>
      <c r="AC1879" s="22">
        <f t="shared" si="59"/>
        <v>0.65133333333333343</v>
      </c>
    </row>
    <row r="1880" spans="1:29" ht="30">
      <c r="A1880" s="8" t="s">
        <v>9676</v>
      </c>
      <c r="B1880" s="17" t="s">
        <v>7760</v>
      </c>
      <c r="C1880" s="13">
        <v>43250</v>
      </c>
      <c r="D1880" s="13" t="s">
        <v>8465</v>
      </c>
      <c r="E1880" s="10" t="s">
        <v>170</v>
      </c>
      <c r="F1880" s="10" t="s">
        <v>474</v>
      </c>
      <c r="G1880" s="11" t="s">
        <v>450</v>
      </c>
      <c r="H1880" s="2" t="s">
        <v>147</v>
      </c>
      <c r="L1880" s="18">
        <v>1</v>
      </c>
      <c r="M1880" s="14" t="s">
        <v>8462</v>
      </c>
      <c r="N1880" s="13">
        <v>44008</v>
      </c>
      <c r="O1880" s="29">
        <v>38.119999999999997</v>
      </c>
      <c r="P1880" s="18" t="s">
        <v>14</v>
      </c>
      <c r="Q1880" s="18">
        <v>0</v>
      </c>
      <c r="V1880" s="22">
        <f>3.59/5</f>
        <v>0.71799999999999997</v>
      </c>
      <c r="W1880" s="14" t="s">
        <v>1134</v>
      </c>
      <c r="X1880" s="3">
        <v>3</v>
      </c>
      <c r="Z1880" s="23">
        <f>56/60</f>
        <v>0.93333333333333335</v>
      </c>
      <c r="AB1880" s="18">
        <f t="shared" si="58"/>
        <v>2018</v>
      </c>
      <c r="AC1880" s="22">
        <f t="shared" si="59"/>
        <v>0.65900000000000003</v>
      </c>
    </row>
    <row r="1881" spans="1:29">
      <c r="A1881" s="8" t="s">
        <v>5606</v>
      </c>
      <c r="B1881" s="17" t="s">
        <v>7800</v>
      </c>
      <c r="C1881" s="13">
        <v>43249</v>
      </c>
      <c r="D1881" s="13" t="s">
        <v>8465</v>
      </c>
      <c r="E1881" s="10" t="s">
        <v>1634</v>
      </c>
      <c r="F1881" s="10" t="s">
        <v>5607</v>
      </c>
      <c r="H1881" s="2" t="s">
        <v>151</v>
      </c>
      <c r="L1881" s="18">
        <v>1</v>
      </c>
      <c r="N1881" s="13">
        <v>43680</v>
      </c>
      <c r="O1881" s="29">
        <v>0</v>
      </c>
      <c r="P1881" s="18" t="s">
        <v>1107</v>
      </c>
      <c r="Q1881" s="18">
        <v>0</v>
      </c>
      <c r="U1881" s="22">
        <v>0.88</v>
      </c>
      <c r="V1881" s="22">
        <f>3.86/5</f>
        <v>0.77200000000000002</v>
      </c>
      <c r="W1881" s="14" t="s">
        <v>7777</v>
      </c>
      <c r="X1881" s="3">
        <v>4</v>
      </c>
      <c r="Z1881" s="23">
        <v>6</v>
      </c>
      <c r="AB1881" s="18">
        <f t="shared" si="58"/>
        <v>2018</v>
      </c>
      <c r="AC1881" s="22">
        <f t="shared" si="59"/>
        <v>0.81733333333333336</v>
      </c>
    </row>
    <row r="1882" spans="1:29">
      <c r="A1882" s="8" t="s">
        <v>4479</v>
      </c>
      <c r="B1882" s="17" t="s">
        <v>7800</v>
      </c>
      <c r="C1882" s="13">
        <v>43249</v>
      </c>
      <c r="D1882" s="13" t="s">
        <v>8465</v>
      </c>
      <c r="E1882" s="10" t="s">
        <v>1698</v>
      </c>
      <c r="F1882" s="10" t="s">
        <v>4480</v>
      </c>
      <c r="H1882" s="2" t="s">
        <v>171</v>
      </c>
      <c r="L1882" s="18">
        <v>1</v>
      </c>
      <c r="N1882" s="13">
        <v>43624</v>
      </c>
      <c r="O1882" s="29">
        <v>11</v>
      </c>
      <c r="P1882" s="18" t="s">
        <v>1107</v>
      </c>
      <c r="Q1882" s="18">
        <v>0</v>
      </c>
      <c r="U1882" s="22">
        <v>0.82</v>
      </c>
      <c r="V1882" s="22">
        <f>3.29/5</f>
        <v>0.65800000000000003</v>
      </c>
      <c r="W1882" s="14" t="s">
        <v>7777</v>
      </c>
      <c r="X1882" s="3">
        <v>3</v>
      </c>
      <c r="Z1882" s="23">
        <v>13.5</v>
      </c>
      <c r="AB1882" s="18">
        <f t="shared" si="58"/>
        <v>2018</v>
      </c>
      <c r="AC1882" s="22">
        <f t="shared" si="59"/>
        <v>0.69266666666666665</v>
      </c>
    </row>
    <row r="1883" spans="1:29">
      <c r="A1883" s="8" t="s">
        <v>7577</v>
      </c>
      <c r="B1883" s="17" t="s">
        <v>7800</v>
      </c>
      <c r="C1883" s="13">
        <v>43249</v>
      </c>
      <c r="D1883" s="13" t="s">
        <v>8465</v>
      </c>
      <c r="E1883" s="10" t="s">
        <v>7578</v>
      </c>
      <c r="F1883" s="10" t="s">
        <v>7578</v>
      </c>
      <c r="G1883" s="11" t="s">
        <v>7577</v>
      </c>
      <c r="H1883" s="2" t="s">
        <v>1061</v>
      </c>
      <c r="L1883" s="18">
        <v>1</v>
      </c>
      <c r="N1883" s="13">
        <v>43705</v>
      </c>
      <c r="O1883" s="29">
        <v>4.33</v>
      </c>
      <c r="P1883" s="18" t="s">
        <v>1107</v>
      </c>
      <c r="Q1883" s="18">
        <v>0</v>
      </c>
      <c r="U1883" s="22">
        <v>0.41</v>
      </c>
      <c r="V1883" s="22">
        <f>2.3/5</f>
        <v>0.45999999999999996</v>
      </c>
      <c r="W1883" s="14" t="s">
        <v>7777</v>
      </c>
      <c r="X1883" s="3">
        <v>2</v>
      </c>
      <c r="Z1883" s="23">
        <v>7.5</v>
      </c>
      <c r="AB1883" s="18">
        <f t="shared" si="58"/>
        <v>2018</v>
      </c>
      <c r="AC1883" s="22">
        <f t="shared" si="59"/>
        <v>0.42333333333333334</v>
      </c>
    </row>
    <row r="1884" spans="1:29" ht="30">
      <c r="A1884" s="8" t="s">
        <v>6115</v>
      </c>
      <c r="B1884" s="17" t="s">
        <v>7760</v>
      </c>
      <c r="C1884" s="13">
        <v>43245</v>
      </c>
      <c r="D1884" s="13" t="s">
        <v>8465</v>
      </c>
      <c r="E1884" s="10" t="s">
        <v>6107</v>
      </c>
      <c r="F1884" s="10" t="s">
        <v>4592</v>
      </c>
      <c r="H1884" s="2" t="s">
        <v>67</v>
      </c>
      <c r="L1884" s="18">
        <v>1</v>
      </c>
      <c r="M1884" s="14" t="s">
        <v>8462</v>
      </c>
      <c r="N1884" s="13">
        <v>43506</v>
      </c>
      <c r="O1884" s="29">
        <v>38.869999999999997</v>
      </c>
      <c r="P1884" s="18" t="s">
        <v>14</v>
      </c>
      <c r="Q1884" s="18">
        <v>0</v>
      </c>
      <c r="U1884" s="22">
        <v>0.77</v>
      </c>
      <c r="V1884" s="22">
        <f>4.03/5</f>
        <v>0.80600000000000005</v>
      </c>
      <c r="X1884" s="3">
        <v>4</v>
      </c>
      <c r="Z1884" s="23">
        <v>11.5</v>
      </c>
      <c r="AB1884" s="18">
        <f t="shared" si="58"/>
        <v>2018</v>
      </c>
      <c r="AC1884" s="22">
        <f t="shared" si="59"/>
        <v>0.79200000000000015</v>
      </c>
    </row>
    <row r="1885" spans="1:29" ht="25.5">
      <c r="A1885" s="8" t="s">
        <v>1579</v>
      </c>
      <c r="B1885" s="17" t="s">
        <v>7766</v>
      </c>
      <c r="C1885" s="13">
        <v>43245</v>
      </c>
      <c r="D1885" s="13" t="s">
        <v>8465</v>
      </c>
      <c r="E1885" s="10" t="s">
        <v>1509</v>
      </c>
      <c r="F1885" s="10" t="s">
        <v>1580</v>
      </c>
      <c r="G1885" s="11" t="s">
        <v>3566</v>
      </c>
      <c r="H1885" s="2" t="s">
        <v>171</v>
      </c>
      <c r="L1885" s="18">
        <v>1</v>
      </c>
      <c r="M1885" s="14" t="s">
        <v>8462</v>
      </c>
      <c r="N1885" s="13">
        <v>43491</v>
      </c>
      <c r="O1885" s="29">
        <v>63.77</v>
      </c>
      <c r="P1885" s="18" t="s">
        <v>14</v>
      </c>
      <c r="Q1885" s="18">
        <v>0</v>
      </c>
      <c r="U1885" s="22">
        <v>0.83</v>
      </c>
      <c r="V1885" s="22">
        <f>4.24/5</f>
        <v>0.84800000000000009</v>
      </c>
      <c r="W1885" s="14" t="s">
        <v>8844</v>
      </c>
      <c r="X1885" s="3">
        <v>2</v>
      </c>
      <c r="Z1885" s="23">
        <v>25.5</v>
      </c>
      <c r="AB1885" s="18">
        <f t="shared" si="58"/>
        <v>2018</v>
      </c>
      <c r="AC1885" s="22">
        <f t="shared" si="59"/>
        <v>0.69266666666666665</v>
      </c>
    </row>
    <row r="1886" spans="1:29">
      <c r="A1886" s="8" t="s">
        <v>12504</v>
      </c>
      <c r="B1886" s="17" t="s">
        <v>7800</v>
      </c>
      <c r="C1886" s="13">
        <v>43245</v>
      </c>
      <c r="D1886" s="13" t="s">
        <v>8465</v>
      </c>
      <c r="E1886" s="10" t="s">
        <v>2452</v>
      </c>
      <c r="F1886" s="10" t="s">
        <v>2127</v>
      </c>
      <c r="G1886" s="11" t="s">
        <v>4707</v>
      </c>
      <c r="H1886" s="2" t="s">
        <v>1169</v>
      </c>
      <c r="L1886" s="18">
        <v>1</v>
      </c>
      <c r="N1886" s="13">
        <v>44818</v>
      </c>
      <c r="O1886" s="29">
        <v>1.49</v>
      </c>
      <c r="P1886" s="18" t="s">
        <v>1107</v>
      </c>
      <c r="Q1886" s="18">
        <v>0</v>
      </c>
      <c r="W1886" s="14" t="s">
        <v>7777</v>
      </c>
      <c r="X1886" s="3">
        <v>3</v>
      </c>
      <c r="Z1886" s="23">
        <v>7.5</v>
      </c>
      <c r="AB1886" s="18">
        <f t="shared" si="58"/>
        <v>2018</v>
      </c>
      <c r="AC1886" s="22">
        <f t="shared" si="59"/>
        <v>0.6</v>
      </c>
    </row>
    <row r="1887" spans="1:29" ht="30">
      <c r="A1887" s="8" t="s">
        <v>1570</v>
      </c>
      <c r="B1887" s="17" t="s">
        <v>7744</v>
      </c>
      <c r="C1887" s="13">
        <v>43244</v>
      </c>
      <c r="D1887" s="13" t="s">
        <v>8465</v>
      </c>
      <c r="E1887" s="10" t="s">
        <v>1571</v>
      </c>
      <c r="F1887" s="10" t="s">
        <v>1070</v>
      </c>
      <c r="G1887" s="11" t="s">
        <v>1572</v>
      </c>
      <c r="H1887" s="2" t="s">
        <v>64</v>
      </c>
      <c r="L1887" s="18">
        <v>1</v>
      </c>
      <c r="M1887" s="14" t="s">
        <v>8462</v>
      </c>
      <c r="N1887" s="13">
        <v>43244</v>
      </c>
      <c r="O1887" s="29">
        <v>35.74</v>
      </c>
      <c r="P1887" s="18" t="s">
        <v>14</v>
      </c>
      <c r="Q1887" s="18">
        <v>0</v>
      </c>
      <c r="U1887" s="22">
        <v>0.81</v>
      </c>
      <c r="V1887" s="22">
        <f>4.01/5</f>
        <v>0.80199999999999994</v>
      </c>
      <c r="W1887" s="14" t="s">
        <v>1134</v>
      </c>
      <c r="X1887" s="3">
        <v>4</v>
      </c>
      <c r="Z1887" s="23">
        <v>2</v>
      </c>
      <c r="AB1887" s="18">
        <f t="shared" si="58"/>
        <v>2018</v>
      </c>
      <c r="AC1887" s="22">
        <f t="shared" si="59"/>
        <v>0.80399999999999994</v>
      </c>
    </row>
    <row r="1888" spans="1:29" ht="25.5">
      <c r="A1888" s="8" t="s">
        <v>10289</v>
      </c>
      <c r="B1888" s="17" t="s">
        <v>7749</v>
      </c>
      <c r="C1888" s="13">
        <v>43244</v>
      </c>
      <c r="D1888" s="13" t="s">
        <v>8465</v>
      </c>
      <c r="E1888" s="10" t="s">
        <v>86</v>
      </c>
      <c r="F1888" s="10" t="s">
        <v>2304</v>
      </c>
      <c r="G1888" s="11" t="s">
        <v>2429</v>
      </c>
      <c r="H1888" s="2" t="s">
        <v>1169</v>
      </c>
      <c r="L1888" s="18">
        <v>1</v>
      </c>
      <c r="N1888" s="13">
        <v>44621</v>
      </c>
      <c r="O1888" s="29">
        <v>39.99</v>
      </c>
      <c r="P1888" s="18" t="s">
        <v>1107</v>
      </c>
      <c r="Q1888" s="18">
        <v>0</v>
      </c>
      <c r="U1888" s="22">
        <v>0.69</v>
      </c>
      <c r="V1888" s="22">
        <f>3.7/5</f>
        <v>0.74</v>
      </c>
      <c r="X1888" s="3">
        <v>3</v>
      </c>
      <c r="Z1888" s="23">
        <v>18</v>
      </c>
      <c r="AB1888" s="18">
        <f t="shared" si="58"/>
        <v>2018</v>
      </c>
      <c r="AC1888" s="22">
        <f t="shared" si="59"/>
        <v>0.67666666666666664</v>
      </c>
    </row>
    <row r="1889" spans="1:29">
      <c r="A1889" s="8" t="s">
        <v>12717</v>
      </c>
      <c r="B1889" s="17" t="s">
        <v>7800</v>
      </c>
      <c r="C1889" s="13">
        <v>43244</v>
      </c>
      <c r="D1889" s="13" t="s">
        <v>8465</v>
      </c>
      <c r="E1889" s="10" t="s">
        <v>12721</v>
      </c>
      <c r="F1889" s="10" t="s">
        <v>12721</v>
      </c>
      <c r="H1889" s="2" t="s">
        <v>151</v>
      </c>
      <c r="L1889" s="18">
        <v>1</v>
      </c>
      <c r="N1889" s="13">
        <v>44837</v>
      </c>
      <c r="O1889" s="29">
        <v>2.99</v>
      </c>
      <c r="P1889" s="18" t="s">
        <v>1107</v>
      </c>
      <c r="Q1889" s="18">
        <v>0</v>
      </c>
      <c r="V1889" s="22">
        <f>3.55/5</f>
        <v>0.71</v>
      </c>
      <c r="W1889" s="14" t="s">
        <v>7777</v>
      </c>
      <c r="X1889" s="3">
        <v>3</v>
      </c>
      <c r="Z1889" s="23">
        <v>9.5</v>
      </c>
      <c r="AB1889" s="18">
        <f t="shared" si="58"/>
        <v>2018</v>
      </c>
      <c r="AC1889" s="22">
        <f t="shared" si="59"/>
        <v>0.65500000000000003</v>
      </c>
    </row>
    <row r="1890" spans="1:29">
      <c r="A1890" s="8" t="s">
        <v>1651</v>
      </c>
      <c r="B1890" s="17" t="s">
        <v>7744</v>
      </c>
      <c r="C1890" s="13">
        <v>43242</v>
      </c>
      <c r="D1890" s="13" t="s">
        <v>8465</v>
      </c>
      <c r="E1890" s="10" t="s">
        <v>1578</v>
      </c>
      <c r="F1890" s="10" t="s">
        <v>1652</v>
      </c>
      <c r="G1890" s="11" t="s">
        <v>1653</v>
      </c>
      <c r="H1890" s="2" t="s">
        <v>64</v>
      </c>
      <c r="L1890" s="18">
        <v>1</v>
      </c>
      <c r="M1890" s="14" t="s">
        <v>8462</v>
      </c>
      <c r="N1890" s="13">
        <v>43609</v>
      </c>
      <c r="O1890" s="29">
        <v>41.66</v>
      </c>
      <c r="P1890" s="18" t="s">
        <v>14</v>
      </c>
      <c r="Q1890" s="18">
        <v>0</v>
      </c>
      <c r="U1890" s="22">
        <v>0.74</v>
      </c>
      <c r="V1890" s="22">
        <f>3.56/5</f>
        <v>0.71199999999999997</v>
      </c>
      <c r="X1890" s="3">
        <v>4</v>
      </c>
      <c r="Z1890" s="23">
        <v>6</v>
      </c>
      <c r="AB1890" s="18">
        <f t="shared" si="58"/>
        <v>2018</v>
      </c>
      <c r="AC1890" s="22">
        <f t="shared" si="59"/>
        <v>0.75066666666666659</v>
      </c>
    </row>
    <row r="1891" spans="1:29">
      <c r="A1891" s="8" t="s">
        <v>4772</v>
      </c>
      <c r="B1891" s="17" t="s">
        <v>7800</v>
      </c>
      <c r="C1891" s="13">
        <v>43242</v>
      </c>
      <c r="D1891" s="13" t="s">
        <v>8465</v>
      </c>
      <c r="E1891" s="10" t="s">
        <v>4773</v>
      </c>
      <c r="F1891" s="10" t="s">
        <v>4773</v>
      </c>
      <c r="G1891" s="11" t="s">
        <v>4774</v>
      </c>
      <c r="H1891" s="2" t="s">
        <v>67</v>
      </c>
      <c r="L1891" s="18">
        <v>1</v>
      </c>
      <c r="N1891" s="13">
        <v>43624</v>
      </c>
      <c r="O1891" s="29">
        <v>2.99</v>
      </c>
      <c r="P1891" s="18" t="s">
        <v>1107</v>
      </c>
      <c r="Q1891" s="18">
        <v>0</v>
      </c>
      <c r="U1891" s="22">
        <v>0.74</v>
      </c>
      <c r="V1891" s="22">
        <f>3.4/5</f>
        <v>0.67999999999999994</v>
      </c>
      <c r="W1891" s="14" t="s">
        <v>7777</v>
      </c>
      <c r="X1891" s="3">
        <v>3</v>
      </c>
      <c r="Z1891" s="23">
        <v>2</v>
      </c>
      <c r="AB1891" s="18">
        <f t="shared" si="58"/>
        <v>2018</v>
      </c>
      <c r="AC1891" s="22">
        <f t="shared" si="59"/>
        <v>0.67333333333333334</v>
      </c>
    </row>
    <row r="1892" spans="1:29">
      <c r="A1892" s="8" t="s">
        <v>8224</v>
      </c>
      <c r="B1892" s="17" t="s">
        <v>7800</v>
      </c>
      <c r="C1892" s="13">
        <v>43242</v>
      </c>
      <c r="D1892" s="13" t="s">
        <v>8465</v>
      </c>
      <c r="E1892" s="10" t="s">
        <v>4514</v>
      </c>
      <c r="F1892" s="10" t="s">
        <v>8225</v>
      </c>
      <c r="H1892" s="2" t="s">
        <v>1143</v>
      </c>
      <c r="L1892" s="18">
        <v>1</v>
      </c>
      <c r="N1892" s="13">
        <v>43805</v>
      </c>
      <c r="O1892" s="29">
        <v>0</v>
      </c>
      <c r="P1892" s="18" t="s">
        <v>1107</v>
      </c>
      <c r="Q1892" s="18">
        <v>0</v>
      </c>
      <c r="U1892" s="22">
        <v>0.77749999999999997</v>
      </c>
      <c r="V1892" s="22">
        <f>3.03/5</f>
        <v>0.60599999999999998</v>
      </c>
      <c r="W1892" s="14" t="s">
        <v>7777</v>
      </c>
      <c r="X1892" s="3">
        <v>2</v>
      </c>
      <c r="Z1892" s="23">
        <v>27.5</v>
      </c>
      <c r="AB1892" s="18">
        <f t="shared" si="58"/>
        <v>2018</v>
      </c>
      <c r="AC1892" s="22">
        <f t="shared" si="59"/>
        <v>0.59450000000000003</v>
      </c>
    </row>
    <row r="1893" spans="1:29">
      <c r="A1893" s="8" t="s">
        <v>5346</v>
      </c>
      <c r="B1893" s="17" t="s">
        <v>7800</v>
      </c>
      <c r="C1893" s="13">
        <v>43240</v>
      </c>
      <c r="D1893" s="13" t="s">
        <v>8465</v>
      </c>
      <c r="E1893" s="10" t="s">
        <v>5347</v>
      </c>
      <c r="F1893" s="10" t="s">
        <v>5347</v>
      </c>
      <c r="H1893" s="2" t="s">
        <v>67</v>
      </c>
      <c r="L1893" s="18">
        <v>1</v>
      </c>
      <c r="N1893" s="13">
        <v>43455</v>
      </c>
      <c r="O1893" s="29">
        <v>1.19</v>
      </c>
      <c r="P1893" s="18" t="s">
        <v>1107</v>
      </c>
      <c r="Q1893" s="18">
        <v>0</v>
      </c>
      <c r="V1893" s="22">
        <f>3.69/5</f>
        <v>0.73799999999999999</v>
      </c>
      <c r="W1893" s="14" t="s">
        <v>7777</v>
      </c>
      <c r="X1893" s="3">
        <v>2</v>
      </c>
      <c r="Z1893" s="23">
        <v>2.5</v>
      </c>
      <c r="AB1893" s="18">
        <f t="shared" si="58"/>
        <v>2018</v>
      </c>
      <c r="AC1893" s="22">
        <f t="shared" si="59"/>
        <v>0.56899999999999995</v>
      </c>
    </row>
    <row r="1894" spans="1:29" ht="25.5">
      <c r="A1894" s="8" t="s">
        <v>1609</v>
      </c>
      <c r="B1894" s="17" t="s">
        <v>7744</v>
      </c>
      <c r="C1894" s="13">
        <v>43238</v>
      </c>
      <c r="D1894" s="13" t="s">
        <v>8465</v>
      </c>
      <c r="E1894" s="10" t="s">
        <v>86</v>
      </c>
      <c r="F1894" s="10" t="s">
        <v>1136</v>
      </c>
      <c r="G1894" s="11" t="s">
        <v>85</v>
      </c>
      <c r="H1894" s="2" t="s">
        <v>1059</v>
      </c>
      <c r="L1894" s="18">
        <v>1</v>
      </c>
      <c r="M1894" s="14" t="s">
        <v>8462</v>
      </c>
      <c r="N1894" s="13">
        <v>43238</v>
      </c>
      <c r="O1894" s="29">
        <v>52.07</v>
      </c>
      <c r="P1894" s="18" t="s">
        <v>14</v>
      </c>
      <c r="Q1894" s="18">
        <v>0</v>
      </c>
      <c r="U1894" s="22">
        <v>0.79</v>
      </c>
      <c r="V1894" s="22">
        <f>4.18/5</f>
        <v>0.83599999999999997</v>
      </c>
      <c r="X1894" s="3">
        <v>3</v>
      </c>
      <c r="Z1894" s="23">
        <v>15.5</v>
      </c>
      <c r="AB1894" s="18">
        <f t="shared" si="58"/>
        <v>2018</v>
      </c>
      <c r="AC1894" s="22">
        <f t="shared" si="59"/>
        <v>0.74199999999999999</v>
      </c>
    </row>
    <row r="1895" spans="1:29" ht="30">
      <c r="A1895" s="8" t="s">
        <v>7022</v>
      </c>
      <c r="B1895" s="17" t="s">
        <v>7800</v>
      </c>
      <c r="C1895" s="13">
        <v>43237</v>
      </c>
      <c r="D1895" s="13" t="s">
        <v>8465</v>
      </c>
      <c r="E1895" s="10" t="s">
        <v>4063</v>
      </c>
      <c r="F1895" s="10" t="s">
        <v>7023</v>
      </c>
      <c r="G1895" s="11" t="s">
        <v>7024</v>
      </c>
      <c r="H1895" s="2" t="s">
        <v>67</v>
      </c>
      <c r="L1895" s="18">
        <v>1</v>
      </c>
      <c r="N1895" s="13">
        <v>43846</v>
      </c>
      <c r="O1895" s="29">
        <v>0</v>
      </c>
      <c r="P1895" s="18" t="s">
        <v>1107</v>
      </c>
      <c r="Q1895" s="18">
        <v>0</v>
      </c>
      <c r="U1895" s="22">
        <v>0.85</v>
      </c>
      <c r="V1895" s="22">
        <f>3.52/5</f>
        <v>0.70399999999999996</v>
      </c>
      <c r="W1895" s="14" t="s">
        <v>7777</v>
      </c>
      <c r="X1895" s="3">
        <v>3</v>
      </c>
      <c r="Z1895" s="23">
        <v>3</v>
      </c>
      <c r="AB1895" s="18">
        <f t="shared" si="58"/>
        <v>2018</v>
      </c>
      <c r="AC1895" s="22">
        <f t="shared" si="59"/>
        <v>0.71799999999999997</v>
      </c>
    </row>
    <row r="1896" spans="1:29">
      <c r="A1896" s="8" t="s">
        <v>11304</v>
      </c>
      <c r="B1896" s="17" t="s">
        <v>7800</v>
      </c>
      <c r="C1896" s="13">
        <v>43237</v>
      </c>
      <c r="D1896" s="13" t="s">
        <v>8465</v>
      </c>
      <c r="E1896" s="10" t="s">
        <v>11305</v>
      </c>
      <c r="F1896" s="10" t="s">
        <v>11306</v>
      </c>
      <c r="G1896" s="11" t="s">
        <v>11307</v>
      </c>
      <c r="H1896" s="2" t="s">
        <v>67</v>
      </c>
      <c r="L1896" s="18">
        <v>1</v>
      </c>
      <c r="N1896" s="13">
        <v>44620</v>
      </c>
      <c r="O1896" s="29">
        <v>0</v>
      </c>
      <c r="P1896" s="18" t="s">
        <v>1107</v>
      </c>
      <c r="Q1896" s="18">
        <v>0</v>
      </c>
      <c r="U1896" s="22">
        <v>0.8</v>
      </c>
      <c r="V1896" s="22">
        <f>3.64/5</f>
        <v>0.72799999999999998</v>
      </c>
      <c r="W1896" s="14" t="s">
        <v>7777</v>
      </c>
      <c r="X1896" s="3">
        <v>3</v>
      </c>
      <c r="Z1896" s="23">
        <v>3</v>
      </c>
      <c r="AB1896" s="18">
        <f t="shared" si="58"/>
        <v>2018</v>
      </c>
      <c r="AC1896" s="22">
        <f t="shared" si="59"/>
        <v>0.70933333333333337</v>
      </c>
    </row>
    <row r="1897" spans="1:29">
      <c r="A1897" s="8" t="s">
        <v>10599</v>
      </c>
      <c r="B1897" s="17" t="s">
        <v>7800</v>
      </c>
      <c r="C1897" s="13">
        <v>43237</v>
      </c>
      <c r="D1897" s="13" t="s">
        <v>8465</v>
      </c>
      <c r="E1897" s="10" t="s">
        <v>10600</v>
      </c>
      <c r="F1897" s="10" t="s">
        <v>10601</v>
      </c>
      <c r="G1897" s="11" t="s">
        <v>10599</v>
      </c>
      <c r="H1897" s="2" t="s">
        <v>1334</v>
      </c>
      <c r="L1897" s="18">
        <v>1</v>
      </c>
      <c r="N1897" s="13">
        <v>44502</v>
      </c>
      <c r="O1897" s="29">
        <v>0</v>
      </c>
      <c r="P1897" s="18" t="s">
        <v>1107</v>
      </c>
      <c r="Q1897" s="18">
        <v>0</v>
      </c>
      <c r="U1897" s="22">
        <v>0.68</v>
      </c>
      <c r="V1897" s="22">
        <f>3.42/5</f>
        <v>0.68399999999999994</v>
      </c>
      <c r="W1897" s="14" t="s">
        <v>7777</v>
      </c>
      <c r="X1897" s="3">
        <v>3</v>
      </c>
      <c r="Z1897" s="23">
        <v>12</v>
      </c>
      <c r="AB1897" s="18">
        <f t="shared" si="58"/>
        <v>2018</v>
      </c>
      <c r="AC1897" s="22">
        <f t="shared" si="59"/>
        <v>0.65466666666666662</v>
      </c>
    </row>
    <row r="1898" spans="1:29" ht="30">
      <c r="A1898" s="8" t="s">
        <v>3948</v>
      </c>
      <c r="B1898" s="17" t="s">
        <v>7800</v>
      </c>
      <c r="C1898" s="13">
        <v>43237</v>
      </c>
      <c r="D1898" s="13" t="s">
        <v>8465</v>
      </c>
      <c r="E1898" s="10" t="s">
        <v>3949</v>
      </c>
      <c r="F1898" s="10" t="s">
        <v>3949</v>
      </c>
      <c r="H1898" s="2" t="s">
        <v>67</v>
      </c>
      <c r="L1898" s="18">
        <v>1</v>
      </c>
      <c r="N1898" s="13">
        <v>43450</v>
      </c>
      <c r="P1898" s="18" t="s">
        <v>1107</v>
      </c>
      <c r="Q1898" s="18">
        <v>0</v>
      </c>
      <c r="W1898" s="14" t="s">
        <v>7777</v>
      </c>
      <c r="X1898" s="3">
        <v>2</v>
      </c>
      <c r="Z1898" s="23">
        <v>1.5</v>
      </c>
      <c r="AB1898" s="18">
        <f t="shared" si="58"/>
        <v>2018</v>
      </c>
      <c r="AC1898" s="22">
        <f t="shared" si="59"/>
        <v>0.4</v>
      </c>
    </row>
    <row r="1899" spans="1:29">
      <c r="A1899" s="8" t="s">
        <v>15691</v>
      </c>
      <c r="B1899" s="17" t="s">
        <v>7744</v>
      </c>
      <c r="C1899" s="13">
        <v>43237</v>
      </c>
      <c r="D1899" s="13" t="s">
        <v>8465</v>
      </c>
      <c r="E1899" s="10" t="s">
        <v>1736</v>
      </c>
      <c r="F1899" s="10" t="s">
        <v>1737</v>
      </c>
      <c r="G1899" s="11" t="s">
        <v>15692</v>
      </c>
      <c r="H1899" s="2" t="s">
        <v>80</v>
      </c>
      <c r="L1899" s="18">
        <v>1</v>
      </c>
      <c r="N1899" s="13">
        <v>45169</v>
      </c>
      <c r="O1899" s="29">
        <v>3.99</v>
      </c>
      <c r="P1899" s="18" t="s">
        <v>1107</v>
      </c>
      <c r="Q1899" s="18">
        <v>0</v>
      </c>
      <c r="U1899" s="22">
        <v>0.73</v>
      </c>
      <c r="V1899" s="22">
        <f>4.02/5</f>
        <v>0.80399999999999994</v>
      </c>
      <c r="X1899" s="3">
        <v>2</v>
      </c>
      <c r="Z1899" s="23">
        <v>6.5</v>
      </c>
      <c r="AB1899" s="18">
        <f t="shared" si="58"/>
        <v>2018</v>
      </c>
      <c r="AC1899" s="22">
        <f t="shared" si="59"/>
        <v>0.64466666666666661</v>
      </c>
    </row>
    <row r="1900" spans="1:29" ht="38.25">
      <c r="A1900" s="8" t="s">
        <v>2406</v>
      </c>
      <c r="B1900" s="17" t="s">
        <v>7749</v>
      </c>
      <c r="C1900" s="13">
        <v>43235</v>
      </c>
      <c r="D1900" s="13" t="s">
        <v>8465</v>
      </c>
      <c r="E1900" s="10" t="s">
        <v>2461</v>
      </c>
      <c r="F1900" s="10" t="s">
        <v>228</v>
      </c>
      <c r="G1900" s="11" t="s">
        <v>1171</v>
      </c>
      <c r="H1900" s="2" t="s">
        <v>1377</v>
      </c>
      <c r="L1900" s="18">
        <v>1</v>
      </c>
      <c r="M1900" s="14" t="s">
        <v>8462</v>
      </c>
      <c r="N1900" s="13">
        <v>43591</v>
      </c>
      <c r="O1900" s="29">
        <v>28.75</v>
      </c>
      <c r="P1900" s="18" t="s">
        <v>14</v>
      </c>
      <c r="Q1900" s="18">
        <v>0</v>
      </c>
      <c r="U1900" s="22">
        <v>0.82</v>
      </c>
      <c r="V1900" s="22">
        <f>4.16/5</f>
        <v>0.83200000000000007</v>
      </c>
      <c r="X1900" s="3">
        <v>4</v>
      </c>
      <c r="Z1900" s="23">
        <v>44</v>
      </c>
      <c r="AB1900" s="18">
        <f t="shared" si="58"/>
        <v>2018</v>
      </c>
      <c r="AC1900" s="22">
        <f t="shared" si="59"/>
        <v>0.81733333333333336</v>
      </c>
    </row>
    <row r="1901" spans="1:29">
      <c r="A1901" s="8" t="s">
        <v>6123</v>
      </c>
      <c r="B1901" s="17" t="s">
        <v>7760</v>
      </c>
      <c r="C1901" s="13">
        <v>43235</v>
      </c>
      <c r="D1901" s="13" t="s">
        <v>8465</v>
      </c>
      <c r="E1901" s="10" t="s">
        <v>1062</v>
      </c>
      <c r="F1901" s="10" t="s">
        <v>1553</v>
      </c>
      <c r="H1901" s="2" t="s">
        <v>153</v>
      </c>
      <c r="L1901" s="18">
        <v>1</v>
      </c>
      <c r="M1901" s="14" t="s">
        <v>8462</v>
      </c>
      <c r="N1901" s="13">
        <v>43383</v>
      </c>
      <c r="O1901" s="29">
        <v>10.84</v>
      </c>
      <c r="P1901" s="18" t="s">
        <v>14</v>
      </c>
      <c r="Q1901" s="18">
        <v>0</v>
      </c>
      <c r="U1901" s="22">
        <v>0.8</v>
      </c>
      <c r="V1901" s="22">
        <f>4.06/5</f>
        <v>0.81199999999999994</v>
      </c>
      <c r="X1901" s="3">
        <v>3</v>
      </c>
      <c r="Z1901" s="23">
        <v>15</v>
      </c>
      <c r="AB1901" s="18">
        <f t="shared" si="58"/>
        <v>2018</v>
      </c>
      <c r="AC1901" s="22">
        <f t="shared" si="59"/>
        <v>0.7373333333333334</v>
      </c>
    </row>
    <row r="1902" spans="1:29">
      <c r="A1902" s="8" t="s">
        <v>5562</v>
      </c>
      <c r="B1902" s="17" t="s">
        <v>7800</v>
      </c>
      <c r="C1902" s="13">
        <v>43235</v>
      </c>
      <c r="D1902" s="13" t="s">
        <v>8465</v>
      </c>
      <c r="E1902" s="10" t="s">
        <v>5563</v>
      </c>
      <c r="F1902" s="10" t="s">
        <v>5563</v>
      </c>
      <c r="H1902" s="2" t="s">
        <v>1518</v>
      </c>
      <c r="L1902" s="18">
        <v>1</v>
      </c>
      <c r="N1902" s="13">
        <v>43455</v>
      </c>
      <c r="P1902" s="18" t="s">
        <v>1107</v>
      </c>
      <c r="Q1902" s="18">
        <v>0</v>
      </c>
      <c r="U1902" s="22">
        <v>0.73</v>
      </c>
      <c r="V1902" s="22">
        <f>3.77/5</f>
        <v>0.754</v>
      </c>
      <c r="W1902" s="14" t="s">
        <v>7777</v>
      </c>
      <c r="X1902" s="3">
        <v>3</v>
      </c>
      <c r="Z1902" s="23">
        <v>6</v>
      </c>
      <c r="AB1902" s="18">
        <f t="shared" si="58"/>
        <v>2018</v>
      </c>
      <c r="AC1902" s="22">
        <f t="shared" si="59"/>
        <v>0.69466666666666665</v>
      </c>
    </row>
    <row r="1903" spans="1:29">
      <c r="A1903" s="8" t="s">
        <v>3922</v>
      </c>
      <c r="B1903" s="17" t="s">
        <v>7800</v>
      </c>
      <c r="C1903" s="13">
        <v>43235</v>
      </c>
      <c r="D1903" s="13" t="s">
        <v>8465</v>
      </c>
      <c r="E1903" s="10" t="s">
        <v>1082</v>
      </c>
      <c r="F1903" s="10" t="s">
        <v>3923</v>
      </c>
      <c r="H1903" s="2" t="s">
        <v>67</v>
      </c>
      <c r="L1903" s="18">
        <v>1</v>
      </c>
      <c r="N1903" s="13">
        <v>43572</v>
      </c>
      <c r="O1903" s="29">
        <v>0</v>
      </c>
      <c r="P1903" s="18" t="s">
        <v>1107</v>
      </c>
      <c r="Q1903" s="18">
        <v>0</v>
      </c>
      <c r="U1903" s="22">
        <v>0.76</v>
      </c>
      <c r="V1903" s="22">
        <f>3.51/5</f>
        <v>0.70199999999999996</v>
      </c>
      <c r="W1903" s="14" t="s">
        <v>7777</v>
      </c>
      <c r="X1903" s="3">
        <v>2</v>
      </c>
      <c r="Z1903" s="23">
        <v>7</v>
      </c>
      <c r="AB1903" s="18">
        <f t="shared" si="58"/>
        <v>2018</v>
      </c>
      <c r="AC1903" s="22">
        <f t="shared" si="59"/>
        <v>0.6206666666666667</v>
      </c>
    </row>
    <row r="1904" spans="1:29">
      <c r="A1904" s="8" t="s">
        <v>8230</v>
      </c>
      <c r="B1904" s="17" t="s">
        <v>7800</v>
      </c>
      <c r="C1904" s="13">
        <v>43235</v>
      </c>
      <c r="D1904" s="13" t="s">
        <v>8465</v>
      </c>
      <c r="E1904" s="10" t="s">
        <v>8231</v>
      </c>
      <c r="F1904" s="10" t="s">
        <v>8231</v>
      </c>
      <c r="G1904" s="11" t="s">
        <v>8234</v>
      </c>
      <c r="H1904" s="2" t="s">
        <v>150</v>
      </c>
      <c r="L1904" s="18">
        <v>1</v>
      </c>
      <c r="N1904" s="13">
        <v>43805</v>
      </c>
      <c r="O1904" s="29">
        <v>0</v>
      </c>
      <c r="P1904" s="18" t="s">
        <v>1107</v>
      </c>
      <c r="Q1904" s="18">
        <v>0</v>
      </c>
      <c r="U1904" s="22">
        <v>0.72499999999999998</v>
      </c>
      <c r="V1904" s="22">
        <f>3.61/5</f>
        <v>0.72199999999999998</v>
      </c>
      <c r="W1904" s="14" t="s">
        <v>7777</v>
      </c>
      <c r="X1904" s="3">
        <v>2</v>
      </c>
      <c r="Z1904" s="23">
        <v>11.5</v>
      </c>
      <c r="AB1904" s="18">
        <f t="shared" si="58"/>
        <v>2018</v>
      </c>
      <c r="AC1904" s="22">
        <f t="shared" si="59"/>
        <v>0.6156666666666667</v>
      </c>
    </row>
    <row r="1905" spans="1:29">
      <c r="A1905" s="8" t="s">
        <v>14266</v>
      </c>
      <c r="B1905" s="17" t="s">
        <v>7800</v>
      </c>
      <c r="C1905" s="13">
        <v>43232</v>
      </c>
      <c r="D1905" s="13" t="s">
        <v>8465</v>
      </c>
      <c r="E1905" s="10" t="s">
        <v>14267</v>
      </c>
      <c r="F1905" s="10" t="s">
        <v>14267</v>
      </c>
      <c r="H1905" s="2" t="s">
        <v>143</v>
      </c>
      <c r="L1905" s="18">
        <v>1</v>
      </c>
      <c r="O1905" s="29">
        <v>0</v>
      </c>
      <c r="P1905" s="18" t="s">
        <v>1107</v>
      </c>
      <c r="Q1905" s="18">
        <v>0</v>
      </c>
      <c r="W1905" s="14" t="s">
        <v>8765</v>
      </c>
      <c r="X1905" s="3">
        <v>2</v>
      </c>
      <c r="Z1905" s="23">
        <v>1</v>
      </c>
      <c r="AB1905" s="18">
        <f t="shared" si="58"/>
        <v>2018</v>
      </c>
      <c r="AC1905" s="22">
        <f t="shared" si="59"/>
        <v>0.4</v>
      </c>
    </row>
    <row r="1906" spans="1:29">
      <c r="A1906" s="8" t="s">
        <v>14144</v>
      </c>
      <c r="B1906" s="17" t="s">
        <v>7800</v>
      </c>
      <c r="C1906" s="13">
        <v>43230</v>
      </c>
      <c r="D1906" s="13" t="s">
        <v>8465</v>
      </c>
      <c r="E1906" s="10" t="s">
        <v>14145</v>
      </c>
      <c r="F1906" s="10" t="s">
        <v>14145</v>
      </c>
      <c r="H1906" s="2" t="s">
        <v>149</v>
      </c>
      <c r="L1906" s="18">
        <v>1</v>
      </c>
      <c r="O1906" s="29">
        <v>0</v>
      </c>
      <c r="P1906" s="18" t="s">
        <v>1107</v>
      </c>
      <c r="Q1906" s="18">
        <v>0</v>
      </c>
      <c r="V1906" s="22">
        <f>2.83/5</f>
        <v>0.56600000000000006</v>
      </c>
      <c r="W1906" s="14" t="s">
        <v>8765</v>
      </c>
      <c r="X1906" s="3">
        <v>2</v>
      </c>
      <c r="Z1906" s="23">
        <v>4</v>
      </c>
      <c r="AB1906" s="18">
        <f t="shared" si="58"/>
        <v>2018</v>
      </c>
      <c r="AC1906" s="22">
        <f t="shared" si="59"/>
        <v>0.48300000000000004</v>
      </c>
    </row>
    <row r="1907" spans="1:29">
      <c r="A1907" s="8" t="s">
        <v>14268</v>
      </c>
      <c r="B1907" s="17" t="s">
        <v>7800</v>
      </c>
      <c r="C1907" s="13">
        <v>43229</v>
      </c>
      <c r="D1907" s="13" t="s">
        <v>8465</v>
      </c>
      <c r="E1907" s="10" t="s">
        <v>14269</v>
      </c>
      <c r="F1907" s="10" t="s">
        <v>14269</v>
      </c>
      <c r="H1907" s="2" t="s">
        <v>80</v>
      </c>
      <c r="L1907" s="18">
        <v>1</v>
      </c>
      <c r="O1907" s="29">
        <v>0</v>
      </c>
      <c r="P1907" s="18" t="s">
        <v>1107</v>
      </c>
      <c r="Q1907" s="18">
        <v>0</v>
      </c>
      <c r="W1907" s="14" t="s">
        <v>8765</v>
      </c>
      <c r="X1907" s="3">
        <v>2</v>
      </c>
      <c r="AB1907" s="18">
        <f t="shared" si="58"/>
        <v>2018</v>
      </c>
      <c r="AC1907" s="22">
        <f t="shared" si="59"/>
        <v>0.4</v>
      </c>
    </row>
    <row r="1908" spans="1:29" ht="30">
      <c r="A1908" s="8" t="s">
        <v>9461</v>
      </c>
      <c r="B1908" s="17" t="s">
        <v>7744</v>
      </c>
      <c r="C1908" s="13">
        <v>43228</v>
      </c>
      <c r="D1908" s="13" t="s">
        <v>8465</v>
      </c>
      <c r="E1908" s="10" t="s">
        <v>1084</v>
      </c>
      <c r="F1908" s="10" t="s">
        <v>1084</v>
      </c>
      <c r="G1908" s="11" t="s">
        <v>1150</v>
      </c>
      <c r="H1908" s="2" t="s">
        <v>151</v>
      </c>
      <c r="L1908" s="18">
        <v>1</v>
      </c>
      <c r="M1908" s="14" t="s">
        <v>8462</v>
      </c>
      <c r="N1908" s="13">
        <v>44085</v>
      </c>
      <c r="O1908" s="29">
        <v>38.119999999999997</v>
      </c>
      <c r="P1908" s="18" t="s">
        <v>14</v>
      </c>
      <c r="Q1908" s="18">
        <v>0</v>
      </c>
      <c r="U1908" s="22">
        <v>0.84</v>
      </c>
      <c r="V1908" s="22">
        <f>4.1/5</f>
        <v>0.82</v>
      </c>
      <c r="W1908" s="14" t="s">
        <v>1134</v>
      </c>
      <c r="X1908" s="3">
        <v>4</v>
      </c>
      <c r="Z1908" s="23">
        <v>7</v>
      </c>
      <c r="AB1908" s="18">
        <f t="shared" si="58"/>
        <v>2018</v>
      </c>
      <c r="AC1908" s="22">
        <f t="shared" si="59"/>
        <v>0.82</v>
      </c>
    </row>
    <row r="1909" spans="1:29" ht="25.5">
      <c r="A1909" s="8" t="s">
        <v>12511</v>
      </c>
      <c r="B1909" s="17" t="s">
        <v>7800</v>
      </c>
      <c r="C1909" s="13">
        <v>43228</v>
      </c>
      <c r="D1909" s="13" t="s">
        <v>8465</v>
      </c>
      <c r="E1909" s="10" t="s">
        <v>3212</v>
      </c>
      <c r="F1909" s="10" t="s">
        <v>3166</v>
      </c>
      <c r="G1909" s="11" t="s">
        <v>4692</v>
      </c>
      <c r="H1909" s="2" t="s">
        <v>1720</v>
      </c>
      <c r="L1909" s="18">
        <v>1</v>
      </c>
      <c r="N1909" s="13">
        <v>44818</v>
      </c>
      <c r="O1909" s="29">
        <v>0</v>
      </c>
      <c r="P1909" s="18" t="s">
        <v>1107</v>
      </c>
      <c r="Q1909" s="18">
        <v>0</v>
      </c>
      <c r="U1909" s="22">
        <v>0.88</v>
      </c>
      <c r="V1909" s="22">
        <f>3.81/5</f>
        <v>0.76200000000000001</v>
      </c>
      <c r="W1909" s="14" t="s">
        <v>7777</v>
      </c>
      <c r="X1909" s="3">
        <v>4</v>
      </c>
      <c r="Z1909" s="23">
        <v>42.5</v>
      </c>
      <c r="AB1909" s="18">
        <f t="shared" si="58"/>
        <v>2018</v>
      </c>
      <c r="AC1909" s="22">
        <f t="shared" si="59"/>
        <v>0.81400000000000006</v>
      </c>
    </row>
    <row r="1910" spans="1:29">
      <c r="A1910" s="8" t="s">
        <v>14235</v>
      </c>
      <c r="B1910" s="17" t="s">
        <v>7800</v>
      </c>
      <c r="C1910" s="13">
        <v>43227</v>
      </c>
      <c r="D1910" s="13" t="s">
        <v>8465</v>
      </c>
      <c r="E1910" s="10" t="s">
        <v>14236</v>
      </c>
      <c r="F1910" s="10" t="s">
        <v>14236</v>
      </c>
      <c r="H1910" s="2" t="s">
        <v>21</v>
      </c>
      <c r="L1910" s="18">
        <v>1</v>
      </c>
      <c r="O1910" s="29">
        <v>0</v>
      </c>
      <c r="P1910" s="18" t="s">
        <v>1107</v>
      </c>
      <c r="Q1910" s="18">
        <v>0</v>
      </c>
      <c r="W1910" s="14" t="s">
        <v>8765</v>
      </c>
      <c r="X1910" s="3">
        <v>2</v>
      </c>
      <c r="AB1910" s="18">
        <f t="shared" si="58"/>
        <v>2018</v>
      </c>
      <c r="AC1910" s="22">
        <f t="shared" si="59"/>
        <v>0.4</v>
      </c>
    </row>
    <row r="1911" spans="1:29">
      <c r="A1911" s="8" t="s">
        <v>7087</v>
      </c>
      <c r="B1911" s="17" t="s">
        <v>7800</v>
      </c>
      <c r="C1911" s="13">
        <v>43224</v>
      </c>
      <c r="D1911" s="13" t="s">
        <v>8465</v>
      </c>
      <c r="E1911" s="10" t="s">
        <v>5175</v>
      </c>
      <c r="F1911" s="10" t="s">
        <v>5175</v>
      </c>
      <c r="H1911" s="2" t="s">
        <v>1377</v>
      </c>
      <c r="L1911" s="18">
        <v>1</v>
      </c>
      <c r="N1911" s="13">
        <v>43619</v>
      </c>
      <c r="O1911" s="29">
        <v>0</v>
      </c>
      <c r="P1911" s="18" t="s">
        <v>1107</v>
      </c>
      <c r="Q1911" s="18">
        <v>0</v>
      </c>
      <c r="U1911" s="22">
        <v>0.74</v>
      </c>
      <c r="V1911" s="22">
        <f>2.66/5</f>
        <v>0.53200000000000003</v>
      </c>
      <c r="W1911" s="14" t="s">
        <v>7097</v>
      </c>
      <c r="X1911" s="3">
        <v>3</v>
      </c>
      <c r="Z1911" s="23">
        <v>5.5</v>
      </c>
      <c r="AB1911" s="18">
        <f t="shared" si="58"/>
        <v>2018</v>
      </c>
      <c r="AC1911" s="22">
        <f t="shared" si="59"/>
        <v>0.624</v>
      </c>
    </row>
    <row r="1912" spans="1:29" ht="38.25">
      <c r="A1912" s="8" t="s">
        <v>9571</v>
      </c>
      <c r="B1912" s="17" t="s">
        <v>7751</v>
      </c>
      <c r="C1912" s="12">
        <v>43221</v>
      </c>
      <c r="D1912" s="13" t="s">
        <v>8465</v>
      </c>
      <c r="E1912" s="10" t="s">
        <v>2634</v>
      </c>
      <c r="F1912" s="10" t="s">
        <v>2634</v>
      </c>
      <c r="H1912" s="2" t="s">
        <v>149</v>
      </c>
      <c r="L1912" s="18">
        <v>0</v>
      </c>
      <c r="Q1912" s="18">
        <v>0</v>
      </c>
      <c r="V1912" s="22">
        <f>3.7/5</f>
        <v>0.74</v>
      </c>
      <c r="X1912" s="3">
        <v>3</v>
      </c>
      <c r="Z1912" s="23">
        <v>17</v>
      </c>
      <c r="AB1912" s="18">
        <f t="shared" si="58"/>
        <v>2018</v>
      </c>
      <c r="AC1912" s="22">
        <f t="shared" si="59"/>
        <v>0.66999999999999993</v>
      </c>
    </row>
    <row r="1913" spans="1:29">
      <c r="A1913" s="8" t="s">
        <v>12368</v>
      </c>
      <c r="B1913" s="17" t="s">
        <v>7760</v>
      </c>
      <c r="C1913" s="13">
        <v>43216</v>
      </c>
      <c r="D1913" s="13" t="s">
        <v>9335</v>
      </c>
      <c r="E1913" s="10" t="s">
        <v>3568</v>
      </c>
      <c r="F1913" s="10" t="s">
        <v>11049</v>
      </c>
      <c r="G1913" s="11" t="s">
        <v>299</v>
      </c>
      <c r="H1913" s="2" t="s">
        <v>75</v>
      </c>
      <c r="K1913" s="18">
        <v>2</v>
      </c>
      <c r="L1913" s="18">
        <v>1</v>
      </c>
      <c r="M1913" s="14" t="s">
        <v>8462</v>
      </c>
      <c r="N1913" s="13">
        <v>44957</v>
      </c>
      <c r="O1913" s="29">
        <v>28.08</v>
      </c>
      <c r="P1913" s="18" t="s">
        <v>14</v>
      </c>
      <c r="Q1913" s="18">
        <v>0</v>
      </c>
      <c r="V1913" s="22">
        <f>4.11/5</f>
        <v>0.82200000000000006</v>
      </c>
      <c r="X1913" s="3">
        <v>3</v>
      </c>
      <c r="Z1913" s="23">
        <v>46.5</v>
      </c>
      <c r="AB1913" s="18">
        <f t="shared" si="58"/>
        <v>2018</v>
      </c>
      <c r="AC1913" s="22">
        <f t="shared" si="59"/>
        <v>0.71100000000000008</v>
      </c>
    </row>
    <row r="1914" spans="1:29" ht="38.25">
      <c r="A1914" s="8" t="s">
        <v>12505</v>
      </c>
      <c r="B1914" s="17" t="s">
        <v>7800</v>
      </c>
      <c r="C1914" s="13">
        <v>43215</v>
      </c>
      <c r="D1914" s="13" t="s">
        <v>8465</v>
      </c>
      <c r="E1914" s="10" t="s">
        <v>2298</v>
      </c>
      <c r="F1914" s="10" t="s">
        <v>12506</v>
      </c>
      <c r="G1914" s="11" t="s">
        <v>665</v>
      </c>
      <c r="H1914" s="2" t="s">
        <v>21</v>
      </c>
      <c r="L1914" s="18">
        <v>1</v>
      </c>
      <c r="N1914" s="13">
        <v>44818</v>
      </c>
      <c r="O1914" s="29">
        <v>1.99</v>
      </c>
      <c r="P1914" s="18" t="s">
        <v>1107</v>
      </c>
      <c r="Q1914" s="18">
        <v>0</v>
      </c>
      <c r="V1914" s="22">
        <f>3.5/5</f>
        <v>0.7</v>
      </c>
      <c r="W1914" s="14" t="s">
        <v>7777</v>
      </c>
      <c r="X1914" s="3">
        <v>2</v>
      </c>
      <c r="Z1914" s="23">
        <v>1</v>
      </c>
      <c r="AB1914" s="18">
        <f t="shared" si="58"/>
        <v>2018</v>
      </c>
      <c r="AC1914" s="22">
        <f t="shared" si="59"/>
        <v>0.55000000000000004</v>
      </c>
    </row>
    <row r="1915" spans="1:29">
      <c r="A1915" s="8" t="s">
        <v>8348</v>
      </c>
      <c r="B1915" s="17" t="s">
        <v>7800</v>
      </c>
      <c r="C1915" s="13">
        <v>43214</v>
      </c>
      <c r="D1915" s="13" t="s">
        <v>8465</v>
      </c>
      <c r="E1915" s="10" t="s">
        <v>1698</v>
      </c>
      <c r="F1915" s="10" t="s">
        <v>1698</v>
      </c>
      <c r="H1915" s="2" t="s">
        <v>1699</v>
      </c>
      <c r="L1915" s="18">
        <v>1</v>
      </c>
      <c r="N1915" s="13">
        <v>43870</v>
      </c>
      <c r="O1915" s="29">
        <v>0</v>
      </c>
      <c r="P1915" s="18" t="s">
        <v>1107</v>
      </c>
      <c r="Q1915" s="18">
        <v>0</v>
      </c>
      <c r="U1915" s="22">
        <v>0.84</v>
      </c>
      <c r="V1915" s="22">
        <f>3.87/5</f>
        <v>0.77400000000000002</v>
      </c>
      <c r="W1915" s="14" t="s">
        <v>7777</v>
      </c>
      <c r="X1915" s="3">
        <v>3</v>
      </c>
      <c r="Z1915" s="23">
        <v>10</v>
      </c>
      <c r="AB1915" s="18">
        <f t="shared" si="58"/>
        <v>2018</v>
      </c>
      <c r="AC1915" s="22">
        <f t="shared" si="59"/>
        <v>0.73799999999999999</v>
      </c>
    </row>
    <row r="1916" spans="1:29">
      <c r="A1916" s="8" t="s">
        <v>1433</v>
      </c>
      <c r="B1916" s="17" t="s">
        <v>7800</v>
      </c>
      <c r="C1916" s="13">
        <v>43214</v>
      </c>
      <c r="D1916" s="13" t="s">
        <v>8465</v>
      </c>
      <c r="E1916" s="10" t="s">
        <v>3453</v>
      </c>
      <c r="F1916" s="10" t="s">
        <v>4966</v>
      </c>
      <c r="G1916" s="11" t="s">
        <v>1433</v>
      </c>
      <c r="H1916" s="2" t="s">
        <v>3937</v>
      </c>
      <c r="L1916" s="18">
        <v>1</v>
      </c>
      <c r="N1916" s="13">
        <v>43716</v>
      </c>
      <c r="O1916" s="29">
        <v>11</v>
      </c>
      <c r="P1916" s="18" t="s">
        <v>1107</v>
      </c>
      <c r="Q1916" s="18">
        <v>0</v>
      </c>
      <c r="U1916" s="22">
        <v>0.79</v>
      </c>
      <c r="V1916" s="22">
        <f>3.91/5</f>
        <v>0.78200000000000003</v>
      </c>
      <c r="W1916" s="14" t="s">
        <v>7777</v>
      </c>
      <c r="X1916" s="3">
        <v>3</v>
      </c>
      <c r="Z1916" s="23">
        <v>51.5</v>
      </c>
      <c r="AB1916" s="18">
        <f t="shared" si="58"/>
        <v>2018</v>
      </c>
      <c r="AC1916" s="22">
        <f t="shared" si="59"/>
        <v>0.72400000000000009</v>
      </c>
    </row>
    <row r="1917" spans="1:29">
      <c r="A1917" s="8" t="s">
        <v>9408</v>
      </c>
      <c r="B1917" s="17" t="s">
        <v>7744</v>
      </c>
      <c r="C1917" s="13">
        <v>43214</v>
      </c>
      <c r="D1917" s="13" t="s">
        <v>8465</v>
      </c>
      <c r="E1917" s="10" t="s">
        <v>7877</v>
      </c>
      <c r="F1917" s="10" t="s">
        <v>1070</v>
      </c>
      <c r="G1917" s="11" t="s">
        <v>9294</v>
      </c>
      <c r="H1917" s="2" t="s">
        <v>1170</v>
      </c>
      <c r="L1917" s="18">
        <v>1</v>
      </c>
      <c r="M1917" s="14" t="s">
        <v>8462</v>
      </c>
      <c r="N1917" s="13">
        <v>44127</v>
      </c>
      <c r="O1917" s="29">
        <v>30.07</v>
      </c>
      <c r="P1917" s="18" t="s">
        <v>14</v>
      </c>
      <c r="Q1917" s="18">
        <v>0</v>
      </c>
      <c r="U1917" s="22">
        <v>0.62</v>
      </c>
      <c r="V1917" s="22">
        <f>3.86/5</f>
        <v>0.77200000000000002</v>
      </c>
      <c r="X1917" s="3">
        <v>3</v>
      </c>
      <c r="Z1917" s="23">
        <v>4.5</v>
      </c>
      <c r="AB1917" s="18">
        <f t="shared" si="58"/>
        <v>2018</v>
      </c>
      <c r="AC1917" s="22">
        <f t="shared" si="59"/>
        <v>0.66400000000000003</v>
      </c>
    </row>
    <row r="1918" spans="1:29" ht="25.5">
      <c r="A1918" s="8" t="s">
        <v>8616</v>
      </c>
      <c r="B1918" s="17" t="s">
        <v>7800</v>
      </c>
      <c r="C1918" s="13">
        <v>43214</v>
      </c>
      <c r="D1918" s="13" t="s">
        <v>8465</v>
      </c>
      <c r="E1918" s="10" t="s">
        <v>3063</v>
      </c>
      <c r="F1918" s="10" t="s">
        <v>8617</v>
      </c>
      <c r="H1918" s="2" t="s">
        <v>80</v>
      </c>
      <c r="L1918" s="18">
        <v>1</v>
      </c>
      <c r="N1918" s="13">
        <v>43952</v>
      </c>
      <c r="O1918" s="29">
        <v>0</v>
      </c>
      <c r="P1918" s="18" t="s">
        <v>1107</v>
      </c>
      <c r="Q1918" s="18">
        <v>0</v>
      </c>
      <c r="U1918" s="22">
        <v>0.74</v>
      </c>
      <c r="V1918" s="22">
        <f>3.57/5</f>
        <v>0.71399999999999997</v>
      </c>
      <c r="W1918" s="14" t="s">
        <v>7777</v>
      </c>
      <c r="X1918" s="3">
        <v>2</v>
      </c>
      <c r="Z1918" s="23">
        <v>8.5</v>
      </c>
      <c r="AB1918" s="18">
        <f t="shared" si="58"/>
        <v>2018</v>
      </c>
      <c r="AC1918" s="22">
        <f t="shared" si="59"/>
        <v>0.61799999999999999</v>
      </c>
    </row>
    <row r="1919" spans="1:29">
      <c r="A1919" s="8" t="s">
        <v>7020</v>
      </c>
      <c r="B1919" s="17" t="s">
        <v>7800</v>
      </c>
      <c r="C1919" s="13">
        <v>43209</v>
      </c>
      <c r="D1919" s="13" t="s">
        <v>8465</v>
      </c>
      <c r="E1919" s="10" t="s">
        <v>1151</v>
      </c>
      <c r="F1919" s="10" t="s">
        <v>7021</v>
      </c>
      <c r="H1919" s="2" t="s">
        <v>75</v>
      </c>
      <c r="L1919" s="18">
        <v>1</v>
      </c>
      <c r="N1919" s="13">
        <v>43648</v>
      </c>
      <c r="O1919" s="29">
        <v>0</v>
      </c>
      <c r="P1919" s="18" t="s">
        <v>1107</v>
      </c>
      <c r="Q1919" s="18">
        <v>0</v>
      </c>
      <c r="U1919" s="22">
        <v>0.75</v>
      </c>
      <c r="V1919" s="22">
        <f>3.29/5</f>
        <v>0.65800000000000003</v>
      </c>
      <c r="W1919" s="14" t="s">
        <v>7799</v>
      </c>
      <c r="X1919" s="3">
        <v>3</v>
      </c>
      <c r="Z1919" s="23">
        <v>13</v>
      </c>
      <c r="AB1919" s="18">
        <f t="shared" si="58"/>
        <v>2018</v>
      </c>
      <c r="AC1919" s="22">
        <f t="shared" si="59"/>
        <v>0.66933333333333334</v>
      </c>
    </row>
    <row r="1920" spans="1:29" ht="25.5">
      <c r="A1920" s="8" t="s">
        <v>6179</v>
      </c>
      <c r="B1920" s="17" t="s">
        <v>7760</v>
      </c>
      <c r="C1920" s="13">
        <v>43207</v>
      </c>
      <c r="D1920" s="13" t="s">
        <v>8465</v>
      </c>
      <c r="E1920" s="10" t="s">
        <v>455</v>
      </c>
      <c r="F1920" s="10" t="s">
        <v>5599</v>
      </c>
      <c r="G1920" s="11" t="s">
        <v>5600</v>
      </c>
      <c r="H1920" s="2" t="s">
        <v>80</v>
      </c>
      <c r="L1920" s="18">
        <v>1</v>
      </c>
      <c r="M1920" s="14" t="s">
        <v>8462</v>
      </c>
      <c r="N1920" s="13">
        <v>43502</v>
      </c>
      <c r="O1920" s="29">
        <v>19.989999999999998</v>
      </c>
      <c r="P1920" s="18" t="s">
        <v>14</v>
      </c>
      <c r="Q1920" s="18">
        <v>0</v>
      </c>
      <c r="U1920" s="22">
        <v>0.85</v>
      </c>
      <c r="V1920" s="22">
        <f>4.13/5</f>
        <v>0.82599999999999996</v>
      </c>
      <c r="X1920" s="3">
        <v>4</v>
      </c>
      <c r="Z1920" s="23">
        <v>19</v>
      </c>
      <c r="AB1920" s="18">
        <f t="shared" si="58"/>
        <v>2018</v>
      </c>
      <c r="AC1920" s="22">
        <f t="shared" si="59"/>
        <v>0.82533333333333336</v>
      </c>
    </row>
    <row r="1921" spans="1:29" ht="25.5">
      <c r="A1921" s="8" t="s">
        <v>8400</v>
      </c>
      <c r="B1921" s="17" t="s">
        <v>7800</v>
      </c>
      <c r="C1921" s="13">
        <v>43206</v>
      </c>
      <c r="D1921" s="13" t="s">
        <v>8465</v>
      </c>
      <c r="E1921" s="10" t="s">
        <v>1062</v>
      </c>
      <c r="F1921" s="10" t="s">
        <v>1245</v>
      </c>
      <c r="G1921" s="11" t="s">
        <v>304</v>
      </c>
      <c r="H1921" s="2" t="s">
        <v>171</v>
      </c>
      <c r="L1921" s="18">
        <v>1</v>
      </c>
      <c r="N1921" s="13">
        <v>43888</v>
      </c>
      <c r="O1921" s="29">
        <v>28.79</v>
      </c>
      <c r="P1921" s="18" t="s">
        <v>1107</v>
      </c>
      <c r="Q1921" s="18">
        <v>0</v>
      </c>
      <c r="U1921" s="22">
        <v>0.69</v>
      </c>
      <c r="V1921" s="22">
        <f>4.18/5</f>
        <v>0.83599999999999997</v>
      </c>
      <c r="W1921" s="14" t="s">
        <v>7777</v>
      </c>
      <c r="X1921" s="3">
        <v>4</v>
      </c>
      <c r="Z1921" s="23">
        <v>37</v>
      </c>
      <c r="AB1921" s="18">
        <f t="shared" ref="AB1921:AB1984" si="60">IFERROR(YEAR(C1921), "Early Access")</f>
        <v>2018</v>
      </c>
      <c r="AC1921" s="22">
        <f t="shared" ref="AC1921:AC1984" si="61">AVERAGE(T1921, U1921, V1921, IF(ISBLANK(X1921), X1921, X1921/5))</f>
        <v>0.77533333333333321</v>
      </c>
    </row>
    <row r="1922" spans="1:29">
      <c r="A1922" s="8" t="s">
        <v>8275</v>
      </c>
      <c r="B1922" s="17" t="s">
        <v>7800</v>
      </c>
      <c r="C1922" s="13">
        <v>43202</v>
      </c>
      <c r="D1922" s="13" t="s">
        <v>8465</v>
      </c>
      <c r="E1922" s="10" t="s">
        <v>8276</v>
      </c>
      <c r="F1922" s="10" t="s">
        <v>8276</v>
      </c>
      <c r="H1922" s="2" t="s">
        <v>1377</v>
      </c>
      <c r="L1922" s="18">
        <v>1</v>
      </c>
      <c r="N1922" s="13">
        <v>43829</v>
      </c>
      <c r="O1922" s="29">
        <v>0</v>
      </c>
      <c r="P1922" s="18" t="s">
        <v>1107</v>
      </c>
      <c r="Q1922" s="18">
        <v>0</v>
      </c>
      <c r="U1922" s="22">
        <v>0.77</v>
      </c>
      <c r="V1922" s="22">
        <f>3.25/5</f>
        <v>0.65</v>
      </c>
      <c r="W1922" s="14" t="s">
        <v>7777</v>
      </c>
      <c r="X1922" s="3">
        <v>3</v>
      </c>
      <c r="Z1922" s="23">
        <v>36.5</v>
      </c>
      <c r="AB1922" s="18">
        <f t="shared" si="60"/>
        <v>2018</v>
      </c>
      <c r="AC1922" s="22">
        <f t="shared" si="61"/>
        <v>0.67333333333333334</v>
      </c>
    </row>
    <row r="1923" spans="1:29" ht="38.25">
      <c r="A1923" s="8" t="s">
        <v>13095</v>
      </c>
      <c r="B1923" s="17" t="s">
        <v>7744</v>
      </c>
      <c r="C1923" s="13">
        <v>43202</v>
      </c>
      <c r="D1923" s="13" t="s">
        <v>8465</v>
      </c>
      <c r="E1923" s="10" t="s">
        <v>13096</v>
      </c>
      <c r="F1923" s="10" t="s">
        <v>8615</v>
      </c>
      <c r="H1923" s="2" t="s">
        <v>75</v>
      </c>
      <c r="L1923" s="18">
        <v>1</v>
      </c>
      <c r="N1923" s="13">
        <v>44925</v>
      </c>
      <c r="O1923" s="29">
        <v>4.99</v>
      </c>
      <c r="P1923" s="18" t="s">
        <v>1107</v>
      </c>
      <c r="Q1923" s="18">
        <v>0</v>
      </c>
      <c r="U1923" s="22">
        <v>0.72</v>
      </c>
      <c r="V1923" s="22">
        <f>3.39/5</f>
        <v>0.67800000000000005</v>
      </c>
      <c r="X1923" s="3">
        <v>3</v>
      </c>
      <c r="Z1923" s="23">
        <v>30.5</v>
      </c>
      <c r="AB1923" s="18">
        <f t="shared" si="60"/>
        <v>2018</v>
      </c>
      <c r="AC1923" s="22">
        <f t="shared" si="61"/>
        <v>0.66600000000000004</v>
      </c>
    </row>
    <row r="1924" spans="1:29">
      <c r="A1924" s="8" t="s">
        <v>8228</v>
      </c>
      <c r="B1924" s="17" t="s">
        <v>7800</v>
      </c>
      <c r="C1924" s="13">
        <v>43202</v>
      </c>
      <c r="D1924" s="13" t="s">
        <v>8465</v>
      </c>
      <c r="E1924" s="10" t="s">
        <v>3074</v>
      </c>
      <c r="F1924" s="10" t="s">
        <v>8229</v>
      </c>
      <c r="H1924" s="2" t="s">
        <v>149</v>
      </c>
      <c r="L1924" s="18">
        <v>1</v>
      </c>
      <c r="N1924" s="13">
        <v>43805</v>
      </c>
      <c r="O1924" s="29">
        <v>0</v>
      </c>
      <c r="P1924" s="18" t="s">
        <v>1107</v>
      </c>
      <c r="Q1924" s="18">
        <v>0</v>
      </c>
      <c r="U1924" s="22">
        <v>0.72</v>
      </c>
      <c r="V1924" s="22">
        <f>3.38/5</f>
        <v>0.67599999999999993</v>
      </c>
      <c r="W1924" s="14" t="s">
        <v>7777</v>
      </c>
      <c r="X1924" s="3">
        <v>2</v>
      </c>
      <c r="Z1924" s="23">
        <v>26</v>
      </c>
      <c r="AB1924" s="18">
        <f t="shared" si="60"/>
        <v>2018</v>
      </c>
      <c r="AC1924" s="22">
        <f t="shared" si="61"/>
        <v>0.59866666666666657</v>
      </c>
    </row>
    <row r="1925" spans="1:29">
      <c r="A1925" s="8" t="s">
        <v>12447</v>
      </c>
      <c r="B1925" s="17" t="s">
        <v>7800</v>
      </c>
      <c r="C1925" s="13">
        <v>43200</v>
      </c>
      <c r="D1925" s="13" t="s">
        <v>8465</v>
      </c>
      <c r="E1925" s="10" t="s">
        <v>12148</v>
      </c>
      <c r="F1925" s="10" t="s">
        <v>12450</v>
      </c>
      <c r="H1925" s="2" t="s">
        <v>1143</v>
      </c>
      <c r="L1925" s="18">
        <v>1</v>
      </c>
      <c r="N1925" s="13">
        <v>44809</v>
      </c>
      <c r="O1925" s="29">
        <v>1.39</v>
      </c>
      <c r="P1925" s="18" t="s">
        <v>1107</v>
      </c>
      <c r="Q1925" s="18">
        <v>0</v>
      </c>
      <c r="U1925" s="22">
        <v>0.71</v>
      </c>
      <c r="V1925" s="22">
        <f>3.72/5</f>
        <v>0.74399999999999999</v>
      </c>
      <c r="W1925" s="14" t="s">
        <v>7777</v>
      </c>
      <c r="X1925" s="3">
        <v>3</v>
      </c>
      <c r="Z1925" s="23">
        <v>5.5</v>
      </c>
      <c r="AB1925" s="18">
        <f t="shared" si="60"/>
        <v>2018</v>
      </c>
      <c r="AC1925" s="22">
        <f t="shared" si="61"/>
        <v>0.68466666666666665</v>
      </c>
    </row>
    <row r="1926" spans="1:29" ht="25.5">
      <c r="A1926" s="8" t="s">
        <v>9954</v>
      </c>
      <c r="B1926" s="17" t="s">
        <v>7763</v>
      </c>
      <c r="C1926" s="13">
        <v>43193</v>
      </c>
      <c r="D1926" s="13" t="s">
        <v>8465</v>
      </c>
      <c r="E1926" s="10" t="s">
        <v>1062</v>
      </c>
      <c r="F1926" s="10" t="s">
        <v>2285</v>
      </c>
      <c r="H1926" s="2" t="s">
        <v>171</v>
      </c>
      <c r="L1926" s="18">
        <v>1</v>
      </c>
      <c r="M1926" s="14" t="s">
        <v>8462</v>
      </c>
      <c r="N1926" s="13">
        <v>44293</v>
      </c>
      <c r="O1926" s="29">
        <v>29.13</v>
      </c>
      <c r="P1926" s="18" t="s">
        <v>14</v>
      </c>
      <c r="Q1926" s="18">
        <v>0</v>
      </c>
      <c r="V1926" s="22">
        <f>3.73/5</f>
        <v>0.746</v>
      </c>
      <c r="X1926" s="3">
        <v>3</v>
      </c>
      <c r="Z1926" s="23">
        <v>13</v>
      </c>
      <c r="AB1926" s="18">
        <f t="shared" si="60"/>
        <v>2018</v>
      </c>
      <c r="AC1926" s="22">
        <f t="shared" si="61"/>
        <v>0.67300000000000004</v>
      </c>
    </row>
    <row r="1927" spans="1:29" ht="30">
      <c r="A1927" s="8" t="s">
        <v>4456</v>
      </c>
      <c r="B1927" s="17" t="s">
        <v>7800</v>
      </c>
      <c r="C1927" s="13">
        <v>43193</v>
      </c>
      <c r="D1927" s="13" t="s">
        <v>8465</v>
      </c>
      <c r="E1927" s="10" t="s">
        <v>3063</v>
      </c>
      <c r="F1927" s="10" t="s">
        <v>4457</v>
      </c>
      <c r="G1927" s="11" t="s">
        <v>4456</v>
      </c>
      <c r="H1927" s="2" t="s">
        <v>67</v>
      </c>
      <c r="L1927" s="18">
        <v>1</v>
      </c>
      <c r="N1927" s="13">
        <v>43400</v>
      </c>
      <c r="O1927" s="29">
        <v>0</v>
      </c>
      <c r="P1927" s="18" t="s">
        <v>1107</v>
      </c>
      <c r="Q1927" s="18">
        <v>0</v>
      </c>
      <c r="U1927" s="22">
        <v>0.76</v>
      </c>
      <c r="V1927" s="22">
        <f>3.41/5</f>
        <v>0.68200000000000005</v>
      </c>
      <c r="W1927" s="14" t="s">
        <v>7777</v>
      </c>
      <c r="X1927" s="3">
        <v>3</v>
      </c>
      <c r="Z1927" s="23">
        <v>1.5</v>
      </c>
      <c r="AB1927" s="18">
        <f t="shared" si="60"/>
        <v>2018</v>
      </c>
      <c r="AC1927" s="22">
        <f t="shared" si="61"/>
        <v>0.68066666666666675</v>
      </c>
    </row>
    <row r="1928" spans="1:29">
      <c r="A1928" s="8" t="s">
        <v>5263</v>
      </c>
      <c r="B1928" s="17" t="s">
        <v>7800</v>
      </c>
      <c r="C1928" s="13">
        <v>43193</v>
      </c>
      <c r="D1928" s="13" t="s">
        <v>8465</v>
      </c>
      <c r="E1928" s="10" t="s">
        <v>5264</v>
      </c>
      <c r="F1928" s="10" t="s">
        <v>5265</v>
      </c>
      <c r="H1928" s="2" t="s">
        <v>56</v>
      </c>
      <c r="L1928" s="18">
        <v>1</v>
      </c>
      <c r="N1928" s="13">
        <v>43680</v>
      </c>
      <c r="O1928" s="29">
        <v>0</v>
      </c>
      <c r="P1928" s="18" t="s">
        <v>1107</v>
      </c>
      <c r="Q1928" s="18">
        <v>0</v>
      </c>
      <c r="U1928" s="22">
        <v>0.83</v>
      </c>
      <c r="V1928" s="22">
        <f>3.68/5</f>
        <v>0.73599999999999999</v>
      </c>
      <c r="W1928" s="14" t="s">
        <v>7777</v>
      </c>
      <c r="X1928" s="3">
        <v>2</v>
      </c>
      <c r="Z1928" s="23">
        <v>10</v>
      </c>
      <c r="AB1928" s="18">
        <f t="shared" si="60"/>
        <v>2018</v>
      </c>
      <c r="AC1928" s="22">
        <f t="shared" si="61"/>
        <v>0.65533333333333321</v>
      </c>
    </row>
    <row r="1929" spans="1:29" ht="30">
      <c r="A1929" s="8" t="s">
        <v>6165</v>
      </c>
      <c r="B1929" s="17" t="s">
        <v>7760</v>
      </c>
      <c r="C1929" s="13">
        <v>43193</v>
      </c>
      <c r="D1929" s="13" t="s">
        <v>8465</v>
      </c>
      <c r="E1929" s="10" t="s">
        <v>170</v>
      </c>
      <c r="F1929" s="10" t="s">
        <v>170</v>
      </c>
      <c r="G1929" s="11" t="s">
        <v>567</v>
      </c>
      <c r="H1929" s="2" t="s">
        <v>459</v>
      </c>
      <c r="L1929" s="18">
        <v>1</v>
      </c>
      <c r="M1929" s="14" t="s">
        <v>8462</v>
      </c>
      <c r="N1929" s="13">
        <v>43596</v>
      </c>
      <c r="O1929" s="29">
        <v>30.74</v>
      </c>
      <c r="P1929" s="18" t="s">
        <v>14</v>
      </c>
      <c r="Q1929" s="18">
        <v>0</v>
      </c>
      <c r="V1929" s="22">
        <f>3.48/5</f>
        <v>0.69599999999999995</v>
      </c>
      <c r="W1929" s="14" t="s">
        <v>1134</v>
      </c>
      <c r="X1929" s="3">
        <v>2</v>
      </c>
      <c r="Z1929" s="23">
        <f>45/60</f>
        <v>0.75</v>
      </c>
      <c r="AB1929" s="18">
        <f t="shared" si="60"/>
        <v>2018</v>
      </c>
      <c r="AC1929" s="22">
        <f t="shared" si="61"/>
        <v>0.54800000000000004</v>
      </c>
    </row>
    <row r="1930" spans="1:29" ht="25.5">
      <c r="A1930" s="8" t="s">
        <v>8496</v>
      </c>
      <c r="B1930" s="17" t="s">
        <v>7800</v>
      </c>
      <c r="C1930" s="13">
        <v>43192</v>
      </c>
      <c r="D1930" s="13" t="s">
        <v>8465</v>
      </c>
      <c r="E1930" s="10" t="s">
        <v>1690</v>
      </c>
      <c r="F1930" s="10" t="s">
        <v>1691</v>
      </c>
      <c r="G1930" s="11" t="s">
        <v>1207</v>
      </c>
      <c r="H1930" s="2" t="s">
        <v>171</v>
      </c>
      <c r="I1930" s="18">
        <v>1</v>
      </c>
      <c r="L1930" s="18">
        <v>1</v>
      </c>
      <c r="N1930" s="13">
        <v>43901</v>
      </c>
      <c r="O1930" s="29">
        <v>11.25</v>
      </c>
      <c r="P1930" s="18" t="s">
        <v>1107</v>
      </c>
      <c r="Q1930" s="18">
        <v>0</v>
      </c>
      <c r="U1930" s="22">
        <v>0.81</v>
      </c>
      <c r="V1930" s="22">
        <f>3.58/5</f>
        <v>0.71599999999999997</v>
      </c>
      <c r="W1930" s="14" t="s">
        <v>7777</v>
      </c>
      <c r="X1930" s="3">
        <v>2</v>
      </c>
      <c r="Z1930" s="23">
        <v>30</v>
      </c>
      <c r="AB1930" s="18">
        <f t="shared" si="60"/>
        <v>2018</v>
      </c>
      <c r="AC1930" s="22">
        <f t="shared" si="61"/>
        <v>0.64200000000000002</v>
      </c>
    </row>
    <row r="1931" spans="1:29" ht="25.5">
      <c r="A1931" s="8" t="s">
        <v>4924</v>
      </c>
      <c r="B1931" s="17" t="s">
        <v>7800</v>
      </c>
      <c r="C1931" s="13">
        <v>43188</v>
      </c>
      <c r="D1931" s="13" t="s">
        <v>8465</v>
      </c>
      <c r="E1931" s="10" t="s">
        <v>4925</v>
      </c>
      <c r="F1931" s="10" t="s">
        <v>4925</v>
      </c>
      <c r="H1931" s="2" t="s">
        <v>2138</v>
      </c>
      <c r="L1931" s="18">
        <v>1</v>
      </c>
      <c r="N1931" s="13">
        <v>43351</v>
      </c>
      <c r="P1931" s="18" t="s">
        <v>1107</v>
      </c>
      <c r="Q1931" s="18">
        <v>0</v>
      </c>
      <c r="W1931" s="14" t="s">
        <v>7777</v>
      </c>
      <c r="X1931" s="3">
        <v>2</v>
      </c>
      <c r="AB1931" s="18">
        <f t="shared" si="60"/>
        <v>2018</v>
      </c>
      <c r="AC1931" s="22">
        <f t="shared" si="61"/>
        <v>0.4</v>
      </c>
    </row>
    <row r="1932" spans="1:29" ht="25.5">
      <c r="A1932" s="8" t="s">
        <v>4532</v>
      </c>
      <c r="B1932" s="17" t="s">
        <v>7800</v>
      </c>
      <c r="C1932" s="13">
        <v>43186</v>
      </c>
      <c r="D1932" s="13" t="s">
        <v>8465</v>
      </c>
      <c r="E1932" s="10" t="s">
        <v>3252</v>
      </c>
      <c r="F1932" s="10" t="s">
        <v>3252</v>
      </c>
      <c r="G1932" s="11" t="s">
        <v>4533</v>
      </c>
      <c r="H1932" s="2" t="s">
        <v>1720</v>
      </c>
      <c r="L1932" s="18">
        <v>1</v>
      </c>
      <c r="N1932" s="13">
        <v>43606</v>
      </c>
      <c r="O1932" s="29">
        <v>3.99</v>
      </c>
      <c r="P1932" s="18" t="s">
        <v>1107</v>
      </c>
      <c r="Q1932" s="18">
        <v>0</v>
      </c>
      <c r="V1932" s="22">
        <f>3.75/5</f>
        <v>0.75</v>
      </c>
      <c r="W1932" s="14" t="s">
        <v>7777</v>
      </c>
      <c r="X1932" s="3">
        <v>5</v>
      </c>
      <c r="Z1932" s="23">
        <v>41</v>
      </c>
      <c r="AB1932" s="18">
        <f t="shared" si="60"/>
        <v>2018</v>
      </c>
      <c r="AC1932" s="22">
        <f t="shared" si="61"/>
        <v>0.875</v>
      </c>
    </row>
    <row r="1933" spans="1:29">
      <c r="A1933" s="8" t="s">
        <v>2412</v>
      </c>
      <c r="B1933" s="17" t="s">
        <v>7749</v>
      </c>
      <c r="C1933" s="13">
        <v>43186</v>
      </c>
      <c r="D1933" s="13" t="s">
        <v>8465</v>
      </c>
      <c r="E1933" s="10" t="s">
        <v>2461</v>
      </c>
      <c r="F1933" s="10" t="s">
        <v>1087</v>
      </c>
      <c r="H1933" s="2" t="s">
        <v>149</v>
      </c>
      <c r="L1933" s="18">
        <v>1</v>
      </c>
      <c r="M1933" s="14" t="s">
        <v>8462</v>
      </c>
      <c r="N1933" s="13">
        <v>43533</v>
      </c>
      <c r="P1933" s="18" t="s">
        <v>14</v>
      </c>
      <c r="Q1933" s="18">
        <v>0</v>
      </c>
      <c r="U1933" s="22">
        <v>0.74</v>
      </c>
      <c r="V1933" s="22">
        <f>4.07/5</f>
        <v>0.81400000000000006</v>
      </c>
      <c r="X1933" s="3">
        <v>4</v>
      </c>
      <c r="Z1933" s="23">
        <v>27.5</v>
      </c>
      <c r="AB1933" s="18">
        <f t="shared" si="60"/>
        <v>2018</v>
      </c>
      <c r="AC1933" s="22">
        <f t="shared" si="61"/>
        <v>0.78466666666666673</v>
      </c>
    </row>
    <row r="1934" spans="1:29" ht="25.5">
      <c r="A1934" s="8" t="s">
        <v>9011</v>
      </c>
      <c r="B1934" s="17" t="s">
        <v>7800</v>
      </c>
      <c r="C1934" s="13">
        <v>43186</v>
      </c>
      <c r="D1934" s="13" t="s">
        <v>8465</v>
      </c>
      <c r="E1934" s="10" t="s">
        <v>3246</v>
      </c>
      <c r="F1934" s="10" t="s">
        <v>3246</v>
      </c>
      <c r="G1934" s="11" t="s">
        <v>207</v>
      </c>
      <c r="H1934" s="2" t="s">
        <v>67</v>
      </c>
      <c r="L1934" s="18">
        <v>1</v>
      </c>
      <c r="N1934" s="13">
        <v>44019</v>
      </c>
      <c r="O1934" s="29">
        <v>0</v>
      </c>
      <c r="P1934" s="18" t="s">
        <v>1107</v>
      </c>
      <c r="Q1934" s="18">
        <v>0</v>
      </c>
      <c r="U1934" s="22">
        <v>0.79</v>
      </c>
      <c r="V1934" s="22">
        <f>3.74/5</f>
        <v>0.748</v>
      </c>
      <c r="W1934" s="14" t="s">
        <v>7777</v>
      </c>
      <c r="X1934" s="3">
        <v>3</v>
      </c>
      <c r="Z1934" s="23">
        <v>10</v>
      </c>
      <c r="AB1934" s="18">
        <f t="shared" si="60"/>
        <v>2018</v>
      </c>
      <c r="AC1934" s="22">
        <f t="shared" si="61"/>
        <v>0.71266666666666667</v>
      </c>
    </row>
    <row r="1935" spans="1:29" ht="30">
      <c r="A1935" s="8" t="s">
        <v>13006</v>
      </c>
      <c r="B1935" s="17" t="s">
        <v>7760</v>
      </c>
      <c r="C1935" s="13">
        <v>43186</v>
      </c>
      <c r="D1935" s="13" t="s">
        <v>8465</v>
      </c>
      <c r="E1935" s="10" t="s">
        <v>1062</v>
      </c>
      <c r="F1935" s="10" t="s">
        <v>2285</v>
      </c>
      <c r="G1935" s="11" t="s">
        <v>10394</v>
      </c>
      <c r="H1935" s="2" t="s">
        <v>171</v>
      </c>
      <c r="L1935" s="18">
        <v>1</v>
      </c>
      <c r="N1935" s="13">
        <v>44914</v>
      </c>
      <c r="O1935" s="29">
        <v>12.49</v>
      </c>
      <c r="P1935" s="18" t="s">
        <v>1107</v>
      </c>
      <c r="Q1935" s="18">
        <v>0</v>
      </c>
      <c r="U1935" s="22">
        <v>0.61</v>
      </c>
      <c r="V1935" s="22">
        <f>3.84/5</f>
        <v>0.76800000000000002</v>
      </c>
      <c r="X1935" s="3">
        <v>3</v>
      </c>
      <c r="Z1935" s="23">
        <v>33.5</v>
      </c>
      <c r="AB1935" s="18">
        <f t="shared" si="60"/>
        <v>2018</v>
      </c>
      <c r="AC1935" s="22">
        <f t="shared" si="61"/>
        <v>0.65933333333333344</v>
      </c>
    </row>
    <row r="1936" spans="1:29" ht="30">
      <c r="A1936" s="8" t="s">
        <v>6149</v>
      </c>
      <c r="B1936" s="17" t="s">
        <v>7760</v>
      </c>
      <c r="C1936" s="13">
        <v>43182</v>
      </c>
      <c r="D1936" s="13" t="s">
        <v>8465</v>
      </c>
      <c r="E1936" s="10" t="s">
        <v>1604</v>
      </c>
      <c r="F1936" s="10" t="s">
        <v>2129</v>
      </c>
      <c r="G1936" s="11" t="s">
        <v>6062</v>
      </c>
      <c r="H1936" s="2" t="s">
        <v>171</v>
      </c>
      <c r="L1936" s="18">
        <v>1</v>
      </c>
      <c r="M1936" s="14" t="s">
        <v>8462</v>
      </c>
      <c r="N1936" s="13">
        <v>43506</v>
      </c>
      <c r="O1936" s="29">
        <v>14.46</v>
      </c>
      <c r="P1936" s="18" t="s">
        <v>14</v>
      </c>
      <c r="Q1936" s="18">
        <v>0</v>
      </c>
      <c r="U1936" s="22">
        <v>0.86</v>
      </c>
      <c r="V1936" s="22">
        <f>3.88/5</f>
        <v>0.77600000000000002</v>
      </c>
      <c r="X1936" s="3">
        <v>4</v>
      </c>
      <c r="Z1936" s="23">
        <v>37</v>
      </c>
      <c r="AB1936" s="18">
        <f t="shared" si="60"/>
        <v>2018</v>
      </c>
      <c r="AC1936" s="22">
        <f t="shared" si="61"/>
        <v>0.81199999999999994</v>
      </c>
    </row>
    <row r="1937" spans="1:29">
      <c r="A1937" s="8" t="s">
        <v>2366</v>
      </c>
      <c r="B1937" s="17" t="s">
        <v>7749</v>
      </c>
      <c r="C1937" s="13">
        <v>43182</v>
      </c>
      <c r="D1937" s="13" t="s">
        <v>8465</v>
      </c>
      <c r="E1937" s="10" t="s">
        <v>86</v>
      </c>
      <c r="F1937" s="10" t="s">
        <v>2451</v>
      </c>
      <c r="G1937" s="11" t="s">
        <v>1470</v>
      </c>
      <c r="H1937" s="2" t="s">
        <v>67</v>
      </c>
      <c r="L1937" s="18">
        <v>1</v>
      </c>
      <c r="M1937" s="14" t="s">
        <v>8462</v>
      </c>
      <c r="N1937" s="13">
        <v>43611</v>
      </c>
      <c r="O1937" s="29">
        <v>21.7</v>
      </c>
      <c r="P1937" s="18" t="s">
        <v>14</v>
      </c>
      <c r="Q1937" s="18">
        <v>0</v>
      </c>
      <c r="U1937" s="22">
        <v>0.7</v>
      </c>
      <c r="V1937" s="22">
        <f>3.62/5</f>
        <v>0.72399999999999998</v>
      </c>
      <c r="X1937" s="3">
        <v>3</v>
      </c>
      <c r="Z1937" s="23">
        <v>12</v>
      </c>
      <c r="AB1937" s="18">
        <f t="shared" si="60"/>
        <v>2018</v>
      </c>
      <c r="AC1937" s="22">
        <f t="shared" si="61"/>
        <v>0.67466666666666664</v>
      </c>
    </row>
    <row r="1938" spans="1:29" ht="25.5">
      <c r="A1938" s="8" t="s">
        <v>15686</v>
      </c>
      <c r="B1938" s="17" t="s">
        <v>7800</v>
      </c>
      <c r="C1938" s="13">
        <v>43182</v>
      </c>
      <c r="D1938" s="13" t="s">
        <v>8465</v>
      </c>
      <c r="E1938" s="10" t="s">
        <v>15687</v>
      </c>
      <c r="F1938" s="10" t="s">
        <v>15688</v>
      </c>
      <c r="G1938" s="11" t="s">
        <v>15689</v>
      </c>
      <c r="H1938" s="2" t="s">
        <v>75</v>
      </c>
      <c r="L1938" s="18">
        <v>1</v>
      </c>
      <c r="N1938" s="13">
        <v>45167</v>
      </c>
      <c r="O1938" s="29">
        <v>4.99</v>
      </c>
      <c r="P1938" s="18" t="s">
        <v>1107</v>
      </c>
      <c r="Q1938" s="18">
        <v>0</v>
      </c>
      <c r="U1938" s="22">
        <v>0.65</v>
      </c>
      <c r="V1938" s="22">
        <f>3.61/5</f>
        <v>0.72199999999999998</v>
      </c>
      <c r="W1938" s="14" t="s">
        <v>7777</v>
      </c>
      <c r="X1938" s="3">
        <v>3</v>
      </c>
      <c r="Z1938" s="23">
        <v>22.5</v>
      </c>
      <c r="AB1938" s="18">
        <f t="shared" si="60"/>
        <v>2018</v>
      </c>
      <c r="AC1938" s="22">
        <f t="shared" si="61"/>
        <v>0.65733333333333333</v>
      </c>
    </row>
    <row r="1939" spans="1:29" ht="25.5">
      <c r="A1939" s="8" t="s">
        <v>4569</v>
      </c>
      <c r="B1939" s="17" t="s">
        <v>7800</v>
      </c>
      <c r="C1939" s="13">
        <v>43179</v>
      </c>
      <c r="D1939" s="13" t="s">
        <v>8465</v>
      </c>
      <c r="E1939" s="10" t="s">
        <v>1082</v>
      </c>
      <c r="F1939" s="10" t="s">
        <v>4570</v>
      </c>
      <c r="H1939" s="2" t="s">
        <v>64</v>
      </c>
      <c r="L1939" s="18">
        <v>1</v>
      </c>
      <c r="N1939" s="13">
        <v>43572</v>
      </c>
      <c r="O1939" s="29">
        <v>0</v>
      </c>
      <c r="P1939" s="18" t="s">
        <v>1107</v>
      </c>
      <c r="Q1939" s="18">
        <v>0</v>
      </c>
      <c r="U1939" s="22">
        <v>0.87</v>
      </c>
      <c r="V1939" s="22">
        <f>3.17/5</f>
        <v>0.63400000000000001</v>
      </c>
      <c r="W1939" s="14" t="s">
        <v>7777</v>
      </c>
      <c r="X1939" s="3">
        <v>2</v>
      </c>
      <c r="Z1939" s="23">
        <v>6.5</v>
      </c>
      <c r="AB1939" s="18">
        <f t="shared" si="60"/>
        <v>2018</v>
      </c>
      <c r="AC1939" s="22">
        <f t="shared" si="61"/>
        <v>0.6346666666666666</v>
      </c>
    </row>
    <row r="1940" spans="1:29">
      <c r="A1940" s="8" t="s">
        <v>14184</v>
      </c>
      <c r="B1940" s="17" t="s">
        <v>7800</v>
      </c>
      <c r="C1940" s="13">
        <v>43179</v>
      </c>
      <c r="D1940" s="13" t="s">
        <v>8465</v>
      </c>
      <c r="E1940" s="10" t="s">
        <v>6484</v>
      </c>
      <c r="F1940" s="10" t="s">
        <v>6484</v>
      </c>
      <c r="G1940" s="11" t="s">
        <v>6430</v>
      </c>
      <c r="H1940" s="2" t="s">
        <v>56</v>
      </c>
      <c r="L1940" s="18">
        <v>1</v>
      </c>
      <c r="O1940" s="29">
        <v>0</v>
      </c>
      <c r="P1940" s="18" t="s">
        <v>1107</v>
      </c>
      <c r="Q1940" s="18">
        <v>0</v>
      </c>
      <c r="U1940" s="22">
        <v>0.64</v>
      </c>
      <c r="V1940" s="22">
        <f>3.25/5</f>
        <v>0.65</v>
      </c>
      <c r="W1940" s="14" t="s">
        <v>8765</v>
      </c>
      <c r="X1940" s="3">
        <v>2</v>
      </c>
      <c r="Z1940" s="23">
        <v>5.5</v>
      </c>
      <c r="AB1940" s="18">
        <f t="shared" si="60"/>
        <v>2018</v>
      </c>
      <c r="AC1940" s="22">
        <f t="shared" si="61"/>
        <v>0.56333333333333335</v>
      </c>
    </row>
    <row r="1941" spans="1:29">
      <c r="A1941" s="8" t="s">
        <v>15329</v>
      </c>
      <c r="B1941" s="17" t="s">
        <v>7800</v>
      </c>
      <c r="C1941" s="13">
        <v>43178</v>
      </c>
      <c r="D1941" s="13" t="s">
        <v>8465</v>
      </c>
      <c r="E1941" s="10" t="s">
        <v>15330</v>
      </c>
      <c r="F1941" s="10" t="s">
        <v>15330</v>
      </c>
      <c r="G1941" s="11" t="s">
        <v>14170</v>
      </c>
      <c r="H1941" s="2" t="s">
        <v>143</v>
      </c>
      <c r="L1941" s="18">
        <v>1</v>
      </c>
      <c r="N1941" s="13">
        <v>45108</v>
      </c>
      <c r="O1941" s="29">
        <v>0.28999999999999998</v>
      </c>
      <c r="P1941" s="18" t="s">
        <v>1107</v>
      </c>
      <c r="Q1941" s="18">
        <v>0</v>
      </c>
      <c r="W1941" s="14" t="s">
        <v>7777</v>
      </c>
      <c r="X1941" s="3">
        <v>2</v>
      </c>
      <c r="Z1941" s="23">
        <f>30/60</f>
        <v>0.5</v>
      </c>
      <c r="AB1941" s="18">
        <f t="shared" si="60"/>
        <v>2018</v>
      </c>
      <c r="AC1941" s="22">
        <f t="shared" si="61"/>
        <v>0.4</v>
      </c>
    </row>
    <row r="1942" spans="1:29" ht="25.5">
      <c r="A1942" s="8" t="s">
        <v>6102</v>
      </c>
      <c r="B1942" s="17" t="s">
        <v>7760</v>
      </c>
      <c r="C1942" s="13">
        <v>43175</v>
      </c>
      <c r="D1942" s="13" t="s">
        <v>8465</v>
      </c>
      <c r="E1942" s="10" t="s">
        <v>231</v>
      </c>
      <c r="F1942" s="10" t="s">
        <v>3393</v>
      </c>
      <c r="G1942" s="11" t="s">
        <v>3394</v>
      </c>
      <c r="H1942" s="2" t="s">
        <v>150</v>
      </c>
      <c r="L1942" s="18">
        <v>1</v>
      </c>
      <c r="M1942" s="14" t="s">
        <v>8462</v>
      </c>
      <c r="N1942" s="13">
        <v>43175</v>
      </c>
      <c r="O1942" s="29">
        <v>39.99</v>
      </c>
      <c r="P1942" s="18" t="s">
        <v>14</v>
      </c>
      <c r="Q1942" s="18">
        <v>0</v>
      </c>
      <c r="U1942" s="22">
        <v>0.82</v>
      </c>
      <c r="V1942" s="22">
        <f>3.93/5</f>
        <v>0.78600000000000003</v>
      </c>
      <c r="X1942" s="3">
        <v>3</v>
      </c>
      <c r="Z1942" s="23">
        <v>11.5</v>
      </c>
      <c r="AB1942" s="18">
        <f t="shared" si="60"/>
        <v>2018</v>
      </c>
      <c r="AC1942" s="22">
        <f t="shared" si="61"/>
        <v>0.73533333333333328</v>
      </c>
    </row>
    <row r="1943" spans="1:29" ht="25.5">
      <c r="A1943" s="8" t="s">
        <v>8107</v>
      </c>
      <c r="B1943" s="17" t="s">
        <v>7800</v>
      </c>
      <c r="C1943" s="13">
        <v>43174</v>
      </c>
      <c r="D1943" s="13" t="s">
        <v>8465</v>
      </c>
      <c r="E1943" s="10" t="s">
        <v>8108</v>
      </c>
      <c r="F1943" s="10" t="s">
        <v>8108</v>
      </c>
      <c r="G1943" s="11" t="s">
        <v>8109</v>
      </c>
      <c r="H1943" s="2" t="s">
        <v>1054</v>
      </c>
      <c r="L1943" s="18">
        <v>1</v>
      </c>
      <c r="N1943" s="13">
        <v>43772</v>
      </c>
      <c r="O1943" s="29">
        <v>0</v>
      </c>
      <c r="P1943" s="18" t="s">
        <v>1107</v>
      </c>
      <c r="Q1943" s="18">
        <v>0</v>
      </c>
      <c r="U1943" s="22">
        <v>0.84</v>
      </c>
      <c r="V1943" s="22">
        <f>3.44/5</f>
        <v>0.68799999999999994</v>
      </c>
      <c r="W1943" s="14" t="s">
        <v>7777</v>
      </c>
      <c r="X1943" s="3">
        <v>3</v>
      </c>
      <c r="Z1943" s="23">
        <v>9.5</v>
      </c>
      <c r="AB1943" s="18">
        <f t="shared" si="60"/>
        <v>2018</v>
      </c>
      <c r="AC1943" s="22">
        <f t="shared" si="61"/>
        <v>0.70933333333333337</v>
      </c>
    </row>
    <row r="1944" spans="1:29">
      <c r="A1944" s="8" t="s">
        <v>5217</v>
      </c>
      <c r="B1944" s="17" t="s">
        <v>7800</v>
      </c>
      <c r="C1944" s="13">
        <v>43174</v>
      </c>
      <c r="D1944" s="13" t="s">
        <v>8465</v>
      </c>
      <c r="E1944" s="10" t="s">
        <v>3453</v>
      </c>
      <c r="F1944" s="10" t="s">
        <v>1715</v>
      </c>
      <c r="H1944" s="2" t="s">
        <v>1334</v>
      </c>
      <c r="L1944" s="18">
        <v>1</v>
      </c>
      <c r="N1944" s="13">
        <v>43651</v>
      </c>
      <c r="O1944" s="29">
        <v>0</v>
      </c>
      <c r="P1944" s="18" t="s">
        <v>1107</v>
      </c>
      <c r="Q1944" s="18">
        <v>0</v>
      </c>
      <c r="U1944" s="22">
        <v>0.75</v>
      </c>
      <c r="V1944" s="22">
        <f>3.21/5</f>
        <v>0.64200000000000002</v>
      </c>
      <c r="W1944" s="14" t="s">
        <v>7777</v>
      </c>
      <c r="X1944" s="3">
        <v>3</v>
      </c>
      <c r="Z1944" s="23">
        <v>18.5</v>
      </c>
      <c r="AB1944" s="18">
        <f t="shared" si="60"/>
        <v>2018</v>
      </c>
      <c r="AC1944" s="22">
        <f t="shared" si="61"/>
        <v>0.66400000000000003</v>
      </c>
    </row>
    <row r="1945" spans="1:29" ht="25.5">
      <c r="A1945" s="8" t="s">
        <v>7013</v>
      </c>
      <c r="B1945" s="17" t="s">
        <v>7800</v>
      </c>
      <c r="C1945" s="13">
        <v>43172</v>
      </c>
      <c r="D1945" s="13" t="s">
        <v>8465</v>
      </c>
      <c r="E1945" s="10" t="s">
        <v>73</v>
      </c>
      <c r="F1945" s="10" t="s">
        <v>73</v>
      </c>
      <c r="G1945" s="11" t="s">
        <v>3655</v>
      </c>
      <c r="H1945" s="2" t="s">
        <v>1059</v>
      </c>
      <c r="L1945" s="18">
        <v>1</v>
      </c>
      <c r="O1945" s="29">
        <v>0</v>
      </c>
      <c r="P1945" s="18" t="s">
        <v>1107</v>
      </c>
      <c r="Q1945" s="18">
        <v>0</v>
      </c>
      <c r="V1945" s="22">
        <f>3.91/5</f>
        <v>0.78200000000000003</v>
      </c>
      <c r="W1945" s="14" t="s">
        <v>7799</v>
      </c>
      <c r="X1945" s="3">
        <v>3</v>
      </c>
      <c r="Z1945" s="23">
        <v>22</v>
      </c>
      <c r="AB1945" s="18">
        <f t="shared" si="60"/>
        <v>2018</v>
      </c>
      <c r="AC1945" s="22">
        <f t="shared" si="61"/>
        <v>0.69100000000000006</v>
      </c>
    </row>
    <row r="1946" spans="1:29">
      <c r="A1946" s="8" t="s">
        <v>4763</v>
      </c>
      <c r="B1946" s="17" t="s">
        <v>7800</v>
      </c>
      <c r="C1946" s="13">
        <v>43172</v>
      </c>
      <c r="D1946" s="13" t="s">
        <v>8465</v>
      </c>
      <c r="E1946" s="10" t="s">
        <v>4764</v>
      </c>
      <c r="F1946" s="10" t="s">
        <v>4765</v>
      </c>
      <c r="G1946" s="11" t="s">
        <v>4766</v>
      </c>
      <c r="H1946" s="2" t="s">
        <v>78</v>
      </c>
      <c r="I1946" s="18">
        <v>1</v>
      </c>
      <c r="L1946" s="18">
        <v>1</v>
      </c>
      <c r="N1946" s="13">
        <v>43469</v>
      </c>
      <c r="P1946" s="18" t="s">
        <v>1107</v>
      </c>
      <c r="Q1946" s="18">
        <v>0</v>
      </c>
      <c r="U1946" s="22">
        <v>0.83</v>
      </c>
      <c r="V1946" s="22">
        <f>3.42/5</f>
        <v>0.68399999999999994</v>
      </c>
      <c r="W1946" s="14" t="s">
        <v>7777</v>
      </c>
      <c r="X1946" s="3">
        <v>3</v>
      </c>
      <c r="Z1946" s="23">
        <v>5.5</v>
      </c>
      <c r="AB1946" s="18">
        <f t="shared" si="60"/>
        <v>2018</v>
      </c>
      <c r="AC1946" s="22">
        <f t="shared" si="61"/>
        <v>0.70466666666666666</v>
      </c>
    </row>
    <row r="1947" spans="1:29" ht="25.5">
      <c r="A1947" s="8" t="s">
        <v>13700</v>
      </c>
      <c r="B1947" s="17" t="s">
        <v>7800</v>
      </c>
      <c r="C1947" s="13">
        <v>43167</v>
      </c>
      <c r="D1947" s="13" t="s">
        <v>8465</v>
      </c>
      <c r="E1947" s="10" t="s">
        <v>6112</v>
      </c>
      <c r="F1947" s="10" t="s">
        <v>13701</v>
      </c>
      <c r="H1947" s="2" t="s">
        <v>1061</v>
      </c>
      <c r="L1947" s="18">
        <v>1</v>
      </c>
      <c r="N1947" s="13">
        <v>45001</v>
      </c>
      <c r="O1947" s="29">
        <v>0.89</v>
      </c>
      <c r="P1947" s="18" t="s">
        <v>1107</v>
      </c>
      <c r="Q1947" s="18">
        <v>0</v>
      </c>
      <c r="V1947" s="22">
        <f>3/5</f>
        <v>0.6</v>
      </c>
      <c r="W1947" s="14" t="s">
        <v>7777</v>
      </c>
      <c r="X1947" s="3">
        <v>2</v>
      </c>
      <c r="Z1947" s="23">
        <f>17/60</f>
        <v>0.28333333333333333</v>
      </c>
      <c r="AB1947" s="18">
        <f t="shared" si="60"/>
        <v>2018</v>
      </c>
      <c r="AC1947" s="22">
        <f t="shared" si="61"/>
        <v>0.5</v>
      </c>
    </row>
    <row r="1948" spans="1:29" ht="25.5">
      <c r="A1948" s="8" t="s">
        <v>5541</v>
      </c>
      <c r="B1948" s="17" t="s">
        <v>7800</v>
      </c>
      <c r="C1948" s="13">
        <v>43167</v>
      </c>
      <c r="D1948" s="13" t="s">
        <v>8465</v>
      </c>
      <c r="E1948" s="10" t="s">
        <v>4257</v>
      </c>
      <c r="F1948" s="10" t="s">
        <v>4257</v>
      </c>
      <c r="G1948" s="11" t="s">
        <v>4483</v>
      </c>
      <c r="H1948" s="2" t="s">
        <v>1050</v>
      </c>
      <c r="L1948" s="18">
        <v>1</v>
      </c>
      <c r="N1948" s="13">
        <v>43250</v>
      </c>
      <c r="O1948" s="29">
        <v>29.99</v>
      </c>
      <c r="P1948" s="18" t="s">
        <v>1107</v>
      </c>
      <c r="Q1948" s="18">
        <v>0</v>
      </c>
      <c r="U1948" s="22">
        <v>0.83</v>
      </c>
      <c r="V1948" s="22">
        <f>3.64/5</f>
        <v>0.72799999999999998</v>
      </c>
      <c r="W1948" s="14" t="s">
        <v>7777</v>
      </c>
      <c r="X1948" s="3">
        <v>3</v>
      </c>
      <c r="Z1948" s="23">
        <v>18.5</v>
      </c>
      <c r="AB1948" s="18">
        <f t="shared" si="60"/>
        <v>2018</v>
      </c>
      <c r="AC1948" s="22">
        <f t="shared" si="61"/>
        <v>0.71933333333333327</v>
      </c>
    </row>
    <row r="1949" spans="1:29">
      <c r="A1949" s="8" t="s">
        <v>4550</v>
      </c>
      <c r="B1949" s="17" t="s">
        <v>7800</v>
      </c>
      <c r="C1949" s="13">
        <v>43166</v>
      </c>
      <c r="D1949" s="13" t="s">
        <v>8465</v>
      </c>
      <c r="E1949" s="10" t="s">
        <v>3837</v>
      </c>
      <c r="F1949" s="10" t="s">
        <v>3837</v>
      </c>
      <c r="H1949" s="2" t="s">
        <v>61</v>
      </c>
      <c r="L1949" s="18">
        <v>1</v>
      </c>
      <c r="N1949" s="13">
        <v>43525</v>
      </c>
      <c r="O1949" s="29">
        <v>0</v>
      </c>
      <c r="P1949" s="18" t="s">
        <v>1107</v>
      </c>
      <c r="Q1949" s="18">
        <v>0</v>
      </c>
      <c r="U1949" s="22">
        <v>0.81</v>
      </c>
      <c r="V1949" s="22">
        <f>3.42/5</f>
        <v>0.68399999999999994</v>
      </c>
      <c r="W1949" s="14" t="s">
        <v>7777</v>
      </c>
      <c r="X1949" s="3">
        <v>3</v>
      </c>
      <c r="Z1949" s="23">
        <v>14</v>
      </c>
      <c r="AB1949" s="18">
        <f t="shared" si="60"/>
        <v>2018</v>
      </c>
      <c r="AC1949" s="22">
        <f t="shared" si="61"/>
        <v>0.69799999999999995</v>
      </c>
    </row>
    <row r="1950" spans="1:29" ht="25.5">
      <c r="A1950" s="8" t="s">
        <v>10770</v>
      </c>
      <c r="B1950" s="17" t="s">
        <v>7800</v>
      </c>
      <c r="C1950" s="13">
        <v>43166</v>
      </c>
      <c r="D1950" s="13" t="s">
        <v>8465</v>
      </c>
      <c r="E1950" s="10" t="s">
        <v>4769</v>
      </c>
      <c r="F1950" s="10" t="s">
        <v>3097</v>
      </c>
      <c r="G1950" s="11" t="s">
        <v>10771</v>
      </c>
      <c r="H1950" s="2" t="s">
        <v>21</v>
      </c>
      <c r="L1950" s="18">
        <v>1</v>
      </c>
      <c r="P1950" s="18" t="s">
        <v>1107</v>
      </c>
      <c r="Q1950" s="18">
        <v>0</v>
      </c>
      <c r="V1950" s="22">
        <f>3.55/5</f>
        <v>0.71</v>
      </c>
      <c r="W1950" s="14" t="s">
        <v>7777</v>
      </c>
      <c r="X1950" s="3">
        <v>3</v>
      </c>
      <c r="Z1950" s="23">
        <v>1</v>
      </c>
      <c r="AB1950" s="18">
        <f t="shared" si="60"/>
        <v>2018</v>
      </c>
      <c r="AC1950" s="22">
        <f t="shared" si="61"/>
        <v>0.65500000000000003</v>
      </c>
    </row>
    <row r="1951" spans="1:29" ht="25.5">
      <c r="A1951" s="8" t="s">
        <v>9758</v>
      </c>
      <c r="B1951" s="17" t="s">
        <v>7800</v>
      </c>
      <c r="C1951" s="13">
        <v>43165</v>
      </c>
      <c r="D1951" s="13" t="s">
        <v>8465</v>
      </c>
      <c r="E1951" s="10" t="s">
        <v>479</v>
      </c>
      <c r="F1951" s="10" t="s">
        <v>479</v>
      </c>
      <c r="G1951" s="11" t="s">
        <v>9760</v>
      </c>
      <c r="H1951" s="2" t="s">
        <v>1059</v>
      </c>
      <c r="L1951" s="18">
        <v>1</v>
      </c>
      <c r="N1951" s="13">
        <v>44238</v>
      </c>
      <c r="O1951" s="29">
        <v>3.99</v>
      </c>
      <c r="P1951" s="18" t="s">
        <v>1107</v>
      </c>
      <c r="Q1951" s="18">
        <v>0</v>
      </c>
      <c r="V1951" s="22">
        <f>4.25/5</f>
        <v>0.85</v>
      </c>
      <c r="W1951" s="14" t="s">
        <v>7777</v>
      </c>
      <c r="X1951" s="3">
        <v>3</v>
      </c>
      <c r="AB1951" s="18">
        <f t="shared" si="60"/>
        <v>2018</v>
      </c>
      <c r="AC1951" s="22">
        <f t="shared" si="61"/>
        <v>0.72499999999999998</v>
      </c>
    </row>
    <row r="1952" spans="1:29" ht="30">
      <c r="A1952" s="8" t="s">
        <v>14067</v>
      </c>
      <c r="B1952" s="17" t="s">
        <v>7760</v>
      </c>
      <c r="C1952" s="13">
        <v>43165</v>
      </c>
      <c r="D1952" s="13" t="s">
        <v>8465</v>
      </c>
      <c r="E1952" s="10" t="s">
        <v>6107</v>
      </c>
      <c r="F1952" s="10" t="s">
        <v>6200</v>
      </c>
      <c r="H1952" s="2" t="s">
        <v>1170</v>
      </c>
      <c r="I1952" s="18">
        <v>1</v>
      </c>
      <c r="L1952" s="18">
        <v>1</v>
      </c>
      <c r="N1952" s="13">
        <v>45081</v>
      </c>
      <c r="O1952" s="29">
        <v>9.99</v>
      </c>
      <c r="P1952" s="18" t="s">
        <v>1107</v>
      </c>
      <c r="Q1952" s="18">
        <v>0</v>
      </c>
      <c r="U1952" s="22">
        <v>0.45</v>
      </c>
      <c r="V1952" s="22">
        <f>2.67/5</f>
        <v>0.53400000000000003</v>
      </c>
      <c r="X1952" s="3">
        <v>2</v>
      </c>
      <c r="Z1952" s="23">
        <v>2.5</v>
      </c>
      <c r="AB1952" s="18">
        <f t="shared" si="60"/>
        <v>2018</v>
      </c>
      <c r="AC1952" s="22">
        <f t="shared" si="61"/>
        <v>0.46133333333333332</v>
      </c>
    </row>
    <row r="1953" spans="1:29">
      <c r="A1953" s="8" t="s">
        <v>12670</v>
      </c>
      <c r="B1953" s="17" t="s">
        <v>7800</v>
      </c>
      <c r="C1953" s="13">
        <v>43161</v>
      </c>
      <c r="D1953" s="13" t="s">
        <v>8465</v>
      </c>
      <c r="E1953" s="10" t="s">
        <v>12671</v>
      </c>
      <c r="F1953" s="10" t="s">
        <v>12671</v>
      </c>
      <c r="H1953" s="2" t="s">
        <v>67</v>
      </c>
      <c r="I1953" s="18">
        <v>1</v>
      </c>
      <c r="L1953" s="18">
        <v>1</v>
      </c>
      <c r="P1953" s="18" t="s">
        <v>1107</v>
      </c>
      <c r="Q1953" s="18">
        <v>0</v>
      </c>
      <c r="W1953" s="14" t="s">
        <v>7777</v>
      </c>
      <c r="X1953" s="3">
        <v>2</v>
      </c>
      <c r="Z1953" s="23">
        <v>1</v>
      </c>
      <c r="AB1953" s="18">
        <f t="shared" si="60"/>
        <v>2018</v>
      </c>
      <c r="AC1953" s="22">
        <f t="shared" si="61"/>
        <v>0.4</v>
      </c>
    </row>
    <row r="1954" spans="1:29">
      <c r="A1954" s="8" t="s">
        <v>15890</v>
      </c>
      <c r="B1954" s="17" t="s">
        <v>7734</v>
      </c>
      <c r="C1954" s="12">
        <v>43160</v>
      </c>
      <c r="D1954" s="13" t="s">
        <v>8465</v>
      </c>
      <c r="E1954" s="10" t="s">
        <v>15889</v>
      </c>
      <c r="F1954" s="10" t="s">
        <v>15889</v>
      </c>
      <c r="G1954" s="11" t="s">
        <v>15868</v>
      </c>
      <c r="H1954" s="2" t="s">
        <v>1267</v>
      </c>
      <c r="L1954" s="18">
        <v>0</v>
      </c>
      <c r="Q1954" s="18">
        <v>0</v>
      </c>
      <c r="X1954" s="3">
        <v>2</v>
      </c>
      <c r="AB1954" s="18">
        <f t="shared" si="60"/>
        <v>2018</v>
      </c>
      <c r="AC1954" s="22">
        <f t="shared" si="61"/>
        <v>0.4</v>
      </c>
    </row>
    <row r="1955" spans="1:29" ht="30">
      <c r="A1955" s="8" t="s">
        <v>9279</v>
      </c>
      <c r="B1955" s="17" t="s">
        <v>7800</v>
      </c>
      <c r="C1955" s="13">
        <v>43159</v>
      </c>
      <c r="D1955" s="13" t="s">
        <v>8465</v>
      </c>
      <c r="E1955" s="10" t="s">
        <v>4498</v>
      </c>
      <c r="F1955" s="10" t="s">
        <v>9280</v>
      </c>
      <c r="H1955" s="2" t="s">
        <v>67</v>
      </c>
      <c r="L1955" s="18">
        <v>1</v>
      </c>
      <c r="N1955" s="13">
        <v>44084</v>
      </c>
      <c r="O1955" s="29">
        <v>0</v>
      </c>
      <c r="P1955" s="18" t="s">
        <v>1107</v>
      </c>
      <c r="Q1955" s="18">
        <v>0</v>
      </c>
      <c r="U1955" s="22">
        <v>0.74</v>
      </c>
      <c r="V1955" s="22">
        <f>2.31/5</f>
        <v>0.46200000000000002</v>
      </c>
      <c r="W1955" s="14" t="s">
        <v>7777</v>
      </c>
      <c r="X1955" s="3">
        <v>3</v>
      </c>
      <c r="Z1955" s="23">
        <v>15.5</v>
      </c>
      <c r="AB1955" s="18">
        <f t="shared" si="60"/>
        <v>2018</v>
      </c>
      <c r="AC1955" s="22">
        <f t="shared" si="61"/>
        <v>0.60066666666666668</v>
      </c>
    </row>
    <row r="1956" spans="1:29">
      <c r="A1956" s="8" t="s">
        <v>4186</v>
      </c>
      <c r="B1956" s="17" t="s">
        <v>7800</v>
      </c>
      <c r="C1956" s="13">
        <v>43158</v>
      </c>
      <c r="D1956" s="13" t="s">
        <v>8465</v>
      </c>
      <c r="E1956" s="10" t="s">
        <v>3939</v>
      </c>
      <c r="F1956" s="10" t="s">
        <v>3939</v>
      </c>
      <c r="H1956" s="2" t="s">
        <v>69</v>
      </c>
      <c r="L1956" s="18">
        <v>1</v>
      </c>
      <c r="N1956" s="13">
        <v>43475</v>
      </c>
      <c r="O1956" s="29">
        <v>9.0299999999999994</v>
      </c>
      <c r="P1956" s="18" t="s">
        <v>1107</v>
      </c>
      <c r="Q1956" s="18">
        <v>0</v>
      </c>
      <c r="U1956" s="22">
        <v>0.89</v>
      </c>
      <c r="V1956" s="22">
        <f>3.93/5</f>
        <v>0.78600000000000003</v>
      </c>
      <c r="W1956" s="14" t="s">
        <v>7777</v>
      </c>
      <c r="X1956" s="3">
        <v>4</v>
      </c>
      <c r="Z1956" s="23">
        <v>5</v>
      </c>
      <c r="AB1956" s="18">
        <f t="shared" si="60"/>
        <v>2018</v>
      </c>
      <c r="AC1956" s="22">
        <f t="shared" si="61"/>
        <v>0.82533333333333336</v>
      </c>
    </row>
    <row r="1957" spans="1:29">
      <c r="A1957" s="8" t="s">
        <v>8359</v>
      </c>
      <c r="B1957" s="17" t="s">
        <v>7800</v>
      </c>
      <c r="C1957" s="13">
        <v>43158</v>
      </c>
      <c r="D1957" s="13" t="s">
        <v>8465</v>
      </c>
      <c r="E1957" s="10" t="s">
        <v>8360</v>
      </c>
      <c r="F1957" s="10" t="s">
        <v>8360</v>
      </c>
      <c r="H1957" s="2" t="s">
        <v>1040</v>
      </c>
      <c r="I1957" s="18">
        <v>1</v>
      </c>
      <c r="L1957" s="18">
        <v>1</v>
      </c>
      <c r="N1957" s="13">
        <v>43880</v>
      </c>
      <c r="O1957" s="29">
        <v>0</v>
      </c>
      <c r="P1957" s="18" t="s">
        <v>1107</v>
      </c>
      <c r="Q1957" s="18">
        <v>0</v>
      </c>
      <c r="U1957" s="22">
        <v>0.81</v>
      </c>
      <c r="V1957" s="22">
        <f>3.64/5</f>
        <v>0.72799999999999998</v>
      </c>
      <c r="W1957" s="14" t="s">
        <v>7777</v>
      </c>
      <c r="X1957" s="3">
        <v>4</v>
      </c>
      <c r="Z1957" s="23">
        <v>4</v>
      </c>
      <c r="AB1957" s="18">
        <f t="shared" si="60"/>
        <v>2018</v>
      </c>
      <c r="AC1957" s="22">
        <f t="shared" si="61"/>
        <v>0.77933333333333332</v>
      </c>
    </row>
    <row r="1958" spans="1:29">
      <c r="A1958" s="8" t="s">
        <v>581</v>
      </c>
      <c r="B1958" s="17" t="s">
        <v>7800</v>
      </c>
      <c r="C1958" s="13">
        <v>43158</v>
      </c>
      <c r="D1958" s="13" t="s">
        <v>8465</v>
      </c>
      <c r="E1958" s="10" t="s">
        <v>1082</v>
      </c>
      <c r="F1958" s="10" t="s">
        <v>1082</v>
      </c>
      <c r="G1958" s="11" t="s">
        <v>1251</v>
      </c>
      <c r="H1958" s="2" t="s">
        <v>149</v>
      </c>
      <c r="L1958" s="18">
        <v>1</v>
      </c>
      <c r="N1958" s="13">
        <v>43339</v>
      </c>
      <c r="O1958" s="29">
        <v>7.49</v>
      </c>
      <c r="P1958" s="18" t="s">
        <v>1107</v>
      </c>
      <c r="Q1958" s="18">
        <v>0</v>
      </c>
      <c r="V1958" s="22">
        <f>4.39/5</f>
        <v>0.87799999999999989</v>
      </c>
      <c r="W1958" s="14" t="s">
        <v>7777</v>
      </c>
      <c r="X1958" s="3">
        <v>3</v>
      </c>
      <c r="Z1958" s="23">
        <v>23</v>
      </c>
      <c r="AB1958" s="18">
        <f t="shared" si="60"/>
        <v>2018</v>
      </c>
      <c r="AC1958" s="22">
        <f t="shared" si="61"/>
        <v>0.73899999999999988</v>
      </c>
    </row>
    <row r="1959" spans="1:29">
      <c r="A1959" s="8" t="s">
        <v>988</v>
      </c>
      <c r="B1959" s="17" t="s">
        <v>7766</v>
      </c>
      <c r="C1959" s="13">
        <v>43158</v>
      </c>
      <c r="D1959" s="13" t="s">
        <v>8465</v>
      </c>
      <c r="E1959" s="10" t="s">
        <v>1583</v>
      </c>
      <c r="F1959" s="10" t="s">
        <v>10138</v>
      </c>
      <c r="G1959" s="11" t="s">
        <v>987</v>
      </c>
      <c r="H1959" s="2" t="s">
        <v>27</v>
      </c>
      <c r="L1959" s="18">
        <v>1</v>
      </c>
      <c r="N1959" s="13">
        <v>44310</v>
      </c>
      <c r="O1959" s="29">
        <v>0</v>
      </c>
      <c r="P1959" s="18" t="s">
        <v>1107</v>
      </c>
      <c r="Q1959" s="18">
        <v>0</v>
      </c>
      <c r="U1959" s="22">
        <v>0.76</v>
      </c>
      <c r="V1959" s="22">
        <f>4.17/5</f>
        <v>0.83399999999999996</v>
      </c>
      <c r="X1959" s="3">
        <v>3</v>
      </c>
      <c r="Z1959" s="23">
        <v>10.5</v>
      </c>
      <c r="AB1959" s="18">
        <f t="shared" si="60"/>
        <v>2018</v>
      </c>
      <c r="AC1959" s="22">
        <f t="shared" si="61"/>
        <v>0.73133333333333328</v>
      </c>
    </row>
    <row r="1960" spans="1:29" ht="38.25">
      <c r="A1960" s="8" t="s">
        <v>11902</v>
      </c>
      <c r="B1960" s="17" t="s">
        <v>7800</v>
      </c>
      <c r="C1960" s="13">
        <v>43158</v>
      </c>
      <c r="D1960" s="13" t="s">
        <v>8465</v>
      </c>
      <c r="E1960" s="10" t="s">
        <v>1680</v>
      </c>
      <c r="F1960" s="10" t="s">
        <v>3113</v>
      </c>
      <c r="G1960" s="11" t="s">
        <v>1682</v>
      </c>
      <c r="H1960" s="2" t="s">
        <v>149</v>
      </c>
      <c r="L1960" s="18">
        <v>1</v>
      </c>
      <c r="N1960" s="13">
        <v>44718</v>
      </c>
      <c r="O1960" s="29">
        <v>8.99</v>
      </c>
      <c r="P1960" s="18" t="s">
        <v>1107</v>
      </c>
      <c r="Q1960" s="18">
        <v>0</v>
      </c>
      <c r="V1960" s="22">
        <f>3.65/5</f>
        <v>0.73</v>
      </c>
      <c r="W1960" s="14" t="s">
        <v>7777</v>
      </c>
      <c r="X1960" s="3">
        <v>3</v>
      </c>
      <c r="Z1960" s="23">
        <v>14</v>
      </c>
      <c r="AB1960" s="18">
        <f t="shared" si="60"/>
        <v>2018</v>
      </c>
      <c r="AC1960" s="22">
        <f t="shared" si="61"/>
        <v>0.66500000000000004</v>
      </c>
    </row>
    <row r="1961" spans="1:29" ht="30">
      <c r="A1961" s="8" t="s">
        <v>14251</v>
      </c>
      <c r="B1961" s="17" t="s">
        <v>7800</v>
      </c>
      <c r="C1961" s="13">
        <v>43158</v>
      </c>
      <c r="D1961" s="13" t="s">
        <v>8465</v>
      </c>
      <c r="E1961" s="10" t="s">
        <v>14252</v>
      </c>
      <c r="F1961" s="10" t="s">
        <v>14252</v>
      </c>
      <c r="H1961" s="2" t="s">
        <v>67</v>
      </c>
      <c r="L1961" s="18">
        <v>1</v>
      </c>
      <c r="O1961" s="29">
        <v>0</v>
      </c>
      <c r="P1961" s="18" t="s">
        <v>1107</v>
      </c>
      <c r="Q1961" s="18">
        <v>0</v>
      </c>
      <c r="V1961" s="22">
        <f>3.5/5</f>
        <v>0.7</v>
      </c>
      <c r="W1961" s="14" t="s">
        <v>8765</v>
      </c>
      <c r="X1961" s="3">
        <v>2</v>
      </c>
      <c r="Z1961" s="23">
        <v>3.5</v>
      </c>
      <c r="AB1961" s="18">
        <f t="shared" si="60"/>
        <v>2018</v>
      </c>
      <c r="AC1961" s="22">
        <f t="shared" si="61"/>
        <v>0.55000000000000004</v>
      </c>
    </row>
    <row r="1962" spans="1:29" ht="30">
      <c r="A1962" s="8" t="s">
        <v>11686</v>
      </c>
      <c r="B1962" s="17" t="s">
        <v>7766</v>
      </c>
      <c r="C1962" s="13">
        <v>43154</v>
      </c>
      <c r="D1962" s="13" t="s">
        <v>8465</v>
      </c>
      <c r="E1962" s="10" t="s">
        <v>1604</v>
      </c>
      <c r="F1962" s="10" t="s">
        <v>1232</v>
      </c>
      <c r="G1962" s="11" t="s">
        <v>8931</v>
      </c>
      <c r="H1962" s="2" t="s">
        <v>171</v>
      </c>
      <c r="L1962" s="18">
        <v>1</v>
      </c>
      <c r="N1962" s="13">
        <v>44680</v>
      </c>
      <c r="O1962" s="29">
        <v>9.99</v>
      </c>
      <c r="P1962" s="18" t="s">
        <v>1107</v>
      </c>
      <c r="Q1962" s="18">
        <v>0</v>
      </c>
      <c r="U1962" s="22">
        <v>0.72</v>
      </c>
      <c r="V1962" s="22">
        <f>3.87/5</f>
        <v>0.77400000000000002</v>
      </c>
      <c r="X1962" s="3">
        <v>3</v>
      </c>
      <c r="Z1962" s="23">
        <v>26</v>
      </c>
      <c r="AB1962" s="18">
        <f t="shared" si="60"/>
        <v>2018</v>
      </c>
      <c r="AC1962" s="22">
        <f t="shared" si="61"/>
        <v>0.69799999999999995</v>
      </c>
    </row>
    <row r="1963" spans="1:29" ht="25.5">
      <c r="A1963" s="8" t="s">
        <v>4610</v>
      </c>
      <c r="B1963" s="17" t="s">
        <v>7800</v>
      </c>
      <c r="C1963" s="13">
        <v>43153</v>
      </c>
      <c r="D1963" s="13" t="s">
        <v>8465</v>
      </c>
      <c r="E1963" s="10" t="s">
        <v>4063</v>
      </c>
      <c r="F1963" s="10" t="s">
        <v>4611</v>
      </c>
      <c r="G1963" s="11" t="s">
        <v>4612</v>
      </c>
      <c r="H1963" s="2" t="s">
        <v>67</v>
      </c>
      <c r="L1963" s="18">
        <v>1</v>
      </c>
      <c r="N1963" s="13">
        <v>43419</v>
      </c>
      <c r="P1963" s="18" t="s">
        <v>1107</v>
      </c>
      <c r="Q1963" s="18">
        <v>0</v>
      </c>
      <c r="U1963" s="22">
        <v>0.7</v>
      </c>
      <c r="V1963" s="22">
        <f>3.54/5</f>
        <v>0.70799999999999996</v>
      </c>
      <c r="W1963" s="14" t="s">
        <v>7777</v>
      </c>
      <c r="X1963" s="3">
        <v>3</v>
      </c>
      <c r="Z1963" s="23">
        <v>3.5</v>
      </c>
      <c r="AB1963" s="18">
        <f t="shared" si="60"/>
        <v>2018</v>
      </c>
      <c r="AC1963" s="22">
        <f t="shared" si="61"/>
        <v>0.66933333333333334</v>
      </c>
    </row>
    <row r="1964" spans="1:29" ht="25.5">
      <c r="A1964" s="8" t="s">
        <v>12581</v>
      </c>
      <c r="B1964" s="17" t="s">
        <v>7800</v>
      </c>
      <c r="C1964" s="13">
        <v>43153</v>
      </c>
      <c r="D1964" s="13" t="s">
        <v>8465</v>
      </c>
      <c r="E1964" s="10" t="s">
        <v>3136</v>
      </c>
      <c r="F1964" s="10" t="s">
        <v>12580</v>
      </c>
      <c r="G1964" s="11" t="s">
        <v>7164</v>
      </c>
      <c r="H1964" s="2" t="s">
        <v>1061</v>
      </c>
      <c r="L1964" s="18">
        <v>1</v>
      </c>
      <c r="P1964" s="18" t="s">
        <v>1107</v>
      </c>
      <c r="Q1964" s="18">
        <v>0</v>
      </c>
      <c r="U1964" s="22">
        <v>0.51</v>
      </c>
      <c r="V1964" s="22">
        <f>3.18/5</f>
        <v>0.63600000000000001</v>
      </c>
      <c r="W1964" s="14" t="s">
        <v>7777</v>
      </c>
      <c r="X1964" s="3">
        <v>2</v>
      </c>
      <c r="Z1964" s="23">
        <v>4</v>
      </c>
      <c r="AB1964" s="18">
        <f t="shared" si="60"/>
        <v>2018</v>
      </c>
      <c r="AC1964" s="22">
        <f t="shared" si="61"/>
        <v>0.51533333333333331</v>
      </c>
    </row>
    <row r="1965" spans="1:29">
      <c r="A1965" s="8" t="s">
        <v>6153</v>
      </c>
      <c r="B1965" s="17" t="s">
        <v>7760</v>
      </c>
      <c r="C1965" s="13">
        <v>43152</v>
      </c>
      <c r="D1965" s="13" t="s">
        <v>8465</v>
      </c>
      <c r="E1965" s="10" t="s">
        <v>1583</v>
      </c>
      <c r="F1965" s="10" t="s">
        <v>6154</v>
      </c>
      <c r="H1965" s="2" t="s">
        <v>64</v>
      </c>
      <c r="L1965" s="18">
        <v>1</v>
      </c>
      <c r="M1965" s="14" t="s">
        <v>8462</v>
      </c>
      <c r="N1965" s="13">
        <v>43454</v>
      </c>
      <c r="O1965" s="29">
        <v>13.99</v>
      </c>
      <c r="P1965" s="18" t="s">
        <v>14</v>
      </c>
      <c r="Q1965" s="18">
        <v>0</v>
      </c>
      <c r="U1965" s="22">
        <v>0.56999999999999995</v>
      </c>
      <c r="V1965" s="22">
        <f>3.4/5</f>
        <v>0.67999999999999994</v>
      </c>
      <c r="X1965" s="3">
        <v>2</v>
      </c>
      <c r="Z1965" s="23">
        <v>3</v>
      </c>
      <c r="AB1965" s="18">
        <f t="shared" si="60"/>
        <v>2018</v>
      </c>
      <c r="AC1965" s="22">
        <f t="shared" si="61"/>
        <v>0.54999999999999993</v>
      </c>
    </row>
    <row r="1966" spans="1:29">
      <c r="A1966" s="8" t="s">
        <v>11406</v>
      </c>
      <c r="B1966" s="17" t="s">
        <v>7800</v>
      </c>
      <c r="C1966" s="13">
        <v>43152</v>
      </c>
      <c r="D1966" s="13" t="s">
        <v>8465</v>
      </c>
      <c r="E1966" s="10" t="s">
        <v>11407</v>
      </c>
      <c r="F1966" s="10" t="s">
        <v>11407</v>
      </c>
      <c r="H1966" s="2" t="s">
        <v>56</v>
      </c>
      <c r="L1966" s="18">
        <v>1</v>
      </c>
      <c r="N1966" s="13">
        <v>44638</v>
      </c>
      <c r="O1966" s="29">
        <v>0</v>
      </c>
      <c r="P1966" s="18" t="s">
        <v>1107</v>
      </c>
      <c r="Q1966" s="18">
        <v>0</v>
      </c>
      <c r="V1966" s="22">
        <f>2.43/5</f>
        <v>0.48600000000000004</v>
      </c>
      <c r="W1966" s="14" t="s">
        <v>7777</v>
      </c>
      <c r="X1966" s="3">
        <v>2</v>
      </c>
      <c r="Z1966" s="23">
        <v>20</v>
      </c>
      <c r="AB1966" s="18">
        <f t="shared" si="60"/>
        <v>2018</v>
      </c>
      <c r="AC1966" s="22">
        <f t="shared" si="61"/>
        <v>0.44300000000000006</v>
      </c>
    </row>
    <row r="1967" spans="1:29">
      <c r="A1967" s="8" t="s">
        <v>7034</v>
      </c>
      <c r="B1967" s="17" t="s">
        <v>7800</v>
      </c>
      <c r="C1967" s="13">
        <v>43152</v>
      </c>
      <c r="D1967" s="13" t="s">
        <v>8465</v>
      </c>
      <c r="E1967" s="27" t="s">
        <v>8672</v>
      </c>
      <c r="F1967" s="10" t="s">
        <v>7035</v>
      </c>
      <c r="H1967" s="2" t="s">
        <v>80</v>
      </c>
      <c r="L1967" s="18">
        <v>1</v>
      </c>
      <c r="O1967" s="29">
        <v>0</v>
      </c>
      <c r="P1967" s="18" t="s">
        <v>1107</v>
      </c>
      <c r="Q1967" s="18">
        <v>0</v>
      </c>
      <c r="V1967" s="22">
        <f>2/5</f>
        <v>0.4</v>
      </c>
      <c r="W1967" s="14" t="s">
        <v>7799</v>
      </c>
      <c r="X1967" s="3">
        <v>2</v>
      </c>
      <c r="Z1967" s="23">
        <v>2</v>
      </c>
      <c r="AB1967" s="18">
        <f t="shared" si="60"/>
        <v>2018</v>
      </c>
      <c r="AC1967" s="22">
        <f t="shared" si="61"/>
        <v>0.4</v>
      </c>
    </row>
    <row r="1968" spans="1:29">
      <c r="A1968" s="8" t="s">
        <v>10136</v>
      </c>
      <c r="B1968" s="17" t="s">
        <v>7800</v>
      </c>
      <c r="C1968" s="13">
        <v>43151</v>
      </c>
      <c r="D1968" s="13" t="s">
        <v>8465</v>
      </c>
      <c r="E1968" s="10" t="s">
        <v>72</v>
      </c>
      <c r="F1968" s="10" t="s">
        <v>72</v>
      </c>
      <c r="G1968" s="11" t="s">
        <v>220</v>
      </c>
      <c r="H1968" s="2" t="s">
        <v>1699</v>
      </c>
      <c r="L1968" s="18">
        <v>1</v>
      </c>
      <c r="N1968" s="13">
        <v>44309</v>
      </c>
      <c r="O1968" s="29">
        <v>5.99</v>
      </c>
      <c r="P1968" s="18" t="s">
        <v>1107</v>
      </c>
      <c r="Q1968" s="18">
        <v>0</v>
      </c>
      <c r="U1968" s="22">
        <v>0.54</v>
      </c>
      <c r="V1968" s="22">
        <f>1.72/5</f>
        <v>0.34399999999999997</v>
      </c>
      <c r="W1968" s="14" t="s">
        <v>7777</v>
      </c>
      <c r="X1968" s="3">
        <v>2</v>
      </c>
      <c r="Z1968" s="23">
        <v>22</v>
      </c>
      <c r="AB1968" s="18">
        <f t="shared" si="60"/>
        <v>2018</v>
      </c>
      <c r="AC1968" s="22">
        <f t="shared" si="61"/>
        <v>0.42799999999999999</v>
      </c>
    </row>
    <row r="1969" spans="1:29">
      <c r="A1969" s="8" t="s">
        <v>1091</v>
      </c>
      <c r="B1969" s="17" t="s">
        <v>7744</v>
      </c>
      <c r="C1969" s="13">
        <v>43147</v>
      </c>
      <c r="D1969" s="13" t="s">
        <v>8465</v>
      </c>
      <c r="E1969" s="10" t="s">
        <v>86</v>
      </c>
      <c r="F1969" s="10" t="s">
        <v>1058</v>
      </c>
      <c r="G1969" s="11" t="s">
        <v>1090</v>
      </c>
      <c r="H1969" s="2" t="s">
        <v>1059</v>
      </c>
      <c r="L1969" s="18">
        <v>1</v>
      </c>
      <c r="M1969" s="14" t="s">
        <v>8462</v>
      </c>
      <c r="N1969" s="13">
        <v>44806</v>
      </c>
      <c r="O1969" s="29">
        <v>66.92</v>
      </c>
      <c r="P1969" s="18" t="s">
        <v>14</v>
      </c>
      <c r="Q1969" s="18">
        <v>0</v>
      </c>
      <c r="U1969" s="22">
        <v>0.92</v>
      </c>
      <c r="V1969" s="22">
        <f>4.23/5</f>
        <v>0.84600000000000009</v>
      </c>
      <c r="X1969" s="3">
        <v>3</v>
      </c>
      <c r="Z1969" s="23">
        <v>9</v>
      </c>
      <c r="AB1969" s="18">
        <f t="shared" si="60"/>
        <v>2018</v>
      </c>
      <c r="AC1969" s="22">
        <f t="shared" si="61"/>
        <v>0.78866666666666674</v>
      </c>
    </row>
    <row r="1970" spans="1:29">
      <c r="A1970" s="8" t="s">
        <v>1090</v>
      </c>
      <c r="B1970" s="17" t="s">
        <v>7744</v>
      </c>
      <c r="C1970" s="13">
        <v>43147</v>
      </c>
      <c r="D1970" s="13" t="s">
        <v>8465</v>
      </c>
      <c r="E1970" s="10" t="s">
        <v>86</v>
      </c>
      <c r="F1970" s="10" t="s">
        <v>1058</v>
      </c>
      <c r="G1970" s="11" t="s">
        <v>1090</v>
      </c>
      <c r="H1970" s="2" t="s">
        <v>1059</v>
      </c>
      <c r="L1970" s="18">
        <v>1</v>
      </c>
      <c r="M1970" s="14" t="s">
        <v>8462</v>
      </c>
      <c r="N1970" s="13">
        <v>44772</v>
      </c>
      <c r="O1970" s="29">
        <v>32.58</v>
      </c>
      <c r="P1970" s="18" t="s">
        <v>14</v>
      </c>
      <c r="Q1970" s="18">
        <v>0</v>
      </c>
      <c r="U1970" s="22">
        <v>0.84</v>
      </c>
      <c r="V1970" s="22">
        <f>4.15/5</f>
        <v>0.83000000000000007</v>
      </c>
      <c r="X1970" s="3">
        <v>2</v>
      </c>
      <c r="Z1970" s="23">
        <v>11.5</v>
      </c>
      <c r="AB1970" s="18">
        <f t="shared" si="60"/>
        <v>2018</v>
      </c>
      <c r="AC1970" s="22">
        <f t="shared" si="61"/>
        <v>0.69</v>
      </c>
    </row>
    <row r="1971" spans="1:29">
      <c r="A1971" s="8" t="s">
        <v>588</v>
      </c>
      <c r="B1971" s="17" t="s">
        <v>7760</v>
      </c>
      <c r="C1971" s="13">
        <v>43146</v>
      </c>
      <c r="D1971" s="13" t="s">
        <v>8465</v>
      </c>
      <c r="E1971" s="10" t="s">
        <v>1082</v>
      </c>
      <c r="F1971" s="10" t="s">
        <v>1082</v>
      </c>
      <c r="G1971" s="11" t="s">
        <v>1253</v>
      </c>
      <c r="H1971" s="2" t="s">
        <v>171</v>
      </c>
      <c r="L1971" s="18">
        <v>1</v>
      </c>
      <c r="M1971" s="14" t="s">
        <v>8462</v>
      </c>
      <c r="N1971" s="13">
        <v>44257</v>
      </c>
      <c r="O1971" s="29">
        <v>14.99</v>
      </c>
      <c r="P1971" s="18" t="s">
        <v>14</v>
      </c>
      <c r="Q1971" s="18">
        <v>0</v>
      </c>
      <c r="U1971" s="22">
        <v>0.63</v>
      </c>
      <c r="V1971" s="22">
        <f>3.8/5</f>
        <v>0.76</v>
      </c>
      <c r="X1971" s="3">
        <v>3</v>
      </c>
      <c r="Z1971" s="23">
        <v>16.5</v>
      </c>
      <c r="AB1971" s="18">
        <f t="shared" si="60"/>
        <v>2018</v>
      </c>
      <c r="AC1971" s="22">
        <f t="shared" si="61"/>
        <v>0.66333333333333344</v>
      </c>
    </row>
    <row r="1972" spans="1:29" ht="25.5">
      <c r="A1972" s="8" t="s">
        <v>12441</v>
      </c>
      <c r="B1972" s="17" t="s">
        <v>7763</v>
      </c>
      <c r="C1972" s="13">
        <v>43146</v>
      </c>
      <c r="D1972" s="13" t="s">
        <v>8463</v>
      </c>
      <c r="E1972" s="10" t="s">
        <v>455</v>
      </c>
      <c r="F1972" s="10" t="s">
        <v>455</v>
      </c>
      <c r="G1972" s="11" t="s">
        <v>2901</v>
      </c>
      <c r="H1972" s="2" t="s">
        <v>1204</v>
      </c>
      <c r="K1972" s="18">
        <v>0</v>
      </c>
      <c r="L1972" s="18">
        <v>0</v>
      </c>
      <c r="Q1972" s="18">
        <v>0</v>
      </c>
      <c r="V1972" s="22">
        <f>4/5</f>
        <v>0.8</v>
      </c>
      <c r="W1972" s="14" t="s">
        <v>9890</v>
      </c>
      <c r="X1972" s="3">
        <v>2</v>
      </c>
      <c r="Z1972" s="23">
        <v>10</v>
      </c>
      <c r="AB1972" s="18">
        <f t="shared" si="60"/>
        <v>2018</v>
      </c>
      <c r="AC1972" s="22">
        <f t="shared" si="61"/>
        <v>0.60000000000000009</v>
      </c>
    </row>
    <row r="1973" spans="1:29" ht="25.5">
      <c r="A1973" s="8" t="s">
        <v>4233</v>
      </c>
      <c r="B1973" s="17" t="s">
        <v>7800</v>
      </c>
      <c r="C1973" s="13">
        <v>43144</v>
      </c>
      <c r="D1973" s="13" t="s">
        <v>8465</v>
      </c>
      <c r="E1973" s="10" t="s">
        <v>4234</v>
      </c>
      <c r="F1973" s="10" t="s">
        <v>4234</v>
      </c>
      <c r="H1973" s="2" t="s">
        <v>171</v>
      </c>
      <c r="L1973" s="18">
        <v>1</v>
      </c>
      <c r="N1973" s="13">
        <v>43651</v>
      </c>
      <c r="O1973" s="29">
        <v>11</v>
      </c>
      <c r="P1973" s="18" t="s">
        <v>1107</v>
      </c>
      <c r="Q1973" s="18">
        <v>0</v>
      </c>
      <c r="U1973" s="22">
        <v>0.74</v>
      </c>
      <c r="V1973" s="22">
        <f>3.74/5</f>
        <v>0.748</v>
      </c>
      <c r="W1973" s="14" t="s">
        <v>7777</v>
      </c>
      <c r="X1973" s="3">
        <v>4</v>
      </c>
      <c r="Z1973" s="23">
        <v>39.5</v>
      </c>
      <c r="AB1973" s="18">
        <f t="shared" si="60"/>
        <v>2018</v>
      </c>
      <c r="AC1973" s="22">
        <f t="shared" si="61"/>
        <v>0.76266666666666671</v>
      </c>
    </row>
    <row r="1974" spans="1:29" ht="25.5">
      <c r="A1974" s="8" t="s">
        <v>4233</v>
      </c>
      <c r="B1974" s="17" t="s">
        <v>7760</v>
      </c>
      <c r="C1974" s="13">
        <v>43144</v>
      </c>
      <c r="D1974" s="13" t="s">
        <v>8465</v>
      </c>
      <c r="E1974" s="10" t="s">
        <v>1163</v>
      </c>
      <c r="F1974" s="10" t="s">
        <v>4234</v>
      </c>
      <c r="H1974" s="2" t="s">
        <v>171</v>
      </c>
      <c r="L1974" s="18">
        <v>1</v>
      </c>
      <c r="M1974" s="14" t="s">
        <v>8462</v>
      </c>
      <c r="N1974" s="13">
        <v>43506</v>
      </c>
      <c r="O1974" s="29">
        <v>14.46</v>
      </c>
      <c r="P1974" s="18" t="s">
        <v>14</v>
      </c>
      <c r="Q1974" s="18">
        <v>0</v>
      </c>
      <c r="U1974" s="22">
        <v>0.72</v>
      </c>
      <c r="V1974" s="22">
        <f>3.79/5</f>
        <v>0.75800000000000001</v>
      </c>
      <c r="X1974" s="3">
        <v>4</v>
      </c>
      <c r="Z1974" s="23">
        <v>39.5</v>
      </c>
      <c r="AB1974" s="18">
        <f t="shared" si="60"/>
        <v>2018</v>
      </c>
      <c r="AC1974" s="22">
        <f t="shared" si="61"/>
        <v>0.7593333333333333</v>
      </c>
    </row>
    <row r="1975" spans="1:29" ht="25.5">
      <c r="A1975" s="8" t="s">
        <v>2400</v>
      </c>
      <c r="B1975" s="17" t="s">
        <v>7749</v>
      </c>
      <c r="C1975" s="13">
        <v>43144</v>
      </c>
      <c r="D1975" s="13" t="s">
        <v>8465</v>
      </c>
      <c r="E1975" s="10" t="s">
        <v>2461</v>
      </c>
      <c r="F1975" s="10" t="s">
        <v>228</v>
      </c>
      <c r="G1975" s="11" t="s">
        <v>2120</v>
      </c>
      <c r="H1975" s="2" t="s">
        <v>149</v>
      </c>
      <c r="L1975" s="18">
        <v>1</v>
      </c>
      <c r="M1975" s="14" t="s">
        <v>8462</v>
      </c>
      <c r="N1975" s="13">
        <v>43165</v>
      </c>
      <c r="O1975" s="29">
        <v>34.229999999999997</v>
      </c>
      <c r="P1975" s="18" t="s">
        <v>14</v>
      </c>
      <c r="Q1975" s="18">
        <v>0</v>
      </c>
      <c r="U1975" s="22">
        <v>0.86</v>
      </c>
      <c r="V1975" s="22">
        <f>4.14/5</f>
        <v>0.82799999999999996</v>
      </c>
      <c r="X1975" s="3">
        <v>3</v>
      </c>
      <c r="Z1975" s="23">
        <v>25.5</v>
      </c>
      <c r="AB1975" s="18">
        <f t="shared" si="60"/>
        <v>2018</v>
      </c>
      <c r="AC1975" s="22">
        <f t="shared" si="61"/>
        <v>0.7626666666666666</v>
      </c>
    </row>
    <row r="1976" spans="1:29" ht="25.5">
      <c r="A1976" s="8" t="s">
        <v>8654</v>
      </c>
      <c r="B1976" s="17" t="s">
        <v>7800</v>
      </c>
      <c r="C1976" s="13">
        <v>43144</v>
      </c>
      <c r="D1976" s="13" t="s">
        <v>8465</v>
      </c>
      <c r="E1976" s="10" t="s">
        <v>5308</v>
      </c>
      <c r="F1976" s="10" t="s">
        <v>5308</v>
      </c>
      <c r="G1976" s="11" t="s">
        <v>5307</v>
      </c>
      <c r="H1976" s="2" t="s">
        <v>80</v>
      </c>
      <c r="L1976" s="18">
        <v>1</v>
      </c>
      <c r="N1976" s="13">
        <v>43959</v>
      </c>
      <c r="O1976" s="29">
        <v>1.75</v>
      </c>
      <c r="P1976" s="18" t="s">
        <v>1107</v>
      </c>
      <c r="Q1976" s="18">
        <v>0</v>
      </c>
      <c r="U1976" s="22">
        <v>0.73</v>
      </c>
      <c r="V1976" s="22">
        <f>4/5</f>
        <v>0.8</v>
      </c>
      <c r="W1976" s="14" t="s">
        <v>7777</v>
      </c>
      <c r="X1976" s="3">
        <v>3</v>
      </c>
      <c r="Z1976" s="23">
        <v>7</v>
      </c>
      <c r="AB1976" s="18">
        <f t="shared" si="60"/>
        <v>2018</v>
      </c>
      <c r="AC1976" s="22">
        <f t="shared" si="61"/>
        <v>0.71</v>
      </c>
    </row>
    <row r="1977" spans="1:29">
      <c r="A1977" s="8" t="s">
        <v>7009</v>
      </c>
      <c r="B1977" s="17" t="s">
        <v>7800</v>
      </c>
      <c r="C1977" s="13">
        <v>43144</v>
      </c>
      <c r="D1977" s="13" t="s">
        <v>8465</v>
      </c>
      <c r="E1977" s="10" t="s">
        <v>3063</v>
      </c>
      <c r="F1977" s="10" t="s">
        <v>7010</v>
      </c>
      <c r="H1977" s="2" t="s">
        <v>80</v>
      </c>
      <c r="L1977" s="18">
        <v>1</v>
      </c>
      <c r="O1977" s="29">
        <v>0</v>
      </c>
      <c r="P1977" s="18" t="s">
        <v>1107</v>
      </c>
      <c r="Q1977" s="18">
        <v>0</v>
      </c>
      <c r="U1977" s="22">
        <v>0.7</v>
      </c>
      <c r="V1977" s="22">
        <f>3.74/5</f>
        <v>0.748</v>
      </c>
      <c r="W1977" s="14" t="s">
        <v>7799</v>
      </c>
      <c r="X1977" s="3">
        <v>3</v>
      </c>
      <c r="Z1977" s="23">
        <v>8.5</v>
      </c>
      <c r="AB1977" s="18">
        <f t="shared" si="60"/>
        <v>2018</v>
      </c>
      <c r="AC1977" s="22">
        <f t="shared" si="61"/>
        <v>0.68266666666666664</v>
      </c>
    </row>
    <row r="1978" spans="1:29" ht="25.5">
      <c r="A1978" s="8" t="s">
        <v>12073</v>
      </c>
      <c r="B1978" s="17" t="s">
        <v>7744</v>
      </c>
      <c r="C1978" s="13">
        <v>43144</v>
      </c>
      <c r="D1978" s="13" t="s">
        <v>8465</v>
      </c>
      <c r="E1978" s="10" t="s">
        <v>1062</v>
      </c>
      <c r="F1978" s="10" t="s">
        <v>2285</v>
      </c>
      <c r="H1978" s="2" t="s">
        <v>149</v>
      </c>
      <c r="L1978" s="18">
        <v>1</v>
      </c>
      <c r="N1978" s="13">
        <v>44743</v>
      </c>
      <c r="O1978" s="29">
        <v>3.99</v>
      </c>
      <c r="P1978" s="18" t="s">
        <v>1107</v>
      </c>
      <c r="Q1978" s="18">
        <v>0</v>
      </c>
      <c r="U1978" s="22">
        <v>0.67</v>
      </c>
      <c r="V1978" s="22">
        <f>3.82/5</f>
        <v>0.76400000000000001</v>
      </c>
      <c r="X1978" s="3">
        <v>2</v>
      </c>
      <c r="Z1978" s="23">
        <v>9</v>
      </c>
      <c r="AB1978" s="18">
        <f t="shared" si="60"/>
        <v>2018</v>
      </c>
      <c r="AC1978" s="22">
        <f t="shared" si="61"/>
        <v>0.6113333333333334</v>
      </c>
    </row>
    <row r="1979" spans="1:29">
      <c r="A1979" s="8" t="s">
        <v>10517</v>
      </c>
      <c r="B1979" s="17" t="s">
        <v>7760</v>
      </c>
      <c r="C1979" s="13">
        <v>43144</v>
      </c>
      <c r="D1979" s="13" t="s">
        <v>8465</v>
      </c>
      <c r="E1979" s="10" t="s">
        <v>1565</v>
      </c>
      <c r="F1979" s="10" t="s">
        <v>1471</v>
      </c>
      <c r="G1979" s="11" t="s">
        <v>7935</v>
      </c>
      <c r="H1979" s="2" t="s">
        <v>1059</v>
      </c>
      <c r="L1979" s="18">
        <v>1</v>
      </c>
      <c r="M1979" s="14" t="s">
        <v>8462</v>
      </c>
      <c r="N1979" s="13">
        <v>44483</v>
      </c>
      <c r="O1979" s="29">
        <v>15.31</v>
      </c>
      <c r="P1979" s="18" t="s">
        <v>14</v>
      </c>
      <c r="Q1979" s="18">
        <v>0</v>
      </c>
      <c r="U1979" s="22">
        <v>0.65</v>
      </c>
      <c r="V1979" s="22">
        <f>3.19/5</f>
        <v>0.63800000000000001</v>
      </c>
      <c r="X1979" s="3">
        <v>2</v>
      </c>
      <c r="Z1979" s="23">
        <v>32</v>
      </c>
      <c r="AB1979" s="18">
        <f t="shared" si="60"/>
        <v>2018</v>
      </c>
      <c r="AC1979" s="22">
        <f t="shared" si="61"/>
        <v>0.56266666666666676</v>
      </c>
    </row>
    <row r="1980" spans="1:29">
      <c r="A1980" s="8" t="s">
        <v>8913</v>
      </c>
      <c r="B1980" s="17" t="s">
        <v>7800</v>
      </c>
      <c r="C1980" s="13">
        <v>43140</v>
      </c>
      <c r="D1980" s="13" t="s">
        <v>8465</v>
      </c>
      <c r="E1980" s="10" t="s">
        <v>3136</v>
      </c>
      <c r="F1980" s="10" t="s">
        <v>8914</v>
      </c>
      <c r="G1980" s="11" t="s">
        <v>8915</v>
      </c>
      <c r="H1980" s="2" t="s">
        <v>150</v>
      </c>
      <c r="L1980" s="18">
        <v>1</v>
      </c>
      <c r="N1980" s="13">
        <v>44000</v>
      </c>
      <c r="O1980" s="29">
        <v>0</v>
      </c>
      <c r="P1980" s="18" t="s">
        <v>1107</v>
      </c>
      <c r="Q1980" s="18">
        <v>0</v>
      </c>
      <c r="W1980" s="14" t="s">
        <v>7777</v>
      </c>
      <c r="X1980" s="3">
        <v>2</v>
      </c>
      <c r="AB1980" s="18">
        <f t="shared" si="60"/>
        <v>2018</v>
      </c>
      <c r="AC1980" s="22">
        <f t="shared" si="61"/>
        <v>0.4</v>
      </c>
    </row>
    <row r="1981" spans="1:29" ht="30">
      <c r="A1981" s="8" t="s">
        <v>6624</v>
      </c>
      <c r="B1981" s="17" t="s">
        <v>7744</v>
      </c>
      <c r="C1981" s="13">
        <v>43139</v>
      </c>
      <c r="D1981" s="13" t="s">
        <v>8465</v>
      </c>
      <c r="E1981" s="10" t="s">
        <v>9249</v>
      </c>
      <c r="F1981" s="10" t="s">
        <v>6625</v>
      </c>
      <c r="H1981" s="2" t="s">
        <v>1169</v>
      </c>
      <c r="L1981" s="18">
        <v>1</v>
      </c>
      <c r="M1981" s="14" t="s">
        <v>8462</v>
      </c>
      <c r="N1981" s="13">
        <v>43696</v>
      </c>
      <c r="O1981" s="29">
        <v>43.08</v>
      </c>
      <c r="P1981" s="18" t="s">
        <v>14</v>
      </c>
      <c r="Q1981" s="18">
        <v>0</v>
      </c>
      <c r="U1981" s="22">
        <v>0.75</v>
      </c>
      <c r="V1981" s="22">
        <f>3.94/5</f>
        <v>0.78800000000000003</v>
      </c>
      <c r="W1981" s="14" t="s">
        <v>1134</v>
      </c>
      <c r="X1981" s="3">
        <v>3</v>
      </c>
      <c r="Z1981" s="23">
        <v>10</v>
      </c>
      <c r="AB1981" s="18">
        <f t="shared" si="60"/>
        <v>2018</v>
      </c>
      <c r="AC1981" s="22">
        <f t="shared" si="61"/>
        <v>0.71266666666666667</v>
      </c>
    </row>
    <row r="1982" spans="1:29">
      <c r="A1982" s="8" t="s">
        <v>9164</v>
      </c>
      <c r="B1982" s="17" t="s">
        <v>7800</v>
      </c>
      <c r="C1982" s="13">
        <v>43139</v>
      </c>
      <c r="D1982" s="13" t="s">
        <v>8465</v>
      </c>
      <c r="E1982" s="10" t="s">
        <v>8774</v>
      </c>
      <c r="F1982" s="10" t="s">
        <v>9165</v>
      </c>
      <c r="H1982" s="2" t="s">
        <v>67</v>
      </c>
      <c r="L1982" s="18">
        <v>1</v>
      </c>
      <c r="N1982" s="13">
        <v>44050</v>
      </c>
      <c r="O1982" s="29">
        <v>0</v>
      </c>
      <c r="P1982" s="18" t="s">
        <v>1107</v>
      </c>
      <c r="Q1982" s="18">
        <v>0</v>
      </c>
      <c r="U1982" s="22">
        <v>0.77</v>
      </c>
      <c r="V1982" s="22">
        <f>3.64/5</f>
        <v>0.72799999999999998</v>
      </c>
      <c r="W1982" s="14" t="s">
        <v>7777</v>
      </c>
      <c r="X1982" s="3">
        <v>3</v>
      </c>
      <c r="Z1982" s="23">
        <v>2.5</v>
      </c>
      <c r="AB1982" s="18">
        <f t="shared" si="60"/>
        <v>2018</v>
      </c>
      <c r="AC1982" s="22">
        <f t="shared" si="61"/>
        <v>0.69933333333333325</v>
      </c>
    </row>
    <row r="1983" spans="1:29">
      <c r="A1983" s="8" t="s">
        <v>6624</v>
      </c>
      <c r="B1983" s="17" t="s">
        <v>7800</v>
      </c>
      <c r="C1983" s="13">
        <v>43139</v>
      </c>
      <c r="D1983" s="13" t="s">
        <v>8465</v>
      </c>
      <c r="E1983" s="10" t="s">
        <v>9249</v>
      </c>
      <c r="F1983" s="10" t="s">
        <v>6625</v>
      </c>
      <c r="H1983" s="2" t="s">
        <v>1169</v>
      </c>
      <c r="L1983" s="18">
        <v>1</v>
      </c>
      <c r="N1983" s="13">
        <v>43805</v>
      </c>
      <c r="O1983" s="29">
        <v>0</v>
      </c>
      <c r="P1983" s="18" t="s">
        <v>1107</v>
      </c>
      <c r="Q1983" s="18">
        <v>0</v>
      </c>
      <c r="U1983" s="22">
        <v>0.81599999999999995</v>
      </c>
      <c r="V1983" s="22">
        <f>3.39/5</f>
        <v>0.67800000000000005</v>
      </c>
      <c r="W1983" s="14" t="s">
        <v>7777</v>
      </c>
      <c r="X1983" s="3">
        <v>3</v>
      </c>
      <c r="Z1983" s="23">
        <v>10</v>
      </c>
      <c r="AB1983" s="18">
        <f t="shared" si="60"/>
        <v>2018</v>
      </c>
      <c r="AC1983" s="22">
        <f t="shared" si="61"/>
        <v>0.69799999999999995</v>
      </c>
    </row>
    <row r="1984" spans="1:29" ht="25.5">
      <c r="A1984" s="8" t="s">
        <v>11903</v>
      </c>
      <c r="B1984" s="17" t="s">
        <v>7744</v>
      </c>
      <c r="C1984" s="13">
        <v>43139</v>
      </c>
      <c r="D1984" s="13" t="s">
        <v>8465</v>
      </c>
      <c r="E1984" s="10" t="s">
        <v>10018</v>
      </c>
      <c r="F1984" s="10" t="s">
        <v>11790</v>
      </c>
      <c r="G1984" s="11" t="s">
        <v>11915</v>
      </c>
      <c r="H1984" s="2" t="s">
        <v>75</v>
      </c>
      <c r="L1984" s="18">
        <v>1</v>
      </c>
      <c r="M1984" s="14" t="s">
        <v>8462</v>
      </c>
      <c r="N1984" s="13">
        <v>44717</v>
      </c>
      <c r="O1984" s="29">
        <v>40.659999999999997</v>
      </c>
      <c r="P1984" s="18" t="s">
        <v>14</v>
      </c>
      <c r="Q1984" s="18">
        <v>0</v>
      </c>
      <c r="U1984" s="22">
        <v>0.68</v>
      </c>
      <c r="V1984" s="22">
        <f>3.91/5</f>
        <v>0.78200000000000003</v>
      </c>
      <c r="X1984" s="3">
        <v>3</v>
      </c>
      <c r="Z1984" s="23">
        <v>47</v>
      </c>
      <c r="AB1984" s="18">
        <f t="shared" si="60"/>
        <v>2018</v>
      </c>
      <c r="AC1984" s="22">
        <f t="shared" si="61"/>
        <v>0.68733333333333346</v>
      </c>
    </row>
    <row r="1985" spans="1:29">
      <c r="A1985" s="8" t="s">
        <v>15696</v>
      </c>
      <c r="B1985" s="17" t="s">
        <v>7800</v>
      </c>
      <c r="C1985" s="13">
        <v>43139</v>
      </c>
      <c r="D1985" s="13" t="s">
        <v>8465</v>
      </c>
      <c r="E1985" s="10" t="s">
        <v>9423</v>
      </c>
      <c r="F1985" s="10" t="s">
        <v>9423</v>
      </c>
      <c r="H1985" s="2" t="s">
        <v>150</v>
      </c>
      <c r="I1985" s="18">
        <v>1</v>
      </c>
      <c r="L1985" s="18">
        <v>1</v>
      </c>
      <c r="N1985" s="13">
        <v>45169</v>
      </c>
      <c r="O1985" s="29">
        <v>0</v>
      </c>
      <c r="P1985" s="18" t="s">
        <v>1107</v>
      </c>
      <c r="Q1985" s="18">
        <v>0</v>
      </c>
      <c r="U1985" s="22">
        <v>0.84</v>
      </c>
      <c r="V1985" s="22">
        <f>4.12/5</f>
        <v>0.82400000000000007</v>
      </c>
      <c r="W1985" s="14" t="s">
        <v>7777</v>
      </c>
      <c r="X1985" s="3">
        <v>2</v>
      </c>
      <c r="Z1985" s="23">
        <v>10.5</v>
      </c>
      <c r="AB1985" s="18">
        <f t="shared" ref="AB1985:AB2048" si="62">IFERROR(YEAR(C1985), "Early Access")</f>
        <v>2018</v>
      </c>
      <c r="AC1985" s="22">
        <f t="shared" ref="AC1985:AC2048" si="63">AVERAGE(T1985, U1985, V1985, IF(ISBLANK(X1985), X1985, X1985/5))</f>
        <v>0.68800000000000006</v>
      </c>
    </row>
    <row r="1986" spans="1:29">
      <c r="A1986" s="8" t="s">
        <v>3155</v>
      </c>
      <c r="B1986" s="17" t="s">
        <v>7800</v>
      </c>
      <c r="C1986" s="13">
        <v>43138</v>
      </c>
      <c r="D1986" s="13" t="s">
        <v>8465</v>
      </c>
      <c r="E1986" s="10" t="s">
        <v>3156</v>
      </c>
      <c r="F1986" s="10" t="s">
        <v>3157</v>
      </c>
      <c r="H1986" s="2" t="s">
        <v>67</v>
      </c>
      <c r="L1986" s="18">
        <v>1</v>
      </c>
      <c r="N1986" s="13">
        <v>43340</v>
      </c>
      <c r="P1986" s="18" t="s">
        <v>1107</v>
      </c>
      <c r="Q1986" s="18">
        <v>0</v>
      </c>
      <c r="V1986" s="22">
        <f>2.17/5</f>
        <v>0.434</v>
      </c>
      <c r="W1986" s="14" t="s">
        <v>7777</v>
      </c>
      <c r="X1986" s="3">
        <v>3</v>
      </c>
      <c r="Z1986" s="23">
        <v>1.5</v>
      </c>
      <c r="AB1986" s="18">
        <f t="shared" si="62"/>
        <v>2018</v>
      </c>
      <c r="AC1986" s="22">
        <f t="shared" si="63"/>
        <v>0.51700000000000002</v>
      </c>
    </row>
    <row r="1987" spans="1:29" ht="30">
      <c r="A1987" s="8" t="s">
        <v>5858</v>
      </c>
      <c r="B1987" s="17" t="s">
        <v>7760</v>
      </c>
      <c r="C1987" s="13">
        <v>43137</v>
      </c>
      <c r="D1987" s="13" t="s">
        <v>8465</v>
      </c>
      <c r="E1987" s="10" t="s">
        <v>6107</v>
      </c>
      <c r="F1987" s="10" t="s">
        <v>6158</v>
      </c>
      <c r="G1987" s="11" t="s">
        <v>5858</v>
      </c>
      <c r="H1987" s="2" t="s">
        <v>80</v>
      </c>
      <c r="L1987" s="18">
        <v>1</v>
      </c>
      <c r="M1987" s="14" t="s">
        <v>8462</v>
      </c>
      <c r="N1987" s="13">
        <v>43443</v>
      </c>
      <c r="O1987" s="29">
        <v>21.16</v>
      </c>
      <c r="P1987" s="18" t="s">
        <v>14</v>
      </c>
      <c r="Q1987" s="18">
        <v>0</v>
      </c>
      <c r="U1987" s="22">
        <v>0.92</v>
      </c>
      <c r="V1987" s="22">
        <f>4.11/5</f>
        <v>0.82200000000000006</v>
      </c>
      <c r="X1987" s="3">
        <v>4</v>
      </c>
      <c r="Z1987" s="23">
        <v>6.5</v>
      </c>
      <c r="AB1987" s="18">
        <f t="shared" si="62"/>
        <v>2018</v>
      </c>
      <c r="AC1987" s="22">
        <f t="shared" si="63"/>
        <v>0.84733333333333327</v>
      </c>
    </row>
    <row r="1988" spans="1:29">
      <c r="A1988" s="8" t="s">
        <v>3543</v>
      </c>
      <c r="B1988" s="17" t="s">
        <v>7800</v>
      </c>
      <c r="C1988" s="13">
        <v>43137</v>
      </c>
      <c r="D1988" s="13" t="s">
        <v>8465</v>
      </c>
      <c r="E1988" s="10" t="s">
        <v>3544</v>
      </c>
      <c r="F1988" s="10" t="s">
        <v>3545</v>
      </c>
      <c r="H1988" s="2" t="s">
        <v>151</v>
      </c>
      <c r="L1988" s="18">
        <v>1</v>
      </c>
      <c r="N1988" s="13">
        <v>43565</v>
      </c>
      <c r="O1988" s="29">
        <v>0</v>
      </c>
      <c r="P1988" s="18" t="s">
        <v>1107</v>
      </c>
      <c r="Q1988" s="18">
        <v>0</v>
      </c>
      <c r="U1988" s="22">
        <v>0.7</v>
      </c>
      <c r="V1988" s="22">
        <f>3.81/5</f>
        <v>0.76200000000000001</v>
      </c>
      <c r="W1988" s="14" t="s">
        <v>7777</v>
      </c>
      <c r="X1988" s="3">
        <v>3</v>
      </c>
      <c r="Z1988" s="23">
        <v>6.5</v>
      </c>
      <c r="AB1988" s="18">
        <f t="shared" si="62"/>
        <v>2018</v>
      </c>
      <c r="AC1988" s="22">
        <f t="shared" si="63"/>
        <v>0.68733333333333324</v>
      </c>
    </row>
    <row r="1989" spans="1:29">
      <c r="A1989" s="8" t="s">
        <v>9907</v>
      </c>
      <c r="B1989" s="17" t="s">
        <v>7800</v>
      </c>
      <c r="C1989" s="13">
        <v>43137</v>
      </c>
      <c r="D1989" s="13" t="s">
        <v>8465</v>
      </c>
      <c r="E1989" s="10" t="s">
        <v>9908</v>
      </c>
      <c r="F1989" s="10" t="s">
        <v>9908</v>
      </c>
      <c r="H1989" s="2" t="s">
        <v>1050</v>
      </c>
      <c r="I1989" s="18">
        <v>1</v>
      </c>
      <c r="L1989" s="18">
        <v>1</v>
      </c>
      <c r="N1989" s="13">
        <v>44293</v>
      </c>
      <c r="O1989" s="29">
        <v>0</v>
      </c>
      <c r="P1989" s="18" t="s">
        <v>1107</v>
      </c>
      <c r="Q1989" s="18">
        <v>0</v>
      </c>
      <c r="U1989" s="22">
        <v>0.78</v>
      </c>
      <c r="V1989" s="22">
        <f>2.67/5</f>
        <v>0.53400000000000003</v>
      </c>
      <c r="W1989" s="14" t="s">
        <v>7777</v>
      </c>
      <c r="X1989" s="3">
        <v>3</v>
      </c>
      <c r="Z1989" s="23">
        <v>2</v>
      </c>
      <c r="AB1989" s="18">
        <f t="shared" si="62"/>
        <v>2018</v>
      </c>
      <c r="AC1989" s="22">
        <f t="shared" si="63"/>
        <v>0.63800000000000001</v>
      </c>
    </row>
    <row r="1990" spans="1:29">
      <c r="A1990" s="8" t="s">
        <v>4801</v>
      </c>
      <c r="B1990" s="17" t="s">
        <v>7800</v>
      </c>
      <c r="C1990" s="13">
        <v>43136</v>
      </c>
      <c r="D1990" s="13" t="s">
        <v>8465</v>
      </c>
      <c r="E1990" s="10" t="s">
        <v>4802</v>
      </c>
      <c r="F1990" s="10" t="s">
        <v>4803</v>
      </c>
      <c r="H1990" s="2" t="s">
        <v>171</v>
      </c>
      <c r="L1990" s="18">
        <v>1</v>
      </c>
      <c r="N1990" s="13">
        <v>43469</v>
      </c>
      <c r="P1990" s="18" t="s">
        <v>1107</v>
      </c>
      <c r="Q1990" s="18">
        <v>0</v>
      </c>
      <c r="V1990" s="22">
        <f>3.1/5</f>
        <v>0.62</v>
      </c>
      <c r="W1990" s="14" t="s">
        <v>7777</v>
      </c>
      <c r="X1990" s="3">
        <v>2</v>
      </c>
      <c r="Z1990" s="23">
        <v>11</v>
      </c>
      <c r="AB1990" s="18">
        <f t="shared" si="62"/>
        <v>2018</v>
      </c>
      <c r="AC1990" s="22">
        <f t="shared" si="63"/>
        <v>0.51</v>
      </c>
    </row>
    <row r="1991" spans="1:29">
      <c r="A1991" s="8" t="s">
        <v>13636</v>
      </c>
      <c r="B1991" s="17" t="s">
        <v>7800</v>
      </c>
      <c r="C1991" s="13">
        <v>43136</v>
      </c>
      <c r="D1991" s="13" t="s">
        <v>8465</v>
      </c>
      <c r="E1991" s="10" t="s">
        <v>13637</v>
      </c>
      <c r="F1991" s="10" t="s">
        <v>13637</v>
      </c>
      <c r="H1991" s="2" t="s">
        <v>56</v>
      </c>
      <c r="L1991" s="18">
        <v>1</v>
      </c>
      <c r="N1991" s="13">
        <v>44986</v>
      </c>
      <c r="O1991" s="29">
        <v>0</v>
      </c>
      <c r="P1991" s="18" t="s">
        <v>1107</v>
      </c>
      <c r="Q1991" s="18">
        <v>0</v>
      </c>
      <c r="V1991" s="22">
        <f>2.9/5</f>
        <v>0.57999999999999996</v>
      </c>
      <c r="W1991" s="14" t="s">
        <v>7777</v>
      </c>
      <c r="X1991" s="3">
        <v>2</v>
      </c>
      <c r="Z1991" s="23">
        <v>6.5</v>
      </c>
      <c r="AB1991" s="18">
        <f t="shared" si="62"/>
        <v>2018</v>
      </c>
      <c r="AC1991" s="22">
        <f t="shared" si="63"/>
        <v>0.49</v>
      </c>
    </row>
    <row r="1992" spans="1:29">
      <c r="A1992" s="9" t="s">
        <v>5547</v>
      </c>
      <c r="B1992" s="17" t="s">
        <v>7800</v>
      </c>
      <c r="C1992" s="13">
        <v>43133</v>
      </c>
      <c r="D1992" s="13" t="s">
        <v>8465</v>
      </c>
      <c r="E1992" s="10" t="s">
        <v>5548</v>
      </c>
      <c r="F1992" s="10" t="s">
        <v>5548</v>
      </c>
      <c r="G1992" s="11" t="s">
        <v>9191</v>
      </c>
      <c r="H1992" s="2" t="s">
        <v>67</v>
      </c>
      <c r="L1992" s="18">
        <v>1</v>
      </c>
      <c r="N1992" s="13">
        <v>43378</v>
      </c>
      <c r="P1992" s="18" t="s">
        <v>1107</v>
      </c>
      <c r="Q1992" s="18">
        <v>0</v>
      </c>
      <c r="U1992" s="22">
        <v>0.6</v>
      </c>
      <c r="V1992" s="22">
        <f>3.5/5</f>
        <v>0.7</v>
      </c>
      <c r="W1992" s="14" t="s">
        <v>7777</v>
      </c>
      <c r="X1992" s="3">
        <v>3</v>
      </c>
      <c r="Z1992" s="23">
        <v>3</v>
      </c>
      <c r="AB1992" s="18">
        <f t="shared" si="62"/>
        <v>2018</v>
      </c>
      <c r="AC1992" s="22">
        <f t="shared" si="63"/>
        <v>0.6333333333333333</v>
      </c>
    </row>
    <row r="1993" spans="1:29" ht="25.5">
      <c r="A1993" s="8" t="s">
        <v>7890</v>
      </c>
      <c r="B1993" s="17" t="s">
        <v>7800</v>
      </c>
      <c r="C1993" s="13">
        <v>43131</v>
      </c>
      <c r="D1993" s="13" t="s">
        <v>8465</v>
      </c>
      <c r="E1993" s="10" t="s">
        <v>3234</v>
      </c>
      <c r="F1993" s="10" t="s">
        <v>3234</v>
      </c>
      <c r="G1993" s="11" t="s">
        <v>3238</v>
      </c>
      <c r="H1993" s="2" t="s">
        <v>1720</v>
      </c>
      <c r="L1993" s="18">
        <v>1</v>
      </c>
      <c r="N1993" s="13">
        <v>43742</v>
      </c>
      <c r="O1993" s="29">
        <v>0</v>
      </c>
      <c r="P1993" s="18" t="s">
        <v>1107</v>
      </c>
      <c r="Q1993" s="18">
        <v>0</v>
      </c>
      <c r="U1993" s="22">
        <v>0.9</v>
      </c>
      <c r="V1993" s="22">
        <f>4.19/5</f>
        <v>0.83800000000000008</v>
      </c>
      <c r="W1993" s="14" t="s">
        <v>7777</v>
      </c>
      <c r="X1993" s="3">
        <v>3</v>
      </c>
      <c r="AB1993" s="18">
        <f t="shared" si="62"/>
        <v>2018</v>
      </c>
      <c r="AC1993" s="22">
        <f t="shared" si="63"/>
        <v>0.77933333333333332</v>
      </c>
    </row>
    <row r="1994" spans="1:29">
      <c r="A1994" s="8" t="s">
        <v>10836</v>
      </c>
      <c r="B1994" s="17" t="s">
        <v>7800</v>
      </c>
      <c r="C1994" s="13">
        <v>43131</v>
      </c>
      <c r="D1994" s="13" t="s">
        <v>8465</v>
      </c>
      <c r="E1994" s="10" t="s">
        <v>10840</v>
      </c>
      <c r="F1994" s="10" t="s">
        <v>10840</v>
      </c>
      <c r="H1994" s="2" t="s">
        <v>1040</v>
      </c>
      <c r="L1994" s="18">
        <v>1</v>
      </c>
      <c r="O1994" s="29">
        <v>0</v>
      </c>
      <c r="P1994" s="18" t="s">
        <v>1107</v>
      </c>
      <c r="Q1994" s="18">
        <v>0</v>
      </c>
      <c r="U1994" s="22">
        <v>0.76</v>
      </c>
      <c r="V1994" s="22">
        <f>3.4/5</f>
        <v>0.67999999999999994</v>
      </c>
      <c r="W1994" s="14" t="s">
        <v>7799</v>
      </c>
      <c r="X1994" s="3">
        <v>3</v>
      </c>
      <c r="Z1994" s="23">
        <v>4</v>
      </c>
      <c r="AB1994" s="18">
        <f t="shared" si="62"/>
        <v>2018</v>
      </c>
      <c r="AC1994" s="22">
        <f t="shared" si="63"/>
        <v>0.68</v>
      </c>
    </row>
    <row r="1995" spans="1:29" ht="25.5">
      <c r="A1995" s="8" t="s">
        <v>8369</v>
      </c>
      <c r="B1995" s="17" t="s">
        <v>7800</v>
      </c>
      <c r="C1995" s="13">
        <v>43130</v>
      </c>
      <c r="D1995" s="13" t="s">
        <v>8465</v>
      </c>
      <c r="E1995" s="10" t="s">
        <v>8370</v>
      </c>
      <c r="F1995" s="10" t="s">
        <v>8371</v>
      </c>
      <c r="G1995" s="11" t="s">
        <v>8372</v>
      </c>
      <c r="H1995" s="2" t="s">
        <v>67</v>
      </c>
      <c r="L1995" s="18">
        <v>1</v>
      </c>
      <c r="N1995" s="13">
        <v>43881</v>
      </c>
      <c r="O1995" s="29">
        <v>3.33</v>
      </c>
      <c r="P1995" s="18" t="s">
        <v>1107</v>
      </c>
      <c r="Q1995" s="18">
        <v>0</v>
      </c>
      <c r="U1995" s="22">
        <v>0.77</v>
      </c>
      <c r="V1995" s="22">
        <f>3.32/5</f>
        <v>0.66399999999999992</v>
      </c>
      <c r="W1995" s="14" t="s">
        <v>7777</v>
      </c>
      <c r="X1995" s="3">
        <v>3</v>
      </c>
      <c r="Z1995" s="23">
        <v>6</v>
      </c>
      <c r="AB1995" s="18">
        <f t="shared" si="62"/>
        <v>2018</v>
      </c>
      <c r="AC1995" s="22">
        <f t="shared" si="63"/>
        <v>0.67799999999999994</v>
      </c>
    </row>
    <row r="1996" spans="1:29" ht="25.5">
      <c r="A1996" s="8" t="s">
        <v>8979</v>
      </c>
      <c r="B1996" s="17" t="s">
        <v>7760</v>
      </c>
      <c r="C1996" s="13">
        <v>43130</v>
      </c>
      <c r="D1996" s="13" t="s">
        <v>8465</v>
      </c>
      <c r="E1996" s="10" t="s">
        <v>1082</v>
      </c>
      <c r="F1996" s="10" t="s">
        <v>1136</v>
      </c>
      <c r="G1996" s="11" t="s">
        <v>126</v>
      </c>
      <c r="H1996" s="2" t="s">
        <v>459</v>
      </c>
      <c r="L1996" s="18">
        <v>1</v>
      </c>
      <c r="M1996" s="14" t="s">
        <v>8462</v>
      </c>
      <c r="N1996" s="13">
        <v>44000</v>
      </c>
      <c r="O1996" s="29">
        <v>12.19</v>
      </c>
      <c r="P1996" s="18" t="s">
        <v>14</v>
      </c>
      <c r="Q1996" s="18">
        <v>0</v>
      </c>
      <c r="U1996" s="22">
        <v>0.67</v>
      </c>
      <c r="V1996" s="22">
        <f>3.47/5</f>
        <v>0.69400000000000006</v>
      </c>
      <c r="X1996" s="3">
        <v>3</v>
      </c>
      <c r="Z1996" s="23">
        <v>17</v>
      </c>
      <c r="AB1996" s="18">
        <f t="shared" si="62"/>
        <v>2018</v>
      </c>
      <c r="AC1996" s="22">
        <f t="shared" si="63"/>
        <v>0.65466666666666662</v>
      </c>
    </row>
    <row r="1997" spans="1:29">
      <c r="A1997" s="8" t="s">
        <v>13018</v>
      </c>
      <c r="B1997" s="17" t="s">
        <v>7800</v>
      </c>
      <c r="C1997" s="13">
        <v>43126</v>
      </c>
      <c r="D1997" s="13" t="s">
        <v>8465</v>
      </c>
      <c r="E1997" s="10" t="s">
        <v>9458</v>
      </c>
      <c r="F1997" s="10" t="s">
        <v>12880</v>
      </c>
      <c r="H1997" s="2" t="s">
        <v>27</v>
      </c>
      <c r="L1997" s="18">
        <v>1</v>
      </c>
      <c r="N1997" s="13">
        <v>44917</v>
      </c>
      <c r="O1997" s="29">
        <v>0.49</v>
      </c>
      <c r="P1997" s="18" t="s">
        <v>1107</v>
      </c>
      <c r="Q1997" s="18">
        <v>0</v>
      </c>
      <c r="W1997" s="14" t="s">
        <v>7777</v>
      </c>
      <c r="X1997" s="3">
        <v>2</v>
      </c>
      <c r="AB1997" s="18">
        <f t="shared" si="62"/>
        <v>2018</v>
      </c>
      <c r="AC1997" s="22">
        <f t="shared" si="63"/>
        <v>0.4</v>
      </c>
    </row>
    <row r="1998" spans="1:29" ht="25.5">
      <c r="A1998" s="8" t="s">
        <v>9491</v>
      </c>
      <c r="B1998" s="17" t="s">
        <v>7800</v>
      </c>
      <c r="C1998" s="13">
        <v>43124</v>
      </c>
      <c r="D1998" s="13" t="s">
        <v>8465</v>
      </c>
      <c r="E1998" s="10" t="s">
        <v>1534</v>
      </c>
      <c r="F1998" s="10" t="s">
        <v>1245</v>
      </c>
      <c r="G1998" s="11" t="s">
        <v>9490</v>
      </c>
      <c r="H1998" s="2" t="s">
        <v>171</v>
      </c>
      <c r="L1998" s="18">
        <v>1</v>
      </c>
      <c r="N1998" s="13">
        <v>44169</v>
      </c>
      <c r="O1998" s="29">
        <v>0</v>
      </c>
      <c r="P1998" s="18" t="s">
        <v>1107</v>
      </c>
      <c r="Q1998" s="18">
        <v>0</v>
      </c>
      <c r="U1998" s="22">
        <v>0.68</v>
      </c>
      <c r="V1998" s="22">
        <f>3.38/5</f>
        <v>0.67599999999999993</v>
      </c>
      <c r="W1998" s="14" t="s">
        <v>7777</v>
      </c>
      <c r="X1998" s="3">
        <v>3</v>
      </c>
      <c r="Z1998" s="23">
        <v>14</v>
      </c>
      <c r="AB1998" s="18">
        <f t="shared" si="62"/>
        <v>2018</v>
      </c>
      <c r="AC1998" s="22">
        <f t="shared" si="63"/>
        <v>0.65200000000000002</v>
      </c>
    </row>
    <row r="1999" spans="1:29" ht="30">
      <c r="A1999" s="8" t="s">
        <v>5176</v>
      </c>
      <c r="B1999" s="17" t="s">
        <v>7800</v>
      </c>
      <c r="C1999" s="13">
        <v>43123</v>
      </c>
      <c r="D1999" s="13" t="s">
        <v>8465</v>
      </c>
      <c r="E1999" s="10" t="s">
        <v>5177</v>
      </c>
      <c r="F1999" s="10" t="s">
        <v>5177</v>
      </c>
      <c r="G1999" s="11" t="s">
        <v>5176</v>
      </c>
      <c r="H1999" s="2" t="s">
        <v>1699</v>
      </c>
      <c r="I1999" s="18">
        <v>1</v>
      </c>
      <c r="L1999" s="18">
        <v>1</v>
      </c>
      <c r="N1999" s="13">
        <v>42779</v>
      </c>
      <c r="O1999" s="29">
        <v>0</v>
      </c>
      <c r="P1999" s="18" t="s">
        <v>1107</v>
      </c>
      <c r="Q1999" s="18">
        <v>0</v>
      </c>
      <c r="U1999" s="22">
        <v>0.89</v>
      </c>
      <c r="V1999" s="22">
        <f>4.16/5</f>
        <v>0.83200000000000007</v>
      </c>
      <c r="W1999" s="14" t="s">
        <v>7777</v>
      </c>
      <c r="X1999" s="3">
        <v>3</v>
      </c>
      <c r="Z1999" s="23">
        <v>26.5</v>
      </c>
      <c r="AB1999" s="18">
        <f t="shared" si="62"/>
        <v>2018</v>
      </c>
      <c r="AC1999" s="22">
        <f t="shared" si="63"/>
        <v>0.77400000000000002</v>
      </c>
    </row>
    <row r="2000" spans="1:29">
      <c r="A2000" s="8" t="s">
        <v>8626</v>
      </c>
      <c r="B2000" s="17" t="s">
        <v>7800</v>
      </c>
      <c r="C2000" s="13">
        <v>43123</v>
      </c>
      <c r="D2000" s="13" t="s">
        <v>8465</v>
      </c>
      <c r="E2000" s="10" t="s">
        <v>1082</v>
      </c>
      <c r="F2000" s="10" t="s">
        <v>8625</v>
      </c>
      <c r="H2000" s="2" t="s">
        <v>149</v>
      </c>
      <c r="L2000" s="18">
        <v>1</v>
      </c>
      <c r="N2000" s="13">
        <v>43952</v>
      </c>
      <c r="O2000" s="29">
        <v>17.989999999999998</v>
      </c>
      <c r="P2000" s="18" t="s">
        <v>1107</v>
      </c>
      <c r="Q2000" s="18">
        <v>0</v>
      </c>
      <c r="U2000" s="22">
        <v>0.69</v>
      </c>
      <c r="V2000" s="22">
        <f>3.76/5</f>
        <v>0.752</v>
      </c>
      <c r="W2000" s="14" t="s">
        <v>7777</v>
      </c>
      <c r="X2000" s="3">
        <v>3</v>
      </c>
      <c r="Z2000" s="23">
        <v>26</v>
      </c>
      <c r="AB2000" s="18">
        <f t="shared" si="62"/>
        <v>2018</v>
      </c>
      <c r="AC2000" s="22">
        <f t="shared" si="63"/>
        <v>0.68066666666666664</v>
      </c>
    </row>
    <row r="2001" spans="1:29" ht="25.5">
      <c r="A2001" s="8" t="s">
        <v>8217</v>
      </c>
      <c r="B2001" s="17" t="s">
        <v>7760</v>
      </c>
      <c r="C2001" s="13">
        <v>43123</v>
      </c>
      <c r="D2001" s="13" t="s">
        <v>8465</v>
      </c>
      <c r="E2001" s="10" t="s">
        <v>4664</v>
      </c>
      <c r="F2001" s="10" t="s">
        <v>8218</v>
      </c>
      <c r="H2001" s="2" t="s">
        <v>151</v>
      </c>
      <c r="L2001" s="18">
        <v>1</v>
      </c>
      <c r="M2001" s="14" t="s">
        <v>8462</v>
      </c>
      <c r="N2001" s="13">
        <v>43802</v>
      </c>
      <c r="O2001" s="29">
        <v>26.62</v>
      </c>
      <c r="P2001" s="18" t="s">
        <v>14</v>
      </c>
      <c r="Q2001" s="18">
        <v>0</v>
      </c>
      <c r="U2001" s="22">
        <v>0.6</v>
      </c>
      <c r="V2001" s="22">
        <f>4.25/5</f>
        <v>0.85</v>
      </c>
      <c r="W2001" s="14" t="s">
        <v>8216</v>
      </c>
      <c r="X2001" s="3">
        <v>2</v>
      </c>
      <c r="Z2001" s="23">
        <v>6.5</v>
      </c>
      <c r="AB2001" s="18">
        <f t="shared" si="62"/>
        <v>2018</v>
      </c>
      <c r="AC2001" s="22">
        <f t="shared" si="63"/>
        <v>0.6166666666666667</v>
      </c>
    </row>
    <row r="2002" spans="1:29" ht="30">
      <c r="A2002" s="8" t="s">
        <v>12825</v>
      </c>
      <c r="B2002" s="17" t="s">
        <v>7760</v>
      </c>
      <c r="C2002" s="13">
        <v>43123</v>
      </c>
      <c r="D2002" s="13" t="s">
        <v>8465</v>
      </c>
      <c r="E2002" s="10" t="s">
        <v>6107</v>
      </c>
      <c r="F2002" s="10" t="s">
        <v>6200</v>
      </c>
      <c r="H2002" s="2" t="s">
        <v>1061</v>
      </c>
      <c r="I2002" s="18">
        <v>1</v>
      </c>
      <c r="L2002" s="18">
        <v>1</v>
      </c>
      <c r="M2002" s="14" t="s">
        <v>8462</v>
      </c>
      <c r="N2002" s="13">
        <v>44851</v>
      </c>
      <c r="O2002" s="29">
        <v>19.899999999999999</v>
      </c>
      <c r="P2002" s="18" t="s">
        <v>14</v>
      </c>
      <c r="Q2002" s="18">
        <v>0</v>
      </c>
      <c r="U2002" s="22">
        <v>0.59</v>
      </c>
      <c r="V2002" s="22">
        <f>2.83/5</f>
        <v>0.56600000000000006</v>
      </c>
      <c r="X2002" s="3">
        <v>2</v>
      </c>
      <c r="Z2002" s="23">
        <v>2</v>
      </c>
      <c r="AB2002" s="18">
        <f t="shared" si="62"/>
        <v>2018</v>
      </c>
      <c r="AC2002" s="22">
        <f t="shared" si="63"/>
        <v>0.51866666666666672</v>
      </c>
    </row>
    <row r="2003" spans="1:29">
      <c r="A2003" s="8" t="s">
        <v>7081</v>
      </c>
      <c r="B2003" s="17" t="s">
        <v>7800</v>
      </c>
      <c r="C2003" s="13">
        <v>43122</v>
      </c>
      <c r="D2003" s="13" t="s">
        <v>8465</v>
      </c>
      <c r="E2003" s="10" t="s">
        <v>3063</v>
      </c>
      <c r="F2003" s="10" t="s">
        <v>4002</v>
      </c>
      <c r="H2003" s="2" t="s">
        <v>67</v>
      </c>
      <c r="L2003" s="18">
        <v>1</v>
      </c>
      <c r="O2003" s="29">
        <v>0</v>
      </c>
      <c r="P2003" s="18" t="s">
        <v>1107</v>
      </c>
      <c r="Q2003" s="18">
        <v>0</v>
      </c>
      <c r="U2003" s="22">
        <v>0.8</v>
      </c>
      <c r="V2003" s="22">
        <f>3.66/5</f>
        <v>0.73199999999999998</v>
      </c>
      <c r="W2003" s="14" t="s">
        <v>7799</v>
      </c>
      <c r="X2003" s="3">
        <v>3</v>
      </c>
      <c r="Z2003" s="23">
        <v>4</v>
      </c>
      <c r="AB2003" s="18">
        <f t="shared" si="62"/>
        <v>2018</v>
      </c>
      <c r="AC2003" s="22">
        <f t="shared" si="63"/>
        <v>0.71066666666666667</v>
      </c>
    </row>
    <row r="2004" spans="1:29" ht="38.25">
      <c r="A2004" s="8" t="s">
        <v>9300</v>
      </c>
      <c r="B2004" s="17" t="s">
        <v>7760</v>
      </c>
      <c r="C2004" s="13">
        <v>43119</v>
      </c>
      <c r="D2004" s="13" t="s">
        <v>8465</v>
      </c>
      <c r="E2004" s="10" t="s">
        <v>1604</v>
      </c>
      <c r="F2004" s="10" t="s">
        <v>6092</v>
      </c>
      <c r="G2004" s="11" t="s">
        <v>8877</v>
      </c>
      <c r="H2004" s="2" t="s">
        <v>149</v>
      </c>
      <c r="L2004" s="18">
        <v>1</v>
      </c>
      <c r="M2004" s="14" t="s">
        <v>8462</v>
      </c>
      <c r="N2004" s="13">
        <v>44091</v>
      </c>
      <c r="O2004" s="29">
        <v>9.99</v>
      </c>
      <c r="P2004" s="18" t="s">
        <v>14</v>
      </c>
      <c r="Q2004" s="18">
        <v>0</v>
      </c>
      <c r="U2004" s="22">
        <v>0.73</v>
      </c>
      <c r="V2004" s="22">
        <f>4.07/5</f>
        <v>0.81400000000000006</v>
      </c>
      <c r="X2004" s="3">
        <v>2</v>
      </c>
      <c r="Z2004" s="23">
        <v>44.5</v>
      </c>
      <c r="AB2004" s="18">
        <f t="shared" si="62"/>
        <v>2018</v>
      </c>
      <c r="AC2004" s="22">
        <f t="shared" si="63"/>
        <v>0.64800000000000002</v>
      </c>
    </row>
    <row r="2005" spans="1:29">
      <c r="A2005" s="8" t="s">
        <v>11212</v>
      </c>
      <c r="B2005" s="17" t="s">
        <v>7749</v>
      </c>
      <c r="C2005" s="13">
        <v>43119</v>
      </c>
      <c r="D2005" s="13" t="s">
        <v>8465</v>
      </c>
      <c r="E2005" s="10" t="s">
        <v>86</v>
      </c>
      <c r="F2005" s="10" t="s">
        <v>30</v>
      </c>
      <c r="G2005" s="11" t="s">
        <v>223</v>
      </c>
      <c r="H2005" s="2" t="s">
        <v>459</v>
      </c>
      <c r="L2005" s="18">
        <v>1</v>
      </c>
      <c r="M2005" s="14" t="s">
        <v>8462</v>
      </c>
      <c r="N2005" s="13">
        <v>44884</v>
      </c>
      <c r="O2005" s="29">
        <v>27.15</v>
      </c>
      <c r="P2005" s="18" t="s">
        <v>14</v>
      </c>
      <c r="Q2005" s="18">
        <v>0</v>
      </c>
      <c r="U2005" s="22">
        <v>0.56999999999999995</v>
      </c>
      <c r="V2005" s="22">
        <f>3.62/5</f>
        <v>0.72399999999999998</v>
      </c>
      <c r="X2005" s="3">
        <v>2</v>
      </c>
      <c r="Z2005" s="23">
        <v>5.5</v>
      </c>
      <c r="AB2005" s="18">
        <f t="shared" si="62"/>
        <v>2018</v>
      </c>
      <c r="AC2005" s="22">
        <f t="shared" si="63"/>
        <v>0.56466666666666665</v>
      </c>
    </row>
    <row r="2006" spans="1:29">
      <c r="A2006" s="8" t="s">
        <v>12376</v>
      </c>
      <c r="B2006" s="17" t="s">
        <v>7760</v>
      </c>
      <c r="C2006" s="13">
        <v>43118</v>
      </c>
      <c r="D2006" s="13" t="s">
        <v>9335</v>
      </c>
      <c r="E2006" s="10" t="s">
        <v>3568</v>
      </c>
      <c r="F2006" s="10" t="s">
        <v>7413</v>
      </c>
      <c r="G2006" s="11" t="s">
        <v>12377</v>
      </c>
      <c r="H2006" s="2" t="s">
        <v>1059</v>
      </c>
      <c r="K2006" s="18">
        <v>2</v>
      </c>
      <c r="L2006" s="18">
        <v>0</v>
      </c>
      <c r="Q2006" s="18">
        <v>0</v>
      </c>
      <c r="V2006" s="22">
        <f>2.95/5</f>
        <v>0.59000000000000008</v>
      </c>
      <c r="X2006" s="3">
        <v>3</v>
      </c>
      <c r="Z2006" s="23">
        <v>11</v>
      </c>
      <c r="AB2006" s="18">
        <f t="shared" si="62"/>
        <v>2018</v>
      </c>
      <c r="AC2006" s="22">
        <f t="shared" si="63"/>
        <v>0.59499999999999997</v>
      </c>
    </row>
    <row r="2007" spans="1:29">
      <c r="A2007" s="8" t="s">
        <v>3976</v>
      </c>
      <c r="B2007" s="17" t="s">
        <v>7800</v>
      </c>
      <c r="C2007" s="13">
        <v>43118</v>
      </c>
      <c r="D2007" s="13" t="s">
        <v>8465</v>
      </c>
      <c r="E2007" s="10" t="s">
        <v>3063</v>
      </c>
      <c r="F2007" s="10" t="s">
        <v>3368</v>
      </c>
      <c r="H2007" s="2" t="s">
        <v>143</v>
      </c>
      <c r="L2007" s="18">
        <v>1</v>
      </c>
      <c r="N2007" s="13">
        <v>42830</v>
      </c>
      <c r="P2007" s="18" t="s">
        <v>1107</v>
      </c>
      <c r="Q2007" s="18">
        <v>0</v>
      </c>
      <c r="U2007" s="22">
        <v>0.7</v>
      </c>
      <c r="V2007" s="22">
        <f>3.13/5</f>
        <v>0.626</v>
      </c>
      <c r="W2007" s="14" t="s">
        <v>7777</v>
      </c>
      <c r="X2007" s="3">
        <v>2</v>
      </c>
      <c r="Z2007" s="23">
        <v>1.5</v>
      </c>
      <c r="AB2007" s="18">
        <f t="shared" si="62"/>
        <v>2018</v>
      </c>
      <c r="AC2007" s="22">
        <f t="shared" si="63"/>
        <v>0.57533333333333336</v>
      </c>
    </row>
    <row r="2008" spans="1:29">
      <c r="A2008" s="8" t="s">
        <v>3942</v>
      </c>
      <c r="B2008" s="17" t="s">
        <v>7800</v>
      </c>
      <c r="C2008" s="13">
        <v>43117</v>
      </c>
      <c r="D2008" s="13" t="s">
        <v>8465</v>
      </c>
      <c r="E2008" s="10" t="s">
        <v>3943</v>
      </c>
      <c r="F2008" s="10" t="s">
        <v>3943</v>
      </c>
      <c r="H2008" s="2" t="s">
        <v>171</v>
      </c>
      <c r="L2008" s="18">
        <v>1</v>
      </c>
      <c r="N2008" s="13">
        <v>43514</v>
      </c>
      <c r="P2008" s="18" t="s">
        <v>1107</v>
      </c>
      <c r="Q2008" s="18">
        <v>0</v>
      </c>
      <c r="U2008" s="22">
        <v>0.84</v>
      </c>
      <c r="V2008" s="22">
        <f>3.86/5</f>
        <v>0.77200000000000002</v>
      </c>
      <c r="W2008" s="14" t="s">
        <v>7777</v>
      </c>
      <c r="X2008" s="3">
        <v>4</v>
      </c>
      <c r="Z2008" s="23">
        <v>10</v>
      </c>
      <c r="AB2008" s="18">
        <f t="shared" si="62"/>
        <v>2018</v>
      </c>
      <c r="AC2008" s="22">
        <f t="shared" si="63"/>
        <v>0.80399999999999994</v>
      </c>
    </row>
    <row r="2009" spans="1:29">
      <c r="A2009" s="9" t="s">
        <v>13625</v>
      </c>
      <c r="B2009" s="17" t="s">
        <v>7800</v>
      </c>
      <c r="C2009" s="13">
        <v>43115</v>
      </c>
      <c r="D2009" s="13" t="s">
        <v>8465</v>
      </c>
      <c r="E2009" s="10" t="s">
        <v>13626</v>
      </c>
      <c r="F2009" s="10" t="s">
        <v>13626</v>
      </c>
      <c r="H2009" s="2" t="s">
        <v>21</v>
      </c>
      <c r="L2009" s="18">
        <v>1</v>
      </c>
      <c r="N2009" s="13">
        <v>44986</v>
      </c>
      <c r="O2009" s="29">
        <v>0</v>
      </c>
      <c r="P2009" s="18" t="s">
        <v>1107</v>
      </c>
      <c r="Q2009" s="18">
        <v>0</v>
      </c>
      <c r="W2009" s="14" t="s">
        <v>7777</v>
      </c>
      <c r="X2009" s="3">
        <v>2</v>
      </c>
      <c r="AB2009" s="18">
        <f t="shared" si="62"/>
        <v>2018</v>
      </c>
      <c r="AC2009" s="22">
        <f t="shared" si="63"/>
        <v>0.4</v>
      </c>
    </row>
    <row r="2010" spans="1:29">
      <c r="A2010" s="8" t="s">
        <v>4885</v>
      </c>
      <c r="B2010" s="17" t="s">
        <v>7800</v>
      </c>
      <c r="C2010" s="13">
        <v>43111</v>
      </c>
      <c r="D2010" s="13" t="s">
        <v>8465</v>
      </c>
      <c r="E2010" s="10" t="s">
        <v>4884</v>
      </c>
      <c r="F2010" s="10" t="s">
        <v>4884</v>
      </c>
      <c r="G2010" s="11" t="s">
        <v>4884</v>
      </c>
      <c r="H2010" s="2" t="s">
        <v>67</v>
      </c>
      <c r="L2010" s="18">
        <v>1</v>
      </c>
      <c r="N2010" s="13">
        <v>43361</v>
      </c>
      <c r="O2010" s="29">
        <v>1.169</v>
      </c>
      <c r="P2010" s="18" t="s">
        <v>1107</v>
      </c>
      <c r="Q2010" s="18">
        <v>0</v>
      </c>
      <c r="V2010" s="22">
        <f>3.8/5</f>
        <v>0.76</v>
      </c>
      <c r="W2010" s="14" t="s">
        <v>7777</v>
      </c>
      <c r="X2010" s="3">
        <v>2</v>
      </c>
      <c r="Z2010" s="23">
        <v>3.5</v>
      </c>
      <c r="AB2010" s="18">
        <f t="shared" si="62"/>
        <v>2018</v>
      </c>
      <c r="AC2010" s="22">
        <f t="shared" si="63"/>
        <v>0.58000000000000007</v>
      </c>
    </row>
    <row r="2011" spans="1:29">
      <c r="A2011" s="8" t="s">
        <v>7043</v>
      </c>
      <c r="B2011" s="17" t="s">
        <v>7800</v>
      </c>
      <c r="C2011" s="13">
        <v>43111</v>
      </c>
      <c r="D2011" s="13" t="s">
        <v>8465</v>
      </c>
      <c r="E2011" s="10" t="s">
        <v>3047</v>
      </c>
      <c r="F2011" s="10" t="s">
        <v>7044</v>
      </c>
      <c r="H2011" s="2" t="s">
        <v>171</v>
      </c>
      <c r="L2011" s="18">
        <v>1</v>
      </c>
      <c r="O2011" s="29">
        <v>0</v>
      </c>
      <c r="P2011" s="18" t="s">
        <v>1107</v>
      </c>
      <c r="Q2011" s="18">
        <v>0</v>
      </c>
      <c r="U2011" s="22">
        <v>0.63</v>
      </c>
      <c r="V2011" s="22">
        <f>3.74/5</f>
        <v>0.748</v>
      </c>
      <c r="W2011" s="14" t="s">
        <v>7799</v>
      </c>
      <c r="X2011" s="3">
        <v>2</v>
      </c>
      <c r="Z2011" s="23">
        <v>15</v>
      </c>
      <c r="AB2011" s="18">
        <f t="shared" si="62"/>
        <v>2018</v>
      </c>
      <c r="AC2011" s="22">
        <f t="shared" si="63"/>
        <v>0.59266666666666667</v>
      </c>
    </row>
    <row r="2012" spans="1:29" ht="30">
      <c r="A2012" s="8" t="s">
        <v>8202</v>
      </c>
      <c r="B2012" s="17" t="s">
        <v>7744</v>
      </c>
      <c r="C2012" s="13">
        <v>43447</v>
      </c>
      <c r="D2012" s="13" t="s">
        <v>8465</v>
      </c>
      <c r="E2012" s="10" t="s">
        <v>3063</v>
      </c>
      <c r="F2012" s="10" t="s">
        <v>8203</v>
      </c>
      <c r="H2012" s="2" t="s">
        <v>1267</v>
      </c>
      <c r="L2012" s="18">
        <v>1</v>
      </c>
      <c r="M2012" s="14" t="s">
        <v>8462</v>
      </c>
      <c r="N2012" s="13">
        <v>43794</v>
      </c>
      <c r="O2012" s="29">
        <v>41.99</v>
      </c>
      <c r="P2012" s="18" t="s">
        <v>14</v>
      </c>
      <c r="Q2012" s="18">
        <v>1</v>
      </c>
      <c r="R2012" s="13">
        <v>44938</v>
      </c>
      <c r="S2012" s="21">
        <v>2</v>
      </c>
      <c r="T2012" s="22">
        <v>0.7</v>
      </c>
      <c r="U2012" s="22">
        <v>0.84709999999999996</v>
      </c>
      <c r="V2012" s="22">
        <f>3.95/5</f>
        <v>0.79</v>
      </c>
      <c r="W2012" s="14" t="s">
        <v>8101</v>
      </c>
      <c r="AB2012" s="18">
        <f t="shared" si="62"/>
        <v>2018</v>
      </c>
      <c r="AC2012" s="22">
        <f t="shared" si="63"/>
        <v>0.77903333333333336</v>
      </c>
    </row>
    <row r="2013" spans="1:29" ht="30">
      <c r="A2013" s="8" t="s">
        <v>7999</v>
      </c>
      <c r="B2013" s="17" t="s">
        <v>7800</v>
      </c>
      <c r="C2013" s="13">
        <v>43426</v>
      </c>
      <c r="D2013" s="13" t="s">
        <v>8465</v>
      </c>
      <c r="E2013" s="10" t="s">
        <v>8000</v>
      </c>
      <c r="F2013" s="10" t="s">
        <v>8001</v>
      </c>
      <c r="G2013" s="11" t="s">
        <v>8002</v>
      </c>
      <c r="H2013" s="2" t="s">
        <v>67</v>
      </c>
      <c r="L2013" s="18">
        <v>1</v>
      </c>
      <c r="N2013" s="13">
        <v>43767</v>
      </c>
      <c r="O2013" s="29">
        <v>4.55</v>
      </c>
      <c r="P2013" s="18" t="s">
        <v>1107</v>
      </c>
      <c r="Q2013" s="18">
        <v>1</v>
      </c>
      <c r="R2013" s="13">
        <v>44198</v>
      </c>
      <c r="S2013" s="21">
        <f>36/60</f>
        <v>0.6</v>
      </c>
      <c r="T2013" s="22">
        <v>0.6</v>
      </c>
      <c r="U2013" s="22">
        <v>0.8</v>
      </c>
      <c r="V2013" s="22">
        <f>3.17/5</f>
        <v>0.63400000000000001</v>
      </c>
      <c r="W2013" s="14" t="s">
        <v>7777</v>
      </c>
      <c r="AB2013" s="18">
        <f t="shared" si="62"/>
        <v>2018</v>
      </c>
      <c r="AC2013" s="22">
        <f t="shared" si="63"/>
        <v>0.67799999999999994</v>
      </c>
    </row>
    <row r="2014" spans="1:29" ht="25.5">
      <c r="A2014" s="8" t="s">
        <v>1641</v>
      </c>
      <c r="B2014" s="17" t="s">
        <v>7744</v>
      </c>
      <c r="C2014" s="13">
        <v>43420</v>
      </c>
      <c r="D2014" s="13" t="s">
        <v>8465</v>
      </c>
      <c r="E2014" s="10" t="s">
        <v>86</v>
      </c>
      <c r="F2014" s="10" t="s">
        <v>1354</v>
      </c>
      <c r="G2014" s="11" t="s">
        <v>1470</v>
      </c>
      <c r="H2014" s="2" t="s">
        <v>149</v>
      </c>
      <c r="L2014" s="18">
        <v>1</v>
      </c>
      <c r="M2014" s="14" t="s">
        <v>8462</v>
      </c>
      <c r="N2014" s="13">
        <v>43428</v>
      </c>
      <c r="O2014" s="29">
        <v>64.97</v>
      </c>
      <c r="P2014" s="18" t="s">
        <v>14</v>
      </c>
      <c r="Q2014" s="18">
        <v>1</v>
      </c>
      <c r="R2014" s="13">
        <v>43575</v>
      </c>
      <c r="S2014" s="21">
        <v>19.98</v>
      </c>
      <c r="T2014" s="22">
        <v>0.8</v>
      </c>
      <c r="U2014" s="22">
        <v>0.77</v>
      </c>
      <c r="V2014" s="22">
        <f>3.62/5</f>
        <v>0.72399999999999998</v>
      </c>
      <c r="AB2014" s="18">
        <f t="shared" si="62"/>
        <v>2018</v>
      </c>
      <c r="AC2014" s="22">
        <f t="shared" si="63"/>
        <v>0.76466666666666672</v>
      </c>
    </row>
    <row r="2015" spans="1:29" ht="25.5">
      <c r="A2015" s="9" t="s">
        <v>1588</v>
      </c>
      <c r="B2015" s="17" t="s">
        <v>7744</v>
      </c>
      <c r="C2015" s="13">
        <v>43406</v>
      </c>
      <c r="D2015" s="13" t="s">
        <v>8465</v>
      </c>
      <c r="E2015" s="10" t="s">
        <v>1296</v>
      </c>
      <c r="F2015" s="10" t="s">
        <v>1296</v>
      </c>
      <c r="G2015" s="11" t="s">
        <v>1589</v>
      </c>
      <c r="H2015" s="2" t="s">
        <v>171</v>
      </c>
      <c r="L2015" s="18">
        <v>1</v>
      </c>
      <c r="M2015" s="14" t="s">
        <v>8462</v>
      </c>
      <c r="N2015" s="13">
        <v>43406</v>
      </c>
      <c r="O2015" s="29">
        <v>60.96</v>
      </c>
      <c r="P2015" s="18" t="s">
        <v>14</v>
      </c>
      <c r="Q2015" s="18">
        <v>1</v>
      </c>
      <c r="T2015" s="22">
        <v>0.8</v>
      </c>
      <c r="U2015" s="22">
        <v>0.89</v>
      </c>
      <c r="V2015" s="22">
        <f>4.18/5</f>
        <v>0.83599999999999997</v>
      </c>
      <c r="AB2015" s="18">
        <f t="shared" si="62"/>
        <v>2018</v>
      </c>
      <c r="AC2015" s="22">
        <f t="shared" si="63"/>
        <v>0.84199999999999997</v>
      </c>
    </row>
    <row r="2016" spans="1:29">
      <c r="A2016" s="8" t="s">
        <v>13524</v>
      </c>
      <c r="B2016" s="17" t="s">
        <v>7783</v>
      </c>
      <c r="C2016" s="13">
        <v>43382</v>
      </c>
      <c r="D2016" s="13" t="s">
        <v>8465</v>
      </c>
      <c r="E2016" s="10" t="s">
        <v>72</v>
      </c>
      <c r="F2016" s="10" t="s">
        <v>72</v>
      </c>
      <c r="H2016" s="2" t="s">
        <v>78</v>
      </c>
      <c r="L2016" s="18">
        <v>1</v>
      </c>
      <c r="O2016" s="29">
        <v>0</v>
      </c>
      <c r="P2016" s="18" t="s">
        <v>1107</v>
      </c>
      <c r="Q2016" s="18">
        <v>1</v>
      </c>
      <c r="R2016" s="13">
        <v>45013</v>
      </c>
      <c r="S2016" s="21">
        <f>41+6/60+4/3600</f>
        <v>41.101111111111109</v>
      </c>
      <c r="T2016" s="22">
        <v>0.8</v>
      </c>
      <c r="V2016" s="22">
        <f>3.75/5</f>
        <v>0.75</v>
      </c>
      <c r="AB2016" s="18">
        <f t="shared" si="62"/>
        <v>2018</v>
      </c>
      <c r="AC2016" s="22">
        <f t="shared" si="63"/>
        <v>0.77500000000000002</v>
      </c>
    </row>
    <row r="2017" spans="1:29" ht="25.5">
      <c r="A2017" s="8" t="s">
        <v>6097</v>
      </c>
      <c r="B2017" s="17" t="s">
        <v>7760</v>
      </c>
      <c r="C2017" s="13">
        <v>43378</v>
      </c>
      <c r="D2017" s="13" t="s">
        <v>8465</v>
      </c>
      <c r="E2017" s="10" t="s">
        <v>1047</v>
      </c>
      <c r="F2017" s="10" t="s">
        <v>1538</v>
      </c>
      <c r="G2017" s="11" t="s">
        <v>1563</v>
      </c>
      <c r="H2017" s="2" t="s">
        <v>171</v>
      </c>
      <c r="L2017" s="18">
        <v>1</v>
      </c>
      <c r="M2017" s="14" t="s">
        <v>8462</v>
      </c>
      <c r="N2017" s="13">
        <v>43482</v>
      </c>
      <c r="O2017" s="29">
        <v>27.11</v>
      </c>
      <c r="P2017" s="18" t="s">
        <v>14</v>
      </c>
      <c r="Q2017" s="18">
        <v>1</v>
      </c>
      <c r="R2017" s="13">
        <v>43786</v>
      </c>
      <c r="S2017" s="21">
        <f>37+19/60+53/3600</f>
        <v>37.331388888888895</v>
      </c>
      <c r="T2017" s="22">
        <v>0.85</v>
      </c>
      <c r="U2017" s="22">
        <v>0.84</v>
      </c>
      <c r="V2017" s="22">
        <f>4.05/5</f>
        <v>0.80999999999999994</v>
      </c>
      <c r="AB2017" s="18">
        <f t="shared" si="62"/>
        <v>2018</v>
      </c>
      <c r="AC2017" s="22">
        <f t="shared" si="63"/>
        <v>0.83333333333333337</v>
      </c>
    </row>
    <row r="2018" spans="1:29" ht="30">
      <c r="A2018" s="8" t="s">
        <v>9851</v>
      </c>
      <c r="B2018" s="17" t="s">
        <v>7760</v>
      </c>
      <c r="C2018" s="13">
        <v>43375</v>
      </c>
      <c r="D2018" s="13" t="s">
        <v>8465</v>
      </c>
      <c r="E2018" s="10" t="s">
        <v>6107</v>
      </c>
      <c r="F2018" s="10" t="s">
        <v>5862</v>
      </c>
      <c r="G2018" s="11" t="s">
        <v>9433</v>
      </c>
      <c r="H2018" s="2" t="s">
        <v>1040</v>
      </c>
      <c r="I2018" s="18">
        <v>1</v>
      </c>
      <c r="L2018" s="18">
        <v>1</v>
      </c>
      <c r="N2018" s="13">
        <v>44280</v>
      </c>
      <c r="O2018" s="29">
        <v>0</v>
      </c>
      <c r="P2018" s="18" t="s">
        <v>1107</v>
      </c>
      <c r="Q2018" s="18">
        <v>1</v>
      </c>
      <c r="R2018" s="13">
        <v>45136</v>
      </c>
      <c r="S2018" s="21">
        <v>4</v>
      </c>
      <c r="T2018" s="22">
        <v>0.8</v>
      </c>
      <c r="U2018" s="22">
        <v>0.9</v>
      </c>
      <c r="V2018" s="22">
        <f>4.31/5</f>
        <v>0.86199999999999988</v>
      </c>
      <c r="AB2018" s="18">
        <f t="shared" si="62"/>
        <v>2018</v>
      </c>
      <c r="AC2018" s="22">
        <f t="shared" si="63"/>
        <v>0.85400000000000009</v>
      </c>
    </row>
    <row r="2019" spans="1:29">
      <c r="A2019" s="8" t="s">
        <v>5630</v>
      </c>
      <c r="B2019" s="17" t="s">
        <v>7800</v>
      </c>
      <c r="C2019" s="13">
        <v>43371</v>
      </c>
      <c r="D2019" s="13" t="s">
        <v>8465</v>
      </c>
      <c r="E2019" s="10" t="s">
        <v>5631</v>
      </c>
      <c r="F2019" s="10" t="s">
        <v>5631</v>
      </c>
      <c r="H2019" s="2" t="s">
        <v>21</v>
      </c>
      <c r="L2019" s="18">
        <v>1</v>
      </c>
      <c r="N2019" s="13">
        <v>43642</v>
      </c>
      <c r="O2019" s="29">
        <v>9.59</v>
      </c>
      <c r="P2019" s="18" t="s">
        <v>1107</v>
      </c>
      <c r="Q2019" s="18">
        <v>1</v>
      </c>
      <c r="R2019" s="13">
        <v>44930</v>
      </c>
      <c r="S2019" s="21">
        <f>4+33/60</f>
        <v>4.55</v>
      </c>
      <c r="T2019" s="22">
        <v>0.8</v>
      </c>
      <c r="U2019" s="22">
        <v>0.87</v>
      </c>
      <c r="V2019" s="22">
        <f>4.06/5</f>
        <v>0.81199999999999994</v>
      </c>
      <c r="W2019" s="14" t="s">
        <v>7777</v>
      </c>
      <c r="AB2019" s="18">
        <f t="shared" si="62"/>
        <v>2018</v>
      </c>
      <c r="AC2019" s="22">
        <f t="shared" si="63"/>
        <v>0.82733333333333325</v>
      </c>
    </row>
    <row r="2020" spans="1:29">
      <c r="A2020" s="8" t="s">
        <v>5409</v>
      </c>
      <c r="B2020" s="17" t="s">
        <v>7800</v>
      </c>
      <c r="C2020" s="13">
        <v>43368</v>
      </c>
      <c r="D2020" s="13" t="s">
        <v>8465</v>
      </c>
      <c r="E2020" s="10" t="s">
        <v>4850</v>
      </c>
      <c r="F2020" s="10" t="s">
        <v>5410</v>
      </c>
      <c r="G2020" s="11" t="s">
        <v>5409</v>
      </c>
      <c r="H2020" s="2" t="s">
        <v>151</v>
      </c>
      <c r="L2020" s="18">
        <v>1</v>
      </c>
      <c r="N2020" s="13">
        <v>43475</v>
      </c>
      <c r="O2020" s="29">
        <v>15.29</v>
      </c>
      <c r="P2020" s="18" t="s">
        <v>1107</v>
      </c>
      <c r="Q2020" s="18">
        <v>1</v>
      </c>
      <c r="R2020" s="13">
        <v>45159</v>
      </c>
      <c r="S2020" s="21">
        <f>4+59/60+22/3600</f>
        <v>4.9894444444444446</v>
      </c>
      <c r="T2020" s="22">
        <v>0.7</v>
      </c>
      <c r="U2020" s="22">
        <v>0.73</v>
      </c>
      <c r="V2020" s="22">
        <f>3.59/5</f>
        <v>0.71799999999999997</v>
      </c>
      <c r="W2020" s="14" t="s">
        <v>7777</v>
      </c>
      <c r="AB2020" s="18">
        <f t="shared" si="62"/>
        <v>2018</v>
      </c>
      <c r="AC2020" s="22">
        <f t="shared" si="63"/>
        <v>0.71599999999999986</v>
      </c>
    </row>
    <row r="2021" spans="1:29" ht="38.25">
      <c r="A2021" s="8" t="s">
        <v>12048</v>
      </c>
      <c r="B2021" s="17" t="s">
        <v>7744</v>
      </c>
      <c r="C2021" s="13">
        <v>43357</v>
      </c>
      <c r="D2021" s="13" t="s">
        <v>8465</v>
      </c>
      <c r="E2021" s="10" t="s">
        <v>86</v>
      </c>
      <c r="F2021" s="10" t="s">
        <v>1145</v>
      </c>
      <c r="G2021" s="11" t="s">
        <v>1146</v>
      </c>
      <c r="H2021" s="2" t="s">
        <v>171</v>
      </c>
      <c r="L2021" s="18">
        <v>1</v>
      </c>
      <c r="M2021" s="14" t="s">
        <v>8462</v>
      </c>
      <c r="N2021" s="13">
        <v>44028</v>
      </c>
      <c r="O2021" s="29">
        <v>34.67</v>
      </c>
      <c r="P2021" s="18" t="s">
        <v>14</v>
      </c>
      <c r="Q2021" s="18">
        <v>1</v>
      </c>
      <c r="R2021" s="13">
        <v>44734</v>
      </c>
      <c r="S2021" s="21">
        <f>16+53/60+9/3600</f>
        <v>16.885833333333334</v>
      </c>
      <c r="T2021" s="22">
        <v>0.9</v>
      </c>
      <c r="U2021" s="22">
        <v>0.8</v>
      </c>
      <c r="V2021" s="22">
        <f>4.26/5</f>
        <v>0.85199999999999998</v>
      </c>
      <c r="AB2021" s="18">
        <f t="shared" si="62"/>
        <v>2018</v>
      </c>
      <c r="AC2021" s="22">
        <f t="shared" si="63"/>
        <v>0.85066666666666668</v>
      </c>
    </row>
    <row r="2022" spans="1:29" ht="25.5">
      <c r="A2022" s="8" t="s">
        <v>4958</v>
      </c>
      <c r="B2022" s="17" t="s">
        <v>7800</v>
      </c>
      <c r="C2022" s="13">
        <v>43357</v>
      </c>
      <c r="D2022" s="13" t="s">
        <v>8465</v>
      </c>
      <c r="E2022" s="10" t="s">
        <v>1082</v>
      </c>
      <c r="F2022" s="10" t="s">
        <v>3647</v>
      </c>
      <c r="G2022" s="11" t="s">
        <v>1853</v>
      </c>
      <c r="H2022" s="2" t="s">
        <v>80</v>
      </c>
      <c r="L2022" s="18">
        <v>1</v>
      </c>
      <c r="N2022" s="13">
        <v>43440</v>
      </c>
      <c r="O2022" s="29">
        <v>29.99</v>
      </c>
      <c r="P2022" s="18" t="s">
        <v>1107</v>
      </c>
      <c r="Q2022" s="18">
        <v>1</v>
      </c>
      <c r="R2022" s="13">
        <v>43450</v>
      </c>
      <c r="S2022" s="21">
        <v>10.45</v>
      </c>
      <c r="T2022" s="22">
        <v>0.8</v>
      </c>
      <c r="U2022" s="22">
        <v>0.78</v>
      </c>
      <c r="V2022" s="22">
        <f>3.6/5</f>
        <v>0.72</v>
      </c>
      <c r="W2022" s="14" t="s">
        <v>7777</v>
      </c>
      <c r="AB2022" s="18">
        <f t="shared" si="62"/>
        <v>2018</v>
      </c>
      <c r="AC2022" s="22">
        <f t="shared" si="63"/>
        <v>0.76666666666666661</v>
      </c>
    </row>
    <row r="2023" spans="1:29" ht="30">
      <c r="A2023" s="8" t="s">
        <v>10819</v>
      </c>
      <c r="B2023" s="17" t="s">
        <v>7744</v>
      </c>
      <c r="C2023" s="13">
        <v>43356</v>
      </c>
      <c r="D2023" s="13" t="s">
        <v>8465</v>
      </c>
      <c r="E2023" s="10" t="s">
        <v>7422</v>
      </c>
      <c r="F2023" s="10" t="s">
        <v>1953</v>
      </c>
      <c r="G2023" s="11" t="s">
        <v>10280</v>
      </c>
      <c r="H2023" s="2" t="s">
        <v>1057</v>
      </c>
      <c r="L2023" s="18">
        <v>1</v>
      </c>
      <c r="N2023" s="13">
        <v>44555</v>
      </c>
      <c r="O2023" s="29">
        <v>4.8600000000000003</v>
      </c>
      <c r="P2023" s="18" t="s">
        <v>1107</v>
      </c>
      <c r="Q2023" s="18">
        <v>1</v>
      </c>
      <c r="R2023" s="13">
        <v>44568</v>
      </c>
      <c r="S2023" s="21">
        <v>2</v>
      </c>
      <c r="T2023" s="22">
        <v>0.05</v>
      </c>
      <c r="U2023" s="22">
        <v>0.39</v>
      </c>
      <c r="V2023" s="22">
        <f>3.24/5</f>
        <v>0.64800000000000002</v>
      </c>
      <c r="AB2023" s="18">
        <f t="shared" si="62"/>
        <v>2018</v>
      </c>
      <c r="AC2023" s="22">
        <f t="shared" si="63"/>
        <v>0.36266666666666669</v>
      </c>
    </row>
    <row r="2024" spans="1:29" ht="30">
      <c r="A2024" s="8" t="s">
        <v>1264</v>
      </c>
      <c r="B2024" s="17" t="s">
        <v>7760</v>
      </c>
      <c r="C2024" s="13">
        <v>43350</v>
      </c>
      <c r="D2024" s="13" t="s">
        <v>8465</v>
      </c>
      <c r="E2024" s="10" t="s">
        <v>6107</v>
      </c>
      <c r="F2024" s="10" t="s">
        <v>3039</v>
      </c>
      <c r="G2024" s="11" t="s">
        <v>1264</v>
      </c>
      <c r="H2024" s="2" t="s">
        <v>80</v>
      </c>
      <c r="L2024" s="18">
        <v>1</v>
      </c>
      <c r="M2024" s="14" t="s">
        <v>8462</v>
      </c>
      <c r="N2024" s="13">
        <v>43350</v>
      </c>
      <c r="O2024" s="29">
        <v>64.97</v>
      </c>
      <c r="P2024" s="18" t="s">
        <v>14</v>
      </c>
      <c r="Q2024" s="18">
        <v>1</v>
      </c>
      <c r="R2024" s="13">
        <v>43485</v>
      </c>
      <c r="S2024" s="21">
        <v>11</v>
      </c>
      <c r="T2024" s="22">
        <v>0.9</v>
      </c>
      <c r="U2024" s="22">
        <v>0.89</v>
      </c>
      <c r="V2024" s="22">
        <f>4.3/5</f>
        <v>0.86</v>
      </c>
      <c r="AB2024" s="18">
        <f t="shared" si="62"/>
        <v>2018</v>
      </c>
      <c r="AC2024" s="22">
        <f t="shared" si="63"/>
        <v>0.8833333333333333</v>
      </c>
    </row>
    <row r="2025" spans="1:29">
      <c r="A2025" s="8" t="s">
        <v>8268</v>
      </c>
      <c r="B2025" s="17" t="s">
        <v>7800</v>
      </c>
      <c r="C2025" s="13">
        <v>43306</v>
      </c>
      <c r="D2025" s="13" t="s">
        <v>8465</v>
      </c>
      <c r="E2025" s="10" t="s">
        <v>8269</v>
      </c>
      <c r="F2025" s="10" t="s">
        <v>8269</v>
      </c>
      <c r="H2025" s="2" t="s">
        <v>1057</v>
      </c>
      <c r="L2025" s="18">
        <v>1</v>
      </c>
      <c r="N2025" s="13">
        <v>43827</v>
      </c>
      <c r="O2025" s="29">
        <v>8.24</v>
      </c>
      <c r="P2025" s="18" t="s">
        <v>1107</v>
      </c>
      <c r="Q2025" s="18">
        <v>1</v>
      </c>
      <c r="R2025" s="13">
        <v>44199</v>
      </c>
      <c r="S2025" s="21">
        <f>80/60</f>
        <v>1.3333333333333333</v>
      </c>
      <c r="T2025" s="22">
        <v>0.4</v>
      </c>
      <c r="V2025" s="22">
        <f>2.92/5</f>
        <v>0.58399999999999996</v>
      </c>
      <c r="W2025" s="14" t="s">
        <v>7777</v>
      </c>
      <c r="AB2025" s="18">
        <f t="shared" si="62"/>
        <v>2018</v>
      </c>
      <c r="AC2025" s="22">
        <f t="shared" si="63"/>
        <v>0.49199999999999999</v>
      </c>
    </row>
    <row r="2026" spans="1:29">
      <c r="A2026" s="8" t="s">
        <v>1637</v>
      </c>
      <c r="B2026" s="17" t="s">
        <v>7744</v>
      </c>
      <c r="C2026" s="13">
        <v>43294</v>
      </c>
      <c r="D2026" s="13" t="s">
        <v>8465</v>
      </c>
      <c r="E2026" s="10" t="s">
        <v>86</v>
      </c>
      <c r="F2026" s="10" t="s">
        <v>1082</v>
      </c>
      <c r="G2026" s="11" t="s">
        <v>1637</v>
      </c>
      <c r="H2026" s="2" t="s">
        <v>149</v>
      </c>
      <c r="L2026" s="18">
        <v>1</v>
      </c>
      <c r="M2026" s="14" t="s">
        <v>8462</v>
      </c>
      <c r="N2026" s="13">
        <v>43294</v>
      </c>
      <c r="O2026" s="29">
        <v>52.07</v>
      </c>
      <c r="P2026" s="18" t="s">
        <v>14</v>
      </c>
      <c r="Q2026" s="18">
        <v>1</v>
      </c>
      <c r="R2026" s="13">
        <v>43336</v>
      </c>
      <c r="S2026" s="21">
        <v>57.1</v>
      </c>
      <c r="T2026" s="22">
        <v>0.7</v>
      </c>
      <c r="U2026" s="22">
        <v>0.83</v>
      </c>
      <c r="V2026" s="22">
        <f>4.17/5</f>
        <v>0.83399999999999996</v>
      </c>
      <c r="AB2026" s="18">
        <f t="shared" si="62"/>
        <v>2018</v>
      </c>
      <c r="AC2026" s="22">
        <f t="shared" si="63"/>
        <v>0.78799999999999992</v>
      </c>
    </row>
    <row r="2027" spans="1:29" ht="25.5">
      <c r="A2027" s="8" t="s">
        <v>1722</v>
      </c>
      <c r="B2027" s="17" t="s">
        <v>7744</v>
      </c>
      <c r="C2027" s="13">
        <v>43280</v>
      </c>
      <c r="D2027" s="13" t="s">
        <v>8465</v>
      </c>
      <c r="E2027" s="10" t="s">
        <v>1690</v>
      </c>
      <c r="F2027" s="10" t="s">
        <v>1723</v>
      </c>
      <c r="G2027" s="11" t="s">
        <v>1724</v>
      </c>
      <c r="H2027" s="2" t="s">
        <v>1050</v>
      </c>
      <c r="L2027" s="18">
        <v>1</v>
      </c>
      <c r="M2027" s="14" t="s">
        <v>8462</v>
      </c>
      <c r="N2027" s="13">
        <v>43574</v>
      </c>
      <c r="O2027" s="29">
        <v>32.54</v>
      </c>
      <c r="P2027" s="18" t="s">
        <v>14</v>
      </c>
      <c r="Q2027" s="18">
        <v>1</v>
      </c>
      <c r="R2027" s="13">
        <v>43580</v>
      </c>
      <c r="T2027" s="22">
        <v>0.8</v>
      </c>
      <c r="U2027" s="22">
        <v>0.78</v>
      </c>
      <c r="V2027" s="22">
        <f>3.97/5</f>
        <v>0.79400000000000004</v>
      </c>
      <c r="AB2027" s="18">
        <f t="shared" si="62"/>
        <v>2018</v>
      </c>
      <c r="AC2027" s="22">
        <f t="shared" si="63"/>
        <v>0.79133333333333333</v>
      </c>
    </row>
    <row r="2028" spans="1:29" ht="38.25">
      <c r="A2028" s="8" t="s">
        <v>5268</v>
      </c>
      <c r="B2028" s="17" t="s">
        <v>7800</v>
      </c>
      <c r="C2028" s="13">
        <v>43276</v>
      </c>
      <c r="D2028" s="13" t="s">
        <v>8465</v>
      </c>
      <c r="E2028" s="10" t="s">
        <v>1082</v>
      </c>
      <c r="F2028" s="10" t="s">
        <v>4805</v>
      </c>
      <c r="G2028" s="11" t="s">
        <v>4320</v>
      </c>
      <c r="H2028" s="2" t="s">
        <v>67</v>
      </c>
      <c r="L2028" s="18">
        <v>1</v>
      </c>
      <c r="N2028" s="13">
        <v>43285</v>
      </c>
      <c r="O2028" s="29">
        <v>0</v>
      </c>
      <c r="P2028" s="18" t="s">
        <v>1107</v>
      </c>
      <c r="Q2028" s="18">
        <v>1</v>
      </c>
      <c r="R2028" s="13">
        <v>45007</v>
      </c>
      <c r="S2028" s="21">
        <f>88/60</f>
        <v>1.4666666666666666</v>
      </c>
      <c r="T2028" s="22">
        <v>0.6</v>
      </c>
      <c r="U2028" s="22">
        <v>0.88</v>
      </c>
      <c r="V2028" s="22">
        <f>3.39/5</f>
        <v>0.67800000000000005</v>
      </c>
      <c r="W2028" s="14" t="s">
        <v>7777</v>
      </c>
      <c r="AB2028" s="18">
        <f t="shared" si="62"/>
        <v>2018</v>
      </c>
      <c r="AC2028" s="22">
        <f t="shared" si="63"/>
        <v>0.71933333333333327</v>
      </c>
    </row>
    <row r="2029" spans="1:29">
      <c r="A2029" s="8" t="s">
        <v>5043</v>
      </c>
      <c r="B2029" s="17" t="s">
        <v>7800</v>
      </c>
      <c r="C2029" s="13">
        <v>43241</v>
      </c>
      <c r="D2029" s="13" t="s">
        <v>8465</v>
      </c>
      <c r="E2029" s="10" t="s">
        <v>5044</v>
      </c>
      <c r="F2029" s="10" t="s">
        <v>5044</v>
      </c>
      <c r="H2029" s="2" t="s">
        <v>150</v>
      </c>
      <c r="L2029" s="18">
        <v>1</v>
      </c>
      <c r="N2029" s="13">
        <v>43525</v>
      </c>
      <c r="P2029" s="18" t="s">
        <v>1107</v>
      </c>
      <c r="Q2029" s="18">
        <v>1</v>
      </c>
      <c r="R2029" s="13">
        <v>44967</v>
      </c>
      <c r="S2029" s="21">
        <f>2+17/60</f>
        <v>2.2833333333333332</v>
      </c>
      <c r="T2029" s="22">
        <v>0.8</v>
      </c>
      <c r="U2029" s="22">
        <v>0.7</v>
      </c>
      <c r="V2029" s="22">
        <f>3.15/5</f>
        <v>0.63</v>
      </c>
      <c r="W2029" s="14" t="s">
        <v>7777</v>
      </c>
      <c r="AB2029" s="18">
        <f t="shared" si="62"/>
        <v>2018</v>
      </c>
      <c r="AC2029" s="22">
        <f t="shared" si="63"/>
        <v>0.71</v>
      </c>
    </row>
    <row r="2030" spans="1:29" ht="25.5">
      <c r="A2030" s="8" t="s">
        <v>1092</v>
      </c>
      <c r="B2030" s="17" t="s">
        <v>7744</v>
      </c>
      <c r="C2030" s="13">
        <v>43224</v>
      </c>
      <c r="D2030" s="13" t="s">
        <v>8465</v>
      </c>
      <c r="E2030" s="10" t="s">
        <v>86</v>
      </c>
      <c r="F2030" s="10" t="s">
        <v>1139</v>
      </c>
      <c r="G2030" s="11" t="s">
        <v>589</v>
      </c>
      <c r="H2030" s="2" t="s">
        <v>64</v>
      </c>
      <c r="L2030" s="18">
        <v>1</v>
      </c>
      <c r="M2030" s="14" t="s">
        <v>8462</v>
      </c>
      <c r="N2030" s="13">
        <v>44599</v>
      </c>
      <c r="O2030" s="29">
        <v>43.44</v>
      </c>
      <c r="P2030" s="18" t="s">
        <v>14</v>
      </c>
      <c r="Q2030" s="18">
        <v>1</v>
      </c>
      <c r="R2030" s="13">
        <v>44736</v>
      </c>
      <c r="S2030" s="21">
        <v>4</v>
      </c>
      <c r="T2030" s="22">
        <v>0.8</v>
      </c>
      <c r="U2030" s="22">
        <v>0.86</v>
      </c>
      <c r="V2030" s="22">
        <f>4.2/5</f>
        <v>0.84000000000000008</v>
      </c>
      <c r="AB2030" s="18">
        <f t="shared" si="62"/>
        <v>2018</v>
      </c>
      <c r="AC2030" s="22">
        <f t="shared" si="63"/>
        <v>0.83333333333333337</v>
      </c>
    </row>
    <row r="2031" spans="1:29">
      <c r="A2031" s="8" t="s">
        <v>12661</v>
      </c>
      <c r="B2031" s="17" t="s">
        <v>7800</v>
      </c>
      <c r="C2031" s="13">
        <v>43220</v>
      </c>
      <c r="D2031" s="13" t="s">
        <v>8465</v>
      </c>
      <c r="E2031" s="10" t="s">
        <v>12662</v>
      </c>
      <c r="F2031" s="10" t="s">
        <v>12662</v>
      </c>
      <c r="G2031" s="11" t="s">
        <v>12661</v>
      </c>
      <c r="H2031" s="2" t="s">
        <v>1699</v>
      </c>
      <c r="L2031" s="18">
        <v>1</v>
      </c>
      <c r="P2031" s="18" t="s">
        <v>1107</v>
      </c>
      <c r="Q2031" s="18">
        <v>1</v>
      </c>
      <c r="R2031" s="13">
        <v>45166</v>
      </c>
      <c r="S2031" s="21">
        <f>11+57/60</f>
        <v>11.95</v>
      </c>
      <c r="T2031" s="22">
        <v>0.6</v>
      </c>
      <c r="U2031" s="22">
        <v>0.83</v>
      </c>
      <c r="V2031" s="22">
        <f>3.53/5</f>
        <v>0.70599999999999996</v>
      </c>
      <c r="W2031" s="14" t="s">
        <v>7777</v>
      </c>
      <c r="AB2031" s="18">
        <f t="shared" si="62"/>
        <v>2018</v>
      </c>
      <c r="AC2031" s="22">
        <f t="shared" si="63"/>
        <v>0.71200000000000008</v>
      </c>
    </row>
    <row r="2032" spans="1:29" ht="30">
      <c r="A2032" s="8" t="s">
        <v>5718</v>
      </c>
      <c r="B2032" s="17" t="s">
        <v>7760</v>
      </c>
      <c r="C2032" s="13">
        <v>43210</v>
      </c>
      <c r="D2032" s="13" t="s">
        <v>8465</v>
      </c>
      <c r="E2032" s="10" t="s">
        <v>6107</v>
      </c>
      <c r="F2032" s="10" t="s">
        <v>6130</v>
      </c>
      <c r="G2032" s="11" t="s">
        <v>5718</v>
      </c>
      <c r="H2032" s="2" t="s">
        <v>80</v>
      </c>
      <c r="L2032" s="18">
        <v>1</v>
      </c>
      <c r="M2032" s="14" t="s">
        <v>8462</v>
      </c>
      <c r="N2032" s="13">
        <v>43326</v>
      </c>
      <c r="O2032" s="29">
        <v>48.81</v>
      </c>
      <c r="P2032" s="18" t="s">
        <v>14</v>
      </c>
      <c r="Q2032" s="18">
        <v>1</v>
      </c>
      <c r="R2032" s="13">
        <v>44947</v>
      </c>
      <c r="S2032" s="21">
        <v>13</v>
      </c>
      <c r="T2032" s="22">
        <v>0.9</v>
      </c>
      <c r="U2032" s="22">
        <v>0.94</v>
      </c>
      <c r="V2032" s="22">
        <f>4.34/5</f>
        <v>0.86799999999999999</v>
      </c>
      <c r="AB2032" s="18">
        <f t="shared" si="62"/>
        <v>2018</v>
      </c>
      <c r="AC2032" s="22">
        <f t="shared" si="63"/>
        <v>0.90266666666666662</v>
      </c>
    </row>
    <row r="2033" spans="1:29" ht="30">
      <c r="A2033" s="8" t="s">
        <v>11196</v>
      </c>
      <c r="B2033" s="17" t="s">
        <v>7800</v>
      </c>
      <c r="C2033" s="13">
        <v>43209</v>
      </c>
      <c r="D2033" s="13" t="s">
        <v>8465</v>
      </c>
      <c r="E2033" s="10" t="s">
        <v>3370</v>
      </c>
      <c r="F2033" s="10" t="s">
        <v>11197</v>
      </c>
      <c r="G2033" s="11" t="s">
        <v>4754</v>
      </c>
      <c r="H2033" s="2" t="s">
        <v>67</v>
      </c>
      <c r="I2033" s="18">
        <v>1</v>
      </c>
      <c r="L2033" s="18">
        <v>1</v>
      </c>
      <c r="N2033" s="13">
        <v>44613</v>
      </c>
      <c r="O2033" s="29">
        <v>4.99</v>
      </c>
      <c r="P2033" s="18" t="s">
        <v>1107</v>
      </c>
      <c r="Q2033" s="18">
        <v>1</v>
      </c>
      <c r="R2033" s="13">
        <v>44991</v>
      </c>
      <c r="S2033" s="21">
        <f>1+53/60</f>
        <v>1.8833333333333333</v>
      </c>
      <c r="T2033" s="22">
        <v>0.5</v>
      </c>
      <c r="V2033" s="22">
        <f>3.19/5</f>
        <v>0.63800000000000001</v>
      </c>
      <c r="W2033" s="14" t="s">
        <v>7777</v>
      </c>
      <c r="AB2033" s="18">
        <f t="shared" si="62"/>
        <v>2018</v>
      </c>
      <c r="AC2033" s="22">
        <f t="shared" si="63"/>
        <v>0.56899999999999995</v>
      </c>
    </row>
    <row r="2034" spans="1:29">
      <c r="A2034" s="8" t="s">
        <v>3871</v>
      </c>
      <c r="B2034" s="17" t="s">
        <v>7800</v>
      </c>
      <c r="C2034" s="13">
        <v>43186</v>
      </c>
      <c r="D2034" s="13" t="s">
        <v>8465</v>
      </c>
      <c r="E2034" s="10" t="s">
        <v>1047</v>
      </c>
      <c r="F2034" s="10" t="s">
        <v>1048</v>
      </c>
      <c r="G2034" s="11" t="s">
        <v>1049</v>
      </c>
      <c r="H2034" s="2" t="s">
        <v>1050</v>
      </c>
      <c r="L2034" s="18">
        <v>1</v>
      </c>
      <c r="N2034" s="13">
        <v>43454</v>
      </c>
      <c r="O2034" s="29">
        <v>23.99</v>
      </c>
      <c r="P2034" s="18" t="s">
        <v>1107</v>
      </c>
      <c r="Q2034" s="18">
        <v>1</v>
      </c>
      <c r="R2034" s="13">
        <v>43638</v>
      </c>
      <c r="S2034" s="21">
        <v>19.420000000000002</v>
      </c>
      <c r="T2034" s="22">
        <v>0.8</v>
      </c>
      <c r="U2034" s="22">
        <v>0.84</v>
      </c>
      <c r="V2034" s="22">
        <f>3.44/5</f>
        <v>0.68799999999999994</v>
      </c>
      <c r="W2034" s="14" t="s">
        <v>7777</v>
      </c>
      <c r="AB2034" s="18">
        <f t="shared" si="62"/>
        <v>2018</v>
      </c>
      <c r="AC2034" s="22">
        <f t="shared" si="63"/>
        <v>0.77600000000000013</v>
      </c>
    </row>
    <row r="2035" spans="1:29">
      <c r="A2035" s="8" t="s">
        <v>9222</v>
      </c>
      <c r="B2035" s="17" t="s">
        <v>7800</v>
      </c>
      <c r="C2035" s="13">
        <v>43182</v>
      </c>
      <c r="D2035" s="13" t="s">
        <v>8465</v>
      </c>
      <c r="E2035" s="10" t="s">
        <v>231</v>
      </c>
      <c r="F2035" s="10" t="s">
        <v>9223</v>
      </c>
      <c r="H2035" s="2" t="s">
        <v>80</v>
      </c>
      <c r="L2035" s="18">
        <v>1</v>
      </c>
      <c r="N2035" s="13">
        <v>44070</v>
      </c>
      <c r="O2035" s="29">
        <v>2.1</v>
      </c>
      <c r="P2035" s="18" t="s">
        <v>1107</v>
      </c>
      <c r="Q2035" s="18">
        <v>1</v>
      </c>
      <c r="R2035" s="13">
        <v>44214</v>
      </c>
      <c r="S2035" s="21">
        <v>5</v>
      </c>
      <c r="T2035" s="22">
        <v>0.65</v>
      </c>
      <c r="U2035" s="22">
        <v>0.78</v>
      </c>
      <c r="V2035" s="22">
        <f>3.63/5</f>
        <v>0.72599999999999998</v>
      </c>
      <c r="W2035" s="14" t="s">
        <v>7796</v>
      </c>
      <c r="AB2035" s="18">
        <f t="shared" si="62"/>
        <v>2018</v>
      </c>
      <c r="AC2035" s="22">
        <f t="shared" si="63"/>
        <v>0.71866666666666668</v>
      </c>
    </row>
    <row r="2036" spans="1:29">
      <c r="A2036" s="8" t="s">
        <v>1616</v>
      </c>
      <c r="B2036" s="17" t="s">
        <v>7744</v>
      </c>
      <c r="C2036" s="13">
        <v>43175</v>
      </c>
      <c r="D2036" s="13" t="s">
        <v>8465</v>
      </c>
      <c r="E2036" s="10" t="s">
        <v>86</v>
      </c>
      <c r="F2036" s="10" t="s">
        <v>30</v>
      </c>
      <c r="G2036" s="11" t="s">
        <v>223</v>
      </c>
      <c r="H2036" s="2" t="s">
        <v>64</v>
      </c>
      <c r="L2036" s="18">
        <v>1</v>
      </c>
      <c r="M2036" s="14" t="s">
        <v>8462</v>
      </c>
      <c r="N2036" s="13">
        <v>43175</v>
      </c>
      <c r="O2036" s="29">
        <v>59.99</v>
      </c>
      <c r="P2036" s="18" t="s">
        <v>14</v>
      </c>
      <c r="Q2036" s="18">
        <v>1</v>
      </c>
      <c r="R2036" s="13">
        <v>43191</v>
      </c>
      <c r="T2036" s="22">
        <v>0.7</v>
      </c>
      <c r="U2036" s="22">
        <v>0.73</v>
      </c>
      <c r="V2036" s="22">
        <f>3.84/5</f>
        <v>0.76800000000000002</v>
      </c>
      <c r="AB2036" s="18">
        <f t="shared" si="62"/>
        <v>2018</v>
      </c>
      <c r="AC2036" s="22">
        <f t="shared" si="63"/>
        <v>0.73266666666666669</v>
      </c>
    </row>
    <row r="2037" spans="1:29" ht="30">
      <c r="A2037" s="8" t="s">
        <v>3894</v>
      </c>
      <c r="B2037" s="17" t="s">
        <v>7800</v>
      </c>
      <c r="C2037" s="13">
        <v>43165</v>
      </c>
      <c r="D2037" s="13" t="s">
        <v>8465</v>
      </c>
      <c r="E2037" s="10" t="s">
        <v>1082</v>
      </c>
      <c r="F2037" s="10" t="s">
        <v>3895</v>
      </c>
      <c r="G2037" s="11" t="s">
        <v>126</v>
      </c>
      <c r="H2037" s="2" t="s">
        <v>171</v>
      </c>
      <c r="L2037" s="18">
        <v>1</v>
      </c>
      <c r="N2037" s="13">
        <v>43475</v>
      </c>
      <c r="O2037" s="29">
        <v>22.48</v>
      </c>
      <c r="P2037" s="18" t="s">
        <v>1107</v>
      </c>
      <c r="Q2037" s="18">
        <v>1</v>
      </c>
      <c r="R2037" s="13">
        <v>44569</v>
      </c>
      <c r="S2037" s="21">
        <f>33+4/60</f>
        <v>33.06666666666667</v>
      </c>
      <c r="T2037" s="22">
        <v>0.75</v>
      </c>
      <c r="U2037" s="22">
        <v>0.86</v>
      </c>
      <c r="V2037" s="22">
        <f>3.74/5</f>
        <v>0.748</v>
      </c>
      <c r="W2037" s="14" t="s">
        <v>7777</v>
      </c>
      <c r="AB2037" s="18">
        <f t="shared" si="62"/>
        <v>2018</v>
      </c>
      <c r="AC2037" s="22">
        <f t="shared" si="63"/>
        <v>0.78599999999999992</v>
      </c>
    </row>
    <row r="2038" spans="1:29">
      <c r="A2038" s="8" t="s">
        <v>5103</v>
      </c>
      <c r="B2038" s="17" t="s">
        <v>7800</v>
      </c>
      <c r="C2038" s="13">
        <v>43161</v>
      </c>
      <c r="D2038" s="13" t="s">
        <v>8465</v>
      </c>
      <c r="E2038" s="10" t="s">
        <v>5104</v>
      </c>
      <c r="F2038" s="10" t="s">
        <v>5104</v>
      </c>
      <c r="H2038" s="2" t="s">
        <v>64</v>
      </c>
      <c r="L2038" s="18">
        <v>1</v>
      </c>
      <c r="N2038" s="13">
        <v>43450</v>
      </c>
      <c r="P2038" s="18" t="s">
        <v>1107</v>
      </c>
      <c r="Q2038" s="18">
        <v>1</v>
      </c>
      <c r="R2038" s="13">
        <v>43450</v>
      </c>
      <c r="S2038" s="21">
        <v>0.57999999999999996</v>
      </c>
      <c r="T2038" s="22">
        <v>0.6</v>
      </c>
      <c r="V2038" s="22">
        <f>3.43/5</f>
        <v>0.68600000000000005</v>
      </c>
      <c r="W2038" s="14" t="s">
        <v>7777</v>
      </c>
      <c r="AB2038" s="18">
        <f t="shared" si="62"/>
        <v>2018</v>
      </c>
      <c r="AC2038" s="22">
        <f t="shared" si="63"/>
        <v>0.64300000000000002</v>
      </c>
    </row>
    <row r="2039" spans="1:29">
      <c r="A2039" s="8" t="s">
        <v>7299</v>
      </c>
      <c r="B2039" s="17" t="s">
        <v>7783</v>
      </c>
      <c r="C2039" s="13">
        <v>43145</v>
      </c>
      <c r="D2039" s="13" t="s">
        <v>8465</v>
      </c>
      <c r="E2039" s="10" t="s">
        <v>7300</v>
      </c>
      <c r="F2039" s="10" t="s">
        <v>7301</v>
      </c>
      <c r="H2039" s="2" t="s">
        <v>67</v>
      </c>
      <c r="L2039" s="18">
        <v>1</v>
      </c>
      <c r="N2039" s="13">
        <v>43446</v>
      </c>
      <c r="O2039" s="29">
        <v>2.99</v>
      </c>
      <c r="P2039" s="18" t="s">
        <v>1107</v>
      </c>
      <c r="Q2039" s="18">
        <v>1</v>
      </c>
      <c r="R2039" s="13">
        <v>43473</v>
      </c>
      <c r="T2039" s="22">
        <v>0.8</v>
      </c>
      <c r="U2039" s="22">
        <v>0.84</v>
      </c>
      <c r="V2039" s="22">
        <f>3.25/5</f>
        <v>0.65</v>
      </c>
      <c r="AB2039" s="18">
        <f t="shared" si="62"/>
        <v>2018</v>
      </c>
      <c r="AC2039" s="22">
        <f t="shared" si="63"/>
        <v>0.76333333333333331</v>
      </c>
    </row>
    <row r="2040" spans="1:29">
      <c r="A2040" s="8" t="s">
        <v>7357</v>
      </c>
      <c r="B2040" s="17" t="s">
        <v>7783</v>
      </c>
      <c r="C2040" s="13">
        <v>43125</v>
      </c>
      <c r="D2040" s="13" t="s">
        <v>8465</v>
      </c>
      <c r="E2040" s="10" t="s">
        <v>7354</v>
      </c>
      <c r="F2040" s="10" t="s">
        <v>7354</v>
      </c>
      <c r="G2040" s="11" t="s">
        <v>7353</v>
      </c>
      <c r="H2040" s="2" t="s">
        <v>78</v>
      </c>
      <c r="L2040" s="18">
        <v>1</v>
      </c>
      <c r="N2040" s="13">
        <v>43597</v>
      </c>
      <c r="O2040" s="29">
        <v>4.99</v>
      </c>
      <c r="P2040" s="18" t="s">
        <v>1107</v>
      </c>
      <c r="Q2040" s="18">
        <v>1</v>
      </c>
      <c r="R2040" s="13">
        <v>43601</v>
      </c>
      <c r="S2040" s="21">
        <v>3.72</v>
      </c>
      <c r="T2040" s="22">
        <v>0.8</v>
      </c>
      <c r="U2040" s="22">
        <v>0.87</v>
      </c>
      <c r="V2040" s="22">
        <f>3.96/5</f>
        <v>0.79200000000000004</v>
      </c>
      <c r="AB2040" s="18">
        <f t="shared" si="62"/>
        <v>2018</v>
      </c>
      <c r="AC2040" s="22">
        <f t="shared" si="63"/>
        <v>0.82066666666666654</v>
      </c>
    </row>
    <row r="2041" spans="1:29">
      <c r="A2041" s="8" t="s">
        <v>10267</v>
      </c>
      <c r="B2041" s="17" t="s">
        <v>7749</v>
      </c>
      <c r="C2041" s="13">
        <v>43090</v>
      </c>
      <c r="D2041" s="13" t="s">
        <v>8465</v>
      </c>
      <c r="E2041" s="10" t="s">
        <v>1794</v>
      </c>
      <c r="F2041" s="10" t="s">
        <v>1794</v>
      </c>
      <c r="G2041" s="11" t="s">
        <v>10286</v>
      </c>
      <c r="H2041" s="2" t="s">
        <v>78</v>
      </c>
      <c r="L2041" s="18">
        <v>1</v>
      </c>
      <c r="N2041" s="13">
        <v>44625</v>
      </c>
      <c r="O2041" s="29">
        <v>5.99</v>
      </c>
      <c r="P2041" s="18" t="s">
        <v>1107</v>
      </c>
      <c r="Q2041" s="18">
        <v>0</v>
      </c>
      <c r="V2041" s="22">
        <f>4.09/5</f>
        <v>0.81799999999999995</v>
      </c>
      <c r="X2041" s="3">
        <v>3</v>
      </c>
      <c r="Z2041" s="23">
        <v>22</v>
      </c>
      <c r="AB2041" s="18">
        <f t="shared" si="62"/>
        <v>2017</v>
      </c>
      <c r="AC2041" s="22">
        <f t="shared" si="63"/>
        <v>0.70899999999999996</v>
      </c>
    </row>
    <row r="2042" spans="1:29" ht="38.25">
      <c r="A2042" s="8" t="s">
        <v>11389</v>
      </c>
      <c r="B2042" s="17" t="s">
        <v>7749</v>
      </c>
      <c r="C2042" s="13">
        <v>43090</v>
      </c>
      <c r="D2042" s="13" t="s">
        <v>8465</v>
      </c>
      <c r="E2042" s="10" t="s">
        <v>10018</v>
      </c>
      <c r="F2042" s="10" t="s">
        <v>1736</v>
      </c>
      <c r="G2042" s="11" t="s">
        <v>2444</v>
      </c>
      <c r="H2042" s="2" t="s">
        <v>64</v>
      </c>
      <c r="L2042" s="18">
        <v>1</v>
      </c>
      <c r="N2042" s="13">
        <v>44639</v>
      </c>
      <c r="O2042" s="29">
        <v>9.99</v>
      </c>
      <c r="P2042" s="18" t="s">
        <v>1107</v>
      </c>
      <c r="Q2042" s="18">
        <v>0</v>
      </c>
      <c r="V2042" s="22">
        <f>3.54/5</f>
        <v>0.70799999999999996</v>
      </c>
      <c r="X2042" s="3">
        <v>3</v>
      </c>
      <c r="Z2042" s="23">
        <v>4</v>
      </c>
      <c r="AB2042" s="18">
        <f t="shared" si="62"/>
        <v>2017</v>
      </c>
      <c r="AC2042" s="22">
        <f t="shared" si="63"/>
        <v>0.65399999999999991</v>
      </c>
    </row>
    <row r="2043" spans="1:29">
      <c r="A2043" s="9" t="s">
        <v>13093</v>
      </c>
      <c r="B2043" s="17" t="s">
        <v>7744</v>
      </c>
      <c r="C2043" s="13">
        <v>43090</v>
      </c>
      <c r="D2043" s="13" t="s">
        <v>8465</v>
      </c>
      <c r="E2043" s="10" t="s">
        <v>59</v>
      </c>
      <c r="F2043" s="10" t="s">
        <v>13094</v>
      </c>
      <c r="G2043" s="11" t="s">
        <v>13093</v>
      </c>
      <c r="H2043" s="2" t="s">
        <v>78</v>
      </c>
      <c r="L2043" s="18">
        <v>1</v>
      </c>
      <c r="N2043" s="13">
        <v>44924</v>
      </c>
      <c r="O2043" s="29">
        <v>0</v>
      </c>
      <c r="P2043" s="18" t="s">
        <v>1107</v>
      </c>
      <c r="Q2043" s="18">
        <v>0</v>
      </c>
      <c r="U2043" s="22">
        <v>0.73</v>
      </c>
      <c r="V2043" s="22">
        <f>3.7/5</f>
        <v>0.74</v>
      </c>
      <c r="X2043" s="3">
        <v>2</v>
      </c>
      <c r="Z2043" s="23">
        <f>46/60</f>
        <v>0.76666666666666672</v>
      </c>
      <c r="AB2043" s="18">
        <f t="shared" si="62"/>
        <v>2017</v>
      </c>
      <c r="AC2043" s="22">
        <f t="shared" si="63"/>
        <v>0.62333333333333341</v>
      </c>
    </row>
    <row r="2044" spans="1:29" ht="51">
      <c r="A2044" s="8" t="s">
        <v>13218</v>
      </c>
      <c r="B2044" s="17" t="s">
        <v>7749</v>
      </c>
      <c r="C2044" s="13">
        <v>43085</v>
      </c>
      <c r="D2044" s="13" t="s">
        <v>8463</v>
      </c>
      <c r="E2044" s="10" t="s">
        <v>2129</v>
      </c>
      <c r="F2044" s="10" t="s">
        <v>13219</v>
      </c>
      <c r="G2044" s="11" t="s">
        <v>10273</v>
      </c>
      <c r="H2044" s="2" t="s">
        <v>149</v>
      </c>
      <c r="K2044" s="18">
        <v>0</v>
      </c>
      <c r="L2044" s="18">
        <v>0</v>
      </c>
      <c r="Q2044" s="18">
        <v>0</v>
      </c>
      <c r="V2044" s="22">
        <f>5/5</f>
        <v>1</v>
      </c>
      <c r="X2044" s="3">
        <v>2</v>
      </c>
      <c r="AB2044" s="18">
        <f t="shared" si="62"/>
        <v>2017</v>
      </c>
      <c r="AC2044" s="22">
        <f t="shared" si="63"/>
        <v>0.7</v>
      </c>
    </row>
    <row r="2045" spans="1:29">
      <c r="A2045" s="8" t="s">
        <v>795</v>
      </c>
      <c r="B2045" s="17" t="s">
        <v>7744</v>
      </c>
      <c r="C2045" s="13">
        <v>43084</v>
      </c>
      <c r="D2045" s="13" t="s">
        <v>8465</v>
      </c>
      <c r="E2045" s="10" t="s">
        <v>1082</v>
      </c>
      <c r="F2045" s="10" t="s">
        <v>1537</v>
      </c>
      <c r="G2045" s="11" t="s">
        <v>9517</v>
      </c>
      <c r="H2045" s="2" t="s">
        <v>149</v>
      </c>
      <c r="L2045" s="18">
        <v>1</v>
      </c>
      <c r="N2045" s="13">
        <v>44274</v>
      </c>
      <c r="O2045" s="29">
        <v>0</v>
      </c>
      <c r="P2045" s="18" t="s">
        <v>1107</v>
      </c>
      <c r="Q2045" s="18">
        <v>0</v>
      </c>
      <c r="U2045" s="22">
        <v>0.7</v>
      </c>
      <c r="V2045" s="22">
        <f>3.86/5</f>
        <v>0.77200000000000002</v>
      </c>
      <c r="X2045" s="3">
        <v>4</v>
      </c>
      <c r="Z2045" s="23">
        <v>53</v>
      </c>
      <c r="AB2045" s="18">
        <f t="shared" si="62"/>
        <v>2017</v>
      </c>
      <c r="AC2045" s="22">
        <f t="shared" si="63"/>
        <v>0.75733333333333341</v>
      </c>
    </row>
    <row r="2046" spans="1:29">
      <c r="A2046" s="8" t="s">
        <v>8582</v>
      </c>
      <c r="B2046" s="17" t="s">
        <v>7744</v>
      </c>
      <c r="C2046" s="13">
        <v>43083</v>
      </c>
      <c r="D2046" s="13" t="s">
        <v>8465</v>
      </c>
      <c r="E2046" s="10" t="s">
        <v>7300</v>
      </c>
      <c r="F2046" s="10" t="s">
        <v>8583</v>
      </c>
      <c r="H2046" s="2" t="s">
        <v>78</v>
      </c>
      <c r="L2046" s="18">
        <v>1</v>
      </c>
      <c r="M2046" s="14" t="s">
        <v>8462</v>
      </c>
      <c r="N2046" s="13">
        <v>43935</v>
      </c>
      <c r="O2046" s="29">
        <v>41.3</v>
      </c>
      <c r="P2046" s="18" t="s">
        <v>14</v>
      </c>
      <c r="Q2046" s="18">
        <v>0</v>
      </c>
      <c r="U2046" s="22">
        <v>0.83</v>
      </c>
      <c r="V2046" s="22">
        <f>4.07/5</f>
        <v>0.81400000000000006</v>
      </c>
      <c r="W2046" s="14" t="s">
        <v>8581</v>
      </c>
      <c r="X2046" s="3">
        <v>4</v>
      </c>
      <c r="Z2046" s="23">
        <v>2</v>
      </c>
      <c r="AB2046" s="18">
        <f t="shared" si="62"/>
        <v>2017</v>
      </c>
      <c r="AC2046" s="22">
        <f t="shared" si="63"/>
        <v>0.81466666666666665</v>
      </c>
    </row>
    <row r="2047" spans="1:29">
      <c r="A2047" s="8" t="s">
        <v>3896</v>
      </c>
      <c r="B2047" s="17" t="s">
        <v>7800</v>
      </c>
      <c r="C2047" s="13">
        <v>43083</v>
      </c>
      <c r="D2047" s="13" t="s">
        <v>8465</v>
      </c>
      <c r="E2047" s="10" t="s">
        <v>3061</v>
      </c>
      <c r="F2047" s="10" t="s">
        <v>3061</v>
      </c>
      <c r="G2047" s="11" t="s">
        <v>3897</v>
      </c>
      <c r="H2047" s="2" t="s">
        <v>67</v>
      </c>
      <c r="L2047" s="18">
        <v>1</v>
      </c>
      <c r="N2047" s="13">
        <v>43595</v>
      </c>
      <c r="O2047" s="29">
        <v>0</v>
      </c>
      <c r="P2047" s="18" t="s">
        <v>1107</v>
      </c>
      <c r="Q2047" s="18">
        <v>0</v>
      </c>
      <c r="U2047" s="22">
        <v>0.86</v>
      </c>
      <c r="V2047" s="22">
        <f>4.22/5</f>
        <v>0.84399999999999997</v>
      </c>
      <c r="W2047" s="14" t="s">
        <v>7777</v>
      </c>
      <c r="X2047" s="3">
        <v>3</v>
      </c>
      <c r="Z2047" s="23">
        <v>5</v>
      </c>
      <c r="AB2047" s="18">
        <f t="shared" si="62"/>
        <v>2017</v>
      </c>
      <c r="AC2047" s="22">
        <f t="shared" si="63"/>
        <v>0.7679999999999999</v>
      </c>
    </row>
    <row r="2048" spans="1:29">
      <c r="A2048" s="8" t="s">
        <v>6150</v>
      </c>
      <c r="B2048" s="17" t="s">
        <v>7800</v>
      </c>
      <c r="C2048" s="13">
        <v>43081</v>
      </c>
      <c r="D2048" s="13" t="s">
        <v>8465</v>
      </c>
      <c r="E2048" s="10" t="s">
        <v>73</v>
      </c>
      <c r="F2048" s="10" t="s">
        <v>73</v>
      </c>
      <c r="G2048" s="11" t="s">
        <v>1014</v>
      </c>
      <c r="H2048" s="2" t="s">
        <v>80</v>
      </c>
      <c r="L2048" s="18">
        <v>1</v>
      </c>
      <c r="N2048" s="13">
        <v>43870</v>
      </c>
      <c r="O2048" s="29">
        <v>11</v>
      </c>
      <c r="P2048" s="18" t="s">
        <v>1107</v>
      </c>
      <c r="Q2048" s="18">
        <v>1</v>
      </c>
      <c r="R2048" s="13">
        <v>45255</v>
      </c>
      <c r="S2048" s="21">
        <f>26+56/60+34/3600</f>
        <v>26.942777777777778</v>
      </c>
      <c r="T2048" s="22">
        <v>0.75</v>
      </c>
      <c r="U2048" s="22">
        <v>0.92</v>
      </c>
      <c r="V2048" s="22">
        <f>4.12/5</f>
        <v>0.82400000000000007</v>
      </c>
      <c r="W2048" s="14" t="s">
        <v>7777</v>
      </c>
      <c r="AB2048" s="18">
        <f t="shared" si="62"/>
        <v>2017</v>
      </c>
      <c r="AC2048" s="22">
        <f t="shared" si="63"/>
        <v>0.83133333333333326</v>
      </c>
    </row>
    <row r="2049" spans="1:29">
      <c r="A2049" s="8" t="s">
        <v>6150</v>
      </c>
      <c r="B2049" s="17" t="s">
        <v>7760</v>
      </c>
      <c r="C2049" s="13">
        <v>43081</v>
      </c>
      <c r="D2049" s="13" t="s">
        <v>8465</v>
      </c>
      <c r="E2049" s="10" t="s">
        <v>73</v>
      </c>
      <c r="F2049" s="10" t="s">
        <v>1504</v>
      </c>
      <c r="G2049" s="11" t="s">
        <v>1014</v>
      </c>
      <c r="H2049" s="2" t="s">
        <v>80</v>
      </c>
      <c r="L2049" s="18">
        <v>1</v>
      </c>
      <c r="M2049" s="14" t="s">
        <v>8462</v>
      </c>
      <c r="N2049" s="13">
        <v>43311</v>
      </c>
      <c r="O2049" s="29">
        <v>19.899999999999999</v>
      </c>
      <c r="P2049" s="18" t="s">
        <v>14</v>
      </c>
      <c r="Q2049" s="18">
        <v>0</v>
      </c>
      <c r="U2049" s="22">
        <v>0.88</v>
      </c>
      <c r="V2049" s="22">
        <f>4.22/5</f>
        <v>0.84399999999999997</v>
      </c>
      <c r="X2049" s="3">
        <v>5</v>
      </c>
      <c r="Z2049" s="23">
        <v>34.5</v>
      </c>
      <c r="AB2049" s="18">
        <f t="shared" ref="AB2049:AB2112" si="64">IFERROR(YEAR(C2049), "Early Access")</f>
        <v>2017</v>
      </c>
      <c r="AC2049" s="22">
        <f t="shared" ref="AC2049:AC2112" si="65">AVERAGE(T2049, U2049, V2049, IF(ISBLANK(X2049), X2049, X2049/5))</f>
        <v>0.90800000000000003</v>
      </c>
    </row>
    <row r="2050" spans="1:29" ht="30">
      <c r="A2050" s="8" t="s">
        <v>4658</v>
      </c>
      <c r="B2050" s="17" t="s">
        <v>7763</v>
      </c>
      <c r="C2050" s="13">
        <v>43081</v>
      </c>
      <c r="D2050" s="13" t="s">
        <v>8465</v>
      </c>
      <c r="E2050" s="10">
        <v>3909</v>
      </c>
      <c r="F2050" s="10">
        <v>3909</v>
      </c>
      <c r="H2050" s="2" t="s">
        <v>1334</v>
      </c>
      <c r="L2050" s="18">
        <v>1</v>
      </c>
      <c r="M2050" s="14" t="s">
        <v>8462</v>
      </c>
      <c r="N2050" s="13">
        <v>44133</v>
      </c>
      <c r="O2050" s="29">
        <v>48.94</v>
      </c>
      <c r="P2050" s="18" t="s">
        <v>14</v>
      </c>
      <c r="Q2050" s="18">
        <v>0</v>
      </c>
      <c r="V2050" s="22">
        <f>3.58/5</f>
        <v>0.71599999999999997</v>
      </c>
      <c r="W2050" s="14" t="s">
        <v>1134</v>
      </c>
      <c r="X2050" s="3">
        <v>3</v>
      </c>
      <c r="Z2050" s="23">
        <v>4.5</v>
      </c>
      <c r="AB2050" s="18">
        <f t="shared" si="64"/>
        <v>2017</v>
      </c>
      <c r="AC2050" s="22">
        <f t="shared" si="65"/>
        <v>0.65799999999999992</v>
      </c>
    </row>
    <row r="2051" spans="1:29">
      <c r="A2051" s="8" t="s">
        <v>1692</v>
      </c>
      <c r="B2051" s="17" t="s">
        <v>7744</v>
      </c>
      <c r="C2051" s="13">
        <v>43081</v>
      </c>
      <c r="D2051" s="13" t="s">
        <v>8465</v>
      </c>
      <c r="E2051" s="10" t="s">
        <v>1578</v>
      </c>
      <c r="F2051" s="10" t="s">
        <v>1693</v>
      </c>
      <c r="H2051" s="2" t="s">
        <v>64</v>
      </c>
      <c r="L2051" s="18">
        <v>1</v>
      </c>
      <c r="M2051" s="14" t="s">
        <v>8462</v>
      </c>
      <c r="N2051" s="13">
        <v>43582</v>
      </c>
      <c r="O2051" s="29">
        <v>19.53</v>
      </c>
      <c r="P2051" s="18" t="s">
        <v>14</v>
      </c>
      <c r="Q2051" s="18">
        <v>0</v>
      </c>
      <c r="U2051" s="22">
        <v>0.79</v>
      </c>
      <c r="V2051" s="22">
        <f>3.78/5</f>
        <v>0.75600000000000001</v>
      </c>
      <c r="X2051" s="3">
        <v>2</v>
      </c>
      <c r="Z2051" s="23">
        <v>8.5</v>
      </c>
      <c r="AB2051" s="18">
        <f t="shared" si="64"/>
        <v>2017</v>
      </c>
      <c r="AC2051" s="22">
        <f t="shared" si="65"/>
        <v>0.64866666666666672</v>
      </c>
    </row>
    <row r="2052" spans="1:29">
      <c r="A2052" s="8" t="s">
        <v>8497</v>
      </c>
      <c r="B2052" s="17" t="s">
        <v>7800</v>
      </c>
      <c r="C2052" s="13">
        <v>43080</v>
      </c>
      <c r="D2052" s="13" t="s">
        <v>8465</v>
      </c>
      <c r="E2052" s="10" t="s">
        <v>1690</v>
      </c>
      <c r="F2052" s="10" t="s">
        <v>1691</v>
      </c>
      <c r="G2052" s="11" t="s">
        <v>3864</v>
      </c>
      <c r="H2052" s="2" t="s">
        <v>171</v>
      </c>
      <c r="I2052" s="18">
        <v>1</v>
      </c>
      <c r="L2052" s="18">
        <v>1</v>
      </c>
      <c r="N2052" s="13">
        <v>43901</v>
      </c>
      <c r="O2052" s="29">
        <v>11.25</v>
      </c>
      <c r="P2052" s="18" t="s">
        <v>1107</v>
      </c>
      <c r="Q2052" s="18">
        <v>0</v>
      </c>
      <c r="U2052" s="22">
        <v>0.78</v>
      </c>
      <c r="V2052" s="22">
        <f>2.97/5</f>
        <v>0.59400000000000008</v>
      </c>
      <c r="W2052" s="14" t="s">
        <v>7777</v>
      </c>
      <c r="X2052" s="3">
        <v>3</v>
      </c>
      <c r="Z2052" s="23">
        <v>20</v>
      </c>
      <c r="AB2052" s="18">
        <f t="shared" si="64"/>
        <v>2017</v>
      </c>
      <c r="AC2052" s="22">
        <f t="shared" si="65"/>
        <v>0.65800000000000003</v>
      </c>
    </row>
    <row r="2053" spans="1:29">
      <c r="A2053" s="8" t="s">
        <v>4105</v>
      </c>
      <c r="B2053" s="17" t="s">
        <v>7800</v>
      </c>
      <c r="C2053" s="13">
        <v>43077</v>
      </c>
      <c r="D2053" s="13" t="s">
        <v>8465</v>
      </c>
      <c r="E2053" s="10" t="s">
        <v>3464</v>
      </c>
      <c r="F2053" s="10" t="s">
        <v>4106</v>
      </c>
      <c r="G2053" s="11" t="s">
        <v>4105</v>
      </c>
      <c r="H2053" s="2" t="s">
        <v>245</v>
      </c>
      <c r="L2053" s="18">
        <v>1</v>
      </c>
      <c r="N2053" s="13">
        <v>43606</v>
      </c>
      <c r="O2053" s="29">
        <v>0</v>
      </c>
      <c r="P2053" s="18" t="s">
        <v>1107</v>
      </c>
      <c r="Q2053" s="18">
        <v>0</v>
      </c>
      <c r="U2053" s="22">
        <v>0.34</v>
      </c>
      <c r="V2053" s="22">
        <f>2.4/5</f>
        <v>0.48</v>
      </c>
      <c r="W2053" s="14" t="s">
        <v>7777</v>
      </c>
      <c r="X2053" s="3">
        <v>2</v>
      </c>
      <c r="Z2053" s="23">
        <v>9.5</v>
      </c>
      <c r="AB2053" s="18">
        <f t="shared" si="64"/>
        <v>2017</v>
      </c>
      <c r="AC2053" s="22">
        <f t="shared" si="65"/>
        <v>0.40666666666666673</v>
      </c>
    </row>
    <row r="2054" spans="1:29">
      <c r="A2054" s="8" t="s">
        <v>8542</v>
      </c>
      <c r="B2054" s="17" t="s">
        <v>7800</v>
      </c>
      <c r="C2054" s="13">
        <v>43076</v>
      </c>
      <c r="D2054" s="13" t="s">
        <v>8465</v>
      </c>
      <c r="E2054" s="10" t="s">
        <v>5085</v>
      </c>
      <c r="F2054" s="10" t="s">
        <v>5085</v>
      </c>
      <c r="H2054" s="2" t="s">
        <v>78</v>
      </c>
      <c r="L2054" s="18">
        <v>1</v>
      </c>
      <c r="N2054" s="13">
        <v>43924</v>
      </c>
      <c r="O2054" s="29">
        <v>0</v>
      </c>
      <c r="P2054" s="18" t="s">
        <v>1107</v>
      </c>
      <c r="Q2054" s="18">
        <v>0</v>
      </c>
      <c r="U2054" s="22">
        <v>0.9</v>
      </c>
      <c r="V2054" s="22">
        <f>3.93/5</f>
        <v>0.78600000000000003</v>
      </c>
      <c r="W2054" s="14" t="s">
        <v>7777</v>
      </c>
      <c r="X2054" s="3">
        <v>3</v>
      </c>
      <c r="Z2054" s="23">
        <v>15</v>
      </c>
      <c r="AB2054" s="18">
        <f t="shared" si="64"/>
        <v>2017</v>
      </c>
      <c r="AC2054" s="22">
        <f t="shared" si="65"/>
        <v>0.76200000000000001</v>
      </c>
    </row>
    <row r="2055" spans="1:29">
      <c r="A2055" s="8" t="s">
        <v>13735</v>
      </c>
      <c r="B2055" s="17" t="s">
        <v>7800</v>
      </c>
      <c r="C2055" s="13">
        <v>43075</v>
      </c>
      <c r="D2055" s="13" t="s">
        <v>8465</v>
      </c>
      <c r="E2055" s="10" t="s">
        <v>3063</v>
      </c>
      <c r="F2055" s="10" t="s">
        <v>10453</v>
      </c>
      <c r="G2055" s="11" t="s">
        <v>10454</v>
      </c>
      <c r="H2055" s="2" t="s">
        <v>1334</v>
      </c>
      <c r="L2055" s="18">
        <v>1</v>
      </c>
      <c r="N2055" s="13">
        <v>45003</v>
      </c>
      <c r="O2055" s="29">
        <v>0.98</v>
      </c>
      <c r="P2055" s="18" t="s">
        <v>1107</v>
      </c>
      <c r="Q2055" s="18">
        <v>0</v>
      </c>
      <c r="U2055" s="22">
        <v>0.81</v>
      </c>
      <c r="V2055" s="22">
        <f>3.76/5</f>
        <v>0.752</v>
      </c>
      <c r="W2055" s="14" t="s">
        <v>7777</v>
      </c>
      <c r="X2055" s="3">
        <v>3</v>
      </c>
      <c r="Z2055" s="23">
        <v>3.5</v>
      </c>
      <c r="AB2055" s="18">
        <f t="shared" si="64"/>
        <v>2017</v>
      </c>
      <c r="AC2055" s="22">
        <f t="shared" si="65"/>
        <v>0.72066666666666668</v>
      </c>
    </row>
    <row r="2056" spans="1:29">
      <c r="A2056" s="8" t="s">
        <v>4543</v>
      </c>
      <c r="B2056" s="17" t="s">
        <v>7800</v>
      </c>
      <c r="C2056" s="13">
        <v>43074</v>
      </c>
      <c r="D2056" s="13" t="s">
        <v>8465</v>
      </c>
      <c r="E2056" s="10" t="s">
        <v>4544</v>
      </c>
      <c r="F2056" s="10" t="s">
        <v>4544</v>
      </c>
      <c r="H2056" s="2" t="s">
        <v>171</v>
      </c>
      <c r="L2056" s="18">
        <v>1</v>
      </c>
      <c r="N2056" s="13">
        <v>43459</v>
      </c>
      <c r="O2056" s="29">
        <v>3.74</v>
      </c>
      <c r="P2056" s="18" t="s">
        <v>1107</v>
      </c>
      <c r="Q2056" s="18">
        <v>0</v>
      </c>
      <c r="U2056" s="22">
        <v>0.4</v>
      </c>
      <c r="V2056" s="22">
        <f>3.15/5</f>
        <v>0.63</v>
      </c>
      <c r="W2056" s="14" t="s">
        <v>7777</v>
      </c>
      <c r="X2056" s="3">
        <v>3</v>
      </c>
      <c r="Z2056" s="23">
        <v>7.5</v>
      </c>
      <c r="AB2056" s="18">
        <f t="shared" si="64"/>
        <v>2017</v>
      </c>
      <c r="AC2056" s="22">
        <f t="shared" si="65"/>
        <v>0.54333333333333333</v>
      </c>
    </row>
    <row r="2057" spans="1:29" ht="30">
      <c r="A2057" s="8" t="s">
        <v>8681</v>
      </c>
      <c r="B2057" s="17" t="s">
        <v>7800</v>
      </c>
      <c r="C2057" s="13">
        <v>43072</v>
      </c>
      <c r="D2057" s="13" t="s">
        <v>8465</v>
      </c>
      <c r="E2057" s="10" t="s">
        <v>1604</v>
      </c>
      <c r="F2057" s="10" t="s">
        <v>2314</v>
      </c>
      <c r="G2057" s="11" t="s">
        <v>8682</v>
      </c>
      <c r="H2057" s="2" t="s">
        <v>171</v>
      </c>
      <c r="L2057" s="18">
        <v>1</v>
      </c>
      <c r="N2057" s="13">
        <v>43970</v>
      </c>
      <c r="O2057" s="29">
        <v>15</v>
      </c>
      <c r="P2057" s="18" t="s">
        <v>1107</v>
      </c>
      <c r="Q2057" s="18">
        <v>0</v>
      </c>
      <c r="U2057" s="22">
        <v>0.69</v>
      </c>
      <c r="V2057" s="22">
        <f>4.17/5</f>
        <v>0.83399999999999996</v>
      </c>
      <c r="W2057" s="14" t="s">
        <v>7777</v>
      </c>
      <c r="X2057" s="3">
        <v>3</v>
      </c>
      <c r="Z2057" s="23">
        <v>75</v>
      </c>
      <c r="AB2057" s="18">
        <f t="shared" si="64"/>
        <v>2017</v>
      </c>
      <c r="AC2057" s="22">
        <f t="shared" si="65"/>
        <v>0.70800000000000007</v>
      </c>
    </row>
    <row r="2058" spans="1:29" ht="25.5">
      <c r="A2058" s="8" t="s">
        <v>4952</v>
      </c>
      <c r="B2058" s="17" t="s">
        <v>7800</v>
      </c>
      <c r="C2058" s="13">
        <v>43070</v>
      </c>
      <c r="D2058" s="13" t="s">
        <v>8465</v>
      </c>
      <c r="E2058" s="10" t="s">
        <v>4953</v>
      </c>
      <c r="F2058" s="10" t="s">
        <v>4953</v>
      </c>
      <c r="H2058" s="2" t="s">
        <v>171</v>
      </c>
      <c r="L2058" s="18">
        <v>1</v>
      </c>
      <c r="N2058" s="13">
        <v>43442</v>
      </c>
      <c r="P2058" s="18" t="s">
        <v>1107</v>
      </c>
      <c r="Q2058" s="18">
        <v>0</v>
      </c>
      <c r="U2058" s="22">
        <v>0.65</v>
      </c>
      <c r="V2058" s="22">
        <f>3.5/5</f>
        <v>0.7</v>
      </c>
      <c r="W2058" s="14" t="s">
        <v>7777</v>
      </c>
      <c r="X2058" s="3">
        <v>3</v>
      </c>
      <c r="Z2058" s="23">
        <v>15.5</v>
      </c>
      <c r="AB2058" s="18">
        <f t="shared" si="64"/>
        <v>2017</v>
      </c>
      <c r="AC2058" s="22">
        <f t="shared" si="65"/>
        <v>0.65</v>
      </c>
    </row>
    <row r="2059" spans="1:29">
      <c r="A2059" s="8" t="s">
        <v>8498</v>
      </c>
      <c r="B2059" s="17" t="s">
        <v>7800</v>
      </c>
      <c r="C2059" s="13">
        <v>43069</v>
      </c>
      <c r="D2059" s="13" t="s">
        <v>8465</v>
      </c>
      <c r="E2059" s="10" t="s">
        <v>1690</v>
      </c>
      <c r="F2059" s="10" t="s">
        <v>1889</v>
      </c>
      <c r="G2059" s="11" t="s">
        <v>1890</v>
      </c>
      <c r="H2059" s="2" t="s">
        <v>1050</v>
      </c>
      <c r="I2059" s="18">
        <v>1</v>
      </c>
      <c r="L2059" s="18">
        <v>1</v>
      </c>
      <c r="N2059" s="13">
        <v>43901</v>
      </c>
      <c r="O2059" s="29">
        <v>11.25</v>
      </c>
      <c r="P2059" s="18" t="s">
        <v>1107</v>
      </c>
      <c r="Q2059" s="18">
        <v>0</v>
      </c>
      <c r="U2059" s="22">
        <v>0.69</v>
      </c>
      <c r="V2059" s="22">
        <f>3.75/5</f>
        <v>0.75</v>
      </c>
      <c r="W2059" s="14" t="s">
        <v>7777</v>
      </c>
      <c r="X2059" s="3">
        <v>3</v>
      </c>
      <c r="Z2059" s="23">
        <v>3</v>
      </c>
      <c r="AB2059" s="18">
        <f t="shared" si="64"/>
        <v>2017</v>
      </c>
      <c r="AC2059" s="22">
        <f t="shared" si="65"/>
        <v>0.68</v>
      </c>
    </row>
    <row r="2060" spans="1:29" ht="38.25">
      <c r="A2060" s="8" t="s">
        <v>10982</v>
      </c>
      <c r="B2060" s="17" t="s">
        <v>7800</v>
      </c>
      <c r="C2060" s="13">
        <v>43067</v>
      </c>
      <c r="D2060" s="13" t="s">
        <v>8465</v>
      </c>
      <c r="E2060" s="10" t="s">
        <v>1082</v>
      </c>
      <c r="F2060" s="10" t="s">
        <v>1423</v>
      </c>
      <c r="G2060" s="11" t="s">
        <v>840</v>
      </c>
      <c r="H2060" s="2" t="s">
        <v>171</v>
      </c>
      <c r="L2060" s="18">
        <v>1</v>
      </c>
      <c r="N2060" s="13">
        <v>44568</v>
      </c>
      <c r="O2060" s="29">
        <v>8.4</v>
      </c>
      <c r="P2060" s="18" t="s">
        <v>1107</v>
      </c>
      <c r="Q2060" s="18">
        <v>0</v>
      </c>
      <c r="V2060" s="22">
        <f>4.1/5</f>
        <v>0.82</v>
      </c>
      <c r="W2060" s="14" t="s">
        <v>7777</v>
      </c>
      <c r="X2060" s="3">
        <v>4</v>
      </c>
      <c r="Z2060" s="23">
        <v>46.5</v>
      </c>
      <c r="AB2060" s="18">
        <f t="shared" si="64"/>
        <v>2017</v>
      </c>
      <c r="AC2060" s="22">
        <f t="shared" si="65"/>
        <v>0.81</v>
      </c>
    </row>
    <row r="2061" spans="1:29" ht="25.5">
      <c r="A2061" s="8" t="s">
        <v>1648</v>
      </c>
      <c r="B2061" s="17" t="s">
        <v>7744</v>
      </c>
      <c r="C2061" s="13">
        <v>43067</v>
      </c>
      <c r="D2061" s="13" t="s">
        <v>8465</v>
      </c>
      <c r="E2061" s="10" t="s">
        <v>73</v>
      </c>
      <c r="F2061" s="10" t="s">
        <v>73</v>
      </c>
      <c r="G2061" s="11" t="s">
        <v>943</v>
      </c>
      <c r="H2061" s="2" t="s">
        <v>1061</v>
      </c>
      <c r="L2061" s="18">
        <v>1</v>
      </c>
      <c r="M2061" s="14" t="s">
        <v>8462</v>
      </c>
      <c r="N2061" s="13">
        <v>43597</v>
      </c>
      <c r="O2061" s="29">
        <v>28.1</v>
      </c>
      <c r="P2061" s="18" t="s">
        <v>14</v>
      </c>
      <c r="Q2061" s="18">
        <v>0</v>
      </c>
      <c r="U2061" s="22">
        <v>0.79</v>
      </c>
      <c r="V2061" s="22">
        <f>4.01/5</f>
        <v>0.80199999999999994</v>
      </c>
      <c r="X2061" s="3">
        <v>3</v>
      </c>
      <c r="Z2061" s="23">
        <f>8.5+10</f>
        <v>18.5</v>
      </c>
      <c r="AB2061" s="18">
        <f t="shared" si="64"/>
        <v>2017</v>
      </c>
      <c r="AC2061" s="22">
        <f t="shared" si="65"/>
        <v>0.73066666666666669</v>
      </c>
    </row>
    <row r="2062" spans="1:29">
      <c r="A2062" s="8" t="s">
        <v>14444</v>
      </c>
      <c r="B2062" s="17" t="s">
        <v>7744</v>
      </c>
      <c r="C2062" s="13">
        <v>43062</v>
      </c>
      <c r="D2062" s="13" t="s">
        <v>8465</v>
      </c>
      <c r="E2062" s="10" t="s">
        <v>14445</v>
      </c>
      <c r="F2062" s="10" t="s">
        <v>14445</v>
      </c>
      <c r="H2062" s="2" t="s">
        <v>64</v>
      </c>
      <c r="L2062" s="18">
        <v>1</v>
      </c>
      <c r="N2062" s="13">
        <v>45039</v>
      </c>
      <c r="O2062" s="29">
        <v>1.99</v>
      </c>
      <c r="P2062" s="18" t="s">
        <v>1107</v>
      </c>
      <c r="Q2062" s="18">
        <v>0</v>
      </c>
      <c r="V2062" s="22">
        <f>3.39/5</f>
        <v>0.67800000000000005</v>
      </c>
      <c r="X2062" s="3">
        <v>2</v>
      </c>
      <c r="Z2062" s="23">
        <v>1</v>
      </c>
      <c r="AB2062" s="18">
        <f t="shared" si="64"/>
        <v>2017</v>
      </c>
      <c r="AC2062" s="22">
        <f t="shared" si="65"/>
        <v>0.53900000000000003</v>
      </c>
    </row>
    <row r="2063" spans="1:29" ht="30">
      <c r="A2063" s="8" t="s">
        <v>2403</v>
      </c>
      <c r="B2063" s="17" t="s">
        <v>7749</v>
      </c>
      <c r="C2063" s="13">
        <v>43060</v>
      </c>
      <c r="D2063" s="13" t="s">
        <v>8465</v>
      </c>
      <c r="E2063" s="10" t="s">
        <v>66</v>
      </c>
      <c r="F2063" s="10" t="s">
        <v>2464</v>
      </c>
      <c r="G2063" s="11" t="s">
        <v>226</v>
      </c>
      <c r="H2063" s="2" t="s">
        <v>153</v>
      </c>
      <c r="L2063" s="18">
        <v>1</v>
      </c>
      <c r="M2063" s="14" t="s">
        <v>8462</v>
      </c>
      <c r="N2063" s="13">
        <v>43519</v>
      </c>
      <c r="O2063" s="29">
        <v>15.19</v>
      </c>
      <c r="P2063" s="18" t="s">
        <v>14</v>
      </c>
      <c r="Q2063" s="18">
        <v>0</v>
      </c>
      <c r="U2063" s="22">
        <v>0.69</v>
      </c>
      <c r="V2063" s="22">
        <f>4.03/5</f>
        <v>0.80600000000000005</v>
      </c>
      <c r="X2063" s="3">
        <v>3</v>
      </c>
      <c r="Z2063" s="23">
        <v>6.5</v>
      </c>
      <c r="AB2063" s="18">
        <f t="shared" si="64"/>
        <v>2017</v>
      </c>
      <c r="AC2063" s="22">
        <f t="shared" si="65"/>
        <v>0.69866666666666666</v>
      </c>
    </row>
    <row r="2064" spans="1:29">
      <c r="A2064" s="8" t="s">
        <v>3271</v>
      </c>
      <c r="B2064" s="17" t="s">
        <v>7800</v>
      </c>
      <c r="C2064" s="13">
        <v>43059</v>
      </c>
      <c r="D2064" s="13" t="s">
        <v>8465</v>
      </c>
      <c r="E2064" s="10" t="s">
        <v>3272</v>
      </c>
      <c r="F2064" s="10" t="s">
        <v>3273</v>
      </c>
      <c r="H2064" s="2" t="s">
        <v>153</v>
      </c>
      <c r="L2064" s="18">
        <v>1</v>
      </c>
      <c r="N2064" s="13">
        <v>43350</v>
      </c>
      <c r="O2064" s="29">
        <v>0</v>
      </c>
      <c r="P2064" s="18" t="s">
        <v>1107</v>
      </c>
      <c r="Q2064" s="18">
        <v>0</v>
      </c>
      <c r="U2064" s="22">
        <v>0.78</v>
      </c>
      <c r="V2064" s="22">
        <f>3.73/5</f>
        <v>0.746</v>
      </c>
      <c r="W2064" s="14" t="s">
        <v>7777</v>
      </c>
      <c r="X2064" s="3">
        <v>3</v>
      </c>
      <c r="Z2064" s="23">
        <v>9</v>
      </c>
      <c r="AB2064" s="18">
        <f t="shared" si="64"/>
        <v>2017</v>
      </c>
      <c r="AC2064" s="22">
        <f t="shared" si="65"/>
        <v>0.70866666666666667</v>
      </c>
    </row>
    <row r="2065" spans="1:29">
      <c r="A2065" s="8" t="s">
        <v>2394</v>
      </c>
      <c r="B2065" s="17" t="s">
        <v>7749</v>
      </c>
      <c r="C2065" s="13">
        <v>43056</v>
      </c>
      <c r="D2065" s="13" t="s">
        <v>8465</v>
      </c>
      <c r="E2065" s="10" t="s">
        <v>86</v>
      </c>
      <c r="F2065" s="10" t="s">
        <v>1354</v>
      </c>
      <c r="G2065" s="11" t="s">
        <v>1470</v>
      </c>
      <c r="H2065" s="2" t="s">
        <v>149</v>
      </c>
      <c r="L2065" s="18">
        <v>1</v>
      </c>
      <c r="M2065" s="14" t="s">
        <v>8462</v>
      </c>
      <c r="N2065" s="13">
        <v>43611</v>
      </c>
      <c r="O2065" s="29">
        <v>43.39</v>
      </c>
      <c r="P2065" s="18" t="s">
        <v>14</v>
      </c>
      <c r="Q2065" s="18">
        <v>0</v>
      </c>
      <c r="U2065" s="22">
        <v>0.84</v>
      </c>
      <c r="V2065" s="22">
        <f>4.12/5</f>
        <v>0.82400000000000007</v>
      </c>
      <c r="X2065" s="3">
        <v>3</v>
      </c>
      <c r="Z2065" s="23">
        <v>33.5</v>
      </c>
      <c r="AB2065" s="18">
        <f t="shared" si="64"/>
        <v>2017</v>
      </c>
      <c r="AC2065" s="22">
        <f t="shared" si="65"/>
        <v>0.75466666666666671</v>
      </c>
    </row>
    <row r="2066" spans="1:29" ht="25.5">
      <c r="A2066" s="8" t="s">
        <v>11043</v>
      </c>
      <c r="B2066" s="17" t="s">
        <v>7760</v>
      </c>
      <c r="C2066" s="13">
        <v>43056</v>
      </c>
      <c r="D2066" s="13" t="s">
        <v>8465</v>
      </c>
      <c r="E2066" s="10" t="s">
        <v>1519</v>
      </c>
      <c r="F2066" s="10" t="s">
        <v>7413</v>
      </c>
      <c r="H2066" s="2" t="s">
        <v>1168</v>
      </c>
      <c r="L2066" s="18">
        <v>1</v>
      </c>
      <c r="M2066" s="14" t="s">
        <v>8462</v>
      </c>
      <c r="N2066" s="13">
        <v>44578</v>
      </c>
      <c r="O2066" s="29">
        <v>19.690000000000001</v>
      </c>
      <c r="P2066" s="18" t="s">
        <v>14</v>
      </c>
      <c r="Q2066" s="18">
        <v>0</v>
      </c>
      <c r="U2066" s="22">
        <v>0.59</v>
      </c>
      <c r="V2066" s="22">
        <f>3.18/5</f>
        <v>0.63600000000000001</v>
      </c>
      <c r="X2066" s="3">
        <v>2</v>
      </c>
      <c r="Z2066" s="23">
        <v>4.5</v>
      </c>
      <c r="AB2066" s="18">
        <f t="shared" si="64"/>
        <v>2017</v>
      </c>
      <c r="AC2066" s="22">
        <f t="shared" si="65"/>
        <v>0.54199999999999993</v>
      </c>
    </row>
    <row r="2067" spans="1:29">
      <c r="A2067" s="8" t="s">
        <v>6555</v>
      </c>
      <c r="B2067" s="17" t="s">
        <v>7800</v>
      </c>
      <c r="C2067" s="13">
        <v>43056</v>
      </c>
      <c r="D2067" s="13" t="s">
        <v>8465</v>
      </c>
      <c r="E2067" s="10" t="s">
        <v>231</v>
      </c>
      <c r="F2067" s="10" t="s">
        <v>4461</v>
      </c>
      <c r="G2067" s="11" t="s">
        <v>5110</v>
      </c>
      <c r="H2067" s="2" t="s">
        <v>1050</v>
      </c>
      <c r="L2067" s="18">
        <v>1</v>
      </c>
      <c r="N2067" s="13">
        <v>43454</v>
      </c>
      <c r="O2067" s="29">
        <v>4.49</v>
      </c>
      <c r="P2067" s="18" t="s">
        <v>1107</v>
      </c>
      <c r="Q2067" s="18">
        <v>0</v>
      </c>
      <c r="U2067" s="22">
        <v>0.65</v>
      </c>
      <c r="V2067" s="22">
        <f>3.06/5</f>
        <v>0.61199999999999999</v>
      </c>
      <c r="W2067" s="14" t="s">
        <v>7796</v>
      </c>
      <c r="X2067" s="3">
        <v>3</v>
      </c>
      <c r="Z2067" s="23">
        <v>6</v>
      </c>
      <c r="AB2067" s="18">
        <f t="shared" si="64"/>
        <v>2017</v>
      </c>
      <c r="AC2067" s="22">
        <f t="shared" si="65"/>
        <v>0.6206666666666667</v>
      </c>
    </row>
    <row r="2068" spans="1:29">
      <c r="A2068" s="8" t="s">
        <v>7082</v>
      </c>
      <c r="B2068" s="17" t="s">
        <v>7800</v>
      </c>
      <c r="C2068" s="13">
        <v>43055</v>
      </c>
      <c r="D2068" s="13" t="s">
        <v>8465</v>
      </c>
      <c r="E2068" s="10" t="s">
        <v>3544</v>
      </c>
      <c r="F2068" s="10" t="s">
        <v>4254</v>
      </c>
      <c r="H2068" s="2" t="s">
        <v>27</v>
      </c>
      <c r="L2068" s="18">
        <v>1</v>
      </c>
      <c r="O2068" s="29">
        <v>0</v>
      </c>
      <c r="P2068" s="18" t="s">
        <v>1107</v>
      </c>
      <c r="Q2068" s="18">
        <v>0</v>
      </c>
      <c r="U2068" s="22">
        <v>0.6</v>
      </c>
      <c r="V2068" s="22">
        <f>3.6/5</f>
        <v>0.72</v>
      </c>
      <c r="W2068" s="14" t="s">
        <v>7799</v>
      </c>
      <c r="X2068" s="3">
        <v>3</v>
      </c>
      <c r="Z2068" s="23">
        <v>3.5</v>
      </c>
      <c r="AB2068" s="18">
        <f t="shared" si="64"/>
        <v>2017</v>
      </c>
      <c r="AC2068" s="22">
        <f t="shared" si="65"/>
        <v>0.64</v>
      </c>
    </row>
    <row r="2069" spans="1:29">
      <c r="A2069" s="8" t="s">
        <v>5451</v>
      </c>
      <c r="B2069" s="17" t="s">
        <v>7800</v>
      </c>
      <c r="C2069" s="13">
        <v>43055</v>
      </c>
      <c r="D2069" s="13" t="s">
        <v>8465</v>
      </c>
      <c r="E2069" s="10" t="s">
        <v>1698</v>
      </c>
      <c r="F2069" s="10" t="s">
        <v>5452</v>
      </c>
      <c r="H2069" s="2" t="s">
        <v>2138</v>
      </c>
      <c r="L2069" s="18">
        <v>1</v>
      </c>
      <c r="N2069" s="13">
        <v>43363</v>
      </c>
      <c r="P2069" s="18" t="s">
        <v>1107</v>
      </c>
      <c r="Q2069" s="18">
        <v>0</v>
      </c>
      <c r="U2069" s="22">
        <v>0.7</v>
      </c>
      <c r="V2069" s="22">
        <f>3.13/5</f>
        <v>0.626</v>
      </c>
      <c r="W2069" s="14" t="s">
        <v>7777</v>
      </c>
      <c r="X2069" s="3">
        <v>2</v>
      </c>
      <c r="Z2069" s="23">
        <v>6.5</v>
      </c>
      <c r="AB2069" s="18">
        <f t="shared" si="64"/>
        <v>2017</v>
      </c>
      <c r="AC2069" s="22">
        <f t="shared" si="65"/>
        <v>0.57533333333333336</v>
      </c>
    </row>
    <row r="2070" spans="1:29">
      <c r="A2070" s="8" t="s">
        <v>12184</v>
      </c>
      <c r="B2070" s="17" t="s">
        <v>7800</v>
      </c>
      <c r="C2070" s="13">
        <v>43054</v>
      </c>
      <c r="D2070" s="13" t="s">
        <v>8465</v>
      </c>
      <c r="E2070" s="10" t="s">
        <v>9397</v>
      </c>
      <c r="F2070" s="10" t="s">
        <v>1956</v>
      </c>
      <c r="G2070" s="11" t="s">
        <v>12184</v>
      </c>
      <c r="H2070" s="2" t="s">
        <v>80</v>
      </c>
      <c r="L2070" s="18">
        <v>1</v>
      </c>
      <c r="N2070" s="13">
        <v>44758</v>
      </c>
      <c r="O2070" s="29">
        <v>0</v>
      </c>
      <c r="P2070" s="18" t="s">
        <v>1107</v>
      </c>
      <c r="Q2070" s="18">
        <v>0</v>
      </c>
      <c r="V2070" s="22">
        <f>2.6/5</f>
        <v>0.52</v>
      </c>
      <c r="W2070" s="14" t="s">
        <v>7777</v>
      </c>
      <c r="X2070" s="3">
        <v>2</v>
      </c>
      <c r="Z2070" s="23">
        <v>2.5</v>
      </c>
      <c r="AB2070" s="18">
        <f t="shared" si="64"/>
        <v>2017</v>
      </c>
      <c r="AC2070" s="22">
        <f t="shared" si="65"/>
        <v>0.46</v>
      </c>
    </row>
    <row r="2071" spans="1:29">
      <c r="A2071" s="8" t="s">
        <v>1617</v>
      </c>
      <c r="B2071" s="17" t="s">
        <v>7744</v>
      </c>
      <c r="C2071" s="13">
        <v>43053</v>
      </c>
      <c r="D2071" s="13" t="s">
        <v>8465</v>
      </c>
      <c r="E2071" s="10" t="s">
        <v>1618</v>
      </c>
      <c r="F2071" s="10" t="s">
        <v>1619</v>
      </c>
      <c r="H2071" s="2" t="s">
        <v>80</v>
      </c>
      <c r="L2071" s="18">
        <v>1</v>
      </c>
      <c r="M2071" s="14" t="s">
        <v>8462</v>
      </c>
      <c r="N2071" s="13">
        <v>43521</v>
      </c>
      <c r="O2071" s="29">
        <v>19.989999999999998</v>
      </c>
      <c r="P2071" s="18" t="s">
        <v>14</v>
      </c>
      <c r="Q2071" s="18">
        <v>0</v>
      </c>
      <c r="U2071" s="22">
        <v>0.79</v>
      </c>
      <c r="V2071" s="22">
        <f>3.76/5</f>
        <v>0.752</v>
      </c>
      <c r="X2071" s="3">
        <v>4</v>
      </c>
      <c r="Z2071" s="23">
        <v>21</v>
      </c>
      <c r="AB2071" s="18">
        <f t="shared" si="64"/>
        <v>2017</v>
      </c>
      <c r="AC2071" s="22">
        <f t="shared" si="65"/>
        <v>0.78066666666666673</v>
      </c>
    </row>
    <row r="2072" spans="1:29" ht="45">
      <c r="A2072" s="8" t="s">
        <v>11652</v>
      </c>
      <c r="B2072" s="17" t="s">
        <v>7800</v>
      </c>
      <c r="C2072" s="13">
        <v>43053</v>
      </c>
      <c r="D2072" s="13" t="s">
        <v>8465</v>
      </c>
      <c r="E2072" s="10" t="s">
        <v>1156</v>
      </c>
      <c r="F2072" s="10" t="s">
        <v>1309</v>
      </c>
      <c r="G2072" s="11" t="s">
        <v>4307</v>
      </c>
      <c r="H2072" s="2" t="s">
        <v>80</v>
      </c>
      <c r="L2072" s="18">
        <v>1</v>
      </c>
      <c r="N2072" s="13">
        <v>44665</v>
      </c>
      <c r="O2072" s="29">
        <v>4.99</v>
      </c>
      <c r="P2072" s="18" t="s">
        <v>1107</v>
      </c>
      <c r="Q2072" s="18">
        <v>0</v>
      </c>
      <c r="V2072" s="22">
        <f>3.91/5</f>
        <v>0.78200000000000003</v>
      </c>
      <c r="W2072" s="14" t="s">
        <v>7777</v>
      </c>
      <c r="X2072" s="3">
        <v>3</v>
      </c>
      <c r="Z2072" s="23">
        <v>12</v>
      </c>
      <c r="AB2072" s="18">
        <f t="shared" si="64"/>
        <v>2017</v>
      </c>
      <c r="AC2072" s="22">
        <f t="shared" si="65"/>
        <v>0.69100000000000006</v>
      </c>
    </row>
    <row r="2073" spans="1:29">
      <c r="A2073" s="8" t="s">
        <v>9210</v>
      </c>
      <c r="B2073" s="17" t="s">
        <v>7760</v>
      </c>
      <c r="C2073" s="13">
        <v>43053</v>
      </c>
      <c r="D2073" s="13" t="s">
        <v>8465</v>
      </c>
      <c r="E2073" s="10" t="s">
        <v>1062</v>
      </c>
      <c r="F2073" s="10" t="s">
        <v>8972</v>
      </c>
      <c r="G2073" s="11" t="s">
        <v>9190</v>
      </c>
      <c r="H2073" s="2" t="s">
        <v>1377</v>
      </c>
      <c r="L2073" s="18">
        <v>1</v>
      </c>
      <c r="N2073" s="13">
        <v>44069</v>
      </c>
      <c r="O2073" s="29">
        <v>9.99</v>
      </c>
      <c r="P2073" s="18" t="s">
        <v>1107</v>
      </c>
      <c r="Q2073" s="18">
        <v>0</v>
      </c>
      <c r="U2073" s="22">
        <v>0.73</v>
      </c>
      <c r="V2073" s="22">
        <f>3.75/5</f>
        <v>0.75</v>
      </c>
      <c r="X2073" s="3">
        <v>3</v>
      </c>
      <c r="Z2073" s="23">
        <v>37.5</v>
      </c>
      <c r="AB2073" s="18">
        <f t="shared" si="64"/>
        <v>2017</v>
      </c>
      <c r="AC2073" s="22">
        <f t="shared" si="65"/>
        <v>0.69333333333333336</v>
      </c>
    </row>
    <row r="2074" spans="1:29" ht="25.5">
      <c r="A2074" s="8" t="s">
        <v>10837</v>
      </c>
      <c r="B2074" s="17" t="s">
        <v>7800</v>
      </c>
      <c r="C2074" s="13">
        <v>43053</v>
      </c>
      <c r="D2074" s="13" t="s">
        <v>8465</v>
      </c>
      <c r="E2074" s="10" t="s">
        <v>9552</v>
      </c>
      <c r="F2074" s="10" t="s">
        <v>10841</v>
      </c>
      <c r="G2074" s="11" t="s">
        <v>10842</v>
      </c>
      <c r="H2074" s="2" t="s">
        <v>80</v>
      </c>
      <c r="L2074" s="18">
        <v>1</v>
      </c>
      <c r="O2074" s="29">
        <v>0</v>
      </c>
      <c r="P2074" s="18" t="s">
        <v>1107</v>
      </c>
      <c r="Q2074" s="18">
        <v>0</v>
      </c>
      <c r="U2074" s="22">
        <v>0.68</v>
      </c>
      <c r="V2074" s="22">
        <f>3.09/5</f>
        <v>0.61799999999999999</v>
      </c>
      <c r="W2074" s="14" t="s">
        <v>7799</v>
      </c>
      <c r="X2074" s="3">
        <v>3</v>
      </c>
      <c r="Z2074" s="23">
        <v>17</v>
      </c>
      <c r="AB2074" s="18">
        <f t="shared" si="64"/>
        <v>2017</v>
      </c>
      <c r="AC2074" s="22">
        <f t="shared" si="65"/>
        <v>0.63266666666666671</v>
      </c>
    </row>
    <row r="2075" spans="1:29">
      <c r="A2075" s="8" t="s">
        <v>9421</v>
      </c>
      <c r="B2075" s="17" t="s">
        <v>7800</v>
      </c>
      <c r="C2075" s="13">
        <v>43053</v>
      </c>
      <c r="D2075" s="13" t="s">
        <v>8465</v>
      </c>
      <c r="E2075" s="10" t="s">
        <v>4798</v>
      </c>
      <c r="F2075" s="10" t="s">
        <v>4798</v>
      </c>
      <c r="G2075" s="11" t="s">
        <v>5662</v>
      </c>
      <c r="H2075" s="2" t="s">
        <v>1050</v>
      </c>
      <c r="I2075" s="18">
        <v>1</v>
      </c>
      <c r="L2075" s="18">
        <v>1</v>
      </c>
      <c r="N2075" s="13">
        <v>44145</v>
      </c>
      <c r="O2075" s="29">
        <v>17</v>
      </c>
      <c r="P2075" s="18" t="s">
        <v>1107</v>
      </c>
      <c r="Q2075" s="18">
        <v>0</v>
      </c>
      <c r="U2075" s="22">
        <v>0.68</v>
      </c>
      <c r="V2075" s="22">
        <f>3.75/5</f>
        <v>0.75</v>
      </c>
      <c r="W2075" s="14" t="s">
        <v>7777</v>
      </c>
      <c r="X2075" s="3">
        <v>3</v>
      </c>
      <c r="Z2075" s="23">
        <v>3.5</v>
      </c>
      <c r="AB2075" s="18">
        <f t="shared" si="64"/>
        <v>2017</v>
      </c>
      <c r="AC2075" s="22">
        <f t="shared" si="65"/>
        <v>0.67666666666666675</v>
      </c>
    </row>
    <row r="2076" spans="1:29" ht="25.5">
      <c r="A2076" s="8" t="s">
        <v>12407</v>
      </c>
      <c r="B2076" s="17" t="s">
        <v>7744</v>
      </c>
      <c r="C2076" s="13">
        <v>43049</v>
      </c>
      <c r="D2076" s="13" t="s">
        <v>8465</v>
      </c>
      <c r="E2076" s="10" t="s">
        <v>86</v>
      </c>
      <c r="F2076" s="10" t="s">
        <v>3642</v>
      </c>
      <c r="G2076" s="11" t="s">
        <v>12408</v>
      </c>
      <c r="H2076" s="2" t="s">
        <v>78</v>
      </c>
      <c r="L2076" s="18">
        <v>1</v>
      </c>
      <c r="M2076" s="14" t="s">
        <v>8462</v>
      </c>
      <c r="N2076" s="13">
        <v>44804</v>
      </c>
      <c r="O2076" s="29">
        <v>38.01</v>
      </c>
      <c r="P2076" s="18" t="s">
        <v>14</v>
      </c>
      <c r="Q2076" s="18">
        <v>0</v>
      </c>
      <c r="U2076" s="22">
        <v>0.84</v>
      </c>
      <c r="V2076" s="22">
        <f>3.9/5</f>
        <v>0.78</v>
      </c>
      <c r="X2076" s="3">
        <v>3</v>
      </c>
      <c r="Z2076" s="23">
        <v>7</v>
      </c>
      <c r="AB2076" s="18">
        <f t="shared" si="64"/>
        <v>2017</v>
      </c>
      <c r="AC2076" s="22">
        <f t="shared" si="65"/>
        <v>0.7400000000000001</v>
      </c>
    </row>
    <row r="2077" spans="1:29" ht="25.5">
      <c r="A2077" s="8" t="s">
        <v>9370</v>
      </c>
      <c r="B2077" s="17" t="s">
        <v>7760</v>
      </c>
      <c r="C2077" s="13">
        <v>43049</v>
      </c>
      <c r="D2077" s="13" t="s">
        <v>8465</v>
      </c>
      <c r="E2077" s="10" t="s">
        <v>231</v>
      </c>
      <c r="F2077" s="10" t="s">
        <v>9369</v>
      </c>
      <c r="G2077" s="11" t="s">
        <v>4518</v>
      </c>
      <c r="H2077" s="2" t="s">
        <v>150</v>
      </c>
      <c r="L2077" s="18">
        <v>1</v>
      </c>
      <c r="N2077" s="13">
        <v>44117</v>
      </c>
      <c r="O2077" s="29">
        <v>0</v>
      </c>
      <c r="P2077" s="18" t="s">
        <v>1107</v>
      </c>
      <c r="Q2077" s="18">
        <v>0</v>
      </c>
      <c r="U2077" s="22">
        <v>0.61</v>
      </c>
      <c r="V2077" s="22">
        <f>3.34/5</f>
        <v>0.66799999999999993</v>
      </c>
      <c r="W2077" s="14" t="s">
        <v>6072</v>
      </c>
      <c r="X2077" s="3">
        <v>3</v>
      </c>
      <c r="Z2077" s="23">
        <v>19</v>
      </c>
      <c r="AB2077" s="18">
        <f t="shared" si="64"/>
        <v>2017</v>
      </c>
      <c r="AC2077" s="22">
        <f t="shared" si="65"/>
        <v>0.626</v>
      </c>
    </row>
    <row r="2078" spans="1:29" ht="25.5">
      <c r="A2078" s="8" t="s">
        <v>11220</v>
      </c>
      <c r="B2078" s="17" t="s">
        <v>7749</v>
      </c>
      <c r="C2078" s="13">
        <v>43049</v>
      </c>
      <c r="D2078" s="13" t="s">
        <v>8465</v>
      </c>
      <c r="E2078" s="10" t="s">
        <v>86</v>
      </c>
      <c r="F2078" s="10" t="s">
        <v>11219</v>
      </c>
      <c r="G2078" s="11" t="s">
        <v>860</v>
      </c>
      <c r="H2078" s="2" t="s">
        <v>1469</v>
      </c>
      <c r="L2078" s="18">
        <v>1</v>
      </c>
      <c r="M2078" s="14" t="s">
        <v>8462</v>
      </c>
      <c r="N2078" s="13">
        <v>44964</v>
      </c>
      <c r="O2078" s="29">
        <v>24.53</v>
      </c>
      <c r="P2078" s="18" t="s">
        <v>14</v>
      </c>
      <c r="Q2078" s="18">
        <v>0</v>
      </c>
      <c r="U2078" s="22">
        <v>0.59</v>
      </c>
      <c r="V2078" s="22">
        <f>3.45/5</f>
        <v>0.69000000000000006</v>
      </c>
      <c r="X2078" s="3">
        <v>2</v>
      </c>
      <c r="Z2078" s="23">
        <v>4</v>
      </c>
      <c r="AB2078" s="18">
        <f t="shared" si="64"/>
        <v>2017</v>
      </c>
      <c r="AC2078" s="22">
        <f t="shared" si="65"/>
        <v>0.56000000000000005</v>
      </c>
    </row>
    <row r="2079" spans="1:29" ht="25.5">
      <c r="A2079" s="8" t="s">
        <v>15526</v>
      </c>
      <c r="B2079" s="17" t="s">
        <v>7800</v>
      </c>
      <c r="C2079" s="13">
        <v>43049</v>
      </c>
      <c r="D2079" s="13" t="s">
        <v>8465</v>
      </c>
      <c r="E2079" s="10" t="s">
        <v>1583</v>
      </c>
      <c r="F2079" s="10" t="s">
        <v>241</v>
      </c>
      <c r="H2079" s="2" t="s">
        <v>1040</v>
      </c>
      <c r="L2079" s="18">
        <v>1</v>
      </c>
      <c r="N2079" s="13">
        <v>45153</v>
      </c>
      <c r="O2079" s="29">
        <v>3.74</v>
      </c>
      <c r="P2079" s="18" t="s">
        <v>1107</v>
      </c>
      <c r="Q2079" s="18">
        <v>0</v>
      </c>
      <c r="V2079" s="22">
        <f>3.5/5</f>
        <v>0.7</v>
      </c>
      <c r="W2079" s="14" t="s">
        <v>7777</v>
      </c>
      <c r="X2079" s="3">
        <v>3</v>
      </c>
      <c r="Z2079" s="23">
        <v>12</v>
      </c>
      <c r="AB2079" s="18">
        <f t="shared" si="64"/>
        <v>2017</v>
      </c>
      <c r="AC2079" s="22">
        <f t="shared" si="65"/>
        <v>0.64999999999999991</v>
      </c>
    </row>
    <row r="2080" spans="1:29">
      <c r="A2080" s="8" t="s">
        <v>4545</v>
      </c>
      <c r="B2080" s="17" t="s">
        <v>7800</v>
      </c>
      <c r="C2080" s="13">
        <v>43046</v>
      </c>
      <c r="D2080" s="13" t="s">
        <v>8465</v>
      </c>
      <c r="E2080" s="10" t="s">
        <v>1565</v>
      </c>
      <c r="F2080" s="10" t="s">
        <v>1136</v>
      </c>
      <c r="G2080" s="11" t="s">
        <v>4545</v>
      </c>
      <c r="H2080" s="2" t="s">
        <v>171</v>
      </c>
      <c r="L2080" s="18">
        <v>1</v>
      </c>
      <c r="N2080" s="13">
        <v>43267</v>
      </c>
      <c r="O2080" s="29">
        <v>27.34</v>
      </c>
      <c r="P2080" s="18" t="s">
        <v>1107</v>
      </c>
      <c r="Q2080" s="18">
        <v>0</v>
      </c>
      <c r="U2080" s="22">
        <v>0.85</v>
      </c>
      <c r="V2080" s="22">
        <f>3.73/5</f>
        <v>0.746</v>
      </c>
      <c r="W2080" s="14" t="s">
        <v>7777</v>
      </c>
      <c r="X2080" s="3">
        <v>4</v>
      </c>
      <c r="Z2080" s="23">
        <v>35</v>
      </c>
      <c r="AB2080" s="18">
        <f t="shared" si="64"/>
        <v>2017</v>
      </c>
      <c r="AC2080" s="22">
        <f t="shared" si="65"/>
        <v>0.79866666666666664</v>
      </c>
    </row>
    <row r="2081" spans="1:29">
      <c r="A2081" s="8" t="s">
        <v>8309</v>
      </c>
      <c r="B2081" s="17" t="s">
        <v>7800</v>
      </c>
      <c r="C2081" s="13">
        <v>43046</v>
      </c>
      <c r="D2081" s="13" t="s">
        <v>8465</v>
      </c>
      <c r="E2081" s="10" t="s">
        <v>4085</v>
      </c>
      <c r="F2081" s="10" t="s">
        <v>4085</v>
      </c>
      <c r="G2081" s="11" t="s">
        <v>4084</v>
      </c>
      <c r="H2081" s="2" t="s">
        <v>3411</v>
      </c>
      <c r="L2081" s="18">
        <v>1</v>
      </c>
      <c r="N2081" s="13">
        <v>43846</v>
      </c>
      <c r="O2081" s="29">
        <v>0</v>
      </c>
      <c r="P2081" s="18" t="s">
        <v>1107</v>
      </c>
      <c r="Q2081" s="18">
        <v>0</v>
      </c>
      <c r="U2081" s="22">
        <v>0.8</v>
      </c>
      <c r="V2081" s="22">
        <f>3.82/5</f>
        <v>0.76400000000000001</v>
      </c>
      <c r="W2081" s="14" t="s">
        <v>7777</v>
      </c>
      <c r="X2081" s="3">
        <v>3</v>
      </c>
      <c r="Z2081" s="23">
        <v>19</v>
      </c>
      <c r="AB2081" s="18">
        <f t="shared" si="64"/>
        <v>2017</v>
      </c>
      <c r="AC2081" s="22">
        <f t="shared" si="65"/>
        <v>0.72133333333333338</v>
      </c>
    </row>
    <row r="2082" spans="1:29" ht="38.25">
      <c r="A2082" s="8" t="s">
        <v>12395</v>
      </c>
      <c r="B2082" s="17" t="s">
        <v>7760</v>
      </c>
      <c r="C2082" s="13">
        <v>43046</v>
      </c>
      <c r="D2082" s="13" t="s">
        <v>8465</v>
      </c>
      <c r="E2082" s="10" t="s">
        <v>3246</v>
      </c>
      <c r="F2082" s="10" t="s">
        <v>3246</v>
      </c>
      <c r="G2082" s="11" t="s">
        <v>1308</v>
      </c>
      <c r="H2082" s="2" t="s">
        <v>67</v>
      </c>
      <c r="L2082" s="18">
        <v>1</v>
      </c>
      <c r="M2082" s="14" t="s">
        <v>8462</v>
      </c>
      <c r="N2082" s="13">
        <v>44803</v>
      </c>
      <c r="O2082" s="29">
        <v>20.64</v>
      </c>
      <c r="P2082" s="18" t="s">
        <v>14</v>
      </c>
      <c r="Q2082" s="18">
        <v>0</v>
      </c>
      <c r="V2082" s="22">
        <f>3.78/5</f>
        <v>0.75600000000000001</v>
      </c>
      <c r="X2082" s="3">
        <v>3</v>
      </c>
      <c r="Z2082" s="23">
        <v>9.5</v>
      </c>
      <c r="AB2082" s="18">
        <f t="shared" si="64"/>
        <v>2017</v>
      </c>
      <c r="AC2082" s="22">
        <f t="shared" si="65"/>
        <v>0.67799999999999994</v>
      </c>
    </row>
    <row r="2083" spans="1:29">
      <c r="A2083" s="8" t="s">
        <v>6527</v>
      </c>
      <c r="B2083" s="17" t="s">
        <v>7766</v>
      </c>
      <c r="C2083" s="13">
        <v>43046</v>
      </c>
      <c r="D2083" s="13" t="s">
        <v>8465</v>
      </c>
      <c r="E2083" s="10" t="s">
        <v>3116</v>
      </c>
      <c r="F2083" s="10" t="s">
        <v>6528</v>
      </c>
      <c r="G2083" s="11" t="s">
        <v>15584</v>
      </c>
      <c r="H2083" s="2" t="s">
        <v>1040</v>
      </c>
      <c r="L2083" s="18">
        <v>1</v>
      </c>
      <c r="M2083" s="14" t="s">
        <v>8462</v>
      </c>
      <c r="N2083" s="13">
        <v>43497</v>
      </c>
      <c r="O2083" s="29">
        <v>18.79</v>
      </c>
      <c r="P2083" s="18" t="s">
        <v>14</v>
      </c>
      <c r="Q2083" s="18">
        <v>0</v>
      </c>
      <c r="U2083" s="22">
        <v>0.64</v>
      </c>
      <c r="V2083" s="22">
        <f>3.56/5</f>
        <v>0.71199999999999997</v>
      </c>
      <c r="X2083" s="3">
        <v>3</v>
      </c>
      <c r="Z2083" s="23">
        <v>6</v>
      </c>
      <c r="AB2083" s="18">
        <f t="shared" si="64"/>
        <v>2017</v>
      </c>
      <c r="AC2083" s="22">
        <f t="shared" si="65"/>
        <v>0.65066666666666662</v>
      </c>
    </row>
    <row r="2084" spans="1:29">
      <c r="A2084" s="8" t="s">
        <v>14127</v>
      </c>
      <c r="B2084" s="17" t="s">
        <v>7800</v>
      </c>
      <c r="C2084" s="13">
        <v>43046</v>
      </c>
      <c r="D2084" s="13" t="s">
        <v>8465</v>
      </c>
      <c r="E2084" s="10" t="s">
        <v>4355</v>
      </c>
      <c r="F2084" s="10" t="s">
        <v>4355</v>
      </c>
      <c r="G2084" s="11" t="s">
        <v>4354</v>
      </c>
      <c r="H2084" s="2" t="s">
        <v>64</v>
      </c>
      <c r="L2084" s="18">
        <v>1</v>
      </c>
      <c r="O2084" s="29">
        <v>0</v>
      </c>
      <c r="P2084" s="18" t="s">
        <v>1107</v>
      </c>
      <c r="Q2084" s="18">
        <v>0</v>
      </c>
      <c r="V2084" s="22">
        <f>3.33/5</f>
        <v>0.66600000000000004</v>
      </c>
      <c r="W2084" s="14" t="s">
        <v>8765</v>
      </c>
      <c r="X2084" s="3">
        <v>3</v>
      </c>
      <c r="Z2084" s="23">
        <f>53/60</f>
        <v>0.8833333333333333</v>
      </c>
      <c r="AB2084" s="18">
        <f t="shared" si="64"/>
        <v>2017</v>
      </c>
      <c r="AC2084" s="22">
        <f t="shared" si="65"/>
        <v>0.63300000000000001</v>
      </c>
    </row>
    <row r="2085" spans="1:29">
      <c r="A2085" s="8" t="s">
        <v>5069</v>
      </c>
      <c r="B2085" s="17" t="s">
        <v>7800</v>
      </c>
      <c r="C2085" s="13">
        <v>43046</v>
      </c>
      <c r="D2085" s="13" t="s">
        <v>8465</v>
      </c>
      <c r="E2085" s="10" t="s">
        <v>455</v>
      </c>
      <c r="F2085" s="10" t="s">
        <v>1492</v>
      </c>
      <c r="G2085" s="11" t="s">
        <v>1688</v>
      </c>
      <c r="H2085" s="2" t="s">
        <v>1040</v>
      </c>
      <c r="L2085" s="18">
        <v>1</v>
      </c>
      <c r="N2085" s="13">
        <v>43452</v>
      </c>
      <c r="P2085" s="18" t="s">
        <v>1107</v>
      </c>
      <c r="Q2085" s="18">
        <v>0</v>
      </c>
      <c r="U2085" s="22">
        <v>0.51</v>
      </c>
      <c r="V2085" s="22">
        <f>2.95/5</f>
        <v>0.59000000000000008</v>
      </c>
      <c r="W2085" s="14" t="s">
        <v>7777</v>
      </c>
      <c r="X2085" s="3">
        <v>3</v>
      </c>
      <c r="Z2085" s="23">
        <v>4</v>
      </c>
      <c r="AB2085" s="18">
        <f t="shared" si="64"/>
        <v>2017</v>
      </c>
      <c r="AC2085" s="22">
        <f t="shared" si="65"/>
        <v>0.56666666666666676</v>
      </c>
    </row>
    <row r="2086" spans="1:29" ht="38.25">
      <c r="A2086" s="8" t="s">
        <v>10145</v>
      </c>
      <c r="B2086" s="17" t="s">
        <v>7766</v>
      </c>
      <c r="C2086" s="13">
        <v>43046</v>
      </c>
      <c r="D2086" s="13" t="s">
        <v>8465</v>
      </c>
      <c r="E2086" s="10" t="s">
        <v>1047</v>
      </c>
      <c r="F2086" s="10" t="s">
        <v>1047</v>
      </c>
      <c r="H2086" s="2" t="s">
        <v>6510</v>
      </c>
      <c r="L2086" s="18">
        <v>1</v>
      </c>
      <c r="M2086" s="14" t="s">
        <v>8462</v>
      </c>
      <c r="N2086" s="13">
        <v>44317</v>
      </c>
      <c r="O2086" s="29">
        <v>27.35</v>
      </c>
      <c r="P2086" s="18" t="s">
        <v>14</v>
      </c>
      <c r="Q2086" s="18">
        <v>0</v>
      </c>
      <c r="V2086" s="22">
        <f>4.5/5</f>
        <v>0.9</v>
      </c>
      <c r="X2086" s="3">
        <v>1</v>
      </c>
      <c r="Z2086" s="23">
        <f>30/60+5</f>
        <v>5.5</v>
      </c>
      <c r="AB2086" s="18">
        <f t="shared" si="64"/>
        <v>2017</v>
      </c>
      <c r="AC2086" s="22">
        <f t="shared" si="65"/>
        <v>0.55000000000000004</v>
      </c>
    </row>
    <row r="2087" spans="1:29">
      <c r="A2087" s="8" t="s">
        <v>7891</v>
      </c>
      <c r="B2087" s="17" t="s">
        <v>7800</v>
      </c>
      <c r="C2087" s="13">
        <v>43041</v>
      </c>
      <c r="D2087" s="13" t="s">
        <v>8465</v>
      </c>
      <c r="E2087" s="10" t="s">
        <v>1273</v>
      </c>
      <c r="F2087" s="10" t="s">
        <v>7892</v>
      </c>
      <c r="G2087" s="11" t="s">
        <v>3401</v>
      </c>
      <c r="H2087" s="2" t="s">
        <v>1050</v>
      </c>
      <c r="L2087" s="18">
        <v>1</v>
      </c>
      <c r="N2087" s="13">
        <v>43742</v>
      </c>
      <c r="O2087" s="29">
        <v>11</v>
      </c>
      <c r="P2087" s="18" t="s">
        <v>1107</v>
      </c>
      <c r="Q2087" s="18">
        <v>0</v>
      </c>
      <c r="U2087" s="22">
        <v>0.71299999999999997</v>
      </c>
      <c r="V2087" s="22">
        <f>3.03/5</f>
        <v>0.60599999999999998</v>
      </c>
      <c r="W2087" s="14" t="s">
        <v>7777</v>
      </c>
      <c r="X2087" s="3">
        <v>4</v>
      </c>
      <c r="Z2087" s="23">
        <v>6.5</v>
      </c>
      <c r="AB2087" s="18">
        <f t="shared" si="64"/>
        <v>2017</v>
      </c>
      <c r="AC2087" s="22">
        <f t="shared" si="65"/>
        <v>0.70633333333333326</v>
      </c>
    </row>
    <row r="2088" spans="1:29" ht="25.5">
      <c r="A2088" s="8" t="s">
        <v>11679</v>
      </c>
      <c r="B2088" s="17" t="s">
        <v>7783</v>
      </c>
      <c r="C2088" s="13">
        <v>43039</v>
      </c>
      <c r="D2088" s="13" t="s">
        <v>8465</v>
      </c>
      <c r="E2088" s="10" t="s">
        <v>1082</v>
      </c>
      <c r="F2088" s="10" t="s">
        <v>1083</v>
      </c>
      <c r="G2088" s="11" t="s">
        <v>126</v>
      </c>
      <c r="H2088" s="2" t="s">
        <v>149</v>
      </c>
      <c r="L2088" s="18">
        <v>1</v>
      </c>
      <c r="N2088" s="13">
        <v>44678</v>
      </c>
      <c r="O2088" s="29">
        <v>6.99</v>
      </c>
      <c r="P2088" s="18" t="s">
        <v>1107</v>
      </c>
      <c r="Q2088" s="18">
        <v>0</v>
      </c>
      <c r="V2088" s="22">
        <f>3.89/5</f>
        <v>0.77800000000000002</v>
      </c>
      <c r="X2088" s="3">
        <v>3</v>
      </c>
      <c r="Z2088" s="23">
        <v>79</v>
      </c>
      <c r="AB2088" s="18">
        <f t="shared" si="64"/>
        <v>2017</v>
      </c>
      <c r="AC2088" s="22">
        <f t="shared" si="65"/>
        <v>0.68900000000000006</v>
      </c>
    </row>
    <row r="2089" spans="1:29" ht="25.5">
      <c r="A2089" s="8" t="s">
        <v>9489</v>
      </c>
      <c r="B2089" s="17" t="s">
        <v>7800</v>
      </c>
      <c r="C2089" s="13">
        <v>43039</v>
      </c>
      <c r="D2089" s="13" t="s">
        <v>8465</v>
      </c>
      <c r="E2089" s="10" t="s">
        <v>1534</v>
      </c>
      <c r="F2089" s="10" t="s">
        <v>1245</v>
      </c>
      <c r="G2089" s="11" t="s">
        <v>9490</v>
      </c>
      <c r="H2089" s="2" t="s">
        <v>171</v>
      </c>
      <c r="L2089" s="18">
        <v>1</v>
      </c>
      <c r="N2089" s="13">
        <v>44169</v>
      </c>
      <c r="O2089" s="29">
        <v>0</v>
      </c>
      <c r="P2089" s="18" t="s">
        <v>1107</v>
      </c>
      <c r="Q2089" s="18">
        <v>0</v>
      </c>
      <c r="U2089" s="22">
        <v>0.79</v>
      </c>
      <c r="V2089" s="22">
        <f>3.83/5</f>
        <v>0.76600000000000001</v>
      </c>
      <c r="W2089" s="14" t="s">
        <v>7777</v>
      </c>
      <c r="X2089" s="3">
        <v>3</v>
      </c>
      <c r="Z2089" s="23">
        <v>22</v>
      </c>
      <c r="AB2089" s="18">
        <f t="shared" si="64"/>
        <v>2017</v>
      </c>
      <c r="AC2089" s="22">
        <f t="shared" si="65"/>
        <v>0.71866666666666668</v>
      </c>
    </row>
    <row r="2090" spans="1:29" ht="25.5">
      <c r="A2090" s="8" t="s">
        <v>8453</v>
      </c>
      <c r="B2090" s="17" t="s">
        <v>7763</v>
      </c>
      <c r="C2090" s="13">
        <v>43039</v>
      </c>
      <c r="D2090" s="13" t="s">
        <v>8465</v>
      </c>
      <c r="E2090" s="10" t="s">
        <v>1080</v>
      </c>
      <c r="F2090" s="10" t="s">
        <v>6092</v>
      </c>
      <c r="G2090" s="11" t="s">
        <v>1898</v>
      </c>
      <c r="H2090" s="2" t="s">
        <v>75</v>
      </c>
      <c r="L2090" s="18">
        <v>1</v>
      </c>
      <c r="M2090" s="14" t="s">
        <v>10622</v>
      </c>
      <c r="N2090" s="13">
        <v>43889</v>
      </c>
      <c r="O2090" s="29">
        <v>10.84</v>
      </c>
      <c r="P2090" s="18" t="s">
        <v>14</v>
      </c>
      <c r="Q2090" s="18">
        <v>0</v>
      </c>
      <c r="U2090" s="22">
        <v>0.71</v>
      </c>
      <c r="V2090" s="22">
        <f>4.03/5</f>
        <v>0.80600000000000005</v>
      </c>
      <c r="X2090" s="3">
        <v>3</v>
      </c>
      <c r="Z2090" s="23">
        <v>57.5</v>
      </c>
      <c r="AB2090" s="18">
        <f t="shared" si="64"/>
        <v>2017</v>
      </c>
      <c r="AC2090" s="22">
        <f t="shared" si="65"/>
        <v>0.70533333333333337</v>
      </c>
    </row>
    <row r="2091" spans="1:29">
      <c r="A2091" s="8" t="s">
        <v>9465</v>
      </c>
      <c r="B2091" s="17" t="s">
        <v>7800</v>
      </c>
      <c r="C2091" s="13">
        <v>43039</v>
      </c>
      <c r="D2091" s="13" t="s">
        <v>8465</v>
      </c>
      <c r="E2091" s="10" t="s">
        <v>3493</v>
      </c>
      <c r="F2091" s="10" t="s">
        <v>7904</v>
      </c>
      <c r="G2091" s="11" t="s">
        <v>9466</v>
      </c>
      <c r="H2091" s="2" t="s">
        <v>150</v>
      </c>
      <c r="L2091" s="18">
        <v>1</v>
      </c>
      <c r="N2091" s="13">
        <v>44161</v>
      </c>
      <c r="O2091" s="29">
        <v>0</v>
      </c>
      <c r="P2091" s="18" t="s">
        <v>1107</v>
      </c>
      <c r="Q2091" s="18">
        <v>0</v>
      </c>
      <c r="U2091" s="22">
        <v>0.77</v>
      </c>
      <c r="V2091" s="22">
        <f>3.3/5</f>
        <v>0.65999999999999992</v>
      </c>
      <c r="W2091" s="14" t="s">
        <v>7097</v>
      </c>
      <c r="X2091" s="3">
        <v>3</v>
      </c>
      <c r="Z2091" s="23">
        <v>19</v>
      </c>
      <c r="AB2091" s="18">
        <f t="shared" si="64"/>
        <v>2017</v>
      </c>
      <c r="AC2091" s="22">
        <f t="shared" si="65"/>
        <v>0.67666666666666664</v>
      </c>
    </row>
    <row r="2092" spans="1:29">
      <c r="A2092" s="8" t="s">
        <v>13321</v>
      </c>
      <c r="B2092" s="17" t="s">
        <v>7800</v>
      </c>
      <c r="C2092" s="13">
        <v>43039</v>
      </c>
      <c r="D2092" s="13" t="s">
        <v>8465</v>
      </c>
      <c r="E2092" s="10" t="s">
        <v>1519</v>
      </c>
      <c r="F2092" s="10" t="s">
        <v>13322</v>
      </c>
      <c r="H2092" s="2" t="s">
        <v>1061</v>
      </c>
      <c r="L2092" s="18">
        <v>1</v>
      </c>
      <c r="P2092" s="18" t="s">
        <v>1107</v>
      </c>
      <c r="Q2092" s="18">
        <v>0</v>
      </c>
      <c r="V2092" s="22">
        <f>4/5</f>
        <v>0.8</v>
      </c>
      <c r="W2092" s="14" t="s">
        <v>7777</v>
      </c>
      <c r="X2092" s="3">
        <v>2</v>
      </c>
      <c r="Z2092" s="23">
        <v>3</v>
      </c>
      <c r="AB2092" s="18">
        <f t="shared" si="64"/>
        <v>2017</v>
      </c>
      <c r="AC2092" s="22">
        <f t="shared" si="65"/>
        <v>0.60000000000000009</v>
      </c>
    </row>
    <row r="2093" spans="1:29">
      <c r="A2093" s="8" t="s">
        <v>8782</v>
      </c>
      <c r="B2093" s="17" t="s">
        <v>7800</v>
      </c>
      <c r="C2093" s="13">
        <v>43039</v>
      </c>
      <c r="D2093" s="13" t="s">
        <v>8465</v>
      </c>
      <c r="E2093" s="10" t="s">
        <v>8783</v>
      </c>
      <c r="F2093" s="10" t="s">
        <v>8783</v>
      </c>
      <c r="H2093" s="2" t="s">
        <v>1050</v>
      </c>
      <c r="L2093" s="18">
        <v>1</v>
      </c>
      <c r="N2093" s="13">
        <v>43987</v>
      </c>
      <c r="O2093" s="29">
        <v>0.62</v>
      </c>
      <c r="P2093" s="18" t="s">
        <v>1107</v>
      </c>
      <c r="Q2093" s="18">
        <v>0</v>
      </c>
      <c r="W2093" s="14" t="s">
        <v>8765</v>
      </c>
      <c r="X2093" s="3">
        <v>3</v>
      </c>
      <c r="Z2093" s="23">
        <v>1</v>
      </c>
      <c r="AB2093" s="18">
        <f t="shared" si="64"/>
        <v>2017</v>
      </c>
      <c r="AC2093" s="22">
        <f t="shared" si="65"/>
        <v>0.6</v>
      </c>
    </row>
    <row r="2094" spans="1:29">
      <c r="A2094" s="8" t="s">
        <v>9774</v>
      </c>
      <c r="B2094" s="17" t="s">
        <v>7800</v>
      </c>
      <c r="C2094" s="13">
        <v>43038</v>
      </c>
      <c r="D2094" s="13" t="s">
        <v>8465</v>
      </c>
      <c r="E2094" s="10" t="s">
        <v>3112</v>
      </c>
      <c r="F2094" s="10" t="s">
        <v>9775</v>
      </c>
      <c r="H2094" s="2" t="s">
        <v>75</v>
      </c>
      <c r="L2094" s="18">
        <v>1</v>
      </c>
      <c r="N2094" s="13">
        <v>44240</v>
      </c>
      <c r="O2094" s="29">
        <v>6.18</v>
      </c>
      <c r="P2094" s="18" t="s">
        <v>1107</v>
      </c>
      <c r="Q2094" s="18">
        <v>0</v>
      </c>
      <c r="V2094" s="22">
        <f>3.06/5</f>
        <v>0.61199999999999999</v>
      </c>
      <c r="W2094" s="14" t="s">
        <v>7777</v>
      </c>
      <c r="X2094" s="3">
        <v>3</v>
      </c>
      <c r="Z2094" s="23">
        <v>16</v>
      </c>
      <c r="AB2094" s="18">
        <f t="shared" si="64"/>
        <v>2017</v>
      </c>
      <c r="AC2094" s="22">
        <f t="shared" si="65"/>
        <v>0.60599999999999998</v>
      </c>
    </row>
    <row r="2095" spans="1:29" ht="25.5">
      <c r="A2095" s="8" t="s">
        <v>1722</v>
      </c>
      <c r="B2095" s="17" t="s">
        <v>7800</v>
      </c>
      <c r="C2095" s="13">
        <v>43035</v>
      </c>
      <c r="D2095" s="13" t="s">
        <v>8465</v>
      </c>
      <c r="E2095" s="10" t="s">
        <v>1690</v>
      </c>
      <c r="F2095" s="10" t="s">
        <v>1723</v>
      </c>
      <c r="G2095" s="11" t="s">
        <v>1724</v>
      </c>
      <c r="H2095" s="2" t="s">
        <v>1050</v>
      </c>
      <c r="L2095" s="18">
        <v>1</v>
      </c>
      <c r="N2095" s="13">
        <v>43440</v>
      </c>
      <c r="O2095" s="29">
        <v>19.79</v>
      </c>
      <c r="P2095" s="18" t="s">
        <v>1107</v>
      </c>
      <c r="Q2095" s="18">
        <v>0</v>
      </c>
      <c r="U2095" s="22">
        <v>0.84</v>
      </c>
      <c r="V2095" s="22">
        <f>3.69/5</f>
        <v>0.73799999999999999</v>
      </c>
      <c r="W2095" s="14" t="s">
        <v>7777</v>
      </c>
      <c r="X2095" s="3">
        <v>3</v>
      </c>
      <c r="Z2095" s="23">
        <v>10.5</v>
      </c>
      <c r="AB2095" s="18">
        <f t="shared" si="64"/>
        <v>2017</v>
      </c>
      <c r="AC2095" s="22">
        <f t="shared" si="65"/>
        <v>0.72599999999999998</v>
      </c>
    </row>
    <row r="2096" spans="1:29">
      <c r="A2096" s="8" t="s">
        <v>5013</v>
      </c>
      <c r="B2096" s="17" t="s">
        <v>7800</v>
      </c>
      <c r="C2096" s="13">
        <v>43034</v>
      </c>
      <c r="D2096" s="13" t="s">
        <v>8465</v>
      </c>
      <c r="E2096" s="10" t="s">
        <v>5014</v>
      </c>
      <c r="F2096" s="10" t="s">
        <v>5014</v>
      </c>
      <c r="G2096" s="11" t="s">
        <v>5013</v>
      </c>
      <c r="H2096" s="2" t="s">
        <v>67</v>
      </c>
      <c r="L2096" s="18">
        <v>1</v>
      </c>
      <c r="N2096" s="13">
        <v>43375</v>
      </c>
      <c r="P2096" s="18" t="s">
        <v>1107</v>
      </c>
      <c r="Q2096" s="18">
        <v>0</v>
      </c>
      <c r="U2096" s="22">
        <v>0.65</v>
      </c>
      <c r="V2096" s="22">
        <f>3.32/5</f>
        <v>0.66399999999999992</v>
      </c>
      <c r="W2096" s="14" t="s">
        <v>7777</v>
      </c>
      <c r="X2096" s="3">
        <v>3</v>
      </c>
      <c r="Z2096" s="23">
        <v>4</v>
      </c>
      <c r="AB2096" s="18">
        <f t="shared" si="64"/>
        <v>2017</v>
      </c>
      <c r="AC2096" s="22">
        <f t="shared" si="65"/>
        <v>0.63800000000000001</v>
      </c>
    </row>
    <row r="2097" spans="1:29">
      <c r="A2097" s="8" t="s">
        <v>3106</v>
      </c>
      <c r="B2097" s="17" t="s">
        <v>7800</v>
      </c>
      <c r="C2097" s="13">
        <v>43033</v>
      </c>
      <c r="D2097" s="13" t="s">
        <v>8465</v>
      </c>
      <c r="E2097" s="10" t="s">
        <v>3072</v>
      </c>
      <c r="F2097" s="10" t="s">
        <v>3107</v>
      </c>
      <c r="H2097" s="2" t="s">
        <v>80</v>
      </c>
      <c r="L2097" s="18">
        <v>1</v>
      </c>
      <c r="N2097" s="13">
        <v>43347</v>
      </c>
      <c r="P2097" s="18" t="s">
        <v>1107</v>
      </c>
      <c r="Q2097" s="18">
        <v>0</v>
      </c>
      <c r="U2097" s="22">
        <v>0.71</v>
      </c>
      <c r="V2097" s="22">
        <f>3.15/5</f>
        <v>0.63</v>
      </c>
      <c r="W2097" s="14" t="s">
        <v>7777</v>
      </c>
      <c r="X2097" s="3">
        <v>3</v>
      </c>
      <c r="Z2097" s="23">
        <v>3</v>
      </c>
      <c r="AB2097" s="18">
        <f t="shared" si="64"/>
        <v>2017</v>
      </c>
      <c r="AC2097" s="22">
        <f t="shared" si="65"/>
        <v>0.64666666666666661</v>
      </c>
    </row>
    <row r="2098" spans="1:29">
      <c r="A2098" s="8" t="s">
        <v>14229</v>
      </c>
      <c r="B2098" s="17" t="s">
        <v>7800</v>
      </c>
      <c r="C2098" s="13">
        <v>43033</v>
      </c>
      <c r="D2098" s="13" t="s">
        <v>8465</v>
      </c>
      <c r="E2098" s="10" t="s">
        <v>14230</v>
      </c>
      <c r="F2098" s="10" t="s">
        <v>14231</v>
      </c>
      <c r="H2098" s="2" t="s">
        <v>147</v>
      </c>
      <c r="L2098" s="18">
        <v>1</v>
      </c>
      <c r="O2098" s="29">
        <v>0</v>
      </c>
      <c r="P2098" s="18" t="s">
        <v>1107</v>
      </c>
      <c r="Q2098" s="18">
        <v>0</v>
      </c>
      <c r="V2098" s="22">
        <f>3/5</f>
        <v>0.6</v>
      </c>
      <c r="W2098" s="14" t="s">
        <v>8765</v>
      </c>
      <c r="X2098" s="3">
        <v>2</v>
      </c>
      <c r="Z2098" s="23">
        <v>1</v>
      </c>
      <c r="AB2098" s="18">
        <f t="shared" si="64"/>
        <v>2017</v>
      </c>
      <c r="AC2098" s="22">
        <f t="shared" si="65"/>
        <v>0.5</v>
      </c>
    </row>
    <row r="2099" spans="1:29" ht="30">
      <c r="A2099" s="8" t="s">
        <v>9784</v>
      </c>
      <c r="B2099" s="17" t="s">
        <v>7744</v>
      </c>
      <c r="C2099" s="13">
        <v>43032</v>
      </c>
      <c r="D2099" s="13" t="s">
        <v>8465</v>
      </c>
      <c r="E2099" s="10" t="s">
        <v>1084</v>
      </c>
      <c r="F2099" s="10" t="s">
        <v>1084</v>
      </c>
      <c r="G2099" s="11" t="s">
        <v>9785</v>
      </c>
      <c r="H2099" s="2" t="s">
        <v>151</v>
      </c>
      <c r="L2099" s="18">
        <v>1</v>
      </c>
      <c r="M2099" s="14" t="s">
        <v>8462</v>
      </c>
      <c r="N2099" s="13">
        <v>44145</v>
      </c>
      <c r="O2099" s="29">
        <v>34.99</v>
      </c>
      <c r="P2099" s="18" t="s">
        <v>14</v>
      </c>
      <c r="Q2099" s="18">
        <v>0</v>
      </c>
      <c r="U2099" s="22">
        <v>0.75</v>
      </c>
      <c r="V2099" s="22">
        <f>3.74/5</f>
        <v>0.748</v>
      </c>
      <c r="W2099" s="14" t="s">
        <v>1134</v>
      </c>
      <c r="X2099" s="3">
        <v>4</v>
      </c>
      <c r="Z2099" s="23">
        <v>5</v>
      </c>
      <c r="AB2099" s="18">
        <f t="shared" si="64"/>
        <v>2017</v>
      </c>
      <c r="AC2099" s="22">
        <f t="shared" si="65"/>
        <v>0.76600000000000001</v>
      </c>
    </row>
    <row r="2100" spans="1:29" ht="25.5">
      <c r="A2100" s="8" t="s">
        <v>13477</v>
      </c>
      <c r="B2100" s="17" t="s">
        <v>7760</v>
      </c>
      <c r="C2100" s="13">
        <v>43032</v>
      </c>
      <c r="D2100" s="13" t="s">
        <v>8465</v>
      </c>
      <c r="E2100" s="10" t="s">
        <v>11735</v>
      </c>
      <c r="F2100" s="10" t="s">
        <v>1566</v>
      </c>
      <c r="G2100" s="11" t="s">
        <v>11688</v>
      </c>
      <c r="H2100" s="2" t="s">
        <v>171</v>
      </c>
      <c r="L2100" s="18">
        <v>1</v>
      </c>
      <c r="M2100" s="14" t="s">
        <v>8462</v>
      </c>
      <c r="N2100" s="13">
        <v>44962</v>
      </c>
      <c r="O2100" s="29">
        <v>33</v>
      </c>
      <c r="P2100" s="18" t="s">
        <v>14</v>
      </c>
      <c r="Q2100" s="18">
        <v>0</v>
      </c>
      <c r="U2100" s="22">
        <v>0.66</v>
      </c>
      <c r="V2100" s="22">
        <f>3.68/5</f>
        <v>0.73599999999999999</v>
      </c>
      <c r="X2100" s="3">
        <v>3</v>
      </c>
      <c r="Z2100" s="23">
        <v>13.5</v>
      </c>
      <c r="AB2100" s="18">
        <f t="shared" si="64"/>
        <v>2017</v>
      </c>
      <c r="AC2100" s="22">
        <f t="shared" si="65"/>
        <v>0.66533333333333333</v>
      </c>
    </row>
    <row r="2101" spans="1:29">
      <c r="A2101" s="8" t="s">
        <v>14260</v>
      </c>
      <c r="B2101" s="17" t="s">
        <v>7800</v>
      </c>
      <c r="C2101" s="13">
        <v>43032</v>
      </c>
      <c r="D2101" s="13" t="s">
        <v>8465</v>
      </c>
      <c r="E2101" s="10" t="s">
        <v>12119</v>
      </c>
      <c r="F2101" s="10" t="s">
        <v>12119</v>
      </c>
      <c r="H2101" s="2" t="s">
        <v>21</v>
      </c>
      <c r="L2101" s="18">
        <v>1</v>
      </c>
      <c r="O2101" s="29">
        <v>0</v>
      </c>
      <c r="P2101" s="18" t="s">
        <v>1107</v>
      </c>
      <c r="Q2101" s="18">
        <v>0</v>
      </c>
      <c r="V2101" s="22">
        <f>3.6/5</f>
        <v>0.72</v>
      </c>
      <c r="W2101" s="14" t="s">
        <v>8765</v>
      </c>
      <c r="X2101" s="3">
        <v>2</v>
      </c>
      <c r="Z2101" s="23">
        <f>24/60</f>
        <v>0.4</v>
      </c>
      <c r="AB2101" s="18">
        <f t="shared" si="64"/>
        <v>2017</v>
      </c>
      <c r="AC2101" s="22">
        <f t="shared" si="65"/>
        <v>0.56000000000000005</v>
      </c>
    </row>
    <row r="2102" spans="1:29" ht="30">
      <c r="A2102" s="9" t="s">
        <v>14074</v>
      </c>
      <c r="B2102" s="17" t="s">
        <v>7760</v>
      </c>
      <c r="C2102" s="13">
        <v>43032</v>
      </c>
      <c r="D2102" s="13" t="s">
        <v>8465</v>
      </c>
      <c r="E2102" s="10" t="s">
        <v>6107</v>
      </c>
      <c r="F2102" s="10" t="s">
        <v>6200</v>
      </c>
      <c r="H2102" s="2" t="s">
        <v>80</v>
      </c>
      <c r="L2102" s="18">
        <v>1</v>
      </c>
      <c r="N2102" s="13">
        <v>45070</v>
      </c>
      <c r="O2102" s="29">
        <v>4.99</v>
      </c>
      <c r="P2102" s="18" t="s">
        <v>1107</v>
      </c>
      <c r="Q2102" s="18">
        <v>0</v>
      </c>
      <c r="U2102" s="22">
        <v>0.66</v>
      </c>
      <c r="V2102" s="22">
        <f>3.2/5</f>
        <v>0.64</v>
      </c>
      <c r="X2102" s="3">
        <v>2</v>
      </c>
      <c r="Z2102" s="23">
        <v>2</v>
      </c>
      <c r="AB2102" s="18">
        <f t="shared" si="64"/>
        <v>2017</v>
      </c>
      <c r="AC2102" s="22">
        <f t="shared" si="65"/>
        <v>0.56666666666666676</v>
      </c>
    </row>
    <row r="2103" spans="1:29" ht="25.5">
      <c r="A2103" s="8" t="s">
        <v>11712</v>
      </c>
      <c r="B2103" s="17" t="s">
        <v>7766</v>
      </c>
      <c r="C2103" s="13">
        <v>43031</v>
      </c>
      <c r="D2103" s="13" t="s">
        <v>8465</v>
      </c>
      <c r="E2103" s="10" t="s">
        <v>3553</v>
      </c>
      <c r="F2103" s="10" t="s">
        <v>11437</v>
      </c>
      <c r="G2103" s="11" t="s">
        <v>11713</v>
      </c>
      <c r="H2103" s="2" t="s">
        <v>67</v>
      </c>
      <c r="L2103" s="18">
        <v>1</v>
      </c>
      <c r="N2103" s="13">
        <v>44695</v>
      </c>
      <c r="O2103" s="29">
        <v>0</v>
      </c>
      <c r="P2103" s="18" t="s">
        <v>1107</v>
      </c>
      <c r="Q2103" s="18">
        <v>0</v>
      </c>
      <c r="V2103" s="22">
        <f>3.7/5</f>
        <v>0.74</v>
      </c>
      <c r="W2103" s="14" t="s">
        <v>11393</v>
      </c>
      <c r="X2103" s="3">
        <v>2</v>
      </c>
      <c r="Z2103" s="23">
        <v>6.5</v>
      </c>
      <c r="AB2103" s="18">
        <f t="shared" si="64"/>
        <v>2017</v>
      </c>
      <c r="AC2103" s="22">
        <f t="shared" si="65"/>
        <v>0.57000000000000006</v>
      </c>
    </row>
    <row r="2104" spans="1:29">
      <c r="A2104" s="8" t="s">
        <v>7051</v>
      </c>
      <c r="B2104" s="17" t="s">
        <v>7744</v>
      </c>
      <c r="C2104" s="13">
        <v>43031</v>
      </c>
      <c r="D2104" s="13" t="s">
        <v>8465</v>
      </c>
      <c r="E2104" s="10" t="s">
        <v>13716</v>
      </c>
      <c r="F2104" s="10" t="s">
        <v>7052</v>
      </c>
      <c r="H2104" s="2" t="s">
        <v>1040</v>
      </c>
      <c r="L2104" s="18">
        <v>1</v>
      </c>
      <c r="M2104" s="14" t="s">
        <v>8462</v>
      </c>
      <c r="N2104" s="13">
        <v>44999</v>
      </c>
      <c r="O2104" s="29">
        <v>18.600000000000001</v>
      </c>
      <c r="P2104" s="18" t="s">
        <v>14</v>
      </c>
      <c r="Q2104" s="18">
        <v>0</v>
      </c>
      <c r="U2104" s="22">
        <v>0.65</v>
      </c>
      <c r="V2104" s="22">
        <f>3.85/5</f>
        <v>0.77</v>
      </c>
      <c r="X2104" s="3">
        <v>2</v>
      </c>
      <c r="Z2104" s="23">
        <v>6</v>
      </c>
      <c r="AB2104" s="18">
        <f t="shared" si="64"/>
        <v>2017</v>
      </c>
      <c r="AC2104" s="22">
        <f t="shared" si="65"/>
        <v>0.60666666666666658</v>
      </c>
    </row>
    <row r="2105" spans="1:29">
      <c r="A2105" s="8" t="s">
        <v>7031</v>
      </c>
      <c r="B2105" s="17" t="s">
        <v>7800</v>
      </c>
      <c r="C2105" s="13">
        <v>43031</v>
      </c>
      <c r="D2105" s="13" t="s">
        <v>8465</v>
      </c>
      <c r="E2105" s="10" t="s">
        <v>3063</v>
      </c>
      <c r="F2105" s="10" t="s">
        <v>7030</v>
      </c>
      <c r="H2105" s="2" t="s">
        <v>1050</v>
      </c>
      <c r="L2105" s="18">
        <v>1</v>
      </c>
      <c r="O2105" s="29">
        <v>0</v>
      </c>
      <c r="P2105" s="18" t="s">
        <v>1107</v>
      </c>
      <c r="Q2105" s="18">
        <v>0</v>
      </c>
      <c r="U2105" s="22">
        <v>0.82</v>
      </c>
      <c r="V2105" s="22">
        <f>3.25/5</f>
        <v>0.65</v>
      </c>
      <c r="W2105" s="14" t="s">
        <v>7799</v>
      </c>
      <c r="X2105" s="3">
        <v>2</v>
      </c>
      <c r="Z2105" s="23">
        <v>1</v>
      </c>
      <c r="AB2105" s="18">
        <f t="shared" si="64"/>
        <v>2017</v>
      </c>
      <c r="AC2105" s="22">
        <f t="shared" si="65"/>
        <v>0.62333333333333341</v>
      </c>
    </row>
    <row r="2106" spans="1:29" ht="30">
      <c r="A2106" s="8" t="s">
        <v>1596</v>
      </c>
      <c r="B2106" s="17" t="s">
        <v>8456</v>
      </c>
      <c r="C2106" s="13">
        <v>43028</v>
      </c>
      <c r="D2106" s="13" t="s">
        <v>8465</v>
      </c>
      <c r="E2106" s="10" t="s">
        <v>86</v>
      </c>
      <c r="F2106" s="10" t="s">
        <v>1471</v>
      </c>
      <c r="G2106" s="11" t="s">
        <v>305</v>
      </c>
      <c r="H2106" s="2" t="s">
        <v>1059</v>
      </c>
      <c r="L2106" s="18">
        <v>1</v>
      </c>
      <c r="M2106" s="14" t="s">
        <v>8462</v>
      </c>
      <c r="N2106" s="13">
        <v>43590</v>
      </c>
      <c r="O2106" s="29">
        <v>14.99</v>
      </c>
      <c r="P2106" s="18" t="s">
        <v>14</v>
      </c>
      <c r="Q2106" s="18">
        <v>0</v>
      </c>
      <c r="U2106" s="22">
        <v>0.64</v>
      </c>
      <c r="V2106" s="22">
        <f>3.9/5</f>
        <v>0.78</v>
      </c>
      <c r="X2106" s="3">
        <v>3</v>
      </c>
      <c r="Z2106" s="23">
        <v>12</v>
      </c>
      <c r="AB2106" s="18">
        <f t="shared" si="64"/>
        <v>2017</v>
      </c>
      <c r="AC2106" s="22">
        <f t="shared" si="65"/>
        <v>0.67333333333333334</v>
      </c>
    </row>
    <row r="2107" spans="1:29" ht="30">
      <c r="A2107" s="8" t="s">
        <v>13396</v>
      </c>
      <c r="B2107" s="17" t="s">
        <v>7760</v>
      </c>
      <c r="C2107" s="13">
        <v>43027</v>
      </c>
      <c r="D2107" s="13" t="s">
        <v>8463</v>
      </c>
      <c r="E2107" s="10" t="s">
        <v>1604</v>
      </c>
      <c r="F2107" s="10" t="s">
        <v>8689</v>
      </c>
      <c r="H2107" s="2" t="s">
        <v>80</v>
      </c>
      <c r="K2107" s="18">
        <v>1</v>
      </c>
      <c r="L2107" s="18">
        <v>1</v>
      </c>
      <c r="M2107" s="14" t="s">
        <v>8462</v>
      </c>
      <c r="N2107" s="13">
        <v>45003</v>
      </c>
      <c r="O2107" s="29">
        <v>30.52</v>
      </c>
      <c r="P2107" s="18" t="s">
        <v>14</v>
      </c>
      <c r="Q2107" s="18">
        <v>0</v>
      </c>
      <c r="V2107" s="22">
        <f>3.8/5</f>
        <v>0.76</v>
      </c>
      <c r="X2107" s="3">
        <v>2</v>
      </c>
      <c r="Z2107" s="23">
        <v>8</v>
      </c>
      <c r="AB2107" s="18">
        <f t="shared" si="64"/>
        <v>2017</v>
      </c>
      <c r="AC2107" s="22">
        <f t="shared" si="65"/>
        <v>0.58000000000000007</v>
      </c>
    </row>
    <row r="2108" spans="1:29">
      <c r="A2108" s="8" t="s">
        <v>7005</v>
      </c>
      <c r="B2108" s="17" t="s">
        <v>7800</v>
      </c>
      <c r="C2108" s="13">
        <v>43027</v>
      </c>
      <c r="D2108" s="13" t="s">
        <v>8465</v>
      </c>
      <c r="E2108" s="10" t="s">
        <v>1151</v>
      </c>
      <c r="F2108" s="10" t="s">
        <v>7006</v>
      </c>
      <c r="G2108" s="11" t="s">
        <v>7005</v>
      </c>
      <c r="H2108" s="2" t="s">
        <v>1334</v>
      </c>
      <c r="L2108" s="18">
        <v>1</v>
      </c>
      <c r="O2108" s="29">
        <v>0</v>
      </c>
      <c r="P2108" s="18" t="s">
        <v>1107</v>
      </c>
      <c r="Q2108" s="18">
        <v>0</v>
      </c>
      <c r="U2108" s="22">
        <v>0.63</v>
      </c>
      <c r="V2108" s="22">
        <f>3.65/5</f>
        <v>0.73</v>
      </c>
      <c r="W2108" s="14" t="s">
        <v>7799</v>
      </c>
      <c r="X2108" s="3">
        <v>2</v>
      </c>
      <c r="Z2108" s="23">
        <v>16.5</v>
      </c>
      <c r="AB2108" s="18">
        <f t="shared" si="64"/>
        <v>2017</v>
      </c>
      <c r="AC2108" s="22">
        <f t="shared" si="65"/>
        <v>0.58666666666666656</v>
      </c>
    </row>
    <row r="2109" spans="1:29">
      <c r="A2109" s="8" t="s">
        <v>8778</v>
      </c>
      <c r="B2109" s="17" t="s">
        <v>7800</v>
      </c>
      <c r="C2109" s="13">
        <v>43026</v>
      </c>
      <c r="D2109" s="13" t="s">
        <v>8465</v>
      </c>
      <c r="E2109" s="10" t="s">
        <v>8779</v>
      </c>
      <c r="F2109" s="10" t="s">
        <v>8779</v>
      </c>
      <c r="H2109" s="2" t="s">
        <v>67</v>
      </c>
      <c r="L2109" s="18">
        <v>1</v>
      </c>
      <c r="N2109" s="13">
        <v>43987</v>
      </c>
      <c r="O2109" s="29">
        <v>0.62</v>
      </c>
      <c r="P2109" s="18" t="s">
        <v>1107</v>
      </c>
      <c r="Q2109" s="18">
        <v>0</v>
      </c>
      <c r="V2109" s="22">
        <f>3.18/5</f>
        <v>0.63600000000000001</v>
      </c>
      <c r="W2109" s="14" t="s">
        <v>8765</v>
      </c>
      <c r="X2109" s="3">
        <v>3</v>
      </c>
      <c r="Z2109" s="23">
        <f>54/60</f>
        <v>0.9</v>
      </c>
      <c r="AB2109" s="18">
        <f t="shared" si="64"/>
        <v>2017</v>
      </c>
      <c r="AC2109" s="22">
        <f t="shared" si="65"/>
        <v>0.61799999999999999</v>
      </c>
    </row>
    <row r="2110" spans="1:29" ht="25.5">
      <c r="A2110" s="8" t="s">
        <v>9304</v>
      </c>
      <c r="B2110" s="17" t="s">
        <v>7749</v>
      </c>
      <c r="C2110" s="13">
        <v>43025</v>
      </c>
      <c r="D2110" s="13" t="s">
        <v>8465</v>
      </c>
      <c r="E2110" s="10" t="s">
        <v>2461</v>
      </c>
      <c r="F2110" s="10" t="s">
        <v>228</v>
      </c>
      <c r="G2110" s="11" t="s">
        <v>2239</v>
      </c>
      <c r="H2110" s="2" t="s">
        <v>1377</v>
      </c>
      <c r="L2110" s="18">
        <v>1</v>
      </c>
      <c r="N2110" s="13">
        <v>44095</v>
      </c>
      <c r="O2110" s="29">
        <v>14.99</v>
      </c>
      <c r="P2110" s="18" t="s">
        <v>1107</v>
      </c>
      <c r="Q2110" s="18">
        <v>0</v>
      </c>
      <c r="U2110" s="22">
        <v>0.8</v>
      </c>
      <c r="V2110" s="22">
        <f>4.13/5</f>
        <v>0.82599999999999996</v>
      </c>
      <c r="X2110" s="3">
        <v>4</v>
      </c>
      <c r="Z2110" s="23">
        <v>40.5</v>
      </c>
      <c r="AB2110" s="18">
        <f t="shared" si="64"/>
        <v>2017</v>
      </c>
      <c r="AC2110" s="22">
        <f t="shared" si="65"/>
        <v>0.80866666666666676</v>
      </c>
    </row>
    <row r="2111" spans="1:29" ht="25.5">
      <c r="A2111" s="8" t="s">
        <v>6994</v>
      </c>
      <c r="B2111" s="17" t="s">
        <v>7800</v>
      </c>
      <c r="C2111" s="13">
        <v>43025</v>
      </c>
      <c r="D2111" s="13" t="s">
        <v>8465</v>
      </c>
      <c r="E2111" s="10" t="s">
        <v>1047</v>
      </c>
      <c r="F2111" s="10" t="s">
        <v>6995</v>
      </c>
      <c r="G2111" s="11" t="s">
        <v>6996</v>
      </c>
      <c r="H2111" s="2" t="s">
        <v>149</v>
      </c>
      <c r="L2111" s="18">
        <v>1</v>
      </c>
      <c r="N2111" s="13">
        <v>43627</v>
      </c>
      <c r="O2111" s="29">
        <v>5.99</v>
      </c>
      <c r="P2111" s="18" t="s">
        <v>1107</v>
      </c>
      <c r="Q2111" s="18">
        <v>0</v>
      </c>
      <c r="U2111" s="22">
        <v>0.78</v>
      </c>
      <c r="V2111" s="22">
        <f>3.65/5</f>
        <v>0.73</v>
      </c>
      <c r="W2111" s="14" t="s">
        <v>7798</v>
      </c>
      <c r="X2111" s="3">
        <v>4</v>
      </c>
      <c r="Z2111" s="23">
        <v>17</v>
      </c>
      <c r="AB2111" s="18">
        <f t="shared" si="64"/>
        <v>2017</v>
      </c>
      <c r="AC2111" s="22">
        <f t="shared" si="65"/>
        <v>0.77</v>
      </c>
    </row>
    <row r="2112" spans="1:29">
      <c r="A2112" s="8" t="s">
        <v>9953</v>
      </c>
      <c r="B2112" s="17" t="s">
        <v>7763</v>
      </c>
      <c r="C2112" s="13">
        <v>43025</v>
      </c>
      <c r="D2112" s="13" t="s">
        <v>8465</v>
      </c>
      <c r="E2112" s="10" t="s">
        <v>7877</v>
      </c>
      <c r="F2112" s="10" t="s">
        <v>9117</v>
      </c>
      <c r="G2112" s="11" t="s">
        <v>9368</v>
      </c>
      <c r="H2112" s="2" t="s">
        <v>1057</v>
      </c>
      <c r="L2112" s="18">
        <v>1</v>
      </c>
      <c r="M2112" s="14" t="s">
        <v>8462</v>
      </c>
      <c r="N2112" s="13">
        <v>44293</v>
      </c>
      <c r="O2112" s="29">
        <v>29.13</v>
      </c>
      <c r="P2112" s="18" t="s">
        <v>14</v>
      </c>
      <c r="Q2112" s="18">
        <v>0</v>
      </c>
      <c r="V2112" s="22">
        <f>4.12/5</f>
        <v>0.82400000000000007</v>
      </c>
      <c r="X2112" s="3">
        <v>3</v>
      </c>
      <c r="Z2112" s="23">
        <v>31</v>
      </c>
      <c r="AB2112" s="18">
        <f t="shared" si="64"/>
        <v>2017</v>
      </c>
      <c r="AC2112" s="22">
        <f t="shared" si="65"/>
        <v>0.71199999999999997</v>
      </c>
    </row>
    <row r="2113" spans="1:29">
      <c r="A2113" s="8" t="s">
        <v>8604</v>
      </c>
      <c r="B2113" s="17" t="s">
        <v>7800</v>
      </c>
      <c r="C2113" s="13">
        <v>43025</v>
      </c>
      <c r="D2113" s="13" t="s">
        <v>8465</v>
      </c>
      <c r="E2113" s="10" t="s">
        <v>8605</v>
      </c>
      <c r="F2113" s="10" t="s">
        <v>8605</v>
      </c>
      <c r="H2113" s="2" t="s">
        <v>78</v>
      </c>
      <c r="I2113" s="18">
        <v>1</v>
      </c>
      <c r="L2113" s="18">
        <v>1</v>
      </c>
      <c r="N2113" s="13">
        <v>43945</v>
      </c>
      <c r="O2113" s="29">
        <v>1.5</v>
      </c>
      <c r="P2113" s="18" t="s">
        <v>1107</v>
      </c>
      <c r="Q2113" s="18">
        <v>0</v>
      </c>
      <c r="V2113" s="22">
        <f>3.75/5</f>
        <v>0.75</v>
      </c>
      <c r="W2113" s="14" t="s">
        <v>7777</v>
      </c>
      <c r="X2113" s="3">
        <v>3</v>
      </c>
      <c r="Z2113" s="23">
        <v>1</v>
      </c>
      <c r="AB2113" s="18">
        <f t="shared" ref="AB2113:AB2176" si="66">IFERROR(YEAR(C2113), "Early Access")</f>
        <v>2017</v>
      </c>
      <c r="AC2113" s="22">
        <f t="shared" ref="AC2113:AC2176" si="67">AVERAGE(T2113, U2113, V2113, IF(ISBLANK(X2113), X2113, X2113/5))</f>
        <v>0.67500000000000004</v>
      </c>
    </row>
    <row r="2114" spans="1:29">
      <c r="A2114" s="8" t="s">
        <v>9824</v>
      </c>
      <c r="B2114" s="17" t="s">
        <v>7800</v>
      </c>
      <c r="C2114" s="13">
        <v>43025</v>
      </c>
      <c r="D2114" s="13" t="s">
        <v>8465</v>
      </c>
      <c r="E2114" s="10" t="s">
        <v>1583</v>
      </c>
      <c r="F2114" s="10" t="s">
        <v>4847</v>
      </c>
      <c r="H2114" s="2" t="s">
        <v>171</v>
      </c>
      <c r="L2114" s="18">
        <v>1</v>
      </c>
      <c r="N2114" s="13">
        <v>44257</v>
      </c>
      <c r="O2114" s="29">
        <v>0</v>
      </c>
      <c r="P2114" s="18" t="s">
        <v>1107</v>
      </c>
      <c r="Q2114" s="18">
        <v>0</v>
      </c>
      <c r="U2114" s="22">
        <v>0.67</v>
      </c>
      <c r="V2114" s="22">
        <f>3.34/5</f>
        <v>0.66799999999999993</v>
      </c>
      <c r="W2114" s="14" t="s">
        <v>7777</v>
      </c>
      <c r="X2114" s="3">
        <v>3</v>
      </c>
      <c r="Z2114" s="23">
        <v>26.5</v>
      </c>
      <c r="AB2114" s="18">
        <f t="shared" si="66"/>
        <v>2017</v>
      </c>
      <c r="AC2114" s="22">
        <f t="shared" si="67"/>
        <v>0.64600000000000002</v>
      </c>
    </row>
    <row r="2115" spans="1:29">
      <c r="A2115" s="8" t="s">
        <v>11087</v>
      </c>
      <c r="B2115" s="17" t="s">
        <v>7763</v>
      </c>
      <c r="C2115" s="13">
        <v>43025</v>
      </c>
      <c r="D2115" s="13" t="s">
        <v>8465</v>
      </c>
      <c r="E2115" s="10" t="s">
        <v>1519</v>
      </c>
      <c r="F2115" s="10" t="s">
        <v>3113</v>
      </c>
      <c r="H2115" s="2" t="s">
        <v>1057</v>
      </c>
      <c r="L2115" s="18">
        <v>1</v>
      </c>
      <c r="M2115" s="14" t="s">
        <v>8462</v>
      </c>
      <c r="N2115" s="13">
        <v>45043</v>
      </c>
      <c r="O2115" s="29">
        <v>37.340000000000003</v>
      </c>
      <c r="P2115" s="18" t="s">
        <v>14</v>
      </c>
      <c r="Q2115" s="18">
        <v>0</v>
      </c>
      <c r="U2115" s="22">
        <v>0.78</v>
      </c>
      <c r="V2115" s="22">
        <f>3.74/5</f>
        <v>0.748</v>
      </c>
      <c r="X2115" s="3">
        <v>2</v>
      </c>
      <c r="Z2115" s="23">
        <v>4.5</v>
      </c>
      <c r="AB2115" s="18">
        <f t="shared" si="66"/>
        <v>2017</v>
      </c>
      <c r="AC2115" s="22">
        <f t="shared" si="67"/>
        <v>0.64266666666666661</v>
      </c>
    </row>
    <row r="2116" spans="1:29" ht="30">
      <c r="A2116" s="8" t="s">
        <v>8024</v>
      </c>
      <c r="B2116" s="17" t="s">
        <v>7760</v>
      </c>
      <c r="C2116" s="13">
        <v>43025</v>
      </c>
      <c r="D2116" s="13" t="s">
        <v>8465</v>
      </c>
      <c r="E2116" s="10" t="s">
        <v>6107</v>
      </c>
      <c r="F2116" s="10" t="s">
        <v>8019</v>
      </c>
      <c r="G2116" s="11" t="s">
        <v>8016</v>
      </c>
      <c r="H2116" s="2" t="s">
        <v>150</v>
      </c>
      <c r="L2116" s="18">
        <v>1</v>
      </c>
      <c r="N2116" s="13">
        <v>44420</v>
      </c>
      <c r="O2116" s="29">
        <v>12.49</v>
      </c>
      <c r="P2116" s="18" t="s">
        <v>14</v>
      </c>
      <c r="Q2116" s="18">
        <v>0</v>
      </c>
      <c r="U2116" s="22">
        <v>0.74939999999999996</v>
      </c>
      <c r="V2116" s="22">
        <f>3.52/5</f>
        <v>0.70399999999999996</v>
      </c>
      <c r="X2116" s="3">
        <v>2</v>
      </c>
      <c r="Z2116" s="23">
        <v>11</v>
      </c>
      <c r="AB2116" s="18">
        <f t="shared" si="66"/>
        <v>2017</v>
      </c>
      <c r="AC2116" s="22">
        <f t="shared" si="67"/>
        <v>0.6177999999999999</v>
      </c>
    </row>
    <row r="2117" spans="1:29">
      <c r="A2117" s="8" t="s">
        <v>4629</v>
      </c>
      <c r="B2117" s="17" t="s">
        <v>7800</v>
      </c>
      <c r="C2117" s="13">
        <v>43024</v>
      </c>
      <c r="D2117" s="13" t="s">
        <v>8465</v>
      </c>
      <c r="E2117" s="10" t="s">
        <v>4366</v>
      </c>
      <c r="F2117" s="10" t="s">
        <v>4366</v>
      </c>
      <c r="G2117" s="11" t="s">
        <v>4367</v>
      </c>
      <c r="H2117" s="2" t="s">
        <v>143</v>
      </c>
      <c r="L2117" s="18">
        <v>1</v>
      </c>
      <c r="N2117" s="13">
        <v>42779</v>
      </c>
      <c r="O2117" s="29">
        <v>0</v>
      </c>
      <c r="P2117" s="18" t="s">
        <v>1107</v>
      </c>
      <c r="Q2117" s="18">
        <v>0</v>
      </c>
      <c r="U2117" s="22">
        <v>0.62</v>
      </c>
      <c r="V2117" s="22">
        <f>3.35/5</f>
        <v>0.67</v>
      </c>
      <c r="W2117" s="14" t="s">
        <v>7777</v>
      </c>
      <c r="X2117" s="3">
        <v>3</v>
      </c>
      <c r="Z2117" s="23">
        <v>3</v>
      </c>
      <c r="AB2117" s="18">
        <f t="shared" si="66"/>
        <v>2017</v>
      </c>
      <c r="AC2117" s="22">
        <f t="shared" si="67"/>
        <v>0.63</v>
      </c>
    </row>
    <row r="2118" spans="1:29" ht="25.5">
      <c r="A2118" s="8" t="s">
        <v>9061</v>
      </c>
      <c r="B2118" s="17" t="s">
        <v>7800</v>
      </c>
      <c r="C2118" s="13">
        <v>43024</v>
      </c>
      <c r="D2118" s="13" t="s">
        <v>8463</v>
      </c>
      <c r="E2118" s="10" t="s">
        <v>228</v>
      </c>
      <c r="F2118" s="10" t="s">
        <v>9062</v>
      </c>
      <c r="G2118" s="11" t="s">
        <v>1171</v>
      </c>
      <c r="H2118" s="2" t="s">
        <v>151</v>
      </c>
      <c r="K2118" s="18">
        <v>2</v>
      </c>
      <c r="L2118" s="18">
        <v>0</v>
      </c>
      <c r="Q2118" s="18">
        <v>0</v>
      </c>
      <c r="V2118" s="22">
        <f>2.88/5</f>
        <v>0.57599999999999996</v>
      </c>
      <c r="W2118" s="14" t="s">
        <v>5674</v>
      </c>
      <c r="X2118" s="3">
        <v>3</v>
      </c>
      <c r="Z2118" s="23">
        <v>2.5</v>
      </c>
      <c r="AB2118" s="18">
        <f t="shared" si="66"/>
        <v>2017</v>
      </c>
      <c r="AC2118" s="22">
        <f t="shared" si="67"/>
        <v>0.58799999999999997</v>
      </c>
    </row>
    <row r="2119" spans="1:29">
      <c r="A2119" s="8" t="s">
        <v>8246</v>
      </c>
      <c r="B2119" s="17" t="s">
        <v>7800</v>
      </c>
      <c r="C2119" s="13">
        <v>43021</v>
      </c>
      <c r="D2119" s="13" t="s">
        <v>8465</v>
      </c>
      <c r="E2119" s="10" t="s">
        <v>1690</v>
      </c>
      <c r="F2119" s="10" t="s">
        <v>5306</v>
      </c>
      <c r="G2119" s="11" t="s">
        <v>5305</v>
      </c>
      <c r="H2119" s="2" t="s">
        <v>1061</v>
      </c>
      <c r="L2119" s="18">
        <v>1</v>
      </c>
      <c r="N2119" s="13">
        <v>43822</v>
      </c>
      <c r="O2119" s="29">
        <v>7.12</v>
      </c>
      <c r="P2119" s="18" t="s">
        <v>1107</v>
      </c>
      <c r="Q2119" s="18">
        <v>0</v>
      </c>
      <c r="U2119" s="22">
        <v>0.8</v>
      </c>
      <c r="V2119" s="22">
        <f>3.92/5</f>
        <v>0.78400000000000003</v>
      </c>
      <c r="W2119" s="14" t="s">
        <v>7777</v>
      </c>
      <c r="X2119" s="3">
        <v>4</v>
      </c>
      <c r="Z2119" s="23">
        <v>13</v>
      </c>
      <c r="AB2119" s="18">
        <f t="shared" si="66"/>
        <v>2017</v>
      </c>
      <c r="AC2119" s="22">
        <f t="shared" si="67"/>
        <v>0.79466666666666674</v>
      </c>
    </row>
    <row r="2120" spans="1:29">
      <c r="A2120" s="8" t="s">
        <v>3744</v>
      </c>
      <c r="B2120" s="17" t="s">
        <v>7800</v>
      </c>
      <c r="C2120" s="13">
        <v>43021</v>
      </c>
      <c r="D2120" s="13" t="s">
        <v>8465</v>
      </c>
      <c r="E2120" s="10" t="s">
        <v>3553</v>
      </c>
      <c r="F2120" s="10" t="s">
        <v>3554</v>
      </c>
      <c r="G2120" s="11" t="s">
        <v>3745</v>
      </c>
      <c r="H2120" s="2" t="s">
        <v>1334</v>
      </c>
      <c r="L2120" s="18">
        <v>1</v>
      </c>
      <c r="N2120" s="13">
        <v>43371</v>
      </c>
      <c r="P2120" s="18" t="s">
        <v>1107</v>
      </c>
      <c r="Q2120" s="18">
        <v>0</v>
      </c>
      <c r="U2120" s="22">
        <v>0.79</v>
      </c>
      <c r="V2120" s="22">
        <f>3.32/5</f>
        <v>0.66399999999999992</v>
      </c>
      <c r="W2120" s="14" t="s">
        <v>7777</v>
      </c>
      <c r="X2120" s="3">
        <v>2</v>
      </c>
      <c r="Z2120" s="23">
        <v>26</v>
      </c>
      <c r="AB2120" s="18">
        <f t="shared" si="66"/>
        <v>2017</v>
      </c>
      <c r="AC2120" s="22">
        <f t="shared" si="67"/>
        <v>0.61799999999999999</v>
      </c>
    </row>
    <row r="2121" spans="1:29" ht="25.5">
      <c r="A2121" s="8" t="s">
        <v>8597</v>
      </c>
      <c r="B2121" s="17" t="s">
        <v>7800</v>
      </c>
      <c r="C2121" s="13">
        <v>43020</v>
      </c>
      <c r="D2121" s="13" t="s">
        <v>8465</v>
      </c>
      <c r="E2121" s="10" t="s">
        <v>3808</v>
      </c>
      <c r="F2121" s="10" t="s">
        <v>8598</v>
      </c>
      <c r="H2121" s="2" t="s">
        <v>80</v>
      </c>
      <c r="L2121" s="18">
        <v>1</v>
      </c>
      <c r="N2121" s="13">
        <v>43943</v>
      </c>
      <c r="O2121" s="29">
        <v>0</v>
      </c>
      <c r="P2121" s="18" t="s">
        <v>1107</v>
      </c>
      <c r="Q2121" s="18">
        <v>0</v>
      </c>
      <c r="V2121" s="22">
        <f>3.65/5</f>
        <v>0.73</v>
      </c>
      <c r="W2121" s="14" t="s">
        <v>7799</v>
      </c>
      <c r="X2121" s="3">
        <v>3</v>
      </c>
      <c r="Z2121" s="23">
        <v>5.5</v>
      </c>
      <c r="AB2121" s="18">
        <f t="shared" si="66"/>
        <v>2017</v>
      </c>
      <c r="AC2121" s="22">
        <f t="shared" si="67"/>
        <v>0.66500000000000004</v>
      </c>
    </row>
    <row r="2122" spans="1:29">
      <c r="A2122" s="8" t="s">
        <v>8549</v>
      </c>
      <c r="B2122" s="17" t="s">
        <v>7800</v>
      </c>
      <c r="C2122" s="13">
        <v>43020</v>
      </c>
      <c r="D2122" s="13" t="s">
        <v>8465</v>
      </c>
      <c r="E2122" s="10" t="s">
        <v>8550</v>
      </c>
      <c r="F2122" s="10" t="s">
        <v>8550</v>
      </c>
      <c r="H2122" s="2" t="s">
        <v>1050</v>
      </c>
      <c r="I2122" s="18">
        <v>1</v>
      </c>
      <c r="L2122" s="18">
        <v>1</v>
      </c>
      <c r="N2122" s="13">
        <v>43880</v>
      </c>
      <c r="O2122" s="29">
        <v>0</v>
      </c>
      <c r="P2122" s="18" t="s">
        <v>1107</v>
      </c>
      <c r="Q2122" s="18">
        <v>0</v>
      </c>
      <c r="V2122" s="22">
        <f>3.58/5</f>
        <v>0.71599999999999997</v>
      </c>
      <c r="W2122" s="14" t="s">
        <v>7777</v>
      </c>
      <c r="X2122" s="3">
        <v>3</v>
      </c>
      <c r="Z2122" s="23">
        <f>26/60</f>
        <v>0.43333333333333335</v>
      </c>
      <c r="AB2122" s="18">
        <f t="shared" si="66"/>
        <v>2017</v>
      </c>
      <c r="AC2122" s="22">
        <f t="shared" si="67"/>
        <v>0.65799999999999992</v>
      </c>
    </row>
    <row r="2123" spans="1:29">
      <c r="A2123" s="8" t="s">
        <v>12100</v>
      </c>
      <c r="B2123" s="17" t="s">
        <v>7800</v>
      </c>
      <c r="C2123" s="13">
        <v>43019</v>
      </c>
      <c r="D2123" s="13" t="s">
        <v>8465</v>
      </c>
      <c r="E2123" s="10" t="s">
        <v>12099</v>
      </c>
      <c r="F2123" s="10" t="s">
        <v>12099</v>
      </c>
      <c r="G2123" s="11" t="s">
        <v>12098</v>
      </c>
      <c r="H2123" s="2" t="s">
        <v>1061</v>
      </c>
      <c r="L2123" s="18">
        <v>1</v>
      </c>
      <c r="N2123" s="13">
        <v>44744</v>
      </c>
      <c r="O2123" s="29">
        <v>0</v>
      </c>
      <c r="P2123" s="18" t="s">
        <v>1107</v>
      </c>
      <c r="Q2123" s="18">
        <v>0</v>
      </c>
      <c r="W2123" s="14" t="s">
        <v>8765</v>
      </c>
      <c r="X2123" s="3">
        <v>3</v>
      </c>
      <c r="Z2123" s="23">
        <v>2.5</v>
      </c>
      <c r="AB2123" s="18">
        <f t="shared" si="66"/>
        <v>2017</v>
      </c>
      <c r="AC2123" s="22">
        <f t="shared" si="67"/>
        <v>0.6</v>
      </c>
    </row>
    <row r="2124" spans="1:29" ht="38.25">
      <c r="A2124" s="8" t="s">
        <v>7072</v>
      </c>
      <c r="B2124" s="17" t="s">
        <v>7800</v>
      </c>
      <c r="C2124" s="13">
        <v>43019</v>
      </c>
      <c r="D2124" s="13" t="s">
        <v>8465</v>
      </c>
      <c r="E2124" s="10" t="s">
        <v>7073</v>
      </c>
      <c r="F2124" s="10" t="s">
        <v>7073</v>
      </c>
      <c r="G2124" s="11" t="s">
        <v>445</v>
      </c>
      <c r="H2124" s="2" t="s">
        <v>1720</v>
      </c>
      <c r="L2124" s="18">
        <v>1</v>
      </c>
      <c r="N2124" s="13">
        <v>43860</v>
      </c>
      <c r="O2124" s="29">
        <v>0</v>
      </c>
      <c r="P2124" s="18" t="s">
        <v>1107</v>
      </c>
      <c r="Q2124" s="18">
        <v>0</v>
      </c>
      <c r="V2124" s="22">
        <f>3/5</f>
        <v>0.6</v>
      </c>
      <c r="W2124" s="14" t="s">
        <v>7777</v>
      </c>
      <c r="X2124" s="3">
        <v>2</v>
      </c>
      <c r="Z2124" s="23">
        <v>10.5</v>
      </c>
      <c r="AB2124" s="18">
        <f t="shared" si="66"/>
        <v>2017</v>
      </c>
      <c r="AC2124" s="22">
        <f t="shared" si="67"/>
        <v>0.5</v>
      </c>
    </row>
    <row r="2125" spans="1:29" ht="25.5">
      <c r="A2125" s="8" t="s">
        <v>8538</v>
      </c>
      <c r="B2125" s="17" t="s">
        <v>7800</v>
      </c>
      <c r="C2125" s="13">
        <v>43018</v>
      </c>
      <c r="D2125" s="13" t="s">
        <v>8465</v>
      </c>
      <c r="E2125" s="10" t="s">
        <v>5869</v>
      </c>
      <c r="F2125" s="10" t="s">
        <v>8539</v>
      </c>
      <c r="G2125" s="11" t="s">
        <v>397</v>
      </c>
      <c r="H2125" s="2" t="s">
        <v>21</v>
      </c>
      <c r="L2125" s="18">
        <v>1</v>
      </c>
      <c r="N2125" s="13">
        <v>43924</v>
      </c>
      <c r="O2125" s="29">
        <v>0</v>
      </c>
      <c r="P2125" s="18" t="s">
        <v>1107</v>
      </c>
      <c r="Q2125" s="18">
        <v>0</v>
      </c>
      <c r="U2125" s="22">
        <v>0.77</v>
      </c>
      <c r="V2125" s="22">
        <f>3.62/5</f>
        <v>0.72399999999999998</v>
      </c>
      <c r="W2125" s="14" t="s">
        <v>7777</v>
      </c>
      <c r="X2125" s="3">
        <v>3</v>
      </c>
      <c r="Z2125" s="23">
        <v>1.5</v>
      </c>
      <c r="AB2125" s="18">
        <f t="shared" si="66"/>
        <v>2017</v>
      </c>
      <c r="AC2125" s="22">
        <f t="shared" si="67"/>
        <v>0.69799999999999995</v>
      </c>
    </row>
    <row r="2126" spans="1:29">
      <c r="A2126" s="8" t="s">
        <v>3597</v>
      </c>
      <c r="B2126" s="17" t="s">
        <v>7800</v>
      </c>
      <c r="C2126" s="13">
        <v>43018</v>
      </c>
      <c r="D2126" s="13" t="s">
        <v>8465</v>
      </c>
      <c r="E2126" s="10" t="s">
        <v>1082</v>
      </c>
      <c r="F2126" s="10" t="s">
        <v>3598</v>
      </c>
      <c r="H2126" s="2" t="s">
        <v>153</v>
      </c>
      <c r="L2126" s="18">
        <v>1</v>
      </c>
      <c r="N2126" s="13">
        <v>43572</v>
      </c>
      <c r="O2126" s="29">
        <v>0</v>
      </c>
      <c r="P2126" s="18" t="s">
        <v>1107</v>
      </c>
      <c r="Q2126" s="18">
        <v>0</v>
      </c>
      <c r="U2126" s="22">
        <v>0.66</v>
      </c>
      <c r="V2126" s="22">
        <f>2.75/5</f>
        <v>0.55000000000000004</v>
      </c>
      <c r="W2126" s="14" t="s">
        <v>7777</v>
      </c>
      <c r="X2126" s="3">
        <v>2</v>
      </c>
      <c r="Z2126" s="23">
        <v>6</v>
      </c>
      <c r="AB2126" s="18">
        <f t="shared" si="66"/>
        <v>2017</v>
      </c>
      <c r="AC2126" s="22">
        <f t="shared" si="67"/>
        <v>0.53666666666666663</v>
      </c>
    </row>
    <row r="2127" spans="1:29" ht="30">
      <c r="A2127" s="8" t="s">
        <v>6626</v>
      </c>
      <c r="B2127" s="17" t="s">
        <v>7760</v>
      </c>
      <c r="C2127" s="13">
        <v>43014</v>
      </c>
      <c r="D2127" s="13" t="s">
        <v>8465</v>
      </c>
      <c r="E2127" s="10" t="s">
        <v>1081</v>
      </c>
      <c r="F2127" s="10" t="s">
        <v>1081</v>
      </c>
      <c r="G2127" s="11" t="s">
        <v>340</v>
      </c>
      <c r="H2127" s="2" t="s">
        <v>21</v>
      </c>
      <c r="L2127" s="18">
        <v>1</v>
      </c>
      <c r="M2127" s="14" t="s">
        <v>8462</v>
      </c>
      <c r="N2127" s="13">
        <v>43696</v>
      </c>
      <c r="O2127" s="29">
        <v>43.08</v>
      </c>
      <c r="P2127" s="18" t="s">
        <v>14</v>
      </c>
      <c r="Q2127" s="18">
        <v>0</v>
      </c>
      <c r="V2127" s="22">
        <f>4.23/5</f>
        <v>0.84600000000000009</v>
      </c>
      <c r="W2127" s="14" t="s">
        <v>1134</v>
      </c>
      <c r="X2127" s="3">
        <v>3</v>
      </c>
      <c r="Z2127" s="23">
        <v>0.78</v>
      </c>
      <c r="AB2127" s="18">
        <f t="shared" si="66"/>
        <v>2017</v>
      </c>
      <c r="AC2127" s="22">
        <f t="shared" si="67"/>
        <v>0.72300000000000009</v>
      </c>
    </row>
    <row r="2128" spans="1:29" ht="51">
      <c r="A2128" s="8" t="s">
        <v>2379</v>
      </c>
      <c r="B2128" s="17" t="s">
        <v>7749</v>
      </c>
      <c r="C2128" s="13">
        <v>43014</v>
      </c>
      <c r="D2128" s="13" t="s">
        <v>8465</v>
      </c>
      <c r="E2128" s="10" t="s">
        <v>2129</v>
      </c>
      <c r="F2128" s="10" t="s">
        <v>2129</v>
      </c>
      <c r="G2128" s="11" t="s">
        <v>2130</v>
      </c>
      <c r="H2128" s="2" t="s">
        <v>78</v>
      </c>
      <c r="L2128" s="18">
        <v>1</v>
      </c>
      <c r="M2128" s="14" t="s">
        <v>8462</v>
      </c>
      <c r="N2128" s="13">
        <v>43537</v>
      </c>
      <c r="O2128" s="29">
        <v>24.97</v>
      </c>
      <c r="P2128" s="18" t="s">
        <v>14</v>
      </c>
      <c r="Q2128" s="18">
        <v>0</v>
      </c>
      <c r="U2128" s="22">
        <v>0.7</v>
      </c>
      <c r="V2128" s="22">
        <f>3.41/5</f>
        <v>0.68200000000000005</v>
      </c>
      <c r="X2128" s="3">
        <v>3</v>
      </c>
      <c r="Z2128" s="23">
        <v>18.5</v>
      </c>
      <c r="AB2128" s="18">
        <f t="shared" si="66"/>
        <v>2017</v>
      </c>
      <c r="AC2128" s="22">
        <f t="shared" si="67"/>
        <v>0.66066666666666674</v>
      </c>
    </row>
    <row r="2129" spans="1:29">
      <c r="A2129" s="8" t="s">
        <v>9424</v>
      </c>
      <c r="B2129" s="17" t="s">
        <v>7800</v>
      </c>
      <c r="C2129" s="13">
        <v>43013</v>
      </c>
      <c r="D2129" s="13" t="s">
        <v>8465</v>
      </c>
      <c r="E2129" s="10" t="s">
        <v>9423</v>
      </c>
      <c r="F2129" s="10" t="s">
        <v>9423</v>
      </c>
      <c r="H2129" s="2" t="s">
        <v>1050</v>
      </c>
      <c r="I2129" s="18">
        <v>1</v>
      </c>
      <c r="L2129" s="18">
        <v>1</v>
      </c>
      <c r="N2129" s="13">
        <v>44145</v>
      </c>
      <c r="O2129" s="29">
        <v>0</v>
      </c>
      <c r="P2129" s="18" t="s">
        <v>1107</v>
      </c>
      <c r="Q2129" s="18">
        <v>0</v>
      </c>
      <c r="U2129" s="22">
        <v>0.87</v>
      </c>
      <c r="V2129" s="22">
        <f>3.7/5</f>
        <v>0.74</v>
      </c>
      <c r="W2129" s="14" t="s">
        <v>7777</v>
      </c>
      <c r="X2129" s="3">
        <v>3</v>
      </c>
      <c r="Z2129" s="23">
        <v>5.5</v>
      </c>
      <c r="AB2129" s="18">
        <f t="shared" si="66"/>
        <v>2017</v>
      </c>
      <c r="AC2129" s="22">
        <f t="shared" si="67"/>
        <v>0.73666666666666669</v>
      </c>
    </row>
    <row r="2130" spans="1:29">
      <c r="A2130" s="8" t="s">
        <v>4853</v>
      </c>
      <c r="B2130" s="17" t="s">
        <v>7800</v>
      </c>
      <c r="C2130" s="13">
        <v>43012</v>
      </c>
      <c r="D2130" s="13" t="s">
        <v>8465</v>
      </c>
      <c r="E2130" s="10" t="s">
        <v>4798</v>
      </c>
      <c r="F2130" s="10" t="s">
        <v>4854</v>
      </c>
      <c r="H2130" s="2" t="s">
        <v>150</v>
      </c>
      <c r="L2130" s="18">
        <v>1</v>
      </c>
      <c r="N2130" s="13">
        <v>43651</v>
      </c>
      <c r="O2130" s="29">
        <v>0</v>
      </c>
      <c r="P2130" s="18" t="s">
        <v>1107</v>
      </c>
      <c r="Q2130" s="18">
        <v>0</v>
      </c>
      <c r="U2130" s="22">
        <v>0.67</v>
      </c>
      <c r="V2130" s="22">
        <f>3.4/5</f>
        <v>0.67999999999999994</v>
      </c>
      <c r="W2130" s="14" t="s">
        <v>7777</v>
      </c>
      <c r="X2130" s="3">
        <v>3</v>
      </c>
      <c r="Z2130" s="23">
        <v>7.5</v>
      </c>
      <c r="AB2130" s="18">
        <f t="shared" si="66"/>
        <v>2017</v>
      </c>
      <c r="AC2130" s="22">
        <f t="shared" si="67"/>
        <v>0.65</v>
      </c>
    </row>
    <row r="2131" spans="1:29">
      <c r="A2131" s="8" t="s">
        <v>14162</v>
      </c>
      <c r="B2131" s="17" t="s">
        <v>7800</v>
      </c>
      <c r="C2131" s="13">
        <v>43012</v>
      </c>
      <c r="D2131" s="13" t="s">
        <v>8465</v>
      </c>
      <c r="E2131" s="10" t="s">
        <v>14163</v>
      </c>
      <c r="F2131" s="10" t="s">
        <v>14163</v>
      </c>
      <c r="H2131" s="2" t="s">
        <v>67</v>
      </c>
      <c r="L2131" s="18">
        <v>1</v>
      </c>
      <c r="O2131" s="29">
        <v>0</v>
      </c>
      <c r="P2131" s="18" t="s">
        <v>1107</v>
      </c>
      <c r="Q2131" s="18">
        <v>0</v>
      </c>
      <c r="W2131" s="14" t="s">
        <v>8765</v>
      </c>
      <c r="X2131" s="3">
        <v>2</v>
      </c>
      <c r="Z2131" s="23">
        <v>5</v>
      </c>
      <c r="AB2131" s="18">
        <f t="shared" si="66"/>
        <v>2017</v>
      </c>
      <c r="AC2131" s="22">
        <f t="shared" si="67"/>
        <v>0.4</v>
      </c>
    </row>
    <row r="2132" spans="1:29">
      <c r="A2132" s="8" t="s">
        <v>15677</v>
      </c>
      <c r="B2132" s="17" t="s">
        <v>7800</v>
      </c>
      <c r="C2132" s="13">
        <v>43012</v>
      </c>
      <c r="D2132" s="13" t="s">
        <v>8465</v>
      </c>
      <c r="E2132" s="10" t="s">
        <v>15685</v>
      </c>
      <c r="F2132" s="10" t="s">
        <v>15685</v>
      </c>
      <c r="H2132" s="2" t="s">
        <v>151</v>
      </c>
      <c r="L2132" s="18">
        <v>1</v>
      </c>
      <c r="N2132" s="13">
        <v>45167</v>
      </c>
      <c r="O2132" s="29">
        <v>0.99</v>
      </c>
      <c r="P2132" s="18" t="s">
        <v>1107</v>
      </c>
      <c r="Q2132" s="18">
        <v>0</v>
      </c>
      <c r="V2132" s="22">
        <f>3.25/5</f>
        <v>0.65</v>
      </c>
      <c r="W2132" s="14" t="s">
        <v>7777</v>
      </c>
      <c r="X2132" s="3">
        <v>3</v>
      </c>
      <c r="Z2132" s="23">
        <v>5.5</v>
      </c>
      <c r="AB2132" s="18">
        <f t="shared" si="66"/>
        <v>2017</v>
      </c>
      <c r="AC2132" s="22">
        <f t="shared" si="67"/>
        <v>0.625</v>
      </c>
    </row>
    <row r="2133" spans="1:29" ht="25.5">
      <c r="A2133" s="8" t="s">
        <v>8487</v>
      </c>
      <c r="B2133" s="17" t="s">
        <v>7800</v>
      </c>
      <c r="C2133" s="13">
        <v>43011</v>
      </c>
      <c r="D2133" s="13" t="s">
        <v>8465</v>
      </c>
      <c r="E2133" s="10" t="s">
        <v>1583</v>
      </c>
      <c r="F2133" s="10" t="s">
        <v>8354</v>
      </c>
      <c r="H2133" s="2" t="s">
        <v>149</v>
      </c>
      <c r="L2133" s="18">
        <v>1</v>
      </c>
      <c r="N2133" s="13">
        <v>43896</v>
      </c>
      <c r="O2133" s="29">
        <v>11</v>
      </c>
      <c r="P2133" s="18" t="s">
        <v>1107</v>
      </c>
      <c r="Q2133" s="18">
        <v>0</v>
      </c>
      <c r="U2133" s="22">
        <v>0.78</v>
      </c>
      <c r="V2133" s="22">
        <f>3.79/5</f>
        <v>0.75800000000000001</v>
      </c>
      <c r="W2133" s="14" t="s">
        <v>7777</v>
      </c>
      <c r="X2133" s="3">
        <v>4</v>
      </c>
      <c r="Z2133" s="23">
        <v>28.5</v>
      </c>
      <c r="AB2133" s="18">
        <f t="shared" si="66"/>
        <v>2017</v>
      </c>
      <c r="AC2133" s="22">
        <f t="shared" si="67"/>
        <v>0.77933333333333332</v>
      </c>
    </row>
    <row r="2134" spans="1:29">
      <c r="A2134" s="8" t="s">
        <v>8977</v>
      </c>
      <c r="B2134" s="17" t="s">
        <v>7749</v>
      </c>
      <c r="C2134" s="13">
        <v>43011</v>
      </c>
      <c r="D2134" s="13" t="s">
        <v>8465</v>
      </c>
      <c r="E2134" s="10" t="s">
        <v>1062</v>
      </c>
      <c r="F2134" s="10" t="s">
        <v>8901</v>
      </c>
      <c r="G2134" s="11" t="s">
        <v>8900</v>
      </c>
      <c r="H2134" s="2" t="s">
        <v>3411</v>
      </c>
      <c r="L2134" s="18">
        <v>1</v>
      </c>
      <c r="M2134" s="14" t="s">
        <v>8462</v>
      </c>
      <c r="N2134" s="13">
        <v>44006</v>
      </c>
      <c r="O2134" s="29">
        <v>21.59</v>
      </c>
      <c r="P2134" s="18" t="s">
        <v>14</v>
      </c>
      <c r="Q2134" s="18">
        <v>0</v>
      </c>
      <c r="U2134" s="22">
        <v>0.74</v>
      </c>
      <c r="V2134" s="22">
        <f>4.11/5</f>
        <v>0.82200000000000006</v>
      </c>
      <c r="X2134" s="3">
        <v>3</v>
      </c>
      <c r="AB2134" s="18">
        <f t="shared" si="66"/>
        <v>2017</v>
      </c>
      <c r="AC2134" s="22">
        <f t="shared" si="67"/>
        <v>0.72066666666666668</v>
      </c>
    </row>
    <row r="2135" spans="1:29">
      <c r="A2135" s="8" t="s">
        <v>12902</v>
      </c>
      <c r="B2135" s="17" t="s">
        <v>7766</v>
      </c>
      <c r="C2135" s="13">
        <v>43011</v>
      </c>
      <c r="D2135" s="13" t="s">
        <v>8465</v>
      </c>
      <c r="E2135" s="10" t="s">
        <v>3116</v>
      </c>
      <c r="F2135" s="10" t="s">
        <v>10651</v>
      </c>
      <c r="G2135" s="11" t="s">
        <v>10642</v>
      </c>
      <c r="H2135" s="2" t="s">
        <v>150</v>
      </c>
      <c r="L2135" s="18">
        <v>0</v>
      </c>
      <c r="Q2135" s="18">
        <v>0</v>
      </c>
      <c r="U2135" s="22">
        <v>0.86</v>
      </c>
      <c r="V2135" s="22">
        <f>3.93/5</f>
        <v>0.78600000000000003</v>
      </c>
      <c r="X2135" s="3">
        <v>2</v>
      </c>
      <c r="Y2135" s="18">
        <v>1</v>
      </c>
      <c r="Z2135" s="23">
        <v>29</v>
      </c>
      <c r="AB2135" s="18">
        <f t="shared" si="66"/>
        <v>2017</v>
      </c>
      <c r="AC2135" s="22">
        <f t="shared" si="67"/>
        <v>0.68199999999999994</v>
      </c>
    </row>
    <row r="2136" spans="1:29">
      <c r="A2136" s="8" t="s">
        <v>12517</v>
      </c>
      <c r="B2136" s="17" t="s">
        <v>7800</v>
      </c>
      <c r="C2136" s="13">
        <v>43011</v>
      </c>
      <c r="D2136" s="13" t="s">
        <v>8465</v>
      </c>
      <c r="E2136" s="10" t="s">
        <v>3212</v>
      </c>
      <c r="F2136" s="10" t="s">
        <v>12518</v>
      </c>
      <c r="H2136" s="2" t="s">
        <v>2138</v>
      </c>
      <c r="L2136" s="18">
        <v>1</v>
      </c>
      <c r="N2136" s="13">
        <v>44818</v>
      </c>
      <c r="O2136" s="29">
        <v>0</v>
      </c>
      <c r="P2136" s="18" t="s">
        <v>1107</v>
      </c>
      <c r="Q2136" s="18">
        <v>0</v>
      </c>
      <c r="V2136" s="22">
        <f>3.75/5</f>
        <v>0.75</v>
      </c>
      <c r="W2136" s="14" t="s">
        <v>7777</v>
      </c>
      <c r="X2136" s="3">
        <v>2</v>
      </c>
      <c r="Z2136" s="23">
        <v>2</v>
      </c>
      <c r="AB2136" s="18">
        <f t="shared" si="66"/>
        <v>2017</v>
      </c>
      <c r="AC2136" s="22">
        <f t="shared" si="67"/>
        <v>0.57499999999999996</v>
      </c>
    </row>
    <row r="2137" spans="1:29">
      <c r="A2137" s="8" t="s">
        <v>13791</v>
      </c>
      <c r="B2137" s="17" t="s">
        <v>7800</v>
      </c>
      <c r="C2137" s="13">
        <v>43010</v>
      </c>
      <c r="D2137" s="13" t="s">
        <v>8465</v>
      </c>
      <c r="E2137" s="10" t="s">
        <v>13792</v>
      </c>
      <c r="F2137" s="10" t="s">
        <v>13555</v>
      </c>
      <c r="G2137" s="11" t="s">
        <v>13793</v>
      </c>
      <c r="H2137" s="2" t="s">
        <v>67</v>
      </c>
      <c r="L2137" s="18">
        <v>1</v>
      </c>
      <c r="N2137" s="13">
        <v>45004</v>
      </c>
      <c r="O2137" s="29">
        <v>0.99</v>
      </c>
      <c r="P2137" s="18" t="s">
        <v>1107</v>
      </c>
      <c r="Q2137" s="18">
        <v>0</v>
      </c>
      <c r="U2137" s="22">
        <v>0.78</v>
      </c>
      <c r="V2137" s="22">
        <f>3.83/5</f>
        <v>0.76600000000000001</v>
      </c>
      <c r="W2137" s="14" t="s">
        <v>7777</v>
      </c>
      <c r="X2137" s="3">
        <v>3</v>
      </c>
      <c r="Z2137" s="23">
        <v>2</v>
      </c>
      <c r="AB2137" s="18">
        <f t="shared" si="66"/>
        <v>2017</v>
      </c>
      <c r="AC2137" s="22">
        <f t="shared" si="67"/>
        <v>0.71533333333333327</v>
      </c>
    </row>
    <row r="2138" spans="1:29" ht="30">
      <c r="A2138" s="8" t="s">
        <v>837</v>
      </c>
      <c r="B2138" s="17" t="s">
        <v>7736</v>
      </c>
      <c r="C2138" s="13">
        <v>43007</v>
      </c>
      <c r="D2138" s="13" t="s">
        <v>8465</v>
      </c>
      <c r="E2138" s="10" t="s">
        <v>86</v>
      </c>
      <c r="F2138" s="10" t="s">
        <v>1421</v>
      </c>
      <c r="G2138" s="11" t="s">
        <v>578</v>
      </c>
      <c r="H2138" s="2" t="s">
        <v>1170</v>
      </c>
      <c r="L2138" s="18">
        <v>1</v>
      </c>
      <c r="M2138" s="14" t="s">
        <v>8462</v>
      </c>
      <c r="O2138" s="29">
        <v>65.09</v>
      </c>
      <c r="P2138" s="18" t="s">
        <v>14</v>
      </c>
      <c r="Q2138" s="18">
        <v>0</v>
      </c>
      <c r="V2138" s="22">
        <f>3.7/5</f>
        <v>0.74</v>
      </c>
      <c r="W2138" s="14" t="s">
        <v>8683</v>
      </c>
      <c r="X2138" s="3">
        <v>4</v>
      </c>
      <c r="Z2138" s="23">
        <v>0.7</v>
      </c>
      <c r="AB2138" s="18">
        <f t="shared" si="66"/>
        <v>2017</v>
      </c>
      <c r="AC2138" s="22">
        <f t="shared" si="67"/>
        <v>0.77</v>
      </c>
    </row>
    <row r="2139" spans="1:29" ht="25.5">
      <c r="A2139" s="8" t="s">
        <v>10274</v>
      </c>
      <c r="B2139" s="17" t="s">
        <v>7749</v>
      </c>
      <c r="C2139" s="13">
        <v>43007</v>
      </c>
      <c r="D2139" s="13" t="s">
        <v>8465</v>
      </c>
      <c r="E2139" s="10" t="s">
        <v>86</v>
      </c>
      <c r="F2139" s="10" t="s">
        <v>2129</v>
      </c>
      <c r="G2139" s="11" t="s">
        <v>10273</v>
      </c>
      <c r="H2139" s="2" t="s">
        <v>149</v>
      </c>
      <c r="L2139" s="18">
        <v>1</v>
      </c>
      <c r="M2139" s="14" t="s">
        <v>8462</v>
      </c>
      <c r="N2139" s="13">
        <v>44871</v>
      </c>
      <c r="O2139" s="29">
        <v>108.61</v>
      </c>
      <c r="P2139" s="18" t="s">
        <v>14</v>
      </c>
      <c r="Q2139" s="18">
        <v>0</v>
      </c>
      <c r="U2139" s="22">
        <v>0.73</v>
      </c>
      <c r="V2139" s="22">
        <f>4.37/5</f>
        <v>0.874</v>
      </c>
      <c r="X2139" s="3">
        <v>3</v>
      </c>
      <c r="Z2139" s="23">
        <v>26</v>
      </c>
      <c r="AB2139" s="18">
        <f t="shared" si="66"/>
        <v>2017</v>
      </c>
      <c r="AC2139" s="22">
        <f t="shared" si="67"/>
        <v>0.73466666666666669</v>
      </c>
    </row>
    <row r="2140" spans="1:29">
      <c r="A2140" s="8" t="s">
        <v>14360</v>
      </c>
      <c r="B2140" s="17" t="s">
        <v>7744</v>
      </c>
      <c r="C2140" s="13">
        <v>43006</v>
      </c>
      <c r="D2140" s="13" t="s">
        <v>8465</v>
      </c>
      <c r="E2140" s="10" t="s">
        <v>14361</v>
      </c>
      <c r="F2140" s="10" t="s">
        <v>14361</v>
      </c>
      <c r="G2140" s="11" t="s">
        <v>14360</v>
      </c>
      <c r="H2140" s="2" t="s">
        <v>171</v>
      </c>
      <c r="L2140" s="18">
        <v>1</v>
      </c>
      <c r="N2140" s="13">
        <v>45035</v>
      </c>
      <c r="O2140" s="29">
        <v>4.99</v>
      </c>
      <c r="P2140" s="18" t="s">
        <v>1107</v>
      </c>
      <c r="Q2140" s="18">
        <v>0</v>
      </c>
      <c r="U2140" s="22">
        <v>0.78</v>
      </c>
      <c r="V2140" s="22">
        <f>3.94/5</f>
        <v>0.78800000000000003</v>
      </c>
      <c r="X2140" s="3">
        <v>4</v>
      </c>
      <c r="Z2140" s="23">
        <v>15.5</v>
      </c>
      <c r="AB2140" s="18">
        <f t="shared" si="66"/>
        <v>2017</v>
      </c>
      <c r="AC2140" s="22">
        <f t="shared" si="67"/>
        <v>0.78933333333333344</v>
      </c>
    </row>
    <row r="2141" spans="1:29">
      <c r="A2141" s="8" t="s">
        <v>11961</v>
      </c>
      <c r="B2141" s="17" t="s">
        <v>7744</v>
      </c>
      <c r="C2141" s="13">
        <v>43006</v>
      </c>
      <c r="D2141" s="13" t="s">
        <v>8465</v>
      </c>
      <c r="E2141" s="10" t="s">
        <v>1794</v>
      </c>
      <c r="F2141" s="10" t="s">
        <v>1794</v>
      </c>
      <c r="G2141" s="11" t="s">
        <v>10286</v>
      </c>
      <c r="H2141" s="2" t="s">
        <v>78</v>
      </c>
      <c r="L2141" s="18">
        <v>1</v>
      </c>
      <c r="N2141" s="13">
        <v>44723</v>
      </c>
      <c r="O2141" s="29">
        <v>5.59</v>
      </c>
      <c r="P2141" s="18" t="s">
        <v>1107</v>
      </c>
      <c r="Q2141" s="18">
        <v>0</v>
      </c>
      <c r="U2141" s="22">
        <v>0.67</v>
      </c>
      <c r="V2141" s="22">
        <f>3.75/5</f>
        <v>0.75</v>
      </c>
      <c r="X2141" s="3">
        <v>3</v>
      </c>
      <c r="Z2141" s="23">
        <v>23.5</v>
      </c>
      <c r="AB2141" s="18">
        <f t="shared" si="66"/>
        <v>2017</v>
      </c>
      <c r="AC2141" s="22">
        <f t="shared" si="67"/>
        <v>0.67333333333333334</v>
      </c>
    </row>
    <row r="2142" spans="1:29" ht="25.5">
      <c r="A2142" s="8" t="s">
        <v>12725</v>
      </c>
      <c r="B2142" s="17" t="s">
        <v>7800</v>
      </c>
      <c r="C2142" s="13">
        <v>43006</v>
      </c>
      <c r="D2142" s="13" t="s">
        <v>8465</v>
      </c>
      <c r="E2142" s="10" t="s">
        <v>455</v>
      </c>
      <c r="F2142" s="10" t="s">
        <v>3151</v>
      </c>
      <c r="G2142" s="11" t="s">
        <v>3794</v>
      </c>
      <c r="H2142" s="2" t="s">
        <v>1271</v>
      </c>
      <c r="L2142" s="18">
        <v>1</v>
      </c>
      <c r="N2142" s="13">
        <v>44837</v>
      </c>
      <c r="O2142" s="29">
        <v>0</v>
      </c>
      <c r="P2142" s="18" t="s">
        <v>1107</v>
      </c>
      <c r="Q2142" s="18">
        <v>0</v>
      </c>
      <c r="U2142" s="22">
        <v>0.87</v>
      </c>
      <c r="V2142" s="22">
        <f>3.98/5</f>
        <v>0.79600000000000004</v>
      </c>
      <c r="W2142" s="14" t="s">
        <v>7097</v>
      </c>
      <c r="X2142" s="3">
        <v>2</v>
      </c>
      <c r="Z2142" s="23">
        <v>41.5</v>
      </c>
      <c r="AB2142" s="18">
        <f t="shared" si="66"/>
        <v>2017</v>
      </c>
      <c r="AC2142" s="22">
        <f t="shared" si="67"/>
        <v>0.68866666666666665</v>
      </c>
    </row>
    <row r="2143" spans="1:29" ht="25.5">
      <c r="A2143" s="8" t="s">
        <v>12490</v>
      </c>
      <c r="B2143" s="17" t="s">
        <v>7744</v>
      </c>
      <c r="C2143" s="13">
        <v>43006</v>
      </c>
      <c r="D2143" s="13" t="s">
        <v>8465</v>
      </c>
      <c r="E2143" s="10" t="s">
        <v>2483</v>
      </c>
      <c r="F2143" s="10" t="s">
        <v>2483</v>
      </c>
      <c r="G2143" s="11" t="s">
        <v>11388</v>
      </c>
      <c r="H2143" s="2" t="s">
        <v>1377</v>
      </c>
      <c r="L2143" s="18">
        <v>1</v>
      </c>
      <c r="N2143" s="13">
        <v>44743</v>
      </c>
      <c r="O2143" s="29">
        <v>4.49</v>
      </c>
      <c r="P2143" s="18" t="s">
        <v>1107</v>
      </c>
      <c r="Q2143" s="18">
        <v>0</v>
      </c>
      <c r="V2143" s="22">
        <f>4/5</f>
        <v>0.8</v>
      </c>
      <c r="X2143" s="3">
        <v>2</v>
      </c>
      <c r="Z2143" s="23">
        <v>6</v>
      </c>
      <c r="AB2143" s="18">
        <f t="shared" si="66"/>
        <v>2017</v>
      </c>
      <c r="AC2143" s="22">
        <f t="shared" si="67"/>
        <v>0.60000000000000009</v>
      </c>
    </row>
    <row r="2144" spans="1:29">
      <c r="A2144" s="8" t="s">
        <v>10977</v>
      </c>
      <c r="B2144" s="17" t="s">
        <v>7800</v>
      </c>
      <c r="C2144" s="13">
        <v>43005</v>
      </c>
      <c r="D2144" s="13" t="s">
        <v>8465</v>
      </c>
      <c r="E2144" s="10" t="s">
        <v>10978</v>
      </c>
      <c r="F2144" s="10" t="s">
        <v>10978</v>
      </c>
      <c r="H2144" s="2" t="s">
        <v>67</v>
      </c>
      <c r="L2144" s="18">
        <v>1</v>
      </c>
      <c r="N2144" s="13">
        <v>44568</v>
      </c>
      <c r="O2144" s="29">
        <v>0</v>
      </c>
      <c r="P2144" s="18" t="s">
        <v>1107</v>
      </c>
      <c r="Q2144" s="18">
        <v>0</v>
      </c>
      <c r="V2144" s="22">
        <f>3.54/5</f>
        <v>0.70799999999999996</v>
      </c>
      <c r="W2144" s="14" t="s">
        <v>7777</v>
      </c>
      <c r="X2144" s="3">
        <v>3</v>
      </c>
      <c r="Z2144" s="23">
        <v>9</v>
      </c>
      <c r="AB2144" s="18">
        <f t="shared" si="66"/>
        <v>2017</v>
      </c>
      <c r="AC2144" s="22">
        <f t="shared" si="67"/>
        <v>0.65399999999999991</v>
      </c>
    </row>
    <row r="2145" spans="1:29" ht="30">
      <c r="A2145" s="8" t="s">
        <v>12124</v>
      </c>
      <c r="B2145" s="17" t="s">
        <v>7800</v>
      </c>
      <c r="C2145" s="13">
        <v>43005</v>
      </c>
      <c r="D2145" s="13" t="s">
        <v>8465</v>
      </c>
      <c r="E2145" s="10" t="s">
        <v>12125</v>
      </c>
      <c r="F2145" s="10" t="s">
        <v>12125</v>
      </c>
      <c r="H2145" s="2" t="s">
        <v>67</v>
      </c>
      <c r="L2145" s="18">
        <v>1</v>
      </c>
      <c r="O2145" s="29">
        <v>0</v>
      </c>
      <c r="P2145" s="18" t="s">
        <v>1107</v>
      </c>
      <c r="Q2145" s="18">
        <v>0</v>
      </c>
      <c r="V2145" s="22">
        <f>3/5</f>
        <v>0.6</v>
      </c>
      <c r="W2145" s="14" t="s">
        <v>8765</v>
      </c>
      <c r="X2145" s="3">
        <v>3</v>
      </c>
      <c r="Z2145" s="23">
        <v>8.5</v>
      </c>
      <c r="AB2145" s="18">
        <f t="shared" si="66"/>
        <v>2017</v>
      </c>
      <c r="AC2145" s="22">
        <f t="shared" si="67"/>
        <v>0.6</v>
      </c>
    </row>
    <row r="2146" spans="1:29">
      <c r="A2146" s="8" t="s">
        <v>4873</v>
      </c>
      <c r="B2146" s="17" t="s">
        <v>7800</v>
      </c>
      <c r="C2146" s="13">
        <v>43004</v>
      </c>
      <c r="D2146" s="13" t="s">
        <v>8465</v>
      </c>
      <c r="E2146" s="10" t="s">
        <v>3063</v>
      </c>
      <c r="F2146" s="10" t="s">
        <v>4874</v>
      </c>
      <c r="H2146" s="2" t="s">
        <v>2138</v>
      </c>
      <c r="L2146" s="18">
        <v>1</v>
      </c>
      <c r="N2146" s="13">
        <v>43642</v>
      </c>
      <c r="O2146" s="29">
        <v>7.99</v>
      </c>
      <c r="P2146" s="18" t="s">
        <v>1107</v>
      </c>
      <c r="Q2146" s="18">
        <v>0</v>
      </c>
      <c r="U2146" s="22">
        <v>0.75</v>
      </c>
      <c r="V2146" s="22">
        <f>3.43/5</f>
        <v>0.68600000000000005</v>
      </c>
      <c r="W2146" s="14" t="s">
        <v>7777</v>
      </c>
      <c r="X2146" s="3">
        <v>4</v>
      </c>
      <c r="Z2146" s="23">
        <v>5.5</v>
      </c>
      <c r="AB2146" s="18">
        <f t="shared" si="66"/>
        <v>2017</v>
      </c>
      <c r="AC2146" s="22">
        <f t="shared" si="67"/>
        <v>0.74533333333333329</v>
      </c>
    </row>
    <row r="2147" spans="1:29">
      <c r="A2147" s="8" t="s">
        <v>10643</v>
      </c>
      <c r="B2147" s="17" t="s">
        <v>7800</v>
      </c>
      <c r="C2147" s="13">
        <v>43004</v>
      </c>
      <c r="D2147" s="13" t="s">
        <v>8465</v>
      </c>
      <c r="E2147" s="10" t="s">
        <v>1565</v>
      </c>
      <c r="F2147" s="10" t="s">
        <v>1566</v>
      </c>
      <c r="G2147" s="11" t="s">
        <v>10643</v>
      </c>
      <c r="H2147" s="2" t="s">
        <v>149</v>
      </c>
      <c r="L2147" s="18">
        <v>1</v>
      </c>
      <c r="N2147" s="13">
        <v>44525</v>
      </c>
      <c r="O2147" s="29">
        <v>21.59</v>
      </c>
      <c r="P2147" s="18" t="s">
        <v>1107</v>
      </c>
      <c r="Q2147" s="18">
        <v>0</v>
      </c>
      <c r="U2147" s="22">
        <v>0.61</v>
      </c>
      <c r="V2147" s="22">
        <f>3.71/5</f>
        <v>0.74199999999999999</v>
      </c>
      <c r="W2147" s="14" t="s">
        <v>7777</v>
      </c>
      <c r="X2147" s="3">
        <v>4</v>
      </c>
      <c r="Z2147" s="23">
        <v>19</v>
      </c>
      <c r="AB2147" s="18">
        <f t="shared" si="66"/>
        <v>2017</v>
      </c>
      <c r="AC2147" s="22">
        <f t="shared" si="67"/>
        <v>0.71733333333333338</v>
      </c>
    </row>
    <row r="2148" spans="1:29">
      <c r="A2148" s="8" t="s">
        <v>8534</v>
      </c>
      <c r="B2148" s="17" t="s">
        <v>7800</v>
      </c>
      <c r="C2148" s="13">
        <v>43004</v>
      </c>
      <c r="D2148" s="13" t="s">
        <v>8465</v>
      </c>
      <c r="E2148" s="10" t="s">
        <v>5443</v>
      </c>
      <c r="F2148" s="10" t="s">
        <v>5443</v>
      </c>
      <c r="H2148" s="2" t="s">
        <v>80</v>
      </c>
      <c r="L2148" s="18">
        <v>1</v>
      </c>
      <c r="N2148" s="13">
        <v>43923</v>
      </c>
      <c r="O2148" s="29">
        <v>0</v>
      </c>
      <c r="P2148" s="18" t="s">
        <v>1107</v>
      </c>
      <c r="Q2148" s="18">
        <v>0</v>
      </c>
      <c r="U2148" s="22">
        <v>0.76</v>
      </c>
      <c r="V2148" s="22">
        <f>3.74/5</f>
        <v>0.748</v>
      </c>
      <c r="W2148" s="14" t="s">
        <v>7097</v>
      </c>
      <c r="X2148" s="3">
        <v>3</v>
      </c>
      <c r="Z2148" s="23">
        <v>10</v>
      </c>
      <c r="AB2148" s="18">
        <f t="shared" si="66"/>
        <v>2017</v>
      </c>
      <c r="AC2148" s="22">
        <f t="shared" si="67"/>
        <v>0.70266666666666666</v>
      </c>
    </row>
    <row r="2149" spans="1:29">
      <c r="A2149" s="8" t="s">
        <v>10643</v>
      </c>
      <c r="B2149" s="17" t="s">
        <v>7760</v>
      </c>
      <c r="C2149" s="13">
        <v>43004</v>
      </c>
      <c r="D2149" s="13" t="s">
        <v>8465</v>
      </c>
      <c r="E2149" s="10" t="s">
        <v>1565</v>
      </c>
      <c r="F2149" s="10" t="s">
        <v>2286</v>
      </c>
      <c r="G2149" s="11" t="s">
        <v>10643</v>
      </c>
      <c r="H2149" s="2" t="s">
        <v>149</v>
      </c>
      <c r="L2149" s="18">
        <v>1</v>
      </c>
      <c r="M2149" s="14" t="s">
        <v>8462</v>
      </c>
      <c r="N2149" s="13">
        <v>44931</v>
      </c>
      <c r="O2149" s="29">
        <v>65.7</v>
      </c>
      <c r="P2149" s="18" t="s">
        <v>14</v>
      </c>
      <c r="Q2149" s="18">
        <v>0</v>
      </c>
      <c r="U2149" s="22">
        <v>0.66</v>
      </c>
      <c r="V2149" s="22">
        <f>3.79/5</f>
        <v>0.75800000000000001</v>
      </c>
      <c r="X2149" s="3">
        <v>3</v>
      </c>
      <c r="Z2149" s="23">
        <v>20</v>
      </c>
      <c r="AB2149" s="18">
        <f t="shared" si="66"/>
        <v>2017</v>
      </c>
      <c r="AC2149" s="22">
        <f t="shared" si="67"/>
        <v>0.67266666666666675</v>
      </c>
    </row>
    <row r="2150" spans="1:29" ht="25.5">
      <c r="A2150" s="8" t="s">
        <v>11136</v>
      </c>
      <c r="B2150" s="17" t="s">
        <v>7760</v>
      </c>
      <c r="C2150" s="13">
        <v>43004</v>
      </c>
      <c r="D2150" s="13" t="s">
        <v>8465</v>
      </c>
      <c r="E2150" s="10" t="s">
        <v>1534</v>
      </c>
      <c r="F2150" s="10" t="s">
        <v>7413</v>
      </c>
      <c r="G2150" s="11" t="s">
        <v>10280</v>
      </c>
      <c r="H2150" s="2" t="s">
        <v>1168</v>
      </c>
      <c r="L2150" s="18">
        <v>1</v>
      </c>
      <c r="N2150" s="13">
        <v>44598</v>
      </c>
      <c r="O2150" s="29">
        <v>11.99</v>
      </c>
      <c r="P2150" s="18" t="s">
        <v>1107</v>
      </c>
      <c r="Q2150" s="18">
        <v>0</v>
      </c>
      <c r="U2150" s="22">
        <v>0.7</v>
      </c>
      <c r="V2150" s="22">
        <f>3.59/5</f>
        <v>0.71799999999999997</v>
      </c>
      <c r="X2150" s="3">
        <v>3</v>
      </c>
      <c r="Z2150" s="23">
        <v>13</v>
      </c>
      <c r="AB2150" s="18">
        <f t="shared" si="66"/>
        <v>2017</v>
      </c>
      <c r="AC2150" s="22">
        <f t="shared" si="67"/>
        <v>0.67266666666666663</v>
      </c>
    </row>
    <row r="2151" spans="1:29">
      <c r="A2151" s="8" t="s">
        <v>1662</v>
      </c>
      <c r="B2151" s="17" t="s">
        <v>7744</v>
      </c>
      <c r="C2151" s="13">
        <v>43004</v>
      </c>
      <c r="D2151" s="13" t="s">
        <v>8465</v>
      </c>
      <c r="E2151" s="10" t="s">
        <v>1583</v>
      </c>
      <c r="F2151" s="10" t="s">
        <v>1663</v>
      </c>
      <c r="G2151" s="11" t="s">
        <v>1664</v>
      </c>
      <c r="H2151" s="2" t="s">
        <v>21</v>
      </c>
      <c r="L2151" s="18">
        <v>1</v>
      </c>
      <c r="M2151" s="14" t="s">
        <v>8462</v>
      </c>
      <c r="N2151" s="13">
        <v>43580</v>
      </c>
      <c r="O2151" s="29">
        <v>19.41</v>
      </c>
      <c r="P2151" s="18" t="s">
        <v>14</v>
      </c>
      <c r="Q2151" s="18">
        <v>0</v>
      </c>
      <c r="U2151" s="22">
        <v>0.7</v>
      </c>
      <c r="V2151" s="22">
        <f>3.74/5</f>
        <v>0.748</v>
      </c>
      <c r="X2151" s="3">
        <v>2</v>
      </c>
      <c r="Z2151" s="23">
        <v>2.5</v>
      </c>
      <c r="AB2151" s="18">
        <f t="shared" si="66"/>
        <v>2017</v>
      </c>
      <c r="AC2151" s="22">
        <f t="shared" si="67"/>
        <v>0.61599999999999999</v>
      </c>
    </row>
    <row r="2152" spans="1:29">
      <c r="A2152" s="8" t="s">
        <v>10646</v>
      </c>
      <c r="B2152" s="17" t="s">
        <v>7800</v>
      </c>
      <c r="C2152" s="13">
        <v>43000</v>
      </c>
      <c r="D2152" s="13" t="s">
        <v>8465</v>
      </c>
      <c r="E2152" s="10" t="s">
        <v>2480</v>
      </c>
      <c r="F2152" s="10" t="s">
        <v>2480</v>
      </c>
      <c r="G2152" s="11" t="s">
        <v>2481</v>
      </c>
      <c r="H2152" s="2" t="s">
        <v>151</v>
      </c>
      <c r="L2152" s="18">
        <v>1</v>
      </c>
      <c r="N2152" s="13">
        <v>44510</v>
      </c>
      <c r="O2152" s="29">
        <v>0</v>
      </c>
      <c r="P2152" s="18" t="s">
        <v>1107</v>
      </c>
      <c r="Q2152" s="18">
        <v>0</v>
      </c>
      <c r="U2152" s="22">
        <v>0.85</v>
      </c>
      <c r="V2152" s="22">
        <f>3.98/5</f>
        <v>0.79600000000000004</v>
      </c>
      <c r="W2152" s="14" t="s">
        <v>7777</v>
      </c>
      <c r="X2152" s="3">
        <v>4</v>
      </c>
      <c r="Z2152" s="23">
        <v>7</v>
      </c>
      <c r="AB2152" s="18">
        <f t="shared" si="66"/>
        <v>2017</v>
      </c>
      <c r="AC2152" s="22">
        <f t="shared" si="67"/>
        <v>0.81533333333333324</v>
      </c>
    </row>
    <row r="2153" spans="1:29" ht="30">
      <c r="A2153" s="8" t="s">
        <v>3693</v>
      </c>
      <c r="B2153" s="17" t="s">
        <v>7800</v>
      </c>
      <c r="C2153" s="13">
        <v>43000</v>
      </c>
      <c r="D2153" s="13" t="s">
        <v>8465</v>
      </c>
      <c r="E2153" s="10" t="s">
        <v>3694</v>
      </c>
      <c r="F2153" s="10" t="s">
        <v>3694</v>
      </c>
      <c r="G2153" s="11" t="s">
        <v>3693</v>
      </c>
      <c r="H2153" s="2" t="s">
        <v>1057</v>
      </c>
      <c r="L2153" s="18">
        <v>1</v>
      </c>
      <c r="N2153" s="13">
        <v>43096</v>
      </c>
      <c r="O2153" s="29">
        <v>0</v>
      </c>
      <c r="P2153" s="18" t="s">
        <v>1107</v>
      </c>
      <c r="Q2153" s="18">
        <v>0</v>
      </c>
      <c r="U2153" s="22">
        <v>0.85</v>
      </c>
      <c r="V2153" s="22">
        <f>3.96/5</f>
        <v>0.79200000000000004</v>
      </c>
      <c r="W2153" s="14" t="s">
        <v>7777</v>
      </c>
      <c r="X2153" s="3">
        <v>3</v>
      </c>
      <c r="Z2153" s="23">
        <v>4</v>
      </c>
      <c r="AB2153" s="18">
        <f t="shared" si="66"/>
        <v>2017</v>
      </c>
      <c r="AC2153" s="22">
        <f t="shared" si="67"/>
        <v>0.74733333333333329</v>
      </c>
    </row>
    <row r="2154" spans="1:29" ht="25.5">
      <c r="A2154" s="8" t="s">
        <v>10445</v>
      </c>
      <c r="B2154" s="17" t="s">
        <v>7744</v>
      </c>
      <c r="C2154" s="13">
        <v>43000</v>
      </c>
      <c r="D2154" s="13" t="s">
        <v>8465</v>
      </c>
      <c r="E2154" s="10" t="s">
        <v>86</v>
      </c>
      <c r="F2154" s="10" t="s">
        <v>1614</v>
      </c>
      <c r="G2154" s="11" t="s">
        <v>1470</v>
      </c>
      <c r="H2154" s="2" t="s">
        <v>459</v>
      </c>
      <c r="L2154" s="18">
        <v>1</v>
      </c>
      <c r="M2154" s="14" t="s">
        <v>8462</v>
      </c>
      <c r="N2154" s="13">
        <v>44414</v>
      </c>
      <c r="O2154" s="29">
        <v>48.86</v>
      </c>
      <c r="P2154" s="18" t="s">
        <v>14</v>
      </c>
      <c r="Q2154" s="18">
        <v>0</v>
      </c>
      <c r="U2154" s="22">
        <v>0.79</v>
      </c>
      <c r="V2154" s="22">
        <f>3.85/5</f>
        <v>0.77</v>
      </c>
      <c r="X2154" s="3">
        <v>3</v>
      </c>
      <c r="Z2154" s="23">
        <v>8</v>
      </c>
      <c r="AB2154" s="18">
        <f t="shared" si="66"/>
        <v>2017</v>
      </c>
      <c r="AC2154" s="22">
        <f t="shared" si="67"/>
        <v>0.72000000000000008</v>
      </c>
    </row>
    <row r="2155" spans="1:29" ht="45">
      <c r="A2155" s="8" t="s">
        <v>8666</v>
      </c>
      <c r="B2155" s="17" t="s">
        <v>7800</v>
      </c>
      <c r="C2155" s="13">
        <v>43000</v>
      </c>
      <c r="D2155" s="13" t="s">
        <v>8465</v>
      </c>
      <c r="E2155" s="10" t="s">
        <v>1156</v>
      </c>
      <c r="F2155" s="10" t="s">
        <v>4304</v>
      </c>
      <c r="G2155" s="11" t="s">
        <v>4305</v>
      </c>
      <c r="H2155" s="2" t="s">
        <v>80</v>
      </c>
      <c r="L2155" s="18">
        <v>1</v>
      </c>
      <c r="N2155" s="13">
        <v>43965</v>
      </c>
      <c r="O2155" s="29">
        <v>0</v>
      </c>
      <c r="P2155" s="18" t="s">
        <v>1107</v>
      </c>
      <c r="Q2155" s="18">
        <v>0</v>
      </c>
      <c r="U2155" s="22">
        <v>0.76</v>
      </c>
      <c r="V2155" s="22">
        <f>3.38/5</f>
        <v>0.67599999999999993</v>
      </c>
      <c r="W2155" s="14" t="s">
        <v>7777</v>
      </c>
      <c r="X2155" s="3">
        <v>3</v>
      </c>
      <c r="Z2155" s="23">
        <v>6</v>
      </c>
      <c r="AB2155" s="18">
        <f t="shared" si="66"/>
        <v>2017</v>
      </c>
      <c r="AC2155" s="22">
        <f t="shared" si="67"/>
        <v>0.67866666666666664</v>
      </c>
    </row>
    <row r="2156" spans="1:29">
      <c r="A2156" s="8" t="s">
        <v>3889</v>
      </c>
      <c r="B2156" s="17" t="s">
        <v>7800</v>
      </c>
      <c r="C2156" s="13">
        <v>43000</v>
      </c>
      <c r="D2156" s="13" t="s">
        <v>8465</v>
      </c>
      <c r="E2156" s="10" t="s">
        <v>3890</v>
      </c>
      <c r="F2156" s="10" t="s">
        <v>3890</v>
      </c>
      <c r="H2156" s="2" t="s">
        <v>80</v>
      </c>
      <c r="L2156" s="18">
        <v>1</v>
      </c>
      <c r="N2156" s="13">
        <v>43350</v>
      </c>
      <c r="P2156" s="18" t="s">
        <v>1107</v>
      </c>
      <c r="Q2156" s="18">
        <v>0</v>
      </c>
      <c r="U2156" s="22">
        <v>0.78</v>
      </c>
      <c r="V2156" s="22">
        <f>3.13/5</f>
        <v>0.626</v>
      </c>
      <c r="W2156" s="14" t="s">
        <v>7777</v>
      </c>
      <c r="X2156" s="3">
        <v>2</v>
      </c>
      <c r="Z2156" s="23">
        <v>5</v>
      </c>
      <c r="AB2156" s="18">
        <f t="shared" si="66"/>
        <v>2017</v>
      </c>
      <c r="AC2156" s="22">
        <f t="shared" si="67"/>
        <v>0.60199999999999998</v>
      </c>
    </row>
    <row r="2157" spans="1:29">
      <c r="A2157" s="8" t="s">
        <v>3395</v>
      </c>
      <c r="B2157" s="17" t="s">
        <v>7800</v>
      </c>
      <c r="C2157" s="13">
        <v>43000</v>
      </c>
      <c r="D2157" s="13" t="s">
        <v>8465</v>
      </c>
      <c r="E2157" s="10" t="s">
        <v>3396</v>
      </c>
      <c r="F2157" s="10" t="s">
        <v>3396</v>
      </c>
      <c r="H2157" s="2" t="s">
        <v>67</v>
      </c>
      <c r="L2157" s="18">
        <v>1</v>
      </c>
      <c r="N2157" s="13">
        <v>43367</v>
      </c>
      <c r="O2157" s="29">
        <v>0.59</v>
      </c>
      <c r="P2157" s="18" t="s">
        <v>1107</v>
      </c>
      <c r="Q2157" s="18">
        <v>0</v>
      </c>
      <c r="W2157" s="14" t="s">
        <v>7777</v>
      </c>
      <c r="X2157" s="3">
        <v>2</v>
      </c>
      <c r="Z2157" s="23">
        <v>0.97</v>
      </c>
      <c r="AB2157" s="18">
        <f t="shared" si="66"/>
        <v>2017</v>
      </c>
      <c r="AC2157" s="22">
        <f t="shared" si="67"/>
        <v>0.4</v>
      </c>
    </row>
    <row r="2158" spans="1:29" ht="25.5">
      <c r="A2158" s="8" t="s">
        <v>5327</v>
      </c>
      <c r="B2158" s="17" t="s">
        <v>7800</v>
      </c>
      <c r="C2158" s="13">
        <v>42999</v>
      </c>
      <c r="D2158" s="13" t="s">
        <v>8465</v>
      </c>
      <c r="E2158" s="10" t="s">
        <v>5325</v>
      </c>
      <c r="F2158" s="10" t="s">
        <v>5325</v>
      </c>
      <c r="G2158" s="11" t="s">
        <v>5326</v>
      </c>
      <c r="H2158" s="2" t="s">
        <v>67</v>
      </c>
      <c r="L2158" s="18">
        <v>1</v>
      </c>
      <c r="N2158" s="13">
        <v>43595</v>
      </c>
      <c r="O2158" s="29">
        <v>0</v>
      </c>
      <c r="P2158" s="18" t="s">
        <v>1107</v>
      </c>
      <c r="Q2158" s="18">
        <v>0</v>
      </c>
      <c r="U2158" s="22">
        <v>0.9</v>
      </c>
      <c r="V2158" s="22">
        <f>3.55/5</f>
        <v>0.71</v>
      </c>
      <c r="W2158" s="14" t="s">
        <v>7777</v>
      </c>
      <c r="X2158" s="3">
        <v>3</v>
      </c>
      <c r="Z2158" s="23">
        <v>3</v>
      </c>
      <c r="AB2158" s="18">
        <f t="shared" si="66"/>
        <v>2017</v>
      </c>
      <c r="AC2158" s="22">
        <f t="shared" si="67"/>
        <v>0.73666666666666669</v>
      </c>
    </row>
    <row r="2159" spans="1:29" ht="30">
      <c r="A2159" s="8" t="s">
        <v>10473</v>
      </c>
      <c r="B2159" s="17" t="s">
        <v>7800</v>
      </c>
      <c r="C2159" s="13">
        <v>42999</v>
      </c>
      <c r="D2159" s="13" t="s">
        <v>8465</v>
      </c>
      <c r="E2159" s="10" t="s">
        <v>4056</v>
      </c>
      <c r="F2159" s="10" t="s">
        <v>4056</v>
      </c>
      <c r="H2159" s="2" t="s">
        <v>245</v>
      </c>
      <c r="L2159" s="18">
        <v>1</v>
      </c>
      <c r="N2159" s="13">
        <v>44433</v>
      </c>
      <c r="O2159" s="29">
        <v>0</v>
      </c>
      <c r="P2159" s="18" t="s">
        <v>1107</v>
      </c>
      <c r="Q2159" s="18">
        <v>0</v>
      </c>
      <c r="U2159" s="22">
        <v>0.79</v>
      </c>
      <c r="V2159" s="22">
        <f>3.96/5</f>
        <v>0.79200000000000004</v>
      </c>
      <c r="W2159" s="14" t="s">
        <v>7777</v>
      </c>
      <c r="X2159" s="3">
        <v>3</v>
      </c>
      <c r="Z2159" s="23">
        <v>15</v>
      </c>
      <c r="AB2159" s="18">
        <f t="shared" si="66"/>
        <v>2017</v>
      </c>
      <c r="AC2159" s="22">
        <f t="shared" si="67"/>
        <v>0.72733333333333328</v>
      </c>
    </row>
    <row r="2160" spans="1:29">
      <c r="A2160" s="8" t="s">
        <v>3887</v>
      </c>
      <c r="B2160" s="17" t="s">
        <v>7800</v>
      </c>
      <c r="C2160" s="13">
        <v>42997</v>
      </c>
      <c r="D2160" s="13" t="s">
        <v>8465</v>
      </c>
      <c r="E2160" s="10" t="s">
        <v>3888</v>
      </c>
      <c r="F2160" s="10" t="s">
        <v>3888</v>
      </c>
      <c r="H2160" s="2" t="s">
        <v>153</v>
      </c>
      <c r="L2160" s="18">
        <v>1</v>
      </c>
      <c r="N2160" s="13">
        <v>43525</v>
      </c>
      <c r="P2160" s="18" t="s">
        <v>1107</v>
      </c>
      <c r="Q2160" s="18">
        <v>0</v>
      </c>
      <c r="U2160" s="22">
        <v>0.95</v>
      </c>
      <c r="V2160" s="22">
        <f>3.95/5</f>
        <v>0.79</v>
      </c>
      <c r="W2160" s="14" t="s">
        <v>7777</v>
      </c>
      <c r="X2160" s="3">
        <v>3</v>
      </c>
      <c r="Z2160" s="23">
        <v>4</v>
      </c>
      <c r="AB2160" s="18">
        <f t="shared" si="66"/>
        <v>2017</v>
      </c>
      <c r="AC2160" s="22">
        <f t="shared" si="67"/>
        <v>0.77999999999999992</v>
      </c>
    </row>
    <row r="2161" spans="1:29">
      <c r="A2161" s="8" t="s">
        <v>10471</v>
      </c>
      <c r="B2161" s="17" t="s">
        <v>7800</v>
      </c>
      <c r="C2161" s="13">
        <v>42997</v>
      </c>
      <c r="D2161" s="13" t="s">
        <v>8465</v>
      </c>
      <c r="E2161" s="10" t="s">
        <v>10472</v>
      </c>
      <c r="F2161" s="10" t="s">
        <v>10472</v>
      </c>
      <c r="H2161" s="2" t="s">
        <v>245</v>
      </c>
      <c r="L2161" s="18">
        <v>1</v>
      </c>
      <c r="N2161" s="13">
        <v>44433</v>
      </c>
      <c r="O2161" s="29">
        <v>0</v>
      </c>
      <c r="P2161" s="18" t="s">
        <v>1107</v>
      </c>
      <c r="Q2161" s="18">
        <v>0</v>
      </c>
      <c r="U2161" s="22">
        <v>0.72</v>
      </c>
      <c r="V2161" s="22">
        <f>3.13/5</f>
        <v>0.626</v>
      </c>
      <c r="W2161" s="14" t="s">
        <v>7777</v>
      </c>
      <c r="X2161" s="3">
        <v>3</v>
      </c>
      <c r="Z2161" s="23">
        <v>7.5</v>
      </c>
      <c r="AB2161" s="18">
        <f t="shared" si="66"/>
        <v>2017</v>
      </c>
      <c r="AC2161" s="22">
        <f t="shared" si="67"/>
        <v>0.64866666666666672</v>
      </c>
    </row>
    <row r="2162" spans="1:29" ht="25.5">
      <c r="A2162" s="8" t="s">
        <v>8212</v>
      </c>
      <c r="B2162" s="17" t="s">
        <v>7800</v>
      </c>
      <c r="C2162" s="13">
        <v>42993</v>
      </c>
      <c r="D2162" s="13" t="s">
        <v>8465</v>
      </c>
      <c r="E2162" s="10" t="s">
        <v>1690</v>
      </c>
      <c r="F2162" s="10" t="s">
        <v>3218</v>
      </c>
      <c r="G2162" s="11" t="s">
        <v>3674</v>
      </c>
      <c r="H2162" s="2" t="s">
        <v>245</v>
      </c>
      <c r="L2162" s="18">
        <v>1</v>
      </c>
      <c r="N2162" s="13">
        <v>43800</v>
      </c>
      <c r="O2162" s="29">
        <v>7.49</v>
      </c>
      <c r="P2162" s="18" t="s">
        <v>1107</v>
      </c>
      <c r="Q2162" s="18">
        <v>0</v>
      </c>
      <c r="U2162" s="22">
        <v>0.79249999999999998</v>
      </c>
      <c r="V2162" s="22">
        <f>3.64/5</f>
        <v>0.72799999999999998</v>
      </c>
      <c r="W2162" s="14" t="s">
        <v>7777</v>
      </c>
      <c r="X2162" s="3">
        <v>4</v>
      </c>
      <c r="Z2162" s="23">
        <v>6.5</v>
      </c>
      <c r="AB2162" s="18">
        <f t="shared" si="66"/>
        <v>2017</v>
      </c>
      <c r="AC2162" s="22">
        <f t="shared" si="67"/>
        <v>0.77349999999999997</v>
      </c>
    </row>
    <row r="2163" spans="1:29">
      <c r="A2163" s="8" t="s">
        <v>7723</v>
      </c>
      <c r="B2163" s="17" t="s">
        <v>7800</v>
      </c>
      <c r="C2163" s="13">
        <v>42992</v>
      </c>
      <c r="D2163" s="13" t="s">
        <v>8465</v>
      </c>
      <c r="E2163" s="10" t="s">
        <v>4063</v>
      </c>
      <c r="F2163" s="10" t="s">
        <v>7724</v>
      </c>
      <c r="G2163" s="11" t="s">
        <v>7725</v>
      </c>
      <c r="H2163" s="2" t="s">
        <v>67</v>
      </c>
      <c r="L2163" s="18">
        <v>1</v>
      </c>
      <c r="N2163" s="13">
        <v>43711</v>
      </c>
      <c r="O2163" s="29">
        <v>0</v>
      </c>
      <c r="P2163" s="18" t="s">
        <v>1107</v>
      </c>
      <c r="Q2163" s="18">
        <v>0</v>
      </c>
      <c r="U2163" s="22">
        <v>0.78</v>
      </c>
      <c r="V2163" s="22">
        <f>4/5</f>
        <v>0.8</v>
      </c>
      <c r="W2163" s="14" t="s">
        <v>7777</v>
      </c>
      <c r="X2163" s="3">
        <v>2</v>
      </c>
      <c r="Z2163" s="23">
        <v>2</v>
      </c>
      <c r="AB2163" s="18">
        <f t="shared" si="66"/>
        <v>2017</v>
      </c>
      <c r="AC2163" s="22">
        <f t="shared" si="67"/>
        <v>0.66</v>
      </c>
    </row>
    <row r="2164" spans="1:29" ht="25.5">
      <c r="A2164" s="8" t="s">
        <v>8775</v>
      </c>
      <c r="B2164" s="17" t="s">
        <v>7800</v>
      </c>
      <c r="C2164" s="13">
        <v>42992</v>
      </c>
      <c r="D2164" s="13" t="s">
        <v>8465</v>
      </c>
      <c r="E2164" s="10" t="s">
        <v>3496</v>
      </c>
      <c r="F2164" s="10" t="s">
        <v>3496</v>
      </c>
      <c r="G2164" s="11" t="s">
        <v>8776</v>
      </c>
      <c r="H2164" s="2" t="s">
        <v>1334</v>
      </c>
      <c r="L2164" s="18">
        <v>1</v>
      </c>
      <c r="N2164" s="13">
        <v>43987</v>
      </c>
      <c r="O2164" s="29">
        <v>0.62</v>
      </c>
      <c r="P2164" s="18" t="s">
        <v>1107</v>
      </c>
      <c r="Q2164" s="18">
        <v>0</v>
      </c>
      <c r="U2164" s="22">
        <v>0.62</v>
      </c>
      <c r="V2164" s="22">
        <f>3.53/5</f>
        <v>0.70599999999999996</v>
      </c>
      <c r="W2164" s="14" t="s">
        <v>8765</v>
      </c>
      <c r="X2164" s="3">
        <v>2</v>
      </c>
      <c r="Z2164" s="23">
        <v>21.5</v>
      </c>
      <c r="AB2164" s="18">
        <f t="shared" si="66"/>
        <v>2017</v>
      </c>
      <c r="AC2164" s="22">
        <f t="shared" si="67"/>
        <v>0.57533333333333336</v>
      </c>
    </row>
    <row r="2165" spans="1:29">
      <c r="A2165" s="8" t="s">
        <v>10294</v>
      </c>
      <c r="B2165" s="17" t="s">
        <v>7800</v>
      </c>
      <c r="C2165" s="13">
        <v>42991</v>
      </c>
      <c r="D2165" s="13" t="s">
        <v>8465</v>
      </c>
      <c r="E2165" s="10" t="s">
        <v>10297</v>
      </c>
      <c r="F2165" s="10" t="s">
        <v>10297</v>
      </c>
      <c r="H2165" s="2" t="s">
        <v>1061</v>
      </c>
      <c r="L2165" s="18">
        <v>1</v>
      </c>
      <c r="N2165" s="13">
        <v>44376</v>
      </c>
      <c r="O2165" s="29">
        <v>3.99</v>
      </c>
      <c r="P2165" s="18" t="s">
        <v>1107</v>
      </c>
      <c r="Q2165" s="18">
        <v>0</v>
      </c>
      <c r="W2165" s="14" t="s">
        <v>7777</v>
      </c>
      <c r="X2165" s="3">
        <v>3</v>
      </c>
      <c r="Z2165" s="23">
        <v>3.5</v>
      </c>
      <c r="AB2165" s="18">
        <f t="shared" si="66"/>
        <v>2017</v>
      </c>
      <c r="AC2165" s="22">
        <f t="shared" si="67"/>
        <v>0.6</v>
      </c>
    </row>
    <row r="2166" spans="1:29">
      <c r="A2166" s="8" t="s">
        <v>5441</v>
      </c>
      <c r="B2166" s="17" t="s">
        <v>7800</v>
      </c>
      <c r="C2166" s="13">
        <v>42990</v>
      </c>
      <c r="D2166" s="13" t="s">
        <v>8465</v>
      </c>
      <c r="E2166" s="10" t="s">
        <v>4470</v>
      </c>
      <c r="F2166" s="10" t="s">
        <v>4470</v>
      </c>
      <c r="H2166" s="2" t="s">
        <v>1143</v>
      </c>
      <c r="L2166" s="18">
        <v>1</v>
      </c>
      <c r="N2166" s="13">
        <v>43624</v>
      </c>
      <c r="O2166" s="29">
        <v>3</v>
      </c>
      <c r="P2166" s="18" t="s">
        <v>1107</v>
      </c>
      <c r="Q2166" s="18">
        <v>0</v>
      </c>
      <c r="U2166" s="22">
        <v>0.81</v>
      </c>
      <c r="V2166" s="22">
        <f>3.1/5</f>
        <v>0.62</v>
      </c>
      <c r="W2166" s="14" t="s">
        <v>7777</v>
      </c>
      <c r="X2166" s="3">
        <v>3</v>
      </c>
      <c r="Z2166" s="23">
        <v>9</v>
      </c>
      <c r="AB2166" s="18">
        <f t="shared" si="66"/>
        <v>2017</v>
      </c>
      <c r="AC2166" s="22">
        <f t="shared" si="67"/>
        <v>0.67666666666666675</v>
      </c>
    </row>
    <row r="2167" spans="1:29" ht="38.25">
      <c r="A2167" s="8" t="s">
        <v>11787</v>
      </c>
      <c r="B2167" s="17" t="s">
        <v>7800</v>
      </c>
      <c r="C2167" s="13">
        <v>42990</v>
      </c>
      <c r="D2167" s="13" t="s">
        <v>8465</v>
      </c>
      <c r="E2167" s="10" t="s">
        <v>1604</v>
      </c>
      <c r="F2167" s="10" t="s">
        <v>8933</v>
      </c>
      <c r="G2167" s="11" t="s">
        <v>8931</v>
      </c>
      <c r="H2167" s="2" t="s">
        <v>171</v>
      </c>
      <c r="L2167" s="18">
        <v>1</v>
      </c>
      <c r="N2167" s="13">
        <v>44710</v>
      </c>
      <c r="O2167" s="29">
        <v>6.99</v>
      </c>
      <c r="P2167" s="18" t="s">
        <v>1107</v>
      </c>
      <c r="Q2167" s="18">
        <v>0</v>
      </c>
      <c r="V2167" s="22">
        <f>3.38/5</f>
        <v>0.67599999999999993</v>
      </c>
      <c r="W2167" s="14" t="s">
        <v>7777</v>
      </c>
      <c r="X2167" s="3">
        <v>3</v>
      </c>
      <c r="Z2167" s="23">
        <v>22</v>
      </c>
      <c r="AB2167" s="18">
        <f t="shared" si="66"/>
        <v>2017</v>
      </c>
      <c r="AC2167" s="22">
        <f t="shared" si="67"/>
        <v>0.6379999999999999</v>
      </c>
    </row>
    <row r="2168" spans="1:29">
      <c r="A2168" s="8" t="s">
        <v>9178</v>
      </c>
      <c r="B2168" s="17" t="s">
        <v>7763</v>
      </c>
      <c r="C2168" s="13">
        <v>42986</v>
      </c>
      <c r="D2168" s="13" t="s">
        <v>8465</v>
      </c>
      <c r="E2168" s="10" t="s">
        <v>1519</v>
      </c>
      <c r="F2168" s="10" t="s">
        <v>7413</v>
      </c>
      <c r="H2168" s="2" t="s">
        <v>1059</v>
      </c>
      <c r="L2168" s="18">
        <v>1</v>
      </c>
      <c r="M2168" s="14" t="s">
        <v>8462</v>
      </c>
      <c r="N2168" s="13">
        <v>44050</v>
      </c>
      <c r="O2168" s="29">
        <v>21.7</v>
      </c>
      <c r="P2168" s="18" t="s">
        <v>14</v>
      </c>
      <c r="Q2168" s="18">
        <v>0</v>
      </c>
      <c r="U2168" s="22">
        <v>0.39</v>
      </c>
      <c r="V2168" s="22">
        <f>2.74/5</f>
        <v>0.54800000000000004</v>
      </c>
      <c r="X2168" s="3">
        <v>2</v>
      </c>
      <c r="Z2168" s="23">
        <v>11</v>
      </c>
      <c r="AB2168" s="18">
        <f t="shared" si="66"/>
        <v>2017</v>
      </c>
      <c r="AC2168" s="22">
        <f t="shared" si="67"/>
        <v>0.44600000000000001</v>
      </c>
    </row>
    <row r="2169" spans="1:29">
      <c r="A2169" s="8" t="s">
        <v>9299</v>
      </c>
      <c r="B2169" s="17" t="s">
        <v>7749</v>
      </c>
      <c r="C2169" s="13">
        <v>42985</v>
      </c>
      <c r="D2169" s="13" t="s">
        <v>8465</v>
      </c>
      <c r="E2169" s="10" t="s">
        <v>86</v>
      </c>
      <c r="F2169" s="10" t="s">
        <v>73</v>
      </c>
      <c r="G2169" s="11" t="s">
        <v>1141</v>
      </c>
      <c r="H2169" s="2" t="s">
        <v>149</v>
      </c>
      <c r="L2169" s="18">
        <v>1</v>
      </c>
      <c r="N2169" s="13">
        <v>44091</v>
      </c>
      <c r="O2169" s="29">
        <v>19.989999999999998</v>
      </c>
      <c r="P2169" s="18" t="s">
        <v>1107</v>
      </c>
      <c r="Q2169" s="18">
        <v>0</v>
      </c>
      <c r="U2169" s="22">
        <v>0.79</v>
      </c>
      <c r="V2169" s="22">
        <f>4.32/5</f>
        <v>0.8640000000000001</v>
      </c>
      <c r="X2169" s="3">
        <v>4</v>
      </c>
      <c r="Z2169" s="23">
        <v>36</v>
      </c>
      <c r="AB2169" s="18">
        <f t="shared" si="66"/>
        <v>2017</v>
      </c>
      <c r="AC2169" s="22">
        <f t="shared" si="67"/>
        <v>0.81800000000000006</v>
      </c>
    </row>
    <row r="2170" spans="1:29">
      <c r="A2170" s="8" t="s">
        <v>5426</v>
      </c>
      <c r="B2170" s="17" t="s">
        <v>7800</v>
      </c>
      <c r="C2170" s="13">
        <v>42985</v>
      </c>
      <c r="D2170" s="13" t="s">
        <v>8465</v>
      </c>
      <c r="E2170" s="10" t="s">
        <v>1082</v>
      </c>
      <c r="F2170" s="10" t="s">
        <v>5427</v>
      </c>
      <c r="H2170" s="2" t="s">
        <v>1057</v>
      </c>
      <c r="L2170" s="18">
        <v>1</v>
      </c>
      <c r="N2170" s="13">
        <v>43572</v>
      </c>
      <c r="O2170" s="29">
        <v>0</v>
      </c>
      <c r="P2170" s="18" t="s">
        <v>1107</v>
      </c>
      <c r="Q2170" s="18">
        <v>0</v>
      </c>
      <c r="U2170" s="22">
        <v>0.7</v>
      </c>
      <c r="V2170" s="22">
        <f>3.38/5</f>
        <v>0.67599999999999993</v>
      </c>
      <c r="W2170" s="14" t="s">
        <v>7777</v>
      </c>
      <c r="X2170" s="3">
        <v>3</v>
      </c>
      <c r="Z2170" s="23">
        <v>5</v>
      </c>
      <c r="AB2170" s="18">
        <f t="shared" si="66"/>
        <v>2017</v>
      </c>
      <c r="AC2170" s="22">
        <f t="shared" si="67"/>
        <v>0.65866666666666662</v>
      </c>
    </row>
    <row r="2171" spans="1:29" ht="30">
      <c r="A2171" s="8" t="s">
        <v>6143</v>
      </c>
      <c r="B2171" s="17" t="s">
        <v>7760</v>
      </c>
      <c r="C2171" s="13">
        <v>42983</v>
      </c>
      <c r="D2171" s="13" t="s">
        <v>8465</v>
      </c>
      <c r="E2171" s="10" t="s">
        <v>6107</v>
      </c>
      <c r="F2171" s="10" t="s">
        <v>6034</v>
      </c>
      <c r="G2171" s="11" t="s">
        <v>6142</v>
      </c>
      <c r="H2171" s="2" t="s">
        <v>1040</v>
      </c>
      <c r="L2171" s="18">
        <v>1</v>
      </c>
      <c r="M2171" s="14" t="s">
        <v>8462</v>
      </c>
      <c r="N2171" s="13">
        <v>43555</v>
      </c>
      <c r="O2171" s="29">
        <v>8.99</v>
      </c>
      <c r="P2171" s="18" t="s">
        <v>14</v>
      </c>
      <c r="Q2171" s="18">
        <v>0</v>
      </c>
      <c r="U2171" s="22">
        <v>0.72</v>
      </c>
      <c r="V2171" s="22">
        <f>3.51/5</f>
        <v>0.70199999999999996</v>
      </c>
      <c r="X2171" s="3">
        <v>3</v>
      </c>
      <c r="Z2171" s="23">
        <v>11</v>
      </c>
      <c r="AB2171" s="18">
        <f t="shared" si="66"/>
        <v>2017</v>
      </c>
      <c r="AC2171" s="22">
        <f t="shared" si="67"/>
        <v>0.67399999999999993</v>
      </c>
    </row>
    <row r="2172" spans="1:29">
      <c r="A2172" s="8" t="s">
        <v>5062</v>
      </c>
      <c r="B2172" s="17" t="s">
        <v>7800</v>
      </c>
      <c r="C2172" s="13">
        <v>42979</v>
      </c>
      <c r="D2172" s="13" t="s">
        <v>8465</v>
      </c>
      <c r="E2172" s="10" t="s">
        <v>4709</v>
      </c>
      <c r="F2172" s="10" t="s">
        <v>5063</v>
      </c>
      <c r="H2172" s="2" t="s">
        <v>80</v>
      </c>
      <c r="L2172" s="18">
        <v>1</v>
      </c>
      <c r="N2172" s="13">
        <v>43363</v>
      </c>
      <c r="P2172" s="18" t="s">
        <v>1107</v>
      </c>
      <c r="Q2172" s="18">
        <v>0</v>
      </c>
      <c r="U2172" s="22">
        <v>0.71</v>
      </c>
      <c r="V2172" s="22">
        <f>3.82/5</f>
        <v>0.76400000000000001</v>
      </c>
      <c r="W2172" s="14" t="s">
        <v>7777</v>
      </c>
      <c r="X2172" s="3">
        <v>3</v>
      </c>
      <c r="Z2172" s="23">
        <v>7.5</v>
      </c>
      <c r="AB2172" s="18">
        <f t="shared" si="66"/>
        <v>2017</v>
      </c>
      <c r="AC2172" s="22">
        <f t="shared" si="67"/>
        <v>0.69133333333333324</v>
      </c>
    </row>
    <row r="2173" spans="1:29">
      <c r="A2173" s="8" t="s">
        <v>12866</v>
      </c>
      <c r="B2173" s="17" t="s">
        <v>7800</v>
      </c>
      <c r="C2173" s="13">
        <v>42978</v>
      </c>
      <c r="D2173" s="13" t="s">
        <v>8465</v>
      </c>
      <c r="E2173" s="10" t="s">
        <v>1571</v>
      </c>
      <c r="F2173" s="10" t="s">
        <v>9344</v>
      </c>
      <c r="H2173" s="2" t="s">
        <v>67</v>
      </c>
      <c r="L2173" s="18">
        <v>1</v>
      </c>
      <c r="N2173" s="13">
        <v>44866</v>
      </c>
      <c r="O2173" s="29">
        <v>0</v>
      </c>
      <c r="P2173" s="18" t="s">
        <v>1107</v>
      </c>
      <c r="Q2173" s="18">
        <v>0</v>
      </c>
      <c r="U2173" s="22">
        <v>0.75</v>
      </c>
      <c r="V2173" s="22">
        <f>3.65/5</f>
        <v>0.73</v>
      </c>
      <c r="W2173" s="14" t="s">
        <v>7799</v>
      </c>
      <c r="X2173" s="3">
        <v>2</v>
      </c>
      <c r="Z2173" s="23">
        <v>3</v>
      </c>
      <c r="AB2173" s="18">
        <f t="shared" si="66"/>
        <v>2017</v>
      </c>
      <c r="AC2173" s="22">
        <f t="shared" si="67"/>
        <v>0.62666666666666659</v>
      </c>
    </row>
    <row r="2174" spans="1:29" ht="25.5">
      <c r="A2174" s="8" t="s">
        <v>12579</v>
      </c>
      <c r="B2174" s="17" t="s">
        <v>7800</v>
      </c>
      <c r="C2174" s="13">
        <v>42978</v>
      </c>
      <c r="D2174" s="13" t="s">
        <v>8465</v>
      </c>
      <c r="E2174" s="10" t="s">
        <v>12573</v>
      </c>
      <c r="F2174" s="10" t="s">
        <v>12574</v>
      </c>
      <c r="G2174" s="11" t="s">
        <v>12575</v>
      </c>
      <c r="H2174" s="2" t="s">
        <v>3123</v>
      </c>
      <c r="L2174" s="18">
        <v>1</v>
      </c>
      <c r="P2174" s="18" t="s">
        <v>1107</v>
      </c>
      <c r="Q2174" s="18">
        <v>0</v>
      </c>
      <c r="U2174" s="22">
        <v>0.77</v>
      </c>
      <c r="V2174" s="22">
        <f>3.39/5</f>
        <v>0.67800000000000005</v>
      </c>
      <c r="W2174" s="14" t="s">
        <v>7777</v>
      </c>
      <c r="X2174" s="3">
        <v>2</v>
      </c>
      <c r="Z2174" s="23">
        <v>19.5</v>
      </c>
      <c r="AB2174" s="18">
        <f t="shared" si="66"/>
        <v>2017</v>
      </c>
      <c r="AC2174" s="22">
        <f t="shared" si="67"/>
        <v>0.61599999999999999</v>
      </c>
    </row>
    <row r="2175" spans="1:29">
      <c r="A2175" s="8" t="s">
        <v>13549</v>
      </c>
      <c r="B2175" s="17" t="s">
        <v>7800</v>
      </c>
      <c r="C2175" s="13">
        <v>42978</v>
      </c>
      <c r="D2175" s="13" t="s">
        <v>8465</v>
      </c>
      <c r="E2175" s="10" t="s">
        <v>4689</v>
      </c>
      <c r="F2175" s="10" t="s">
        <v>4689</v>
      </c>
      <c r="H2175" s="2" t="s">
        <v>67</v>
      </c>
      <c r="L2175" s="18">
        <v>1</v>
      </c>
      <c r="O2175" s="29">
        <v>0</v>
      </c>
      <c r="P2175" s="18" t="s">
        <v>1107</v>
      </c>
      <c r="Q2175" s="18">
        <v>0</v>
      </c>
      <c r="V2175" s="22">
        <f>3.21/5</f>
        <v>0.64200000000000002</v>
      </c>
      <c r="W2175" s="14" t="s">
        <v>3069</v>
      </c>
      <c r="X2175" s="3">
        <v>2</v>
      </c>
      <c r="Z2175" s="23">
        <v>1.5</v>
      </c>
      <c r="AB2175" s="18">
        <f t="shared" si="66"/>
        <v>2017</v>
      </c>
      <c r="AC2175" s="22">
        <f t="shared" si="67"/>
        <v>0.52100000000000002</v>
      </c>
    </row>
    <row r="2176" spans="1:29" ht="25.5">
      <c r="A2176" s="8" t="s">
        <v>10891</v>
      </c>
      <c r="B2176" s="17" t="s">
        <v>7749</v>
      </c>
      <c r="C2176" s="13">
        <v>42978</v>
      </c>
      <c r="D2176" s="13" t="s">
        <v>8463</v>
      </c>
      <c r="E2176" s="10" t="s">
        <v>228</v>
      </c>
      <c r="F2176" s="10" t="s">
        <v>2452</v>
      </c>
      <c r="G2176" s="11" t="s">
        <v>2239</v>
      </c>
      <c r="H2176" s="2" t="s">
        <v>1377</v>
      </c>
      <c r="K2176" s="18">
        <v>0</v>
      </c>
      <c r="L2176" s="18">
        <v>0</v>
      </c>
      <c r="Q2176" s="18">
        <v>0</v>
      </c>
      <c r="V2176" s="22">
        <f>1.68/5</f>
        <v>0.33599999999999997</v>
      </c>
      <c r="X2176" s="3">
        <v>2</v>
      </c>
      <c r="AB2176" s="18">
        <f t="shared" si="66"/>
        <v>2017</v>
      </c>
      <c r="AC2176" s="22">
        <f t="shared" si="67"/>
        <v>0.36799999999999999</v>
      </c>
    </row>
    <row r="2177" spans="1:29">
      <c r="A2177" s="8" t="s">
        <v>8232</v>
      </c>
      <c r="B2177" s="17" t="s">
        <v>7800</v>
      </c>
      <c r="C2177" s="13">
        <v>42977</v>
      </c>
      <c r="D2177" s="13" t="s">
        <v>8465</v>
      </c>
      <c r="E2177" s="10" t="s">
        <v>8233</v>
      </c>
      <c r="F2177" s="10" t="s">
        <v>8233</v>
      </c>
      <c r="H2177" s="2" t="s">
        <v>1169</v>
      </c>
      <c r="L2177" s="18">
        <v>1</v>
      </c>
      <c r="N2177" s="13">
        <v>43805</v>
      </c>
      <c r="O2177" s="29">
        <v>0</v>
      </c>
      <c r="P2177" s="18" t="s">
        <v>1107</v>
      </c>
      <c r="Q2177" s="18">
        <v>0</v>
      </c>
      <c r="U2177" s="22">
        <v>0.8</v>
      </c>
      <c r="V2177" s="22">
        <f>3.16/5</f>
        <v>0.63200000000000001</v>
      </c>
      <c r="W2177" s="14" t="s">
        <v>7777</v>
      </c>
      <c r="X2177" s="3">
        <v>3</v>
      </c>
      <c r="Z2177" s="23">
        <v>13</v>
      </c>
      <c r="AB2177" s="18">
        <f t="shared" ref="AB2177:AB2240" si="68">IFERROR(YEAR(C2177), "Early Access")</f>
        <v>2017</v>
      </c>
      <c r="AC2177" s="22">
        <f t="shared" ref="AC2177:AC2240" si="69">AVERAGE(T2177, U2177, V2177, IF(ISBLANK(X2177), X2177, X2177/5))</f>
        <v>0.67733333333333334</v>
      </c>
    </row>
    <row r="2178" spans="1:29">
      <c r="A2178" s="8" t="s">
        <v>5072</v>
      </c>
      <c r="B2178" s="17" t="s">
        <v>7800</v>
      </c>
      <c r="C2178" s="13">
        <v>42976</v>
      </c>
      <c r="D2178" s="13" t="s">
        <v>8465</v>
      </c>
      <c r="E2178" s="10" t="s">
        <v>455</v>
      </c>
      <c r="F2178" s="10" t="s">
        <v>5073</v>
      </c>
      <c r="G2178" s="11" t="s">
        <v>1688</v>
      </c>
      <c r="H2178" s="2" t="s">
        <v>64</v>
      </c>
      <c r="L2178" s="18">
        <v>1</v>
      </c>
      <c r="N2178" s="13">
        <v>43452</v>
      </c>
      <c r="P2178" s="18" t="s">
        <v>1107</v>
      </c>
      <c r="Q2178" s="18">
        <v>0</v>
      </c>
      <c r="U2178" s="22">
        <v>0.86</v>
      </c>
      <c r="V2178" s="22">
        <f>4.2/5</f>
        <v>0.84000000000000008</v>
      </c>
      <c r="W2178" s="14" t="s">
        <v>7777</v>
      </c>
      <c r="X2178" s="3">
        <v>4</v>
      </c>
      <c r="Z2178" s="23">
        <v>5.5</v>
      </c>
      <c r="AB2178" s="18">
        <f t="shared" si="68"/>
        <v>2017</v>
      </c>
      <c r="AC2178" s="22">
        <f t="shared" si="69"/>
        <v>0.83333333333333337</v>
      </c>
    </row>
    <row r="2179" spans="1:29">
      <c r="A2179" s="8" t="s">
        <v>6203</v>
      </c>
      <c r="B2179" s="17" t="s">
        <v>7760</v>
      </c>
      <c r="C2179" s="13">
        <v>42976</v>
      </c>
      <c r="D2179" s="13" t="s">
        <v>8465</v>
      </c>
      <c r="E2179" s="10" t="s">
        <v>6204</v>
      </c>
      <c r="F2179" s="10" t="s">
        <v>5599</v>
      </c>
      <c r="G2179" s="11" t="s">
        <v>5600</v>
      </c>
      <c r="H2179" s="2" t="s">
        <v>80</v>
      </c>
      <c r="L2179" s="18">
        <v>1</v>
      </c>
      <c r="N2179" s="13">
        <v>43424</v>
      </c>
      <c r="O2179" s="29">
        <v>0</v>
      </c>
      <c r="P2179" s="18" t="s">
        <v>1107</v>
      </c>
      <c r="Q2179" s="18">
        <v>0</v>
      </c>
      <c r="U2179" s="22">
        <v>0.8</v>
      </c>
      <c r="V2179" s="22">
        <f>4.07/5</f>
        <v>0.81400000000000006</v>
      </c>
      <c r="W2179" s="14" t="s">
        <v>6072</v>
      </c>
      <c r="X2179" s="3">
        <v>4</v>
      </c>
      <c r="Z2179" s="23">
        <v>18</v>
      </c>
      <c r="AB2179" s="18">
        <f t="shared" si="68"/>
        <v>2017</v>
      </c>
      <c r="AC2179" s="22">
        <f t="shared" si="69"/>
        <v>0.80466666666666675</v>
      </c>
    </row>
    <row r="2180" spans="1:29">
      <c r="A2180" s="8" t="s">
        <v>9673</v>
      </c>
      <c r="B2180" s="17" t="s">
        <v>7760</v>
      </c>
      <c r="C2180" s="13">
        <v>42976</v>
      </c>
      <c r="D2180" s="13" t="s">
        <v>8465</v>
      </c>
      <c r="E2180" s="10" t="s">
        <v>1565</v>
      </c>
      <c r="F2180" s="10" t="s">
        <v>1471</v>
      </c>
      <c r="G2180" s="11" t="s">
        <v>7935</v>
      </c>
      <c r="H2180" s="2" t="s">
        <v>1059</v>
      </c>
      <c r="L2180" s="18">
        <v>1</v>
      </c>
      <c r="M2180" s="14" t="s">
        <v>10622</v>
      </c>
      <c r="N2180" s="13">
        <v>44211</v>
      </c>
      <c r="O2180" s="29">
        <v>4.99</v>
      </c>
      <c r="P2180" s="18" t="s">
        <v>14</v>
      </c>
      <c r="Q2180" s="18">
        <v>0</v>
      </c>
      <c r="U2180" s="22">
        <v>0.7</v>
      </c>
      <c r="V2180" s="22">
        <f>3.59/5</f>
        <v>0.71799999999999997</v>
      </c>
      <c r="X2180" s="3">
        <v>3</v>
      </c>
      <c r="Z2180" s="23">
        <v>8.5</v>
      </c>
      <c r="AB2180" s="18">
        <f t="shared" si="68"/>
        <v>2017</v>
      </c>
      <c r="AC2180" s="22">
        <f t="shared" si="69"/>
        <v>0.67266666666666663</v>
      </c>
    </row>
    <row r="2181" spans="1:29" ht="30">
      <c r="A2181" s="8" t="s">
        <v>11029</v>
      </c>
      <c r="B2181" s="17" t="s">
        <v>7760</v>
      </c>
      <c r="C2181" s="13">
        <v>42976</v>
      </c>
      <c r="D2181" s="13" t="s">
        <v>8465</v>
      </c>
      <c r="E2181" s="10" t="s">
        <v>6107</v>
      </c>
      <c r="F2181" s="10" t="s">
        <v>10091</v>
      </c>
      <c r="G2181" s="11" t="s">
        <v>11029</v>
      </c>
      <c r="H2181" s="2" t="s">
        <v>255</v>
      </c>
      <c r="L2181" s="18">
        <v>0</v>
      </c>
      <c r="Q2181" s="18">
        <v>0</v>
      </c>
      <c r="V2181" s="22">
        <f>3.97/5</f>
        <v>0.79400000000000004</v>
      </c>
      <c r="X2181" s="3">
        <v>2</v>
      </c>
      <c r="Y2181" s="18">
        <v>1</v>
      </c>
      <c r="Z2181" s="23">
        <v>15.5</v>
      </c>
      <c r="AB2181" s="18">
        <f t="shared" si="68"/>
        <v>2017</v>
      </c>
      <c r="AC2181" s="22">
        <f t="shared" si="69"/>
        <v>0.59699999999999998</v>
      </c>
    </row>
    <row r="2182" spans="1:29" ht="25.5">
      <c r="A2182" s="8" t="s">
        <v>2402</v>
      </c>
      <c r="B2182" s="17" t="s">
        <v>7766</v>
      </c>
      <c r="C2182" s="13">
        <v>42976</v>
      </c>
      <c r="D2182" s="13" t="s">
        <v>8465</v>
      </c>
      <c r="E2182" s="10" t="s">
        <v>73</v>
      </c>
      <c r="F2182" s="10" t="s">
        <v>73</v>
      </c>
      <c r="G2182" s="11" t="s">
        <v>943</v>
      </c>
      <c r="H2182" s="2" t="s">
        <v>1168</v>
      </c>
      <c r="L2182" s="18">
        <v>1</v>
      </c>
      <c r="M2182" s="14" t="s">
        <v>8462</v>
      </c>
      <c r="N2182" s="13">
        <v>43454</v>
      </c>
      <c r="O2182" s="29">
        <v>18.510000000000002</v>
      </c>
      <c r="P2182" s="18" t="s">
        <v>14</v>
      </c>
      <c r="Q2182" s="18">
        <v>0</v>
      </c>
      <c r="U2182" s="22">
        <v>0.77</v>
      </c>
      <c r="V2182" s="22">
        <f>3.83/5</f>
        <v>0.76600000000000001</v>
      </c>
      <c r="X2182" s="3">
        <v>2</v>
      </c>
      <c r="Z2182" s="23">
        <v>9</v>
      </c>
      <c r="AB2182" s="18">
        <f t="shared" si="68"/>
        <v>2017</v>
      </c>
      <c r="AC2182" s="22">
        <f t="shared" si="69"/>
        <v>0.64533333333333331</v>
      </c>
    </row>
    <row r="2183" spans="1:29">
      <c r="A2183" s="8" t="s">
        <v>3091</v>
      </c>
      <c r="B2183" s="17" t="s">
        <v>7800</v>
      </c>
      <c r="C2183" s="13">
        <v>42976</v>
      </c>
      <c r="D2183" s="13" t="s">
        <v>8465</v>
      </c>
      <c r="E2183" s="10" t="s">
        <v>3063</v>
      </c>
      <c r="F2183" s="10" t="s">
        <v>3092</v>
      </c>
      <c r="H2183" s="2" t="s">
        <v>171</v>
      </c>
      <c r="L2183" s="18">
        <v>1</v>
      </c>
      <c r="N2183" s="13">
        <v>43525</v>
      </c>
      <c r="O2183" s="29">
        <v>0</v>
      </c>
      <c r="P2183" s="18" t="s">
        <v>1107</v>
      </c>
      <c r="Q2183" s="18">
        <v>0</v>
      </c>
      <c r="U2183" s="22">
        <v>0.78</v>
      </c>
      <c r="V2183" s="22">
        <f>3.12/5</f>
        <v>0.624</v>
      </c>
      <c r="W2183" s="14" t="s">
        <v>7777</v>
      </c>
      <c r="X2183" s="3">
        <v>2</v>
      </c>
      <c r="Z2183" s="23">
        <v>5.5</v>
      </c>
      <c r="AB2183" s="18">
        <f t="shared" si="68"/>
        <v>2017</v>
      </c>
      <c r="AC2183" s="22">
        <f t="shared" si="69"/>
        <v>0.60133333333333328</v>
      </c>
    </row>
    <row r="2184" spans="1:29" ht="25.5">
      <c r="A2184" s="8" t="s">
        <v>4863</v>
      </c>
      <c r="B2184" s="17" t="s">
        <v>7800</v>
      </c>
      <c r="C2184" s="13">
        <v>42975</v>
      </c>
      <c r="D2184" s="13" t="s">
        <v>8465</v>
      </c>
      <c r="E2184" s="10" t="s">
        <v>2461</v>
      </c>
      <c r="F2184" s="10" t="s">
        <v>3094</v>
      </c>
      <c r="G2184" s="11" t="s">
        <v>4862</v>
      </c>
      <c r="H2184" s="2" t="s">
        <v>1169</v>
      </c>
      <c r="L2184" s="18">
        <v>1</v>
      </c>
      <c r="N2184" s="13">
        <v>43514</v>
      </c>
      <c r="P2184" s="18" t="s">
        <v>1107</v>
      </c>
      <c r="Q2184" s="18">
        <v>0</v>
      </c>
      <c r="V2184" s="22">
        <f>3.52/5</f>
        <v>0.70399999999999996</v>
      </c>
      <c r="W2184" s="14" t="s">
        <v>7777</v>
      </c>
      <c r="X2184" s="3">
        <v>3</v>
      </c>
      <c r="Z2184" s="23">
        <v>3.5</v>
      </c>
      <c r="AB2184" s="18">
        <f t="shared" si="68"/>
        <v>2017</v>
      </c>
      <c r="AC2184" s="22">
        <f t="shared" si="69"/>
        <v>0.65199999999999991</v>
      </c>
    </row>
    <row r="2185" spans="1:29">
      <c r="A2185" s="8" t="s">
        <v>14830</v>
      </c>
      <c r="B2185" s="17" t="s">
        <v>7800</v>
      </c>
      <c r="C2185" s="13">
        <v>42975</v>
      </c>
      <c r="D2185" s="13" t="s">
        <v>8465</v>
      </c>
      <c r="E2185" s="10" t="s">
        <v>3136</v>
      </c>
      <c r="F2185" s="10" t="s">
        <v>3137</v>
      </c>
      <c r="H2185" s="2" t="s">
        <v>67</v>
      </c>
      <c r="L2185" s="18">
        <v>1</v>
      </c>
      <c r="N2185" s="13">
        <v>45070</v>
      </c>
      <c r="O2185" s="29">
        <v>1.07</v>
      </c>
      <c r="P2185" s="18" t="s">
        <v>1107</v>
      </c>
      <c r="Q2185" s="18">
        <v>0</v>
      </c>
      <c r="V2185" s="22">
        <f>3.72/5</f>
        <v>0.74399999999999999</v>
      </c>
      <c r="W2185" s="14" t="s">
        <v>7777</v>
      </c>
      <c r="X2185" s="3">
        <v>2</v>
      </c>
      <c r="Z2185" s="23">
        <v>5</v>
      </c>
      <c r="AB2185" s="18">
        <f t="shared" si="68"/>
        <v>2017</v>
      </c>
      <c r="AC2185" s="22">
        <f t="shared" si="69"/>
        <v>0.57200000000000006</v>
      </c>
    </row>
    <row r="2186" spans="1:29">
      <c r="A2186" s="8" t="s">
        <v>11996</v>
      </c>
      <c r="B2186" s="17" t="s">
        <v>7800</v>
      </c>
      <c r="C2186" s="13">
        <v>42974</v>
      </c>
      <c r="D2186" s="13" t="s">
        <v>8465</v>
      </c>
      <c r="E2186" s="10" t="s">
        <v>11997</v>
      </c>
      <c r="F2186" s="10" t="s">
        <v>11997</v>
      </c>
      <c r="G2186" s="11" t="s">
        <v>11998</v>
      </c>
      <c r="H2186" s="2" t="s">
        <v>1699</v>
      </c>
      <c r="L2186" s="18">
        <v>1</v>
      </c>
      <c r="N2186" s="13">
        <v>44724</v>
      </c>
      <c r="O2186" s="29">
        <v>0</v>
      </c>
      <c r="P2186" s="18" t="s">
        <v>1107</v>
      </c>
      <c r="Q2186" s="18">
        <v>0</v>
      </c>
      <c r="U2186" s="22">
        <v>0.7</v>
      </c>
      <c r="V2186" s="22">
        <f>3.52/5</f>
        <v>0.70399999999999996</v>
      </c>
      <c r="W2186" s="14" t="s">
        <v>7777</v>
      </c>
      <c r="X2186" s="3">
        <v>3</v>
      </c>
      <c r="Z2186" s="23">
        <v>225</v>
      </c>
      <c r="AB2186" s="18">
        <f t="shared" si="68"/>
        <v>2017</v>
      </c>
      <c r="AC2186" s="22">
        <f t="shared" si="69"/>
        <v>0.66800000000000004</v>
      </c>
    </row>
    <row r="2187" spans="1:29">
      <c r="A2187" s="8" t="s">
        <v>12659</v>
      </c>
      <c r="B2187" s="17" t="s">
        <v>7800</v>
      </c>
      <c r="C2187" s="13">
        <v>42970</v>
      </c>
      <c r="D2187" s="13" t="s">
        <v>8465</v>
      </c>
      <c r="E2187" s="10" t="s">
        <v>3689</v>
      </c>
      <c r="F2187" s="10" t="s">
        <v>12660</v>
      </c>
      <c r="H2187" s="2" t="s">
        <v>1699</v>
      </c>
      <c r="L2187" s="18">
        <v>1</v>
      </c>
      <c r="P2187" s="18" t="s">
        <v>1107</v>
      </c>
      <c r="Q2187" s="18">
        <v>0</v>
      </c>
      <c r="U2187" s="22">
        <v>0.75</v>
      </c>
      <c r="V2187" s="22">
        <f>2.82/5</f>
        <v>0.56399999999999995</v>
      </c>
      <c r="W2187" s="14" t="s">
        <v>7777</v>
      </c>
      <c r="X2187" s="3">
        <v>2</v>
      </c>
      <c r="Z2187" s="23">
        <v>5</v>
      </c>
      <c r="AB2187" s="18">
        <f t="shared" si="68"/>
        <v>2017</v>
      </c>
      <c r="AC2187" s="22">
        <f t="shared" si="69"/>
        <v>0.57133333333333336</v>
      </c>
    </row>
    <row r="2188" spans="1:29" ht="30">
      <c r="A2188" s="8" t="s">
        <v>6176</v>
      </c>
      <c r="B2188" s="17" t="s">
        <v>7760</v>
      </c>
      <c r="C2188" s="13">
        <v>42969</v>
      </c>
      <c r="D2188" s="13" t="s">
        <v>8465</v>
      </c>
      <c r="E2188" s="10" t="s">
        <v>6107</v>
      </c>
      <c r="F2188" s="10" t="s">
        <v>2646</v>
      </c>
      <c r="G2188" s="11" t="s">
        <v>6040</v>
      </c>
      <c r="H2188" s="2" t="s">
        <v>80</v>
      </c>
      <c r="L2188" s="18">
        <v>1</v>
      </c>
      <c r="M2188" s="14" t="s">
        <v>8462</v>
      </c>
      <c r="N2188" s="13">
        <v>43442</v>
      </c>
      <c r="O2188" s="29">
        <v>19.32</v>
      </c>
      <c r="P2188" s="18" t="s">
        <v>14</v>
      </c>
      <c r="Q2188" s="18">
        <v>0</v>
      </c>
      <c r="U2188" s="22">
        <v>0.85</v>
      </c>
      <c r="V2188" s="22">
        <f>4.05/5</f>
        <v>0.80999999999999994</v>
      </c>
      <c r="X2188" s="3">
        <v>4</v>
      </c>
      <c r="Z2188" s="23">
        <v>7</v>
      </c>
      <c r="AB2188" s="18">
        <f t="shared" si="68"/>
        <v>2017</v>
      </c>
      <c r="AC2188" s="22">
        <f t="shared" si="69"/>
        <v>0.82</v>
      </c>
    </row>
    <row r="2189" spans="1:29" ht="38.25">
      <c r="A2189" s="8" t="s">
        <v>10976</v>
      </c>
      <c r="B2189" s="17" t="s">
        <v>7800</v>
      </c>
      <c r="C2189" s="13">
        <v>42969</v>
      </c>
      <c r="D2189" s="13" t="s">
        <v>8465</v>
      </c>
      <c r="E2189" s="10" t="s">
        <v>7877</v>
      </c>
      <c r="F2189" s="10" t="s">
        <v>10298</v>
      </c>
      <c r="G2189" s="11" t="s">
        <v>10296</v>
      </c>
      <c r="H2189" s="2" t="s">
        <v>1061</v>
      </c>
      <c r="L2189" s="18">
        <v>1</v>
      </c>
      <c r="N2189" s="13">
        <v>44568</v>
      </c>
      <c r="O2189" s="29">
        <v>0</v>
      </c>
      <c r="P2189" s="18" t="s">
        <v>1107</v>
      </c>
      <c r="Q2189" s="18">
        <v>0</v>
      </c>
      <c r="V2189" s="22">
        <f>3.8/5</f>
        <v>0.76</v>
      </c>
      <c r="W2189" s="14" t="s">
        <v>7777</v>
      </c>
      <c r="X2189" s="3">
        <v>3</v>
      </c>
      <c r="Z2189" s="23">
        <v>8.5</v>
      </c>
      <c r="AB2189" s="18">
        <f t="shared" si="68"/>
        <v>2017</v>
      </c>
      <c r="AC2189" s="22">
        <f t="shared" si="69"/>
        <v>0.67999999999999994</v>
      </c>
    </row>
    <row r="2190" spans="1:29">
      <c r="A2190" s="8" t="s">
        <v>9014</v>
      </c>
      <c r="B2190" s="17" t="s">
        <v>7800</v>
      </c>
      <c r="C2190" s="13">
        <v>42969</v>
      </c>
      <c r="D2190" s="13" t="s">
        <v>8465</v>
      </c>
      <c r="E2190" s="10" t="s">
        <v>1634</v>
      </c>
      <c r="F2190" s="10" t="s">
        <v>7076</v>
      </c>
      <c r="G2190" s="11" t="s">
        <v>7075</v>
      </c>
      <c r="H2190" s="2" t="s">
        <v>61</v>
      </c>
      <c r="L2190" s="18">
        <v>1</v>
      </c>
      <c r="N2190" s="13">
        <v>44021</v>
      </c>
      <c r="O2190" s="29">
        <v>0</v>
      </c>
      <c r="P2190" s="18" t="s">
        <v>1107</v>
      </c>
      <c r="Q2190" s="18">
        <v>0</v>
      </c>
      <c r="U2190" s="22">
        <v>0.75</v>
      </c>
      <c r="V2190" s="22">
        <f>3.56/5</f>
        <v>0.71199999999999997</v>
      </c>
      <c r="W2190" s="14" t="s">
        <v>7097</v>
      </c>
      <c r="X2190" s="3">
        <v>3</v>
      </c>
      <c r="Z2190" s="23">
        <v>17.5</v>
      </c>
      <c r="AB2190" s="18">
        <f t="shared" si="68"/>
        <v>2017</v>
      </c>
      <c r="AC2190" s="22">
        <f t="shared" si="69"/>
        <v>0.68733333333333324</v>
      </c>
    </row>
    <row r="2191" spans="1:29" ht="25.5">
      <c r="A2191" s="8" t="s">
        <v>8871</v>
      </c>
      <c r="B2191" s="17" t="s">
        <v>7800</v>
      </c>
      <c r="C2191" s="13">
        <v>42968</v>
      </c>
      <c r="D2191" s="13" t="s">
        <v>8465</v>
      </c>
      <c r="E2191" s="10" t="s">
        <v>3074</v>
      </c>
      <c r="F2191" s="10" t="s">
        <v>3075</v>
      </c>
      <c r="G2191" s="11" t="s">
        <v>8115</v>
      </c>
      <c r="H2191" s="2" t="s">
        <v>67</v>
      </c>
      <c r="L2191" s="18">
        <v>1</v>
      </c>
      <c r="N2191" s="13">
        <v>43987</v>
      </c>
      <c r="O2191" s="29">
        <v>0</v>
      </c>
      <c r="P2191" s="18" t="s">
        <v>1107</v>
      </c>
      <c r="Q2191" s="18">
        <v>0</v>
      </c>
      <c r="U2191" s="22">
        <v>0.71</v>
      </c>
      <c r="V2191" s="22">
        <f>3.5/5</f>
        <v>0.7</v>
      </c>
      <c r="W2191" s="14" t="s">
        <v>8765</v>
      </c>
      <c r="X2191" s="3">
        <v>3</v>
      </c>
      <c r="Z2191" s="23">
        <v>1</v>
      </c>
      <c r="AB2191" s="18">
        <f t="shared" si="68"/>
        <v>2017</v>
      </c>
      <c r="AC2191" s="22">
        <f t="shared" si="69"/>
        <v>0.66999999999999993</v>
      </c>
    </row>
    <row r="2192" spans="1:29">
      <c r="A2192" s="8" t="s">
        <v>7575</v>
      </c>
      <c r="B2192" s="17" t="s">
        <v>7800</v>
      </c>
      <c r="C2192" s="13">
        <v>42964</v>
      </c>
      <c r="D2192" s="13" t="s">
        <v>8465</v>
      </c>
      <c r="E2192" s="10" t="s">
        <v>7576</v>
      </c>
      <c r="F2192" s="10" t="s">
        <v>7576</v>
      </c>
      <c r="H2192" s="2" t="s">
        <v>1061</v>
      </c>
      <c r="L2192" s="18">
        <v>1</v>
      </c>
      <c r="N2192" s="13">
        <v>43705</v>
      </c>
      <c r="O2192" s="29">
        <v>0</v>
      </c>
      <c r="P2192" s="18" t="s">
        <v>1107</v>
      </c>
      <c r="Q2192" s="18">
        <v>0</v>
      </c>
      <c r="U2192" s="22">
        <v>0.76</v>
      </c>
      <c r="V2192" s="22">
        <f>3.94/5</f>
        <v>0.78800000000000003</v>
      </c>
      <c r="W2192" s="14" t="s">
        <v>7777</v>
      </c>
      <c r="X2192" s="3">
        <v>3</v>
      </c>
      <c r="Z2192" s="23">
        <v>16.5</v>
      </c>
      <c r="AB2192" s="18">
        <f t="shared" si="68"/>
        <v>2017</v>
      </c>
      <c r="AC2192" s="22">
        <f t="shared" si="69"/>
        <v>0.71600000000000008</v>
      </c>
    </row>
    <row r="2193" spans="1:29">
      <c r="A2193" s="8" t="s">
        <v>4774</v>
      </c>
      <c r="B2193" s="17" t="s">
        <v>7800</v>
      </c>
      <c r="C2193" s="13">
        <v>42964</v>
      </c>
      <c r="D2193" s="13" t="s">
        <v>8465</v>
      </c>
      <c r="E2193" s="10" t="s">
        <v>4773</v>
      </c>
      <c r="F2193" s="10" t="s">
        <v>4773</v>
      </c>
      <c r="G2193" s="11" t="s">
        <v>4774</v>
      </c>
      <c r="H2193" s="2" t="s">
        <v>67</v>
      </c>
      <c r="L2193" s="18">
        <v>1</v>
      </c>
      <c r="N2193" s="13">
        <v>43375</v>
      </c>
      <c r="P2193" s="18" t="s">
        <v>1107</v>
      </c>
      <c r="Q2193" s="18">
        <v>0</v>
      </c>
      <c r="U2193" s="22">
        <v>0.83</v>
      </c>
      <c r="V2193" s="22">
        <f>3.44/5</f>
        <v>0.68799999999999994</v>
      </c>
      <c r="W2193" s="14" t="s">
        <v>7777</v>
      </c>
      <c r="X2193" s="3">
        <v>3</v>
      </c>
      <c r="Z2193" s="23">
        <v>2</v>
      </c>
      <c r="AB2193" s="18">
        <f t="shared" si="68"/>
        <v>2017</v>
      </c>
      <c r="AC2193" s="22">
        <f t="shared" si="69"/>
        <v>0.70599999999999996</v>
      </c>
    </row>
    <row r="2194" spans="1:29">
      <c r="A2194" s="8" t="s">
        <v>10734</v>
      </c>
      <c r="B2194" s="17" t="s">
        <v>7800</v>
      </c>
      <c r="C2194" s="13">
        <v>42963</v>
      </c>
      <c r="D2194" s="13" t="s">
        <v>8465</v>
      </c>
      <c r="E2194" s="10" t="s">
        <v>10735</v>
      </c>
      <c r="F2194" s="10" t="s">
        <v>10736</v>
      </c>
      <c r="H2194" s="2" t="s">
        <v>56</v>
      </c>
      <c r="L2194" s="18">
        <v>1</v>
      </c>
      <c r="N2194" s="13">
        <v>44531</v>
      </c>
      <c r="O2194" s="29">
        <v>0</v>
      </c>
      <c r="P2194" s="18" t="s">
        <v>1107</v>
      </c>
      <c r="Q2194" s="18">
        <v>0</v>
      </c>
      <c r="V2194" s="22">
        <f>3.94/5</f>
        <v>0.78800000000000003</v>
      </c>
      <c r="W2194" s="14" t="s">
        <v>7777</v>
      </c>
      <c r="X2194" s="3">
        <v>3</v>
      </c>
      <c r="Z2194" s="23">
        <v>6</v>
      </c>
      <c r="AB2194" s="18">
        <f t="shared" si="68"/>
        <v>2017</v>
      </c>
      <c r="AC2194" s="22">
        <f t="shared" si="69"/>
        <v>0.69399999999999995</v>
      </c>
    </row>
    <row r="2195" spans="1:29" ht="30">
      <c r="A2195" s="8" t="s">
        <v>10400</v>
      </c>
      <c r="B2195" s="17" t="s">
        <v>7760</v>
      </c>
      <c r="C2195" s="13">
        <v>42963</v>
      </c>
      <c r="D2195" s="13" t="s">
        <v>8467</v>
      </c>
      <c r="E2195" s="10" t="s">
        <v>6107</v>
      </c>
      <c r="F2195" s="10" t="s">
        <v>4535</v>
      </c>
      <c r="H2195" s="2" t="s">
        <v>21</v>
      </c>
      <c r="L2195" s="18">
        <v>1</v>
      </c>
      <c r="M2195" s="14" t="s">
        <v>8462</v>
      </c>
      <c r="N2195" s="13">
        <v>44410</v>
      </c>
      <c r="O2195" s="29">
        <v>15.2</v>
      </c>
      <c r="P2195" s="18" t="s">
        <v>14</v>
      </c>
      <c r="Q2195" s="18">
        <v>0</v>
      </c>
      <c r="U2195" s="22">
        <v>0.72</v>
      </c>
      <c r="V2195" s="22">
        <f>3.8/5</f>
        <v>0.76</v>
      </c>
      <c r="X2195" s="3">
        <v>3</v>
      </c>
      <c r="Z2195" s="23">
        <v>4</v>
      </c>
      <c r="AB2195" s="18">
        <f t="shared" si="68"/>
        <v>2017</v>
      </c>
      <c r="AC2195" s="22">
        <f t="shared" si="69"/>
        <v>0.69333333333333336</v>
      </c>
    </row>
    <row r="2196" spans="1:29" ht="25.5">
      <c r="A2196" s="8" t="s">
        <v>7037</v>
      </c>
      <c r="B2196" s="17" t="s">
        <v>7800</v>
      </c>
      <c r="C2196" s="13">
        <v>42962</v>
      </c>
      <c r="D2196" s="13" t="s">
        <v>8465</v>
      </c>
      <c r="E2196" s="10" t="s">
        <v>3072</v>
      </c>
      <c r="F2196" s="10" t="s">
        <v>3072</v>
      </c>
      <c r="H2196" s="2" t="s">
        <v>67</v>
      </c>
      <c r="L2196" s="18">
        <v>1</v>
      </c>
      <c r="O2196" s="29">
        <v>0</v>
      </c>
      <c r="P2196" s="18" t="s">
        <v>1107</v>
      </c>
      <c r="Q2196" s="18">
        <v>0</v>
      </c>
      <c r="U2196" s="22">
        <v>0.82</v>
      </c>
      <c r="V2196" s="22">
        <f>3.74/5</f>
        <v>0.748</v>
      </c>
      <c r="W2196" s="14" t="s">
        <v>7799</v>
      </c>
      <c r="X2196" s="3">
        <v>3</v>
      </c>
      <c r="Z2196" s="23">
        <v>16</v>
      </c>
      <c r="AB2196" s="18">
        <f t="shared" si="68"/>
        <v>2017</v>
      </c>
      <c r="AC2196" s="22">
        <f t="shared" si="69"/>
        <v>0.72266666666666668</v>
      </c>
    </row>
    <row r="2197" spans="1:29">
      <c r="A2197" s="8" t="s">
        <v>12536</v>
      </c>
      <c r="B2197" s="17" t="s">
        <v>7800</v>
      </c>
      <c r="C2197" s="13">
        <v>42962</v>
      </c>
      <c r="D2197" s="13" t="s">
        <v>8465</v>
      </c>
      <c r="E2197" s="10" t="s">
        <v>1163</v>
      </c>
      <c r="F2197" s="10" t="s">
        <v>1655</v>
      </c>
      <c r="H2197" s="2" t="s">
        <v>1168</v>
      </c>
      <c r="L2197" s="18">
        <v>1</v>
      </c>
      <c r="N2197" s="13">
        <v>44823</v>
      </c>
      <c r="O2197" s="29">
        <v>4.49</v>
      </c>
      <c r="P2197" s="18" t="s">
        <v>1107</v>
      </c>
      <c r="Q2197" s="18">
        <v>0</v>
      </c>
      <c r="U2197" s="22">
        <v>0.68</v>
      </c>
      <c r="V2197" s="22">
        <f>3.25/5</f>
        <v>0.65</v>
      </c>
      <c r="W2197" s="14" t="s">
        <v>7777</v>
      </c>
      <c r="X2197" s="3">
        <v>2</v>
      </c>
      <c r="Z2197" s="23">
        <v>16.5</v>
      </c>
      <c r="AB2197" s="18">
        <f t="shared" si="68"/>
        <v>2017</v>
      </c>
      <c r="AC2197" s="22">
        <f t="shared" si="69"/>
        <v>0.57666666666666666</v>
      </c>
    </row>
    <row r="2198" spans="1:29">
      <c r="A2198" s="8" t="s">
        <v>12225</v>
      </c>
      <c r="B2198" s="17" t="s">
        <v>7800</v>
      </c>
      <c r="C2198" s="13">
        <v>42961</v>
      </c>
      <c r="D2198" s="13" t="s">
        <v>8465</v>
      </c>
      <c r="E2198" s="10" t="s">
        <v>1296</v>
      </c>
      <c r="F2198" s="10" t="s">
        <v>1296</v>
      </c>
      <c r="G2198" s="11" t="s">
        <v>6599</v>
      </c>
      <c r="H2198" s="2" t="s">
        <v>1143</v>
      </c>
      <c r="L2198" s="18">
        <v>1</v>
      </c>
      <c r="N2198" s="13">
        <v>44774</v>
      </c>
      <c r="O2198" s="29">
        <v>0</v>
      </c>
      <c r="P2198" s="18" t="s">
        <v>1107</v>
      </c>
      <c r="Q2198" s="18">
        <v>0</v>
      </c>
      <c r="U2198" s="22">
        <v>0.85</v>
      </c>
      <c r="V2198" s="22">
        <f>4.23/5</f>
        <v>0.84600000000000009</v>
      </c>
      <c r="W2198" s="14" t="s">
        <v>7797</v>
      </c>
      <c r="X2198" s="3">
        <v>4</v>
      </c>
      <c r="Z2198" s="23">
        <v>24.5</v>
      </c>
      <c r="AA2198" s="18">
        <v>1</v>
      </c>
      <c r="AB2198" s="18">
        <f t="shared" si="68"/>
        <v>2017</v>
      </c>
      <c r="AC2198" s="22">
        <f t="shared" si="69"/>
        <v>0.83200000000000018</v>
      </c>
    </row>
    <row r="2199" spans="1:29">
      <c r="A2199" s="8" t="s">
        <v>15305</v>
      </c>
      <c r="B2199" s="17" t="s">
        <v>7800</v>
      </c>
      <c r="C2199" s="13">
        <v>42955</v>
      </c>
      <c r="D2199" s="13" t="s">
        <v>8465</v>
      </c>
      <c r="E2199" s="10" t="s">
        <v>15306</v>
      </c>
      <c r="F2199" s="10" t="s">
        <v>15306</v>
      </c>
      <c r="H2199" s="2" t="s">
        <v>78</v>
      </c>
      <c r="L2199" s="18">
        <v>1</v>
      </c>
      <c r="N2199" s="13">
        <v>45106</v>
      </c>
      <c r="O2199" s="29">
        <v>1.74</v>
      </c>
      <c r="P2199" s="18" t="s">
        <v>1107</v>
      </c>
      <c r="Q2199" s="18">
        <v>0</v>
      </c>
      <c r="V2199" s="22">
        <f>4.25/5</f>
        <v>0.85</v>
      </c>
      <c r="W2199" s="14" t="s">
        <v>7777</v>
      </c>
      <c r="X2199" s="3">
        <v>3</v>
      </c>
      <c r="Z2199" s="23">
        <v>27.5</v>
      </c>
      <c r="AB2199" s="18">
        <f t="shared" si="68"/>
        <v>2017</v>
      </c>
      <c r="AC2199" s="22">
        <f t="shared" si="69"/>
        <v>0.72499999999999998</v>
      </c>
    </row>
    <row r="2200" spans="1:29">
      <c r="A2200" s="8" t="s">
        <v>7716</v>
      </c>
      <c r="B2200" s="17" t="s">
        <v>7800</v>
      </c>
      <c r="C2200" s="13">
        <v>42955</v>
      </c>
      <c r="D2200" s="13" t="s">
        <v>8465</v>
      </c>
      <c r="E2200" s="10" t="s">
        <v>7877</v>
      </c>
      <c r="F2200" s="10" t="s">
        <v>7717</v>
      </c>
      <c r="G2200" s="11" t="s">
        <v>7716</v>
      </c>
      <c r="H2200" s="2" t="s">
        <v>171</v>
      </c>
      <c r="L2200" s="18">
        <v>1</v>
      </c>
      <c r="N2200" s="13">
        <v>43711</v>
      </c>
      <c r="O2200" s="29">
        <v>4.17</v>
      </c>
      <c r="P2200" s="18" t="s">
        <v>1107</v>
      </c>
      <c r="Q2200" s="18">
        <v>0</v>
      </c>
      <c r="U2200" s="22">
        <v>0.82</v>
      </c>
      <c r="V2200" s="22">
        <f>3.86/5</f>
        <v>0.77200000000000002</v>
      </c>
      <c r="W2200" s="14" t="s">
        <v>7777</v>
      </c>
      <c r="X2200" s="3">
        <v>3</v>
      </c>
      <c r="Z2200" s="23">
        <v>6</v>
      </c>
      <c r="AB2200" s="18">
        <f t="shared" si="68"/>
        <v>2017</v>
      </c>
      <c r="AC2200" s="22">
        <f t="shared" si="69"/>
        <v>0.73066666666666669</v>
      </c>
    </row>
    <row r="2201" spans="1:29">
      <c r="A2201" s="8" t="s">
        <v>1662</v>
      </c>
      <c r="B2201" s="17" t="s">
        <v>7800</v>
      </c>
      <c r="C2201" s="13">
        <v>42955</v>
      </c>
      <c r="D2201" s="13" t="s">
        <v>8465</v>
      </c>
      <c r="E2201" s="10" t="s">
        <v>3984</v>
      </c>
      <c r="F2201" s="10" t="s">
        <v>5015</v>
      </c>
      <c r="G2201" s="11" t="s">
        <v>1664</v>
      </c>
      <c r="H2201" s="2" t="s">
        <v>21</v>
      </c>
      <c r="L2201" s="18">
        <v>1</v>
      </c>
      <c r="N2201" s="13">
        <v>42955</v>
      </c>
      <c r="P2201" s="18" t="s">
        <v>1107</v>
      </c>
      <c r="Q2201" s="18">
        <v>0</v>
      </c>
      <c r="U2201" s="22">
        <v>0.8</v>
      </c>
      <c r="V2201" s="22">
        <f>3.58/5</f>
        <v>0.71599999999999997</v>
      </c>
      <c r="W2201" s="14" t="s">
        <v>7777</v>
      </c>
      <c r="X2201" s="3">
        <v>3</v>
      </c>
      <c r="Z2201" s="23">
        <v>2.5</v>
      </c>
      <c r="AB2201" s="18">
        <f t="shared" si="68"/>
        <v>2017</v>
      </c>
      <c r="AC2201" s="22">
        <f t="shared" si="69"/>
        <v>0.70533333333333337</v>
      </c>
    </row>
    <row r="2202" spans="1:29" ht="25.5">
      <c r="A2202" s="8" t="s">
        <v>9757</v>
      </c>
      <c r="B2202" s="17" t="s">
        <v>7800</v>
      </c>
      <c r="C2202" s="13">
        <v>42955</v>
      </c>
      <c r="D2202" s="13" t="s">
        <v>8465</v>
      </c>
      <c r="E2202" s="10" t="s">
        <v>479</v>
      </c>
      <c r="F2202" s="10" t="s">
        <v>479</v>
      </c>
      <c r="G2202" s="11" t="s">
        <v>9760</v>
      </c>
      <c r="H2202" s="2" t="s">
        <v>1059</v>
      </c>
      <c r="L2202" s="18">
        <v>1</v>
      </c>
      <c r="N2202" s="13">
        <v>44238</v>
      </c>
      <c r="O2202" s="29">
        <v>2.99</v>
      </c>
      <c r="P2202" s="18" t="s">
        <v>1107</v>
      </c>
      <c r="Q2202" s="18">
        <v>0</v>
      </c>
      <c r="V2202" s="22">
        <f>3.5/5</f>
        <v>0.7</v>
      </c>
      <c r="W2202" s="14" t="s">
        <v>7777</v>
      </c>
      <c r="X2202" s="3">
        <v>3</v>
      </c>
      <c r="Z2202" s="23">
        <v>14.5</v>
      </c>
      <c r="AB2202" s="18">
        <f t="shared" si="68"/>
        <v>2017</v>
      </c>
      <c r="AC2202" s="22">
        <f t="shared" si="69"/>
        <v>0.64999999999999991</v>
      </c>
    </row>
    <row r="2203" spans="1:29">
      <c r="A2203" s="8" t="s">
        <v>14758</v>
      </c>
      <c r="B2203" s="17" t="s">
        <v>7800</v>
      </c>
      <c r="C2203" s="13">
        <v>42951</v>
      </c>
      <c r="D2203" s="13" t="s">
        <v>8465</v>
      </c>
      <c r="E2203" s="10" t="s">
        <v>4478</v>
      </c>
      <c r="F2203" s="10" t="s">
        <v>14759</v>
      </c>
      <c r="H2203" s="2" t="s">
        <v>67</v>
      </c>
      <c r="L2203" s="18">
        <v>1</v>
      </c>
      <c r="N2203" s="13">
        <v>45056</v>
      </c>
      <c r="O2203" s="29">
        <v>1.49</v>
      </c>
      <c r="P2203" s="18" t="s">
        <v>1107</v>
      </c>
      <c r="Q2203" s="18">
        <v>0</v>
      </c>
      <c r="U2203" s="22">
        <v>0.69</v>
      </c>
      <c r="V2203" s="22">
        <f>3.46/5</f>
        <v>0.69199999999999995</v>
      </c>
      <c r="W2203" s="14" t="s">
        <v>7777</v>
      </c>
      <c r="X2203" s="3">
        <v>3</v>
      </c>
      <c r="Z2203" s="23">
        <v>4</v>
      </c>
      <c r="AB2203" s="18">
        <f t="shared" si="68"/>
        <v>2017</v>
      </c>
      <c r="AC2203" s="22">
        <f t="shared" si="69"/>
        <v>0.66066666666666662</v>
      </c>
    </row>
    <row r="2204" spans="1:29" ht="38.25">
      <c r="A2204" s="8" t="s">
        <v>7612</v>
      </c>
      <c r="B2204" s="17" t="s">
        <v>7749</v>
      </c>
      <c r="C2204" s="13">
        <v>42950</v>
      </c>
      <c r="D2204" s="13" t="s">
        <v>8463</v>
      </c>
      <c r="E2204" s="10" t="s">
        <v>73</v>
      </c>
      <c r="F2204" s="10" t="s">
        <v>73</v>
      </c>
      <c r="G2204" s="11" t="s">
        <v>2323</v>
      </c>
      <c r="H2204" s="2" t="s">
        <v>67</v>
      </c>
      <c r="K2204" s="18">
        <v>2</v>
      </c>
      <c r="L2204" s="18">
        <v>0</v>
      </c>
      <c r="Q2204" s="18">
        <v>0</v>
      </c>
      <c r="V2204" s="22">
        <f>4.31/5</f>
        <v>0.86199999999999988</v>
      </c>
      <c r="X2204" s="3">
        <v>3</v>
      </c>
      <c r="Z2204" s="23">
        <v>35.5</v>
      </c>
      <c r="AB2204" s="18">
        <f t="shared" si="68"/>
        <v>2017</v>
      </c>
      <c r="AC2204" s="22">
        <f t="shared" si="69"/>
        <v>0.73099999999999987</v>
      </c>
    </row>
    <row r="2205" spans="1:29">
      <c r="A2205" s="8" t="s">
        <v>7090</v>
      </c>
      <c r="B2205" s="17" t="s">
        <v>7800</v>
      </c>
      <c r="C2205" s="13">
        <v>42948</v>
      </c>
      <c r="D2205" s="13" t="s">
        <v>8465</v>
      </c>
      <c r="E2205" s="10" t="s">
        <v>7091</v>
      </c>
      <c r="F2205" s="10" t="s">
        <v>7091</v>
      </c>
      <c r="H2205" s="2" t="s">
        <v>1334</v>
      </c>
      <c r="L2205" s="18">
        <v>1</v>
      </c>
      <c r="N2205" s="13">
        <v>43541</v>
      </c>
      <c r="O2205" s="29">
        <v>0</v>
      </c>
      <c r="P2205" s="18" t="s">
        <v>1107</v>
      </c>
      <c r="Q2205" s="18">
        <v>0</v>
      </c>
      <c r="U2205" s="22">
        <v>0.82</v>
      </c>
      <c r="V2205" s="22">
        <f>3.9/5</f>
        <v>0.78</v>
      </c>
      <c r="W2205" s="14" t="s">
        <v>7097</v>
      </c>
      <c r="X2205" s="3">
        <v>3</v>
      </c>
      <c r="Z2205" s="23">
        <v>14.5</v>
      </c>
      <c r="AB2205" s="18">
        <f t="shared" si="68"/>
        <v>2017</v>
      </c>
      <c r="AC2205" s="22">
        <f t="shared" si="69"/>
        <v>0.73333333333333339</v>
      </c>
    </row>
    <row r="2206" spans="1:29">
      <c r="A2206" s="8" t="s">
        <v>7071</v>
      </c>
      <c r="B2206" s="17" t="s">
        <v>7800</v>
      </c>
      <c r="C2206" s="13">
        <v>42948</v>
      </c>
      <c r="D2206" s="13" t="s">
        <v>8465</v>
      </c>
      <c r="E2206" s="10" t="s">
        <v>4006</v>
      </c>
      <c r="F2206" s="10" t="s">
        <v>4006</v>
      </c>
      <c r="H2206" s="2" t="s">
        <v>67</v>
      </c>
      <c r="L2206" s="18">
        <v>1</v>
      </c>
      <c r="O2206" s="29">
        <v>0</v>
      </c>
      <c r="P2206" s="18" t="s">
        <v>1107</v>
      </c>
      <c r="Q2206" s="18">
        <v>0</v>
      </c>
      <c r="U2206" s="22">
        <v>0.79</v>
      </c>
      <c r="V2206" s="22">
        <f>3.49/5</f>
        <v>0.69800000000000006</v>
      </c>
      <c r="W2206" s="14" t="s">
        <v>7777</v>
      </c>
      <c r="X2206" s="3">
        <v>3</v>
      </c>
      <c r="Z2206" s="23">
        <v>2.5</v>
      </c>
      <c r="AB2206" s="18">
        <f t="shared" si="68"/>
        <v>2017</v>
      </c>
      <c r="AC2206" s="22">
        <f t="shared" si="69"/>
        <v>0.69600000000000006</v>
      </c>
    </row>
    <row r="2207" spans="1:29">
      <c r="A2207" s="8" t="s">
        <v>9519</v>
      </c>
      <c r="B2207" s="17" t="s">
        <v>7800</v>
      </c>
      <c r="C2207" s="13">
        <v>42948</v>
      </c>
      <c r="D2207" s="13" t="s">
        <v>8465</v>
      </c>
      <c r="E2207" s="10" t="s">
        <v>9520</v>
      </c>
      <c r="F2207" s="10" t="s">
        <v>9520</v>
      </c>
      <c r="H2207" s="2" t="s">
        <v>1699</v>
      </c>
      <c r="L2207" s="18">
        <v>1</v>
      </c>
      <c r="N2207" s="13">
        <v>44184</v>
      </c>
      <c r="O2207" s="29">
        <v>0</v>
      </c>
      <c r="P2207" s="18" t="s">
        <v>1107</v>
      </c>
      <c r="Q2207" s="18">
        <v>0</v>
      </c>
      <c r="U2207" s="22">
        <v>0.77</v>
      </c>
      <c r="V2207" s="22">
        <f>3.52/5</f>
        <v>0.70399999999999996</v>
      </c>
      <c r="W2207" s="14" t="s">
        <v>7097</v>
      </c>
      <c r="X2207" s="3">
        <v>3</v>
      </c>
      <c r="Z2207" s="23">
        <v>20.5</v>
      </c>
      <c r="AB2207" s="18">
        <f t="shared" si="68"/>
        <v>2017</v>
      </c>
      <c r="AC2207" s="22">
        <f t="shared" si="69"/>
        <v>0.69133333333333324</v>
      </c>
    </row>
    <row r="2208" spans="1:29">
      <c r="A2208" s="8" t="s">
        <v>8351</v>
      </c>
      <c r="B2208" s="17" t="s">
        <v>7800</v>
      </c>
      <c r="C2208" s="13">
        <v>42948</v>
      </c>
      <c r="D2208" s="13" t="s">
        <v>8465</v>
      </c>
      <c r="E2208" s="10" t="s">
        <v>8352</v>
      </c>
      <c r="F2208" s="10" t="s">
        <v>8352</v>
      </c>
      <c r="H2208" s="2" t="s">
        <v>153</v>
      </c>
      <c r="L2208" s="18">
        <v>1</v>
      </c>
      <c r="N2208" s="13">
        <v>43874</v>
      </c>
      <c r="O2208" s="29">
        <v>0</v>
      </c>
      <c r="P2208" s="18" t="s">
        <v>1107</v>
      </c>
      <c r="Q2208" s="18">
        <v>0</v>
      </c>
      <c r="U2208" s="22">
        <v>0.81</v>
      </c>
      <c r="V2208" s="22">
        <f>3.06/5</f>
        <v>0.61199999999999999</v>
      </c>
      <c r="W2208" s="14" t="s">
        <v>7097</v>
      </c>
      <c r="X2208" s="3">
        <v>3</v>
      </c>
      <c r="Z2208" s="23">
        <v>4.5</v>
      </c>
      <c r="AB2208" s="18">
        <f t="shared" si="68"/>
        <v>2017</v>
      </c>
      <c r="AC2208" s="22">
        <f t="shared" si="69"/>
        <v>0.67400000000000004</v>
      </c>
    </row>
    <row r="2209" spans="1:29">
      <c r="A2209" s="8" t="s">
        <v>5181</v>
      </c>
      <c r="B2209" s="17" t="s">
        <v>7800</v>
      </c>
      <c r="C2209" s="13">
        <v>42944</v>
      </c>
      <c r="D2209" s="13" t="s">
        <v>8465</v>
      </c>
      <c r="E2209" s="10" t="s">
        <v>5182</v>
      </c>
      <c r="F2209" s="10" t="s">
        <v>5182</v>
      </c>
      <c r="H2209" s="2" t="s">
        <v>151</v>
      </c>
      <c r="L2209" s="18">
        <v>1</v>
      </c>
      <c r="N2209" s="13">
        <v>43469</v>
      </c>
      <c r="P2209" s="18" t="s">
        <v>1107</v>
      </c>
      <c r="Q2209" s="18">
        <v>0</v>
      </c>
      <c r="U2209" s="22">
        <v>0.74</v>
      </c>
      <c r="V2209" s="22">
        <f>3.66/5</f>
        <v>0.73199999999999998</v>
      </c>
      <c r="W2209" s="14" t="s">
        <v>7777</v>
      </c>
      <c r="X2209" s="3">
        <v>3</v>
      </c>
      <c r="Z2209" s="23">
        <v>12.5</v>
      </c>
      <c r="AB2209" s="18">
        <f t="shared" si="68"/>
        <v>2017</v>
      </c>
      <c r="AC2209" s="22">
        <f t="shared" si="69"/>
        <v>0.69066666666666665</v>
      </c>
    </row>
    <row r="2210" spans="1:29">
      <c r="A2210" s="8" t="s">
        <v>10205</v>
      </c>
      <c r="B2210" s="17" t="s">
        <v>7800</v>
      </c>
      <c r="C2210" s="13">
        <v>42944</v>
      </c>
      <c r="D2210" s="13" t="s">
        <v>8465</v>
      </c>
      <c r="E2210" s="10" t="s">
        <v>10206</v>
      </c>
      <c r="F2210" s="10" t="s">
        <v>10207</v>
      </c>
      <c r="H2210" s="2" t="s">
        <v>21</v>
      </c>
      <c r="L2210" s="18">
        <v>1</v>
      </c>
      <c r="N2210" s="13">
        <v>44364</v>
      </c>
      <c r="O2210" s="29">
        <v>0.99</v>
      </c>
      <c r="P2210" s="18" t="s">
        <v>1107</v>
      </c>
      <c r="Q2210" s="18">
        <v>0</v>
      </c>
      <c r="V2210" s="22">
        <f>2.88/5</f>
        <v>0.57599999999999996</v>
      </c>
      <c r="W2210" s="14" t="s">
        <v>7777</v>
      </c>
      <c r="X2210" s="3">
        <v>3</v>
      </c>
      <c r="Z2210" s="23">
        <f>35/60</f>
        <v>0.58333333333333337</v>
      </c>
      <c r="AB2210" s="18">
        <f t="shared" si="68"/>
        <v>2017</v>
      </c>
      <c r="AC2210" s="22">
        <f t="shared" si="69"/>
        <v>0.58799999999999997</v>
      </c>
    </row>
    <row r="2211" spans="1:29">
      <c r="A2211" s="8" t="s">
        <v>2375</v>
      </c>
      <c r="B2211" s="17" t="s">
        <v>7749</v>
      </c>
      <c r="C2211" s="13">
        <v>42944</v>
      </c>
      <c r="D2211" s="13" t="s">
        <v>8465</v>
      </c>
      <c r="E2211" s="10" t="s">
        <v>86</v>
      </c>
      <c r="F2211" s="10" t="s">
        <v>2455</v>
      </c>
      <c r="G2211" s="11" t="s">
        <v>953</v>
      </c>
      <c r="H2211" s="2" t="s">
        <v>143</v>
      </c>
      <c r="L2211" s="18">
        <v>1</v>
      </c>
      <c r="M2211" s="14" t="s">
        <v>8462</v>
      </c>
      <c r="N2211" s="13">
        <v>43536</v>
      </c>
      <c r="O2211" s="29">
        <v>14.99</v>
      </c>
      <c r="P2211" s="18" t="s">
        <v>14</v>
      </c>
      <c r="Q2211" s="18">
        <v>0</v>
      </c>
      <c r="U2211" s="22">
        <v>0.7</v>
      </c>
      <c r="V2211" s="22">
        <f>3.47/5</f>
        <v>0.69400000000000006</v>
      </c>
      <c r="X2211" s="3">
        <v>2</v>
      </c>
      <c r="Z2211" s="23">
        <v>9</v>
      </c>
      <c r="AB2211" s="18">
        <f t="shared" si="68"/>
        <v>2017</v>
      </c>
      <c r="AC2211" s="22">
        <f t="shared" si="69"/>
        <v>0.59799999999999998</v>
      </c>
    </row>
    <row r="2212" spans="1:29" ht="30">
      <c r="A2212" s="8" t="s">
        <v>11580</v>
      </c>
      <c r="B2212" s="17" t="s">
        <v>7800</v>
      </c>
      <c r="C2212" s="13">
        <v>42943</v>
      </c>
      <c r="D2212" s="13" t="s">
        <v>8465</v>
      </c>
      <c r="E2212" s="10" t="s">
        <v>3444</v>
      </c>
      <c r="F2212" s="10" t="s">
        <v>3444</v>
      </c>
      <c r="G2212" s="11" t="s">
        <v>4249</v>
      </c>
      <c r="H2212" s="2" t="s">
        <v>149</v>
      </c>
      <c r="L2212" s="18">
        <v>1</v>
      </c>
      <c r="N2212" s="13">
        <v>44652</v>
      </c>
      <c r="O2212" s="29">
        <v>0</v>
      </c>
      <c r="P2212" s="18" t="s">
        <v>1107</v>
      </c>
      <c r="Q2212" s="18">
        <v>0</v>
      </c>
      <c r="U2212" s="22">
        <v>0.65</v>
      </c>
      <c r="V2212" s="22">
        <f>3.2/5</f>
        <v>0.64</v>
      </c>
      <c r="W2212" s="14" t="s">
        <v>7799</v>
      </c>
      <c r="X2212" s="3">
        <v>3</v>
      </c>
      <c r="Z2212" s="23">
        <v>10.5</v>
      </c>
      <c r="AB2212" s="18">
        <f t="shared" si="68"/>
        <v>2017</v>
      </c>
      <c r="AC2212" s="22">
        <f t="shared" si="69"/>
        <v>0.63</v>
      </c>
    </row>
    <row r="2213" spans="1:29">
      <c r="A2213" s="8" t="s">
        <v>7719</v>
      </c>
      <c r="B2213" s="17" t="s">
        <v>7800</v>
      </c>
      <c r="C2213" s="13">
        <v>42943</v>
      </c>
      <c r="D2213" s="13" t="s">
        <v>8465</v>
      </c>
      <c r="E2213" s="10" t="s">
        <v>7720</v>
      </c>
      <c r="F2213" s="10" t="s">
        <v>7720</v>
      </c>
      <c r="H2213" s="2" t="s">
        <v>171</v>
      </c>
      <c r="L2213" s="18">
        <v>1</v>
      </c>
      <c r="N2213" s="13">
        <v>43711</v>
      </c>
      <c r="O2213" s="29">
        <v>0</v>
      </c>
      <c r="P2213" s="18" t="s">
        <v>1107</v>
      </c>
      <c r="Q2213" s="18">
        <v>0</v>
      </c>
      <c r="U2213" s="22">
        <v>0.65</v>
      </c>
      <c r="V2213" s="22">
        <f>3/5</f>
        <v>0.6</v>
      </c>
      <c r="W2213" s="14" t="s">
        <v>7777</v>
      </c>
      <c r="X2213" s="3">
        <v>3</v>
      </c>
      <c r="Z2213" s="23">
        <v>9.5</v>
      </c>
      <c r="AB2213" s="18">
        <f t="shared" si="68"/>
        <v>2017</v>
      </c>
      <c r="AC2213" s="22">
        <f t="shared" si="69"/>
        <v>0.6166666666666667</v>
      </c>
    </row>
    <row r="2214" spans="1:29">
      <c r="A2214" s="8" t="s">
        <v>5294</v>
      </c>
      <c r="B2214" s="17" t="s">
        <v>7800</v>
      </c>
      <c r="C2214" s="13">
        <v>42943</v>
      </c>
      <c r="D2214" s="13" t="s">
        <v>8465</v>
      </c>
      <c r="E2214" s="10" t="s">
        <v>5295</v>
      </c>
      <c r="F2214" s="10" t="s">
        <v>5295</v>
      </c>
      <c r="H2214" s="2" t="s">
        <v>67</v>
      </c>
      <c r="L2214" s="18">
        <v>1</v>
      </c>
      <c r="N2214" s="13">
        <v>43469</v>
      </c>
      <c r="P2214" s="18" t="s">
        <v>1107</v>
      </c>
      <c r="Q2214" s="18">
        <v>0</v>
      </c>
      <c r="U2214" s="22">
        <v>0.74</v>
      </c>
      <c r="V2214" s="22">
        <f>3.68/5</f>
        <v>0.73599999999999999</v>
      </c>
      <c r="W2214" s="14" t="s">
        <v>7777</v>
      </c>
      <c r="X2214" s="3">
        <v>2</v>
      </c>
      <c r="Z2214" s="23">
        <v>3</v>
      </c>
      <c r="AB2214" s="18">
        <f t="shared" si="68"/>
        <v>2017</v>
      </c>
      <c r="AC2214" s="22">
        <f t="shared" si="69"/>
        <v>0.6253333333333333</v>
      </c>
    </row>
    <row r="2215" spans="1:29" ht="38.25">
      <c r="A2215" s="8" t="s">
        <v>11241</v>
      </c>
      <c r="B2215" s="17" t="s">
        <v>7749</v>
      </c>
      <c r="C2215" s="13">
        <v>42943</v>
      </c>
      <c r="D2215" s="13" t="s">
        <v>8465</v>
      </c>
      <c r="E2215" s="10" t="s">
        <v>10018</v>
      </c>
      <c r="F2215" s="10" t="s">
        <v>11255</v>
      </c>
      <c r="G2215" s="11" t="s">
        <v>11256</v>
      </c>
      <c r="H2215" s="2" t="s">
        <v>1057</v>
      </c>
      <c r="L2215" s="18">
        <v>1</v>
      </c>
      <c r="N2215" s="13">
        <v>44673</v>
      </c>
      <c r="O2215" s="29">
        <v>2.5</v>
      </c>
      <c r="P2215" s="18" t="s">
        <v>1107</v>
      </c>
      <c r="Q2215" s="18">
        <v>0</v>
      </c>
      <c r="V2215" s="22">
        <f>3.59/5</f>
        <v>0.71799999999999997</v>
      </c>
      <c r="X2215" s="3">
        <v>2</v>
      </c>
      <c r="Z2215" s="23">
        <v>6.5</v>
      </c>
      <c r="AB2215" s="18">
        <f t="shared" si="68"/>
        <v>2017</v>
      </c>
      <c r="AC2215" s="22">
        <f t="shared" si="69"/>
        <v>0.55899999999999994</v>
      </c>
    </row>
    <row r="2216" spans="1:29">
      <c r="A2216" s="8" t="s">
        <v>5191</v>
      </c>
      <c r="B2216" s="17" t="s">
        <v>7800</v>
      </c>
      <c r="C2216" s="13">
        <v>42941</v>
      </c>
      <c r="D2216" s="13" t="s">
        <v>8465</v>
      </c>
      <c r="E2216" s="10" t="s">
        <v>4709</v>
      </c>
      <c r="F2216" s="10" t="s">
        <v>5192</v>
      </c>
      <c r="G2216" s="11" t="s">
        <v>5193</v>
      </c>
      <c r="H2216" s="2" t="s">
        <v>1040</v>
      </c>
      <c r="L2216" s="18">
        <v>1</v>
      </c>
      <c r="N2216" s="13">
        <v>43363</v>
      </c>
      <c r="P2216" s="18" t="s">
        <v>1107</v>
      </c>
      <c r="Q2216" s="18">
        <v>0</v>
      </c>
      <c r="U2216" s="22">
        <v>0.8</v>
      </c>
      <c r="V2216" s="22">
        <f>3.88/5</f>
        <v>0.77600000000000002</v>
      </c>
      <c r="W2216" s="14" t="s">
        <v>7777</v>
      </c>
      <c r="X2216" s="3">
        <v>3</v>
      </c>
      <c r="Z2216" s="23">
        <v>4.5</v>
      </c>
      <c r="AB2216" s="18">
        <f t="shared" si="68"/>
        <v>2017</v>
      </c>
      <c r="AC2216" s="22">
        <f t="shared" si="69"/>
        <v>0.72533333333333339</v>
      </c>
    </row>
    <row r="2217" spans="1:29" ht="25.5">
      <c r="A2217" s="8" t="s">
        <v>9232</v>
      </c>
      <c r="B2217" s="17" t="s">
        <v>7744</v>
      </c>
      <c r="C2217" s="13">
        <v>42941</v>
      </c>
      <c r="D2217" s="13" t="s">
        <v>8465</v>
      </c>
      <c r="E2217" s="10" t="s">
        <v>1534</v>
      </c>
      <c r="F2217" s="10" t="s">
        <v>5025</v>
      </c>
      <c r="G2217" s="11" t="s">
        <v>8439</v>
      </c>
      <c r="H2217" s="2" t="s">
        <v>171</v>
      </c>
      <c r="L2217" s="18">
        <v>1</v>
      </c>
      <c r="M2217" s="14" t="s">
        <v>8462</v>
      </c>
      <c r="N2217" s="13">
        <v>44810</v>
      </c>
      <c r="O2217" s="29">
        <v>34.28</v>
      </c>
      <c r="P2217" s="18" t="s">
        <v>14</v>
      </c>
      <c r="Q2217" s="18">
        <v>0</v>
      </c>
      <c r="U2217" s="22">
        <v>0.69</v>
      </c>
      <c r="V2217" s="22">
        <f>3.97/5</f>
        <v>0.79400000000000004</v>
      </c>
      <c r="X2217" s="3">
        <v>2</v>
      </c>
      <c r="Z2217" s="23">
        <v>21</v>
      </c>
      <c r="AB2217" s="18">
        <f t="shared" si="68"/>
        <v>2017</v>
      </c>
      <c r="AC2217" s="22">
        <f t="shared" si="69"/>
        <v>0.628</v>
      </c>
    </row>
    <row r="2218" spans="1:29" ht="25.5">
      <c r="A2218" s="8" t="s">
        <v>13652</v>
      </c>
      <c r="B2218" s="17" t="s">
        <v>7800</v>
      </c>
      <c r="C2218" s="13">
        <v>42940</v>
      </c>
      <c r="D2218" s="13" t="s">
        <v>8465</v>
      </c>
      <c r="E2218" s="10" t="s">
        <v>13653</v>
      </c>
      <c r="F2218" s="10" t="s">
        <v>13653</v>
      </c>
      <c r="H2218" s="2" t="s">
        <v>1057</v>
      </c>
      <c r="L2218" s="18">
        <v>1</v>
      </c>
      <c r="N2218" s="13">
        <v>44987</v>
      </c>
      <c r="O2218" s="29">
        <v>3.33</v>
      </c>
      <c r="P2218" s="18" t="s">
        <v>1107</v>
      </c>
      <c r="Q2218" s="18">
        <v>0</v>
      </c>
      <c r="V2218" s="22">
        <f>3.64/5</f>
        <v>0.72799999999999998</v>
      </c>
      <c r="W2218" s="14" t="s">
        <v>7777</v>
      </c>
      <c r="X2218" s="3">
        <v>3</v>
      </c>
      <c r="Z2218" s="23">
        <v>21</v>
      </c>
      <c r="AB2218" s="18">
        <f t="shared" si="68"/>
        <v>2017</v>
      </c>
      <c r="AC2218" s="22">
        <f t="shared" si="69"/>
        <v>0.66399999999999992</v>
      </c>
    </row>
    <row r="2219" spans="1:29">
      <c r="A2219" s="8" t="s">
        <v>9070</v>
      </c>
      <c r="B2219" s="17" t="s">
        <v>7744</v>
      </c>
      <c r="C2219" s="13">
        <v>42937</v>
      </c>
      <c r="D2219" s="13" t="s">
        <v>8465</v>
      </c>
      <c r="E2219" s="10" t="s">
        <v>86</v>
      </c>
      <c r="F2219" s="10" t="s">
        <v>1138</v>
      </c>
      <c r="G2219" s="11" t="s">
        <v>1129</v>
      </c>
      <c r="H2219" s="2" t="s">
        <v>1168</v>
      </c>
      <c r="L2219" s="18">
        <v>1</v>
      </c>
      <c r="M2219" s="14" t="s">
        <v>8462</v>
      </c>
      <c r="N2219" s="13">
        <v>44022</v>
      </c>
      <c r="O2219" s="29">
        <v>43.39</v>
      </c>
      <c r="P2219" s="18" t="s">
        <v>14</v>
      </c>
      <c r="Q2219" s="18">
        <v>0</v>
      </c>
      <c r="U2219" s="22">
        <v>0.83</v>
      </c>
      <c r="V2219" s="22">
        <f>4.25/5</f>
        <v>0.85</v>
      </c>
      <c r="X2219" s="3">
        <v>3</v>
      </c>
      <c r="Z2219" s="23">
        <v>7.5</v>
      </c>
      <c r="AB2219" s="18">
        <f t="shared" si="68"/>
        <v>2017</v>
      </c>
      <c r="AC2219" s="22">
        <f t="shared" si="69"/>
        <v>0.7599999999999999</v>
      </c>
    </row>
    <row r="2220" spans="1:29">
      <c r="A2220" s="8" t="s">
        <v>3711</v>
      </c>
      <c r="B2220" s="17" t="s">
        <v>7800</v>
      </c>
      <c r="C2220" s="13">
        <v>42937</v>
      </c>
      <c r="D2220" s="13" t="s">
        <v>8465</v>
      </c>
      <c r="E2220" s="10" t="s">
        <v>1163</v>
      </c>
      <c r="F2220" s="10" t="s">
        <v>3712</v>
      </c>
      <c r="G2220" s="11" t="s">
        <v>3713</v>
      </c>
      <c r="H2220" s="2" t="s">
        <v>67</v>
      </c>
      <c r="L2220" s="18">
        <v>1</v>
      </c>
      <c r="N2220" s="13">
        <v>42437</v>
      </c>
      <c r="P2220" s="18" t="s">
        <v>1107</v>
      </c>
      <c r="Q2220" s="18">
        <v>0</v>
      </c>
      <c r="U2220" s="22">
        <v>0.65</v>
      </c>
      <c r="V2220" s="22">
        <f>3.61/5</f>
        <v>0.72199999999999998</v>
      </c>
      <c r="W2220" s="14" t="s">
        <v>7777</v>
      </c>
      <c r="X2220" s="3">
        <v>3</v>
      </c>
      <c r="Z2220" s="23">
        <v>24</v>
      </c>
      <c r="AB2220" s="18">
        <f t="shared" si="68"/>
        <v>2017</v>
      </c>
      <c r="AC2220" s="22">
        <f t="shared" si="69"/>
        <v>0.65733333333333333</v>
      </c>
    </row>
    <row r="2221" spans="1:29" ht="25.5">
      <c r="A2221" s="8" t="s">
        <v>8755</v>
      </c>
      <c r="B2221" s="17" t="s">
        <v>7800</v>
      </c>
      <c r="C2221" s="13">
        <v>42936</v>
      </c>
      <c r="D2221" s="13" t="s">
        <v>8465</v>
      </c>
      <c r="E2221" s="10" t="s">
        <v>8756</v>
      </c>
      <c r="F2221" s="10" t="s">
        <v>8756</v>
      </c>
      <c r="H2221" s="2" t="s">
        <v>1057</v>
      </c>
      <c r="L2221" s="18">
        <v>1</v>
      </c>
      <c r="N2221" s="13">
        <v>43987</v>
      </c>
      <c r="O2221" s="29">
        <v>0</v>
      </c>
      <c r="P2221" s="18" t="s">
        <v>1107</v>
      </c>
      <c r="Q2221" s="18">
        <v>0</v>
      </c>
      <c r="U2221" s="22">
        <v>0.72</v>
      </c>
      <c r="V2221" s="22">
        <f>3.37/5</f>
        <v>0.67400000000000004</v>
      </c>
      <c r="W2221" s="14" t="s">
        <v>7799</v>
      </c>
      <c r="X2221" s="3">
        <v>3</v>
      </c>
      <c r="Z2221" s="23">
        <v>5</v>
      </c>
      <c r="AB2221" s="18">
        <f t="shared" si="68"/>
        <v>2017</v>
      </c>
      <c r="AC2221" s="22">
        <f t="shared" si="69"/>
        <v>0.66466666666666674</v>
      </c>
    </row>
    <row r="2222" spans="1:29">
      <c r="A2222" s="8" t="s">
        <v>4247</v>
      </c>
      <c r="B2222" s="17" t="s">
        <v>7800</v>
      </c>
      <c r="C2222" s="13">
        <v>42934</v>
      </c>
      <c r="D2222" s="13" t="s">
        <v>8465</v>
      </c>
      <c r="E2222" s="10" t="s">
        <v>3272</v>
      </c>
      <c r="F2222" s="10" t="s">
        <v>4248</v>
      </c>
      <c r="H2222" s="2" t="s">
        <v>67</v>
      </c>
      <c r="L2222" s="18">
        <v>1</v>
      </c>
      <c r="N2222" s="13">
        <v>43455</v>
      </c>
      <c r="O2222" s="29">
        <v>3.99</v>
      </c>
      <c r="P2222" s="18" t="s">
        <v>1107</v>
      </c>
      <c r="Q2222" s="18">
        <v>0</v>
      </c>
      <c r="U2222" s="22">
        <v>0.79</v>
      </c>
      <c r="V2222" s="22">
        <f>3.57/5</f>
        <v>0.71399999999999997</v>
      </c>
      <c r="W2222" s="14" t="s">
        <v>7777</v>
      </c>
      <c r="X2222" s="3">
        <v>3</v>
      </c>
      <c r="Z2222" s="23">
        <v>5</v>
      </c>
      <c r="AB2222" s="18">
        <f t="shared" si="68"/>
        <v>2017</v>
      </c>
      <c r="AC2222" s="22">
        <f t="shared" si="69"/>
        <v>0.70133333333333336</v>
      </c>
    </row>
    <row r="2223" spans="1:29">
      <c r="A2223" s="8" t="s">
        <v>3441</v>
      </c>
      <c r="B2223" s="17" t="s">
        <v>7800</v>
      </c>
      <c r="C2223" s="13">
        <v>42934</v>
      </c>
      <c r="D2223" s="13" t="s">
        <v>8465</v>
      </c>
      <c r="E2223" s="10" t="s">
        <v>1082</v>
      </c>
      <c r="F2223" s="10" t="s">
        <v>3442</v>
      </c>
      <c r="H2223" s="2" t="s">
        <v>75</v>
      </c>
      <c r="L2223" s="18">
        <v>1</v>
      </c>
      <c r="N2223" s="13">
        <v>43572</v>
      </c>
      <c r="O2223" s="29">
        <v>12</v>
      </c>
      <c r="P2223" s="18" t="s">
        <v>1107</v>
      </c>
      <c r="Q2223" s="18">
        <v>0</v>
      </c>
      <c r="U2223" s="22">
        <v>0.74</v>
      </c>
      <c r="V2223" s="22">
        <f>3.74/5</f>
        <v>0.748</v>
      </c>
      <c r="W2223" s="14" t="s">
        <v>7777</v>
      </c>
      <c r="X2223" s="3">
        <v>3</v>
      </c>
      <c r="Z2223" s="23">
        <v>15</v>
      </c>
      <c r="AB2223" s="18">
        <f t="shared" si="68"/>
        <v>2017</v>
      </c>
      <c r="AC2223" s="22">
        <f t="shared" si="69"/>
        <v>0.69600000000000006</v>
      </c>
    </row>
    <row r="2224" spans="1:29" ht="25.5">
      <c r="A2224" s="8" t="s">
        <v>13397</v>
      </c>
      <c r="B2224" s="17" t="s">
        <v>7800</v>
      </c>
      <c r="C2224" s="13">
        <v>42934</v>
      </c>
      <c r="D2224" s="13" t="s">
        <v>8465</v>
      </c>
      <c r="E2224" s="10" t="s">
        <v>13116</v>
      </c>
      <c r="F2224" s="10" t="s">
        <v>13116</v>
      </c>
      <c r="H2224" s="2" t="s">
        <v>1334</v>
      </c>
      <c r="L2224" s="18">
        <v>1</v>
      </c>
      <c r="N2224" s="13">
        <v>44595</v>
      </c>
      <c r="O2224" s="29">
        <v>10</v>
      </c>
      <c r="P2224" s="18" t="s">
        <v>1107</v>
      </c>
      <c r="Q2224" s="18">
        <v>0</v>
      </c>
      <c r="U2224" s="22">
        <v>0.7</v>
      </c>
      <c r="V2224" s="22">
        <f>3.66/5</f>
        <v>0.73199999999999998</v>
      </c>
      <c r="W2224" s="14" t="s">
        <v>7777</v>
      </c>
      <c r="X2224" s="3">
        <v>2</v>
      </c>
      <c r="Z2224" s="23">
        <v>10</v>
      </c>
      <c r="AB2224" s="18">
        <f t="shared" si="68"/>
        <v>2017</v>
      </c>
      <c r="AC2224" s="22">
        <f t="shared" si="69"/>
        <v>0.61066666666666658</v>
      </c>
    </row>
    <row r="2225" spans="1:29">
      <c r="A2225" s="8" t="s">
        <v>7059</v>
      </c>
      <c r="B2225" s="17" t="s">
        <v>7800</v>
      </c>
      <c r="C2225" s="13">
        <v>42930</v>
      </c>
      <c r="D2225" s="13" t="s">
        <v>8465</v>
      </c>
      <c r="E2225" s="10" t="s">
        <v>1151</v>
      </c>
      <c r="F2225" s="10" t="s">
        <v>7060</v>
      </c>
      <c r="H2225" s="2" t="s">
        <v>245</v>
      </c>
      <c r="L2225" s="18">
        <v>1</v>
      </c>
      <c r="O2225" s="29">
        <v>0</v>
      </c>
      <c r="P2225" s="18" t="s">
        <v>1107</v>
      </c>
      <c r="Q2225" s="18">
        <v>0</v>
      </c>
      <c r="U2225" s="22">
        <v>0.64</v>
      </c>
      <c r="V2225" s="22">
        <f>3.16/5</f>
        <v>0.63200000000000001</v>
      </c>
      <c r="W2225" s="14" t="s">
        <v>7799</v>
      </c>
      <c r="X2225" s="3">
        <v>2</v>
      </c>
      <c r="Z2225" s="23">
        <v>5</v>
      </c>
      <c r="AB2225" s="18">
        <f t="shared" si="68"/>
        <v>2017</v>
      </c>
      <c r="AC2225" s="22">
        <f t="shared" si="69"/>
        <v>0.55733333333333335</v>
      </c>
    </row>
    <row r="2226" spans="1:29">
      <c r="A2226" s="8" t="s">
        <v>5338</v>
      </c>
      <c r="B2226" s="17" t="s">
        <v>7800</v>
      </c>
      <c r="C2226" s="13">
        <v>42929</v>
      </c>
      <c r="D2226" s="13" t="s">
        <v>8465</v>
      </c>
      <c r="E2226" s="10" t="s">
        <v>5339</v>
      </c>
      <c r="F2226" s="10" t="s">
        <v>5339</v>
      </c>
      <c r="H2226" s="2" t="s">
        <v>67</v>
      </c>
      <c r="L2226" s="18">
        <v>1</v>
      </c>
      <c r="N2226" s="13">
        <v>43363</v>
      </c>
      <c r="P2226" s="18" t="s">
        <v>1107</v>
      </c>
      <c r="Q2226" s="18">
        <v>0</v>
      </c>
      <c r="U2226" s="22">
        <v>0.8</v>
      </c>
      <c r="V2226" s="22">
        <f>3.61/5</f>
        <v>0.72199999999999998</v>
      </c>
      <c r="W2226" s="14" t="s">
        <v>7777</v>
      </c>
      <c r="X2226" s="3">
        <v>3</v>
      </c>
      <c r="Z2226" s="23">
        <v>1.5</v>
      </c>
      <c r="AB2226" s="18">
        <f t="shared" si="68"/>
        <v>2017</v>
      </c>
      <c r="AC2226" s="22">
        <f t="shared" si="69"/>
        <v>0.70733333333333326</v>
      </c>
    </row>
    <row r="2227" spans="1:29" ht="25.5">
      <c r="A2227" s="8" t="s">
        <v>14073</v>
      </c>
      <c r="B2227" s="17" t="s">
        <v>7760</v>
      </c>
      <c r="C2227" s="13">
        <v>42929</v>
      </c>
      <c r="D2227" s="13" t="s">
        <v>8463</v>
      </c>
      <c r="E2227" s="10" t="s">
        <v>2285</v>
      </c>
      <c r="F2227" s="10" t="s">
        <v>2285</v>
      </c>
      <c r="H2227" s="2" t="s">
        <v>75</v>
      </c>
      <c r="K2227" s="18">
        <v>0</v>
      </c>
      <c r="L2227" s="18">
        <v>0</v>
      </c>
      <c r="Q2227" s="18">
        <v>0</v>
      </c>
      <c r="V2227" s="22">
        <f>2.5/5</f>
        <v>0.5</v>
      </c>
      <c r="X2227" s="3">
        <v>2</v>
      </c>
      <c r="AB2227" s="18">
        <f t="shared" si="68"/>
        <v>2017</v>
      </c>
      <c r="AC2227" s="22">
        <f t="shared" si="69"/>
        <v>0.45</v>
      </c>
    </row>
    <row r="2228" spans="1:29">
      <c r="A2228" s="8" t="s">
        <v>14776</v>
      </c>
      <c r="B2228" s="17" t="s">
        <v>7800</v>
      </c>
      <c r="C2228" s="13">
        <v>42927</v>
      </c>
      <c r="D2228" s="13" t="s">
        <v>8465</v>
      </c>
      <c r="E2228" s="10" t="s">
        <v>66</v>
      </c>
      <c r="F2228" s="10" t="s">
        <v>7972</v>
      </c>
      <c r="G2228" s="11" t="s">
        <v>697</v>
      </c>
      <c r="H2228" s="2" t="s">
        <v>1170</v>
      </c>
      <c r="L2228" s="18">
        <v>1</v>
      </c>
      <c r="N2228" s="13">
        <v>45062</v>
      </c>
      <c r="O2228" s="29">
        <v>0</v>
      </c>
      <c r="P2228" s="18" t="s">
        <v>1107</v>
      </c>
      <c r="Q2228" s="18">
        <v>0</v>
      </c>
      <c r="V2228" s="22">
        <f>3.78/5</f>
        <v>0.75600000000000001</v>
      </c>
      <c r="W2228" s="14" t="s">
        <v>7777</v>
      </c>
      <c r="X2228" s="3">
        <v>3</v>
      </c>
      <c r="Z2228" s="23">
        <v>1.5</v>
      </c>
      <c r="AB2228" s="18">
        <f t="shared" si="68"/>
        <v>2017</v>
      </c>
      <c r="AC2228" s="22">
        <f t="shared" si="69"/>
        <v>0.67799999999999994</v>
      </c>
    </row>
    <row r="2229" spans="1:29">
      <c r="A2229" s="8" t="s">
        <v>3323</v>
      </c>
      <c r="B2229" s="17" t="s">
        <v>7800</v>
      </c>
      <c r="C2229" s="13">
        <v>42927</v>
      </c>
      <c r="D2229" s="13" t="s">
        <v>8465</v>
      </c>
      <c r="E2229" s="10" t="s">
        <v>1082</v>
      </c>
      <c r="F2229" s="10" t="s">
        <v>3324</v>
      </c>
      <c r="H2229" s="2" t="s">
        <v>27</v>
      </c>
      <c r="L2229" s="18">
        <v>1</v>
      </c>
      <c r="N2229" s="13">
        <v>43572</v>
      </c>
      <c r="O2229" s="29">
        <v>0</v>
      </c>
      <c r="P2229" s="18" t="s">
        <v>1107</v>
      </c>
      <c r="Q2229" s="18">
        <v>0</v>
      </c>
      <c r="U2229" s="22">
        <v>0.72</v>
      </c>
      <c r="V2229" s="22">
        <f>3.38/5</f>
        <v>0.67599999999999993</v>
      </c>
      <c r="W2229" s="14" t="s">
        <v>7777</v>
      </c>
      <c r="X2229" s="3">
        <v>3</v>
      </c>
      <c r="Z2229" s="23">
        <v>3</v>
      </c>
      <c r="AB2229" s="18">
        <f t="shared" si="68"/>
        <v>2017</v>
      </c>
      <c r="AC2229" s="22">
        <f t="shared" si="69"/>
        <v>0.66533333333333333</v>
      </c>
    </row>
    <row r="2230" spans="1:29">
      <c r="A2230" s="8" t="s">
        <v>7001</v>
      </c>
      <c r="B2230" s="17" t="s">
        <v>7800</v>
      </c>
      <c r="C2230" s="13">
        <v>42926</v>
      </c>
      <c r="D2230" s="13" t="s">
        <v>8465</v>
      </c>
      <c r="E2230" s="10" t="s">
        <v>3212</v>
      </c>
      <c r="F2230" s="10" t="s">
        <v>7002</v>
      </c>
      <c r="H2230" s="2" t="s">
        <v>61</v>
      </c>
      <c r="L2230" s="18">
        <v>1</v>
      </c>
      <c r="O2230" s="29">
        <v>0</v>
      </c>
      <c r="P2230" s="18" t="s">
        <v>1107</v>
      </c>
      <c r="Q2230" s="18">
        <v>0</v>
      </c>
      <c r="U2230" s="22">
        <v>0.83</v>
      </c>
      <c r="V2230" s="22">
        <f>2.94/5</f>
        <v>0.58799999999999997</v>
      </c>
      <c r="W2230" s="14" t="s">
        <v>7799</v>
      </c>
      <c r="X2230" s="3">
        <v>2</v>
      </c>
      <c r="Z2230" s="23">
        <v>6</v>
      </c>
      <c r="AB2230" s="18">
        <f t="shared" si="68"/>
        <v>2017</v>
      </c>
      <c r="AC2230" s="22">
        <f t="shared" si="69"/>
        <v>0.60599999999999998</v>
      </c>
    </row>
    <row r="2231" spans="1:29" ht="30">
      <c r="A2231" s="8" t="s">
        <v>13533</v>
      </c>
      <c r="B2231" s="17" t="s">
        <v>7800</v>
      </c>
      <c r="C2231" s="13">
        <v>42923</v>
      </c>
      <c r="D2231" s="13" t="s">
        <v>8465</v>
      </c>
      <c r="E2231" s="10" t="s">
        <v>7877</v>
      </c>
      <c r="F2231" s="10" t="s">
        <v>1167</v>
      </c>
      <c r="G2231" s="11" t="s">
        <v>13534</v>
      </c>
      <c r="H2231" s="2" t="s">
        <v>1057</v>
      </c>
      <c r="L2231" s="18">
        <v>1</v>
      </c>
      <c r="N2231" s="13">
        <v>44969</v>
      </c>
      <c r="O2231" s="29">
        <v>1.99</v>
      </c>
      <c r="P2231" s="18" t="s">
        <v>1107</v>
      </c>
      <c r="Q2231" s="18">
        <v>0</v>
      </c>
      <c r="V2231" s="22">
        <f>3.25/5</f>
        <v>0.65</v>
      </c>
      <c r="W2231" s="14" t="s">
        <v>7777</v>
      </c>
      <c r="X2231" s="3">
        <v>3</v>
      </c>
      <c r="Z2231" s="23">
        <v>8.5</v>
      </c>
      <c r="AB2231" s="18">
        <f t="shared" si="68"/>
        <v>2017</v>
      </c>
      <c r="AC2231" s="22">
        <f t="shared" si="69"/>
        <v>0.625</v>
      </c>
    </row>
    <row r="2232" spans="1:29">
      <c r="A2232" s="8" t="s">
        <v>15498</v>
      </c>
      <c r="B2232" s="17" t="s">
        <v>7800</v>
      </c>
      <c r="C2232" s="13">
        <v>42923</v>
      </c>
      <c r="D2232" s="13" t="s">
        <v>8465</v>
      </c>
      <c r="E2232" s="10" t="s">
        <v>15499</v>
      </c>
      <c r="F2232" s="10" t="s">
        <v>15499</v>
      </c>
      <c r="H2232" s="2" t="s">
        <v>67</v>
      </c>
      <c r="L2232" s="18">
        <v>1</v>
      </c>
      <c r="N2232" s="13">
        <v>45145</v>
      </c>
      <c r="O2232" s="29">
        <v>0.99</v>
      </c>
      <c r="P2232" s="18" t="s">
        <v>1107</v>
      </c>
      <c r="Q2232" s="18">
        <v>0</v>
      </c>
      <c r="V2232" s="22">
        <f>4.5/5</f>
        <v>0.9</v>
      </c>
      <c r="W2232" s="14" t="s">
        <v>7777</v>
      </c>
      <c r="X2232" s="3">
        <v>2</v>
      </c>
      <c r="Z2232" s="23">
        <v>6</v>
      </c>
      <c r="AB2232" s="18">
        <f t="shared" si="68"/>
        <v>2017</v>
      </c>
      <c r="AC2232" s="22">
        <f t="shared" si="69"/>
        <v>0.65</v>
      </c>
    </row>
    <row r="2233" spans="1:29">
      <c r="A2233" s="8" t="s">
        <v>11236</v>
      </c>
      <c r="B2233" s="17" t="s">
        <v>7749</v>
      </c>
      <c r="C2233" s="13">
        <v>42922</v>
      </c>
      <c r="D2233" s="13" t="s">
        <v>8465</v>
      </c>
      <c r="E2233" s="10" t="s">
        <v>86</v>
      </c>
      <c r="F2233" s="10" t="s">
        <v>30</v>
      </c>
      <c r="G2233" s="11" t="s">
        <v>223</v>
      </c>
      <c r="H2233" s="2" t="s">
        <v>1040</v>
      </c>
      <c r="L2233" s="18">
        <v>1</v>
      </c>
      <c r="N2233" s="13">
        <v>44618</v>
      </c>
      <c r="O2233" s="29">
        <v>6.99</v>
      </c>
      <c r="P2233" s="18" t="s">
        <v>1107</v>
      </c>
      <c r="Q2233" s="18">
        <v>0</v>
      </c>
      <c r="U2233" s="22">
        <v>0.69</v>
      </c>
      <c r="V2233" s="22">
        <f>3.61/5</f>
        <v>0.72199999999999998</v>
      </c>
      <c r="X2233" s="3">
        <v>2</v>
      </c>
      <c r="Z2233" s="23">
        <v>1</v>
      </c>
      <c r="AB2233" s="18">
        <f t="shared" si="68"/>
        <v>2017</v>
      </c>
      <c r="AC2233" s="22">
        <f t="shared" si="69"/>
        <v>0.60399999999999998</v>
      </c>
    </row>
    <row r="2234" spans="1:29">
      <c r="A2234" s="8" t="s">
        <v>9281</v>
      </c>
      <c r="B2234" s="17" t="s">
        <v>7763</v>
      </c>
      <c r="C2234" s="13">
        <v>42916</v>
      </c>
      <c r="D2234" s="13" t="s">
        <v>8465</v>
      </c>
      <c r="E2234" s="10" t="s">
        <v>1519</v>
      </c>
      <c r="F2234" s="10" t="s">
        <v>1245</v>
      </c>
      <c r="G2234" s="11" t="s">
        <v>8748</v>
      </c>
      <c r="H2234" s="2" t="s">
        <v>171</v>
      </c>
      <c r="L2234" s="18">
        <v>1</v>
      </c>
      <c r="M2234" s="14" t="s">
        <v>8462</v>
      </c>
      <c r="N2234" s="13">
        <v>44082</v>
      </c>
      <c r="O2234" s="29">
        <v>32.799999999999997</v>
      </c>
      <c r="P2234" s="18" t="s">
        <v>14</v>
      </c>
      <c r="Q2234" s="18">
        <v>0</v>
      </c>
      <c r="U2234" s="22">
        <v>0.74</v>
      </c>
      <c r="V2234" s="22">
        <f>4.14/5</f>
        <v>0.82799999999999996</v>
      </c>
      <c r="X2234" s="3">
        <v>4</v>
      </c>
      <c r="Z2234" s="23">
        <v>36</v>
      </c>
      <c r="AB2234" s="18">
        <f t="shared" si="68"/>
        <v>2017</v>
      </c>
      <c r="AC2234" s="22">
        <f t="shared" si="69"/>
        <v>0.78933333333333344</v>
      </c>
    </row>
    <row r="2235" spans="1:29" ht="30">
      <c r="A2235" s="8" t="s">
        <v>1429</v>
      </c>
      <c r="B2235" s="17" t="s">
        <v>7736</v>
      </c>
      <c r="C2235" s="13">
        <v>42916</v>
      </c>
      <c r="D2235" s="13" t="s">
        <v>8463</v>
      </c>
      <c r="E2235" s="10" t="s">
        <v>1430</v>
      </c>
      <c r="F2235" s="10" t="s">
        <v>1361</v>
      </c>
      <c r="G2235" s="11" t="s">
        <v>13369</v>
      </c>
      <c r="H2235" s="2" t="s">
        <v>153</v>
      </c>
      <c r="K2235" s="18">
        <v>2</v>
      </c>
      <c r="L2235" s="18">
        <v>0</v>
      </c>
      <c r="Q2235" s="18">
        <v>0</v>
      </c>
      <c r="V2235" s="22">
        <f>3.73/5</f>
        <v>0.746</v>
      </c>
      <c r="X2235" s="3">
        <v>2</v>
      </c>
      <c r="Z2235" s="23">
        <v>1</v>
      </c>
      <c r="AB2235" s="18">
        <f t="shared" si="68"/>
        <v>2017</v>
      </c>
      <c r="AC2235" s="22">
        <f t="shared" si="69"/>
        <v>0.57299999999999995</v>
      </c>
    </row>
    <row r="2236" spans="1:29" ht="30">
      <c r="A2236" s="8" t="s">
        <v>8825</v>
      </c>
      <c r="B2236" s="17" t="s">
        <v>7760</v>
      </c>
      <c r="C2236" s="13">
        <v>42913</v>
      </c>
      <c r="D2236" s="13" t="s">
        <v>8465</v>
      </c>
      <c r="E2236" s="10" t="s">
        <v>455</v>
      </c>
      <c r="F2236" s="10" t="s">
        <v>6092</v>
      </c>
      <c r="G2236" s="11" t="s">
        <v>5494</v>
      </c>
      <c r="H2236" s="2" t="s">
        <v>171</v>
      </c>
      <c r="L2236" s="18">
        <v>1</v>
      </c>
      <c r="M2236" s="14" t="s">
        <v>11018</v>
      </c>
      <c r="N2236" s="13">
        <v>43984</v>
      </c>
      <c r="O2236" s="29">
        <v>19.5</v>
      </c>
      <c r="P2236" s="18" t="s">
        <v>14</v>
      </c>
      <c r="Q2236" s="18">
        <v>0</v>
      </c>
      <c r="U2236" s="22">
        <v>0.54</v>
      </c>
      <c r="V2236" s="22">
        <f>3.08/5</f>
        <v>0.61599999999999999</v>
      </c>
      <c r="X2236" s="3">
        <v>3</v>
      </c>
      <c r="Z2236" s="23">
        <v>33</v>
      </c>
      <c r="AB2236" s="18">
        <f t="shared" si="68"/>
        <v>2017</v>
      </c>
      <c r="AC2236" s="22">
        <f t="shared" si="69"/>
        <v>0.58533333333333337</v>
      </c>
    </row>
    <row r="2237" spans="1:29">
      <c r="A2237" s="8" t="s">
        <v>2371</v>
      </c>
      <c r="B2237" s="17" t="s">
        <v>7749</v>
      </c>
      <c r="C2237" s="13">
        <v>42909</v>
      </c>
      <c r="D2237" s="13" t="s">
        <v>8465</v>
      </c>
      <c r="E2237" s="10" t="s">
        <v>86</v>
      </c>
      <c r="F2237" s="10" t="s">
        <v>2453</v>
      </c>
      <c r="H2237" s="2" t="s">
        <v>80</v>
      </c>
      <c r="L2237" s="18">
        <v>1</v>
      </c>
      <c r="M2237" s="14" t="s">
        <v>8462</v>
      </c>
      <c r="N2237" s="13">
        <v>43537</v>
      </c>
      <c r="O2237" s="29">
        <v>24.97</v>
      </c>
      <c r="P2237" s="18" t="s">
        <v>14</v>
      </c>
      <c r="Q2237" s="18">
        <v>0</v>
      </c>
      <c r="U2237" s="22">
        <v>0.78</v>
      </c>
      <c r="V2237" s="22">
        <f>3.99/5</f>
        <v>0.79800000000000004</v>
      </c>
      <c r="X2237" s="3">
        <v>3</v>
      </c>
      <c r="Z2237" s="23">
        <v>22.5</v>
      </c>
      <c r="AB2237" s="18">
        <f t="shared" si="68"/>
        <v>2017</v>
      </c>
      <c r="AC2237" s="22">
        <f t="shared" si="69"/>
        <v>0.72599999999999998</v>
      </c>
    </row>
    <row r="2238" spans="1:29">
      <c r="A2238" s="8" t="s">
        <v>4534</v>
      </c>
      <c r="B2238" s="17" t="s">
        <v>7800</v>
      </c>
      <c r="C2238" s="13">
        <v>42906</v>
      </c>
      <c r="D2238" s="13" t="s">
        <v>8465</v>
      </c>
      <c r="E2238" s="10" t="s">
        <v>4535</v>
      </c>
      <c r="F2238" s="10" t="s">
        <v>4535</v>
      </c>
      <c r="H2238" s="2" t="s">
        <v>1054</v>
      </c>
      <c r="L2238" s="18">
        <v>1</v>
      </c>
      <c r="N2238" s="13">
        <v>43642</v>
      </c>
      <c r="O2238" s="29">
        <v>7.99</v>
      </c>
      <c r="P2238" s="18" t="s">
        <v>1107</v>
      </c>
      <c r="Q2238" s="18">
        <v>0</v>
      </c>
      <c r="U2238" s="22">
        <v>0.86</v>
      </c>
      <c r="V2238" s="22">
        <f>3.39/5</f>
        <v>0.67800000000000005</v>
      </c>
      <c r="W2238" s="14" t="s">
        <v>7777</v>
      </c>
      <c r="X2238" s="3">
        <v>4</v>
      </c>
      <c r="Z2238" s="23">
        <v>1.5</v>
      </c>
      <c r="AB2238" s="18">
        <f t="shared" si="68"/>
        <v>2017</v>
      </c>
      <c r="AC2238" s="22">
        <f t="shared" si="69"/>
        <v>0.77933333333333332</v>
      </c>
    </row>
    <row r="2239" spans="1:29" ht="25.5">
      <c r="A2239" s="8" t="s">
        <v>12645</v>
      </c>
      <c r="B2239" s="17" t="s">
        <v>7800</v>
      </c>
      <c r="C2239" s="13">
        <v>42906</v>
      </c>
      <c r="D2239" s="13" t="s">
        <v>8465</v>
      </c>
      <c r="E2239" s="10" t="s">
        <v>3063</v>
      </c>
      <c r="F2239" s="10" t="s">
        <v>4083</v>
      </c>
      <c r="G2239" s="11" t="s">
        <v>4943</v>
      </c>
      <c r="H2239" s="2" t="s">
        <v>1054</v>
      </c>
      <c r="L2239" s="18">
        <v>1</v>
      </c>
      <c r="N2239" s="13">
        <v>44825</v>
      </c>
      <c r="O2239" s="29">
        <v>0</v>
      </c>
      <c r="P2239" s="18" t="s">
        <v>1107</v>
      </c>
      <c r="Q2239" s="18">
        <v>0</v>
      </c>
      <c r="U2239" s="22">
        <v>0.76</v>
      </c>
      <c r="V2239" s="22">
        <f>3.3/5</f>
        <v>0.65999999999999992</v>
      </c>
      <c r="W2239" s="14" t="s">
        <v>7777</v>
      </c>
      <c r="X2239" s="3">
        <v>3</v>
      </c>
      <c r="Z2239" s="23">
        <v>10</v>
      </c>
      <c r="AB2239" s="18">
        <f t="shared" si="68"/>
        <v>2017</v>
      </c>
      <c r="AC2239" s="22">
        <f t="shared" si="69"/>
        <v>0.67333333333333334</v>
      </c>
    </row>
    <row r="2240" spans="1:29" ht="30">
      <c r="A2240" s="8" t="s">
        <v>8677</v>
      </c>
      <c r="B2240" s="17" t="s">
        <v>7800</v>
      </c>
      <c r="C2240" s="13">
        <v>42906</v>
      </c>
      <c r="D2240" s="13" t="s">
        <v>8465</v>
      </c>
      <c r="E2240" s="10" t="s">
        <v>1604</v>
      </c>
      <c r="F2240" s="10" t="s">
        <v>4515</v>
      </c>
      <c r="H2240" s="2" t="s">
        <v>1061</v>
      </c>
      <c r="L2240" s="18">
        <v>1</v>
      </c>
      <c r="N2240" s="13">
        <v>43970</v>
      </c>
      <c r="O2240" s="29">
        <v>0</v>
      </c>
      <c r="P2240" s="18" t="s">
        <v>1107</v>
      </c>
      <c r="Q2240" s="18">
        <v>0</v>
      </c>
      <c r="U2240" s="22">
        <v>0.75</v>
      </c>
      <c r="V2240" s="22">
        <f>3.13/5</f>
        <v>0.626</v>
      </c>
      <c r="W2240" s="14" t="s">
        <v>7777</v>
      </c>
      <c r="X2240" s="3">
        <v>3</v>
      </c>
      <c r="Z2240" s="23">
        <v>7.5</v>
      </c>
      <c r="AB2240" s="18">
        <f t="shared" si="68"/>
        <v>2017</v>
      </c>
      <c r="AC2240" s="22">
        <f t="shared" si="69"/>
        <v>0.65866666666666662</v>
      </c>
    </row>
    <row r="2241" spans="1:29" ht="25.5">
      <c r="A2241" s="8" t="s">
        <v>9865</v>
      </c>
      <c r="B2241" s="17" t="s">
        <v>7749</v>
      </c>
      <c r="C2241" s="13">
        <v>42906</v>
      </c>
      <c r="D2241" s="13" t="s">
        <v>8465</v>
      </c>
      <c r="E2241" s="10" t="s">
        <v>66</v>
      </c>
      <c r="F2241" s="10" t="s">
        <v>9866</v>
      </c>
      <c r="G2241" s="11" t="s">
        <v>226</v>
      </c>
      <c r="H2241" s="2" t="s">
        <v>153</v>
      </c>
      <c r="L2241" s="18">
        <v>1</v>
      </c>
      <c r="N2241" s="13">
        <v>44284</v>
      </c>
      <c r="O2241" s="29">
        <v>7.49</v>
      </c>
      <c r="P2241" s="18" t="s">
        <v>1107</v>
      </c>
      <c r="Q2241" s="18">
        <v>0</v>
      </c>
      <c r="U2241" s="22">
        <v>0.62</v>
      </c>
      <c r="V2241" s="22">
        <f>3.66/5</f>
        <v>0.73199999999999998</v>
      </c>
      <c r="X2241" s="3">
        <v>3</v>
      </c>
      <c r="Z2241" s="23">
        <v>3</v>
      </c>
      <c r="AB2241" s="18">
        <f t="shared" ref="AB2241:AB2304" si="70">IFERROR(YEAR(C2241), "Early Access")</f>
        <v>2017</v>
      </c>
      <c r="AC2241" s="22">
        <f t="shared" ref="AC2241:AC2304" si="71">AVERAGE(T2241, U2241, V2241, IF(ISBLANK(X2241), X2241, X2241/5))</f>
        <v>0.65066666666666662</v>
      </c>
    </row>
    <row r="2242" spans="1:29">
      <c r="A2242" s="8" t="s">
        <v>16075</v>
      </c>
      <c r="B2242" s="17" t="s">
        <v>7800</v>
      </c>
      <c r="C2242" s="13">
        <v>42906</v>
      </c>
      <c r="D2242" s="13" t="s">
        <v>8465</v>
      </c>
      <c r="E2242" s="10" t="s">
        <v>3193</v>
      </c>
      <c r="F2242" s="10" t="s">
        <v>3193</v>
      </c>
      <c r="G2242" s="11" t="s">
        <v>16075</v>
      </c>
      <c r="H2242" s="2" t="s">
        <v>1518</v>
      </c>
      <c r="L2242" s="18">
        <v>1</v>
      </c>
      <c r="N2242" s="13">
        <v>45218</v>
      </c>
      <c r="O2242" s="29">
        <v>0</v>
      </c>
      <c r="P2242" s="18" t="s">
        <v>1107</v>
      </c>
      <c r="Q2242" s="18">
        <v>0</v>
      </c>
      <c r="U2242" s="22">
        <v>0.8</v>
      </c>
      <c r="V2242" s="22">
        <f>4/5</f>
        <v>0.8</v>
      </c>
      <c r="W2242" s="14" t="s">
        <v>7777</v>
      </c>
      <c r="X2242" s="3">
        <v>3</v>
      </c>
      <c r="Z2242" s="23">
        <v>4.5</v>
      </c>
      <c r="AB2242" s="18">
        <f t="shared" si="70"/>
        <v>2017</v>
      </c>
      <c r="AC2242" s="22">
        <f t="shared" si="71"/>
        <v>0.73333333333333339</v>
      </c>
    </row>
    <row r="2243" spans="1:29">
      <c r="A2243" s="8" t="s">
        <v>1561</v>
      </c>
      <c r="B2243" s="17" t="s">
        <v>7744</v>
      </c>
      <c r="C2243" s="13">
        <v>42902</v>
      </c>
      <c r="D2243" s="13" t="s">
        <v>8465</v>
      </c>
      <c r="E2243" s="10" t="s">
        <v>86</v>
      </c>
      <c r="F2243" s="10" t="s">
        <v>1138</v>
      </c>
      <c r="H2243" s="2" t="s">
        <v>459</v>
      </c>
      <c r="L2243" s="18">
        <v>1</v>
      </c>
      <c r="M2243" s="14" t="s">
        <v>8462</v>
      </c>
      <c r="N2243" s="13">
        <v>42902</v>
      </c>
      <c r="O2243" s="29">
        <v>51.35</v>
      </c>
      <c r="P2243" s="18" t="s">
        <v>14</v>
      </c>
      <c r="Q2243" s="18">
        <v>0</v>
      </c>
      <c r="U2243" s="22">
        <v>0.77</v>
      </c>
      <c r="V2243" s="22">
        <f>3.75/5</f>
        <v>0.75</v>
      </c>
      <c r="X2243" s="3">
        <v>3</v>
      </c>
      <c r="Z2243" s="23">
        <v>1.5</v>
      </c>
      <c r="AB2243" s="18">
        <f t="shared" si="70"/>
        <v>2017</v>
      </c>
      <c r="AC2243" s="22">
        <f t="shared" si="71"/>
        <v>0.70666666666666667</v>
      </c>
    </row>
    <row r="2244" spans="1:29" ht="25.5">
      <c r="A2244" s="8" t="s">
        <v>8355</v>
      </c>
      <c r="B2244" s="17" t="s">
        <v>7800</v>
      </c>
      <c r="C2244" s="13">
        <v>42901</v>
      </c>
      <c r="D2244" s="13" t="s">
        <v>8465</v>
      </c>
      <c r="E2244" s="10" t="s">
        <v>170</v>
      </c>
      <c r="F2244" s="10" t="s">
        <v>170</v>
      </c>
      <c r="G2244" s="11" t="s">
        <v>567</v>
      </c>
      <c r="H2244" s="2" t="s">
        <v>459</v>
      </c>
      <c r="L2244" s="18">
        <v>1</v>
      </c>
      <c r="N2244" s="13">
        <v>43878</v>
      </c>
      <c r="O2244" s="29">
        <v>3.99</v>
      </c>
      <c r="P2244" s="18" t="s">
        <v>1107</v>
      </c>
      <c r="Q2244" s="18">
        <v>0</v>
      </c>
      <c r="V2244" s="22">
        <f>4.11/5</f>
        <v>0.82200000000000006</v>
      </c>
      <c r="W2244" s="14" t="s">
        <v>7777</v>
      </c>
      <c r="X2244" s="3">
        <v>3</v>
      </c>
      <c r="Z2244" s="23">
        <v>1</v>
      </c>
      <c r="AB2244" s="18">
        <f t="shared" si="70"/>
        <v>2017</v>
      </c>
      <c r="AC2244" s="22">
        <f t="shared" si="71"/>
        <v>0.71100000000000008</v>
      </c>
    </row>
    <row r="2245" spans="1:29" ht="30">
      <c r="A2245" s="8" t="s">
        <v>9925</v>
      </c>
      <c r="B2245" s="17" t="s">
        <v>7744</v>
      </c>
      <c r="C2245" s="13">
        <v>42901</v>
      </c>
      <c r="D2245" s="13" t="s">
        <v>8465</v>
      </c>
      <c r="E2245" s="10" t="s">
        <v>1070</v>
      </c>
      <c r="F2245" s="10" t="s">
        <v>1070</v>
      </c>
      <c r="G2245" s="11" t="s">
        <v>2477</v>
      </c>
      <c r="H2245" s="2" t="s">
        <v>64</v>
      </c>
      <c r="L2245" s="18">
        <v>1</v>
      </c>
      <c r="M2245" s="14" t="s">
        <v>8462</v>
      </c>
      <c r="N2245" s="13">
        <v>44071</v>
      </c>
      <c r="O2245" s="29">
        <v>29.99</v>
      </c>
      <c r="P2245" s="18" t="s">
        <v>14</v>
      </c>
      <c r="Q2245" s="18">
        <v>0</v>
      </c>
      <c r="U2245" s="22">
        <v>0.76</v>
      </c>
      <c r="V2245" s="22">
        <f>3.97/5</f>
        <v>0.79400000000000004</v>
      </c>
      <c r="W2245" s="14" t="s">
        <v>1134</v>
      </c>
      <c r="X2245" s="3">
        <v>3</v>
      </c>
      <c r="Z2245" s="23">
        <v>3</v>
      </c>
      <c r="AB2245" s="18">
        <f t="shared" si="70"/>
        <v>2017</v>
      </c>
      <c r="AC2245" s="22">
        <f t="shared" si="71"/>
        <v>0.71799999999999997</v>
      </c>
    </row>
    <row r="2246" spans="1:29" ht="38.25">
      <c r="A2246" s="8" t="s">
        <v>7976</v>
      </c>
      <c r="B2246" s="17" t="s">
        <v>7800</v>
      </c>
      <c r="C2246" s="13">
        <v>42898</v>
      </c>
      <c r="D2246" s="13" t="s">
        <v>8465</v>
      </c>
      <c r="E2246" s="10" t="s">
        <v>1680</v>
      </c>
      <c r="F2246" s="10" t="s">
        <v>3861</v>
      </c>
      <c r="G2246" s="11" t="s">
        <v>1682</v>
      </c>
      <c r="H2246" s="2" t="s">
        <v>149</v>
      </c>
      <c r="L2246" s="18">
        <v>1</v>
      </c>
      <c r="N2246" s="13">
        <v>43761</v>
      </c>
      <c r="O2246" s="29">
        <v>10</v>
      </c>
      <c r="P2246" s="18" t="s">
        <v>1107</v>
      </c>
      <c r="Q2246" s="18">
        <v>0</v>
      </c>
      <c r="U2246" s="22">
        <v>0.7</v>
      </c>
      <c r="V2246" s="22">
        <f>3.95/5</f>
        <v>0.79</v>
      </c>
      <c r="W2246" s="14" t="s">
        <v>7777</v>
      </c>
      <c r="X2246" s="3">
        <v>3</v>
      </c>
      <c r="Z2246" s="23">
        <v>17.5</v>
      </c>
      <c r="AB2246" s="18">
        <f t="shared" si="70"/>
        <v>2017</v>
      </c>
      <c r="AC2246" s="22">
        <f t="shared" si="71"/>
        <v>0.69666666666666666</v>
      </c>
    </row>
    <row r="2247" spans="1:29" ht="25.5">
      <c r="A2247" s="8" t="s">
        <v>1725</v>
      </c>
      <c r="B2247" s="17" t="s">
        <v>7800</v>
      </c>
      <c r="C2247" s="13">
        <v>42894</v>
      </c>
      <c r="D2247" s="13" t="s">
        <v>8465</v>
      </c>
      <c r="E2247" s="10" t="s">
        <v>1721</v>
      </c>
      <c r="F2247" s="10" t="s">
        <v>1726</v>
      </c>
      <c r="G2247" s="11" t="s">
        <v>1727</v>
      </c>
      <c r="H2247" s="2" t="s">
        <v>64</v>
      </c>
      <c r="L2247" s="18">
        <v>1</v>
      </c>
      <c r="N2247" s="13">
        <v>43678</v>
      </c>
      <c r="O2247" s="29">
        <v>0</v>
      </c>
      <c r="P2247" s="18" t="s">
        <v>1107</v>
      </c>
      <c r="Q2247" s="18">
        <v>0</v>
      </c>
      <c r="V2247" s="22">
        <f>3.73/5</f>
        <v>0.746</v>
      </c>
      <c r="W2247" s="14" t="s">
        <v>7777</v>
      </c>
      <c r="X2247" s="3">
        <v>3</v>
      </c>
      <c r="Z2247" s="23">
        <v>5</v>
      </c>
      <c r="AB2247" s="18">
        <f t="shared" si="70"/>
        <v>2017</v>
      </c>
      <c r="AC2247" s="22">
        <f t="shared" si="71"/>
        <v>0.67300000000000004</v>
      </c>
    </row>
    <row r="2248" spans="1:29">
      <c r="A2248" s="8" t="s">
        <v>15821</v>
      </c>
      <c r="B2248" s="17" t="s">
        <v>7800</v>
      </c>
      <c r="C2248" s="13">
        <v>42893</v>
      </c>
      <c r="D2248" s="13" t="s">
        <v>8465</v>
      </c>
      <c r="E2248" s="10" t="s">
        <v>4473</v>
      </c>
      <c r="F2248" s="10" t="s">
        <v>4473</v>
      </c>
      <c r="H2248" s="2" t="s">
        <v>2138</v>
      </c>
      <c r="L2248" s="18">
        <v>1</v>
      </c>
      <c r="N2248" s="13">
        <v>43642</v>
      </c>
      <c r="O2248" s="29">
        <v>3.99</v>
      </c>
      <c r="P2248" s="18" t="s">
        <v>1107</v>
      </c>
      <c r="Q2248" s="18">
        <v>0</v>
      </c>
      <c r="U2248" s="22">
        <v>0.82</v>
      </c>
      <c r="V2248" s="22">
        <f>3.78/5</f>
        <v>0.75600000000000001</v>
      </c>
      <c r="W2248" s="14" t="s">
        <v>7777</v>
      </c>
      <c r="X2248" s="3">
        <v>3</v>
      </c>
      <c r="Z2248" s="23">
        <v>4.5</v>
      </c>
      <c r="AB2248" s="18">
        <f t="shared" si="70"/>
        <v>2017</v>
      </c>
      <c r="AC2248" s="22">
        <f t="shared" si="71"/>
        <v>0.72533333333333339</v>
      </c>
    </row>
    <row r="2249" spans="1:29" ht="30">
      <c r="A2249" s="8" t="s">
        <v>13043</v>
      </c>
      <c r="B2249" s="17" t="s">
        <v>7760</v>
      </c>
      <c r="C2249" s="13">
        <v>42892</v>
      </c>
      <c r="D2249" s="13" t="s">
        <v>8465</v>
      </c>
      <c r="E2249" s="10" t="s">
        <v>6107</v>
      </c>
      <c r="F2249" s="10" t="s">
        <v>13044</v>
      </c>
      <c r="G2249" s="11" t="s">
        <v>6050</v>
      </c>
      <c r="H2249" s="2" t="s">
        <v>150</v>
      </c>
      <c r="I2249" s="18">
        <v>1</v>
      </c>
      <c r="L2249" s="18">
        <v>1</v>
      </c>
      <c r="N2249" s="13">
        <v>44922</v>
      </c>
      <c r="O2249" s="29">
        <v>7.99</v>
      </c>
      <c r="P2249" s="18" t="s">
        <v>1107</v>
      </c>
      <c r="Q2249" s="18">
        <v>0</v>
      </c>
      <c r="U2249" s="22">
        <v>0.85</v>
      </c>
      <c r="V2249" s="22">
        <f>4.04/5</f>
        <v>0.80800000000000005</v>
      </c>
      <c r="X2249" s="3">
        <v>3</v>
      </c>
      <c r="Z2249" s="23">
        <v>21</v>
      </c>
      <c r="AB2249" s="18">
        <f t="shared" si="70"/>
        <v>2017</v>
      </c>
      <c r="AC2249" s="22">
        <f t="shared" si="71"/>
        <v>0.75266666666666671</v>
      </c>
    </row>
    <row r="2250" spans="1:29">
      <c r="A2250" s="8" t="s">
        <v>8368</v>
      </c>
      <c r="B2250" s="17" t="s">
        <v>7800</v>
      </c>
      <c r="C2250" s="13">
        <v>42892</v>
      </c>
      <c r="D2250" s="13" t="s">
        <v>8465</v>
      </c>
      <c r="E2250" s="10" t="s">
        <v>3559</v>
      </c>
      <c r="F2250" s="10" t="s">
        <v>3576</v>
      </c>
      <c r="H2250" s="2" t="s">
        <v>67</v>
      </c>
      <c r="L2250" s="18">
        <v>1</v>
      </c>
      <c r="N2250" s="13">
        <v>43881</v>
      </c>
      <c r="O2250" s="29">
        <v>3.33</v>
      </c>
      <c r="P2250" s="18" t="s">
        <v>1107</v>
      </c>
      <c r="Q2250" s="18">
        <v>0</v>
      </c>
      <c r="U2250" s="22">
        <v>0.71</v>
      </c>
      <c r="V2250" s="22">
        <f>3.38/5</f>
        <v>0.67599999999999993</v>
      </c>
      <c r="W2250" s="14" t="s">
        <v>7777</v>
      </c>
      <c r="X2250" s="3">
        <v>3</v>
      </c>
      <c r="Z2250" s="23">
        <v>4</v>
      </c>
      <c r="AB2250" s="18">
        <f t="shared" si="70"/>
        <v>2017</v>
      </c>
      <c r="AC2250" s="22">
        <f t="shared" si="71"/>
        <v>0.66199999999999992</v>
      </c>
    </row>
    <row r="2251" spans="1:29">
      <c r="A2251" s="8" t="s">
        <v>8525</v>
      </c>
      <c r="B2251" s="17" t="s">
        <v>7800</v>
      </c>
      <c r="C2251" s="13">
        <v>42888</v>
      </c>
      <c r="D2251" s="13" t="s">
        <v>8465</v>
      </c>
      <c r="E2251" s="10" t="s">
        <v>3544</v>
      </c>
      <c r="F2251" s="10" t="s">
        <v>8526</v>
      </c>
      <c r="H2251" s="2" t="s">
        <v>1054</v>
      </c>
      <c r="L2251" s="18">
        <v>1</v>
      </c>
      <c r="O2251" s="29">
        <v>0</v>
      </c>
      <c r="P2251" s="18" t="s">
        <v>1107</v>
      </c>
      <c r="Q2251" s="18">
        <v>0</v>
      </c>
      <c r="V2251" s="22">
        <f>2.78/5</f>
        <v>0.55599999999999994</v>
      </c>
      <c r="W2251" s="14" t="s">
        <v>7097</v>
      </c>
      <c r="X2251" s="3">
        <v>3</v>
      </c>
      <c r="Z2251" s="23">
        <v>3</v>
      </c>
      <c r="AB2251" s="18">
        <f t="shared" si="70"/>
        <v>2017</v>
      </c>
      <c r="AC2251" s="22">
        <f t="shared" si="71"/>
        <v>0.57799999999999996</v>
      </c>
    </row>
    <row r="2252" spans="1:29" ht="30">
      <c r="A2252" s="8" t="s">
        <v>8678</v>
      </c>
      <c r="B2252" s="17" t="s">
        <v>7800</v>
      </c>
      <c r="C2252" s="13">
        <v>42887</v>
      </c>
      <c r="D2252" s="13" t="s">
        <v>8465</v>
      </c>
      <c r="E2252" s="10" t="s">
        <v>1604</v>
      </c>
      <c r="F2252" s="10" t="s">
        <v>1614</v>
      </c>
      <c r="G2252" s="11" t="s">
        <v>8076</v>
      </c>
      <c r="H2252" s="2" t="s">
        <v>459</v>
      </c>
      <c r="L2252" s="18">
        <v>1</v>
      </c>
      <c r="N2252" s="13">
        <v>43970</v>
      </c>
      <c r="O2252" s="29">
        <v>0</v>
      </c>
      <c r="P2252" s="18" t="s">
        <v>1107</v>
      </c>
      <c r="Q2252" s="18">
        <v>0</v>
      </c>
      <c r="U2252" s="22">
        <v>0.82</v>
      </c>
      <c r="V2252" s="22">
        <f>3.7/5</f>
        <v>0.74</v>
      </c>
      <c r="W2252" s="14" t="s">
        <v>7777</v>
      </c>
      <c r="X2252" s="3">
        <v>3</v>
      </c>
      <c r="Z2252" s="23">
        <v>3.5</v>
      </c>
      <c r="AB2252" s="18">
        <f t="shared" si="70"/>
        <v>2017</v>
      </c>
      <c r="AC2252" s="22">
        <f t="shared" si="71"/>
        <v>0.72000000000000008</v>
      </c>
    </row>
    <row r="2253" spans="1:29">
      <c r="A2253" s="8" t="s">
        <v>5164</v>
      </c>
      <c r="B2253" s="17" t="s">
        <v>7800</v>
      </c>
      <c r="C2253" s="13">
        <v>42887</v>
      </c>
      <c r="D2253" s="13" t="s">
        <v>8465</v>
      </c>
      <c r="E2253" s="10" t="s">
        <v>3361</v>
      </c>
      <c r="F2253" s="10" t="s">
        <v>3361</v>
      </c>
      <c r="H2253" s="2" t="s">
        <v>143</v>
      </c>
      <c r="L2253" s="18">
        <v>1</v>
      </c>
      <c r="N2253" s="13">
        <v>43340</v>
      </c>
      <c r="O2253" s="29">
        <v>0.89</v>
      </c>
      <c r="P2253" s="18" t="s">
        <v>1107</v>
      </c>
      <c r="Q2253" s="18">
        <v>0</v>
      </c>
      <c r="V2253" s="22">
        <f>3.58/5</f>
        <v>0.71599999999999997</v>
      </c>
      <c r="W2253" s="14" t="s">
        <v>7777</v>
      </c>
      <c r="X2253" s="3">
        <v>2</v>
      </c>
      <c r="Z2253" s="23">
        <v>10.5</v>
      </c>
      <c r="AB2253" s="18">
        <f t="shared" si="70"/>
        <v>2017</v>
      </c>
      <c r="AC2253" s="22">
        <f t="shared" si="71"/>
        <v>0.55800000000000005</v>
      </c>
    </row>
    <row r="2254" spans="1:29">
      <c r="A2254" s="8" t="s">
        <v>5423</v>
      </c>
      <c r="B2254" s="17" t="s">
        <v>7800</v>
      </c>
      <c r="C2254" s="13">
        <v>42886</v>
      </c>
      <c r="D2254" s="13" t="s">
        <v>8465</v>
      </c>
      <c r="E2254" s="10" t="s">
        <v>5424</v>
      </c>
      <c r="F2254" s="10" t="s">
        <v>5425</v>
      </c>
      <c r="H2254" s="2" t="s">
        <v>2138</v>
      </c>
      <c r="L2254" s="18">
        <v>1</v>
      </c>
      <c r="N2254" s="13">
        <v>43327</v>
      </c>
      <c r="P2254" s="18" t="s">
        <v>1107</v>
      </c>
      <c r="Q2254" s="18">
        <v>0</v>
      </c>
      <c r="U2254" s="22">
        <v>0.72</v>
      </c>
      <c r="V2254" s="22">
        <f>2.41/5</f>
        <v>0.48200000000000004</v>
      </c>
      <c r="W2254" s="14" t="s">
        <v>7777</v>
      </c>
      <c r="X2254" s="3">
        <v>2</v>
      </c>
      <c r="Z2254" s="23">
        <v>10</v>
      </c>
      <c r="AB2254" s="18">
        <f t="shared" si="70"/>
        <v>2017</v>
      </c>
      <c r="AC2254" s="22">
        <f t="shared" si="71"/>
        <v>0.53399999999999992</v>
      </c>
    </row>
    <row r="2255" spans="1:29" ht="25.5">
      <c r="A2255" s="8" t="s">
        <v>9006</v>
      </c>
      <c r="B2255" s="17" t="s">
        <v>7800</v>
      </c>
      <c r="C2255" s="13">
        <v>42885</v>
      </c>
      <c r="D2255" s="13" t="s">
        <v>8465</v>
      </c>
      <c r="E2255" s="10" t="s">
        <v>3246</v>
      </c>
      <c r="F2255" s="10" t="s">
        <v>3246</v>
      </c>
      <c r="G2255" s="11" t="s">
        <v>5388</v>
      </c>
      <c r="H2255" s="2" t="s">
        <v>67</v>
      </c>
      <c r="L2255" s="18">
        <v>1</v>
      </c>
      <c r="N2255" s="13">
        <v>44019</v>
      </c>
      <c r="O2255" s="29">
        <v>15</v>
      </c>
      <c r="P2255" s="18" t="s">
        <v>1107</v>
      </c>
      <c r="Q2255" s="18">
        <v>0</v>
      </c>
      <c r="U2255" s="22">
        <v>0.69</v>
      </c>
      <c r="V2255" s="22">
        <f>3.31/5</f>
        <v>0.66200000000000003</v>
      </c>
      <c r="W2255" s="14" t="s">
        <v>7777</v>
      </c>
      <c r="X2255" s="3">
        <v>4</v>
      </c>
      <c r="Z2255" s="23">
        <v>8</v>
      </c>
      <c r="AB2255" s="18">
        <f t="shared" si="70"/>
        <v>2017</v>
      </c>
      <c r="AC2255" s="22">
        <f t="shared" si="71"/>
        <v>0.71733333333333338</v>
      </c>
    </row>
    <row r="2256" spans="1:29">
      <c r="A2256" s="8" t="s">
        <v>4840</v>
      </c>
      <c r="B2256" s="17" t="s">
        <v>7800</v>
      </c>
      <c r="C2256" s="13">
        <v>42881</v>
      </c>
      <c r="D2256" s="13" t="s">
        <v>8465</v>
      </c>
      <c r="E2256" s="10" t="s">
        <v>4032</v>
      </c>
      <c r="F2256" s="10" t="s">
        <v>3602</v>
      </c>
      <c r="H2256" s="2" t="s">
        <v>67</v>
      </c>
      <c r="L2256" s="18">
        <v>1</v>
      </c>
      <c r="N2256" s="13">
        <v>43424</v>
      </c>
      <c r="P2256" s="18" t="s">
        <v>1107</v>
      </c>
      <c r="Q2256" s="18">
        <v>0</v>
      </c>
      <c r="U2256" s="22">
        <v>0.76</v>
      </c>
      <c r="V2256" s="22">
        <f>3.62/5</f>
        <v>0.72399999999999998</v>
      </c>
      <c r="W2256" s="14" t="s">
        <v>7777</v>
      </c>
      <c r="X2256" s="3">
        <v>3</v>
      </c>
      <c r="Z2256" s="23">
        <v>5.5</v>
      </c>
      <c r="AB2256" s="18">
        <f t="shared" si="70"/>
        <v>2017</v>
      </c>
      <c r="AC2256" s="22">
        <f t="shared" si="71"/>
        <v>0.69466666666666665</v>
      </c>
    </row>
    <row r="2257" spans="1:29">
      <c r="A2257" s="8" t="s">
        <v>3792</v>
      </c>
      <c r="B2257" s="17" t="s">
        <v>7800</v>
      </c>
      <c r="C2257" s="13">
        <v>42881</v>
      </c>
      <c r="D2257" s="13" t="s">
        <v>8465</v>
      </c>
      <c r="E2257" s="10" t="s">
        <v>3791</v>
      </c>
      <c r="F2257" s="10" t="s">
        <v>3791</v>
      </c>
      <c r="G2257" s="11" t="s">
        <v>3790</v>
      </c>
      <c r="H2257" s="2" t="s">
        <v>67</v>
      </c>
      <c r="L2257" s="18">
        <v>1</v>
      </c>
      <c r="N2257" s="13">
        <v>43642</v>
      </c>
      <c r="O2257" s="29">
        <v>0.99</v>
      </c>
      <c r="P2257" s="18" t="s">
        <v>1107</v>
      </c>
      <c r="Q2257" s="18">
        <v>0</v>
      </c>
      <c r="U2257" s="22">
        <v>0.8</v>
      </c>
      <c r="V2257" s="22">
        <f>3.4/5</f>
        <v>0.67999999999999994</v>
      </c>
      <c r="W2257" s="14" t="s">
        <v>7777</v>
      </c>
      <c r="X2257" s="3">
        <v>3</v>
      </c>
      <c r="Z2257" s="23">
        <v>2</v>
      </c>
      <c r="AB2257" s="18">
        <f t="shared" si="70"/>
        <v>2017</v>
      </c>
      <c r="AC2257" s="22">
        <f t="shared" si="71"/>
        <v>0.69333333333333336</v>
      </c>
    </row>
    <row r="2258" spans="1:29">
      <c r="A2258" s="8" t="s">
        <v>5501</v>
      </c>
      <c r="B2258" s="17" t="s">
        <v>7800</v>
      </c>
      <c r="C2258" s="13">
        <v>42880</v>
      </c>
      <c r="D2258" s="13" t="s">
        <v>8465</v>
      </c>
      <c r="E2258" s="10" t="s">
        <v>455</v>
      </c>
      <c r="F2258" s="10" t="s">
        <v>1058</v>
      </c>
      <c r="H2258" s="2" t="s">
        <v>1168</v>
      </c>
      <c r="L2258" s="18">
        <v>1</v>
      </c>
      <c r="N2258" s="13">
        <v>43322</v>
      </c>
      <c r="O2258" s="29">
        <v>5.49</v>
      </c>
      <c r="P2258" s="18" t="s">
        <v>1107</v>
      </c>
      <c r="Q2258" s="18">
        <v>0</v>
      </c>
      <c r="U2258" s="22">
        <v>0.78</v>
      </c>
      <c r="V2258" s="22">
        <f>3.65/5</f>
        <v>0.73</v>
      </c>
      <c r="W2258" s="14" t="s">
        <v>7777</v>
      </c>
      <c r="X2258" s="3">
        <v>4</v>
      </c>
      <c r="Z2258" s="23">
        <v>6</v>
      </c>
      <c r="AB2258" s="18">
        <f t="shared" si="70"/>
        <v>2017</v>
      </c>
      <c r="AC2258" s="22">
        <f t="shared" si="71"/>
        <v>0.77</v>
      </c>
    </row>
    <row r="2259" spans="1:29">
      <c r="A2259" s="8" t="s">
        <v>3053</v>
      </c>
      <c r="B2259" s="17" t="s">
        <v>7800</v>
      </c>
      <c r="C2259" s="13">
        <v>42880</v>
      </c>
      <c r="D2259" s="13" t="s">
        <v>8465</v>
      </c>
      <c r="E2259" s="10" t="s">
        <v>14246</v>
      </c>
      <c r="F2259" s="10" t="s">
        <v>14246</v>
      </c>
      <c r="H2259" s="2" t="s">
        <v>1518</v>
      </c>
      <c r="L2259" s="18">
        <v>1</v>
      </c>
      <c r="O2259" s="29">
        <v>0</v>
      </c>
      <c r="P2259" s="18" t="s">
        <v>1107</v>
      </c>
      <c r="Q2259" s="18">
        <v>0</v>
      </c>
      <c r="V2259" s="22">
        <f>3.13/5</f>
        <v>0.626</v>
      </c>
      <c r="W2259" s="14" t="s">
        <v>8765</v>
      </c>
      <c r="X2259" s="3">
        <v>2</v>
      </c>
      <c r="AB2259" s="18">
        <f t="shared" si="70"/>
        <v>2017</v>
      </c>
      <c r="AC2259" s="22">
        <f t="shared" si="71"/>
        <v>0.51300000000000001</v>
      </c>
    </row>
    <row r="2260" spans="1:29">
      <c r="A2260" s="8" t="s">
        <v>8365</v>
      </c>
      <c r="B2260" s="17" t="s">
        <v>7800</v>
      </c>
      <c r="C2260" s="13">
        <v>42879</v>
      </c>
      <c r="D2260" s="13" t="s">
        <v>8465</v>
      </c>
      <c r="E2260" s="10" t="s">
        <v>8366</v>
      </c>
      <c r="F2260" s="10" t="s">
        <v>8366</v>
      </c>
      <c r="H2260" s="2" t="s">
        <v>1143</v>
      </c>
      <c r="I2260" s="18">
        <v>1</v>
      </c>
      <c r="L2260" s="18">
        <v>1</v>
      </c>
      <c r="N2260" s="13">
        <v>43880</v>
      </c>
      <c r="O2260" s="29">
        <v>15</v>
      </c>
      <c r="P2260" s="18" t="s">
        <v>1107</v>
      </c>
      <c r="Q2260" s="18">
        <v>0</v>
      </c>
      <c r="V2260" s="22">
        <f>4.17/5</f>
        <v>0.83399999999999996</v>
      </c>
      <c r="W2260" s="14" t="s">
        <v>7777</v>
      </c>
      <c r="X2260" s="3">
        <v>3</v>
      </c>
      <c r="AB2260" s="18">
        <f t="shared" si="70"/>
        <v>2017</v>
      </c>
      <c r="AC2260" s="22">
        <f t="shared" si="71"/>
        <v>0.71699999999999997</v>
      </c>
    </row>
    <row r="2261" spans="1:29">
      <c r="A2261" s="8" t="s">
        <v>12539</v>
      </c>
      <c r="B2261" s="17" t="s">
        <v>7800</v>
      </c>
      <c r="C2261" s="13">
        <v>42879</v>
      </c>
      <c r="D2261" s="13" t="s">
        <v>8465</v>
      </c>
      <c r="E2261" s="10" t="s">
        <v>12540</v>
      </c>
      <c r="F2261" s="10" t="s">
        <v>12541</v>
      </c>
      <c r="H2261" s="2" t="s">
        <v>1518</v>
      </c>
      <c r="L2261" s="18">
        <v>1</v>
      </c>
      <c r="N2261" s="13">
        <v>44823</v>
      </c>
      <c r="O2261" s="29">
        <v>0.99</v>
      </c>
      <c r="P2261" s="18" t="s">
        <v>1107</v>
      </c>
      <c r="Q2261" s="18">
        <v>0</v>
      </c>
      <c r="V2261" s="22">
        <f>3.5/5</f>
        <v>0.7</v>
      </c>
      <c r="W2261" s="14" t="s">
        <v>7777</v>
      </c>
      <c r="X2261" s="3">
        <v>2</v>
      </c>
      <c r="Z2261" s="23">
        <v>33.5</v>
      </c>
      <c r="AB2261" s="18">
        <f t="shared" si="70"/>
        <v>2017</v>
      </c>
      <c r="AC2261" s="22">
        <f t="shared" si="71"/>
        <v>0.55000000000000004</v>
      </c>
    </row>
    <row r="2262" spans="1:29" ht="25.5">
      <c r="A2262" s="8" t="s">
        <v>7957</v>
      </c>
      <c r="B2262" s="17" t="s">
        <v>7760</v>
      </c>
      <c r="C2262" s="13">
        <v>42878</v>
      </c>
      <c r="D2262" s="13" t="s">
        <v>8465</v>
      </c>
      <c r="E2262" s="10" t="s">
        <v>2335</v>
      </c>
      <c r="F2262" s="10" t="s">
        <v>1471</v>
      </c>
      <c r="G2262" s="11" t="s">
        <v>2465</v>
      </c>
      <c r="H2262" s="2" t="s">
        <v>1059</v>
      </c>
      <c r="L2262" s="18">
        <v>1</v>
      </c>
      <c r="M2262" s="14" t="s">
        <v>8462</v>
      </c>
      <c r="N2262" s="13">
        <v>44296</v>
      </c>
      <c r="O2262" s="29">
        <v>20.41</v>
      </c>
      <c r="P2262" s="18" t="s">
        <v>14</v>
      </c>
      <c r="Q2262" s="18">
        <v>0</v>
      </c>
      <c r="U2262" s="22">
        <v>0.73670000000000002</v>
      </c>
      <c r="V2262" s="22">
        <f>3.92/5</f>
        <v>0.78400000000000003</v>
      </c>
      <c r="X2262" s="3">
        <v>2</v>
      </c>
      <c r="Z2262" s="23">
        <v>20</v>
      </c>
      <c r="AB2262" s="18">
        <f t="shared" si="70"/>
        <v>2017</v>
      </c>
      <c r="AC2262" s="22">
        <f t="shared" si="71"/>
        <v>0.64023333333333332</v>
      </c>
    </row>
    <row r="2263" spans="1:29" ht="25.5">
      <c r="A2263" s="8" t="s">
        <v>15571</v>
      </c>
      <c r="B2263" s="17" t="s">
        <v>7800</v>
      </c>
      <c r="C2263" s="13">
        <v>42878</v>
      </c>
      <c r="D2263" s="13" t="s">
        <v>8465</v>
      </c>
      <c r="E2263" s="10" t="s">
        <v>15572</v>
      </c>
      <c r="F2263" s="10" t="s">
        <v>15572</v>
      </c>
      <c r="G2263" s="11" t="s">
        <v>15573</v>
      </c>
      <c r="H2263" s="2" t="s">
        <v>3123</v>
      </c>
      <c r="L2263" s="18">
        <v>1</v>
      </c>
      <c r="N2263" s="13">
        <v>45161</v>
      </c>
      <c r="O2263" s="29">
        <v>1.6</v>
      </c>
      <c r="P2263" s="18" t="s">
        <v>1107</v>
      </c>
      <c r="Q2263" s="18">
        <v>0</v>
      </c>
      <c r="U2263" s="22">
        <v>0.73</v>
      </c>
      <c r="V2263" s="22">
        <f>3.96/5</f>
        <v>0.79200000000000004</v>
      </c>
      <c r="W2263" s="14" t="s">
        <v>7777</v>
      </c>
      <c r="X2263" s="3">
        <v>2</v>
      </c>
      <c r="Z2263" s="23">
        <v>25.5</v>
      </c>
      <c r="AB2263" s="18">
        <f t="shared" si="70"/>
        <v>2017</v>
      </c>
      <c r="AC2263" s="22">
        <f t="shared" si="71"/>
        <v>0.64066666666666672</v>
      </c>
    </row>
    <row r="2264" spans="1:29" ht="25.5">
      <c r="A2264" s="8" t="s">
        <v>2372</v>
      </c>
      <c r="B2264" s="17" t="s">
        <v>7749</v>
      </c>
      <c r="C2264" s="13">
        <v>42874</v>
      </c>
      <c r="D2264" s="13" t="s">
        <v>8465</v>
      </c>
      <c r="E2264" s="10" t="s">
        <v>86</v>
      </c>
      <c r="F2264" s="10" t="s">
        <v>1069</v>
      </c>
      <c r="G2264" s="11" t="s">
        <v>305</v>
      </c>
      <c r="H2264" s="2" t="s">
        <v>75</v>
      </c>
      <c r="L2264" s="18">
        <v>1</v>
      </c>
      <c r="M2264" s="14" t="s">
        <v>8462</v>
      </c>
      <c r="N2264" s="13">
        <v>43537</v>
      </c>
      <c r="O2264" s="29">
        <v>24.97</v>
      </c>
      <c r="P2264" s="18" t="s">
        <v>14</v>
      </c>
      <c r="Q2264" s="18">
        <v>0</v>
      </c>
      <c r="U2264" s="22">
        <v>0.83</v>
      </c>
      <c r="V2264" s="22">
        <f>4.13/5</f>
        <v>0.82599999999999996</v>
      </c>
      <c r="X2264" s="3">
        <v>4</v>
      </c>
      <c r="Z2264" s="23">
        <v>35</v>
      </c>
      <c r="AB2264" s="18">
        <f t="shared" si="70"/>
        <v>2017</v>
      </c>
      <c r="AC2264" s="22">
        <f t="shared" si="71"/>
        <v>0.81866666666666665</v>
      </c>
    </row>
    <row r="2265" spans="1:29">
      <c r="A2265" s="8" t="s">
        <v>14156</v>
      </c>
      <c r="B2265" s="17" t="s">
        <v>7800</v>
      </c>
      <c r="C2265" s="13">
        <v>42874</v>
      </c>
      <c r="D2265" s="13" t="s">
        <v>8465</v>
      </c>
      <c r="E2265" s="10" t="s">
        <v>14157</v>
      </c>
      <c r="F2265" s="10" t="s">
        <v>14157</v>
      </c>
      <c r="H2265" s="2" t="s">
        <v>56</v>
      </c>
      <c r="L2265" s="18">
        <v>1</v>
      </c>
      <c r="O2265" s="29">
        <v>0</v>
      </c>
      <c r="P2265" s="18" t="s">
        <v>1107</v>
      </c>
      <c r="Q2265" s="18">
        <v>0</v>
      </c>
      <c r="V2265" s="22">
        <f>4/5</f>
        <v>0.8</v>
      </c>
      <c r="W2265" s="14" t="s">
        <v>8765</v>
      </c>
      <c r="X2265" s="3">
        <v>2</v>
      </c>
      <c r="Z2265" s="23">
        <v>3</v>
      </c>
      <c r="AB2265" s="18">
        <f t="shared" si="70"/>
        <v>2017</v>
      </c>
      <c r="AC2265" s="22">
        <f t="shared" si="71"/>
        <v>0.60000000000000009</v>
      </c>
    </row>
    <row r="2266" spans="1:29">
      <c r="A2266" s="8" t="s">
        <v>8300</v>
      </c>
      <c r="B2266" s="17" t="s">
        <v>7800</v>
      </c>
      <c r="C2266" s="13">
        <v>42873</v>
      </c>
      <c r="D2266" s="13" t="s">
        <v>8465</v>
      </c>
      <c r="E2266" s="10" t="s">
        <v>8301</v>
      </c>
      <c r="F2266" s="10" t="s">
        <v>8301</v>
      </c>
      <c r="H2266" s="2" t="s">
        <v>80</v>
      </c>
      <c r="L2266" s="18">
        <v>1</v>
      </c>
      <c r="N2266" s="13">
        <v>43833</v>
      </c>
      <c r="O2266" s="29">
        <v>0</v>
      </c>
      <c r="P2266" s="18" t="s">
        <v>1107</v>
      </c>
      <c r="Q2266" s="18">
        <v>0</v>
      </c>
      <c r="U2266" s="22">
        <v>0.74</v>
      </c>
      <c r="V2266" s="22">
        <f>3.27/5</f>
        <v>0.65400000000000003</v>
      </c>
      <c r="W2266" s="14" t="s">
        <v>7777</v>
      </c>
      <c r="X2266" s="3">
        <v>3</v>
      </c>
      <c r="Z2266" s="23">
        <v>9</v>
      </c>
      <c r="AB2266" s="18">
        <f t="shared" si="70"/>
        <v>2017</v>
      </c>
      <c r="AC2266" s="22">
        <f t="shared" si="71"/>
        <v>0.66466666666666674</v>
      </c>
    </row>
    <row r="2267" spans="1:29">
      <c r="A2267" s="8" t="s">
        <v>11405</v>
      </c>
      <c r="B2267" s="17" t="s">
        <v>7800</v>
      </c>
      <c r="C2267" s="13">
        <v>42873</v>
      </c>
      <c r="D2267" s="13" t="s">
        <v>8465</v>
      </c>
      <c r="E2267" s="10" t="s">
        <v>455</v>
      </c>
      <c r="F2267" s="10" t="s">
        <v>3734</v>
      </c>
      <c r="G2267" s="11" t="s">
        <v>3735</v>
      </c>
      <c r="H2267" s="2" t="s">
        <v>3123</v>
      </c>
      <c r="L2267" s="18">
        <v>1</v>
      </c>
      <c r="N2267" s="13">
        <v>44638</v>
      </c>
      <c r="O2267" s="29">
        <v>0</v>
      </c>
      <c r="P2267" s="18" t="s">
        <v>1107</v>
      </c>
      <c r="Q2267" s="18">
        <v>0</v>
      </c>
      <c r="U2267" s="22">
        <v>0.8</v>
      </c>
      <c r="V2267" s="22">
        <f>3.85/5</f>
        <v>0.77</v>
      </c>
      <c r="W2267" s="14" t="s">
        <v>7777</v>
      </c>
      <c r="X2267" s="3">
        <v>2</v>
      </c>
      <c r="Z2267" s="23">
        <v>16.5</v>
      </c>
      <c r="AB2267" s="18">
        <f t="shared" si="70"/>
        <v>2017</v>
      </c>
      <c r="AC2267" s="22">
        <f t="shared" si="71"/>
        <v>0.65666666666666673</v>
      </c>
    </row>
    <row r="2268" spans="1:29">
      <c r="A2268" s="8" t="s">
        <v>9912</v>
      </c>
      <c r="B2268" s="17" t="s">
        <v>7800</v>
      </c>
      <c r="C2268" s="13">
        <v>42873</v>
      </c>
      <c r="D2268" s="13" t="s">
        <v>8465</v>
      </c>
      <c r="E2268" s="10" t="s">
        <v>9913</v>
      </c>
      <c r="F2268" s="10" t="s">
        <v>9913</v>
      </c>
      <c r="H2268" s="2" t="s">
        <v>6563</v>
      </c>
      <c r="I2268" s="18">
        <v>1</v>
      </c>
      <c r="L2268" s="18">
        <v>1</v>
      </c>
      <c r="N2268" s="13">
        <v>44293</v>
      </c>
      <c r="O2268" s="29">
        <v>0</v>
      </c>
      <c r="P2268" s="18" t="s">
        <v>1107</v>
      </c>
      <c r="Q2268" s="18">
        <v>0</v>
      </c>
      <c r="U2268" s="22">
        <v>0.67</v>
      </c>
      <c r="V2268" s="22">
        <f>4.5/5</f>
        <v>0.9</v>
      </c>
      <c r="W2268" s="14" t="s">
        <v>7777</v>
      </c>
      <c r="X2268" s="3">
        <v>2</v>
      </c>
      <c r="Z2268" s="23">
        <v>2.5</v>
      </c>
      <c r="AB2268" s="18">
        <f t="shared" si="70"/>
        <v>2017</v>
      </c>
      <c r="AC2268" s="22">
        <f t="shared" si="71"/>
        <v>0.65666666666666673</v>
      </c>
    </row>
    <row r="2269" spans="1:29">
      <c r="A2269" s="8" t="s">
        <v>4587</v>
      </c>
      <c r="B2269" s="17" t="s">
        <v>7800</v>
      </c>
      <c r="C2269" s="13">
        <v>42872</v>
      </c>
      <c r="D2269" s="13" t="s">
        <v>8465</v>
      </c>
      <c r="E2269" s="10" t="s">
        <v>3181</v>
      </c>
      <c r="F2269" s="10" t="s">
        <v>3181</v>
      </c>
      <c r="H2269" s="2" t="s">
        <v>67</v>
      </c>
      <c r="L2269" s="18">
        <v>1</v>
      </c>
      <c r="N2269" s="13">
        <v>43378</v>
      </c>
      <c r="P2269" s="18" t="s">
        <v>1107</v>
      </c>
      <c r="Q2269" s="18">
        <v>0</v>
      </c>
      <c r="U2269" s="22">
        <v>0.75</v>
      </c>
      <c r="V2269" s="22">
        <f>3.57/5</f>
        <v>0.71399999999999997</v>
      </c>
      <c r="W2269" s="14" t="s">
        <v>7777</v>
      </c>
      <c r="X2269" s="3">
        <v>3</v>
      </c>
      <c r="Z2269" s="23">
        <v>1.5</v>
      </c>
      <c r="AB2269" s="18">
        <f t="shared" si="70"/>
        <v>2017</v>
      </c>
      <c r="AC2269" s="22">
        <f t="shared" si="71"/>
        <v>0.68800000000000006</v>
      </c>
    </row>
    <row r="2270" spans="1:29">
      <c r="A2270" s="8" t="s">
        <v>5369</v>
      </c>
      <c r="B2270" s="17" t="s">
        <v>7800</v>
      </c>
      <c r="C2270" s="13">
        <v>42871</v>
      </c>
      <c r="D2270" s="13" t="s">
        <v>8465</v>
      </c>
      <c r="E2270" s="10" t="s">
        <v>3493</v>
      </c>
      <c r="F2270" s="10" t="s">
        <v>4346</v>
      </c>
      <c r="G2270" s="11" t="s">
        <v>5369</v>
      </c>
      <c r="H2270" s="2" t="s">
        <v>171</v>
      </c>
      <c r="L2270" s="18">
        <v>1</v>
      </c>
      <c r="N2270" s="13">
        <v>43166</v>
      </c>
      <c r="O2270" s="29">
        <v>15.99</v>
      </c>
      <c r="P2270" s="18" t="s">
        <v>1107</v>
      </c>
      <c r="Q2270" s="18">
        <v>0</v>
      </c>
      <c r="U2270" s="22">
        <v>0.71</v>
      </c>
      <c r="V2270" s="22">
        <f>3.5/5</f>
        <v>0.7</v>
      </c>
      <c r="W2270" s="14" t="s">
        <v>7777</v>
      </c>
      <c r="X2270" s="3">
        <v>4</v>
      </c>
      <c r="Z2270" s="23">
        <v>20</v>
      </c>
      <c r="AB2270" s="18">
        <f t="shared" si="70"/>
        <v>2017</v>
      </c>
      <c r="AC2270" s="22">
        <f t="shared" si="71"/>
        <v>0.73666666666666669</v>
      </c>
    </row>
    <row r="2271" spans="1:29">
      <c r="A2271" s="8" t="s">
        <v>9332</v>
      </c>
      <c r="B2271" s="17" t="s">
        <v>7800</v>
      </c>
      <c r="C2271" s="13">
        <v>42871</v>
      </c>
      <c r="D2271" s="13" t="s">
        <v>8465</v>
      </c>
      <c r="E2271" s="10" t="s">
        <v>3116</v>
      </c>
      <c r="F2271" s="10" t="s">
        <v>8356</v>
      </c>
      <c r="G2271" s="11" t="s">
        <v>9332</v>
      </c>
      <c r="H2271" s="2" t="s">
        <v>1143</v>
      </c>
      <c r="L2271" s="18">
        <v>0</v>
      </c>
      <c r="Q2271" s="18">
        <v>0</v>
      </c>
      <c r="V2271" s="22">
        <f>4.11/5</f>
        <v>0.82200000000000006</v>
      </c>
      <c r="W2271" s="14" t="s">
        <v>5674</v>
      </c>
      <c r="X2271" s="3">
        <v>3</v>
      </c>
      <c r="Z2271" s="23">
        <v>16</v>
      </c>
      <c r="AB2271" s="18">
        <f t="shared" si="70"/>
        <v>2017</v>
      </c>
      <c r="AC2271" s="22">
        <f t="shared" si="71"/>
        <v>0.71100000000000008</v>
      </c>
    </row>
    <row r="2272" spans="1:29" ht="25.5">
      <c r="A2272" s="8" t="s">
        <v>9278</v>
      </c>
      <c r="B2272" s="17" t="s">
        <v>7800</v>
      </c>
      <c r="C2272" s="13">
        <v>42871</v>
      </c>
      <c r="D2272" s="13" t="s">
        <v>8465</v>
      </c>
      <c r="E2272" s="10" t="s">
        <v>1062</v>
      </c>
      <c r="F2272" s="10" t="s">
        <v>8972</v>
      </c>
      <c r="G2272" s="11" t="s">
        <v>9277</v>
      </c>
      <c r="H2272" s="2" t="s">
        <v>1377</v>
      </c>
      <c r="L2272" s="18">
        <v>1</v>
      </c>
      <c r="N2272" s="13">
        <v>44084</v>
      </c>
      <c r="O2272" s="29">
        <v>3.99</v>
      </c>
      <c r="P2272" s="18" t="s">
        <v>1107</v>
      </c>
      <c r="Q2272" s="18">
        <v>0</v>
      </c>
      <c r="V2272" s="22">
        <f>4/5</f>
        <v>0.8</v>
      </c>
      <c r="W2272" s="14" t="s">
        <v>7777</v>
      </c>
      <c r="X2272" s="3">
        <v>3</v>
      </c>
      <c r="Z2272" s="23">
        <v>34</v>
      </c>
      <c r="AB2272" s="18">
        <f t="shared" si="70"/>
        <v>2017</v>
      </c>
      <c r="AC2272" s="22">
        <f t="shared" si="71"/>
        <v>0.7</v>
      </c>
    </row>
    <row r="2273" spans="1:29">
      <c r="A2273" s="8" t="s">
        <v>8998</v>
      </c>
      <c r="B2273" s="17" t="s">
        <v>7760</v>
      </c>
      <c r="C2273" s="13">
        <v>42871</v>
      </c>
      <c r="D2273" s="13" t="s">
        <v>8465</v>
      </c>
      <c r="E2273" s="10" t="s">
        <v>1534</v>
      </c>
      <c r="F2273" s="10" t="s">
        <v>3029</v>
      </c>
      <c r="G2273" s="11" t="s">
        <v>8873</v>
      </c>
      <c r="H2273" s="2" t="s">
        <v>171</v>
      </c>
      <c r="L2273" s="18">
        <v>1</v>
      </c>
      <c r="M2273" s="14" t="s">
        <v>8462</v>
      </c>
      <c r="N2273" s="13">
        <v>44011</v>
      </c>
      <c r="O2273" s="29">
        <v>9.2200000000000006</v>
      </c>
      <c r="P2273" s="18" t="s">
        <v>14</v>
      </c>
      <c r="Q2273" s="18">
        <v>0</v>
      </c>
      <c r="U2273" s="22">
        <v>0.55000000000000004</v>
      </c>
      <c r="V2273" s="22">
        <f>3.1/5</f>
        <v>0.62</v>
      </c>
      <c r="X2273" s="3">
        <v>3</v>
      </c>
      <c r="Z2273" s="23">
        <v>40</v>
      </c>
      <c r="AB2273" s="18">
        <f t="shared" si="70"/>
        <v>2017</v>
      </c>
      <c r="AC2273" s="22">
        <f t="shared" si="71"/>
        <v>0.59</v>
      </c>
    </row>
    <row r="2274" spans="1:29" ht="30">
      <c r="A2274" s="9" t="s">
        <v>9827</v>
      </c>
      <c r="B2274" s="17" t="s">
        <v>7760</v>
      </c>
      <c r="C2274" s="13">
        <v>42871</v>
      </c>
      <c r="D2274" s="13" t="s">
        <v>8465</v>
      </c>
      <c r="E2274" s="10" t="s">
        <v>6107</v>
      </c>
      <c r="F2274" s="10" t="s">
        <v>9828</v>
      </c>
      <c r="H2274" s="2" t="s">
        <v>1050</v>
      </c>
      <c r="I2274" s="18">
        <v>1</v>
      </c>
      <c r="L2274" s="18">
        <v>1</v>
      </c>
      <c r="N2274" s="13">
        <v>44257</v>
      </c>
      <c r="O2274" s="29">
        <v>0</v>
      </c>
      <c r="P2274" s="18" t="s">
        <v>1107</v>
      </c>
      <c r="Q2274" s="18">
        <v>0</v>
      </c>
      <c r="U2274" s="22">
        <v>0.71</v>
      </c>
      <c r="V2274" s="22">
        <f>3.78/5</f>
        <v>0.75600000000000001</v>
      </c>
      <c r="W2274" s="14" t="s">
        <v>6072</v>
      </c>
      <c r="X2274" s="3">
        <v>3</v>
      </c>
      <c r="Z2274" s="23">
        <v>5</v>
      </c>
      <c r="AB2274" s="18">
        <f t="shared" si="70"/>
        <v>2017</v>
      </c>
      <c r="AC2274" s="22">
        <f t="shared" si="71"/>
        <v>0.68866666666666665</v>
      </c>
    </row>
    <row r="2275" spans="1:29" ht="30">
      <c r="A2275" s="8" t="s">
        <v>12292</v>
      </c>
      <c r="B2275" s="17" t="s">
        <v>7800</v>
      </c>
      <c r="C2275" s="13">
        <v>42869</v>
      </c>
      <c r="D2275" s="13" t="s">
        <v>8465</v>
      </c>
      <c r="E2275" s="10" t="s">
        <v>73</v>
      </c>
      <c r="F2275" s="10" t="s">
        <v>12294</v>
      </c>
      <c r="G2275" s="11" t="s">
        <v>3589</v>
      </c>
      <c r="H2275" s="2" t="s">
        <v>1168</v>
      </c>
      <c r="L2275" s="18">
        <v>1</v>
      </c>
      <c r="N2275" s="13">
        <v>44787</v>
      </c>
      <c r="O2275" s="29">
        <v>5.75</v>
      </c>
      <c r="P2275" s="18" t="s">
        <v>1107</v>
      </c>
      <c r="Q2275" s="18">
        <v>0</v>
      </c>
      <c r="U2275" s="22">
        <v>0.74</v>
      </c>
      <c r="V2275" s="22">
        <f>3.03/5</f>
        <v>0.60599999999999998</v>
      </c>
      <c r="W2275" s="14" t="s">
        <v>7777</v>
      </c>
      <c r="X2275" s="3">
        <v>3</v>
      </c>
      <c r="Z2275" s="23">
        <v>10</v>
      </c>
      <c r="AB2275" s="18">
        <f t="shared" si="70"/>
        <v>2017</v>
      </c>
      <c r="AC2275" s="22">
        <f t="shared" si="71"/>
        <v>0.64866666666666672</v>
      </c>
    </row>
    <row r="2276" spans="1:29" ht="25.5">
      <c r="A2276" s="8" t="s">
        <v>12537</v>
      </c>
      <c r="B2276" s="17" t="s">
        <v>7800</v>
      </c>
      <c r="C2276" s="13">
        <v>42867</v>
      </c>
      <c r="D2276" s="13" t="s">
        <v>8465</v>
      </c>
      <c r="E2276" s="10" t="s">
        <v>1658</v>
      </c>
      <c r="F2276" s="10" t="s">
        <v>1658</v>
      </c>
      <c r="G2276" s="11" t="s">
        <v>10330</v>
      </c>
      <c r="H2276" s="2" t="s">
        <v>56</v>
      </c>
      <c r="L2276" s="18">
        <v>1</v>
      </c>
      <c r="N2276" s="13">
        <v>44823</v>
      </c>
      <c r="O2276" s="29">
        <v>2.4900000000000002</v>
      </c>
      <c r="P2276" s="18" t="s">
        <v>1107</v>
      </c>
      <c r="Q2276" s="18">
        <v>0</v>
      </c>
      <c r="U2276" s="22">
        <v>0.81</v>
      </c>
      <c r="V2276" s="22">
        <f>4.13/5</f>
        <v>0.82599999999999996</v>
      </c>
      <c r="W2276" s="14" t="s">
        <v>7777</v>
      </c>
      <c r="X2276" s="3">
        <v>3</v>
      </c>
      <c r="Z2276" s="23">
        <v>4.5</v>
      </c>
      <c r="AB2276" s="18">
        <f t="shared" si="70"/>
        <v>2017</v>
      </c>
      <c r="AC2276" s="22">
        <f t="shared" si="71"/>
        <v>0.7453333333333334</v>
      </c>
    </row>
    <row r="2277" spans="1:29" ht="30">
      <c r="A2277" s="8" t="s">
        <v>12341</v>
      </c>
      <c r="B2277" s="17" t="s">
        <v>7744</v>
      </c>
      <c r="C2277" s="13">
        <v>42866</v>
      </c>
      <c r="D2277" s="13" t="s">
        <v>8465</v>
      </c>
      <c r="E2277" s="10" t="s">
        <v>1736</v>
      </c>
      <c r="F2277" s="10" t="s">
        <v>2483</v>
      </c>
      <c r="G2277" s="11" t="s">
        <v>2444</v>
      </c>
      <c r="H2277" s="2" t="s">
        <v>1220</v>
      </c>
      <c r="L2277" s="18">
        <v>1</v>
      </c>
      <c r="N2277" s="13">
        <v>44796</v>
      </c>
      <c r="O2277" s="29">
        <v>3.26</v>
      </c>
      <c r="P2277" s="18" t="s">
        <v>1107</v>
      </c>
      <c r="Q2277" s="18">
        <v>0</v>
      </c>
      <c r="U2277" s="22">
        <v>0.53</v>
      </c>
      <c r="V2277" s="22">
        <f>3.62/5</f>
        <v>0.72399999999999998</v>
      </c>
      <c r="X2277" s="3">
        <v>2</v>
      </c>
      <c r="Z2277" s="23">
        <v>2</v>
      </c>
      <c r="AB2277" s="18">
        <f t="shared" si="70"/>
        <v>2017</v>
      </c>
      <c r="AC2277" s="22">
        <f t="shared" si="71"/>
        <v>0.55133333333333334</v>
      </c>
    </row>
    <row r="2278" spans="1:29">
      <c r="A2278" s="8" t="s">
        <v>3785</v>
      </c>
      <c r="B2278" s="17" t="s">
        <v>7760</v>
      </c>
      <c r="C2278" s="13">
        <v>42864</v>
      </c>
      <c r="D2278" s="13" t="s">
        <v>8465</v>
      </c>
      <c r="E2278" s="10" t="s">
        <v>3787</v>
      </c>
      <c r="F2278" s="10" t="s">
        <v>3787</v>
      </c>
      <c r="H2278" s="2" t="s">
        <v>151</v>
      </c>
      <c r="L2278" s="18">
        <v>1</v>
      </c>
      <c r="M2278" s="14" t="s">
        <v>8462</v>
      </c>
      <c r="N2278" s="13">
        <v>43802</v>
      </c>
      <c r="O2278" s="29">
        <v>26.62</v>
      </c>
      <c r="P2278" s="18" t="s">
        <v>14</v>
      </c>
      <c r="Q2278" s="18">
        <v>0</v>
      </c>
      <c r="V2278" s="22">
        <f>4.28/5</f>
        <v>0.85600000000000009</v>
      </c>
      <c r="W2278" s="14" t="s">
        <v>8216</v>
      </c>
      <c r="X2278" s="3">
        <v>3</v>
      </c>
      <c r="Z2278" s="23">
        <v>13.5</v>
      </c>
      <c r="AB2278" s="18">
        <f t="shared" si="70"/>
        <v>2017</v>
      </c>
      <c r="AC2278" s="22">
        <f t="shared" si="71"/>
        <v>0.72799999999999998</v>
      </c>
    </row>
    <row r="2279" spans="1:29">
      <c r="A2279" s="8" t="s">
        <v>7067</v>
      </c>
      <c r="B2279" s="17" t="s">
        <v>7800</v>
      </c>
      <c r="C2279" s="13">
        <v>42864</v>
      </c>
      <c r="D2279" s="13" t="s">
        <v>8465</v>
      </c>
      <c r="E2279" s="10" t="s">
        <v>3063</v>
      </c>
      <c r="F2279" s="10" t="s">
        <v>7068</v>
      </c>
      <c r="H2279" s="2" t="s">
        <v>1518</v>
      </c>
      <c r="L2279" s="18">
        <v>1</v>
      </c>
      <c r="O2279" s="29">
        <v>0</v>
      </c>
      <c r="P2279" s="18" t="s">
        <v>1107</v>
      </c>
      <c r="Q2279" s="18">
        <v>0</v>
      </c>
      <c r="U2279" s="22">
        <v>0.65</v>
      </c>
      <c r="V2279" s="22">
        <f>3.29/5</f>
        <v>0.65800000000000003</v>
      </c>
      <c r="W2279" s="14" t="s">
        <v>7799</v>
      </c>
      <c r="X2279" s="3">
        <v>2</v>
      </c>
      <c r="Z2279" s="23">
        <v>6</v>
      </c>
      <c r="AB2279" s="18">
        <f t="shared" si="70"/>
        <v>2017</v>
      </c>
      <c r="AC2279" s="22">
        <f t="shared" si="71"/>
        <v>0.56933333333333336</v>
      </c>
    </row>
    <row r="2280" spans="1:29" ht="25.5">
      <c r="A2280" s="8" t="s">
        <v>930</v>
      </c>
      <c r="B2280" s="17" t="s">
        <v>7760</v>
      </c>
      <c r="C2280" s="13">
        <v>42863</v>
      </c>
      <c r="D2280" s="13" t="s">
        <v>8465</v>
      </c>
      <c r="E2280" s="10" t="s">
        <v>73</v>
      </c>
      <c r="F2280" s="10" t="s">
        <v>73</v>
      </c>
      <c r="G2280" s="11" t="s">
        <v>943</v>
      </c>
      <c r="H2280" s="2" t="s">
        <v>1061</v>
      </c>
      <c r="L2280" s="18">
        <v>1</v>
      </c>
      <c r="N2280" s="13">
        <v>43214</v>
      </c>
      <c r="O2280" s="29">
        <v>0</v>
      </c>
      <c r="P2280" s="18" t="s">
        <v>1107</v>
      </c>
      <c r="Q2280" s="18">
        <v>0</v>
      </c>
      <c r="U2280" s="22">
        <v>0.8</v>
      </c>
      <c r="V2280" s="22">
        <f>3.81/5</f>
        <v>0.76200000000000001</v>
      </c>
      <c r="W2280" s="14" t="s">
        <v>6072</v>
      </c>
      <c r="X2280" s="3">
        <v>3</v>
      </c>
      <c r="Z2280" s="23">
        <v>11.5</v>
      </c>
      <c r="AB2280" s="18">
        <f t="shared" si="70"/>
        <v>2017</v>
      </c>
      <c r="AC2280" s="22">
        <f t="shared" si="71"/>
        <v>0.72066666666666668</v>
      </c>
    </row>
    <row r="2281" spans="1:29" ht="25.5">
      <c r="A2281" s="8" t="s">
        <v>9336</v>
      </c>
      <c r="B2281" s="17" t="s">
        <v>7763</v>
      </c>
      <c r="C2281" s="13">
        <v>42857</v>
      </c>
      <c r="D2281" s="13" t="s">
        <v>9335</v>
      </c>
      <c r="E2281" s="10" t="s">
        <v>3568</v>
      </c>
      <c r="F2281" s="10" t="s">
        <v>8375</v>
      </c>
      <c r="G2281" s="11" t="s">
        <v>1395</v>
      </c>
      <c r="H2281" s="2" t="s">
        <v>7245</v>
      </c>
      <c r="K2281" s="18">
        <v>2</v>
      </c>
      <c r="L2281" s="18">
        <v>1</v>
      </c>
      <c r="M2281" s="14" t="s">
        <v>8462</v>
      </c>
      <c r="N2281" s="13">
        <v>44088</v>
      </c>
      <c r="O2281" s="29">
        <v>37.89</v>
      </c>
      <c r="P2281" s="18" t="s">
        <v>14</v>
      </c>
      <c r="Q2281" s="18">
        <v>0</v>
      </c>
      <c r="V2281" s="22">
        <f>4.02/5</f>
        <v>0.80399999999999994</v>
      </c>
      <c r="X2281" s="3">
        <v>3</v>
      </c>
      <c r="Z2281" s="23">
        <v>8</v>
      </c>
      <c r="AB2281" s="18">
        <f t="shared" si="70"/>
        <v>2017</v>
      </c>
      <c r="AC2281" s="22">
        <f t="shared" si="71"/>
        <v>0.70199999999999996</v>
      </c>
    </row>
    <row r="2282" spans="1:29">
      <c r="A2282" s="8" t="s">
        <v>10142</v>
      </c>
      <c r="B2282" s="17" t="s">
        <v>7744</v>
      </c>
      <c r="C2282" s="13">
        <v>42857</v>
      </c>
      <c r="D2282" s="13" t="s">
        <v>8465</v>
      </c>
      <c r="E2282" s="10" t="s">
        <v>10143</v>
      </c>
      <c r="F2282" s="10" t="s">
        <v>10143</v>
      </c>
      <c r="H2282" s="2" t="s">
        <v>1518</v>
      </c>
      <c r="L2282" s="18">
        <v>1</v>
      </c>
      <c r="N2282" s="13">
        <v>44318</v>
      </c>
      <c r="O2282" s="29">
        <v>4.88</v>
      </c>
      <c r="P2282" s="18" t="s">
        <v>1107</v>
      </c>
      <c r="Q2282" s="18">
        <v>0</v>
      </c>
      <c r="U2282" s="22">
        <v>0.78</v>
      </c>
      <c r="V2282" s="22">
        <f>3.55/5</f>
        <v>0.71</v>
      </c>
      <c r="X2282" s="3">
        <v>3</v>
      </c>
      <c r="Z2282" s="23">
        <v>7</v>
      </c>
      <c r="AB2282" s="18">
        <f t="shared" si="70"/>
        <v>2017</v>
      </c>
      <c r="AC2282" s="22">
        <f t="shared" si="71"/>
        <v>0.69666666666666666</v>
      </c>
    </row>
    <row r="2283" spans="1:29">
      <c r="A2283" s="8" t="s">
        <v>1627</v>
      </c>
      <c r="B2283" s="17" t="s">
        <v>7744</v>
      </c>
      <c r="C2283" s="13">
        <v>42853</v>
      </c>
      <c r="D2283" s="13" t="s">
        <v>8465</v>
      </c>
      <c r="E2283" s="10" t="s">
        <v>86</v>
      </c>
      <c r="F2283" s="10" t="s">
        <v>87</v>
      </c>
      <c r="G2283" s="11" t="s">
        <v>1135</v>
      </c>
      <c r="H2283" s="2" t="s">
        <v>150</v>
      </c>
      <c r="L2283" s="18">
        <v>1</v>
      </c>
      <c r="M2283" s="14" t="s">
        <v>8462</v>
      </c>
      <c r="N2283" s="13">
        <v>42853</v>
      </c>
      <c r="O2283" s="29">
        <v>51.35</v>
      </c>
      <c r="P2283" s="18" t="s">
        <v>14</v>
      </c>
      <c r="Q2283" s="18">
        <v>0</v>
      </c>
      <c r="U2283" s="22">
        <v>0.92</v>
      </c>
      <c r="V2283" s="22">
        <f>4.29/5</f>
        <v>0.85799999999999998</v>
      </c>
      <c r="X2283" s="3">
        <v>3</v>
      </c>
      <c r="Z2283" s="23">
        <v>5.5</v>
      </c>
      <c r="AB2283" s="18">
        <f t="shared" si="70"/>
        <v>2017</v>
      </c>
      <c r="AC2283" s="22">
        <f t="shared" si="71"/>
        <v>0.79266666666666674</v>
      </c>
    </row>
    <row r="2284" spans="1:29" ht="30">
      <c r="A2284" s="8" t="s">
        <v>4336</v>
      </c>
      <c r="B2284" s="17" t="s">
        <v>7800</v>
      </c>
      <c r="C2284" s="13">
        <v>42853</v>
      </c>
      <c r="D2284" s="13" t="s">
        <v>8465</v>
      </c>
      <c r="E2284" s="10" t="s">
        <v>1604</v>
      </c>
      <c r="F2284" s="10" t="s">
        <v>4337</v>
      </c>
      <c r="G2284" s="11" t="s">
        <v>4336</v>
      </c>
      <c r="H2284" s="2" t="s">
        <v>27</v>
      </c>
      <c r="L2284" s="18">
        <v>1</v>
      </c>
      <c r="N2284" s="13">
        <v>43350</v>
      </c>
      <c r="P2284" s="18" t="s">
        <v>1107</v>
      </c>
      <c r="Q2284" s="18">
        <v>0</v>
      </c>
      <c r="U2284" s="22">
        <v>0.81</v>
      </c>
      <c r="V2284" s="22">
        <f>3.72/5</f>
        <v>0.74399999999999999</v>
      </c>
      <c r="W2284" s="14" t="s">
        <v>7777</v>
      </c>
      <c r="X2284" s="3">
        <v>3</v>
      </c>
      <c r="Z2284" s="23">
        <v>3.5</v>
      </c>
      <c r="AB2284" s="18">
        <f t="shared" si="70"/>
        <v>2017</v>
      </c>
      <c r="AC2284" s="22">
        <f t="shared" si="71"/>
        <v>0.71799999999999997</v>
      </c>
    </row>
    <row r="2285" spans="1:29">
      <c r="A2285" s="8" t="s">
        <v>15299</v>
      </c>
      <c r="B2285" s="17" t="s">
        <v>7800</v>
      </c>
      <c r="C2285" s="13">
        <v>42853</v>
      </c>
      <c r="D2285" s="13" t="s">
        <v>8465</v>
      </c>
      <c r="E2285" s="10" t="s">
        <v>15300</v>
      </c>
      <c r="F2285" s="10" t="s">
        <v>15300</v>
      </c>
      <c r="H2285" s="2" t="s">
        <v>56</v>
      </c>
      <c r="L2285" s="18">
        <v>1</v>
      </c>
      <c r="N2285" s="13">
        <v>45106</v>
      </c>
      <c r="O2285" s="29">
        <v>0.83</v>
      </c>
      <c r="P2285" s="18" t="s">
        <v>1107</v>
      </c>
      <c r="Q2285" s="18">
        <v>0</v>
      </c>
      <c r="V2285" s="22">
        <f>2/5</f>
        <v>0.4</v>
      </c>
      <c r="W2285" s="14" t="s">
        <v>7777</v>
      </c>
      <c r="X2285" s="3">
        <v>2</v>
      </c>
      <c r="Z2285" s="23">
        <v>6.5</v>
      </c>
      <c r="AB2285" s="18">
        <f t="shared" si="70"/>
        <v>2017</v>
      </c>
      <c r="AC2285" s="22">
        <f t="shared" si="71"/>
        <v>0.4</v>
      </c>
    </row>
    <row r="2286" spans="1:29">
      <c r="A2286" s="8" t="s">
        <v>11408</v>
      </c>
      <c r="B2286" s="17" t="s">
        <v>7800</v>
      </c>
      <c r="C2286" s="13">
        <v>42852</v>
      </c>
      <c r="D2286" s="13" t="s">
        <v>8465</v>
      </c>
      <c r="E2286" s="10" t="s">
        <v>1583</v>
      </c>
      <c r="F2286" s="10" t="s">
        <v>11409</v>
      </c>
      <c r="G2286" s="11" t="s">
        <v>11410</v>
      </c>
      <c r="H2286" s="2" t="s">
        <v>3937</v>
      </c>
      <c r="L2286" s="18">
        <v>1</v>
      </c>
      <c r="N2286" s="13">
        <v>44638</v>
      </c>
      <c r="O2286" s="29">
        <v>0</v>
      </c>
      <c r="P2286" s="18" t="s">
        <v>1107</v>
      </c>
      <c r="Q2286" s="18">
        <v>0</v>
      </c>
      <c r="U2286" s="22">
        <v>0.74</v>
      </c>
      <c r="V2286" s="22">
        <f>4.1/5</f>
        <v>0.82</v>
      </c>
      <c r="W2286" s="14" t="s">
        <v>7777</v>
      </c>
      <c r="X2286" s="3">
        <v>3</v>
      </c>
      <c r="Z2286" s="23">
        <v>29.5</v>
      </c>
      <c r="AB2286" s="18">
        <f t="shared" si="70"/>
        <v>2017</v>
      </c>
      <c r="AC2286" s="22">
        <f t="shared" si="71"/>
        <v>0.72000000000000008</v>
      </c>
    </row>
    <row r="2287" spans="1:29">
      <c r="A2287" s="8" t="s">
        <v>4926</v>
      </c>
      <c r="B2287" s="17" t="s">
        <v>7800</v>
      </c>
      <c r="C2287" s="13">
        <v>42851</v>
      </c>
      <c r="D2287" s="13" t="s">
        <v>8465</v>
      </c>
      <c r="E2287" s="10" t="s">
        <v>4927</v>
      </c>
      <c r="F2287" s="10" t="s">
        <v>4927</v>
      </c>
      <c r="H2287" s="2" t="s">
        <v>67</v>
      </c>
      <c r="I2287" s="18">
        <v>1</v>
      </c>
      <c r="L2287" s="18">
        <v>1</v>
      </c>
      <c r="N2287" s="13">
        <v>43101</v>
      </c>
      <c r="P2287" s="18" t="s">
        <v>1107</v>
      </c>
      <c r="Q2287" s="18">
        <v>0</v>
      </c>
      <c r="U2287" s="22">
        <v>0.59</v>
      </c>
      <c r="V2287" s="22">
        <f>3.47/5</f>
        <v>0.69400000000000006</v>
      </c>
      <c r="W2287" s="14" t="s">
        <v>7777</v>
      </c>
      <c r="X2287" s="3">
        <v>3</v>
      </c>
      <c r="Z2287" s="23">
        <v>1.5</v>
      </c>
      <c r="AB2287" s="18">
        <f t="shared" si="70"/>
        <v>2017</v>
      </c>
      <c r="AC2287" s="22">
        <f t="shared" si="71"/>
        <v>0.628</v>
      </c>
    </row>
    <row r="2288" spans="1:29">
      <c r="A2288" s="8" t="s">
        <v>9665</v>
      </c>
      <c r="B2288" s="17" t="s">
        <v>7760</v>
      </c>
      <c r="C2288" s="13">
        <v>42850</v>
      </c>
      <c r="D2288" s="13" t="s">
        <v>8465</v>
      </c>
      <c r="E2288" s="10" t="s">
        <v>455</v>
      </c>
      <c r="F2288" s="10" t="s">
        <v>1492</v>
      </c>
      <c r="G2288" s="11" t="s">
        <v>1211</v>
      </c>
      <c r="H2288" s="2" t="s">
        <v>78</v>
      </c>
      <c r="L2288" s="18">
        <v>1</v>
      </c>
      <c r="M2288" s="14" t="s">
        <v>8462</v>
      </c>
      <c r="N2288" s="13">
        <v>44211</v>
      </c>
      <c r="O2288" s="29">
        <v>7.49</v>
      </c>
      <c r="P2288" s="18" t="s">
        <v>14</v>
      </c>
      <c r="Q2288" s="18">
        <v>0</v>
      </c>
      <c r="U2288" s="22">
        <v>0.83</v>
      </c>
      <c r="V2288" s="22">
        <f>4.06/5</f>
        <v>0.81199999999999994</v>
      </c>
      <c r="X2288" s="3">
        <v>3</v>
      </c>
      <c r="Z2288" s="23">
        <v>7.5</v>
      </c>
      <c r="AB2288" s="18">
        <f t="shared" si="70"/>
        <v>2017</v>
      </c>
      <c r="AC2288" s="22">
        <f t="shared" si="71"/>
        <v>0.74733333333333329</v>
      </c>
    </row>
    <row r="2289" spans="1:29">
      <c r="A2289" s="8" t="s">
        <v>4165</v>
      </c>
      <c r="B2289" s="17" t="s">
        <v>7800</v>
      </c>
      <c r="C2289" s="13">
        <v>42850</v>
      </c>
      <c r="D2289" s="13" t="s">
        <v>8465</v>
      </c>
      <c r="E2289" s="10" t="s">
        <v>4166</v>
      </c>
      <c r="F2289" s="10" t="s">
        <v>4166</v>
      </c>
      <c r="H2289" s="2" t="s">
        <v>1518</v>
      </c>
      <c r="L2289" s="18">
        <v>1</v>
      </c>
      <c r="N2289" s="13">
        <v>43442</v>
      </c>
      <c r="P2289" s="18" t="s">
        <v>1107</v>
      </c>
      <c r="Q2289" s="18">
        <v>0</v>
      </c>
      <c r="U2289" s="22">
        <v>0.68</v>
      </c>
      <c r="V2289" s="22">
        <f>3.64/5</f>
        <v>0.72799999999999998</v>
      </c>
      <c r="W2289" s="14" t="s">
        <v>7777</v>
      </c>
      <c r="X2289" s="3">
        <v>3</v>
      </c>
      <c r="Z2289" s="23">
        <v>20</v>
      </c>
      <c r="AB2289" s="18">
        <f t="shared" si="70"/>
        <v>2017</v>
      </c>
      <c r="AC2289" s="22">
        <f t="shared" si="71"/>
        <v>0.66933333333333334</v>
      </c>
    </row>
    <row r="2290" spans="1:29">
      <c r="A2290" s="8" t="s">
        <v>6120</v>
      </c>
      <c r="B2290" s="17" t="s">
        <v>7760</v>
      </c>
      <c r="C2290" s="13">
        <v>42850</v>
      </c>
      <c r="D2290" s="13" t="s">
        <v>8465</v>
      </c>
      <c r="E2290" s="10" t="s">
        <v>1082</v>
      </c>
      <c r="F2290" s="10" t="s">
        <v>1471</v>
      </c>
      <c r="G2290" s="11" t="s">
        <v>140</v>
      </c>
      <c r="H2290" s="2" t="s">
        <v>1059</v>
      </c>
      <c r="L2290" s="18">
        <v>1</v>
      </c>
      <c r="M2290" s="14" t="s">
        <v>8462</v>
      </c>
      <c r="N2290" s="13">
        <v>43610</v>
      </c>
      <c r="O2290" s="29">
        <v>13.95</v>
      </c>
      <c r="P2290" s="18" t="s">
        <v>14</v>
      </c>
      <c r="Q2290" s="18">
        <v>0</v>
      </c>
      <c r="U2290" s="22">
        <v>0.77</v>
      </c>
      <c r="V2290" s="22">
        <f>3.98/5</f>
        <v>0.79600000000000004</v>
      </c>
      <c r="X2290" s="3">
        <v>2</v>
      </c>
      <c r="Z2290" s="23">
        <v>33.5</v>
      </c>
      <c r="AB2290" s="18">
        <f t="shared" si="70"/>
        <v>2017</v>
      </c>
      <c r="AC2290" s="22">
        <f t="shared" si="71"/>
        <v>0.65533333333333343</v>
      </c>
    </row>
    <row r="2291" spans="1:29" ht="25.5">
      <c r="A2291" s="8" t="s">
        <v>8967</v>
      </c>
      <c r="B2291" s="17" t="s">
        <v>7800</v>
      </c>
      <c r="C2291" s="13">
        <v>42849</v>
      </c>
      <c r="D2291" s="13" t="s">
        <v>8465</v>
      </c>
      <c r="E2291" s="10" t="s">
        <v>1062</v>
      </c>
      <c r="F2291" s="10" t="s">
        <v>8973</v>
      </c>
      <c r="G2291" s="11" t="s">
        <v>8969</v>
      </c>
      <c r="H2291" s="2" t="s">
        <v>1057</v>
      </c>
      <c r="L2291" s="18">
        <v>1</v>
      </c>
      <c r="N2291" s="13">
        <v>44007</v>
      </c>
      <c r="O2291" s="29">
        <v>4.99</v>
      </c>
      <c r="P2291" s="18" t="s">
        <v>1107</v>
      </c>
      <c r="Q2291" s="18">
        <v>0</v>
      </c>
      <c r="V2291" s="22">
        <f>3.17/5</f>
        <v>0.63400000000000001</v>
      </c>
      <c r="W2291" s="14" t="s">
        <v>7777</v>
      </c>
      <c r="X2291" s="3">
        <v>3</v>
      </c>
      <c r="Z2291" s="23">
        <v>6</v>
      </c>
      <c r="AB2291" s="18">
        <f t="shared" si="70"/>
        <v>2017</v>
      </c>
      <c r="AC2291" s="22">
        <f t="shared" si="71"/>
        <v>0.61699999999999999</v>
      </c>
    </row>
    <row r="2292" spans="1:29">
      <c r="A2292" s="8" t="s">
        <v>14076</v>
      </c>
      <c r="B2292" s="17" t="s">
        <v>7760</v>
      </c>
      <c r="C2292" s="13">
        <v>42849</v>
      </c>
      <c r="D2292" s="13" t="s">
        <v>8465</v>
      </c>
      <c r="E2292" s="10" t="s">
        <v>4337</v>
      </c>
      <c r="F2292" s="10" t="s">
        <v>4337</v>
      </c>
      <c r="H2292" s="2" t="s">
        <v>67</v>
      </c>
      <c r="I2292" s="18">
        <v>1</v>
      </c>
      <c r="L2292" s="18">
        <v>0</v>
      </c>
      <c r="Q2292" s="18">
        <v>0</v>
      </c>
      <c r="U2292" s="22">
        <v>0.84</v>
      </c>
      <c r="V2292" s="22">
        <f>3.78/5</f>
        <v>0.75600000000000001</v>
      </c>
      <c r="X2292" s="3">
        <v>2</v>
      </c>
      <c r="Y2292" s="18">
        <v>1</v>
      </c>
      <c r="Z2292" s="23">
        <v>3</v>
      </c>
      <c r="AB2292" s="18">
        <f t="shared" si="70"/>
        <v>2017</v>
      </c>
      <c r="AC2292" s="22">
        <f t="shared" si="71"/>
        <v>0.66533333333333333</v>
      </c>
    </row>
    <row r="2293" spans="1:29">
      <c r="A2293" s="8" t="s">
        <v>4698</v>
      </c>
      <c r="B2293" s="17" t="s">
        <v>7800</v>
      </c>
      <c r="C2293" s="13">
        <v>42849</v>
      </c>
      <c r="D2293" s="13" t="s">
        <v>8465</v>
      </c>
      <c r="E2293" s="10" t="s">
        <v>3641</v>
      </c>
      <c r="F2293" s="10" t="s">
        <v>4699</v>
      </c>
      <c r="H2293" s="2" t="s">
        <v>56</v>
      </c>
      <c r="L2293" s="18">
        <v>1</v>
      </c>
      <c r="N2293" s="13">
        <v>43424</v>
      </c>
      <c r="P2293" s="18" t="s">
        <v>1107</v>
      </c>
      <c r="Q2293" s="18">
        <v>0</v>
      </c>
      <c r="U2293" s="22">
        <v>0.74</v>
      </c>
      <c r="V2293" s="22">
        <f>3.42/5</f>
        <v>0.68399999999999994</v>
      </c>
      <c r="W2293" s="14" t="s">
        <v>7777</v>
      </c>
      <c r="X2293" s="3">
        <v>2</v>
      </c>
      <c r="Z2293" s="23">
        <v>2.5</v>
      </c>
      <c r="AB2293" s="18">
        <f t="shared" si="70"/>
        <v>2017</v>
      </c>
      <c r="AC2293" s="22">
        <f t="shared" si="71"/>
        <v>0.60799999999999998</v>
      </c>
    </row>
    <row r="2294" spans="1:29" ht="30">
      <c r="A2294" s="8" t="s">
        <v>6518</v>
      </c>
      <c r="B2294" s="17" t="s">
        <v>7766</v>
      </c>
      <c r="C2294" s="13">
        <v>42846</v>
      </c>
      <c r="D2294" s="13" t="s">
        <v>8465</v>
      </c>
      <c r="E2294" s="10" t="s">
        <v>1604</v>
      </c>
      <c r="F2294" s="10" t="s">
        <v>1580</v>
      </c>
      <c r="G2294" s="11" t="s">
        <v>3566</v>
      </c>
      <c r="H2294" s="2" t="s">
        <v>171</v>
      </c>
      <c r="L2294" s="18">
        <v>1</v>
      </c>
      <c r="M2294" s="14" t="s">
        <v>8462</v>
      </c>
      <c r="N2294" s="13">
        <v>43491</v>
      </c>
      <c r="O2294" s="29">
        <v>0</v>
      </c>
      <c r="P2294" s="18" t="s">
        <v>14</v>
      </c>
      <c r="Q2294" s="18">
        <v>0</v>
      </c>
      <c r="V2294" s="22">
        <f>4.16/5</f>
        <v>0.83200000000000007</v>
      </c>
      <c r="W2294" s="14" t="s">
        <v>8844</v>
      </c>
      <c r="X2294" s="3">
        <v>3</v>
      </c>
      <c r="Z2294" s="23">
        <v>37.5</v>
      </c>
      <c r="AB2294" s="18">
        <f t="shared" si="70"/>
        <v>2017</v>
      </c>
      <c r="AC2294" s="22">
        <f t="shared" si="71"/>
        <v>0.71599999999999997</v>
      </c>
    </row>
    <row r="2295" spans="1:29">
      <c r="A2295" s="8" t="s">
        <v>7874</v>
      </c>
      <c r="B2295" s="17" t="s">
        <v>7800</v>
      </c>
      <c r="C2295" s="13">
        <v>42846</v>
      </c>
      <c r="D2295" s="13" t="s">
        <v>8465</v>
      </c>
      <c r="E2295" s="10" t="s">
        <v>3815</v>
      </c>
      <c r="F2295" s="10" t="s">
        <v>7875</v>
      </c>
      <c r="H2295" s="2" t="s">
        <v>1334</v>
      </c>
      <c r="L2295" s="18">
        <v>1</v>
      </c>
      <c r="N2295" s="13">
        <v>43734</v>
      </c>
      <c r="O2295" s="29">
        <v>0</v>
      </c>
      <c r="P2295" s="18" t="s">
        <v>1107</v>
      </c>
      <c r="Q2295" s="18">
        <v>0</v>
      </c>
      <c r="U2295" s="22">
        <v>0.8</v>
      </c>
      <c r="V2295" s="22">
        <f>3.06/5</f>
        <v>0.61199999999999999</v>
      </c>
      <c r="W2295" s="14" t="s">
        <v>7777</v>
      </c>
      <c r="X2295" s="3">
        <v>3</v>
      </c>
      <c r="Z2295" s="23">
        <v>3</v>
      </c>
      <c r="AB2295" s="18">
        <f t="shared" si="70"/>
        <v>2017</v>
      </c>
      <c r="AC2295" s="22">
        <f t="shared" si="71"/>
        <v>0.67066666666666663</v>
      </c>
    </row>
    <row r="2296" spans="1:29">
      <c r="A2296" s="8" t="s">
        <v>10316</v>
      </c>
      <c r="B2296" s="17" t="s">
        <v>7800</v>
      </c>
      <c r="C2296" s="13">
        <v>42845</v>
      </c>
      <c r="D2296" s="13" t="s">
        <v>8465</v>
      </c>
      <c r="E2296" s="10" t="s">
        <v>3467</v>
      </c>
      <c r="F2296" s="10" t="s">
        <v>10317</v>
      </c>
      <c r="H2296" s="2" t="s">
        <v>1057</v>
      </c>
      <c r="L2296" s="18">
        <v>1</v>
      </c>
      <c r="N2296" s="13">
        <v>44378</v>
      </c>
      <c r="O2296" s="29">
        <v>0.99</v>
      </c>
      <c r="P2296" s="18" t="s">
        <v>1107</v>
      </c>
      <c r="Q2296" s="18">
        <v>0</v>
      </c>
      <c r="V2296" s="22">
        <f>4.1/5</f>
        <v>0.82</v>
      </c>
      <c r="W2296" s="14" t="s">
        <v>7777</v>
      </c>
      <c r="X2296" s="3">
        <v>3</v>
      </c>
      <c r="AB2296" s="18">
        <f t="shared" si="70"/>
        <v>2017</v>
      </c>
      <c r="AC2296" s="22">
        <f t="shared" si="71"/>
        <v>0.71</v>
      </c>
    </row>
    <row r="2297" spans="1:29" ht="25.5">
      <c r="A2297" s="8" t="s">
        <v>3147</v>
      </c>
      <c r="B2297" s="17" t="s">
        <v>7800</v>
      </c>
      <c r="C2297" s="13">
        <v>42845</v>
      </c>
      <c r="D2297" s="13" t="s">
        <v>8465</v>
      </c>
      <c r="E2297" s="10" t="s">
        <v>3148</v>
      </c>
      <c r="F2297" s="10" t="s">
        <v>3148</v>
      </c>
      <c r="G2297" s="11" t="s">
        <v>3149</v>
      </c>
      <c r="H2297" s="2" t="s">
        <v>1054</v>
      </c>
      <c r="L2297" s="18">
        <v>1</v>
      </c>
      <c r="N2297" s="13">
        <v>42859</v>
      </c>
      <c r="O2297" s="29">
        <v>0</v>
      </c>
      <c r="P2297" s="18" t="s">
        <v>1107</v>
      </c>
      <c r="Q2297" s="18">
        <v>0</v>
      </c>
      <c r="V2297" s="22">
        <f>3.43/5</f>
        <v>0.68600000000000005</v>
      </c>
      <c r="W2297" s="14" t="s">
        <v>7777</v>
      </c>
      <c r="X2297" s="3">
        <v>3</v>
      </c>
      <c r="Z2297" s="23">
        <v>7.5</v>
      </c>
      <c r="AB2297" s="18">
        <f t="shared" si="70"/>
        <v>2017</v>
      </c>
      <c r="AC2297" s="22">
        <f t="shared" si="71"/>
        <v>0.64300000000000002</v>
      </c>
    </row>
    <row r="2298" spans="1:29">
      <c r="A2298" s="8" t="s">
        <v>8723</v>
      </c>
      <c r="B2298" s="17" t="s">
        <v>7800</v>
      </c>
      <c r="C2298" s="13">
        <v>42845</v>
      </c>
      <c r="D2298" s="13" t="s">
        <v>8465</v>
      </c>
      <c r="E2298" s="10" t="s">
        <v>1598</v>
      </c>
      <c r="F2298" s="10" t="s">
        <v>1598</v>
      </c>
      <c r="G2298" s="11" t="s">
        <v>5226</v>
      </c>
      <c r="H2298" s="2" t="s">
        <v>67</v>
      </c>
      <c r="L2298" s="18">
        <v>1</v>
      </c>
      <c r="N2298" s="13">
        <v>43984</v>
      </c>
      <c r="O2298" s="29">
        <v>0</v>
      </c>
      <c r="P2298" s="18" t="s">
        <v>1107</v>
      </c>
      <c r="Q2298" s="18">
        <v>0</v>
      </c>
      <c r="U2298" s="22">
        <v>0.51</v>
      </c>
      <c r="V2298" s="22">
        <f>2.62/5</f>
        <v>0.52400000000000002</v>
      </c>
      <c r="W2298" s="14" t="s">
        <v>7777</v>
      </c>
      <c r="X2298" s="3">
        <v>2</v>
      </c>
      <c r="Z2298" s="23">
        <v>12</v>
      </c>
      <c r="AB2298" s="18">
        <f t="shared" si="70"/>
        <v>2017</v>
      </c>
      <c r="AC2298" s="22">
        <f t="shared" si="71"/>
        <v>0.47800000000000004</v>
      </c>
    </row>
    <row r="2299" spans="1:29" ht="30">
      <c r="A2299" s="8" t="s">
        <v>3944</v>
      </c>
      <c r="B2299" s="17" t="s">
        <v>7800</v>
      </c>
      <c r="C2299" s="13">
        <v>42843</v>
      </c>
      <c r="D2299" s="13" t="s">
        <v>8465</v>
      </c>
      <c r="E2299" s="10" t="s">
        <v>3370</v>
      </c>
      <c r="F2299" s="10" t="s">
        <v>3370</v>
      </c>
      <c r="G2299" s="11" t="s">
        <v>3945</v>
      </c>
      <c r="H2299" s="2" t="s">
        <v>67</v>
      </c>
      <c r="L2299" s="18">
        <v>1</v>
      </c>
      <c r="N2299" s="13">
        <v>43400</v>
      </c>
      <c r="P2299" s="18" t="s">
        <v>1107</v>
      </c>
      <c r="Q2299" s="18">
        <v>0</v>
      </c>
      <c r="U2299" s="22">
        <v>0.8</v>
      </c>
      <c r="V2299" s="22">
        <f>3.73/5</f>
        <v>0.746</v>
      </c>
      <c r="W2299" s="14" t="s">
        <v>7777</v>
      </c>
      <c r="X2299" s="3">
        <v>4</v>
      </c>
      <c r="Z2299" s="23">
        <v>3.5</v>
      </c>
      <c r="AB2299" s="18">
        <f t="shared" si="70"/>
        <v>2017</v>
      </c>
      <c r="AC2299" s="22">
        <f t="shared" si="71"/>
        <v>0.78200000000000003</v>
      </c>
    </row>
    <row r="2300" spans="1:29">
      <c r="A2300" s="8" t="s">
        <v>4280</v>
      </c>
      <c r="B2300" s="17" t="s">
        <v>7800</v>
      </c>
      <c r="C2300" s="13">
        <v>42843</v>
      </c>
      <c r="D2300" s="13" t="s">
        <v>8465</v>
      </c>
      <c r="E2300" s="10" t="s">
        <v>4281</v>
      </c>
      <c r="F2300" s="10" t="s">
        <v>4282</v>
      </c>
      <c r="H2300" s="2" t="s">
        <v>1194</v>
      </c>
      <c r="L2300" s="18">
        <v>1</v>
      </c>
      <c r="N2300" s="13">
        <v>43525</v>
      </c>
      <c r="P2300" s="18" t="s">
        <v>1107</v>
      </c>
      <c r="Q2300" s="18">
        <v>0</v>
      </c>
      <c r="U2300" s="22">
        <v>0.9</v>
      </c>
      <c r="V2300" s="22">
        <f>3.46/5</f>
        <v>0.69199999999999995</v>
      </c>
      <c r="W2300" s="14" t="s">
        <v>7777</v>
      </c>
      <c r="X2300" s="3">
        <v>3</v>
      </c>
      <c r="Z2300" s="23">
        <v>1.5</v>
      </c>
      <c r="AB2300" s="18">
        <f t="shared" si="70"/>
        <v>2017</v>
      </c>
      <c r="AC2300" s="22">
        <f t="shared" si="71"/>
        <v>0.73066666666666669</v>
      </c>
    </row>
    <row r="2301" spans="1:29" ht="25.5">
      <c r="A2301" s="8" t="s">
        <v>1725</v>
      </c>
      <c r="B2301" s="17" t="s">
        <v>7744</v>
      </c>
      <c r="C2301" s="13">
        <v>42843</v>
      </c>
      <c r="D2301" s="13" t="s">
        <v>8465</v>
      </c>
      <c r="E2301" s="10" t="s">
        <v>1578</v>
      </c>
      <c r="F2301" s="10" t="s">
        <v>1726</v>
      </c>
      <c r="G2301" s="11" t="s">
        <v>1727</v>
      </c>
      <c r="H2301" s="2" t="s">
        <v>64</v>
      </c>
      <c r="L2301" s="18">
        <v>1</v>
      </c>
      <c r="M2301" s="14" t="s">
        <v>8462</v>
      </c>
      <c r="N2301" s="13">
        <v>43494</v>
      </c>
      <c r="O2301" s="29">
        <v>32.54</v>
      </c>
      <c r="P2301" s="18" t="s">
        <v>14</v>
      </c>
      <c r="Q2301" s="18">
        <v>0</v>
      </c>
      <c r="U2301" s="22">
        <v>0.8</v>
      </c>
      <c r="V2301" s="22">
        <f>3.93/5</f>
        <v>0.78600000000000003</v>
      </c>
      <c r="X2301" s="3">
        <v>3</v>
      </c>
      <c r="Z2301" s="23">
        <v>5</v>
      </c>
      <c r="AB2301" s="18">
        <f t="shared" si="70"/>
        <v>2017</v>
      </c>
      <c r="AC2301" s="22">
        <f t="shared" si="71"/>
        <v>0.72866666666666668</v>
      </c>
    </row>
    <row r="2302" spans="1:29" ht="25.5">
      <c r="A2302" s="8" t="s">
        <v>12615</v>
      </c>
      <c r="B2302" s="17" t="s">
        <v>7800</v>
      </c>
      <c r="C2302" s="13">
        <v>42843</v>
      </c>
      <c r="D2302" s="13" t="s">
        <v>8465</v>
      </c>
      <c r="E2302" s="10" t="s">
        <v>12148</v>
      </c>
      <c r="F2302" s="10" t="s">
        <v>12616</v>
      </c>
      <c r="H2302" s="2" t="s">
        <v>171</v>
      </c>
      <c r="L2302" s="18">
        <v>1</v>
      </c>
      <c r="P2302" s="18" t="s">
        <v>1107</v>
      </c>
      <c r="Q2302" s="18">
        <v>0</v>
      </c>
      <c r="U2302" s="22">
        <v>0.68</v>
      </c>
      <c r="V2302" s="22">
        <f>3.2/5</f>
        <v>0.64</v>
      </c>
      <c r="W2302" s="14" t="s">
        <v>7777</v>
      </c>
      <c r="X2302" s="3">
        <v>3</v>
      </c>
      <c r="Z2302" s="23">
        <v>16</v>
      </c>
      <c r="AB2302" s="18">
        <f t="shared" si="70"/>
        <v>2017</v>
      </c>
      <c r="AC2302" s="22">
        <f t="shared" si="71"/>
        <v>0.64</v>
      </c>
    </row>
    <row r="2303" spans="1:29">
      <c r="A2303" s="8" t="s">
        <v>7041</v>
      </c>
      <c r="B2303" s="17" t="s">
        <v>7800</v>
      </c>
      <c r="C2303" s="13">
        <v>42838</v>
      </c>
      <c r="D2303" s="13" t="s">
        <v>8465</v>
      </c>
      <c r="E2303" s="10" t="s">
        <v>3464</v>
      </c>
      <c r="F2303" s="10" t="s">
        <v>7042</v>
      </c>
      <c r="H2303" s="2" t="s">
        <v>143</v>
      </c>
      <c r="L2303" s="18">
        <v>1</v>
      </c>
      <c r="N2303" s="13">
        <v>43846</v>
      </c>
      <c r="O2303" s="29">
        <v>0</v>
      </c>
      <c r="P2303" s="18" t="s">
        <v>1107</v>
      </c>
      <c r="Q2303" s="18">
        <v>0</v>
      </c>
      <c r="U2303" s="22">
        <v>0.7</v>
      </c>
      <c r="V2303" s="22">
        <f>3.18/5</f>
        <v>0.63600000000000001</v>
      </c>
      <c r="W2303" s="14" t="s">
        <v>7777</v>
      </c>
      <c r="X2303" s="3">
        <v>3</v>
      </c>
      <c r="Z2303" s="23">
        <v>4</v>
      </c>
      <c r="AB2303" s="18">
        <f t="shared" si="70"/>
        <v>2017</v>
      </c>
      <c r="AC2303" s="22">
        <f t="shared" si="71"/>
        <v>0.64533333333333331</v>
      </c>
    </row>
    <row r="2304" spans="1:29">
      <c r="A2304" s="8" t="s">
        <v>14098</v>
      </c>
      <c r="B2304" s="17" t="s">
        <v>7800</v>
      </c>
      <c r="C2304" s="13">
        <v>42838</v>
      </c>
      <c r="D2304" s="13" t="s">
        <v>8465</v>
      </c>
      <c r="E2304" s="10" t="s">
        <v>14099</v>
      </c>
      <c r="F2304" s="10" t="s">
        <v>14099</v>
      </c>
      <c r="H2304" s="2" t="s">
        <v>67</v>
      </c>
      <c r="L2304" s="18">
        <v>1</v>
      </c>
      <c r="O2304" s="29">
        <v>0</v>
      </c>
      <c r="P2304" s="18" t="s">
        <v>1107</v>
      </c>
      <c r="Q2304" s="18">
        <v>0</v>
      </c>
      <c r="V2304" s="22">
        <f>3.25/5</f>
        <v>0.65</v>
      </c>
      <c r="W2304" s="14" t="s">
        <v>8765</v>
      </c>
      <c r="X2304" s="3">
        <v>2</v>
      </c>
      <c r="Z2304" s="23">
        <f>44/60</f>
        <v>0.73333333333333328</v>
      </c>
      <c r="AB2304" s="18">
        <f t="shared" si="70"/>
        <v>2017</v>
      </c>
      <c r="AC2304" s="22">
        <f t="shared" si="71"/>
        <v>0.52500000000000002</v>
      </c>
    </row>
    <row r="2305" spans="1:29">
      <c r="A2305" s="8" t="s">
        <v>10283</v>
      </c>
      <c r="B2305" s="17" t="s">
        <v>7749</v>
      </c>
      <c r="C2305" s="13">
        <v>42837</v>
      </c>
      <c r="D2305" s="13" t="s">
        <v>8465</v>
      </c>
      <c r="E2305" s="10" t="s">
        <v>86</v>
      </c>
      <c r="F2305" s="10" t="s">
        <v>30</v>
      </c>
      <c r="G2305" s="11" t="s">
        <v>10282</v>
      </c>
      <c r="H2305" s="2" t="s">
        <v>27</v>
      </c>
      <c r="L2305" s="18">
        <v>1</v>
      </c>
      <c r="N2305" s="13">
        <v>44420</v>
      </c>
      <c r="O2305" s="29">
        <v>4.99</v>
      </c>
      <c r="P2305" s="18" t="s">
        <v>1107</v>
      </c>
      <c r="Q2305" s="18">
        <v>0</v>
      </c>
      <c r="U2305" s="22">
        <v>0.83</v>
      </c>
      <c r="V2305" s="22">
        <f>4.04/5</f>
        <v>0.80800000000000005</v>
      </c>
      <c r="X2305" s="3">
        <v>3</v>
      </c>
      <c r="Z2305" s="23">
        <v>5</v>
      </c>
      <c r="AB2305" s="18">
        <f t="shared" ref="AB2305:AB2368" si="72">IFERROR(YEAR(C2305), "Early Access")</f>
        <v>2017</v>
      </c>
      <c r="AC2305" s="22">
        <f t="shared" ref="AC2305:AC2368" si="73">AVERAGE(T2305, U2305, V2305, IF(ISBLANK(X2305), X2305, X2305/5))</f>
        <v>0.746</v>
      </c>
    </row>
    <row r="2306" spans="1:29" ht="25.5">
      <c r="A2306" s="8" t="s">
        <v>4712</v>
      </c>
      <c r="B2306" s="17" t="s">
        <v>7800</v>
      </c>
      <c r="C2306" s="13">
        <v>42836</v>
      </c>
      <c r="D2306" s="13" t="s">
        <v>8465</v>
      </c>
      <c r="E2306" s="10" t="s">
        <v>3252</v>
      </c>
      <c r="F2306" s="10" t="s">
        <v>3252</v>
      </c>
      <c r="G2306" s="11" t="s">
        <v>4713</v>
      </c>
      <c r="H2306" s="2" t="s">
        <v>1720</v>
      </c>
      <c r="L2306" s="18">
        <v>1</v>
      </c>
      <c r="N2306" s="13">
        <v>43603</v>
      </c>
      <c r="O2306" s="29">
        <v>3.49</v>
      </c>
      <c r="P2306" s="18" t="s">
        <v>1107</v>
      </c>
      <c r="Q2306" s="18">
        <v>0</v>
      </c>
      <c r="U2306" s="22">
        <v>0.86</v>
      </c>
      <c r="V2306" s="22">
        <f>4.3/5</f>
        <v>0.86</v>
      </c>
      <c r="W2306" s="14" t="s">
        <v>7777</v>
      </c>
      <c r="X2306" s="3">
        <v>5</v>
      </c>
      <c r="Z2306" s="23">
        <v>33.5</v>
      </c>
      <c r="AB2306" s="18">
        <f t="shared" si="72"/>
        <v>2017</v>
      </c>
      <c r="AC2306" s="22">
        <f t="shared" si="73"/>
        <v>0.90666666666666662</v>
      </c>
    </row>
    <row r="2307" spans="1:29">
      <c r="A2307" s="8" t="s">
        <v>3499</v>
      </c>
      <c r="B2307" s="17" t="s">
        <v>7800</v>
      </c>
      <c r="C2307" s="13">
        <v>42836</v>
      </c>
      <c r="D2307" s="13" t="s">
        <v>8465</v>
      </c>
      <c r="E2307" s="10" t="s">
        <v>3366</v>
      </c>
      <c r="F2307" s="10" t="s">
        <v>3366</v>
      </c>
      <c r="H2307" s="2" t="s">
        <v>149</v>
      </c>
      <c r="L2307" s="18">
        <v>1</v>
      </c>
      <c r="N2307" s="13">
        <v>43095</v>
      </c>
      <c r="O2307" s="29">
        <v>7.49</v>
      </c>
      <c r="P2307" s="18" t="s">
        <v>1107</v>
      </c>
      <c r="Q2307" s="18">
        <v>0</v>
      </c>
      <c r="U2307" s="22">
        <v>0.77</v>
      </c>
      <c r="V2307" s="22">
        <f>3.88/5</f>
        <v>0.77600000000000002</v>
      </c>
      <c r="W2307" s="14" t="s">
        <v>7777</v>
      </c>
      <c r="X2307" s="3">
        <v>4</v>
      </c>
      <c r="Z2307" s="23">
        <v>12</v>
      </c>
      <c r="AB2307" s="18">
        <f t="shared" si="72"/>
        <v>2017</v>
      </c>
      <c r="AC2307" s="22">
        <f t="shared" si="73"/>
        <v>0.78200000000000003</v>
      </c>
    </row>
    <row r="2308" spans="1:29">
      <c r="A2308" s="8" t="s">
        <v>5355</v>
      </c>
      <c r="B2308" s="17" t="s">
        <v>7800</v>
      </c>
      <c r="C2308" s="13">
        <v>42836</v>
      </c>
      <c r="D2308" s="13" t="s">
        <v>8465</v>
      </c>
      <c r="E2308" s="10" t="s">
        <v>3602</v>
      </c>
      <c r="F2308" s="10" t="s">
        <v>5356</v>
      </c>
      <c r="H2308" s="2" t="s">
        <v>67</v>
      </c>
      <c r="L2308" s="18">
        <v>1</v>
      </c>
      <c r="N2308" s="13">
        <v>43363</v>
      </c>
      <c r="P2308" s="18" t="s">
        <v>1107</v>
      </c>
      <c r="Q2308" s="18">
        <v>0</v>
      </c>
      <c r="U2308" s="22">
        <v>0.84</v>
      </c>
      <c r="V2308" s="22">
        <f>3.9/5</f>
        <v>0.78</v>
      </c>
      <c r="W2308" s="14" t="s">
        <v>7777</v>
      </c>
      <c r="X2308" s="3">
        <v>3</v>
      </c>
      <c r="Z2308" s="23">
        <v>6</v>
      </c>
      <c r="AB2308" s="18">
        <f t="shared" si="72"/>
        <v>2017</v>
      </c>
      <c r="AC2308" s="22">
        <f t="shared" si="73"/>
        <v>0.7400000000000001</v>
      </c>
    </row>
    <row r="2309" spans="1:29">
      <c r="A2309" s="8" t="s">
        <v>8310</v>
      </c>
      <c r="B2309" s="17" t="s">
        <v>7800</v>
      </c>
      <c r="C2309" s="13">
        <v>42836</v>
      </c>
      <c r="D2309" s="13" t="s">
        <v>8465</v>
      </c>
      <c r="E2309" s="10" t="s">
        <v>8311</v>
      </c>
      <c r="F2309" s="10" t="s">
        <v>8311</v>
      </c>
      <c r="H2309" s="2" t="s">
        <v>1377</v>
      </c>
      <c r="L2309" s="18">
        <v>1</v>
      </c>
      <c r="N2309" s="13">
        <v>43846</v>
      </c>
      <c r="O2309" s="29">
        <v>0</v>
      </c>
      <c r="P2309" s="18" t="s">
        <v>1107</v>
      </c>
      <c r="Q2309" s="18">
        <v>0</v>
      </c>
      <c r="V2309" s="22">
        <f>3.79/5</f>
        <v>0.75800000000000001</v>
      </c>
      <c r="W2309" s="14" t="s">
        <v>7777</v>
      </c>
      <c r="X2309" s="3">
        <v>3</v>
      </c>
      <c r="Z2309" s="23">
        <v>1</v>
      </c>
      <c r="AB2309" s="18">
        <f t="shared" si="72"/>
        <v>2017</v>
      </c>
      <c r="AC2309" s="22">
        <f t="shared" si="73"/>
        <v>0.67900000000000005</v>
      </c>
    </row>
    <row r="2310" spans="1:29">
      <c r="A2310" s="8" t="s">
        <v>10313</v>
      </c>
      <c r="B2310" s="17" t="s">
        <v>7800</v>
      </c>
      <c r="C2310" s="13">
        <v>42836</v>
      </c>
      <c r="D2310" s="13" t="s">
        <v>8465</v>
      </c>
      <c r="E2310" s="10" t="s">
        <v>1062</v>
      </c>
      <c r="F2310" s="10" t="s">
        <v>2285</v>
      </c>
      <c r="H2310" s="2" t="s">
        <v>27</v>
      </c>
      <c r="L2310" s="18">
        <v>1</v>
      </c>
      <c r="N2310" s="13">
        <v>44378</v>
      </c>
      <c r="O2310" s="29">
        <v>3.99</v>
      </c>
      <c r="P2310" s="18" t="s">
        <v>1107</v>
      </c>
      <c r="Q2310" s="18">
        <v>0</v>
      </c>
      <c r="V2310" s="22">
        <f>3.5/5</f>
        <v>0.7</v>
      </c>
      <c r="W2310" s="14" t="s">
        <v>7777</v>
      </c>
      <c r="X2310" s="3">
        <v>3</v>
      </c>
      <c r="Z2310" s="23">
        <v>8</v>
      </c>
      <c r="AB2310" s="18">
        <f t="shared" si="72"/>
        <v>2017</v>
      </c>
      <c r="AC2310" s="22">
        <f t="shared" si="73"/>
        <v>0.64999999999999991</v>
      </c>
    </row>
    <row r="2311" spans="1:29">
      <c r="A2311" s="8" t="s">
        <v>1090</v>
      </c>
      <c r="B2311" s="17" t="s">
        <v>7800</v>
      </c>
      <c r="C2311" s="13">
        <v>42836</v>
      </c>
      <c r="D2311" s="13" t="s">
        <v>8465</v>
      </c>
      <c r="E2311" s="10" t="s">
        <v>455</v>
      </c>
      <c r="F2311" s="10" t="s">
        <v>1058</v>
      </c>
      <c r="G2311" s="11" t="s">
        <v>1090</v>
      </c>
      <c r="H2311" s="2" t="s">
        <v>1059</v>
      </c>
      <c r="L2311" s="18">
        <v>1</v>
      </c>
      <c r="N2311" s="13">
        <v>43322</v>
      </c>
      <c r="O2311" s="29">
        <v>5.49</v>
      </c>
      <c r="P2311" s="18" t="s">
        <v>1107</v>
      </c>
      <c r="Q2311" s="18">
        <v>0</v>
      </c>
      <c r="U2311" s="22">
        <v>0.91</v>
      </c>
      <c r="V2311" s="22">
        <f>4.07/5</f>
        <v>0.81400000000000006</v>
      </c>
      <c r="W2311" s="14" t="s">
        <v>7777</v>
      </c>
      <c r="X2311" s="3">
        <v>2</v>
      </c>
      <c r="Z2311" s="23">
        <v>11</v>
      </c>
      <c r="AB2311" s="18">
        <f t="shared" si="72"/>
        <v>2017</v>
      </c>
      <c r="AC2311" s="22">
        <f t="shared" si="73"/>
        <v>0.70800000000000007</v>
      </c>
    </row>
    <row r="2312" spans="1:29">
      <c r="A2312" s="8" t="s">
        <v>3089</v>
      </c>
      <c r="B2312" s="17" t="s">
        <v>7800</v>
      </c>
      <c r="C2312" s="13">
        <v>42836</v>
      </c>
      <c r="D2312" s="13" t="s">
        <v>8465</v>
      </c>
      <c r="E2312" s="10" t="s">
        <v>3090</v>
      </c>
      <c r="F2312" s="10" t="s">
        <v>3090</v>
      </c>
      <c r="H2312" s="2" t="s">
        <v>1220</v>
      </c>
      <c r="L2312" s="18">
        <v>1</v>
      </c>
      <c r="N2312" s="13">
        <v>43514</v>
      </c>
      <c r="P2312" s="18" t="s">
        <v>1107</v>
      </c>
      <c r="Q2312" s="18">
        <v>0</v>
      </c>
      <c r="U2312" s="22">
        <v>0.65</v>
      </c>
      <c r="V2312" s="22">
        <f>3.8/5</f>
        <v>0.76</v>
      </c>
      <c r="W2312" s="14" t="s">
        <v>7777</v>
      </c>
      <c r="X2312" s="3">
        <v>2</v>
      </c>
      <c r="Z2312" s="23">
        <v>1.5</v>
      </c>
      <c r="AB2312" s="18">
        <f t="shared" si="72"/>
        <v>2017</v>
      </c>
      <c r="AC2312" s="22">
        <f t="shared" si="73"/>
        <v>0.60333333333333339</v>
      </c>
    </row>
    <row r="2313" spans="1:29">
      <c r="A2313" s="8" t="s">
        <v>5361</v>
      </c>
      <c r="B2313" s="17" t="s">
        <v>7800</v>
      </c>
      <c r="C2313" s="13">
        <v>42835</v>
      </c>
      <c r="D2313" s="13" t="s">
        <v>8465</v>
      </c>
      <c r="E2313" s="10" t="s">
        <v>5023</v>
      </c>
      <c r="F2313" s="10" t="s">
        <v>5023</v>
      </c>
      <c r="H2313" s="2" t="s">
        <v>1050</v>
      </c>
      <c r="L2313" s="18">
        <v>1</v>
      </c>
      <c r="N2313" s="13">
        <v>43320</v>
      </c>
      <c r="P2313" s="18" t="s">
        <v>1107</v>
      </c>
      <c r="Q2313" s="18">
        <v>0</v>
      </c>
      <c r="U2313" s="22">
        <v>0.71</v>
      </c>
      <c r="V2313" s="22">
        <f>3.21/5</f>
        <v>0.64200000000000002</v>
      </c>
      <c r="W2313" s="14" t="s">
        <v>7777</v>
      </c>
      <c r="X2313" s="3">
        <v>3</v>
      </c>
      <c r="Z2313" s="23">
        <v>6.5</v>
      </c>
      <c r="AB2313" s="18">
        <f t="shared" si="72"/>
        <v>2017</v>
      </c>
      <c r="AC2313" s="22">
        <f t="shared" si="73"/>
        <v>0.65066666666666662</v>
      </c>
    </row>
    <row r="2314" spans="1:29">
      <c r="A2314" s="8" t="s">
        <v>5041</v>
      </c>
      <c r="B2314" s="17" t="s">
        <v>7800</v>
      </c>
      <c r="C2314" s="13">
        <v>42832</v>
      </c>
      <c r="D2314" s="13" t="s">
        <v>8465</v>
      </c>
      <c r="E2314" s="10" t="s">
        <v>4599</v>
      </c>
      <c r="F2314" s="10" t="s">
        <v>5042</v>
      </c>
      <c r="H2314" s="2" t="s">
        <v>64</v>
      </c>
      <c r="L2314" s="18">
        <v>1</v>
      </c>
      <c r="N2314" s="13">
        <v>43450</v>
      </c>
      <c r="P2314" s="18" t="s">
        <v>1107</v>
      </c>
      <c r="Q2314" s="18">
        <v>0</v>
      </c>
      <c r="U2314" s="22">
        <v>0.8</v>
      </c>
      <c r="V2314" s="22">
        <f>4.32/5</f>
        <v>0.8640000000000001</v>
      </c>
      <c r="W2314" s="14" t="s">
        <v>7777</v>
      </c>
      <c r="X2314" s="3">
        <v>3</v>
      </c>
      <c r="Z2314" s="23">
        <v>9</v>
      </c>
      <c r="AB2314" s="18">
        <f t="shared" si="72"/>
        <v>2017</v>
      </c>
      <c r="AC2314" s="22">
        <f t="shared" si="73"/>
        <v>0.75466666666666671</v>
      </c>
    </row>
    <row r="2315" spans="1:29">
      <c r="A2315" s="8" t="s">
        <v>5555</v>
      </c>
      <c r="B2315" s="17" t="s">
        <v>7800</v>
      </c>
      <c r="C2315" s="13">
        <v>42832</v>
      </c>
      <c r="D2315" s="13" t="s">
        <v>8465</v>
      </c>
      <c r="E2315" s="10" t="s">
        <v>5556</v>
      </c>
      <c r="F2315" s="10" t="s">
        <v>5556</v>
      </c>
      <c r="G2315" s="11" t="s">
        <v>5557</v>
      </c>
      <c r="H2315" s="2" t="s">
        <v>1061</v>
      </c>
      <c r="L2315" s="18">
        <v>1</v>
      </c>
      <c r="N2315" s="13">
        <v>43333</v>
      </c>
      <c r="P2315" s="18" t="s">
        <v>1107</v>
      </c>
      <c r="Q2315" s="18">
        <v>0</v>
      </c>
      <c r="W2315" s="14" t="s">
        <v>7777</v>
      </c>
      <c r="X2315" s="3">
        <v>3</v>
      </c>
      <c r="AB2315" s="18">
        <f t="shared" si="72"/>
        <v>2017</v>
      </c>
      <c r="AC2315" s="22">
        <f t="shared" si="73"/>
        <v>0.6</v>
      </c>
    </row>
    <row r="2316" spans="1:29">
      <c r="A2316" s="8" t="s">
        <v>4661</v>
      </c>
      <c r="B2316" s="17" t="s">
        <v>7800</v>
      </c>
      <c r="C2316" s="13">
        <v>42830</v>
      </c>
      <c r="D2316" s="13" t="s">
        <v>8465</v>
      </c>
      <c r="E2316" s="10" t="s">
        <v>4662</v>
      </c>
      <c r="F2316" s="10" t="s">
        <v>4662</v>
      </c>
      <c r="H2316" s="2" t="s">
        <v>67</v>
      </c>
      <c r="L2316" s="18">
        <v>1</v>
      </c>
      <c r="N2316" s="13">
        <v>43525</v>
      </c>
      <c r="P2316" s="18" t="s">
        <v>1107</v>
      </c>
      <c r="Q2316" s="18">
        <v>0</v>
      </c>
      <c r="U2316" s="22">
        <v>0.9</v>
      </c>
      <c r="V2316" s="22">
        <f>3.76/5</f>
        <v>0.752</v>
      </c>
      <c r="W2316" s="14" t="s">
        <v>7777</v>
      </c>
      <c r="X2316" s="3">
        <v>3</v>
      </c>
      <c r="Z2316" s="23">
        <v>6.5</v>
      </c>
      <c r="AB2316" s="18">
        <f t="shared" si="72"/>
        <v>2017</v>
      </c>
      <c r="AC2316" s="22">
        <f t="shared" si="73"/>
        <v>0.7506666666666667</v>
      </c>
    </row>
    <row r="2317" spans="1:29">
      <c r="A2317" s="8" t="s">
        <v>6152</v>
      </c>
      <c r="B2317" s="17" t="s">
        <v>7760</v>
      </c>
      <c r="C2317" s="13">
        <v>42829</v>
      </c>
      <c r="D2317" s="13" t="s">
        <v>8465</v>
      </c>
      <c r="E2317" s="10" t="s">
        <v>2461</v>
      </c>
      <c r="F2317" s="10" t="s">
        <v>2458</v>
      </c>
      <c r="G2317" s="11" t="s">
        <v>1171</v>
      </c>
      <c r="H2317" s="2" t="s">
        <v>149</v>
      </c>
      <c r="L2317" s="18">
        <v>1</v>
      </c>
      <c r="M2317" s="14" t="s">
        <v>8462</v>
      </c>
      <c r="N2317" s="13">
        <v>42829</v>
      </c>
      <c r="O2317" s="29">
        <v>51.35</v>
      </c>
      <c r="P2317" s="18" t="s">
        <v>14</v>
      </c>
      <c r="Q2317" s="18">
        <v>0</v>
      </c>
      <c r="U2317" s="22">
        <v>0.93</v>
      </c>
      <c r="V2317" s="22">
        <f>4.51/5</f>
        <v>0.90199999999999991</v>
      </c>
      <c r="X2317" s="3">
        <v>3</v>
      </c>
      <c r="Z2317" s="23">
        <v>96</v>
      </c>
      <c r="AB2317" s="18">
        <f t="shared" si="72"/>
        <v>2017</v>
      </c>
      <c r="AC2317" s="22">
        <f t="shared" si="73"/>
        <v>0.81066666666666665</v>
      </c>
    </row>
    <row r="2318" spans="1:29">
      <c r="A2318" s="8" t="s">
        <v>4137</v>
      </c>
      <c r="B2318" s="17" t="s">
        <v>7800</v>
      </c>
      <c r="C2318" s="13">
        <v>42825</v>
      </c>
      <c r="D2318" s="13" t="s">
        <v>8465</v>
      </c>
      <c r="E2318" s="10" t="s">
        <v>3074</v>
      </c>
      <c r="F2318" s="10" t="s">
        <v>4138</v>
      </c>
      <c r="H2318" s="2" t="s">
        <v>255</v>
      </c>
      <c r="I2318" s="18">
        <v>1</v>
      </c>
      <c r="L2318" s="18">
        <v>1</v>
      </c>
      <c r="N2318" s="13">
        <v>43240</v>
      </c>
      <c r="P2318" s="18" t="s">
        <v>1107</v>
      </c>
      <c r="Q2318" s="18">
        <v>0</v>
      </c>
      <c r="V2318" s="22">
        <f>3.9/5</f>
        <v>0.78</v>
      </c>
      <c r="W2318" s="14" t="s">
        <v>7777</v>
      </c>
      <c r="X2318" s="3">
        <v>3</v>
      </c>
      <c r="Z2318" s="23">
        <v>9</v>
      </c>
      <c r="AB2318" s="18">
        <f t="shared" si="72"/>
        <v>2017</v>
      </c>
      <c r="AC2318" s="22">
        <f t="shared" si="73"/>
        <v>0.69</v>
      </c>
    </row>
    <row r="2319" spans="1:29">
      <c r="A2319" s="8" t="s">
        <v>8656</v>
      </c>
      <c r="B2319" s="17" t="s">
        <v>7800</v>
      </c>
      <c r="C2319" s="13">
        <v>42824</v>
      </c>
      <c r="D2319" s="13" t="s">
        <v>8465</v>
      </c>
      <c r="E2319" s="10" t="s">
        <v>1698</v>
      </c>
      <c r="F2319" s="10" t="s">
        <v>8657</v>
      </c>
      <c r="H2319" s="2" t="s">
        <v>67</v>
      </c>
      <c r="L2319" s="18">
        <v>1</v>
      </c>
      <c r="N2319" s="13">
        <v>43963</v>
      </c>
      <c r="O2319" s="29">
        <v>0</v>
      </c>
      <c r="P2319" s="18" t="s">
        <v>1107</v>
      </c>
      <c r="Q2319" s="18">
        <v>0</v>
      </c>
      <c r="U2319" s="22">
        <v>0.71</v>
      </c>
      <c r="V2319" s="22">
        <f>3.03/5</f>
        <v>0.60599999999999998</v>
      </c>
      <c r="W2319" s="14" t="s">
        <v>7777</v>
      </c>
      <c r="X2319" s="3">
        <v>3</v>
      </c>
      <c r="Z2319" s="23">
        <v>7.5</v>
      </c>
      <c r="AB2319" s="18">
        <f t="shared" si="72"/>
        <v>2017</v>
      </c>
      <c r="AC2319" s="22">
        <f t="shared" si="73"/>
        <v>0.6386666666666666</v>
      </c>
    </row>
    <row r="2320" spans="1:29" ht="30">
      <c r="A2320" s="8" t="s">
        <v>6208</v>
      </c>
      <c r="B2320" s="17" t="s">
        <v>7760</v>
      </c>
      <c r="C2320" s="13">
        <v>42822</v>
      </c>
      <c r="D2320" s="13" t="s">
        <v>8465</v>
      </c>
      <c r="E2320" s="10" t="s">
        <v>1082</v>
      </c>
      <c r="F2320" s="10" t="s">
        <v>3892</v>
      </c>
      <c r="G2320" s="11" t="s">
        <v>1957</v>
      </c>
      <c r="H2320" s="2" t="s">
        <v>149</v>
      </c>
      <c r="L2320" s="18">
        <v>1</v>
      </c>
      <c r="M2320" s="14" t="s">
        <v>8462</v>
      </c>
      <c r="N2320" s="13">
        <v>43344</v>
      </c>
      <c r="O2320" s="29">
        <v>24.43</v>
      </c>
      <c r="P2320" s="18" t="s">
        <v>14</v>
      </c>
      <c r="Q2320" s="18">
        <v>0</v>
      </c>
      <c r="U2320" s="22">
        <v>0.84</v>
      </c>
      <c r="V2320" s="22">
        <f>4.31/5</f>
        <v>0.86199999999999988</v>
      </c>
      <c r="X2320" s="3">
        <v>4</v>
      </c>
      <c r="Z2320" s="23">
        <v>149</v>
      </c>
      <c r="AB2320" s="18">
        <f t="shared" si="72"/>
        <v>2017</v>
      </c>
      <c r="AC2320" s="22">
        <f t="shared" si="73"/>
        <v>0.83399999999999996</v>
      </c>
    </row>
    <row r="2321" spans="1:29">
      <c r="A2321" s="8" t="s">
        <v>4782</v>
      </c>
      <c r="B2321" s="17" t="s">
        <v>7800</v>
      </c>
      <c r="C2321" s="13">
        <v>42822</v>
      </c>
      <c r="D2321" s="13" t="s">
        <v>8465</v>
      </c>
      <c r="E2321" s="10" t="s">
        <v>3272</v>
      </c>
      <c r="F2321" s="10" t="s">
        <v>4783</v>
      </c>
      <c r="H2321" s="2" t="s">
        <v>64</v>
      </c>
      <c r="L2321" s="18">
        <v>1</v>
      </c>
      <c r="N2321" s="13">
        <v>43419</v>
      </c>
      <c r="P2321" s="18" t="s">
        <v>1107</v>
      </c>
      <c r="Q2321" s="18">
        <v>0</v>
      </c>
      <c r="U2321" s="22">
        <v>0.73</v>
      </c>
      <c r="V2321" s="22">
        <f>4.03/5</f>
        <v>0.80600000000000005</v>
      </c>
      <c r="W2321" s="14" t="s">
        <v>7777</v>
      </c>
      <c r="X2321" s="3">
        <v>4</v>
      </c>
      <c r="Z2321" s="23">
        <v>25</v>
      </c>
      <c r="AB2321" s="18">
        <f t="shared" si="72"/>
        <v>2017</v>
      </c>
      <c r="AC2321" s="22">
        <f t="shared" si="73"/>
        <v>0.77866666666666673</v>
      </c>
    </row>
    <row r="2322" spans="1:29">
      <c r="A2322" s="8" t="s">
        <v>4851</v>
      </c>
      <c r="B2322" s="17" t="s">
        <v>7800</v>
      </c>
      <c r="C2322" s="13">
        <v>42822</v>
      </c>
      <c r="D2322" s="13" t="s">
        <v>8465</v>
      </c>
      <c r="E2322" s="10" t="s">
        <v>4852</v>
      </c>
      <c r="F2322" s="10" t="s">
        <v>4852</v>
      </c>
      <c r="H2322" s="2" t="s">
        <v>459</v>
      </c>
      <c r="L2322" s="18">
        <v>1</v>
      </c>
      <c r="N2322" s="13">
        <v>43158</v>
      </c>
      <c r="P2322" s="18" t="s">
        <v>1107</v>
      </c>
      <c r="Q2322" s="18">
        <v>0</v>
      </c>
      <c r="U2322" s="22">
        <v>0.9</v>
      </c>
      <c r="V2322" s="22">
        <f>4.04/5</f>
        <v>0.80800000000000005</v>
      </c>
      <c r="W2322" s="14" t="s">
        <v>7777</v>
      </c>
      <c r="X2322" s="3">
        <v>2</v>
      </c>
      <c r="Z2322" s="23">
        <v>1.5</v>
      </c>
      <c r="AB2322" s="18">
        <f t="shared" si="72"/>
        <v>2017</v>
      </c>
      <c r="AC2322" s="22">
        <f t="shared" si="73"/>
        <v>0.70266666666666666</v>
      </c>
    </row>
    <row r="2323" spans="1:29">
      <c r="A2323" s="8" t="s">
        <v>14977</v>
      </c>
      <c r="B2323" s="17" t="s">
        <v>7800</v>
      </c>
      <c r="C2323" s="13">
        <v>42822</v>
      </c>
      <c r="D2323" s="13" t="s">
        <v>8465</v>
      </c>
      <c r="E2323" s="10" t="s">
        <v>14978</v>
      </c>
      <c r="F2323" s="10" t="s">
        <v>14978</v>
      </c>
      <c r="H2323" s="2" t="s">
        <v>31</v>
      </c>
      <c r="L2323" s="18">
        <v>1</v>
      </c>
      <c r="P2323" s="18" t="s">
        <v>1107</v>
      </c>
      <c r="Q2323" s="18">
        <v>0</v>
      </c>
      <c r="V2323" s="22">
        <f>2.67/5</f>
        <v>0.53400000000000003</v>
      </c>
      <c r="W2323" s="14" t="s">
        <v>7777</v>
      </c>
      <c r="X2323" s="3">
        <v>2</v>
      </c>
      <c r="Z2323" s="23">
        <v>4</v>
      </c>
      <c r="AB2323" s="18">
        <f t="shared" si="72"/>
        <v>2017</v>
      </c>
      <c r="AC2323" s="22">
        <f t="shared" si="73"/>
        <v>0.46700000000000003</v>
      </c>
    </row>
    <row r="2324" spans="1:29">
      <c r="A2324" s="8" t="s">
        <v>11388</v>
      </c>
      <c r="B2324" s="17" t="s">
        <v>7749</v>
      </c>
      <c r="C2324" s="13">
        <v>42821</v>
      </c>
      <c r="D2324" s="13" t="s">
        <v>8465</v>
      </c>
      <c r="E2324" s="10" t="s">
        <v>2483</v>
      </c>
      <c r="F2324" s="10" t="s">
        <v>2483</v>
      </c>
      <c r="G2324" s="11" t="s">
        <v>11388</v>
      </c>
      <c r="H2324" s="2" t="s">
        <v>1377</v>
      </c>
      <c r="L2324" s="18">
        <v>1</v>
      </c>
      <c r="N2324" s="13">
        <v>44636</v>
      </c>
      <c r="O2324" s="29">
        <v>5</v>
      </c>
      <c r="P2324" s="18" t="s">
        <v>1107</v>
      </c>
      <c r="Q2324" s="18">
        <v>0</v>
      </c>
      <c r="V2324" s="22">
        <f>3.84/5</f>
        <v>0.76800000000000002</v>
      </c>
      <c r="X2324" s="3">
        <v>3</v>
      </c>
      <c r="Z2324" s="23">
        <v>13.5</v>
      </c>
      <c r="AB2324" s="18">
        <f t="shared" si="72"/>
        <v>2017</v>
      </c>
      <c r="AC2324" s="22">
        <f t="shared" si="73"/>
        <v>0.68399999999999994</v>
      </c>
    </row>
    <row r="2325" spans="1:29" ht="25.5">
      <c r="A2325" s="8" t="s">
        <v>9276</v>
      </c>
      <c r="B2325" s="17" t="s">
        <v>7800</v>
      </c>
      <c r="C2325" s="13">
        <v>42821</v>
      </c>
      <c r="D2325" s="13" t="s">
        <v>8465</v>
      </c>
      <c r="E2325" s="10" t="s">
        <v>1062</v>
      </c>
      <c r="F2325" s="10" t="s">
        <v>8972</v>
      </c>
      <c r="G2325" s="11" t="s">
        <v>9277</v>
      </c>
      <c r="H2325" s="2" t="s">
        <v>1377</v>
      </c>
      <c r="L2325" s="18">
        <v>1</v>
      </c>
      <c r="N2325" s="13">
        <v>44084</v>
      </c>
      <c r="O2325" s="29">
        <v>3.99</v>
      </c>
      <c r="P2325" s="18" t="s">
        <v>1107</v>
      </c>
      <c r="Q2325" s="18">
        <v>0</v>
      </c>
      <c r="V2325" s="22">
        <f>2.95/5</f>
        <v>0.59000000000000008</v>
      </c>
      <c r="W2325" s="14" t="s">
        <v>7777</v>
      </c>
      <c r="X2325" s="3">
        <v>3</v>
      </c>
      <c r="Z2325" s="23">
        <v>41</v>
      </c>
      <c r="AB2325" s="18">
        <f t="shared" si="72"/>
        <v>2017</v>
      </c>
      <c r="AC2325" s="22">
        <f t="shared" si="73"/>
        <v>0.59499999999999997</v>
      </c>
    </row>
    <row r="2326" spans="1:29">
      <c r="A2326" s="8" t="s">
        <v>6170</v>
      </c>
      <c r="B2326" s="17" t="s">
        <v>7760</v>
      </c>
      <c r="C2326" s="13">
        <v>42818</v>
      </c>
      <c r="D2326" s="13" t="s">
        <v>8465</v>
      </c>
      <c r="E2326" s="10" t="s">
        <v>1519</v>
      </c>
      <c r="F2326" s="10" t="s">
        <v>164</v>
      </c>
      <c r="G2326" s="11" t="s">
        <v>2141</v>
      </c>
      <c r="H2326" s="2" t="s">
        <v>1057</v>
      </c>
      <c r="L2326" s="18">
        <v>1</v>
      </c>
      <c r="M2326" s="14" t="s">
        <v>8462</v>
      </c>
      <c r="N2326" s="13">
        <v>43534</v>
      </c>
      <c r="O2326" s="29">
        <v>19.95</v>
      </c>
      <c r="P2326" s="18" t="s">
        <v>14</v>
      </c>
      <c r="Q2326" s="18">
        <v>0</v>
      </c>
      <c r="U2326" s="22">
        <v>0.87</v>
      </c>
      <c r="V2326" s="22">
        <f>4.22/5</f>
        <v>0.84399999999999997</v>
      </c>
      <c r="X2326" s="3">
        <v>3</v>
      </c>
      <c r="Z2326" s="23">
        <v>30</v>
      </c>
      <c r="AB2326" s="18">
        <f t="shared" si="72"/>
        <v>2017</v>
      </c>
      <c r="AC2326" s="22">
        <f t="shared" si="73"/>
        <v>0.77133333333333332</v>
      </c>
    </row>
    <row r="2327" spans="1:29" ht="25.5">
      <c r="A2327" s="8" t="s">
        <v>8210</v>
      </c>
      <c r="B2327" s="17" t="s">
        <v>7800</v>
      </c>
      <c r="C2327" s="13">
        <v>42818</v>
      </c>
      <c r="D2327" s="13" t="s">
        <v>8465</v>
      </c>
      <c r="E2327" s="10" t="s">
        <v>3553</v>
      </c>
      <c r="F2327" s="10" t="s">
        <v>8211</v>
      </c>
      <c r="H2327" s="2" t="s">
        <v>171</v>
      </c>
      <c r="L2327" s="18">
        <v>1</v>
      </c>
      <c r="N2327" s="13">
        <v>43800</v>
      </c>
      <c r="O2327" s="29">
        <v>5.99</v>
      </c>
      <c r="P2327" s="18" t="s">
        <v>1107</v>
      </c>
      <c r="Q2327" s="18">
        <v>0</v>
      </c>
      <c r="U2327" s="22">
        <v>0.69399999999999995</v>
      </c>
      <c r="V2327" s="22">
        <f>3.07/5</f>
        <v>0.61399999999999999</v>
      </c>
      <c r="W2327" s="14" t="s">
        <v>7777</v>
      </c>
      <c r="X2327" s="3">
        <v>3</v>
      </c>
      <c r="Z2327" s="23">
        <v>15</v>
      </c>
      <c r="AB2327" s="18">
        <f t="shared" si="72"/>
        <v>2017</v>
      </c>
      <c r="AC2327" s="22">
        <f t="shared" si="73"/>
        <v>0.63600000000000001</v>
      </c>
    </row>
    <row r="2328" spans="1:29" ht="30">
      <c r="A2328" s="8" t="s">
        <v>9832</v>
      </c>
      <c r="B2328" s="17" t="s">
        <v>7749</v>
      </c>
      <c r="C2328" s="13">
        <v>42818</v>
      </c>
      <c r="D2328" s="13" t="s">
        <v>8465</v>
      </c>
      <c r="E2328" s="10" t="s">
        <v>86</v>
      </c>
      <c r="F2328" s="10" t="s">
        <v>1614</v>
      </c>
      <c r="G2328" s="11" t="s">
        <v>1874</v>
      </c>
      <c r="H2328" s="2" t="s">
        <v>255</v>
      </c>
      <c r="L2328" s="18">
        <v>1</v>
      </c>
      <c r="M2328" s="14" t="s">
        <v>11018</v>
      </c>
      <c r="N2328" s="13">
        <v>44255</v>
      </c>
      <c r="O2328" s="29">
        <v>19.829999999999998</v>
      </c>
      <c r="P2328" s="18" t="s">
        <v>14</v>
      </c>
      <c r="Q2328" s="18">
        <v>0</v>
      </c>
      <c r="U2328" s="22">
        <v>0.62</v>
      </c>
      <c r="V2328" s="22">
        <f>3.42/5</f>
        <v>0.68399999999999994</v>
      </c>
      <c r="X2328" s="3">
        <v>2</v>
      </c>
      <c r="Z2328" s="23">
        <v>6</v>
      </c>
      <c r="AB2328" s="18">
        <f t="shared" si="72"/>
        <v>2017</v>
      </c>
      <c r="AC2328" s="22">
        <f t="shared" si="73"/>
        <v>0.56799999999999995</v>
      </c>
    </row>
    <row r="2329" spans="1:29">
      <c r="A2329" s="8" t="s">
        <v>10071</v>
      </c>
      <c r="B2329" s="17" t="s">
        <v>7760</v>
      </c>
      <c r="C2329" s="13">
        <v>42815</v>
      </c>
      <c r="D2329" s="13" t="s">
        <v>8465</v>
      </c>
      <c r="E2329" s="10" t="s">
        <v>1565</v>
      </c>
      <c r="F2329" s="10" t="s">
        <v>1471</v>
      </c>
      <c r="G2329" s="11" t="s">
        <v>9098</v>
      </c>
      <c r="H2329" s="2" t="s">
        <v>171</v>
      </c>
      <c r="L2329" s="18">
        <v>1</v>
      </c>
      <c r="M2329" s="14" t="s">
        <v>8462</v>
      </c>
      <c r="N2329" s="13">
        <v>44296</v>
      </c>
      <c r="O2329" s="29">
        <v>20.41</v>
      </c>
      <c r="P2329" s="18" t="s">
        <v>14</v>
      </c>
      <c r="Q2329" s="18">
        <v>0</v>
      </c>
      <c r="U2329" s="22">
        <v>0.77</v>
      </c>
      <c r="V2329" s="22">
        <f>4.02/5</f>
        <v>0.80399999999999994</v>
      </c>
      <c r="X2329" s="3">
        <v>3</v>
      </c>
      <c r="Z2329" s="23">
        <v>18.5</v>
      </c>
      <c r="AB2329" s="18">
        <f t="shared" si="72"/>
        <v>2017</v>
      </c>
      <c r="AC2329" s="22">
        <f t="shared" si="73"/>
        <v>0.72466666666666668</v>
      </c>
    </row>
    <row r="2330" spans="1:29" ht="25.5">
      <c r="A2330" s="8" t="s">
        <v>6524</v>
      </c>
      <c r="B2330" s="17" t="s">
        <v>7766</v>
      </c>
      <c r="C2330" s="13">
        <v>42815</v>
      </c>
      <c r="D2330" s="13" t="s">
        <v>8465</v>
      </c>
      <c r="E2330" s="10" t="s">
        <v>231</v>
      </c>
      <c r="F2330" s="10" t="s">
        <v>1161</v>
      </c>
      <c r="G2330" s="11" t="s">
        <v>1162</v>
      </c>
      <c r="H2330" s="2" t="s">
        <v>171</v>
      </c>
      <c r="L2330" s="18">
        <v>1</v>
      </c>
      <c r="M2330" s="14" t="s">
        <v>8462</v>
      </c>
      <c r="N2330" s="13">
        <v>43538</v>
      </c>
      <c r="O2330" s="29">
        <v>5.4</v>
      </c>
      <c r="P2330" s="18" t="s">
        <v>14</v>
      </c>
      <c r="Q2330" s="18">
        <v>0</v>
      </c>
      <c r="U2330" s="22">
        <v>0.74</v>
      </c>
      <c r="V2330" s="22">
        <f>3.49/5</f>
        <v>0.69800000000000006</v>
      </c>
      <c r="X2330" s="3">
        <v>1</v>
      </c>
      <c r="Z2330" s="23">
        <v>18.5</v>
      </c>
      <c r="AB2330" s="18">
        <f t="shared" si="72"/>
        <v>2017</v>
      </c>
      <c r="AC2330" s="22">
        <f t="shared" si="73"/>
        <v>0.54600000000000004</v>
      </c>
    </row>
    <row r="2331" spans="1:29">
      <c r="A2331" s="8" t="s">
        <v>12043</v>
      </c>
      <c r="B2331" s="17" t="s">
        <v>7800</v>
      </c>
      <c r="C2331" s="13">
        <v>42814</v>
      </c>
      <c r="D2331" s="13" t="s">
        <v>8465</v>
      </c>
      <c r="E2331" s="10" t="s">
        <v>6112</v>
      </c>
      <c r="F2331" s="10" t="s">
        <v>12044</v>
      </c>
      <c r="H2331" s="2" t="s">
        <v>1061</v>
      </c>
      <c r="L2331" s="18">
        <v>1</v>
      </c>
      <c r="N2331" s="13">
        <v>44733</v>
      </c>
      <c r="O2331" s="29">
        <v>0</v>
      </c>
      <c r="P2331" s="18" t="s">
        <v>1107</v>
      </c>
      <c r="Q2331" s="18">
        <v>0</v>
      </c>
      <c r="U2331" s="22">
        <v>0.65</v>
      </c>
      <c r="W2331" s="14" t="s">
        <v>7799</v>
      </c>
      <c r="X2331" s="3">
        <v>2</v>
      </c>
      <c r="Z2331" s="23">
        <v>3</v>
      </c>
      <c r="AB2331" s="18">
        <f t="shared" si="72"/>
        <v>2017</v>
      </c>
      <c r="AC2331" s="22">
        <f t="shared" si="73"/>
        <v>0.52500000000000002</v>
      </c>
    </row>
    <row r="2332" spans="1:29" ht="38.25">
      <c r="A2332" s="8" t="s">
        <v>12481</v>
      </c>
      <c r="B2332" s="17" t="s">
        <v>7800</v>
      </c>
      <c r="C2332" s="13">
        <v>42811</v>
      </c>
      <c r="D2332" s="13" t="s">
        <v>8465</v>
      </c>
      <c r="E2332" s="10" t="s">
        <v>7877</v>
      </c>
      <c r="F2332" s="10" t="s">
        <v>12482</v>
      </c>
      <c r="G2332" s="11" t="s">
        <v>10409</v>
      </c>
      <c r="H2332" s="2" t="s">
        <v>1057</v>
      </c>
      <c r="L2332" s="18">
        <v>1</v>
      </c>
      <c r="N2332" s="13">
        <v>44812</v>
      </c>
      <c r="O2332" s="29">
        <v>1.92</v>
      </c>
      <c r="P2332" s="18" t="s">
        <v>1107</v>
      </c>
      <c r="Q2332" s="18">
        <v>0</v>
      </c>
      <c r="V2332" s="22">
        <f>3.75/5</f>
        <v>0.75</v>
      </c>
      <c r="W2332" s="14" t="s">
        <v>7777</v>
      </c>
      <c r="X2332" s="3">
        <v>3</v>
      </c>
      <c r="Z2332" s="23">
        <v>24</v>
      </c>
      <c r="AB2332" s="18">
        <f t="shared" si="72"/>
        <v>2017</v>
      </c>
      <c r="AC2332" s="22">
        <f t="shared" si="73"/>
        <v>0.67500000000000004</v>
      </c>
    </row>
    <row r="2333" spans="1:29">
      <c r="A2333" s="8" t="s">
        <v>12057</v>
      </c>
      <c r="B2333" s="17" t="s">
        <v>7800</v>
      </c>
      <c r="C2333" s="13">
        <v>42811</v>
      </c>
      <c r="D2333" s="13" t="s">
        <v>8465</v>
      </c>
      <c r="E2333" s="10" t="s">
        <v>12058</v>
      </c>
      <c r="F2333" s="10" t="s">
        <v>12058</v>
      </c>
      <c r="H2333" s="2" t="s">
        <v>171</v>
      </c>
      <c r="L2333" s="18">
        <v>1</v>
      </c>
      <c r="N2333" s="13">
        <v>44735</v>
      </c>
      <c r="O2333" s="29">
        <v>1.19</v>
      </c>
      <c r="P2333" s="18" t="s">
        <v>1107</v>
      </c>
      <c r="Q2333" s="18">
        <v>0</v>
      </c>
      <c r="V2333" s="22">
        <f>4.13/5</f>
        <v>0.82599999999999996</v>
      </c>
      <c r="W2333" s="14" t="s">
        <v>7777</v>
      </c>
      <c r="X2333" s="3">
        <v>2</v>
      </c>
      <c r="AB2333" s="18">
        <f t="shared" si="72"/>
        <v>2017</v>
      </c>
      <c r="AC2333" s="22">
        <f t="shared" si="73"/>
        <v>0.61299999999999999</v>
      </c>
    </row>
    <row r="2334" spans="1:29" ht="25.5">
      <c r="A2334" s="8" t="s">
        <v>13683</v>
      </c>
      <c r="B2334" s="17" t="s">
        <v>7800</v>
      </c>
      <c r="C2334" s="13">
        <v>42811</v>
      </c>
      <c r="D2334" s="13" t="s">
        <v>8465</v>
      </c>
      <c r="E2334" s="10" t="s">
        <v>1534</v>
      </c>
      <c r="F2334" s="10" t="s">
        <v>7413</v>
      </c>
      <c r="G2334" s="11" t="s">
        <v>10280</v>
      </c>
      <c r="H2334" s="2" t="s">
        <v>1059</v>
      </c>
      <c r="L2334" s="18">
        <v>1</v>
      </c>
      <c r="N2334" s="13">
        <v>44991</v>
      </c>
      <c r="O2334" s="29">
        <v>8.99</v>
      </c>
      <c r="P2334" s="18" t="s">
        <v>1107</v>
      </c>
      <c r="Q2334" s="18">
        <v>0</v>
      </c>
      <c r="U2334" s="22">
        <v>0.71</v>
      </c>
      <c r="V2334" s="22">
        <f>2.57/5</f>
        <v>0.51400000000000001</v>
      </c>
      <c r="W2334" s="14" t="s">
        <v>7777</v>
      </c>
      <c r="X2334" s="3">
        <v>2</v>
      </c>
      <c r="Z2334" s="23">
        <v>15.5</v>
      </c>
      <c r="AB2334" s="18">
        <f t="shared" si="72"/>
        <v>2017</v>
      </c>
      <c r="AC2334" s="22">
        <f t="shared" si="73"/>
        <v>0.54133333333333333</v>
      </c>
    </row>
    <row r="2335" spans="1:29">
      <c r="A2335" s="8" t="s">
        <v>7007</v>
      </c>
      <c r="B2335" s="17" t="s">
        <v>7800</v>
      </c>
      <c r="C2335" s="13">
        <v>42810</v>
      </c>
      <c r="D2335" s="13" t="s">
        <v>8465</v>
      </c>
      <c r="E2335" s="10" t="s">
        <v>6999</v>
      </c>
      <c r="F2335" s="10" t="s">
        <v>7008</v>
      </c>
      <c r="H2335" s="2" t="s">
        <v>78</v>
      </c>
      <c r="L2335" s="18">
        <v>1</v>
      </c>
      <c r="O2335" s="29">
        <v>0</v>
      </c>
      <c r="P2335" s="18" t="s">
        <v>1107</v>
      </c>
      <c r="Q2335" s="18">
        <v>0</v>
      </c>
      <c r="V2335" s="22">
        <f>3.77/5</f>
        <v>0.754</v>
      </c>
      <c r="W2335" s="14" t="s">
        <v>7777</v>
      </c>
      <c r="X2335" s="3">
        <v>2</v>
      </c>
      <c r="Z2335" s="23">
        <v>12</v>
      </c>
      <c r="AB2335" s="18">
        <f t="shared" si="72"/>
        <v>2017</v>
      </c>
      <c r="AC2335" s="22">
        <f t="shared" si="73"/>
        <v>0.57699999999999996</v>
      </c>
    </row>
    <row r="2336" spans="1:29" ht="25.5">
      <c r="A2336" s="8" t="s">
        <v>8736</v>
      </c>
      <c r="B2336" s="17" t="s">
        <v>7800</v>
      </c>
      <c r="C2336" s="13">
        <v>42809</v>
      </c>
      <c r="D2336" s="13" t="s">
        <v>8465</v>
      </c>
      <c r="E2336" s="10" t="s">
        <v>6881</v>
      </c>
      <c r="F2336" s="10" t="s">
        <v>8737</v>
      </c>
      <c r="G2336" s="11" t="s">
        <v>8738</v>
      </c>
      <c r="H2336" s="2" t="s">
        <v>459</v>
      </c>
      <c r="L2336" s="18">
        <v>1</v>
      </c>
      <c r="N2336" s="13">
        <v>43985</v>
      </c>
      <c r="O2336" s="29">
        <v>0</v>
      </c>
      <c r="P2336" s="18" t="s">
        <v>1107</v>
      </c>
      <c r="Q2336" s="18">
        <v>0</v>
      </c>
      <c r="U2336" s="22">
        <v>0.66</v>
      </c>
      <c r="V2336" s="22">
        <f>3.82/5</f>
        <v>0.76400000000000001</v>
      </c>
      <c r="W2336" s="14" t="s">
        <v>7777</v>
      </c>
      <c r="X2336" s="3">
        <v>2</v>
      </c>
      <c r="Z2336" s="23">
        <f>15/60</f>
        <v>0.25</v>
      </c>
      <c r="AB2336" s="18">
        <f t="shared" si="72"/>
        <v>2017</v>
      </c>
      <c r="AC2336" s="22">
        <f t="shared" si="73"/>
        <v>0.60799999999999998</v>
      </c>
    </row>
    <row r="2337" spans="1:29" ht="25.5">
      <c r="A2337" s="8" t="s">
        <v>5173</v>
      </c>
      <c r="B2337" s="17" t="s">
        <v>7800</v>
      </c>
      <c r="C2337" s="13">
        <v>42808</v>
      </c>
      <c r="D2337" s="13" t="s">
        <v>8465</v>
      </c>
      <c r="E2337" s="10" t="s">
        <v>3493</v>
      </c>
      <c r="F2337" s="10" t="s">
        <v>3959</v>
      </c>
      <c r="G2337" s="11" t="s">
        <v>4582</v>
      </c>
      <c r="H2337" s="2" t="s">
        <v>245</v>
      </c>
      <c r="L2337" s="18">
        <v>1</v>
      </c>
      <c r="N2337" s="13">
        <v>43439</v>
      </c>
      <c r="P2337" s="18" t="s">
        <v>1107</v>
      </c>
      <c r="Q2337" s="18">
        <v>0</v>
      </c>
      <c r="U2337" s="22">
        <v>0.75</v>
      </c>
      <c r="V2337" s="22">
        <f>3.52/5</f>
        <v>0.70399999999999996</v>
      </c>
      <c r="W2337" s="14" t="s">
        <v>7777</v>
      </c>
      <c r="X2337" s="3">
        <v>3</v>
      </c>
      <c r="Z2337" s="23">
        <v>11.5</v>
      </c>
      <c r="AB2337" s="18">
        <f t="shared" si="72"/>
        <v>2017</v>
      </c>
      <c r="AC2337" s="22">
        <f t="shared" si="73"/>
        <v>0.68466666666666665</v>
      </c>
    </row>
    <row r="2338" spans="1:29" ht="30">
      <c r="A2338" s="8" t="s">
        <v>9524</v>
      </c>
      <c r="B2338" s="17" t="s">
        <v>7744</v>
      </c>
      <c r="C2338" s="13">
        <v>42803</v>
      </c>
      <c r="D2338" s="13" t="s">
        <v>8465</v>
      </c>
      <c r="E2338" s="10" t="s">
        <v>1070</v>
      </c>
      <c r="F2338" s="10" t="s">
        <v>1070</v>
      </c>
      <c r="G2338" s="11" t="s">
        <v>208</v>
      </c>
      <c r="H2338" s="2" t="s">
        <v>151</v>
      </c>
      <c r="L2338" s="18">
        <v>1</v>
      </c>
      <c r="M2338" s="14" t="s">
        <v>8462</v>
      </c>
      <c r="N2338" s="13">
        <v>43980</v>
      </c>
      <c r="O2338" s="29">
        <v>38.119999999999997</v>
      </c>
      <c r="P2338" s="18" t="s">
        <v>14</v>
      </c>
      <c r="Q2338" s="18">
        <v>0</v>
      </c>
      <c r="U2338" s="22">
        <v>0.78</v>
      </c>
      <c r="V2338" s="22">
        <f>4.1/5</f>
        <v>0.82</v>
      </c>
      <c r="W2338" s="14" t="s">
        <v>1134</v>
      </c>
      <c r="X2338" s="3">
        <v>3</v>
      </c>
      <c r="Z2338" s="23">
        <v>8.5</v>
      </c>
      <c r="AB2338" s="18">
        <f t="shared" si="72"/>
        <v>2017</v>
      </c>
      <c r="AC2338" s="22">
        <f t="shared" si="73"/>
        <v>0.73333333333333339</v>
      </c>
    </row>
    <row r="2339" spans="1:29" ht="38.25">
      <c r="A2339" s="8" t="s">
        <v>6209</v>
      </c>
      <c r="B2339" s="17" t="s">
        <v>7760</v>
      </c>
      <c r="C2339" s="13">
        <v>42801</v>
      </c>
      <c r="D2339" s="13" t="s">
        <v>8465</v>
      </c>
      <c r="E2339" s="10" t="s">
        <v>1082</v>
      </c>
      <c r="F2339" s="10" t="s">
        <v>1058</v>
      </c>
      <c r="G2339" s="11" t="s">
        <v>4538</v>
      </c>
      <c r="H2339" s="2" t="s">
        <v>171</v>
      </c>
      <c r="L2339" s="18">
        <v>1</v>
      </c>
      <c r="M2339" s="14" t="s">
        <v>8462</v>
      </c>
      <c r="N2339" s="13">
        <v>43522</v>
      </c>
      <c r="O2339" s="29">
        <v>39.99</v>
      </c>
      <c r="P2339" s="18" t="s">
        <v>14</v>
      </c>
      <c r="Q2339" s="18">
        <v>0</v>
      </c>
      <c r="U2339" s="22">
        <v>0.91</v>
      </c>
      <c r="V2339" s="22">
        <f>4.34/5</f>
        <v>0.86799999999999999</v>
      </c>
      <c r="X2339" s="3">
        <v>3</v>
      </c>
      <c r="Z2339" s="23">
        <v>20.5</v>
      </c>
      <c r="AB2339" s="18">
        <f t="shared" si="72"/>
        <v>2017</v>
      </c>
      <c r="AC2339" s="22">
        <f t="shared" si="73"/>
        <v>0.79266666666666674</v>
      </c>
    </row>
    <row r="2340" spans="1:29" ht="25.5">
      <c r="A2340" s="8" t="s">
        <v>8259</v>
      </c>
      <c r="B2340" s="17" t="s">
        <v>7800</v>
      </c>
      <c r="C2340" s="13">
        <v>42801</v>
      </c>
      <c r="D2340" s="13" t="s">
        <v>8465</v>
      </c>
      <c r="E2340" s="10" t="s">
        <v>1047</v>
      </c>
      <c r="F2340" s="10" t="s">
        <v>1539</v>
      </c>
      <c r="G2340" s="11" t="s">
        <v>2474</v>
      </c>
      <c r="H2340" s="2" t="s">
        <v>7448</v>
      </c>
      <c r="L2340" s="18">
        <v>1</v>
      </c>
      <c r="N2340" s="13">
        <v>43824</v>
      </c>
      <c r="O2340" s="29">
        <v>9.99</v>
      </c>
      <c r="P2340" s="18" t="s">
        <v>1107</v>
      </c>
      <c r="Q2340" s="18">
        <v>0</v>
      </c>
      <c r="U2340" s="22">
        <v>0.69</v>
      </c>
      <c r="V2340" s="22">
        <f>3.56/5</f>
        <v>0.71199999999999997</v>
      </c>
      <c r="W2340" s="14" t="s">
        <v>7097</v>
      </c>
      <c r="X2340" s="3">
        <v>3</v>
      </c>
      <c r="Z2340" s="23">
        <v>25.5</v>
      </c>
      <c r="AB2340" s="18">
        <f t="shared" si="72"/>
        <v>2017</v>
      </c>
      <c r="AC2340" s="22">
        <f t="shared" si="73"/>
        <v>0.66733333333333322</v>
      </c>
    </row>
    <row r="2341" spans="1:29" ht="25.5">
      <c r="A2341" s="8" t="s">
        <v>14072</v>
      </c>
      <c r="B2341" s="17" t="s">
        <v>7760</v>
      </c>
      <c r="C2341" s="13">
        <v>42801</v>
      </c>
      <c r="D2341" s="13" t="s">
        <v>8465</v>
      </c>
      <c r="E2341" s="10" t="s">
        <v>2452</v>
      </c>
      <c r="F2341" s="10" t="s">
        <v>2452</v>
      </c>
      <c r="G2341" s="11" t="s">
        <v>3547</v>
      </c>
      <c r="H2341" s="2" t="s">
        <v>67</v>
      </c>
      <c r="I2341" s="18">
        <v>1</v>
      </c>
      <c r="L2341" s="18">
        <v>1</v>
      </c>
      <c r="O2341" s="29">
        <v>0</v>
      </c>
      <c r="P2341" s="18" t="s">
        <v>1107</v>
      </c>
      <c r="Q2341" s="18">
        <v>0</v>
      </c>
      <c r="V2341" s="22">
        <f>3.43/5</f>
        <v>0.68600000000000005</v>
      </c>
      <c r="X2341" s="3">
        <v>2</v>
      </c>
      <c r="Z2341" s="23">
        <f>33/60</f>
        <v>0.55000000000000004</v>
      </c>
      <c r="AB2341" s="18">
        <f t="shared" si="72"/>
        <v>2017</v>
      </c>
      <c r="AC2341" s="22">
        <f t="shared" si="73"/>
        <v>0.54300000000000004</v>
      </c>
    </row>
    <row r="2342" spans="1:29" ht="25.5">
      <c r="A2342" s="8" t="s">
        <v>5194</v>
      </c>
      <c r="B2342" s="17" t="s">
        <v>7800</v>
      </c>
      <c r="C2342" s="13">
        <v>42800</v>
      </c>
      <c r="D2342" s="13" t="s">
        <v>8465</v>
      </c>
      <c r="E2342" s="10" t="s">
        <v>5195</v>
      </c>
      <c r="F2342" s="10" t="s">
        <v>5196</v>
      </c>
      <c r="H2342" s="2" t="s">
        <v>21</v>
      </c>
      <c r="L2342" s="18">
        <v>1</v>
      </c>
      <c r="N2342" s="13">
        <v>42781</v>
      </c>
      <c r="P2342" s="18" t="s">
        <v>1107</v>
      </c>
      <c r="Q2342" s="18">
        <v>0</v>
      </c>
      <c r="U2342" s="22">
        <v>0.9</v>
      </c>
      <c r="V2342" s="22">
        <f>4.17/5</f>
        <v>0.83399999999999996</v>
      </c>
      <c r="W2342" s="14" t="s">
        <v>7777</v>
      </c>
      <c r="X2342" s="3">
        <v>3</v>
      </c>
      <c r="Z2342" s="23">
        <v>1.5</v>
      </c>
      <c r="AB2342" s="18">
        <f t="shared" si="72"/>
        <v>2017</v>
      </c>
      <c r="AC2342" s="22">
        <f t="shared" si="73"/>
        <v>0.77800000000000002</v>
      </c>
    </row>
    <row r="2343" spans="1:29" ht="25.5">
      <c r="A2343" s="8" t="s">
        <v>1694</v>
      </c>
      <c r="B2343" s="17" t="s">
        <v>7743</v>
      </c>
      <c r="C2343" s="13">
        <v>42797</v>
      </c>
      <c r="D2343" s="13" t="s">
        <v>8465</v>
      </c>
      <c r="E2343" s="10" t="s">
        <v>86</v>
      </c>
      <c r="F2343" s="10" t="s">
        <v>1138</v>
      </c>
      <c r="G2343" s="11" t="s">
        <v>85</v>
      </c>
      <c r="H2343" s="2" t="s">
        <v>80</v>
      </c>
      <c r="L2343" s="18">
        <v>1</v>
      </c>
      <c r="M2343" s="14" t="s">
        <v>8462</v>
      </c>
      <c r="N2343" s="13">
        <v>42591</v>
      </c>
      <c r="O2343" s="29">
        <v>51.35</v>
      </c>
      <c r="P2343" s="18" t="s">
        <v>14</v>
      </c>
      <c r="Q2343" s="18">
        <v>0</v>
      </c>
      <c r="U2343" s="22">
        <v>0.96</v>
      </c>
      <c r="V2343" s="22">
        <f>4.54/5</f>
        <v>0.90800000000000003</v>
      </c>
      <c r="X2343" s="3">
        <v>3</v>
      </c>
      <c r="Z2343" s="23">
        <v>50</v>
      </c>
      <c r="AB2343" s="18">
        <f t="shared" si="72"/>
        <v>2017</v>
      </c>
      <c r="AC2343" s="22">
        <f t="shared" si="73"/>
        <v>0.82266666666666666</v>
      </c>
    </row>
    <row r="2344" spans="1:29">
      <c r="A2344" s="8" t="s">
        <v>15293</v>
      </c>
      <c r="B2344" s="17" t="s">
        <v>7744</v>
      </c>
      <c r="C2344" s="13">
        <v>42797</v>
      </c>
      <c r="D2344" s="13" t="s">
        <v>8465</v>
      </c>
      <c r="E2344" s="10" t="s">
        <v>72</v>
      </c>
      <c r="F2344" s="10" t="s">
        <v>72</v>
      </c>
      <c r="G2344" s="11" t="s">
        <v>7674</v>
      </c>
      <c r="H2344" s="2" t="s">
        <v>31</v>
      </c>
      <c r="L2344" s="18">
        <v>1</v>
      </c>
      <c r="M2344" s="14" t="s">
        <v>8462</v>
      </c>
      <c r="N2344" s="13">
        <v>45103</v>
      </c>
      <c r="O2344" s="29">
        <v>17.37</v>
      </c>
      <c r="P2344" s="18" t="s">
        <v>14</v>
      </c>
      <c r="Q2344" s="18">
        <v>0</v>
      </c>
      <c r="U2344" s="22">
        <v>0.62</v>
      </c>
      <c r="V2344" s="22">
        <f>3.52/5</f>
        <v>0.70399999999999996</v>
      </c>
      <c r="X2344" s="3">
        <v>2</v>
      </c>
      <c r="Z2344" s="23">
        <v>4</v>
      </c>
      <c r="AB2344" s="18">
        <f t="shared" si="72"/>
        <v>2017</v>
      </c>
      <c r="AC2344" s="22">
        <f t="shared" si="73"/>
        <v>0.57466666666666655</v>
      </c>
    </row>
    <row r="2345" spans="1:29" ht="25.5">
      <c r="A2345" s="8" t="s">
        <v>5447</v>
      </c>
      <c r="B2345" s="17" t="s">
        <v>7800</v>
      </c>
      <c r="C2345" s="13">
        <v>42794</v>
      </c>
      <c r="D2345" s="13" t="s">
        <v>8465</v>
      </c>
      <c r="E2345" s="10" t="s">
        <v>3756</v>
      </c>
      <c r="F2345" s="10" t="s">
        <v>1718</v>
      </c>
      <c r="H2345" s="2" t="s">
        <v>1720</v>
      </c>
      <c r="L2345" s="18">
        <v>1</v>
      </c>
      <c r="N2345" s="13">
        <v>43152</v>
      </c>
      <c r="P2345" s="18" t="s">
        <v>1107</v>
      </c>
      <c r="Q2345" s="18">
        <v>0</v>
      </c>
      <c r="U2345" s="22">
        <v>0.82</v>
      </c>
      <c r="V2345" s="22">
        <f>3.68/5</f>
        <v>0.73599999999999999</v>
      </c>
      <c r="W2345" s="14" t="s">
        <v>7777</v>
      </c>
      <c r="X2345" s="3">
        <v>4</v>
      </c>
      <c r="Z2345" s="23">
        <v>25.5</v>
      </c>
      <c r="AB2345" s="18">
        <f t="shared" si="72"/>
        <v>2017</v>
      </c>
      <c r="AC2345" s="22">
        <f t="shared" si="73"/>
        <v>0.78533333333333333</v>
      </c>
    </row>
    <row r="2346" spans="1:29" ht="25.5">
      <c r="A2346" s="8" t="s">
        <v>10252</v>
      </c>
      <c r="B2346" s="17" t="s">
        <v>7749</v>
      </c>
      <c r="C2346" s="13">
        <v>42794</v>
      </c>
      <c r="D2346" s="13" t="s">
        <v>8465</v>
      </c>
      <c r="E2346" s="10" t="s">
        <v>1534</v>
      </c>
      <c r="F2346" s="10" t="s">
        <v>5025</v>
      </c>
      <c r="G2346" s="11" t="s">
        <v>2463</v>
      </c>
      <c r="H2346" s="2" t="s">
        <v>1334</v>
      </c>
      <c r="L2346" s="18">
        <v>1</v>
      </c>
      <c r="M2346" s="14" t="s">
        <v>8462</v>
      </c>
      <c r="N2346" s="13">
        <v>44402</v>
      </c>
      <c r="O2346" s="29">
        <v>48.99</v>
      </c>
      <c r="P2346" s="18" t="s">
        <v>14</v>
      </c>
      <c r="Q2346" s="18">
        <v>0</v>
      </c>
      <c r="U2346" s="22">
        <v>0.74</v>
      </c>
      <c r="V2346" s="22">
        <f>4.38/5</f>
        <v>0.876</v>
      </c>
      <c r="X2346" s="3">
        <v>3</v>
      </c>
      <c r="Z2346" s="23">
        <v>64</v>
      </c>
      <c r="AB2346" s="18">
        <f t="shared" si="72"/>
        <v>2017</v>
      </c>
      <c r="AC2346" s="22">
        <f t="shared" si="73"/>
        <v>0.73866666666666669</v>
      </c>
    </row>
    <row r="2347" spans="1:29">
      <c r="A2347" s="8" t="s">
        <v>7092</v>
      </c>
      <c r="B2347" s="17" t="s">
        <v>7800</v>
      </c>
      <c r="C2347" s="13">
        <v>42793</v>
      </c>
      <c r="D2347" s="13" t="s">
        <v>8465</v>
      </c>
      <c r="E2347" s="10" t="s">
        <v>3063</v>
      </c>
      <c r="F2347" s="10" t="s">
        <v>7093</v>
      </c>
      <c r="H2347" s="2" t="s">
        <v>67</v>
      </c>
      <c r="L2347" s="18">
        <v>1</v>
      </c>
      <c r="N2347" s="13">
        <v>43601</v>
      </c>
      <c r="O2347" s="29">
        <v>0</v>
      </c>
      <c r="P2347" s="18" t="s">
        <v>1107</v>
      </c>
      <c r="Q2347" s="18">
        <v>0</v>
      </c>
      <c r="U2347" s="22">
        <v>0.77</v>
      </c>
      <c r="V2347" s="22">
        <f>3.56/5</f>
        <v>0.71199999999999997</v>
      </c>
      <c r="W2347" s="14" t="s">
        <v>7097</v>
      </c>
      <c r="X2347" s="3">
        <v>3</v>
      </c>
      <c r="Z2347" s="23">
        <v>2.5</v>
      </c>
      <c r="AB2347" s="18">
        <f t="shared" si="72"/>
        <v>2017</v>
      </c>
      <c r="AC2347" s="22">
        <f t="shared" si="73"/>
        <v>0.69399999999999995</v>
      </c>
    </row>
    <row r="2348" spans="1:29" ht="25.5">
      <c r="A2348" s="8" t="s">
        <v>8320</v>
      </c>
      <c r="B2348" s="17" t="s">
        <v>7800</v>
      </c>
      <c r="C2348" s="13">
        <v>42793</v>
      </c>
      <c r="D2348" s="13" t="s">
        <v>8465</v>
      </c>
      <c r="E2348" s="10" t="s">
        <v>8321</v>
      </c>
      <c r="F2348" s="10" t="s">
        <v>8321</v>
      </c>
      <c r="G2348" s="11" t="s">
        <v>226</v>
      </c>
      <c r="H2348" s="2" t="s">
        <v>153</v>
      </c>
      <c r="L2348" s="18">
        <v>1</v>
      </c>
      <c r="N2348" s="13">
        <v>43860</v>
      </c>
      <c r="O2348" s="29">
        <v>1.99</v>
      </c>
      <c r="P2348" s="18" t="s">
        <v>1107</v>
      </c>
      <c r="Q2348" s="18">
        <v>0</v>
      </c>
      <c r="V2348" s="22">
        <f>3.63/5</f>
        <v>0.72599999999999998</v>
      </c>
      <c r="W2348" s="14" t="s">
        <v>7777</v>
      </c>
      <c r="X2348" s="3">
        <v>3</v>
      </c>
      <c r="Z2348" s="23">
        <v>9.5</v>
      </c>
      <c r="AB2348" s="18">
        <f t="shared" si="72"/>
        <v>2017</v>
      </c>
      <c r="AC2348" s="22">
        <f t="shared" si="73"/>
        <v>0.66300000000000003</v>
      </c>
    </row>
    <row r="2349" spans="1:29" ht="30">
      <c r="A2349" s="8" t="s">
        <v>8845</v>
      </c>
      <c r="B2349" s="17" t="s">
        <v>7760</v>
      </c>
      <c r="C2349" s="13">
        <v>42790</v>
      </c>
      <c r="D2349" s="13" t="s">
        <v>8465</v>
      </c>
      <c r="E2349" s="10" t="s">
        <v>170</v>
      </c>
      <c r="F2349" s="10" t="s">
        <v>170</v>
      </c>
      <c r="H2349" s="2" t="s">
        <v>6510</v>
      </c>
      <c r="L2349" s="18">
        <v>1</v>
      </c>
      <c r="M2349" s="14" t="s">
        <v>8462</v>
      </c>
      <c r="N2349" s="13">
        <v>43944</v>
      </c>
      <c r="O2349" s="29">
        <v>35.43</v>
      </c>
      <c r="P2349" s="18" t="s">
        <v>14</v>
      </c>
      <c r="Q2349" s="18">
        <v>0</v>
      </c>
      <c r="V2349" s="22">
        <f>3.92/5</f>
        <v>0.78400000000000003</v>
      </c>
      <c r="W2349" s="14" t="s">
        <v>1134</v>
      </c>
      <c r="X2349" s="3">
        <v>2</v>
      </c>
      <c r="Z2349" s="23">
        <f>20/60+49/60+2+45/60+1.5</f>
        <v>5.4</v>
      </c>
      <c r="AB2349" s="18">
        <f t="shared" si="72"/>
        <v>2017</v>
      </c>
      <c r="AC2349" s="22">
        <f t="shared" si="73"/>
        <v>0.59200000000000008</v>
      </c>
    </row>
    <row r="2350" spans="1:29">
      <c r="A2350" s="8" t="s">
        <v>12367</v>
      </c>
      <c r="B2350" s="17" t="s">
        <v>7760</v>
      </c>
      <c r="C2350" s="13">
        <v>42789</v>
      </c>
      <c r="D2350" s="13" t="s">
        <v>9335</v>
      </c>
      <c r="E2350" s="10" t="s">
        <v>3568</v>
      </c>
      <c r="F2350" s="10" t="s">
        <v>11049</v>
      </c>
      <c r="G2350" s="11" t="s">
        <v>299</v>
      </c>
      <c r="H2350" s="2" t="s">
        <v>75</v>
      </c>
      <c r="K2350" s="18">
        <v>2</v>
      </c>
      <c r="L2350" s="18">
        <v>1</v>
      </c>
      <c r="M2350" s="14" t="s">
        <v>8462</v>
      </c>
      <c r="N2350" s="13">
        <v>44957</v>
      </c>
      <c r="O2350" s="29">
        <v>28.08</v>
      </c>
      <c r="P2350" s="18" t="s">
        <v>14</v>
      </c>
      <c r="Q2350" s="18">
        <v>0</v>
      </c>
      <c r="V2350" s="22">
        <f>4.28/5</f>
        <v>0.85600000000000009</v>
      </c>
      <c r="X2350" s="3">
        <v>3</v>
      </c>
      <c r="Z2350" s="23">
        <v>38</v>
      </c>
      <c r="AB2350" s="18">
        <f t="shared" si="72"/>
        <v>2017</v>
      </c>
      <c r="AC2350" s="22">
        <f t="shared" si="73"/>
        <v>0.72799999999999998</v>
      </c>
    </row>
    <row r="2351" spans="1:29">
      <c r="A2351" s="8" t="s">
        <v>14158</v>
      </c>
      <c r="B2351" s="17" t="s">
        <v>7800</v>
      </c>
      <c r="C2351" s="13">
        <v>42789</v>
      </c>
      <c r="D2351" s="13" t="s">
        <v>8465</v>
      </c>
      <c r="E2351" s="10" t="s">
        <v>14159</v>
      </c>
      <c r="F2351" s="10" t="s">
        <v>14159</v>
      </c>
      <c r="H2351" s="2" t="s">
        <v>151</v>
      </c>
      <c r="L2351" s="18">
        <v>1</v>
      </c>
      <c r="O2351" s="29">
        <v>0</v>
      </c>
      <c r="P2351" s="18" t="s">
        <v>1107</v>
      </c>
      <c r="Q2351" s="18">
        <v>0</v>
      </c>
      <c r="V2351" s="22">
        <f>4.25/5</f>
        <v>0.85</v>
      </c>
      <c r="W2351" s="14" t="s">
        <v>8765</v>
      </c>
      <c r="X2351" s="3">
        <v>3</v>
      </c>
      <c r="Z2351" s="23">
        <v>7</v>
      </c>
      <c r="AB2351" s="18">
        <f t="shared" si="72"/>
        <v>2017</v>
      </c>
      <c r="AC2351" s="22">
        <f t="shared" si="73"/>
        <v>0.72499999999999998</v>
      </c>
    </row>
    <row r="2352" spans="1:29" ht="30">
      <c r="A2352" s="8" t="s">
        <v>8965</v>
      </c>
      <c r="B2352" s="17" t="s">
        <v>7800</v>
      </c>
      <c r="C2352" s="13">
        <v>42789</v>
      </c>
      <c r="D2352" s="13" t="s">
        <v>8465</v>
      </c>
      <c r="E2352" s="10" t="s">
        <v>8971</v>
      </c>
      <c r="F2352" s="10" t="s">
        <v>8971</v>
      </c>
      <c r="H2352" s="2" t="s">
        <v>149</v>
      </c>
      <c r="L2352" s="18">
        <v>1</v>
      </c>
      <c r="N2352" s="13">
        <v>44007</v>
      </c>
      <c r="O2352" s="29">
        <v>3.74</v>
      </c>
      <c r="P2352" s="18" t="s">
        <v>1107</v>
      </c>
      <c r="Q2352" s="18">
        <v>0</v>
      </c>
      <c r="U2352" s="22">
        <v>0.78</v>
      </c>
      <c r="V2352" s="22">
        <f>3.89/5</f>
        <v>0.77800000000000002</v>
      </c>
      <c r="W2352" s="14" t="s">
        <v>7777</v>
      </c>
      <c r="X2352" s="3">
        <v>3</v>
      </c>
      <c r="Z2352" s="23">
        <v>11</v>
      </c>
      <c r="AB2352" s="18">
        <f t="shared" si="72"/>
        <v>2017</v>
      </c>
      <c r="AC2352" s="22">
        <f t="shared" si="73"/>
        <v>0.71933333333333327</v>
      </c>
    </row>
    <row r="2353" spans="1:29" ht="38.25">
      <c r="A2353" s="8" t="s">
        <v>12630</v>
      </c>
      <c r="B2353" s="17" t="s">
        <v>7749</v>
      </c>
      <c r="C2353" s="13">
        <v>42789</v>
      </c>
      <c r="D2353" s="13" t="s">
        <v>8465</v>
      </c>
      <c r="E2353" s="10" t="s">
        <v>10018</v>
      </c>
      <c r="F2353" s="10" t="s">
        <v>12639</v>
      </c>
      <c r="G2353" s="11" t="s">
        <v>12640</v>
      </c>
      <c r="H2353" s="2" t="s">
        <v>31</v>
      </c>
      <c r="L2353" s="18">
        <v>1</v>
      </c>
      <c r="M2353" s="14" t="s">
        <v>8462</v>
      </c>
      <c r="N2353" s="13">
        <v>44806</v>
      </c>
      <c r="O2353" s="29">
        <v>81.81</v>
      </c>
      <c r="P2353" s="18" t="s">
        <v>14</v>
      </c>
      <c r="Q2353" s="18">
        <v>0</v>
      </c>
      <c r="U2353" s="22">
        <v>0.84</v>
      </c>
      <c r="V2353" s="22">
        <f>3.92/5</f>
        <v>0.78400000000000003</v>
      </c>
      <c r="W2353" s="14" t="s">
        <v>1134</v>
      </c>
      <c r="X2353" s="3">
        <v>2</v>
      </c>
      <c r="Z2353" s="23">
        <v>6</v>
      </c>
      <c r="AB2353" s="18">
        <f t="shared" si="72"/>
        <v>2017</v>
      </c>
      <c r="AC2353" s="22">
        <f t="shared" si="73"/>
        <v>0.67466666666666664</v>
      </c>
    </row>
    <row r="2354" spans="1:29">
      <c r="A2354" s="8" t="s">
        <v>8788</v>
      </c>
      <c r="B2354" s="17" t="s">
        <v>7800</v>
      </c>
      <c r="C2354" s="13">
        <v>42787</v>
      </c>
      <c r="D2354" s="13" t="s">
        <v>8465</v>
      </c>
      <c r="E2354" s="10" t="s">
        <v>8787</v>
      </c>
      <c r="F2354" s="10" t="s">
        <v>8789</v>
      </c>
      <c r="H2354" s="2" t="s">
        <v>67</v>
      </c>
      <c r="L2354" s="18">
        <v>1</v>
      </c>
      <c r="N2354" s="13">
        <v>43987</v>
      </c>
      <c r="O2354" s="29">
        <v>0.62</v>
      </c>
      <c r="P2354" s="18" t="s">
        <v>1107</v>
      </c>
      <c r="Q2354" s="18">
        <v>0</v>
      </c>
      <c r="U2354" s="22">
        <v>0.88</v>
      </c>
      <c r="V2354" s="22">
        <f>3.78/5</f>
        <v>0.75600000000000001</v>
      </c>
      <c r="W2354" s="14" t="s">
        <v>8765</v>
      </c>
      <c r="X2354" s="3">
        <v>4</v>
      </c>
      <c r="Z2354" s="23">
        <v>8.5</v>
      </c>
      <c r="AB2354" s="18">
        <f t="shared" si="72"/>
        <v>2017</v>
      </c>
      <c r="AC2354" s="22">
        <f t="shared" si="73"/>
        <v>0.81199999999999994</v>
      </c>
    </row>
    <row r="2355" spans="1:29" ht="25.5">
      <c r="A2355" s="8" t="s">
        <v>7966</v>
      </c>
      <c r="B2355" s="17" t="s">
        <v>7760</v>
      </c>
      <c r="C2355" s="13">
        <v>42787</v>
      </c>
      <c r="D2355" s="13" t="s">
        <v>8465</v>
      </c>
      <c r="E2355" s="10" t="s">
        <v>1565</v>
      </c>
      <c r="F2355" s="10" t="s">
        <v>1471</v>
      </c>
      <c r="G2355" s="11" t="s">
        <v>7967</v>
      </c>
      <c r="H2355" s="2" t="s">
        <v>1059</v>
      </c>
      <c r="L2355" s="18">
        <v>1</v>
      </c>
      <c r="M2355" s="14" t="s">
        <v>8462</v>
      </c>
      <c r="N2355" s="13">
        <v>44880</v>
      </c>
      <c r="O2355" s="29">
        <v>66.08</v>
      </c>
      <c r="P2355" s="18" t="s">
        <v>14</v>
      </c>
      <c r="Q2355" s="18">
        <v>0</v>
      </c>
      <c r="U2355" s="22">
        <v>0.67469999999999997</v>
      </c>
      <c r="V2355" s="22">
        <f>3.75/5</f>
        <v>0.75</v>
      </c>
      <c r="X2355" s="3">
        <v>3</v>
      </c>
      <c r="Z2355" s="23">
        <v>15.5</v>
      </c>
      <c r="AB2355" s="18">
        <f t="shared" si="72"/>
        <v>2017</v>
      </c>
      <c r="AC2355" s="22">
        <f t="shared" si="73"/>
        <v>0.67490000000000006</v>
      </c>
    </row>
    <row r="2356" spans="1:29">
      <c r="A2356" s="8" t="s">
        <v>11275</v>
      </c>
      <c r="B2356" s="17" t="s">
        <v>7749</v>
      </c>
      <c r="C2356" s="13">
        <v>42782</v>
      </c>
      <c r="D2356" s="13" t="s">
        <v>8465</v>
      </c>
      <c r="E2356" s="10" t="s">
        <v>86</v>
      </c>
      <c r="F2356" s="10" t="s">
        <v>1138</v>
      </c>
      <c r="H2356" s="2" t="s">
        <v>1168</v>
      </c>
      <c r="L2356" s="18">
        <v>1</v>
      </c>
      <c r="N2356" s="13">
        <v>44626</v>
      </c>
      <c r="O2356" s="29">
        <v>7.99</v>
      </c>
      <c r="P2356" s="18" t="s">
        <v>1107</v>
      </c>
      <c r="Q2356" s="18">
        <v>0</v>
      </c>
      <c r="U2356" s="22">
        <v>0.64</v>
      </c>
      <c r="V2356" s="22">
        <f>4.03/5</f>
        <v>0.80600000000000005</v>
      </c>
      <c r="X2356" s="3">
        <v>2</v>
      </c>
      <c r="Z2356" s="23">
        <v>3.5</v>
      </c>
      <c r="AB2356" s="18">
        <f t="shared" si="72"/>
        <v>2017</v>
      </c>
      <c r="AC2356" s="22">
        <f t="shared" si="73"/>
        <v>0.6153333333333334</v>
      </c>
    </row>
    <row r="2357" spans="1:29" ht="25.5">
      <c r="A2357" s="8" t="s">
        <v>15250</v>
      </c>
      <c r="B2357" s="17" t="s">
        <v>7800</v>
      </c>
      <c r="C2357" s="13">
        <v>42782</v>
      </c>
      <c r="D2357" s="13" t="s">
        <v>8465</v>
      </c>
      <c r="E2357" s="10" t="s">
        <v>4216</v>
      </c>
      <c r="F2357" s="10" t="s">
        <v>15251</v>
      </c>
      <c r="G2357" s="11" t="s">
        <v>15252</v>
      </c>
      <c r="H2357" s="2" t="s">
        <v>255</v>
      </c>
      <c r="L2357" s="18">
        <v>1</v>
      </c>
      <c r="N2357" s="13">
        <v>45099</v>
      </c>
      <c r="O2357" s="29">
        <v>0</v>
      </c>
      <c r="P2357" s="18" t="s">
        <v>1107</v>
      </c>
      <c r="Q2357" s="18">
        <v>0</v>
      </c>
      <c r="U2357" s="22">
        <v>0.64</v>
      </c>
      <c r="V2357" s="22">
        <f>3.47/5</f>
        <v>0.69400000000000006</v>
      </c>
      <c r="W2357" s="14" t="s">
        <v>7097</v>
      </c>
      <c r="X2357" s="3">
        <v>2</v>
      </c>
      <c r="Z2357" s="23">
        <v>25.5</v>
      </c>
      <c r="AB2357" s="18">
        <f t="shared" si="72"/>
        <v>2017</v>
      </c>
      <c r="AC2357" s="22">
        <f t="shared" si="73"/>
        <v>0.57799999999999996</v>
      </c>
    </row>
    <row r="2358" spans="1:29">
      <c r="A2358" s="8" t="s">
        <v>4115</v>
      </c>
      <c r="B2358" s="17" t="s">
        <v>7800</v>
      </c>
      <c r="C2358" s="13">
        <v>42781</v>
      </c>
      <c r="D2358" s="13" t="s">
        <v>8465</v>
      </c>
      <c r="E2358" s="10" t="s">
        <v>4116</v>
      </c>
      <c r="F2358" s="10" t="s">
        <v>4116</v>
      </c>
      <c r="H2358" s="2" t="s">
        <v>3422</v>
      </c>
      <c r="L2358" s="18">
        <v>1</v>
      </c>
      <c r="N2358" s="13">
        <v>43371</v>
      </c>
      <c r="P2358" s="18" t="s">
        <v>1107</v>
      </c>
      <c r="Q2358" s="18">
        <v>0</v>
      </c>
      <c r="U2358" s="22">
        <v>0.77</v>
      </c>
      <c r="V2358" s="22">
        <f>3.56/5</f>
        <v>0.71199999999999997</v>
      </c>
      <c r="W2358" s="14" t="s">
        <v>7777</v>
      </c>
      <c r="X2358" s="3">
        <v>3</v>
      </c>
      <c r="Z2358" s="23">
        <v>3</v>
      </c>
      <c r="AB2358" s="18">
        <f t="shared" si="72"/>
        <v>2017</v>
      </c>
      <c r="AC2358" s="22">
        <f t="shared" si="73"/>
        <v>0.69399999999999995</v>
      </c>
    </row>
    <row r="2359" spans="1:29" ht="30">
      <c r="A2359" s="8" t="s">
        <v>5049</v>
      </c>
      <c r="B2359" s="17" t="s">
        <v>7800</v>
      </c>
      <c r="C2359" s="13">
        <v>42780</v>
      </c>
      <c r="D2359" s="13" t="s">
        <v>8465</v>
      </c>
      <c r="E2359" s="10" t="s">
        <v>3152</v>
      </c>
      <c r="F2359" s="10" t="s">
        <v>3152</v>
      </c>
      <c r="G2359" s="11" t="s">
        <v>5047</v>
      </c>
      <c r="H2359" s="2" t="s">
        <v>245</v>
      </c>
      <c r="L2359" s="18">
        <v>1</v>
      </c>
      <c r="N2359" s="13">
        <v>43317</v>
      </c>
      <c r="P2359" s="18" t="s">
        <v>1107</v>
      </c>
      <c r="Q2359" s="18">
        <v>0</v>
      </c>
      <c r="U2359" s="22">
        <v>0.8</v>
      </c>
      <c r="V2359" s="22">
        <f>3.68/5</f>
        <v>0.73599999999999999</v>
      </c>
      <c r="W2359" s="14" t="s">
        <v>7777</v>
      </c>
      <c r="X2359" s="3">
        <v>3</v>
      </c>
      <c r="Z2359" s="23">
        <v>10</v>
      </c>
      <c r="AB2359" s="18">
        <f t="shared" si="72"/>
        <v>2017</v>
      </c>
      <c r="AC2359" s="22">
        <f t="shared" si="73"/>
        <v>0.71200000000000008</v>
      </c>
    </row>
    <row r="2360" spans="1:29" ht="30">
      <c r="A2360" s="8" t="s">
        <v>7977</v>
      </c>
      <c r="B2360" s="17" t="s">
        <v>7800</v>
      </c>
      <c r="C2360" s="13">
        <v>42780</v>
      </c>
      <c r="D2360" s="13" t="s">
        <v>8465</v>
      </c>
      <c r="E2360" s="10" t="s">
        <v>1680</v>
      </c>
      <c r="F2360" s="10" t="s">
        <v>3861</v>
      </c>
      <c r="G2360" s="11" t="s">
        <v>3862</v>
      </c>
      <c r="H2360" s="2" t="s">
        <v>149</v>
      </c>
      <c r="L2360" s="18">
        <v>1</v>
      </c>
      <c r="N2360" s="13">
        <v>43761</v>
      </c>
      <c r="O2360" s="29">
        <v>0</v>
      </c>
      <c r="P2360" s="18" t="s">
        <v>1107</v>
      </c>
      <c r="Q2360" s="18">
        <v>0</v>
      </c>
      <c r="U2360" s="22">
        <v>0.55000000000000004</v>
      </c>
      <c r="V2360" s="22">
        <f>3.64/5</f>
        <v>0.72799999999999998</v>
      </c>
      <c r="W2360" s="14" t="s">
        <v>7777</v>
      </c>
      <c r="X2360" s="3">
        <v>3</v>
      </c>
      <c r="Z2360" s="23">
        <v>27.5</v>
      </c>
      <c r="AB2360" s="18">
        <f t="shared" si="72"/>
        <v>2017</v>
      </c>
      <c r="AC2360" s="22">
        <f t="shared" si="73"/>
        <v>0.626</v>
      </c>
    </row>
    <row r="2361" spans="1:29">
      <c r="A2361" s="8" t="s">
        <v>3346</v>
      </c>
      <c r="B2361" s="17" t="s">
        <v>7800</v>
      </c>
      <c r="C2361" s="13">
        <v>42774</v>
      </c>
      <c r="D2361" s="13" t="s">
        <v>8465</v>
      </c>
      <c r="E2361" s="10" t="s">
        <v>3345</v>
      </c>
      <c r="F2361" s="10" t="s">
        <v>3345</v>
      </c>
      <c r="G2361" s="11" t="s">
        <v>3344</v>
      </c>
      <c r="H2361" s="2" t="s">
        <v>147</v>
      </c>
      <c r="L2361" s="18">
        <v>1</v>
      </c>
      <c r="N2361" s="13">
        <v>43514</v>
      </c>
      <c r="P2361" s="18" t="s">
        <v>1107</v>
      </c>
      <c r="Q2361" s="18">
        <v>1</v>
      </c>
      <c r="R2361" s="13">
        <v>45256</v>
      </c>
      <c r="S2361" s="21">
        <f>53/60</f>
        <v>0.8833333333333333</v>
      </c>
      <c r="T2361" s="22">
        <v>0.5</v>
      </c>
      <c r="U2361" s="22">
        <v>0.85</v>
      </c>
      <c r="V2361" s="22">
        <f>3.83/5</f>
        <v>0.76600000000000001</v>
      </c>
      <c r="W2361" s="14" t="s">
        <v>7777</v>
      </c>
      <c r="AB2361" s="18">
        <f t="shared" si="72"/>
        <v>2017</v>
      </c>
      <c r="AC2361" s="22">
        <f t="shared" si="73"/>
        <v>0.70533333333333337</v>
      </c>
    </row>
    <row r="2362" spans="1:29">
      <c r="A2362" s="8" t="s">
        <v>8287</v>
      </c>
      <c r="B2362" s="17" t="s">
        <v>7800</v>
      </c>
      <c r="C2362" s="13">
        <v>42773</v>
      </c>
      <c r="D2362" s="13" t="s">
        <v>8465</v>
      </c>
      <c r="E2362" s="10" t="s">
        <v>3074</v>
      </c>
      <c r="F2362" s="10" t="s">
        <v>8288</v>
      </c>
      <c r="H2362" s="2" t="s">
        <v>64</v>
      </c>
      <c r="L2362" s="18">
        <v>1</v>
      </c>
      <c r="N2362" s="13">
        <v>43832</v>
      </c>
      <c r="O2362" s="29">
        <v>0</v>
      </c>
      <c r="P2362" s="18" t="s">
        <v>1107</v>
      </c>
      <c r="Q2362" s="18">
        <v>0</v>
      </c>
      <c r="U2362" s="22">
        <v>0.79</v>
      </c>
      <c r="V2362" s="22">
        <f>3.94/5</f>
        <v>0.78800000000000003</v>
      </c>
      <c r="W2362" s="14" t="s">
        <v>7799</v>
      </c>
      <c r="X2362" s="3">
        <v>3</v>
      </c>
      <c r="Z2362" s="23">
        <v>5</v>
      </c>
      <c r="AB2362" s="18">
        <f t="shared" si="72"/>
        <v>2017</v>
      </c>
      <c r="AC2362" s="22">
        <f t="shared" si="73"/>
        <v>0.72599999999999998</v>
      </c>
    </row>
    <row r="2363" spans="1:29">
      <c r="A2363" s="8" t="s">
        <v>11688</v>
      </c>
      <c r="B2363" s="17" t="s">
        <v>7800</v>
      </c>
      <c r="C2363" s="13">
        <v>42773</v>
      </c>
      <c r="D2363" s="13" t="s">
        <v>8465</v>
      </c>
      <c r="E2363" s="10" t="s">
        <v>1565</v>
      </c>
      <c r="F2363" s="10" t="s">
        <v>1566</v>
      </c>
      <c r="G2363" s="11" t="s">
        <v>11688</v>
      </c>
      <c r="H2363" s="2" t="s">
        <v>171</v>
      </c>
      <c r="L2363" s="18">
        <v>1</v>
      </c>
      <c r="N2363" s="13">
        <v>44681</v>
      </c>
      <c r="O2363" s="29">
        <v>14.99</v>
      </c>
      <c r="P2363" s="18" t="s">
        <v>1107</v>
      </c>
      <c r="Q2363" s="18">
        <v>0</v>
      </c>
      <c r="U2363" s="22">
        <v>0.64</v>
      </c>
      <c r="V2363" s="22">
        <f>3.57/5</f>
        <v>0.71399999999999997</v>
      </c>
      <c r="W2363" s="14" t="s">
        <v>7777</v>
      </c>
      <c r="X2363" s="3">
        <v>3</v>
      </c>
      <c r="Z2363" s="23">
        <v>15.5</v>
      </c>
      <c r="AB2363" s="18">
        <f t="shared" si="72"/>
        <v>2017</v>
      </c>
      <c r="AC2363" s="22">
        <f t="shared" si="73"/>
        <v>0.65133333333333343</v>
      </c>
    </row>
    <row r="2364" spans="1:29">
      <c r="A2364" s="8" t="s">
        <v>14270</v>
      </c>
      <c r="B2364" s="17" t="s">
        <v>7800</v>
      </c>
      <c r="C2364" s="13">
        <v>42770</v>
      </c>
      <c r="D2364" s="13" t="s">
        <v>8465</v>
      </c>
      <c r="E2364" s="10" t="s">
        <v>14271</v>
      </c>
      <c r="F2364" s="10" t="s">
        <v>14271</v>
      </c>
      <c r="H2364" s="2" t="s">
        <v>27</v>
      </c>
      <c r="L2364" s="18">
        <v>1</v>
      </c>
      <c r="O2364" s="29">
        <v>0</v>
      </c>
      <c r="P2364" s="18" t="s">
        <v>1107</v>
      </c>
      <c r="Q2364" s="18">
        <v>0</v>
      </c>
      <c r="W2364" s="14" t="s">
        <v>8765</v>
      </c>
      <c r="X2364" s="3">
        <v>2</v>
      </c>
      <c r="Z2364" s="23">
        <v>2</v>
      </c>
      <c r="AB2364" s="18">
        <f t="shared" si="72"/>
        <v>2017</v>
      </c>
      <c r="AC2364" s="22">
        <f t="shared" si="73"/>
        <v>0.4</v>
      </c>
    </row>
    <row r="2365" spans="1:29" ht="30">
      <c r="A2365" s="8" t="s">
        <v>11474</v>
      </c>
      <c r="B2365" s="17" t="s">
        <v>7749</v>
      </c>
      <c r="C2365" s="13">
        <v>42769</v>
      </c>
      <c r="D2365" s="13" t="s">
        <v>8465</v>
      </c>
      <c r="E2365" s="10" t="s">
        <v>86</v>
      </c>
      <c r="F2365" s="10" t="s">
        <v>1172</v>
      </c>
      <c r="G2365" s="11" t="s">
        <v>1173</v>
      </c>
      <c r="H2365" s="2" t="s">
        <v>64</v>
      </c>
      <c r="L2365" s="18">
        <v>1</v>
      </c>
      <c r="M2365" s="14" t="s">
        <v>11018</v>
      </c>
      <c r="N2365" s="13">
        <v>45018</v>
      </c>
      <c r="O2365" s="29">
        <v>36.5</v>
      </c>
      <c r="P2365" s="18" t="s">
        <v>14</v>
      </c>
      <c r="Q2365" s="18">
        <v>0</v>
      </c>
      <c r="U2365" s="22">
        <v>0.77</v>
      </c>
      <c r="V2365" s="22">
        <f>4.03/5</f>
        <v>0.80600000000000005</v>
      </c>
      <c r="X2365" s="3">
        <v>3</v>
      </c>
      <c r="Z2365" s="23">
        <v>9.5</v>
      </c>
      <c r="AB2365" s="18">
        <f t="shared" si="72"/>
        <v>2017</v>
      </c>
      <c r="AC2365" s="22">
        <f t="shared" si="73"/>
        <v>0.72533333333333339</v>
      </c>
    </row>
    <row r="2366" spans="1:29">
      <c r="A2366" s="8" t="s">
        <v>9191</v>
      </c>
      <c r="B2366" s="17" t="s">
        <v>7800</v>
      </c>
      <c r="C2366" s="13">
        <v>42769</v>
      </c>
      <c r="D2366" s="13" t="s">
        <v>8465</v>
      </c>
      <c r="E2366" s="10" t="s">
        <v>5548</v>
      </c>
      <c r="F2366" s="10" t="s">
        <v>5548</v>
      </c>
      <c r="G2366" s="11" t="s">
        <v>9191</v>
      </c>
      <c r="H2366" s="2" t="s">
        <v>1061</v>
      </c>
      <c r="L2366" s="18">
        <v>1</v>
      </c>
      <c r="P2366" s="18" t="s">
        <v>1107</v>
      </c>
      <c r="Q2366" s="18">
        <v>0</v>
      </c>
      <c r="V2366" s="22">
        <f>3.47/5</f>
        <v>0.69400000000000006</v>
      </c>
      <c r="W2366" s="14" t="s">
        <v>7777</v>
      </c>
      <c r="X2366" s="3">
        <v>2</v>
      </c>
      <c r="Z2366" s="23">
        <v>2</v>
      </c>
      <c r="AB2366" s="18">
        <f t="shared" si="72"/>
        <v>2017</v>
      </c>
      <c r="AC2366" s="22">
        <f t="shared" si="73"/>
        <v>0.54700000000000004</v>
      </c>
    </row>
    <row r="2367" spans="1:29">
      <c r="A2367" s="8" t="s">
        <v>7051</v>
      </c>
      <c r="B2367" s="17" t="s">
        <v>7800</v>
      </c>
      <c r="C2367" s="13">
        <v>42767</v>
      </c>
      <c r="D2367" s="13" t="s">
        <v>8465</v>
      </c>
      <c r="E2367" s="10" t="s">
        <v>7052</v>
      </c>
      <c r="F2367" s="10" t="s">
        <v>7052</v>
      </c>
      <c r="H2367" s="2" t="s">
        <v>1040</v>
      </c>
      <c r="L2367" s="18">
        <v>1</v>
      </c>
      <c r="O2367" s="29">
        <v>0</v>
      </c>
      <c r="P2367" s="18" t="s">
        <v>1107</v>
      </c>
      <c r="Q2367" s="18">
        <v>0</v>
      </c>
      <c r="U2367" s="22">
        <v>0.75</v>
      </c>
      <c r="V2367" s="22">
        <f>3.91/5</f>
        <v>0.78200000000000003</v>
      </c>
      <c r="W2367" s="14" t="s">
        <v>7799</v>
      </c>
      <c r="X2367" s="3">
        <v>2</v>
      </c>
      <c r="Z2367" s="23">
        <v>5.5</v>
      </c>
      <c r="AB2367" s="18">
        <f t="shared" si="72"/>
        <v>2017</v>
      </c>
      <c r="AC2367" s="22">
        <f t="shared" si="73"/>
        <v>0.64400000000000002</v>
      </c>
    </row>
    <row r="2368" spans="1:29">
      <c r="A2368" s="8" t="s">
        <v>4117</v>
      </c>
      <c r="B2368" s="17" t="s">
        <v>7800</v>
      </c>
      <c r="C2368" s="13">
        <v>42766</v>
      </c>
      <c r="D2368" s="13" t="s">
        <v>8465</v>
      </c>
      <c r="E2368" s="10" t="s">
        <v>1082</v>
      </c>
      <c r="F2368" s="10" t="s">
        <v>4118</v>
      </c>
      <c r="G2368" s="11" t="s">
        <v>4117</v>
      </c>
      <c r="H2368" s="2" t="s">
        <v>245</v>
      </c>
      <c r="L2368" s="18">
        <v>1</v>
      </c>
      <c r="N2368" s="13">
        <v>43400</v>
      </c>
      <c r="P2368" s="18" t="s">
        <v>1107</v>
      </c>
      <c r="Q2368" s="18">
        <v>0</v>
      </c>
      <c r="U2368" s="22">
        <v>0.86</v>
      </c>
      <c r="V2368" s="22">
        <f>3.81/5</f>
        <v>0.76200000000000001</v>
      </c>
      <c r="W2368" s="14" t="s">
        <v>7777</v>
      </c>
      <c r="X2368" s="3">
        <v>4</v>
      </c>
      <c r="Z2368" s="23">
        <v>10.5</v>
      </c>
      <c r="AB2368" s="18">
        <f t="shared" si="72"/>
        <v>2017</v>
      </c>
      <c r="AC2368" s="22">
        <f t="shared" si="73"/>
        <v>0.80733333333333324</v>
      </c>
    </row>
    <row r="2369" spans="1:29">
      <c r="A2369" s="8" t="s">
        <v>5385</v>
      </c>
      <c r="B2369" s="17" t="s">
        <v>7800</v>
      </c>
      <c r="C2369" s="13">
        <v>42766</v>
      </c>
      <c r="D2369" s="13" t="s">
        <v>8465</v>
      </c>
      <c r="E2369" s="10" t="s">
        <v>5386</v>
      </c>
      <c r="F2369" s="10" t="s">
        <v>5386</v>
      </c>
      <c r="H2369" s="2" t="s">
        <v>143</v>
      </c>
      <c r="L2369" s="18">
        <v>1</v>
      </c>
      <c r="N2369" s="13">
        <v>43454</v>
      </c>
      <c r="O2369" s="29">
        <v>1.99</v>
      </c>
      <c r="P2369" s="18" t="s">
        <v>1107</v>
      </c>
      <c r="Q2369" s="18">
        <v>0</v>
      </c>
      <c r="V2369" s="22">
        <f>3.72/5</f>
        <v>0.74399999999999999</v>
      </c>
      <c r="W2369" s="14" t="s">
        <v>7777</v>
      </c>
      <c r="X2369" s="3">
        <v>3</v>
      </c>
      <c r="Z2369" s="23">
        <v>2.5</v>
      </c>
      <c r="AB2369" s="18">
        <f t="shared" ref="AB2369:AB2432" si="74">IFERROR(YEAR(C2369), "Early Access")</f>
        <v>2017</v>
      </c>
      <c r="AC2369" s="22">
        <f t="shared" ref="AC2369:AC2432" si="75">AVERAGE(T2369, U2369, V2369, IF(ISBLANK(X2369), X2369, X2369/5))</f>
        <v>0.67199999999999993</v>
      </c>
    </row>
    <row r="2370" spans="1:29" ht="25.5">
      <c r="A2370" s="8" t="s">
        <v>11814</v>
      </c>
      <c r="B2370" s="17" t="s">
        <v>7763</v>
      </c>
      <c r="C2370" s="13">
        <v>42766</v>
      </c>
      <c r="D2370" s="13" t="s">
        <v>8465</v>
      </c>
      <c r="E2370" s="10" t="s">
        <v>1565</v>
      </c>
      <c r="F2370" s="10" t="s">
        <v>1471</v>
      </c>
      <c r="G2370" s="11" t="s">
        <v>7935</v>
      </c>
      <c r="H2370" s="2" t="s">
        <v>75</v>
      </c>
      <c r="L2370" s="18">
        <v>1</v>
      </c>
      <c r="N2370" s="13">
        <v>45021</v>
      </c>
      <c r="O2370" s="29">
        <v>39.99</v>
      </c>
      <c r="P2370" s="18" t="s">
        <v>1107</v>
      </c>
      <c r="Q2370" s="18">
        <v>0</v>
      </c>
      <c r="U2370" s="22">
        <v>0.62</v>
      </c>
      <c r="V2370" s="22">
        <f>3.5/5</f>
        <v>0.7</v>
      </c>
      <c r="X2370" s="3">
        <v>3</v>
      </c>
      <c r="Z2370" s="23">
        <v>45</v>
      </c>
      <c r="AB2370" s="18">
        <f t="shared" si="74"/>
        <v>2017</v>
      </c>
      <c r="AC2370" s="22">
        <f t="shared" si="75"/>
        <v>0.64</v>
      </c>
    </row>
    <row r="2371" spans="1:29" ht="30">
      <c r="A2371" s="8" t="s">
        <v>5240</v>
      </c>
      <c r="B2371" s="17" t="s">
        <v>7800</v>
      </c>
      <c r="C2371" s="13">
        <v>42762</v>
      </c>
      <c r="D2371" s="13" t="s">
        <v>8465</v>
      </c>
      <c r="E2371" s="10" t="s">
        <v>1604</v>
      </c>
      <c r="F2371" s="10" t="s">
        <v>1614</v>
      </c>
      <c r="G2371" s="11" t="s">
        <v>1422</v>
      </c>
      <c r="H2371" s="2" t="s">
        <v>171</v>
      </c>
      <c r="L2371" s="18">
        <v>1</v>
      </c>
      <c r="N2371" s="13">
        <v>43317</v>
      </c>
      <c r="P2371" s="18" t="s">
        <v>1107</v>
      </c>
      <c r="Q2371" s="18">
        <v>0</v>
      </c>
      <c r="U2371" s="22">
        <v>0.84</v>
      </c>
      <c r="V2371" s="22">
        <f>4.11/5</f>
        <v>0.82200000000000006</v>
      </c>
      <c r="W2371" s="14" t="s">
        <v>7777</v>
      </c>
      <c r="X2371" s="3">
        <v>4</v>
      </c>
      <c r="Z2371" s="23">
        <v>44.5</v>
      </c>
      <c r="AB2371" s="18">
        <f t="shared" si="74"/>
        <v>2017</v>
      </c>
      <c r="AC2371" s="22">
        <f t="shared" si="75"/>
        <v>0.82066666666666654</v>
      </c>
    </row>
    <row r="2372" spans="1:29">
      <c r="A2372" s="8" t="s">
        <v>8319</v>
      </c>
      <c r="B2372" s="17" t="s">
        <v>7800</v>
      </c>
      <c r="C2372" s="13">
        <v>42762</v>
      </c>
      <c r="D2372" s="13" t="s">
        <v>8465</v>
      </c>
      <c r="E2372" s="10" t="s">
        <v>3767</v>
      </c>
      <c r="F2372" s="10" t="s">
        <v>3767</v>
      </c>
      <c r="G2372" s="11" t="s">
        <v>3768</v>
      </c>
      <c r="H2372" s="2" t="s">
        <v>69</v>
      </c>
      <c r="L2372" s="18">
        <v>1</v>
      </c>
      <c r="N2372" s="13">
        <v>43860</v>
      </c>
      <c r="O2372" s="29">
        <v>0</v>
      </c>
      <c r="P2372" s="18" t="s">
        <v>1107</v>
      </c>
      <c r="Q2372" s="18">
        <v>0</v>
      </c>
      <c r="V2372" s="22">
        <f>2.5/5</f>
        <v>0.5</v>
      </c>
      <c r="W2372" s="14" t="s">
        <v>7777</v>
      </c>
      <c r="X2372" s="3">
        <v>2</v>
      </c>
      <c r="AB2372" s="18">
        <f t="shared" si="74"/>
        <v>2017</v>
      </c>
      <c r="AC2372" s="22">
        <f t="shared" si="75"/>
        <v>0.45</v>
      </c>
    </row>
    <row r="2373" spans="1:29">
      <c r="A2373" s="8" t="s">
        <v>3073</v>
      </c>
      <c r="B2373" s="17" t="s">
        <v>7800</v>
      </c>
      <c r="C2373" s="13">
        <v>42761</v>
      </c>
      <c r="D2373" s="13" t="s">
        <v>8465</v>
      </c>
      <c r="E2373" s="10" t="s">
        <v>3074</v>
      </c>
      <c r="F2373" s="10" t="s">
        <v>3075</v>
      </c>
      <c r="G2373" s="11" t="s">
        <v>8115</v>
      </c>
      <c r="H2373" s="2" t="s">
        <v>67</v>
      </c>
      <c r="L2373" s="18">
        <v>1</v>
      </c>
      <c r="N2373" s="13">
        <v>43363</v>
      </c>
      <c r="O2373" s="29">
        <v>2.09</v>
      </c>
      <c r="P2373" s="18" t="s">
        <v>1107</v>
      </c>
      <c r="Q2373" s="18">
        <v>0</v>
      </c>
      <c r="U2373" s="22">
        <v>0.74</v>
      </c>
      <c r="V2373" s="22">
        <f>3.6/5</f>
        <v>0.72</v>
      </c>
      <c r="W2373" s="14" t="s">
        <v>7777</v>
      </c>
      <c r="X2373" s="3">
        <v>3</v>
      </c>
      <c r="Z2373" s="23">
        <v>1.5</v>
      </c>
      <c r="AB2373" s="18">
        <f t="shared" si="74"/>
        <v>2017</v>
      </c>
      <c r="AC2373" s="22">
        <f t="shared" si="75"/>
        <v>0.68666666666666665</v>
      </c>
    </row>
    <row r="2374" spans="1:29">
      <c r="A2374" s="8" t="s">
        <v>4387</v>
      </c>
      <c r="B2374" s="17" t="s">
        <v>7800</v>
      </c>
      <c r="C2374" s="13">
        <v>42761</v>
      </c>
      <c r="D2374" s="13" t="s">
        <v>8465</v>
      </c>
      <c r="E2374" s="10" t="s">
        <v>4388</v>
      </c>
      <c r="F2374" s="10" t="s">
        <v>4389</v>
      </c>
      <c r="H2374" s="2" t="s">
        <v>67</v>
      </c>
      <c r="L2374" s="18">
        <v>1</v>
      </c>
      <c r="N2374" s="13">
        <v>43459</v>
      </c>
      <c r="O2374" s="29">
        <v>1.99</v>
      </c>
      <c r="P2374" s="18" t="s">
        <v>1107</v>
      </c>
      <c r="Q2374" s="18">
        <v>0</v>
      </c>
      <c r="U2374" s="22">
        <v>0.74</v>
      </c>
      <c r="V2374" s="22">
        <f>2.33/5</f>
        <v>0.46600000000000003</v>
      </c>
      <c r="W2374" s="14" t="s">
        <v>7777</v>
      </c>
      <c r="X2374" s="3">
        <v>3</v>
      </c>
      <c r="Z2374" s="23">
        <v>5</v>
      </c>
      <c r="AB2374" s="18">
        <f t="shared" si="74"/>
        <v>2017</v>
      </c>
      <c r="AC2374" s="22">
        <f t="shared" si="75"/>
        <v>0.60199999999999998</v>
      </c>
    </row>
    <row r="2375" spans="1:29" ht="30">
      <c r="A2375" s="8" t="s">
        <v>6139</v>
      </c>
      <c r="B2375" s="17" t="s">
        <v>7760</v>
      </c>
      <c r="C2375" s="13">
        <v>42759</v>
      </c>
      <c r="D2375" s="13" t="s">
        <v>8465</v>
      </c>
      <c r="E2375" s="10" t="s">
        <v>1082</v>
      </c>
      <c r="F2375" s="10" t="s">
        <v>6140</v>
      </c>
      <c r="G2375" s="11" t="s">
        <v>1957</v>
      </c>
      <c r="H2375" s="2" t="s">
        <v>171</v>
      </c>
      <c r="L2375" s="18">
        <v>1</v>
      </c>
      <c r="M2375" s="14" t="s">
        <v>8462</v>
      </c>
      <c r="N2375" s="13">
        <v>43504</v>
      </c>
      <c r="O2375" s="29">
        <v>24.99</v>
      </c>
      <c r="P2375" s="18" t="s">
        <v>14</v>
      </c>
      <c r="Q2375" s="18">
        <v>0</v>
      </c>
      <c r="U2375" s="22">
        <v>0.77</v>
      </c>
      <c r="V2375" s="22">
        <f>4.03/5</f>
        <v>0.80600000000000005</v>
      </c>
      <c r="X2375" s="3">
        <v>3</v>
      </c>
      <c r="Z2375" s="23">
        <v>16.5</v>
      </c>
      <c r="AB2375" s="18">
        <f t="shared" si="74"/>
        <v>2017</v>
      </c>
      <c r="AC2375" s="22">
        <f t="shared" si="75"/>
        <v>0.72533333333333339</v>
      </c>
    </row>
    <row r="2376" spans="1:29" ht="25.5">
      <c r="A2376" s="8" t="s">
        <v>4813</v>
      </c>
      <c r="B2376" s="17" t="s">
        <v>7760</v>
      </c>
      <c r="C2376" s="13">
        <v>42759</v>
      </c>
      <c r="D2376" s="13" t="s">
        <v>8465</v>
      </c>
      <c r="E2376" s="10" t="s">
        <v>73</v>
      </c>
      <c r="F2376" s="10" t="s">
        <v>73</v>
      </c>
      <c r="G2376" s="11" t="s">
        <v>943</v>
      </c>
      <c r="H2376" s="2" t="s">
        <v>1061</v>
      </c>
      <c r="I2376" s="18">
        <v>1</v>
      </c>
      <c r="L2376" s="18">
        <v>1</v>
      </c>
      <c r="M2376" s="14" t="s">
        <v>8462</v>
      </c>
      <c r="N2376" s="13">
        <v>44851</v>
      </c>
      <c r="O2376" s="29">
        <v>16.82</v>
      </c>
      <c r="P2376" s="18" t="s">
        <v>14</v>
      </c>
      <c r="Q2376" s="18">
        <v>0</v>
      </c>
      <c r="U2376" s="22">
        <v>0.86</v>
      </c>
      <c r="V2376" s="22">
        <f>3.99/5</f>
        <v>0.79800000000000004</v>
      </c>
      <c r="X2376" s="3">
        <v>2</v>
      </c>
      <c r="Z2376" s="23">
        <v>9.5</v>
      </c>
      <c r="AB2376" s="18">
        <f t="shared" si="74"/>
        <v>2017</v>
      </c>
      <c r="AC2376" s="22">
        <f t="shared" si="75"/>
        <v>0.68599999999999994</v>
      </c>
    </row>
    <row r="2377" spans="1:29" ht="38.25">
      <c r="A2377" s="8" t="s">
        <v>5806</v>
      </c>
      <c r="B2377" s="17" t="s">
        <v>7749</v>
      </c>
      <c r="C2377" s="13">
        <v>42755</v>
      </c>
      <c r="D2377" s="13" t="s">
        <v>8465</v>
      </c>
      <c r="E2377" s="10" t="s">
        <v>1082</v>
      </c>
      <c r="F2377" s="10" t="s">
        <v>1082</v>
      </c>
      <c r="G2377" s="11" t="s">
        <v>140</v>
      </c>
      <c r="H2377" s="2" t="s">
        <v>149</v>
      </c>
      <c r="L2377" s="18">
        <v>1</v>
      </c>
      <c r="N2377" s="13">
        <v>44075</v>
      </c>
      <c r="O2377" s="29">
        <v>27.99</v>
      </c>
      <c r="P2377" s="18" t="s">
        <v>1107</v>
      </c>
      <c r="Q2377" s="18">
        <v>0</v>
      </c>
      <c r="U2377" s="22">
        <v>0.85</v>
      </c>
      <c r="V2377" s="22">
        <f>4.36/5</f>
        <v>0.87200000000000011</v>
      </c>
      <c r="X2377" s="3">
        <v>4</v>
      </c>
      <c r="Z2377" s="23">
        <v>62</v>
      </c>
      <c r="AB2377" s="18">
        <f t="shared" si="74"/>
        <v>2017</v>
      </c>
      <c r="AC2377" s="22">
        <f t="shared" si="75"/>
        <v>0.84066666666666678</v>
      </c>
    </row>
    <row r="2378" spans="1:29" ht="30">
      <c r="A2378" s="8" t="s">
        <v>6131</v>
      </c>
      <c r="B2378" s="17" t="s">
        <v>7760</v>
      </c>
      <c r="C2378" s="13">
        <v>42755</v>
      </c>
      <c r="D2378" s="13" t="s">
        <v>8465</v>
      </c>
      <c r="E2378" s="10" t="s">
        <v>6107</v>
      </c>
      <c r="F2378" s="10" t="s">
        <v>6034</v>
      </c>
      <c r="G2378" s="11" t="s">
        <v>6132</v>
      </c>
      <c r="H2378" s="2" t="s">
        <v>80</v>
      </c>
      <c r="L2378" s="18">
        <v>1</v>
      </c>
      <c r="M2378" s="14" t="s">
        <v>8462</v>
      </c>
      <c r="N2378" s="13">
        <v>43553</v>
      </c>
      <c r="P2378" s="18" t="s">
        <v>14</v>
      </c>
      <c r="Q2378" s="18">
        <v>0</v>
      </c>
      <c r="U2378" s="22">
        <v>0.8</v>
      </c>
      <c r="V2378" s="22">
        <f>4.05/5</f>
        <v>0.80999999999999994</v>
      </c>
      <c r="X2378" s="3">
        <v>3</v>
      </c>
      <c r="Z2378" s="23">
        <v>20</v>
      </c>
      <c r="AB2378" s="18">
        <f t="shared" si="74"/>
        <v>2017</v>
      </c>
      <c r="AC2378" s="22">
        <f t="shared" si="75"/>
        <v>0.73666666666666669</v>
      </c>
    </row>
    <row r="2379" spans="1:29">
      <c r="A2379" s="8" t="s">
        <v>4125</v>
      </c>
      <c r="B2379" s="17" t="s">
        <v>7800</v>
      </c>
      <c r="C2379" s="13">
        <v>42753</v>
      </c>
      <c r="D2379" s="13" t="s">
        <v>8465</v>
      </c>
      <c r="E2379" s="10" t="s">
        <v>4126</v>
      </c>
      <c r="F2379" s="10" t="s">
        <v>4126</v>
      </c>
      <c r="H2379" s="2" t="s">
        <v>56</v>
      </c>
      <c r="L2379" s="18">
        <v>1</v>
      </c>
      <c r="N2379" s="13">
        <v>43320</v>
      </c>
      <c r="P2379" s="18" t="s">
        <v>1107</v>
      </c>
      <c r="Q2379" s="18">
        <v>0</v>
      </c>
      <c r="U2379" s="22">
        <v>0.75</v>
      </c>
      <c r="V2379" s="22">
        <f>3.94/5</f>
        <v>0.78800000000000003</v>
      </c>
      <c r="W2379" s="14" t="s">
        <v>7777</v>
      </c>
      <c r="X2379" s="3">
        <v>3</v>
      </c>
      <c r="Z2379" s="23">
        <v>12</v>
      </c>
      <c r="AB2379" s="18">
        <f t="shared" si="74"/>
        <v>2017</v>
      </c>
      <c r="AC2379" s="22">
        <f t="shared" si="75"/>
        <v>0.71266666666666667</v>
      </c>
    </row>
    <row r="2380" spans="1:29" ht="25.5">
      <c r="A2380" s="8" t="s">
        <v>9232</v>
      </c>
      <c r="B2380" s="17" t="s">
        <v>7763</v>
      </c>
      <c r="C2380" s="13">
        <v>42752</v>
      </c>
      <c r="D2380" s="13" t="s">
        <v>8465</v>
      </c>
      <c r="E2380" s="10" t="s">
        <v>1534</v>
      </c>
      <c r="F2380" s="10" t="s">
        <v>5025</v>
      </c>
      <c r="G2380" s="11" t="s">
        <v>8439</v>
      </c>
      <c r="H2380" s="2" t="s">
        <v>1059</v>
      </c>
      <c r="L2380" s="18">
        <v>1</v>
      </c>
      <c r="M2380" s="14" t="s">
        <v>8462</v>
      </c>
      <c r="N2380" s="13">
        <v>44068</v>
      </c>
      <c r="O2380" s="29">
        <v>21.3</v>
      </c>
      <c r="P2380" s="18" t="s">
        <v>14</v>
      </c>
      <c r="Q2380" s="18">
        <v>0</v>
      </c>
      <c r="V2380" s="22">
        <f>3.84/5</f>
        <v>0.76800000000000002</v>
      </c>
      <c r="X2380" s="3">
        <v>3</v>
      </c>
      <c r="Z2380" s="23">
        <v>20.5</v>
      </c>
      <c r="AB2380" s="18">
        <f t="shared" si="74"/>
        <v>2017</v>
      </c>
      <c r="AC2380" s="22">
        <f t="shared" si="75"/>
        <v>0.68399999999999994</v>
      </c>
    </row>
    <row r="2381" spans="1:29" ht="25.5">
      <c r="A2381" s="8" t="s">
        <v>4981</v>
      </c>
      <c r="B2381" s="17" t="s">
        <v>7800</v>
      </c>
      <c r="C2381" s="13">
        <v>42752</v>
      </c>
      <c r="D2381" s="13" t="s">
        <v>8465</v>
      </c>
      <c r="E2381" s="10" t="s">
        <v>4982</v>
      </c>
      <c r="F2381" s="10" t="s">
        <v>4983</v>
      </c>
      <c r="H2381" s="2" t="s">
        <v>78</v>
      </c>
      <c r="L2381" s="18">
        <v>1</v>
      </c>
      <c r="N2381" s="13">
        <v>43565</v>
      </c>
      <c r="O2381" s="29">
        <v>0</v>
      </c>
      <c r="P2381" s="18" t="s">
        <v>1107</v>
      </c>
      <c r="Q2381" s="18">
        <v>0</v>
      </c>
      <c r="U2381" s="22">
        <v>0.8</v>
      </c>
      <c r="V2381" s="22">
        <f>3.36/5</f>
        <v>0.67199999999999993</v>
      </c>
      <c r="W2381" s="14" t="s">
        <v>7777</v>
      </c>
      <c r="X2381" s="3">
        <v>3</v>
      </c>
      <c r="Z2381" s="23">
        <v>4</v>
      </c>
      <c r="AB2381" s="18">
        <f t="shared" si="74"/>
        <v>2017</v>
      </c>
      <c r="AC2381" s="22">
        <f t="shared" si="75"/>
        <v>0.69066666666666665</v>
      </c>
    </row>
    <row r="2382" spans="1:29">
      <c r="A2382" s="8" t="s">
        <v>3643</v>
      </c>
      <c r="B2382" s="17" t="s">
        <v>7800</v>
      </c>
      <c r="C2382" s="13">
        <v>42748</v>
      </c>
      <c r="D2382" s="13" t="s">
        <v>8465</v>
      </c>
      <c r="E2382" s="10" t="s">
        <v>3644</v>
      </c>
      <c r="F2382" s="10" t="s">
        <v>3644</v>
      </c>
      <c r="H2382" s="2" t="s">
        <v>1061</v>
      </c>
      <c r="L2382" s="18">
        <v>1</v>
      </c>
      <c r="N2382" s="13">
        <v>43333</v>
      </c>
      <c r="P2382" s="18" t="s">
        <v>1107</v>
      </c>
      <c r="Q2382" s="18">
        <v>0</v>
      </c>
      <c r="U2382" s="22">
        <v>0.84</v>
      </c>
      <c r="V2382" s="22">
        <f>3.72/5</f>
        <v>0.74399999999999999</v>
      </c>
      <c r="W2382" s="14" t="s">
        <v>7777</v>
      </c>
      <c r="X2382" s="3">
        <v>3</v>
      </c>
      <c r="Z2382" s="23">
        <v>3</v>
      </c>
      <c r="AB2382" s="18">
        <f t="shared" si="74"/>
        <v>2017</v>
      </c>
      <c r="AC2382" s="22">
        <f t="shared" si="75"/>
        <v>0.72800000000000009</v>
      </c>
    </row>
    <row r="2383" spans="1:29">
      <c r="A2383" s="8" t="s">
        <v>14551</v>
      </c>
      <c r="B2383" s="17" t="s">
        <v>7800</v>
      </c>
      <c r="C2383" s="13">
        <v>42740</v>
      </c>
      <c r="D2383" s="13" t="s">
        <v>8465</v>
      </c>
      <c r="E2383" s="10" t="s">
        <v>14552</v>
      </c>
      <c r="F2383" s="10" t="s">
        <v>14552</v>
      </c>
      <c r="H2383" s="2" t="s">
        <v>78</v>
      </c>
      <c r="L2383" s="18">
        <v>1</v>
      </c>
      <c r="N2383" s="13">
        <v>45043</v>
      </c>
      <c r="O2383" s="29">
        <v>4.8899999999999997</v>
      </c>
      <c r="P2383" s="18" t="s">
        <v>1107</v>
      </c>
      <c r="Q2383" s="18">
        <v>0</v>
      </c>
      <c r="V2383" s="22">
        <f>4/5</f>
        <v>0.8</v>
      </c>
      <c r="X2383" s="3">
        <v>3</v>
      </c>
      <c r="Z2383" s="23">
        <v>32.5</v>
      </c>
      <c r="AB2383" s="18">
        <f t="shared" si="74"/>
        <v>2017</v>
      </c>
      <c r="AC2383" s="22">
        <f t="shared" si="75"/>
        <v>0.7</v>
      </c>
    </row>
    <row r="2384" spans="1:29" ht="25.5">
      <c r="A2384" s="8" t="s">
        <v>8866</v>
      </c>
      <c r="B2384" s="17" t="s">
        <v>7800</v>
      </c>
      <c r="C2384" s="13">
        <v>42739</v>
      </c>
      <c r="D2384" s="13" t="s">
        <v>8465</v>
      </c>
      <c r="E2384" s="10" t="s">
        <v>8867</v>
      </c>
      <c r="F2384" s="10" t="s">
        <v>8868</v>
      </c>
      <c r="H2384" s="2" t="s">
        <v>67</v>
      </c>
      <c r="L2384" s="18">
        <v>1</v>
      </c>
      <c r="N2384" s="13">
        <v>43987</v>
      </c>
      <c r="O2384" s="29">
        <v>0</v>
      </c>
      <c r="P2384" s="18" t="s">
        <v>1107</v>
      </c>
      <c r="Q2384" s="18">
        <v>0</v>
      </c>
      <c r="U2384" s="22">
        <v>0.74</v>
      </c>
      <c r="V2384" s="22">
        <f>3.7/5</f>
        <v>0.74</v>
      </c>
      <c r="W2384" s="14" t="s">
        <v>8765</v>
      </c>
      <c r="X2384" s="3">
        <v>3</v>
      </c>
      <c r="Z2384" s="23">
        <v>2</v>
      </c>
      <c r="AB2384" s="18">
        <f t="shared" si="74"/>
        <v>2017</v>
      </c>
      <c r="AC2384" s="22">
        <f t="shared" si="75"/>
        <v>0.69333333333333336</v>
      </c>
    </row>
    <row r="2385" spans="1:29">
      <c r="A2385" s="8" t="s">
        <v>10659</v>
      </c>
      <c r="B2385" s="17" t="s">
        <v>7781</v>
      </c>
      <c r="C2385" s="24">
        <v>42736</v>
      </c>
      <c r="D2385" s="13" t="s">
        <v>8465</v>
      </c>
      <c r="E2385" s="10" t="s">
        <v>10662</v>
      </c>
      <c r="F2385" s="10" t="s">
        <v>10662</v>
      </c>
      <c r="H2385" s="2" t="s">
        <v>2820</v>
      </c>
      <c r="L2385" s="18">
        <v>0</v>
      </c>
      <c r="Q2385" s="18">
        <v>0</v>
      </c>
      <c r="W2385" s="15" t="str">
        <f>HYPERLINK("https://hairnah.com/", "Link")</f>
        <v>Link</v>
      </c>
      <c r="X2385" s="3">
        <v>3</v>
      </c>
      <c r="AB2385" s="18">
        <f t="shared" si="74"/>
        <v>2017</v>
      </c>
      <c r="AC2385" s="22">
        <f t="shared" si="75"/>
        <v>0.6</v>
      </c>
    </row>
    <row r="2386" spans="1:29" ht="30">
      <c r="A2386" s="8" t="s">
        <v>8599</v>
      </c>
      <c r="B2386" s="17" t="s">
        <v>7744</v>
      </c>
      <c r="C2386" s="13">
        <v>43090</v>
      </c>
      <c r="D2386" s="13" t="s">
        <v>8465</v>
      </c>
      <c r="E2386" s="10" t="s">
        <v>4566</v>
      </c>
      <c r="F2386" s="10" t="s">
        <v>4836</v>
      </c>
      <c r="G2386" s="11" t="s">
        <v>13332</v>
      </c>
      <c r="H2386" s="2" t="s">
        <v>80</v>
      </c>
      <c r="L2386" s="18">
        <v>1</v>
      </c>
      <c r="M2386" s="14" t="s">
        <v>8462</v>
      </c>
      <c r="N2386" s="13">
        <v>43944</v>
      </c>
      <c r="O2386" s="29">
        <v>35.43</v>
      </c>
      <c r="P2386" s="18" t="s">
        <v>14</v>
      </c>
      <c r="Q2386" s="18">
        <v>1</v>
      </c>
      <c r="R2386" s="13">
        <v>44943</v>
      </c>
      <c r="S2386" s="21">
        <f>6+6/60+28/3600</f>
        <v>6.1077777777777778</v>
      </c>
      <c r="T2386" s="22">
        <v>0.6</v>
      </c>
      <c r="U2386" s="22">
        <v>0.8</v>
      </c>
      <c r="V2386" s="22">
        <f>3.86/5</f>
        <v>0.77200000000000002</v>
      </c>
      <c r="W2386" s="14" t="s">
        <v>1134</v>
      </c>
      <c r="AB2386" s="18">
        <f t="shared" si="74"/>
        <v>2017</v>
      </c>
      <c r="AC2386" s="22">
        <f t="shared" si="75"/>
        <v>0.72399999999999987</v>
      </c>
    </row>
    <row r="2387" spans="1:29" ht="25.5">
      <c r="A2387" s="8" t="s">
        <v>4322</v>
      </c>
      <c r="B2387" s="17" t="s">
        <v>7800</v>
      </c>
      <c r="C2387" s="13">
        <v>43089</v>
      </c>
      <c r="D2387" s="13" t="s">
        <v>8465</v>
      </c>
      <c r="E2387" s="10" t="s">
        <v>1082</v>
      </c>
      <c r="F2387" s="10" t="s">
        <v>4323</v>
      </c>
      <c r="G2387" s="11" t="s">
        <v>4320</v>
      </c>
      <c r="H2387" s="2" t="s">
        <v>67</v>
      </c>
      <c r="L2387" s="18">
        <v>1</v>
      </c>
      <c r="N2387" s="13">
        <v>43332</v>
      </c>
      <c r="O2387" s="29">
        <v>6.79</v>
      </c>
      <c r="P2387" s="18" t="s">
        <v>1107</v>
      </c>
      <c r="Q2387" s="18">
        <v>1</v>
      </c>
      <c r="R2387" s="13">
        <v>44935</v>
      </c>
      <c r="S2387" s="21">
        <f>8+49/60</f>
        <v>8.8166666666666664</v>
      </c>
      <c r="T2387" s="22">
        <v>0.5</v>
      </c>
      <c r="U2387" s="22">
        <v>0.73</v>
      </c>
      <c r="V2387" s="22">
        <f>3.62/5</f>
        <v>0.72399999999999998</v>
      </c>
      <c r="W2387" s="14" t="s">
        <v>7777</v>
      </c>
      <c r="AB2387" s="18">
        <f t="shared" si="74"/>
        <v>2017</v>
      </c>
      <c r="AC2387" s="22">
        <f t="shared" si="75"/>
        <v>0.65133333333333332</v>
      </c>
    </row>
    <row r="2388" spans="1:29" ht="25.5">
      <c r="A2388" s="8" t="s">
        <v>1728</v>
      </c>
      <c r="B2388" s="17" t="s">
        <v>7744</v>
      </c>
      <c r="C2388" s="13">
        <v>43070</v>
      </c>
      <c r="D2388" s="13" t="s">
        <v>8465</v>
      </c>
      <c r="E2388" s="10" t="s">
        <v>86</v>
      </c>
      <c r="F2388" s="10" t="s">
        <v>1145</v>
      </c>
      <c r="G2388" s="11" t="s">
        <v>1146</v>
      </c>
      <c r="H2388" s="2" t="s">
        <v>171</v>
      </c>
      <c r="L2388" s="18">
        <v>1</v>
      </c>
      <c r="M2388" s="14" t="s">
        <v>8462</v>
      </c>
      <c r="N2388" s="13">
        <v>43070</v>
      </c>
      <c r="O2388" s="29">
        <v>51.35</v>
      </c>
      <c r="P2388" s="18" t="s">
        <v>14</v>
      </c>
      <c r="Q2388" s="18">
        <v>1</v>
      </c>
      <c r="R2388" s="13">
        <v>44725</v>
      </c>
      <c r="S2388" s="21">
        <f>54+13/60+6/3600</f>
        <v>54.218333333333334</v>
      </c>
      <c r="T2388" s="22">
        <v>0.9</v>
      </c>
      <c r="U2388" s="22">
        <v>0.83</v>
      </c>
      <c r="V2388" s="22">
        <f>4.23/5</f>
        <v>0.84600000000000009</v>
      </c>
      <c r="AB2388" s="18">
        <f t="shared" si="74"/>
        <v>2017</v>
      </c>
      <c r="AC2388" s="22">
        <f t="shared" si="75"/>
        <v>0.85866666666666669</v>
      </c>
    </row>
    <row r="2389" spans="1:29" ht="30">
      <c r="A2389" s="8" t="s">
        <v>12998</v>
      </c>
      <c r="B2389" s="17" t="s">
        <v>7760</v>
      </c>
      <c r="C2389" s="13">
        <v>43060</v>
      </c>
      <c r="D2389" s="13" t="s">
        <v>8465</v>
      </c>
      <c r="E2389" s="10" t="s">
        <v>1082</v>
      </c>
      <c r="F2389" s="10" t="s">
        <v>3895</v>
      </c>
      <c r="G2389" s="11" t="s">
        <v>126</v>
      </c>
      <c r="H2389" s="2" t="s">
        <v>1334</v>
      </c>
      <c r="I2389" s="18">
        <v>1</v>
      </c>
      <c r="L2389" s="18">
        <v>1</v>
      </c>
      <c r="N2389" s="13">
        <v>44910</v>
      </c>
      <c r="O2389" s="29">
        <v>14.99</v>
      </c>
      <c r="P2389" s="18" t="s">
        <v>1107</v>
      </c>
      <c r="Q2389" s="18">
        <v>1</v>
      </c>
      <c r="R2389" s="13">
        <v>45220</v>
      </c>
      <c r="S2389" s="21">
        <f>2+15/60</f>
        <v>2.25</v>
      </c>
      <c r="T2389" s="22">
        <v>0.3</v>
      </c>
      <c r="U2389" s="22">
        <v>0.62</v>
      </c>
      <c r="V2389" s="22">
        <f>3/5</f>
        <v>0.6</v>
      </c>
      <c r="AB2389" s="18">
        <f t="shared" si="74"/>
        <v>2017</v>
      </c>
      <c r="AC2389" s="22">
        <f t="shared" si="75"/>
        <v>0.50666666666666671</v>
      </c>
    </row>
    <row r="2390" spans="1:29" ht="25.5">
      <c r="A2390" s="8" t="s">
        <v>1689</v>
      </c>
      <c r="B2390" s="17" t="s">
        <v>7744</v>
      </c>
      <c r="C2390" s="13">
        <v>43056</v>
      </c>
      <c r="D2390" s="13" t="s">
        <v>8465</v>
      </c>
      <c r="E2390" s="10" t="s">
        <v>1690</v>
      </c>
      <c r="F2390" s="10" t="s">
        <v>1691</v>
      </c>
      <c r="G2390" s="11" t="s">
        <v>1207</v>
      </c>
      <c r="H2390" s="2" t="s">
        <v>171</v>
      </c>
      <c r="L2390" s="18">
        <v>1</v>
      </c>
      <c r="M2390" s="14" t="s">
        <v>8462</v>
      </c>
      <c r="N2390" s="13">
        <v>43427</v>
      </c>
      <c r="O2390" s="29">
        <v>37.979999999999997</v>
      </c>
      <c r="P2390" s="18" t="s">
        <v>14</v>
      </c>
      <c r="Q2390" s="18">
        <v>1</v>
      </c>
      <c r="R2390" s="13">
        <v>43597</v>
      </c>
      <c r="S2390" s="21">
        <v>22.6</v>
      </c>
      <c r="T2390" s="22">
        <v>0.8</v>
      </c>
      <c r="U2390" s="22">
        <v>0.85</v>
      </c>
      <c r="V2390" s="22">
        <f>4.25/5</f>
        <v>0.85</v>
      </c>
      <c r="AB2390" s="18">
        <f t="shared" si="74"/>
        <v>2017</v>
      </c>
      <c r="AC2390" s="22">
        <f t="shared" si="75"/>
        <v>0.83333333333333337</v>
      </c>
    </row>
    <row r="2391" spans="1:29">
      <c r="A2391" s="8" t="s">
        <v>1890</v>
      </c>
      <c r="B2391" s="17" t="s">
        <v>7744</v>
      </c>
      <c r="C2391" s="13">
        <v>43049</v>
      </c>
      <c r="D2391" s="13" t="s">
        <v>8465</v>
      </c>
      <c r="E2391" s="10" t="s">
        <v>1690</v>
      </c>
      <c r="F2391" s="10" t="s">
        <v>1889</v>
      </c>
      <c r="G2391" s="11" t="s">
        <v>1890</v>
      </c>
      <c r="H2391" s="2" t="s">
        <v>1050</v>
      </c>
      <c r="L2391" s="18">
        <v>1</v>
      </c>
      <c r="N2391" s="13">
        <v>43796</v>
      </c>
      <c r="O2391" s="29">
        <v>29.99</v>
      </c>
      <c r="P2391" s="18" t="s">
        <v>1107</v>
      </c>
      <c r="Q2391" s="18">
        <v>1</v>
      </c>
      <c r="R2391" s="13">
        <v>44232</v>
      </c>
      <c r="S2391" s="21">
        <v>10</v>
      </c>
      <c r="T2391" s="22">
        <v>0.6</v>
      </c>
      <c r="U2391" s="22">
        <v>0.80110000000000003</v>
      </c>
      <c r="V2391" s="22">
        <f>4.08/5</f>
        <v>0.81600000000000006</v>
      </c>
      <c r="AB2391" s="18">
        <f t="shared" si="74"/>
        <v>2017</v>
      </c>
      <c r="AC2391" s="22">
        <f t="shared" si="75"/>
        <v>0.73903333333333343</v>
      </c>
    </row>
    <row r="2392" spans="1:29" ht="25.5">
      <c r="A2392" s="8" t="s">
        <v>1558</v>
      </c>
      <c r="B2392" s="17" t="s">
        <v>7800</v>
      </c>
      <c r="C2392" s="13">
        <v>43041</v>
      </c>
      <c r="D2392" s="13" t="s">
        <v>8465</v>
      </c>
      <c r="E2392" s="10" t="s">
        <v>1559</v>
      </c>
      <c r="F2392" s="10" t="s">
        <v>1559</v>
      </c>
      <c r="G2392" s="11" t="s">
        <v>1560</v>
      </c>
      <c r="H2392" s="2" t="s">
        <v>1061</v>
      </c>
      <c r="L2392" s="18">
        <v>1</v>
      </c>
      <c r="N2392" s="13">
        <v>42492</v>
      </c>
      <c r="P2392" s="18" t="s">
        <v>1107</v>
      </c>
      <c r="Q2392" s="18">
        <v>1</v>
      </c>
      <c r="R2392" s="13">
        <v>44118</v>
      </c>
      <c r="S2392" s="21">
        <f>76/60</f>
        <v>1.2666666666666666</v>
      </c>
      <c r="T2392" s="22">
        <v>0.5</v>
      </c>
      <c r="U2392" s="22">
        <v>0.65</v>
      </c>
      <c r="V2392" s="22">
        <f>3.17/5</f>
        <v>0.63400000000000001</v>
      </c>
      <c r="W2392" s="14" t="s">
        <v>7777</v>
      </c>
      <c r="AB2392" s="18">
        <f t="shared" si="74"/>
        <v>2017</v>
      </c>
      <c r="AC2392" s="22">
        <f t="shared" si="75"/>
        <v>0.59466666666666657</v>
      </c>
    </row>
    <row r="2393" spans="1:29">
      <c r="A2393" s="8" t="s">
        <v>1677</v>
      </c>
      <c r="B2393" s="17" t="s">
        <v>7744</v>
      </c>
      <c r="C2393" s="13">
        <v>43035</v>
      </c>
      <c r="D2393" s="13" t="s">
        <v>8465</v>
      </c>
      <c r="E2393" s="10" t="s">
        <v>86</v>
      </c>
      <c r="F2393" s="10" t="s">
        <v>1138</v>
      </c>
      <c r="G2393" s="11" t="s">
        <v>137</v>
      </c>
      <c r="H2393" s="2" t="s">
        <v>1040</v>
      </c>
      <c r="L2393" s="18">
        <v>1</v>
      </c>
      <c r="M2393" s="14" t="s">
        <v>8462</v>
      </c>
      <c r="N2393" s="13">
        <v>43035</v>
      </c>
      <c r="O2393" s="29">
        <v>51.35</v>
      </c>
      <c r="P2393" s="18" t="s">
        <v>14</v>
      </c>
      <c r="Q2393" s="18">
        <v>1</v>
      </c>
      <c r="R2393" s="13">
        <v>43037</v>
      </c>
      <c r="T2393" s="22">
        <v>0.9</v>
      </c>
      <c r="U2393" s="22">
        <v>0.97</v>
      </c>
      <c r="V2393" s="22">
        <f>4.47/5</f>
        <v>0.89399999999999991</v>
      </c>
      <c r="AB2393" s="18">
        <f t="shared" si="74"/>
        <v>2017</v>
      </c>
      <c r="AC2393" s="22">
        <f t="shared" si="75"/>
        <v>0.92133333333333345</v>
      </c>
    </row>
    <row r="2394" spans="1:29" ht="25.5">
      <c r="A2394" s="8" t="s">
        <v>3221</v>
      </c>
      <c r="B2394" s="17" t="s">
        <v>7800</v>
      </c>
      <c r="C2394" s="13">
        <v>43035</v>
      </c>
      <c r="D2394" s="13" t="s">
        <v>8465</v>
      </c>
      <c r="E2394" s="10" t="s">
        <v>1047</v>
      </c>
      <c r="F2394" s="10" t="s">
        <v>1048</v>
      </c>
      <c r="G2394" s="11" t="s">
        <v>1563</v>
      </c>
      <c r="H2394" s="2" t="s">
        <v>171</v>
      </c>
      <c r="L2394" s="18">
        <v>1</v>
      </c>
      <c r="N2394" s="13">
        <v>43666</v>
      </c>
      <c r="O2394" s="29">
        <v>19.329999999999998</v>
      </c>
      <c r="P2394" s="18" t="s">
        <v>1107</v>
      </c>
      <c r="Q2394" s="18">
        <v>1</v>
      </c>
      <c r="R2394" s="13">
        <v>43740</v>
      </c>
      <c r="S2394" s="21">
        <f>24+17/60+35/3600</f>
        <v>24.293055555555558</v>
      </c>
      <c r="T2394" s="22">
        <v>0.85</v>
      </c>
      <c r="U2394" s="22">
        <v>0.82</v>
      </c>
      <c r="V2394" s="22">
        <f>3.72/5</f>
        <v>0.74399999999999999</v>
      </c>
      <c r="W2394" s="14" t="s">
        <v>7777</v>
      </c>
      <c r="AB2394" s="18">
        <f t="shared" si="74"/>
        <v>2017</v>
      </c>
      <c r="AC2394" s="22">
        <f t="shared" si="75"/>
        <v>0.80466666666666653</v>
      </c>
    </row>
    <row r="2395" spans="1:29">
      <c r="A2395" s="8" t="s">
        <v>6979</v>
      </c>
      <c r="B2395" s="17" t="s">
        <v>7800</v>
      </c>
      <c r="C2395" s="13">
        <v>43032</v>
      </c>
      <c r="D2395" s="13" t="s">
        <v>8465</v>
      </c>
      <c r="E2395" s="10" t="s">
        <v>1273</v>
      </c>
      <c r="F2395" s="10" t="s">
        <v>6114</v>
      </c>
      <c r="G2395" s="11" t="s">
        <v>6113</v>
      </c>
      <c r="H2395" s="2" t="s">
        <v>1050</v>
      </c>
      <c r="L2395" s="18">
        <v>1</v>
      </c>
      <c r="N2395" s="13">
        <v>43063</v>
      </c>
      <c r="O2395" s="29">
        <v>38.99</v>
      </c>
      <c r="P2395" s="18" t="s">
        <v>1107</v>
      </c>
      <c r="Q2395" s="18">
        <v>1</v>
      </c>
      <c r="T2395" s="22">
        <v>0.7</v>
      </c>
      <c r="U2395" s="22">
        <v>0.84</v>
      </c>
      <c r="V2395" s="22">
        <f>3.41/5</f>
        <v>0.68200000000000005</v>
      </c>
      <c r="W2395" s="14" t="s">
        <v>7797</v>
      </c>
      <c r="AB2395" s="18">
        <f t="shared" si="74"/>
        <v>2017</v>
      </c>
      <c r="AC2395" s="22">
        <f t="shared" si="75"/>
        <v>0.7406666666666667</v>
      </c>
    </row>
    <row r="2396" spans="1:29">
      <c r="A2396" s="8" t="s">
        <v>1596</v>
      </c>
      <c r="B2396" s="17" t="s">
        <v>7744</v>
      </c>
      <c r="C2396" s="13">
        <v>43028</v>
      </c>
      <c r="D2396" s="13" t="s">
        <v>8465</v>
      </c>
      <c r="E2396" s="10" t="s">
        <v>86</v>
      </c>
      <c r="F2396" s="10" t="s">
        <v>1136</v>
      </c>
      <c r="G2396" s="11" t="s">
        <v>305</v>
      </c>
      <c r="H2396" s="2" t="s">
        <v>1059</v>
      </c>
      <c r="L2396" s="18">
        <v>1</v>
      </c>
      <c r="M2396" s="14" t="s">
        <v>8462</v>
      </c>
      <c r="N2396" s="13">
        <v>43028</v>
      </c>
      <c r="O2396" s="29">
        <v>51.35</v>
      </c>
      <c r="P2396" s="18" t="s">
        <v>14</v>
      </c>
      <c r="Q2396" s="18">
        <v>1</v>
      </c>
      <c r="R2396" s="13">
        <v>43186</v>
      </c>
      <c r="S2396" s="21">
        <v>8.4499999999999993</v>
      </c>
      <c r="T2396" s="22">
        <v>0.7</v>
      </c>
      <c r="U2396" s="22">
        <v>0.75</v>
      </c>
      <c r="V2396" s="22">
        <f>3.87/5</f>
        <v>0.77400000000000002</v>
      </c>
      <c r="AB2396" s="18">
        <f t="shared" si="74"/>
        <v>2017</v>
      </c>
      <c r="AC2396" s="22">
        <f t="shared" si="75"/>
        <v>0.7413333333333334</v>
      </c>
    </row>
    <row r="2397" spans="1:29" ht="45">
      <c r="A2397" s="8" t="s">
        <v>4446</v>
      </c>
      <c r="B2397" s="17" t="s">
        <v>7800</v>
      </c>
      <c r="C2397" s="13">
        <v>43018</v>
      </c>
      <c r="D2397" s="13" t="s">
        <v>8465</v>
      </c>
      <c r="E2397" s="10" t="s">
        <v>1156</v>
      </c>
      <c r="F2397" s="10" t="s">
        <v>3487</v>
      </c>
      <c r="G2397" s="11" t="s">
        <v>4445</v>
      </c>
      <c r="H2397" s="2" t="s">
        <v>171</v>
      </c>
      <c r="L2397" s="18">
        <v>1</v>
      </c>
      <c r="N2397" s="13">
        <v>43301</v>
      </c>
      <c r="O2397" s="29">
        <v>20.36</v>
      </c>
      <c r="P2397" s="18" t="s">
        <v>1107</v>
      </c>
      <c r="Q2397" s="18">
        <v>1</v>
      </c>
      <c r="R2397" s="13">
        <v>43827</v>
      </c>
      <c r="S2397" s="21">
        <f>12+29/60</f>
        <v>12.483333333333333</v>
      </c>
      <c r="T2397" s="22">
        <v>0.75</v>
      </c>
      <c r="U2397" s="22">
        <v>0.78</v>
      </c>
      <c r="V2397" s="22">
        <f>3.47/5</f>
        <v>0.69400000000000006</v>
      </c>
      <c r="W2397" s="14" t="s">
        <v>7777</v>
      </c>
      <c r="AB2397" s="18">
        <f t="shared" si="74"/>
        <v>2017</v>
      </c>
      <c r="AC2397" s="22">
        <f t="shared" si="75"/>
        <v>0.7413333333333334</v>
      </c>
    </row>
    <row r="2398" spans="1:29" ht="38.25">
      <c r="A2398" s="8" t="s">
        <v>2383</v>
      </c>
      <c r="B2398" s="17" t="s">
        <v>7749</v>
      </c>
      <c r="C2398" s="13">
        <v>43014</v>
      </c>
      <c r="D2398" s="13" t="s">
        <v>8465</v>
      </c>
      <c r="E2398" s="10" t="s">
        <v>86</v>
      </c>
      <c r="F2398" s="10" t="s">
        <v>1892</v>
      </c>
      <c r="G2398" s="11" t="s">
        <v>1893</v>
      </c>
      <c r="H2398" s="2" t="s">
        <v>149</v>
      </c>
      <c r="L2398" s="18">
        <v>1</v>
      </c>
      <c r="M2398" s="14" t="s">
        <v>8462</v>
      </c>
      <c r="N2398" s="13">
        <v>43014</v>
      </c>
      <c r="O2398" s="29">
        <v>39.96</v>
      </c>
      <c r="P2398" s="18" t="s">
        <v>14</v>
      </c>
      <c r="Q2398" s="18">
        <v>1</v>
      </c>
      <c r="R2398" s="13">
        <v>43476</v>
      </c>
      <c r="S2398" s="21">
        <v>16.3</v>
      </c>
      <c r="T2398" s="22">
        <v>0.8</v>
      </c>
      <c r="U2398" s="22">
        <v>0.82</v>
      </c>
      <c r="V2398" s="22">
        <f>4.13/5</f>
        <v>0.82599999999999996</v>
      </c>
      <c r="AB2398" s="18">
        <f t="shared" si="74"/>
        <v>2017</v>
      </c>
      <c r="AC2398" s="22">
        <f t="shared" si="75"/>
        <v>0.81533333333333335</v>
      </c>
    </row>
    <row r="2399" spans="1:29">
      <c r="A2399" s="8" t="s">
        <v>3068</v>
      </c>
      <c r="B2399" s="17" t="s">
        <v>7800</v>
      </c>
      <c r="C2399" s="13">
        <v>43013</v>
      </c>
      <c r="D2399" s="13" t="s">
        <v>8465</v>
      </c>
      <c r="E2399" s="10" t="s">
        <v>9249</v>
      </c>
      <c r="F2399" s="10" t="s">
        <v>3070</v>
      </c>
      <c r="H2399" s="2" t="s">
        <v>1040</v>
      </c>
      <c r="L2399" s="18">
        <v>1</v>
      </c>
      <c r="N2399" s="13">
        <v>42367</v>
      </c>
      <c r="P2399" s="18" t="s">
        <v>1107</v>
      </c>
      <c r="Q2399" s="18">
        <v>1</v>
      </c>
      <c r="R2399" s="13">
        <v>44827</v>
      </c>
      <c r="S2399" s="21">
        <f>8+30/60</f>
        <v>8.5</v>
      </c>
      <c r="T2399" s="22">
        <v>0.8</v>
      </c>
      <c r="U2399" s="22">
        <v>0.78</v>
      </c>
      <c r="V2399" s="22">
        <f>4.09/5</f>
        <v>0.81799999999999995</v>
      </c>
      <c r="W2399" s="14" t="s">
        <v>7777</v>
      </c>
      <c r="AB2399" s="18">
        <f t="shared" si="74"/>
        <v>2017</v>
      </c>
      <c r="AC2399" s="22">
        <f t="shared" si="75"/>
        <v>0.79933333333333334</v>
      </c>
    </row>
    <row r="2400" spans="1:29">
      <c r="A2400" s="8" t="s">
        <v>3533</v>
      </c>
      <c r="B2400" s="17" t="s">
        <v>7800</v>
      </c>
      <c r="C2400" s="13">
        <v>43007</v>
      </c>
      <c r="D2400" s="13" t="s">
        <v>8465</v>
      </c>
      <c r="E2400" s="10" t="s">
        <v>3534</v>
      </c>
      <c r="F2400" s="10" t="s">
        <v>3534</v>
      </c>
      <c r="G2400" s="11" t="s">
        <v>3533</v>
      </c>
      <c r="H2400" s="2" t="s">
        <v>56</v>
      </c>
      <c r="L2400" s="18">
        <v>1</v>
      </c>
      <c r="N2400" s="13">
        <v>43095</v>
      </c>
      <c r="O2400" s="29">
        <v>16.989999999999998</v>
      </c>
      <c r="P2400" s="18" t="s">
        <v>1107</v>
      </c>
      <c r="Q2400" s="18">
        <v>1</v>
      </c>
      <c r="R2400" s="13">
        <v>44246</v>
      </c>
      <c r="S2400" s="21">
        <f>22+16/60</f>
        <v>22.266666666666666</v>
      </c>
      <c r="T2400" s="22">
        <v>0.8</v>
      </c>
      <c r="U2400" s="22">
        <v>0.88</v>
      </c>
      <c r="V2400" s="22">
        <f>4.16/5</f>
        <v>0.83200000000000007</v>
      </c>
      <c r="W2400" s="14" t="s">
        <v>7777</v>
      </c>
      <c r="AB2400" s="18">
        <f t="shared" si="74"/>
        <v>2017</v>
      </c>
      <c r="AC2400" s="22">
        <f t="shared" si="75"/>
        <v>0.83733333333333348</v>
      </c>
    </row>
    <row r="2401" spans="1:29" ht="25.5">
      <c r="A2401" s="8" t="s">
        <v>2386</v>
      </c>
      <c r="B2401" s="17" t="s">
        <v>7749</v>
      </c>
      <c r="C2401" s="13">
        <v>42993</v>
      </c>
      <c r="D2401" s="13" t="s">
        <v>8465</v>
      </c>
      <c r="E2401" s="10" t="s">
        <v>86</v>
      </c>
      <c r="F2401" s="10" t="s">
        <v>2456</v>
      </c>
      <c r="G2401" s="11" t="s">
        <v>109</v>
      </c>
      <c r="H2401" s="2" t="s">
        <v>151</v>
      </c>
      <c r="L2401" s="18">
        <v>1</v>
      </c>
      <c r="M2401" s="14" t="s">
        <v>8462</v>
      </c>
      <c r="N2401" s="13">
        <v>42993</v>
      </c>
      <c r="O2401" s="29">
        <v>39.96</v>
      </c>
      <c r="P2401" s="18" t="s">
        <v>14</v>
      </c>
      <c r="Q2401" s="18">
        <v>1</v>
      </c>
      <c r="R2401" s="13">
        <v>45116</v>
      </c>
      <c r="S2401" s="21">
        <f>11+6/60+25/3600</f>
        <v>11.106944444444444</v>
      </c>
      <c r="T2401" s="22">
        <v>0.8</v>
      </c>
      <c r="U2401" s="22">
        <v>0.87</v>
      </c>
      <c r="V2401" s="22">
        <f>4.16/5</f>
        <v>0.83200000000000007</v>
      </c>
      <c r="AB2401" s="18">
        <f t="shared" si="74"/>
        <v>2017</v>
      </c>
      <c r="AC2401" s="22">
        <f t="shared" si="75"/>
        <v>0.83399999999999996</v>
      </c>
    </row>
    <row r="2402" spans="1:29" ht="25.5">
      <c r="A2402" s="8" t="s">
        <v>12519</v>
      </c>
      <c r="B2402" s="17" t="s">
        <v>7800</v>
      </c>
      <c r="C2402" s="13">
        <v>42992</v>
      </c>
      <c r="D2402" s="13" t="s">
        <v>8465</v>
      </c>
      <c r="E2402" s="10" t="s">
        <v>3298</v>
      </c>
      <c r="F2402" s="10" t="s">
        <v>3298</v>
      </c>
      <c r="G2402" s="11" t="s">
        <v>3299</v>
      </c>
      <c r="H2402" s="2" t="s">
        <v>1720</v>
      </c>
      <c r="L2402" s="18">
        <v>1</v>
      </c>
      <c r="N2402" s="13">
        <v>44818</v>
      </c>
      <c r="O2402" s="29">
        <v>15.74</v>
      </c>
      <c r="P2402" s="18" t="s">
        <v>1107</v>
      </c>
      <c r="Q2402" s="18">
        <v>1</v>
      </c>
      <c r="R2402" s="13">
        <v>45210</v>
      </c>
      <c r="S2402" s="21">
        <f>67+36/60</f>
        <v>67.599999999999994</v>
      </c>
      <c r="T2402" s="22">
        <v>1</v>
      </c>
      <c r="U2402" s="22">
        <v>0.93</v>
      </c>
      <c r="V2402" s="22">
        <f>4.33/5</f>
        <v>0.86599999999999999</v>
      </c>
      <c r="W2402" s="14" t="s">
        <v>7777</v>
      </c>
      <c r="AB2402" s="18">
        <f t="shared" si="74"/>
        <v>2017</v>
      </c>
      <c r="AC2402" s="22">
        <f t="shared" si="75"/>
        <v>0.93200000000000005</v>
      </c>
    </row>
    <row r="2403" spans="1:29" ht="30">
      <c r="A2403" s="8" t="s">
        <v>8714</v>
      </c>
      <c r="B2403" s="17" t="s">
        <v>7760</v>
      </c>
      <c r="C2403" s="13">
        <v>42983</v>
      </c>
      <c r="D2403" s="13" t="s">
        <v>8465</v>
      </c>
      <c r="E2403" s="10" t="s">
        <v>2461</v>
      </c>
      <c r="F2403" s="10" t="s">
        <v>8708</v>
      </c>
      <c r="G2403" s="11" t="s">
        <v>8709</v>
      </c>
      <c r="H2403" s="2" t="s">
        <v>1057</v>
      </c>
      <c r="L2403" s="18">
        <v>1</v>
      </c>
      <c r="M2403" s="14" t="s">
        <v>11018</v>
      </c>
      <c r="N2403" s="13">
        <v>43976</v>
      </c>
      <c r="O2403" s="29">
        <v>12.29</v>
      </c>
      <c r="P2403" s="18" t="s">
        <v>14</v>
      </c>
      <c r="Q2403" s="18">
        <v>1</v>
      </c>
      <c r="R2403" s="13">
        <v>44225</v>
      </c>
      <c r="S2403" s="21">
        <f>51+33/60+47/3600</f>
        <v>51.56305555555555</v>
      </c>
      <c r="T2403" s="22">
        <v>0.7</v>
      </c>
      <c r="U2403" s="22">
        <v>0.75</v>
      </c>
      <c r="V2403" s="22">
        <f>4.27/5</f>
        <v>0.85399999999999987</v>
      </c>
      <c r="AB2403" s="18">
        <f t="shared" si="74"/>
        <v>2017</v>
      </c>
      <c r="AC2403" s="22">
        <f t="shared" si="75"/>
        <v>0.7679999999999999</v>
      </c>
    </row>
    <row r="2404" spans="1:29" ht="25.5">
      <c r="A2404" s="8" t="s">
        <v>1626</v>
      </c>
      <c r="B2404" s="17" t="s">
        <v>7744</v>
      </c>
      <c r="C2404" s="13">
        <v>42976</v>
      </c>
      <c r="D2404" s="13" t="s">
        <v>8465</v>
      </c>
      <c r="E2404" s="10" t="s">
        <v>1047</v>
      </c>
      <c r="F2404" s="10" t="s">
        <v>1539</v>
      </c>
      <c r="G2404" s="11" t="s">
        <v>137</v>
      </c>
      <c r="H2404" s="2" t="s">
        <v>75</v>
      </c>
      <c r="L2404" s="18">
        <v>1</v>
      </c>
      <c r="M2404" s="14" t="s">
        <v>8462</v>
      </c>
      <c r="N2404" s="13">
        <v>42976</v>
      </c>
      <c r="O2404" s="29">
        <v>59.96</v>
      </c>
      <c r="P2404" s="18" t="s">
        <v>14</v>
      </c>
      <c r="Q2404" s="18">
        <v>1</v>
      </c>
      <c r="R2404" s="13">
        <v>43458</v>
      </c>
      <c r="T2404" s="22">
        <v>0.7</v>
      </c>
      <c r="U2404" s="22">
        <v>0.85</v>
      </c>
      <c r="V2404" s="22">
        <f>4.02/5</f>
        <v>0.80399999999999994</v>
      </c>
      <c r="AB2404" s="18">
        <f t="shared" si="74"/>
        <v>2017</v>
      </c>
      <c r="AC2404" s="22">
        <f t="shared" si="75"/>
        <v>0.78466666666666651</v>
      </c>
    </row>
    <row r="2405" spans="1:29">
      <c r="A2405" s="8" t="s">
        <v>3046</v>
      </c>
      <c r="B2405" s="17" t="s">
        <v>7800</v>
      </c>
      <c r="C2405" s="13">
        <v>42962</v>
      </c>
      <c r="D2405" s="13" t="s">
        <v>8465</v>
      </c>
      <c r="E2405" s="10" t="s">
        <v>3047</v>
      </c>
      <c r="F2405" s="10" t="s">
        <v>3048</v>
      </c>
      <c r="H2405" s="2" t="s">
        <v>1061</v>
      </c>
      <c r="L2405" s="18">
        <v>1</v>
      </c>
      <c r="N2405" s="13">
        <v>43469</v>
      </c>
      <c r="P2405" s="18" t="s">
        <v>1107</v>
      </c>
      <c r="Q2405" s="18">
        <v>1</v>
      </c>
      <c r="R2405" s="13">
        <v>43607</v>
      </c>
      <c r="S2405" s="21">
        <v>5.42</v>
      </c>
      <c r="T2405" s="22">
        <v>0.7</v>
      </c>
      <c r="U2405" s="22">
        <v>0.83</v>
      </c>
      <c r="V2405" s="22">
        <f>3.5/5</f>
        <v>0.7</v>
      </c>
      <c r="W2405" s="14" t="s">
        <v>7777</v>
      </c>
      <c r="AB2405" s="18">
        <f t="shared" si="74"/>
        <v>2017</v>
      </c>
      <c r="AC2405" s="22">
        <f t="shared" si="75"/>
        <v>0.74333333333333318</v>
      </c>
    </row>
    <row r="2406" spans="1:29" ht="25.5">
      <c r="A2406" s="8" t="s">
        <v>4103</v>
      </c>
      <c r="B2406" s="17" t="s">
        <v>7800</v>
      </c>
      <c r="C2406" s="13">
        <v>42955</v>
      </c>
      <c r="D2406" s="13" t="s">
        <v>8465</v>
      </c>
      <c r="E2406" s="10" t="s">
        <v>3687</v>
      </c>
      <c r="F2406" s="10" t="s">
        <v>3687</v>
      </c>
      <c r="G2406" s="11" t="s">
        <v>8239</v>
      </c>
      <c r="H2406" s="2" t="s">
        <v>80</v>
      </c>
      <c r="L2406" s="18">
        <v>1</v>
      </c>
      <c r="N2406" s="13">
        <v>43150</v>
      </c>
      <c r="O2406" s="29">
        <v>20.99</v>
      </c>
      <c r="P2406" s="18" t="s">
        <v>1107</v>
      </c>
      <c r="Q2406" s="18">
        <v>1</v>
      </c>
      <c r="R2406" s="13">
        <v>43274</v>
      </c>
      <c r="S2406" s="21">
        <v>7.25</v>
      </c>
      <c r="T2406" s="22">
        <v>0.8</v>
      </c>
      <c r="U2406" s="22">
        <v>0.82</v>
      </c>
      <c r="V2406" s="22">
        <f>3.85/5</f>
        <v>0.77</v>
      </c>
      <c r="W2406" s="14" t="s">
        <v>7777</v>
      </c>
      <c r="AB2406" s="18">
        <f t="shared" si="74"/>
        <v>2017</v>
      </c>
      <c r="AC2406" s="22">
        <f t="shared" si="75"/>
        <v>0.79666666666666675</v>
      </c>
    </row>
    <row r="2407" spans="1:29">
      <c r="A2407" s="8" t="s">
        <v>4762</v>
      </c>
      <c r="B2407" s="17" t="s">
        <v>7800</v>
      </c>
      <c r="C2407" s="13">
        <v>42941</v>
      </c>
      <c r="D2407" s="13" t="s">
        <v>8465</v>
      </c>
      <c r="E2407" s="10" t="s">
        <v>3261</v>
      </c>
      <c r="F2407" s="10" t="s">
        <v>3261</v>
      </c>
      <c r="H2407" s="2" t="s">
        <v>143</v>
      </c>
      <c r="L2407" s="18">
        <v>1</v>
      </c>
      <c r="N2407" s="13">
        <v>43095</v>
      </c>
      <c r="O2407" s="29">
        <v>9.89</v>
      </c>
      <c r="P2407" s="18" t="s">
        <v>1107</v>
      </c>
      <c r="Q2407" s="18">
        <v>1</v>
      </c>
      <c r="R2407" s="13">
        <v>43470</v>
      </c>
      <c r="S2407" s="21">
        <v>12.17</v>
      </c>
      <c r="T2407" s="22">
        <v>0.8</v>
      </c>
      <c r="U2407" s="22">
        <v>0.79</v>
      </c>
      <c r="V2407" s="22">
        <f>3.91/5</f>
        <v>0.78200000000000003</v>
      </c>
      <c r="W2407" s="14" t="s">
        <v>7777</v>
      </c>
      <c r="AB2407" s="18">
        <f t="shared" si="74"/>
        <v>2017</v>
      </c>
      <c r="AC2407" s="22">
        <f t="shared" si="75"/>
        <v>0.79066666666666663</v>
      </c>
    </row>
    <row r="2408" spans="1:29" ht="25.5">
      <c r="A2408" s="8" t="s">
        <v>9561</v>
      </c>
      <c r="B2408" s="17" t="s">
        <v>7766</v>
      </c>
      <c r="C2408" s="13">
        <v>42935</v>
      </c>
      <c r="D2408" s="13" t="s">
        <v>8465</v>
      </c>
      <c r="E2408" s="10" t="s">
        <v>7300</v>
      </c>
      <c r="F2408" s="10" t="s">
        <v>9372</v>
      </c>
      <c r="H2408" s="2" t="s">
        <v>67</v>
      </c>
      <c r="L2408" s="18">
        <v>0</v>
      </c>
      <c r="Q2408" s="18">
        <v>1</v>
      </c>
      <c r="R2408" s="13">
        <v>44200</v>
      </c>
      <c r="S2408" s="21">
        <f>2+5/60</f>
        <v>2.0833333333333335</v>
      </c>
      <c r="T2408" s="22">
        <v>0.8</v>
      </c>
      <c r="U2408" s="22">
        <v>0.92</v>
      </c>
      <c r="V2408" s="22">
        <f>3.96/5</f>
        <v>0.79200000000000004</v>
      </c>
      <c r="W2408" s="14" t="s">
        <v>8280</v>
      </c>
      <c r="AB2408" s="18">
        <f t="shared" si="74"/>
        <v>2017</v>
      </c>
      <c r="AC2408" s="22">
        <f t="shared" si="75"/>
        <v>0.83733333333333348</v>
      </c>
    </row>
    <row r="2409" spans="1:29" ht="25.5">
      <c r="A2409" s="8" t="s">
        <v>11364</v>
      </c>
      <c r="B2409" s="17" t="s">
        <v>7749</v>
      </c>
      <c r="C2409" s="13">
        <v>42928</v>
      </c>
      <c r="D2409" s="13" t="s">
        <v>8463</v>
      </c>
      <c r="E2409" s="10" t="s">
        <v>1082</v>
      </c>
      <c r="F2409" s="10" t="s">
        <v>1794</v>
      </c>
      <c r="G2409" s="11" t="s">
        <v>126</v>
      </c>
      <c r="H2409" s="2" t="s">
        <v>78</v>
      </c>
      <c r="K2409" s="18">
        <v>2</v>
      </c>
      <c r="L2409" s="18">
        <v>0</v>
      </c>
      <c r="Q2409" s="18">
        <v>1</v>
      </c>
      <c r="R2409" s="13">
        <v>44981</v>
      </c>
      <c r="T2409" s="22">
        <v>0.7</v>
      </c>
      <c r="V2409" s="22">
        <f>4.29/5</f>
        <v>0.85799999999999998</v>
      </c>
      <c r="AB2409" s="18">
        <f t="shared" si="74"/>
        <v>2017</v>
      </c>
      <c r="AC2409" s="22">
        <f t="shared" si="75"/>
        <v>0.77899999999999991</v>
      </c>
    </row>
    <row r="2410" spans="1:29" ht="30">
      <c r="A2410" s="8" t="s">
        <v>9750</v>
      </c>
      <c r="B2410" s="17" t="s">
        <v>7800</v>
      </c>
      <c r="C2410" s="13">
        <v>42906</v>
      </c>
      <c r="D2410" s="13" t="s">
        <v>8465</v>
      </c>
      <c r="E2410" s="10" t="s">
        <v>1082</v>
      </c>
      <c r="F2410" s="10" t="s">
        <v>6119</v>
      </c>
      <c r="G2410" s="11" t="s">
        <v>126</v>
      </c>
      <c r="H2410" s="2" t="s">
        <v>9780</v>
      </c>
      <c r="J2410" s="18">
        <v>1</v>
      </c>
      <c r="L2410" s="18">
        <v>1</v>
      </c>
      <c r="N2410" s="13">
        <v>44235</v>
      </c>
      <c r="O2410" s="29">
        <v>0</v>
      </c>
      <c r="P2410" s="18" t="s">
        <v>1107</v>
      </c>
      <c r="Q2410" s="18">
        <v>1</v>
      </c>
      <c r="R2410" s="13">
        <v>44262</v>
      </c>
      <c r="S2410" s="21">
        <f>60+42/60</f>
        <v>60.7</v>
      </c>
      <c r="T2410" s="22">
        <v>0.85</v>
      </c>
      <c r="U2410" s="22">
        <v>0.87</v>
      </c>
      <c r="V2410" s="22">
        <f>4.06/5</f>
        <v>0.81199999999999994</v>
      </c>
      <c r="W2410" s="14" t="s">
        <v>1082</v>
      </c>
      <c r="AB2410" s="18">
        <f t="shared" si="74"/>
        <v>2017</v>
      </c>
      <c r="AC2410" s="22">
        <f t="shared" si="75"/>
        <v>0.84399999999999997</v>
      </c>
    </row>
    <row r="2411" spans="1:29">
      <c r="A2411" s="8" t="s">
        <v>7322</v>
      </c>
      <c r="B2411" s="17" t="s">
        <v>7783</v>
      </c>
      <c r="C2411" s="13">
        <v>42891</v>
      </c>
      <c r="D2411" s="13" t="s">
        <v>8465</v>
      </c>
      <c r="E2411" s="10" t="s">
        <v>8573</v>
      </c>
      <c r="F2411" s="10" t="s">
        <v>8573</v>
      </c>
      <c r="G2411" s="11" t="s">
        <v>7321</v>
      </c>
      <c r="H2411" s="2" t="s">
        <v>78</v>
      </c>
      <c r="L2411" s="18">
        <v>1</v>
      </c>
      <c r="N2411" s="13">
        <v>43597</v>
      </c>
      <c r="O2411" s="29">
        <v>4.99</v>
      </c>
      <c r="P2411" s="18" t="s">
        <v>1107</v>
      </c>
      <c r="Q2411" s="18">
        <v>1</v>
      </c>
      <c r="R2411" s="13">
        <v>43766</v>
      </c>
      <c r="T2411" s="22">
        <v>0.8</v>
      </c>
      <c r="U2411" s="22">
        <v>0.82</v>
      </c>
      <c r="V2411" s="22">
        <f>4.1/5</f>
        <v>0.82</v>
      </c>
      <c r="AB2411" s="18">
        <f t="shared" si="74"/>
        <v>2017</v>
      </c>
      <c r="AC2411" s="22">
        <f t="shared" si="75"/>
        <v>0.81333333333333335</v>
      </c>
    </row>
    <row r="2412" spans="1:29">
      <c r="A2412" s="8" t="s">
        <v>8361</v>
      </c>
      <c r="B2412" s="17" t="s">
        <v>7800</v>
      </c>
      <c r="C2412" s="13">
        <v>42880</v>
      </c>
      <c r="D2412" s="13" t="s">
        <v>8465</v>
      </c>
      <c r="E2412" s="10" t="s">
        <v>7070</v>
      </c>
      <c r="F2412" s="10" t="s">
        <v>7070</v>
      </c>
      <c r="G2412" s="11" t="s">
        <v>7069</v>
      </c>
      <c r="H2412" s="2" t="s">
        <v>1050</v>
      </c>
      <c r="I2412" s="18">
        <v>1</v>
      </c>
      <c r="L2412" s="18">
        <v>1</v>
      </c>
      <c r="N2412" s="13">
        <v>43880</v>
      </c>
      <c r="O2412" s="29">
        <v>0</v>
      </c>
      <c r="P2412" s="18" t="s">
        <v>1107</v>
      </c>
      <c r="Q2412" s="18">
        <v>1</v>
      </c>
      <c r="R2412" s="13">
        <v>43910</v>
      </c>
      <c r="S2412" s="21">
        <f>113/60</f>
        <v>1.8833333333333333</v>
      </c>
      <c r="T2412" s="22">
        <v>0.8</v>
      </c>
      <c r="U2412" s="22">
        <v>0.83</v>
      </c>
      <c r="V2412" s="22">
        <f>4.15/5</f>
        <v>0.83000000000000007</v>
      </c>
      <c r="W2412" s="14" t="s">
        <v>7777</v>
      </c>
      <c r="AB2412" s="18">
        <f t="shared" si="74"/>
        <v>2017</v>
      </c>
      <c r="AC2412" s="22">
        <f t="shared" si="75"/>
        <v>0.82</v>
      </c>
    </row>
    <row r="2413" spans="1:29" ht="30">
      <c r="A2413" s="8" t="s">
        <v>8727</v>
      </c>
      <c r="B2413" s="17" t="s">
        <v>7760</v>
      </c>
      <c r="C2413" s="13">
        <v>42878</v>
      </c>
      <c r="D2413" s="13" t="s">
        <v>8465</v>
      </c>
      <c r="E2413" s="10" t="s">
        <v>2461</v>
      </c>
      <c r="F2413" s="10" t="s">
        <v>8708</v>
      </c>
      <c r="G2413" s="11" t="s">
        <v>8709</v>
      </c>
      <c r="H2413" s="2" t="s">
        <v>1057</v>
      </c>
      <c r="L2413" s="18">
        <v>1</v>
      </c>
      <c r="M2413" s="14" t="s">
        <v>11018</v>
      </c>
      <c r="N2413" s="13">
        <v>43978</v>
      </c>
      <c r="O2413" s="29">
        <v>22.76</v>
      </c>
      <c r="P2413" s="18" t="s">
        <v>14</v>
      </c>
      <c r="Q2413" s="18">
        <v>1</v>
      </c>
      <c r="R2413" s="13">
        <v>44059</v>
      </c>
      <c r="S2413" s="21">
        <f>41+50/60+8/3600</f>
        <v>41.835555555555558</v>
      </c>
      <c r="T2413" s="22">
        <v>0.65</v>
      </c>
      <c r="U2413" s="22">
        <v>0.68</v>
      </c>
      <c r="V2413" s="22">
        <f>4.18/5</f>
        <v>0.83599999999999997</v>
      </c>
      <c r="AB2413" s="18">
        <f t="shared" si="74"/>
        <v>2017</v>
      </c>
      <c r="AC2413" s="22">
        <f t="shared" si="75"/>
        <v>0.72199999999999998</v>
      </c>
    </row>
    <row r="2414" spans="1:29">
      <c r="A2414" s="8" t="s">
        <v>4741</v>
      </c>
      <c r="B2414" s="17" t="s">
        <v>7800</v>
      </c>
      <c r="C2414" s="13">
        <v>42859</v>
      </c>
      <c r="D2414" s="13" t="s">
        <v>8465</v>
      </c>
      <c r="E2414" s="10" t="s">
        <v>1690</v>
      </c>
      <c r="F2414" s="10" t="s">
        <v>3218</v>
      </c>
      <c r="G2414" s="11" t="s">
        <v>4741</v>
      </c>
      <c r="H2414" s="2" t="s">
        <v>1050</v>
      </c>
      <c r="L2414" s="18">
        <v>1</v>
      </c>
      <c r="N2414" s="13">
        <v>43273</v>
      </c>
      <c r="O2414" s="29">
        <v>14.99</v>
      </c>
      <c r="P2414" s="18" t="s">
        <v>1107</v>
      </c>
      <c r="Q2414" s="18">
        <v>1</v>
      </c>
      <c r="R2414" s="13">
        <v>43316</v>
      </c>
      <c r="S2414" s="21">
        <v>23.73</v>
      </c>
      <c r="T2414" s="22">
        <v>0.9</v>
      </c>
      <c r="U2414" s="22">
        <v>0.8</v>
      </c>
      <c r="V2414" s="22">
        <f>4.14/5</f>
        <v>0.82799999999999996</v>
      </c>
      <c r="W2414" s="14" t="s">
        <v>7777</v>
      </c>
      <c r="AB2414" s="18">
        <f t="shared" si="74"/>
        <v>2017</v>
      </c>
      <c r="AC2414" s="22">
        <f t="shared" si="75"/>
        <v>0.84266666666666667</v>
      </c>
    </row>
    <row r="2415" spans="1:29">
      <c r="A2415" s="8" t="s">
        <v>1735</v>
      </c>
      <c r="B2415" s="17" t="s">
        <v>7744</v>
      </c>
      <c r="C2415" s="13">
        <v>42852</v>
      </c>
      <c r="D2415" s="13" t="s">
        <v>8465</v>
      </c>
      <c r="E2415" s="10" t="s">
        <v>1736</v>
      </c>
      <c r="F2415" s="10" t="s">
        <v>1737</v>
      </c>
      <c r="H2415" s="2" t="s">
        <v>80</v>
      </c>
      <c r="L2415" s="18">
        <v>1</v>
      </c>
      <c r="N2415" s="13">
        <v>42868</v>
      </c>
      <c r="O2415" s="29">
        <v>4.99</v>
      </c>
      <c r="P2415" s="18" t="s">
        <v>1107</v>
      </c>
      <c r="Q2415" s="18">
        <v>1</v>
      </c>
      <c r="R2415" s="13">
        <v>42939</v>
      </c>
      <c r="S2415" s="21">
        <v>1.0900000000000001</v>
      </c>
      <c r="T2415" s="22">
        <v>0.6</v>
      </c>
      <c r="U2415" s="22">
        <v>0.69</v>
      </c>
      <c r="V2415" s="22">
        <f>3.66/5</f>
        <v>0.73199999999999998</v>
      </c>
      <c r="AB2415" s="18">
        <f t="shared" si="74"/>
        <v>2017</v>
      </c>
      <c r="AC2415" s="22">
        <f t="shared" si="75"/>
        <v>0.67400000000000004</v>
      </c>
    </row>
    <row r="2416" spans="1:29">
      <c r="A2416" s="8" t="s">
        <v>8595</v>
      </c>
      <c r="B2416" s="17" t="s">
        <v>7800</v>
      </c>
      <c r="C2416" s="13">
        <v>42850</v>
      </c>
      <c r="D2416" s="13" t="s">
        <v>8465</v>
      </c>
      <c r="E2416" s="10" t="s">
        <v>3797</v>
      </c>
      <c r="F2416" s="10" t="s">
        <v>3797</v>
      </c>
      <c r="G2416" s="11" t="s">
        <v>8595</v>
      </c>
      <c r="H2416" s="2" t="s">
        <v>67</v>
      </c>
      <c r="I2416" s="18">
        <v>1</v>
      </c>
      <c r="L2416" s="18">
        <v>0</v>
      </c>
      <c r="Q2416" s="18">
        <v>1</v>
      </c>
      <c r="R2416" s="13">
        <v>43943</v>
      </c>
      <c r="T2416" s="22">
        <v>0.65</v>
      </c>
      <c r="U2416" s="22">
        <v>0.77</v>
      </c>
      <c r="V2416" s="22">
        <f>3.93/5</f>
        <v>0.78600000000000003</v>
      </c>
      <c r="W2416" s="14" t="s">
        <v>8596</v>
      </c>
      <c r="AB2416" s="18">
        <f t="shared" si="74"/>
        <v>2017</v>
      </c>
      <c r="AC2416" s="22">
        <f t="shared" si="75"/>
        <v>0.73533333333333328</v>
      </c>
    </row>
    <row r="2417" spans="1:29">
      <c r="A2417" s="8" t="s">
        <v>4628</v>
      </c>
      <c r="B2417" s="17" t="s">
        <v>7800</v>
      </c>
      <c r="C2417" s="13">
        <v>42850</v>
      </c>
      <c r="D2417" s="13" t="s">
        <v>8465</v>
      </c>
      <c r="E2417" s="10" t="s">
        <v>4627</v>
      </c>
      <c r="F2417" s="10" t="s">
        <v>4627</v>
      </c>
      <c r="G2417" s="11" t="s">
        <v>4626</v>
      </c>
      <c r="H2417" s="2" t="s">
        <v>1061</v>
      </c>
      <c r="L2417" s="18">
        <v>1</v>
      </c>
      <c r="N2417" s="13">
        <v>43425</v>
      </c>
      <c r="O2417" s="29">
        <v>6.74</v>
      </c>
      <c r="P2417" s="18" t="s">
        <v>1107</v>
      </c>
      <c r="Q2417" s="18">
        <v>1</v>
      </c>
      <c r="R2417" s="13">
        <v>44110</v>
      </c>
      <c r="S2417" s="21">
        <f>5+18/60</f>
        <v>5.3</v>
      </c>
      <c r="T2417" s="22">
        <v>0.6</v>
      </c>
      <c r="U2417" s="22">
        <v>0.77</v>
      </c>
      <c r="V2417" s="22">
        <f>2.94/5</f>
        <v>0.58799999999999997</v>
      </c>
      <c r="W2417" s="14" t="s">
        <v>7777</v>
      </c>
      <c r="AB2417" s="18">
        <f t="shared" si="74"/>
        <v>2017</v>
      </c>
      <c r="AC2417" s="22">
        <f t="shared" si="75"/>
        <v>0.65266666666666673</v>
      </c>
    </row>
    <row r="2418" spans="1:29" ht="25.5">
      <c r="A2418" s="8" t="s">
        <v>8511</v>
      </c>
      <c r="B2418" s="17" t="s">
        <v>7800</v>
      </c>
      <c r="C2418" s="13">
        <v>42845</v>
      </c>
      <c r="D2418" s="13" t="s">
        <v>8465</v>
      </c>
      <c r="E2418" s="10" t="s">
        <v>3272</v>
      </c>
      <c r="F2418" s="10" t="s">
        <v>3760</v>
      </c>
      <c r="G2418" s="11" t="s">
        <v>8512</v>
      </c>
      <c r="H2418" s="2" t="s">
        <v>67</v>
      </c>
      <c r="I2418" s="18">
        <v>1</v>
      </c>
      <c r="L2418" s="18">
        <v>1</v>
      </c>
      <c r="N2418" s="13">
        <v>43910</v>
      </c>
      <c r="O2418" s="29">
        <v>5.99</v>
      </c>
      <c r="P2418" s="18" t="s">
        <v>1107</v>
      </c>
      <c r="Q2418" s="18">
        <v>1</v>
      </c>
      <c r="R2418" s="13">
        <v>43911</v>
      </c>
      <c r="S2418" s="21">
        <f>96/60</f>
        <v>1.6</v>
      </c>
      <c r="T2418" s="22">
        <v>0.75</v>
      </c>
      <c r="U2418" s="22">
        <v>0.75</v>
      </c>
      <c r="V2418" s="22">
        <f>3.36/5</f>
        <v>0.67199999999999993</v>
      </c>
      <c r="W2418" s="14" t="s">
        <v>7777</v>
      </c>
      <c r="AB2418" s="18">
        <f t="shared" si="74"/>
        <v>2017</v>
      </c>
      <c r="AC2418" s="22">
        <f t="shared" si="75"/>
        <v>0.72399999999999987</v>
      </c>
    </row>
    <row r="2419" spans="1:29">
      <c r="A2419" s="8" t="s">
        <v>5610</v>
      </c>
      <c r="B2419" s="17" t="s">
        <v>7800</v>
      </c>
      <c r="C2419" s="13">
        <v>42836</v>
      </c>
      <c r="D2419" s="13" t="s">
        <v>8465</v>
      </c>
      <c r="E2419" s="10" t="s">
        <v>1634</v>
      </c>
      <c r="F2419" s="10" t="s">
        <v>5611</v>
      </c>
      <c r="G2419" s="11" t="s">
        <v>5610</v>
      </c>
      <c r="H2419" s="2" t="s">
        <v>1040</v>
      </c>
      <c r="L2419" s="18">
        <v>1</v>
      </c>
      <c r="N2419" s="13">
        <v>42836</v>
      </c>
      <c r="O2419" s="29">
        <v>15</v>
      </c>
      <c r="P2419" s="18" t="s">
        <v>1107</v>
      </c>
      <c r="Q2419" s="18">
        <v>1</v>
      </c>
      <c r="R2419" s="13">
        <v>45137</v>
      </c>
      <c r="S2419" s="21">
        <f>12+30/60+54/3600</f>
        <v>12.515000000000001</v>
      </c>
      <c r="T2419" s="22">
        <v>0.4</v>
      </c>
      <c r="U2419" s="22">
        <v>0.75</v>
      </c>
      <c r="V2419" s="22">
        <f>3.55/5</f>
        <v>0.71</v>
      </c>
      <c r="W2419" s="14" t="s">
        <v>7777</v>
      </c>
      <c r="AB2419" s="18">
        <f t="shared" si="74"/>
        <v>2017</v>
      </c>
      <c r="AC2419" s="22">
        <f t="shared" si="75"/>
        <v>0.62</v>
      </c>
    </row>
    <row r="2420" spans="1:29" ht="25.5">
      <c r="A2420" s="8" t="s">
        <v>10061</v>
      </c>
      <c r="B2420" s="17" t="s">
        <v>7744</v>
      </c>
      <c r="C2420" s="13">
        <v>42831</v>
      </c>
      <c r="D2420" s="13" t="s">
        <v>8465</v>
      </c>
      <c r="E2420" s="10" t="s">
        <v>10062</v>
      </c>
      <c r="F2420" s="10" t="s">
        <v>10062</v>
      </c>
      <c r="H2420" s="2" t="s">
        <v>21</v>
      </c>
      <c r="L2420" s="18">
        <v>1</v>
      </c>
      <c r="N2420" s="13">
        <v>44294</v>
      </c>
      <c r="O2420" s="29">
        <v>3.2</v>
      </c>
      <c r="P2420" s="18" t="s">
        <v>1107</v>
      </c>
      <c r="Q2420" s="18">
        <v>1</v>
      </c>
      <c r="R2420" s="13">
        <v>44320</v>
      </c>
      <c r="S2420" s="21">
        <v>3</v>
      </c>
      <c r="T2420" s="22">
        <v>0.5</v>
      </c>
      <c r="U2420" s="22">
        <v>0.77</v>
      </c>
      <c r="V2420" s="22">
        <f>3.98/5</f>
        <v>0.79600000000000004</v>
      </c>
      <c r="AB2420" s="18">
        <f t="shared" si="74"/>
        <v>2017</v>
      </c>
      <c r="AC2420" s="22">
        <f t="shared" si="75"/>
        <v>0.68866666666666665</v>
      </c>
    </row>
    <row r="2421" spans="1:29">
      <c r="A2421" s="8" t="s">
        <v>1738</v>
      </c>
      <c r="B2421" s="17" t="s">
        <v>7744</v>
      </c>
      <c r="C2421" s="13">
        <v>42822</v>
      </c>
      <c r="D2421" s="13" t="s">
        <v>8465</v>
      </c>
      <c r="E2421" s="10" t="s">
        <v>1687</v>
      </c>
      <c r="F2421" s="10" t="s">
        <v>1687</v>
      </c>
      <c r="H2421" s="2" t="s">
        <v>1040</v>
      </c>
      <c r="L2421" s="18">
        <v>1</v>
      </c>
      <c r="N2421" s="13">
        <v>42832</v>
      </c>
      <c r="O2421" s="29">
        <v>19.989999999999998</v>
      </c>
      <c r="P2421" s="18" t="s">
        <v>1107</v>
      </c>
      <c r="Q2421" s="18">
        <v>1</v>
      </c>
      <c r="R2421" s="13">
        <v>44385</v>
      </c>
      <c r="S2421" s="21">
        <v>4</v>
      </c>
      <c r="T2421" s="22">
        <v>0.5</v>
      </c>
      <c r="U2421" s="22">
        <v>0.76</v>
      </c>
      <c r="V2421" s="22">
        <f>3.55/5</f>
        <v>0.71</v>
      </c>
      <c r="AB2421" s="18">
        <f t="shared" si="74"/>
        <v>2017</v>
      </c>
      <c r="AC2421" s="22">
        <f t="shared" si="75"/>
        <v>0.65666666666666662</v>
      </c>
    </row>
    <row r="2422" spans="1:29" ht="25.5">
      <c r="A2422" s="8" t="s">
        <v>6524</v>
      </c>
      <c r="B2422" s="17" t="s">
        <v>7800</v>
      </c>
      <c r="C2422" s="13">
        <v>42815</v>
      </c>
      <c r="D2422" s="13" t="s">
        <v>8465</v>
      </c>
      <c r="E2422" s="10" t="s">
        <v>231</v>
      </c>
      <c r="F2422" s="10" t="s">
        <v>1161</v>
      </c>
      <c r="G2422" s="11" t="s">
        <v>1162</v>
      </c>
      <c r="H2422" s="2" t="s">
        <v>171</v>
      </c>
      <c r="L2422" s="18">
        <v>1</v>
      </c>
      <c r="N2422" s="13">
        <v>42815</v>
      </c>
      <c r="O2422" s="29">
        <v>51.35</v>
      </c>
      <c r="P2422" s="18" t="s">
        <v>1107</v>
      </c>
      <c r="Q2422" s="18">
        <v>1</v>
      </c>
      <c r="R2422" s="13">
        <v>43909</v>
      </c>
      <c r="S2422" s="21">
        <f>10+55/60+54/3600</f>
        <v>10.931666666666667</v>
      </c>
      <c r="T2422" s="22">
        <v>0.55000000000000004</v>
      </c>
      <c r="U2422" s="22">
        <v>0.72</v>
      </c>
      <c r="V2422" s="22">
        <f>3.13/5</f>
        <v>0.626</v>
      </c>
      <c r="W2422" s="14" t="s">
        <v>7796</v>
      </c>
      <c r="AB2422" s="18">
        <f t="shared" si="74"/>
        <v>2017</v>
      </c>
      <c r="AC2422" s="22">
        <f t="shared" si="75"/>
        <v>0.63200000000000001</v>
      </c>
    </row>
    <row r="2423" spans="1:29">
      <c r="A2423" s="8" t="s">
        <v>12126</v>
      </c>
      <c r="B2423" s="17" t="s">
        <v>7800</v>
      </c>
      <c r="C2423" s="13">
        <v>42811</v>
      </c>
      <c r="D2423" s="13" t="s">
        <v>8465</v>
      </c>
      <c r="E2423" s="10" t="s">
        <v>12127</v>
      </c>
      <c r="F2423" s="10" t="s">
        <v>12127</v>
      </c>
      <c r="H2423" s="2" t="s">
        <v>1040</v>
      </c>
      <c r="L2423" s="18">
        <v>1</v>
      </c>
      <c r="O2423" s="29">
        <v>0</v>
      </c>
      <c r="P2423" s="18" t="s">
        <v>1107</v>
      </c>
      <c r="Q2423" s="18">
        <v>1</v>
      </c>
      <c r="R2423" s="13">
        <v>45147</v>
      </c>
      <c r="T2423" s="22">
        <v>0.7</v>
      </c>
      <c r="V2423" s="22">
        <f>3.88/5</f>
        <v>0.77600000000000002</v>
      </c>
      <c r="W2423" s="14" t="s">
        <v>8765</v>
      </c>
      <c r="AB2423" s="18">
        <f t="shared" si="74"/>
        <v>2017</v>
      </c>
      <c r="AC2423" s="22">
        <f t="shared" si="75"/>
        <v>0.73799999999999999</v>
      </c>
    </row>
    <row r="2424" spans="1:29">
      <c r="A2424" s="8" t="s">
        <v>4537</v>
      </c>
      <c r="B2424" s="17" t="s">
        <v>7800</v>
      </c>
      <c r="C2424" s="13">
        <v>42811</v>
      </c>
      <c r="D2424" s="13" t="s">
        <v>8465</v>
      </c>
      <c r="E2424" s="10" t="s">
        <v>1082</v>
      </c>
      <c r="F2424" s="10" t="s">
        <v>1082</v>
      </c>
      <c r="G2424" s="11" t="s">
        <v>4538</v>
      </c>
      <c r="H2424" s="2" t="s">
        <v>1059</v>
      </c>
      <c r="L2424" s="18">
        <v>1</v>
      </c>
      <c r="N2424" s="13">
        <v>43166</v>
      </c>
      <c r="O2424" s="29">
        <v>29.99</v>
      </c>
      <c r="P2424" s="18" t="s">
        <v>1107</v>
      </c>
      <c r="Q2424" s="18">
        <v>1</v>
      </c>
      <c r="R2424" s="13">
        <v>43347</v>
      </c>
      <c r="S2424" s="21">
        <v>18.66</v>
      </c>
      <c r="T2424" s="22">
        <v>0.9</v>
      </c>
      <c r="U2424" s="22">
        <v>0.87</v>
      </c>
      <c r="V2424" s="22">
        <f>4.27/5</f>
        <v>0.85399999999999987</v>
      </c>
      <c r="W2424" s="14" t="s">
        <v>7777</v>
      </c>
      <c r="AB2424" s="18">
        <f t="shared" si="74"/>
        <v>2017</v>
      </c>
      <c r="AC2424" s="22">
        <f t="shared" si="75"/>
        <v>0.87466666666666659</v>
      </c>
    </row>
    <row r="2425" spans="1:29">
      <c r="A2425" s="8" t="s">
        <v>1730</v>
      </c>
      <c r="B2425" s="17" t="s">
        <v>7744</v>
      </c>
      <c r="C2425" s="13">
        <v>42803</v>
      </c>
      <c r="D2425" s="13" t="s">
        <v>8465</v>
      </c>
      <c r="E2425" s="10" t="s">
        <v>1070</v>
      </c>
      <c r="F2425" s="10" t="s">
        <v>1070</v>
      </c>
      <c r="G2425" s="11" t="s">
        <v>208</v>
      </c>
      <c r="H2425" s="2" t="s">
        <v>151</v>
      </c>
      <c r="L2425" s="18">
        <v>1</v>
      </c>
      <c r="N2425" s="13">
        <v>42829</v>
      </c>
      <c r="O2425" s="29">
        <v>9.99</v>
      </c>
      <c r="P2425" s="18" t="s">
        <v>1107</v>
      </c>
      <c r="Q2425" s="18">
        <v>1</v>
      </c>
      <c r="R2425" s="13">
        <v>44386</v>
      </c>
      <c r="S2425" s="21">
        <f>5+54/60+57/3600</f>
        <v>5.9158333333333335</v>
      </c>
      <c r="T2425" s="22">
        <v>0.7</v>
      </c>
      <c r="U2425" s="22">
        <v>0.77</v>
      </c>
      <c r="V2425" s="22">
        <f>4.07/5</f>
        <v>0.81400000000000006</v>
      </c>
      <c r="AB2425" s="18">
        <f t="shared" si="74"/>
        <v>2017</v>
      </c>
      <c r="AC2425" s="22">
        <f t="shared" si="75"/>
        <v>0.76133333333333331</v>
      </c>
    </row>
    <row r="2426" spans="1:29" ht="25.5">
      <c r="A2426" s="8" t="s">
        <v>1694</v>
      </c>
      <c r="B2426" s="17" t="s">
        <v>7744</v>
      </c>
      <c r="C2426" s="13">
        <v>42797</v>
      </c>
      <c r="D2426" s="13" t="s">
        <v>8465</v>
      </c>
      <c r="E2426" s="10" t="s">
        <v>86</v>
      </c>
      <c r="F2426" s="10" t="s">
        <v>1138</v>
      </c>
      <c r="G2426" s="11" t="s">
        <v>85</v>
      </c>
      <c r="H2426" s="2" t="s">
        <v>80</v>
      </c>
      <c r="L2426" s="18">
        <v>1</v>
      </c>
      <c r="M2426" s="14" t="s">
        <v>8462</v>
      </c>
      <c r="N2426" s="13">
        <v>42797</v>
      </c>
      <c r="P2426" s="18" t="s">
        <v>14</v>
      </c>
      <c r="Q2426" s="18">
        <v>1</v>
      </c>
      <c r="R2426" s="13">
        <v>42833</v>
      </c>
      <c r="T2426" s="22">
        <v>1</v>
      </c>
      <c r="U2426" s="22">
        <v>0.97</v>
      </c>
      <c r="V2426" s="22">
        <f>4.54/5</f>
        <v>0.90800000000000003</v>
      </c>
      <c r="AB2426" s="18">
        <f t="shared" si="74"/>
        <v>2017</v>
      </c>
      <c r="AC2426" s="22">
        <f t="shared" si="75"/>
        <v>0.95933333333333337</v>
      </c>
    </row>
    <row r="2427" spans="1:29">
      <c r="A2427" s="8" t="s">
        <v>1732</v>
      </c>
      <c r="B2427" s="17" t="s">
        <v>7744</v>
      </c>
      <c r="C2427" s="13">
        <v>42797</v>
      </c>
      <c r="D2427" s="13" t="s">
        <v>8465</v>
      </c>
      <c r="E2427" s="10" t="s">
        <v>1733</v>
      </c>
      <c r="F2427" s="10" t="s">
        <v>1733</v>
      </c>
      <c r="G2427" s="11" t="s">
        <v>1734</v>
      </c>
      <c r="H2427" s="2" t="s">
        <v>150</v>
      </c>
      <c r="L2427" s="18">
        <v>1</v>
      </c>
      <c r="N2427" s="13">
        <v>42829</v>
      </c>
      <c r="O2427" s="29">
        <v>19.989999999999998</v>
      </c>
      <c r="P2427" s="18" t="s">
        <v>1107</v>
      </c>
      <c r="Q2427" s="18">
        <v>1</v>
      </c>
      <c r="R2427" s="13">
        <v>44585</v>
      </c>
      <c r="S2427" s="21">
        <v>3</v>
      </c>
      <c r="T2427" s="22">
        <v>0.6</v>
      </c>
      <c r="U2427" s="22">
        <v>0.81</v>
      </c>
      <c r="V2427" s="22">
        <f>4.01/5</f>
        <v>0.80199999999999994</v>
      </c>
      <c r="AB2427" s="18">
        <f t="shared" si="74"/>
        <v>2017</v>
      </c>
      <c r="AC2427" s="22">
        <f t="shared" si="75"/>
        <v>0.7373333333333334</v>
      </c>
    </row>
    <row r="2428" spans="1:29" ht="25.5">
      <c r="A2428" s="8" t="s">
        <v>8404</v>
      </c>
      <c r="B2428" s="17" t="s">
        <v>7760</v>
      </c>
      <c r="C2428" s="13">
        <v>42795</v>
      </c>
      <c r="D2428" s="13" t="s">
        <v>8465</v>
      </c>
      <c r="E2428" s="10" t="s">
        <v>1082</v>
      </c>
      <c r="F2428" s="10" t="s">
        <v>1082</v>
      </c>
      <c r="G2428" s="11" t="s">
        <v>126</v>
      </c>
      <c r="H2428" s="2" t="s">
        <v>153</v>
      </c>
      <c r="L2428" s="18">
        <v>0</v>
      </c>
      <c r="Q2428" s="18">
        <v>1</v>
      </c>
      <c r="R2428" s="13">
        <v>44571</v>
      </c>
      <c r="S2428" s="21">
        <v>1</v>
      </c>
      <c r="T2428" s="22">
        <v>0.5</v>
      </c>
      <c r="U2428" s="22">
        <v>0.65</v>
      </c>
      <c r="V2428" s="22">
        <f>3.2/5</f>
        <v>0.64</v>
      </c>
      <c r="W2428" s="14" t="s">
        <v>5674</v>
      </c>
      <c r="AB2428" s="18">
        <f t="shared" si="74"/>
        <v>2017</v>
      </c>
      <c r="AC2428" s="22">
        <f t="shared" si="75"/>
        <v>0.59666666666666668</v>
      </c>
    </row>
    <row r="2429" spans="1:29" ht="30">
      <c r="A2429" s="8" t="s">
        <v>6133</v>
      </c>
      <c r="B2429" s="17" t="s">
        <v>7760</v>
      </c>
      <c r="C2429" s="13">
        <v>42794</v>
      </c>
      <c r="D2429" s="13" t="s">
        <v>8465</v>
      </c>
      <c r="E2429" s="10" t="s">
        <v>6107</v>
      </c>
      <c r="F2429" s="10" t="s">
        <v>5882</v>
      </c>
      <c r="G2429" s="11" t="s">
        <v>6134</v>
      </c>
      <c r="H2429" s="2" t="s">
        <v>80</v>
      </c>
      <c r="L2429" s="18">
        <v>1</v>
      </c>
      <c r="M2429" s="14" t="s">
        <v>8462</v>
      </c>
      <c r="N2429" s="13">
        <v>42899</v>
      </c>
      <c r="O2429" s="29">
        <v>42.67</v>
      </c>
      <c r="P2429" s="18" t="s">
        <v>14</v>
      </c>
      <c r="Q2429" s="18">
        <v>1</v>
      </c>
      <c r="R2429" s="13">
        <v>44558</v>
      </c>
      <c r="S2429" s="21">
        <f>31+54/60+16/3600</f>
        <v>31.904444444444444</v>
      </c>
      <c r="T2429" s="22">
        <v>0.9</v>
      </c>
      <c r="U2429" s="22">
        <v>0.88</v>
      </c>
      <c r="V2429" s="22">
        <f>4.25/5</f>
        <v>0.85</v>
      </c>
      <c r="AB2429" s="18">
        <f t="shared" si="74"/>
        <v>2017</v>
      </c>
      <c r="AC2429" s="22">
        <f t="shared" si="75"/>
        <v>0.87666666666666659</v>
      </c>
    </row>
    <row r="2430" spans="1:29">
      <c r="A2430" s="8" t="s">
        <v>1607</v>
      </c>
      <c r="B2430" s="17" t="s">
        <v>7800</v>
      </c>
      <c r="C2430" s="13">
        <v>42790</v>
      </c>
      <c r="D2430" s="13" t="s">
        <v>8465</v>
      </c>
      <c r="E2430" s="10" t="s">
        <v>1608</v>
      </c>
      <c r="F2430" s="10" t="s">
        <v>1608</v>
      </c>
      <c r="G2430" s="11" t="s">
        <v>1607</v>
      </c>
      <c r="H2430" s="2" t="s">
        <v>151</v>
      </c>
      <c r="L2430" s="18">
        <v>1</v>
      </c>
      <c r="N2430" s="13">
        <v>43095</v>
      </c>
      <c r="O2430" s="29">
        <v>9.89</v>
      </c>
      <c r="P2430" s="18" t="s">
        <v>1107</v>
      </c>
      <c r="Q2430" s="18">
        <v>1</v>
      </c>
      <c r="R2430" s="13">
        <v>45016</v>
      </c>
      <c r="S2430" s="21">
        <f>26+4/60</f>
        <v>26.066666666666666</v>
      </c>
      <c r="T2430" s="22">
        <v>0.95</v>
      </c>
      <c r="U2430" s="22">
        <v>0.85</v>
      </c>
      <c r="V2430" s="22">
        <f>4.35/5</f>
        <v>0.86999999999999988</v>
      </c>
      <c r="W2430" s="14" t="s">
        <v>7777</v>
      </c>
      <c r="AB2430" s="18">
        <f t="shared" si="74"/>
        <v>2017</v>
      </c>
      <c r="AC2430" s="22">
        <f t="shared" si="75"/>
        <v>0.89</v>
      </c>
    </row>
    <row r="2431" spans="1:29" ht="25.5">
      <c r="A2431" s="8" t="s">
        <v>11240</v>
      </c>
      <c r="B2431" s="17" t="s">
        <v>7749</v>
      </c>
      <c r="C2431" s="13">
        <v>42775</v>
      </c>
      <c r="D2431" s="13" t="s">
        <v>8465</v>
      </c>
      <c r="E2431" s="10" t="s">
        <v>10018</v>
      </c>
      <c r="F2431" s="10" t="s">
        <v>11255</v>
      </c>
      <c r="G2431" s="11" t="s">
        <v>11256</v>
      </c>
      <c r="H2431" s="2" t="s">
        <v>1057</v>
      </c>
      <c r="L2431" s="18">
        <v>1</v>
      </c>
      <c r="N2431" s="13">
        <v>44673</v>
      </c>
      <c r="O2431" s="29">
        <v>2.5</v>
      </c>
      <c r="P2431" s="18" t="s">
        <v>1107</v>
      </c>
      <c r="Q2431" s="18">
        <v>1</v>
      </c>
      <c r="R2431" s="13">
        <v>44799</v>
      </c>
      <c r="S2431" s="21">
        <f>5+38/60</f>
        <v>5.6333333333333329</v>
      </c>
      <c r="T2431" s="22">
        <v>0.5</v>
      </c>
      <c r="V2431" s="22">
        <f>3.65/5</f>
        <v>0.73</v>
      </c>
      <c r="AB2431" s="18">
        <f t="shared" si="74"/>
        <v>2017</v>
      </c>
      <c r="AC2431" s="22">
        <f t="shared" si="75"/>
        <v>0.61499999999999999</v>
      </c>
    </row>
    <row r="2432" spans="1:29">
      <c r="A2432" s="8" t="s">
        <v>8267</v>
      </c>
      <c r="B2432" s="17" t="s">
        <v>7800</v>
      </c>
      <c r="C2432" s="13">
        <v>42765</v>
      </c>
      <c r="D2432" s="13" t="s">
        <v>8465</v>
      </c>
      <c r="E2432" s="10" t="s">
        <v>479</v>
      </c>
      <c r="F2432" s="10" t="s">
        <v>479</v>
      </c>
      <c r="G2432" s="11" t="s">
        <v>111</v>
      </c>
      <c r="H2432" s="2" t="s">
        <v>153</v>
      </c>
      <c r="L2432" s="18">
        <v>1</v>
      </c>
      <c r="N2432" s="13">
        <v>43827</v>
      </c>
      <c r="O2432" s="29">
        <v>1.74</v>
      </c>
      <c r="P2432" s="18" t="s">
        <v>1107</v>
      </c>
      <c r="Q2432" s="18">
        <v>1</v>
      </c>
      <c r="R2432" s="13">
        <v>44936</v>
      </c>
      <c r="S2432" s="21">
        <f>66/60</f>
        <v>1.1000000000000001</v>
      </c>
      <c r="T2432" s="22">
        <v>0.2</v>
      </c>
      <c r="U2432" s="22">
        <v>0.5</v>
      </c>
      <c r="V2432" s="22">
        <f>3.04/5</f>
        <v>0.60799999999999998</v>
      </c>
      <c r="W2432" s="14" t="s">
        <v>7777</v>
      </c>
      <c r="AB2432" s="18">
        <f t="shared" si="74"/>
        <v>2017</v>
      </c>
      <c r="AC2432" s="22">
        <f t="shared" si="75"/>
        <v>0.43599999999999994</v>
      </c>
    </row>
    <row r="2433" spans="1:29" ht="25.5">
      <c r="A2433" s="8" t="s">
        <v>4813</v>
      </c>
      <c r="B2433" s="17" t="s">
        <v>7800</v>
      </c>
      <c r="C2433" s="13">
        <v>42759</v>
      </c>
      <c r="D2433" s="13" t="s">
        <v>8465</v>
      </c>
      <c r="E2433" s="10" t="s">
        <v>73</v>
      </c>
      <c r="F2433" s="10" t="s">
        <v>73</v>
      </c>
      <c r="G2433" s="11" t="s">
        <v>943</v>
      </c>
      <c r="H2433" s="2" t="s">
        <v>1061</v>
      </c>
      <c r="L2433" s="18">
        <v>1</v>
      </c>
      <c r="N2433" s="13">
        <v>43453</v>
      </c>
      <c r="O2433" s="29">
        <v>15.44</v>
      </c>
      <c r="P2433" s="18" t="s">
        <v>1107</v>
      </c>
      <c r="Q2433" s="18">
        <v>1</v>
      </c>
      <c r="R2433" s="13">
        <v>43743</v>
      </c>
      <c r="S2433" s="21">
        <f>7+37/60+11/3600</f>
        <v>7.6197222222222223</v>
      </c>
      <c r="T2433" s="22">
        <v>0.85</v>
      </c>
      <c r="U2433" s="22">
        <v>0.81</v>
      </c>
      <c r="V2433" s="22">
        <f>3.91/5</f>
        <v>0.78200000000000003</v>
      </c>
      <c r="W2433" s="14" t="s">
        <v>7777</v>
      </c>
      <c r="AB2433" s="18">
        <f t="shared" ref="AB2433:AB2496" si="76">IFERROR(YEAR(C2433), "Early Access")</f>
        <v>2017</v>
      </c>
      <c r="AC2433" s="22">
        <f t="shared" ref="AC2433:AC2496" si="77">AVERAGE(T2433, U2433, V2433, IF(ISBLANK(X2433), X2433, X2433/5))</f>
        <v>0.81400000000000006</v>
      </c>
    </row>
    <row r="2434" spans="1:29">
      <c r="A2434" s="8" t="s">
        <v>6895</v>
      </c>
      <c r="B2434" s="17" t="s">
        <v>7800</v>
      </c>
      <c r="C2434" s="13">
        <v>42724</v>
      </c>
      <c r="D2434" s="13" t="s">
        <v>8465</v>
      </c>
      <c r="E2434" s="10" t="s">
        <v>1273</v>
      </c>
      <c r="F2434" s="10" t="s">
        <v>6337</v>
      </c>
      <c r="G2434" s="11" t="s">
        <v>6895</v>
      </c>
      <c r="H2434" s="2" t="s">
        <v>67</v>
      </c>
      <c r="L2434" s="18">
        <v>1</v>
      </c>
      <c r="N2434" s="13">
        <v>43956</v>
      </c>
      <c r="O2434" s="29">
        <v>0</v>
      </c>
      <c r="P2434" s="18" t="s">
        <v>1107</v>
      </c>
      <c r="Q2434" s="18">
        <v>0</v>
      </c>
      <c r="V2434" s="22">
        <f>4/5</f>
        <v>0.8</v>
      </c>
      <c r="W2434" s="14" t="s">
        <v>7777</v>
      </c>
      <c r="X2434" s="3">
        <v>3</v>
      </c>
      <c r="Z2434" s="23">
        <v>20</v>
      </c>
      <c r="AB2434" s="18">
        <f t="shared" si="76"/>
        <v>2016</v>
      </c>
      <c r="AC2434" s="22">
        <f t="shared" si="77"/>
        <v>0.7</v>
      </c>
    </row>
    <row r="2435" spans="1:29">
      <c r="A2435" s="8" t="s">
        <v>13412</v>
      </c>
      <c r="B2435" s="17" t="s">
        <v>7800</v>
      </c>
      <c r="C2435" s="13">
        <v>42720</v>
      </c>
      <c r="D2435" s="13" t="s">
        <v>8465</v>
      </c>
      <c r="E2435" s="10" t="s">
        <v>13413</v>
      </c>
      <c r="F2435" s="10" t="s">
        <v>13413</v>
      </c>
      <c r="H2435" s="2" t="s">
        <v>78</v>
      </c>
      <c r="L2435" s="18">
        <v>1</v>
      </c>
      <c r="N2435" s="13">
        <v>44963</v>
      </c>
      <c r="O2435" s="29">
        <v>0.89</v>
      </c>
      <c r="P2435" s="18" t="s">
        <v>1107</v>
      </c>
      <c r="Q2435" s="18">
        <v>0</v>
      </c>
      <c r="V2435" s="22">
        <f>2.95/5</f>
        <v>0.59000000000000008</v>
      </c>
      <c r="W2435" s="14" t="s">
        <v>7777</v>
      </c>
      <c r="X2435" s="3">
        <v>2</v>
      </c>
      <c r="Z2435" s="23">
        <v>1</v>
      </c>
      <c r="AB2435" s="18">
        <f t="shared" si="76"/>
        <v>2016</v>
      </c>
      <c r="AC2435" s="22">
        <f t="shared" si="77"/>
        <v>0.49500000000000005</v>
      </c>
    </row>
    <row r="2436" spans="1:29">
      <c r="A2436" s="8" t="s">
        <v>15888</v>
      </c>
      <c r="B2436" s="17" t="s">
        <v>7734</v>
      </c>
      <c r="C2436" s="13">
        <v>42719</v>
      </c>
      <c r="D2436" s="13" t="s">
        <v>8465</v>
      </c>
      <c r="E2436" s="10" t="s">
        <v>15889</v>
      </c>
      <c r="F2436" s="10" t="s">
        <v>15889</v>
      </c>
      <c r="G2436" s="11" t="s">
        <v>15868</v>
      </c>
      <c r="H2436" s="2" t="s">
        <v>64</v>
      </c>
      <c r="L2436" s="18">
        <v>0</v>
      </c>
      <c r="Q2436" s="18">
        <v>0</v>
      </c>
      <c r="V2436" s="22">
        <f>2.63/5</f>
        <v>0.52600000000000002</v>
      </c>
      <c r="X2436" s="3">
        <v>2</v>
      </c>
      <c r="Z2436" s="23">
        <f>50/60</f>
        <v>0.83333333333333337</v>
      </c>
      <c r="AB2436" s="18">
        <f t="shared" si="76"/>
        <v>2016</v>
      </c>
      <c r="AC2436" s="22">
        <f t="shared" si="77"/>
        <v>0.46300000000000002</v>
      </c>
    </row>
    <row r="2437" spans="1:29" ht="25.5">
      <c r="A2437" s="8" t="s">
        <v>9009</v>
      </c>
      <c r="B2437" s="17" t="s">
        <v>7800</v>
      </c>
      <c r="C2437" s="13">
        <v>42717</v>
      </c>
      <c r="D2437" s="13" t="s">
        <v>8465</v>
      </c>
      <c r="E2437" s="10" t="s">
        <v>3246</v>
      </c>
      <c r="F2437" s="10" t="s">
        <v>3246</v>
      </c>
      <c r="G2437" s="11" t="s">
        <v>207</v>
      </c>
      <c r="H2437" s="2" t="s">
        <v>67</v>
      </c>
      <c r="L2437" s="18">
        <v>1</v>
      </c>
      <c r="N2437" s="13">
        <v>44019</v>
      </c>
      <c r="O2437" s="29">
        <v>0</v>
      </c>
      <c r="P2437" s="18" t="s">
        <v>1107</v>
      </c>
      <c r="Q2437" s="18">
        <v>0</v>
      </c>
      <c r="U2437" s="22">
        <v>0.64</v>
      </c>
      <c r="V2437" s="22">
        <f>3.4/5</f>
        <v>0.67999999999999994</v>
      </c>
      <c r="W2437" s="14" t="s">
        <v>7777</v>
      </c>
      <c r="X2437" s="3">
        <v>4</v>
      </c>
      <c r="Z2437" s="23">
        <v>8.5</v>
      </c>
      <c r="AB2437" s="18">
        <f t="shared" si="76"/>
        <v>2016</v>
      </c>
      <c r="AC2437" s="22">
        <f t="shared" si="77"/>
        <v>0.70666666666666667</v>
      </c>
    </row>
    <row r="2438" spans="1:29">
      <c r="A2438" s="8" t="s">
        <v>8769</v>
      </c>
      <c r="B2438" s="17" t="s">
        <v>7800</v>
      </c>
      <c r="C2438" s="13">
        <v>42717</v>
      </c>
      <c r="D2438" s="13" t="s">
        <v>8465</v>
      </c>
      <c r="E2438" s="10" t="s">
        <v>8770</v>
      </c>
      <c r="F2438" s="10" t="s">
        <v>8770</v>
      </c>
      <c r="G2438" s="11" t="s">
        <v>2807</v>
      </c>
      <c r="H2438" s="2" t="s">
        <v>2820</v>
      </c>
      <c r="L2438" s="18">
        <v>1</v>
      </c>
      <c r="N2438" s="13">
        <v>43987</v>
      </c>
      <c r="O2438" s="29">
        <v>0.62</v>
      </c>
      <c r="P2438" s="18" t="s">
        <v>1107</v>
      </c>
      <c r="Q2438" s="18">
        <v>0</v>
      </c>
      <c r="V2438" s="22">
        <f>3.56/5</f>
        <v>0.71199999999999997</v>
      </c>
      <c r="W2438" s="14" t="s">
        <v>8765</v>
      </c>
      <c r="X2438" s="3">
        <v>3</v>
      </c>
      <c r="Z2438" s="23">
        <v>4</v>
      </c>
      <c r="AB2438" s="18">
        <f t="shared" si="76"/>
        <v>2016</v>
      </c>
      <c r="AC2438" s="22">
        <f t="shared" si="77"/>
        <v>0.65599999999999992</v>
      </c>
    </row>
    <row r="2439" spans="1:29">
      <c r="A2439" s="8" t="s">
        <v>8763</v>
      </c>
      <c r="B2439" s="17" t="s">
        <v>7800</v>
      </c>
      <c r="C2439" s="13">
        <v>42713</v>
      </c>
      <c r="D2439" s="13" t="s">
        <v>8465</v>
      </c>
      <c r="E2439" s="10" t="s">
        <v>3467</v>
      </c>
      <c r="F2439" s="10" t="s">
        <v>8764</v>
      </c>
      <c r="H2439" s="2" t="s">
        <v>78</v>
      </c>
      <c r="L2439" s="18">
        <v>1</v>
      </c>
      <c r="N2439" s="13">
        <v>43987</v>
      </c>
      <c r="O2439" s="29">
        <v>0.62</v>
      </c>
      <c r="P2439" s="18" t="s">
        <v>1107</v>
      </c>
      <c r="Q2439" s="18">
        <v>0</v>
      </c>
      <c r="U2439" s="22">
        <v>0.8</v>
      </c>
      <c r="V2439" s="22">
        <f>4.09/5</f>
        <v>0.81799999999999995</v>
      </c>
      <c r="W2439" s="14" t="s">
        <v>8765</v>
      </c>
      <c r="X2439" s="3">
        <v>4</v>
      </c>
      <c r="Z2439" s="23">
        <v>4</v>
      </c>
      <c r="AB2439" s="18">
        <f t="shared" si="76"/>
        <v>2016</v>
      </c>
      <c r="AC2439" s="22">
        <f t="shared" si="77"/>
        <v>0.80600000000000005</v>
      </c>
    </row>
    <row r="2440" spans="1:29">
      <c r="A2440" s="8" t="s">
        <v>10634</v>
      </c>
      <c r="B2440" s="17" t="s">
        <v>7749</v>
      </c>
      <c r="C2440" s="13">
        <v>42712</v>
      </c>
      <c r="D2440" s="13" t="s">
        <v>8463</v>
      </c>
      <c r="E2440" s="10" t="s">
        <v>455</v>
      </c>
      <c r="F2440" s="10" t="s">
        <v>1492</v>
      </c>
      <c r="G2440" s="11" t="s">
        <v>1211</v>
      </c>
      <c r="H2440" s="2" t="s">
        <v>78</v>
      </c>
      <c r="K2440" s="18">
        <v>2</v>
      </c>
      <c r="L2440" s="18">
        <v>0</v>
      </c>
      <c r="Q2440" s="18">
        <v>0</v>
      </c>
      <c r="V2440" s="22">
        <f>3.44/5</f>
        <v>0.68799999999999994</v>
      </c>
      <c r="X2440" s="3">
        <v>3</v>
      </c>
      <c r="Z2440" s="23">
        <v>15.5</v>
      </c>
      <c r="AB2440" s="18">
        <f t="shared" si="76"/>
        <v>2016</v>
      </c>
      <c r="AC2440" s="22">
        <f t="shared" si="77"/>
        <v>0.64399999999999991</v>
      </c>
    </row>
    <row r="2441" spans="1:29">
      <c r="A2441" s="8" t="s">
        <v>5387</v>
      </c>
      <c r="B2441" s="17" t="s">
        <v>7800</v>
      </c>
      <c r="C2441" s="13">
        <v>42711</v>
      </c>
      <c r="D2441" s="13" t="s">
        <v>8465</v>
      </c>
      <c r="E2441" s="10" t="s">
        <v>4251</v>
      </c>
      <c r="F2441" s="10" t="s">
        <v>4251</v>
      </c>
      <c r="H2441" s="2" t="s">
        <v>67</v>
      </c>
      <c r="L2441" s="18">
        <v>1</v>
      </c>
      <c r="N2441" s="13">
        <v>41085</v>
      </c>
      <c r="P2441" s="18" t="s">
        <v>1107</v>
      </c>
      <c r="Q2441" s="18">
        <v>0</v>
      </c>
      <c r="U2441" s="22">
        <v>0.73</v>
      </c>
      <c r="V2441" s="22">
        <f>3.87/5</f>
        <v>0.77400000000000002</v>
      </c>
      <c r="W2441" s="14" t="s">
        <v>7777</v>
      </c>
      <c r="X2441" s="3">
        <v>2</v>
      </c>
      <c r="Z2441" s="23">
        <v>27</v>
      </c>
      <c r="AB2441" s="18">
        <f t="shared" si="76"/>
        <v>2016</v>
      </c>
      <c r="AC2441" s="22">
        <f t="shared" si="77"/>
        <v>0.6346666666666666</v>
      </c>
    </row>
    <row r="2442" spans="1:29" ht="30">
      <c r="A2442" s="8" t="s">
        <v>6166</v>
      </c>
      <c r="B2442" s="17" t="s">
        <v>7760</v>
      </c>
      <c r="C2442" s="13">
        <v>42710</v>
      </c>
      <c r="D2442" s="13" t="s">
        <v>8465</v>
      </c>
      <c r="E2442" s="10" t="s">
        <v>6107</v>
      </c>
      <c r="F2442" s="10" t="s">
        <v>6034</v>
      </c>
      <c r="H2442" s="2" t="s">
        <v>80</v>
      </c>
      <c r="L2442" s="18">
        <v>1</v>
      </c>
      <c r="M2442" s="14" t="s">
        <v>8462</v>
      </c>
      <c r="N2442" s="13">
        <v>43504</v>
      </c>
      <c r="O2442" s="29">
        <v>25</v>
      </c>
      <c r="P2442" s="18" t="s">
        <v>14</v>
      </c>
      <c r="Q2442" s="18">
        <v>0</v>
      </c>
      <c r="U2442" s="22">
        <v>0.82</v>
      </c>
      <c r="V2442" s="22">
        <f>3.9/5</f>
        <v>0.78</v>
      </c>
      <c r="X2442" s="3">
        <v>4</v>
      </c>
      <c r="Z2442" s="23">
        <v>12</v>
      </c>
      <c r="AB2442" s="18">
        <f t="shared" si="76"/>
        <v>2016</v>
      </c>
      <c r="AC2442" s="22">
        <f t="shared" si="77"/>
        <v>0.80000000000000016</v>
      </c>
    </row>
    <row r="2443" spans="1:29" ht="25.5">
      <c r="A2443" s="8" t="s">
        <v>12872</v>
      </c>
      <c r="B2443" s="17" t="s">
        <v>7800</v>
      </c>
      <c r="C2443" s="13">
        <v>42710</v>
      </c>
      <c r="D2443" s="13" t="s">
        <v>8465</v>
      </c>
      <c r="E2443" s="10" t="s">
        <v>3072</v>
      </c>
      <c r="F2443" s="10" t="s">
        <v>4959</v>
      </c>
      <c r="G2443" s="11" t="s">
        <v>12874</v>
      </c>
      <c r="H2443" s="2" t="s">
        <v>245</v>
      </c>
      <c r="L2443" s="18">
        <v>1</v>
      </c>
      <c r="N2443" s="13">
        <v>43256</v>
      </c>
      <c r="P2443" s="18" t="s">
        <v>1107</v>
      </c>
      <c r="Q2443" s="18">
        <v>0</v>
      </c>
      <c r="U2443" s="22">
        <v>0.84</v>
      </c>
      <c r="V2443" s="22">
        <f>3.98/5</f>
        <v>0.79600000000000004</v>
      </c>
      <c r="W2443" s="14" t="s">
        <v>7777</v>
      </c>
      <c r="X2443" s="3">
        <v>3</v>
      </c>
      <c r="Z2443" s="23">
        <v>24</v>
      </c>
      <c r="AB2443" s="18">
        <f t="shared" si="76"/>
        <v>2016</v>
      </c>
      <c r="AC2443" s="22">
        <f t="shared" si="77"/>
        <v>0.7453333333333334</v>
      </c>
    </row>
    <row r="2444" spans="1:29" ht="30">
      <c r="A2444" s="8" t="s">
        <v>1646</v>
      </c>
      <c r="B2444" s="17" t="s">
        <v>7760</v>
      </c>
      <c r="C2444" s="13">
        <v>42710</v>
      </c>
      <c r="D2444" s="13" t="s">
        <v>8465</v>
      </c>
      <c r="E2444" s="10" t="s">
        <v>1583</v>
      </c>
      <c r="F2444" s="10" t="s">
        <v>1655</v>
      </c>
      <c r="G2444" s="11" t="s">
        <v>1646</v>
      </c>
      <c r="H2444" s="2" t="s">
        <v>1050</v>
      </c>
      <c r="L2444" s="18">
        <v>1</v>
      </c>
      <c r="M2444" s="14" t="s">
        <v>8462</v>
      </c>
      <c r="N2444" s="13">
        <v>43771</v>
      </c>
      <c r="O2444" s="29">
        <v>38.32</v>
      </c>
      <c r="P2444" s="18" t="s">
        <v>14</v>
      </c>
      <c r="Q2444" s="18">
        <v>0</v>
      </c>
      <c r="V2444" s="22">
        <f>3.44/5</f>
        <v>0.68799999999999994</v>
      </c>
      <c r="W2444" s="14" t="s">
        <v>1134</v>
      </c>
      <c r="X2444" s="3">
        <v>4</v>
      </c>
      <c r="Z2444" s="23">
        <v>6</v>
      </c>
      <c r="AB2444" s="18">
        <f t="shared" si="76"/>
        <v>2016</v>
      </c>
      <c r="AC2444" s="22">
        <f t="shared" si="77"/>
        <v>0.74399999999999999</v>
      </c>
    </row>
    <row r="2445" spans="1:29" ht="25.5">
      <c r="A2445" s="8" t="s">
        <v>9911</v>
      </c>
      <c r="B2445" s="17" t="s">
        <v>7800</v>
      </c>
      <c r="C2445" s="13">
        <v>42709</v>
      </c>
      <c r="D2445" s="13" t="s">
        <v>8465</v>
      </c>
      <c r="E2445" s="10" t="s">
        <v>3615</v>
      </c>
      <c r="F2445" s="10" t="s">
        <v>3615</v>
      </c>
      <c r="G2445" s="11" t="s">
        <v>5216</v>
      </c>
      <c r="H2445" s="2" t="s">
        <v>1334</v>
      </c>
      <c r="I2445" s="18">
        <v>1</v>
      </c>
      <c r="L2445" s="18">
        <v>1</v>
      </c>
      <c r="N2445" s="13">
        <v>44293</v>
      </c>
      <c r="O2445" s="29">
        <v>0</v>
      </c>
      <c r="P2445" s="18" t="s">
        <v>1107</v>
      </c>
      <c r="Q2445" s="18">
        <v>0</v>
      </c>
      <c r="W2445" s="14" t="s">
        <v>7777</v>
      </c>
      <c r="X2445" s="3">
        <v>3</v>
      </c>
      <c r="Z2445" s="23">
        <v>2</v>
      </c>
      <c r="AB2445" s="18">
        <f t="shared" si="76"/>
        <v>2016</v>
      </c>
      <c r="AC2445" s="22">
        <f t="shared" si="77"/>
        <v>0.6</v>
      </c>
    </row>
    <row r="2446" spans="1:29" ht="30">
      <c r="A2446" s="8" t="s">
        <v>14942</v>
      </c>
      <c r="B2446" s="17" t="s">
        <v>7800</v>
      </c>
      <c r="C2446" s="13">
        <v>42709</v>
      </c>
      <c r="D2446" s="13" t="s">
        <v>8465</v>
      </c>
      <c r="E2446" s="10" t="s">
        <v>14943</v>
      </c>
      <c r="F2446" s="10" t="s">
        <v>14944</v>
      </c>
      <c r="H2446" s="2" t="s">
        <v>1377</v>
      </c>
      <c r="L2446" s="18">
        <v>1</v>
      </c>
      <c r="N2446" s="13">
        <v>45073</v>
      </c>
      <c r="O2446" s="29">
        <v>0</v>
      </c>
      <c r="P2446" s="18" t="s">
        <v>1107</v>
      </c>
      <c r="Q2446" s="18">
        <v>0</v>
      </c>
      <c r="V2446" s="22">
        <f>2.83/5</f>
        <v>0.56600000000000006</v>
      </c>
      <c r="W2446" s="14" t="s">
        <v>7777</v>
      </c>
      <c r="X2446" s="3">
        <v>2</v>
      </c>
      <c r="Z2446" s="23">
        <v>4</v>
      </c>
      <c r="AB2446" s="18">
        <f t="shared" si="76"/>
        <v>2016</v>
      </c>
      <c r="AC2446" s="22">
        <f t="shared" si="77"/>
        <v>0.48300000000000004</v>
      </c>
    </row>
    <row r="2447" spans="1:29">
      <c r="A2447" s="8" t="s">
        <v>4274</v>
      </c>
      <c r="B2447" s="17" t="s">
        <v>7800</v>
      </c>
      <c r="C2447" s="13">
        <v>42708</v>
      </c>
      <c r="D2447" s="13" t="s">
        <v>8465</v>
      </c>
      <c r="E2447" s="10" t="s">
        <v>1082</v>
      </c>
      <c r="F2447" s="10" t="s">
        <v>4275</v>
      </c>
      <c r="G2447" s="11" t="s">
        <v>1853</v>
      </c>
      <c r="H2447" s="2" t="s">
        <v>78</v>
      </c>
      <c r="L2447" s="18">
        <v>1</v>
      </c>
      <c r="N2447" s="13">
        <v>43325</v>
      </c>
      <c r="O2447" s="29">
        <v>2.4900000000000002</v>
      </c>
      <c r="P2447" s="18" t="s">
        <v>1107</v>
      </c>
      <c r="Q2447" s="18">
        <v>0</v>
      </c>
      <c r="U2447" s="22">
        <v>0.74</v>
      </c>
      <c r="V2447" s="22">
        <f>3.55/5</f>
        <v>0.71</v>
      </c>
      <c r="W2447" s="14" t="s">
        <v>7777</v>
      </c>
      <c r="X2447" s="3">
        <v>3</v>
      </c>
      <c r="Z2447" s="23">
        <v>3.5</v>
      </c>
      <c r="AB2447" s="18">
        <f t="shared" si="76"/>
        <v>2016</v>
      </c>
      <c r="AC2447" s="22">
        <f t="shared" si="77"/>
        <v>0.68333333333333324</v>
      </c>
    </row>
    <row r="2448" spans="1:29">
      <c r="A2448" s="8" t="s">
        <v>8289</v>
      </c>
      <c r="B2448" s="17" t="s">
        <v>7800</v>
      </c>
      <c r="C2448" s="13">
        <v>42706</v>
      </c>
      <c r="D2448" s="13" t="s">
        <v>8465</v>
      </c>
      <c r="E2448" s="10" t="s">
        <v>1047</v>
      </c>
      <c r="F2448" s="10" t="s">
        <v>8290</v>
      </c>
      <c r="H2448" s="2" t="s">
        <v>255</v>
      </c>
      <c r="L2448" s="18">
        <v>1</v>
      </c>
      <c r="N2448" s="13">
        <v>43831</v>
      </c>
      <c r="O2448" s="29">
        <v>0</v>
      </c>
      <c r="P2448" s="18" t="s">
        <v>1107</v>
      </c>
      <c r="Q2448" s="18">
        <v>0</v>
      </c>
      <c r="U2448" s="22">
        <v>0.72</v>
      </c>
      <c r="V2448" s="22">
        <f>3.42/5</f>
        <v>0.68399999999999994</v>
      </c>
      <c r="W2448" s="14" t="s">
        <v>7097</v>
      </c>
      <c r="X2448" s="3">
        <v>3</v>
      </c>
      <c r="Z2448" s="23">
        <v>11.5</v>
      </c>
      <c r="AB2448" s="18">
        <f t="shared" si="76"/>
        <v>2016</v>
      </c>
      <c r="AC2448" s="22">
        <f t="shared" si="77"/>
        <v>0.66800000000000004</v>
      </c>
    </row>
    <row r="2449" spans="1:29" ht="25.5">
      <c r="A2449" s="8" t="s">
        <v>2411</v>
      </c>
      <c r="B2449" s="17" t="s">
        <v>7749</v>
      </c>
      <c r="C2449" s="13">
        <v>42706</v>
      </c>
      <c r="D2449" s="13" t="s">
        <v>8465</v>
      </c>
      <c r="E2449" s="10" t="s">
        <v>86</v>
      </c>
      <c r="F2449" s="10" t="s">
        <v>87</v>
      </c>
      <c r="G2449" s="11" t="s">
        <v>137</v>
      </c>
      <c r="H2449" s="2" t="s">
        <v>64</v>
      </c>
      <c r="L2449" s="18">
        <v>1</v>
      </c>
      <c r="M2449" s="14" t="s">
        <v>8462</v>
      </c>
      <c r="N2449" s="13">
        <v>43611</v>
      </c>
      <c r="O2449" s="29">
        <v>21.69</v>
      </c>
      <c r="P2449" s="18" t="s">
        <v>14</v>
      </c>
      <c r="Q2449" s="18">
        <v>0</v>
      </c>
      <c r="U2449" s="22">
        <v>0.72</v>
      </c>
      <c r="V2449" s="22">
        <f>3.59/5</f>
        <v>0.71799999999999997</v>
      </c>
      <c r="X2449" s="3">
        <v>2</v>
      </c>
      <c r="Z2449" s="23">
        <v>9</v>
      </c>
      <c r="AB2449" s="18">
        <f t="shared" si="76"/>
        <v>2016</v>
      </c>
      <c r="AC2449" s="22">
        <f t="shared" si="77"/>
        <v>0.61266666666666669</v>
      </c>
    </row>
    <row r="2450" spans="1:29">
      <c r="A2450" s="8" t="s">
        <v>5302</v>
      </c>
      <c r="B2450" s="17" t="s">
        <v>7800</v>
      </c>
      <c r="C2450" s="13">
        <v>42705</v>
      </c>
      <c r="D2450" s="13" t="s">
        <v>8465</v>
      </c>
      <c r="E2450" s="10" t="s">
        <v>1583</v>
      </c>
      <c r="F2450" s="10" t="s">
        <v>5286</v>
      </c>
      <c r="H2450" s="2" t="s">
        <v>171</v>
      </c>
      <c r="L2450" s="18">
        <v>1</v>
      </c>
      <c r="N2450" s="13">
        <v>43424</v>
      </c>
      <c r="P2450" s="18" t="s">
        <v>1107</v>
      </c>
      <c r="Q2450" s="18">
        <v>0</v>
      </c>
      <c r="U2450" s="22">
        <v>0.56999999999999995</v>
      </c>
      <c r="V2450" s="22">
        <f>3.21/5</f>
        <v>0.64200000000000002</v>
      </c>
      <c r="W2450" s="14" t="s">
        <v>7777</v>
      </c>
      <c r="X2450" s="3">
        <v>3</v>
      </c>
      <c r="Z2450" s="23">
        <v>8.5</v>
      </c>
      <c r="AB2450" s="18">
        <f t="shared" si="76"/>
        <v>2016</v>
      </c>
      <c r="AC2450" s="22">
        <f t="shared" si="77"/>
        <v>0.60399999999999998</v>
      </c>
    </row>
    <row r="2451" spans="1:29">
      <c r="A2451" s="8" t="s">
        <v>10574</v>
      </c>
      <c r="B2451" s="17" t="s">
        <v>7800</v>
      </c>
      <c r="C2451" s="13">
        <v>42705</v>
      </c>
      <c r="D2451" s="13" t="s">
        <v>8465</v>
      </c>
      <c r="E2451" s="10" t="s">
        <v>9894</v>
      </c>
      <c r="F2451" s="10" t="s">
        <v>9894</v>
      </c>
      <c r="H2451" s="2" t="s">
        <v>67</v>
      </c>
      <c r="L2451" s="18">
        <v>1</v>
      </c>
      <c r="N2451" s="13">
        <v>44498</v>
      </c>
      <c r="O2451" s="29">
        <v>0</v>
      </c>
      <c r="P2451" s="18" t="s">
        <v>1107</v>
      </c>
      <c r="Q2451" s="18">
        <v>0</v>
      </c>
      <c r="U2451" s="22">
        <v>0.65</v>
      </c>
      <c r="V2451" s="22">
        <f>3.34/5</f>
        <v>0.66799999999999993</v>
      </c>
      <c r="W2451" s="14" t="s">
        <v>7777</v>
      </c>
      <c r="X2451" s="3">
        <v>2</v>
      </c>
      <c r="Z2451" s="23">
        <v>3.5</v>
      </c>
      <c r="AB2451" s="18">
        <f t="shared" si="76"/>
        <v>2016</v>
      </c>
      <c r="AC2451" s="22">
        <f t="shared" si="77"/>
        <v>0.57266666666666666</v>
      </c>
    </row>
    <row r="2452" spans="1:29" ht="25.5">
      <c r="A2452" s="8" t="s">
        <v>1582</v>
      </c>
      <c r="B2452" s="17" t="s">
        <v>7800</v>
      </c>
      <c r="C2452" s="13">
        <v>42703</v>
      </c>
      <c r="D2452" s="13" t="s">
        <v>8465</v>
      </c>
      <c r="E2452" s="10" t="s">
        <v>1583</v>
      </c>
      <c r="F2452" s="10" t="s">
        <v>3582</v>
      </c>
      <c r="G2452" s="11" t="s">
        <v>1585</v>
      </c>
      <c r="H2452" s="2" t="s">
        <v>80</v>
      </c>
      <c r="L2452" s="18">
        <v>1</v>
      </c>
      <c r="N2452" s="13">
        <v>42703</v>
      </c>
      <c r="P2452" s="18" t="s">
        <v>1107</v>
      </c>
      <c r="Q2452" s="18">
        <v>0</v>
      </c>
      <c r="U2452" s="22">
        <v>0.78</v>
      </c>
      <c r="V2452" s="22">
        <f>3.69/5</f>
        <v>0.73799999999999999</v>
      </c>
      <c r="W2452" s="14" t="s">
        <v>7777</v>
      </c>
      <c r="X2452" s="3">
        <v>2</v>
      </c>
      <c r="Z2452" s="23">
        <v>17</v>
      </c>
      <c r="AB2452" s="18">
        <f t="shared" si="76"/>
        <v>2016</v>
      </c>
      <c r="AC2452" s="22">
        <f t="shared" si="77"/>
        <v>0.63933333333333342</v>
      </c>
    </row>
    <row r="2453" spans="1:29">
      <c r="A2453" s="8" t="s">
        <v>15536</v>
      </c>
      <c r="B2453" s="17" t="s">
        <v>7760</v>
      </c>
      <c r="C2453" s="13">
        <v>42703</v>
      </c>
      <c r="D2453" s="13" t="s">
        <v>8465</v>
      </c>
      <c r="E2453" s="10" t="s">
        <v>7877</v>
      </c>
      <c r="F2453" s="10" t="s">
        <v>9117</v>
      </c>
      <c r="G2453" s="11" t="s">
        <v>9368</v>
      </c>
      <c r="H2453" s="2" t="s">
        <v>1057</v>
      </c>
      <c r="L2453" s="18">
        <v>1</v>
      </c>
      <c r="N2453" s="13">
        <v>45158</v>
      </c>
      <c r="O2453" s="29">
        <v>5.24</v>
      </c>
      <c r="P2453" s="18" t="s">
        <v>1107</v>
      </c>
      <c r="Q2453" s="18">
        <v>0</v>
      </c>
      <c r="U2453" s="22">
        <v>0.81</v>
      </c>
      <c r="V2453" s="22">
        <f>4.06/5</f>
        <v>0.81199999999999994</v>
      </c>
      <c r="X2453" s="3">
        <v>4</v>
      </c>
      <c r="Z2453" s="23">
        <v>14</v>
      </c>
      <c r="AB2453" s="18">
        <f t="shared" si="76"/>
        <v>2016</v>
      </c>
      <c r="AC2453" s="22">
        <f t="shared" si="77"/>
        <v>0.80733333333333324</v>
      </c>
    </row>
    <row r="2454" spans="1:29" ht="25.5">
      <c r="A2454" s="8" t="s">
        <v>12215</v>
      </c>
      <c r="B2454" s="17" t="s">
        <v>7800</v>
      </c>
      <c r="C2454" s="13">
        <v>42702</v>
      </c>
      <c r="D2454" s="13" t="s">
        <v>8465</v>
      </c>
      <c r="E2454" s="10" t="s">
        <v>12216</v>
      </c>
      <c r="F2454" s="10" t="s">
        <v>12216</v>
      </c>
      <c r="H2454" s="2" t="s">
        <v>67</v>
      </c>
      <c r="L2454" s="18">
        <v>1</v>
      </c>
      <c r="N2454" s="13">
        <v>44771</v>
      </c>
      <c r="O2454" s="29">
        <v>0</v>
      </c>
      <c r="P2454" s="18" t="s">
        <v>1107</v>
      </c>
      <c r="Q2454" s="18">
        <v>0</v>
      </c>
      <c r="U2454" s="22">
        <v>0.83</v>
      </c>
      <c r="V2454" s="22">
        <f>3.9/5</f>
        <v>0.78</v>
      </c>
      <c r="W2454" s="14" t="s">
        <v>7777</v>
      </c>
      <c r="X2454" s="3">
        <v>2</v>
      </c>
      <c r="Z2454" s="23">
        <v>14</v>
      </c>
      <c r="AB2454" s="18">
        <f t="shared" si="76"/>
        <v>2016</v>
      </c>
      <c r="AC2454" s="22">
        <f t="shared" si="77"/>
        <v>0.66999999999999993</v>
      </c>
    </row>
    <row r="2455" spans="1:29">
      <c r="A2455" s="8" t="s">
        <v>14468</v>
      </c>
      <c r="B2455" s="17" t="s">
        <v>7800</v>
      </c>
      <c r="C2455" s="13">
        <v>42699</v>
      </c>
      <c r="D2455" s="13" t="s">
        <v>8463</v>
      </c>
      <c r="E2455" s="10" t="s">
        <v>2452</v>
      </c>
      <c r="F2455" s="10" t="s">
        <v>2452</v>
      </c>
      <c r="H2455" s="2" t="s">
        <v>1057</v>
      </c>
      <c r="K2455" s="18">
        <v>1</v>
      </c>
      <c r="L2455" s="18">
        <v>0</v>
      </c>
      <c r="Q2455" s="18">
        <v>0</v>
      </c>
      <c r="X2455" s="3">
        <v>2</v>
      </c>
      <c r="AB2455" s="18">
        <f t="shared" si="76"/>
        <v>2016</v>
      </c>
      <c r="AC2455" s="22">
        <f t="shared" si="77"/>
        <v>0.4</v>
      </c>
    </row>
    <row r="2456" spans="1:29" ht="25.5">
      <c r="A2456" s="8" t="s">
        <v>898</v>
      </c>
      <c r="B2456" s="17" t="s">
        <v>7743</v>
      </c>
      <c r="C2456" s="13">
        <v>42698</v>
      </c>
      <c r="D2456" s="13" t="s">
        <v>8465</v>
      </c>
      <c r="E2456" s="10" t="s">
        <v>86</v>
      </c>
      <c r="F2456" s="10" t="s">
        <v>87</v>
      </c>
      <c r="G2456" s="11" t="s">
        <v>85</v>
      </c>
      <c r="H2456" s="2" t="s">
        <v>80</v>
      </c>
      <c r="L2456" s="18">
        <v>1</v>
      </c>
      <c r="N2456" s="13">
        <v>44634</v>
      </c>
      <c r="O2456" s="29">
        <v>9.99</v>
      </c>
      <c r="P2456" s="18" t="s">
        <v>1107</v>
      </c>
      <c r="Q2456" s="18">
        <v>0</v>
      </c>
      <c r="V2456" s="22">
        <f>4.42/5</f>
        <v>0.88400000000000001</v>
      </c>
      <c r="X2456" s="3">
        <v>3</v>
      </c>
      <c r="Z2456" s="23">
        <v>21</v>
      </c>
      <c r="AB2456" s="18">
        <f t="shared" si="76"/>
        <v>2016</v>
      </c>
      <c r="AC2456" s="22">
        <f t="shared" si="77"/>
        <v>0.74199999999999999</v>
      </c>
    </row>
    <row r="2457" spans="1:29" ht="30">
      <c r="A2457" s="8" t="s">
        <v>11154</v>
      </c>
      <c r="B2457" s="17" t="s">
        <v>7749</v>
      </c>
      <c r="C2457" s="13">
        <v>42696</v>
      </c>
      <c r="D2457" s="13" t="s">
        <v>8465</v>
      </c>
      <c r="E2457" s="10" t="s">
        <v>1604</v>
      </c>
      <c r="F2457" s="10" t="s">
        <v>1546</v>
      </c>
      <c r="G2457" s="11" t="s">
        <v>11042</v>
      </c>
      <c r="H2457" s="2" t="s">
        <v>149</v>
      </c>
      <c r="L2457" s="18">
        <v>1</v>
      </c>
      <c r="M2457" s="14" t="s">
        <v>8462</v>
      </c>
      <c r="N2457" s="13">
        <v>45162</v>
      </c>
      <c r="O2457" s="29">
        <v>44</v>
      </c>
      <c r="P2457" s="18" t="s">
        <v>14</v>
      </c>
      <c r="Q2457" s="18">
        <v>0</v>
      </c>
      <c r="U2457" s="22">
        <v>0.72</v>
      </c>
      <c r="V2457" s="22">
        <f>4.19/5</f>
        <v>0.83800000000000008</v>
      </c>
      <c r="X2457" s="3">
        <v>2</v>
      </c>
      <c r="Z2457" s="23">
        <v>18.5</v>
      </c>
      <c r="AB2457" s="18">
        <f t="shared" si="76"/>
        <v>2016</v>
      </c>
      <c r="AC2457" s="22">
        <f t="shared" si="77"/>
        <v>0.65266666666666673</v>
      </c>
    </row>
    <row r="2458" spans="1:29">
      <c r="A2458" s="8" t="s">
        <v>3135</v>
      </c>
      <c r="B2458" s="17" t="s">
        <v>7800</v>
      </c>
      <c r="C2458" s="13">
        <v>42695</v>
      </c>
      <c r="D2458" s="13" t="s">
        <v>8465</v>
      </c>
      <c r="E2458" s="10" t="s">
        <v>3136</v>
      </c>
      <c r="F2458" s="10" t="s">
        <v>3137</v>
      </c>
      <c r="H2458" s="2" t="s">
        <v>1061</v>
      </c>
      <c r="L2458" s="18">
        <v>1</v>
      </c>
      <c r="N2458" s="13">
        <v>43363</v>
      </c>
      <c r="O2458" s="29">
        <v>1.79</v>
      </c>
      <c r="P2458" s="18" t="s">
        <v>1107</v>
      </c>
      <c r="Q2458" s="18">
        <v>0</v>
      </c>
      <c r="U2458" s="22">
        <v>0.67</v>
      </c>
      <c r="V2458" s="22">
        <f>3.46/5</f>
        <v>0.69199999999999995</v>
      </c>
      <c r="W2458" s="14" t="s">
        <v>7777</v>
      </c>
      <c r="X2458" s="3">
        <v>3</v>
      </c>
      <c r="Z2458" s="23">
        <v>2</v>
      </c>
      <c r="AB2458" s="18">
        <f t="shared" si="76"/>
        <v>2016</v>
      </c>
      <c r="AC2458" s="22">
        <f t="shared" si="77"/>
        <v>0.65400000000000003</v>
      </c>
    </row>
    <row r="2459" spans="1:29">
      <c r="A2459" s="8" t="s">
        <v>3993</v>
      </c>
      <c r="B2459" s="17" t="s">
        <v>7800</v>
      </c>
      <c r="C2459" s="13">
        <v>42692</v>
      </c>
      <c r="D2459" s="13" t="s">
        <v>8465</v>
      </c>
      <c r="E2459" s="10" t="s">
        <v>3994</v>
      </c>
      <c r="F2459" s="10" t="s">
        <v>3994</v>
      </c>
      <c r="G2459" s="11" t="s">
        <v>3993</v>
      </c>
      <c r="H2459" s="2" t="s">
        <v>78</v>
      </c>
      <c r="L2459" s="18">
        <v>1</v>
      </c>
      <c r="N2459" s="13">
        <v>43459</v>
      </c>
      <c r="O2459" s="29">
        <v>1.24</v>
      </c>
      <c r="P2459" s="18" t="s">
        <v>1107</v>
      </c>
      <c r="Q2459" s="18">
        <v>0</v>
      </c>
      <c r="U2459" s="22">
        <v>0.78</v>
      </c>
      <c r="V2459" s="22">
        <f>3.45/5</f>
        <v>0.69000000000000006</v>
      </c>
      <c r="W2459" s="14" t="s">
        <v>7777</v>
      </c>
      <c r="X2459" s="3">
        <v>3</v>
      </c>
      <c r="Z2459" s="23">
        <v>3.5</v>
      </c>
      <c r="AB2459" s="18">
        <f t="shared" si="76"/>
        <v>2016</v>
      </c>
      <c r="AC2459" s="22">
        <f t="shared" si="77"/>
        <v>0.69000000000000006</v>
      </c>
    </row>
    <row r="2460" spans="1:29">
      <c r="A2460" s="8" t="s">
        <v>12711</v>
      </c>
      <c r="B2460" s="17" t="s">
        <v>7800</v>
      </c>
      <c r="C2460" s="13">
        <v>42692</v>
      </c>
      <c r="D2460" s="13" t="s">
        <v>8465</v>
      </c>
      <c r="E2460" s="10" t="s">
        <v>8772</v>
      </c>
      <c r="F2460" s="10" t="s">
        <v>8772</v>
      </c>
      <c r="H2460" s="2" t="s">
        <v>64</v>
      </c>
      <c r="L2460" s="18">
        <v>1</v>
      </c>
      <c r="N2460" s="13">
        <v>44833</v>
      </c>
      <c r="O2460" s="29">
        <v>0</v>
      </c>
      <c r="P2460" s="18" t="s">
        <v>1107</v>
      </c>
      <c r="Q2460" s="18">
        <v>0</v>
      </c>
      <c r="V2460" s="22">
        <f>3.88/5</f>
        <v>0.77600000000000002</v>
      </c>
      <c r="W2460" s="14" t="s">
        <v>7097</v>
      </c>
      <c r="X2460" s="3">
        <v>2</v>
      </c>
      <c r="Z2460" s="23">
        <v>3</v>
      </c>
      <c r="AB2460" s="18">
        <f t="shared" si="76"/>
        <v>2016</v>
      </c>
      <c r="AC2460" s="22">
        <f t="shared" si="77"/>
        <v>0.58800000000000008</v>
      </c>
    </row>
    <row r="2461" spans="1:29">
      <c r="A2461" s="8" t="s">
        <v>8488</v>
      </c>
      <c r="B2461" s="17" t="s">
        <v>7800</v>
      </c>
      <c r="C2461" s="13">
        <v>42691</v>
      </c>
      <c r="D2461" s="13" t="s">
        <v>8465</v>
      </c>
      <c r="E2461" s="10" t="s">
        <v>4352</v>
      </c>
      <c r="F2461" s="10" t="s">
        <v>4352</v>
      </c>
      <c r="H2461" s="2" t="s">
        <v>1334</v>
      </c>
      <c r="L2461" s="18">
        <v>1</v>
      </c>
      <c r="N2461" s="13">
        <v>43896</v>
      </c>
      <c r="O2461" s="29">
        <v>0</v>
      </c>
      <c r="P2461" s="18" t="s">
        <v>1107</v>
      </c>
      <c r="Q2461" s="18">
        <v>0</v>
      </c>
      <c r="U2461" s="22">
        <v>0.84</v>
      </c>
      <c r="V2461" s="22">
        <f>3.88/5</f>
        <v>0.77600000000000002</v>
      </c>
      <c r="W2461" s="14" t="s">
        <v>7777</v>
      </c>
      <c r="X2461" s="3">
        <v>3</v>
      </c>
      <c r="Z2461" s="23">
        <v>22.5</v>
      </c>
      <c r="AB2461" s="18">
        <f t="shared" si="76"/>
        <v>2016</v>
      </c>
      <c r="AC2461" s="22">
        <f t="shared" si="77"/>
        <v>0.73866666666666669</v>
      </c>
    </row>
    <row r="2462" spans="1:29" ht="30">
      <c r="A2462" s="8" t="s">
        <v>9166</v>
      </c>
      <c r="B2462" s="17" t="s">
        <v>7760</v>
      </c>
      <c r="C2462" s="13">
        <v>42691</v>
      </c>
      <c r="D2462" s="13" t="s">
        <v>8465</v>
      </c>
      <c r="E2462" s="10" t="s">
        <v>9167</v>
      </c>
      <c r="F2462" s="10" t="s">
        <v>9168</v>
      </c>
      <c r="H2462" s="2" t="s">
        <v>1059</v>
      </c>
      <c r="L2462" s="18">
        <v>1</v>
      </c>
      <c r="M2462" s="14" t="s">
        <v>8462</v>
      </c>
      <c r="N2462" s="13">
        <v>44050</v>
      </c>
      <c r="O2462" s="29">
        <v>32.700000000000003</v>
      </c>
      <c r="P2462" s="18" t="s">
        <v>14</v>
      </c>
      <c r="Q2462" s="18">
        <v>0</v>
      </c>
      <c r="U2462" s="22">
        <v>0.81</v>
      </c>
      <c r="V2462" s="22">
        <f>3.96/5</f>
        <v>0.79200000000000004</v>
      </c>
      <c r="W2462" s="14" t="s">
        <v>1134</v>
      </c>
      <c r="X2462" s="3">
        <v>3</v>
      </c>
      <c r="Z2462" s="23">
        <v>2.5</v>
      </c>
      <c r="AB2462" s="18">
        <f t="shared" si="76"/>
        <v>2016</v>
      </c>
      <c r="AC2462" s="22">
        <f t="shared" si="77"/>
        <v>0.73399999999999999</v>
      </c>
    </row>
    <row r="2463" spans="1:29">
      <c r="A2463" s="8" t="s">
        <v>8342</v>
      </c>
      <c r="B2463" s="17" t="s">
        <v>7800</v>
      </c>
      <c r="C2463" s="13">
        <v>42691</v>
      </c>
      <c r="D2463" s="13" t="s">
        <v>8465</v>
      </c>
      <c r="E2463" s="10" t="s">
        <v>5085</v>
      </c>
      <c r="F2463" s="10" t="s">
        <v>5085</v>
      </c>
      <c r="H2463" s="2" t="s">
        <v>78</v>
      </c>
      <c r="L2463" s="18">
        <v>1</v>
      </c>
      <c r="N2463" s="13">
        <v>43870</v>
      </c>
      <c r="O2463" s="29">
        <v>0</v>
      </c>
      <c r="P2463" s="18" t="s">
        <v>1107</v>
      </c>
      <c r="Q2463" s="18">
        <v>0</v>
      </c>
      <c r="V2463" s="22">
        <f>3.79/5</f>
        <v>0.75800000000000001</v>
      </c>
      <c r="W2463" s="14" t="s">
        <v>7777</v>
      </c>
      <c r="X2463" s="3">
        <v>3</v>
      </c>
      <c r="Z2463" s="23">
        <v>13</v>
      </c>
      <c r="AB2463" s="18">
        <f t="shared" si="76"/>
        <v>2016</v>
      </c>
      <c r="AC2463" s="22">
        <f t="shared" si="77"/>
        <v>0.67900000000000005</v>
      </c>
    </row>
    <row r="2464" spans="1:29" ht="30">
      <c r="A2464" s="8" t="s">
        <v>3830</v>
      </c>
      <c r="B2464" s="17" t="s">
        <v>7800</v>
      </c>
      <c r="C2464" s="13">
        <v>42690</v>
      </c>
      <c r="D2464" s="13" t="s">
        <v>8465</v>
      </c>
      <c r="E2464" s="10" t="s">
        <v>3156</v>
      </c>
      <c r="F2464" s="10" t="s">
        <v>3831</v>
      </c>
      <c r="H2464" s="2" t="s">
        <v>80</v>
      </c>
      <c r="L2464" s="18">
        <v>1</v>
      </c>
      <c r="N2464" s="13">
        <v>43600</v>
      </c>
      <c r="O2464" s="29">
        <v>4.9400000000000004</v>
      </c>
      <c r="P2464" s="18" t="s">
        <v>1107</v>
      </c>
      <c r="Q2464" s="18">
        <v>0</v>
      </c>
      <c r="U2464" s="22">
        <v>0.8</v>
      </c>
      <c r="V2464" s="22">
        <f>3.43/5</f>
        <v>0.68600000000000005</v>
      </c>
      <c r="W2464" s="14" t="s">
        <v>7777</v>
      </c>
      <c r="X2464" s="3">
        <v>3</v>
      </c>
      <c r="Z2464" s="23">
        <v>7.5</v>
      </c>
      <c r="AB2464" s="18">
        <f t="shared" si="76"/>
        <v>2016</v>
      </c>
      <c r="AC2464" s="22">
        <f t="shared" si="77"/>
        <v>0.69533333333333347</v>
      </c>
    </row>
    <row r="2465" spans="1:29">
      <c r="A2465" s="8" t="s">
        <v>5003</v>
      </c>
      <c r="B2465" s="17" t="s">
        <v>7800</v>
      </c>
      <c r="C2465" s="13">
        <v>42689</v>
      </c>
      <c r="D2465" s="13" t="s">
        <v>8465</v>
      </c>
      <c r="E2465" s="10" t="s">
        <v>3072</v>
      </c>
      <c r="F2465" s="10" t="s">
        <v>3072</v>
      </c>
      <c r="G2465" s="11" t="s">
        <v>5004</v>
      </c>
      <c r="H2465" s="2" t="s">
        <v>67</v>
      </c>
      <c r="L2465" s="18">
        <v>1</v>
      </c>
      <c r="N2465" s="13">
        <v>43256</v>
      </c>
      <c r="P2465" s="18" t="s">
        <v>1107</v>
      </c>
      <c r="Q2465" s="18">
        <v>0</v>
      </c>
      <c r="V2465" s="22">
        <f>3.67/5</f>
        <v>0.73399999999999999</v>
      </c>
      <c r="W2465" s="14" t="s">
        <v>7777</v>
      </c>
      <c r="X2465" s="3">
        <v>3</v>
      </c>
      <c r="Z2465" s="23">
        <v>5.5</v>
      </c>
      <c r="AB2465" s="18">
        <f t="shared" si="76"/>
        <v>2016</v>
      </c>
      <c r="AC2465" s="22">
        <f t="shared" si="77"/>
        <v>0.66700000000000004</v>
      </c>
    </row>
    <row r="2466" spans="1:29">
      <c r="A2466" s="8" t="s">
        <v>7718</v>
      </c>
      <c r="B2466" s="17" t="s">
        <v>7800</v>
      </c>
      <c r="C2466" s="13">
        <v>42684</v>
      </c>
      <c r="D2466" s="13" t="s">
        <v>8465</v>
      </c>
      <c r="E2466" s="10" t="s">
        <v>3453</v>
      </c>
      <c r="F2466" s="10" t="s">
        <v>3166</v>
      </c>
      <c r="H2466" s="2" t="s">
        <v>1720</v>
      </c>
      <c r="L2466" s="18">
        <v>1</v>
      </c>
      <c r="N2466" s="13">
        <v>43711</v>
      </c>
      <c r="O2466" s="29">
        <v>0</v>
      </c>
      <c r="P2466" s="18" t="s">
        <v>1107</v>
      </c>
      <c r="Q2466" s="18">
        <v>0</v>
      </c>
      <c r="U2466" s="22">
        <v>0.8</v>
      </c>
      <c r="V2466" s="22">
        <f>3.79/5</f>
        <v>0.75800000000000001</v>
      </c>
      <c r="W2466" s="14" t="s">
        <v>7777</v>
      </c>
      <c r="X2466" s="3">
        <v>3</v>
      </c>
      <c r="Z2466" s="23">
        <v>20.5</v>
      </c>
      <c r="AB2466" s="18">
        <f t="shared" si="76"/>
        <v>2016</v>
      </c>
      <c r="AC2466" s="22">
        <f t="shared" si="77"/>
        <v>0.71933333333333327</v>
      </c>
    </row>
    <row r="2467" spans="1:29">
      <c r="A2467" s="8" t="s">
        <v>8724</v>
      </c>
      <c r="B2467" s="17" t="s">
        <v>7800</v>
      </c>
      <c r="C2467" s="13">
        <v>42684</v>
      </c>
      <c r="D2467" s="13" t="s">
        <v>8465</v>
      </c>
      <c r="E2467" s="10" t="s">
        <v>1598</v>
      </c>
      <c r="F2467" s="10" t="s">
        <v>4877</v>
      </c>
      <c r="G2467" s="11" t="s">
        <v>7362</v>
      </c>
      <c r="H2467" s="2" t="s">
        <v>67</v>
      </c>
      <c r="L2467" s="18">
        <v>1</v>
      </c>
      <c r="N2467" s="13">
        <v>43984</v>
      </c>
      <c r="O2467" s="29">
        <v>4.99</v>
      </c>
      <c r="P2467" s="18" t="s">
        <v>1107</v>
      </c>
      <c r="Q2467" s="18">
        <v>0</v>
      </c>
      <c r="U2467" s="22">
        <v>0.74</v>
      </c>
      <c r="V2467" s="22">
        <f>3.23/5</f>
        <v>0.64600000000000002</v>
      </c>
      <c r="W2467" s="14" t="s">
        <v>7777</v>
      </c>
      <c r="X2467" s="3">
        <v>3</v>
      </c>
      <c r="Z2467" s="23">
        <v>8</v>
      </c>
      <c r="AB2467" s="18">
        <f t="shared" si="76"/>
        <v>2016</v>
      </c>
      <c r="AC2467" s="22">
        <f t="shared" si="77"/>
        <v>0.66200000000000003</v>
      </c>
    </row>
    <row r="2468" spans="1:29" ht="25.5">
      <c r="A2468" s="8" t="s">
        <v>12074</v>
      </c>
      <c r="B2468" s="17" t="s">
        <v>7800</v>
      </c>
      <c r="C2468" s="13">
        <v>42684</v>
      </c>
      <c r="D2468" s="13" t="s">
        <v>8465</v>
      </c>
      <c r="E2468" s="10" t="s">
        <v>1534</v>
      </c>
      <c r="F2468" s="10" t="s">
        <v>9267</v>
      </c>
      <c r="G2468" s="11" t="s">
        <v>10280</v>
      </c>
      <c r="H2468" s="2" t="s">
        <v>1334</v>
      </c>
      <c r="L2468" s="18">
        <v>1</v>
      </c>
      <c r="N2468" s="13">
        <v>44743</v>
      </c>
      <c r="O2468" s="29">
        <v>4.99</v>
      </c>
      <c r="P2468" s="18" t="s">
        <v>1107</v>
      </c>
      <c r="Q2468" s="18">
        <v>0</v>
      </c>
      <c r="U2468" s="22">
        <v>0.62</v>
      </c>
      <c r="V2468" s="22">
        <f>1.87/5</f>
        <v>0.374</v>
      </c>
      <c r="W2468" s="14" t="s">
        <v>7777</v>
      </c>
      <c r="X2468" s="3">
        <v>2</v>
      </c>
      <c r="Z2468" s="23">
        <v>7</v>
      </c>
      <c r="AB2468" s="18">
        <f t="shared" si="76"/>
        <v>2016</v>
      </c>
      <c r="AC2468" s="22">
        <f t="shared" si="77"/>
        <v>0.46466666666666673</v>
      </c>
    </row>
    <row r="2469" spans="1:29">
      <c r="A2469" s="8" t="s">
        <v>3284</v>
      </c>
      <c r="B2469" s="17" t="s">
        <v>7800</v>
      </c>
      <c r="C2469" s="13">
        <v>42683</v>
      </c>
      <c r="D2469" s="13" t="s">
        <v>8465</v>
      </c>
      <c r="E2469" s="10" t="s">
        <v>3285</v>
      </c>
      <c r="F2469" s="10" t="s">
        <v>3286</v>
      </c>
      <c r="G2469" s="11" t="s">
        <v>3284</v>
      </c>
      <c r="H2469" s="2" t="s">
        <v>67</v>
      </c>
      <c r="L2469" s="18">
        <v>1</v>
      </c>
      <c r="N2469" s="13">
        <v>42875</v>
      </c>
      <c r="O2469" s="29">
        <v>0</v>
      </c>
      <c r="P2469" s="18" t="s">
        <v>1107</v>
      </c>
      <c r="Q2469" s="18">
        <v>0</v>
      </c>
      <c r="U2469" s="22">
        <v>0.78</v>
      </c>
      <c r="V2469" s="22">
        <f>3.51/5</f>
        <v>0.70199999999999996</v>
      </c>
      <c r="W2469" s="14" t="s">
        <v>7777</v>
      </c>
      <c r="X2469" s="3">
        <v>3</v>
      </c>
      <c r="Z2469" s="23">
        <v>6</v>
      </c>
      <c r="AB2469" s="18">
        <f t="shared" si="76"/>
        <v>2016</v>
      </c>
      <c r="AC2469" s="22">
        <f t="shared" si="77"/>
        <v>0.69399999999999995</v>
      </c>
    </row>
    <row r="2470" spans="1:29" ht="30">
      <c r="A2470" s="8" t="s">
        <v>11768</v>
      </c>
      <c r="B2470" s="17" t="s">
        <v>7760</v>
      </c>
      <c r="C2470" s="13">
        <v>42682</v>
      </c>
      <c r="D2470" s="13" t="s">
        <v>8465</v>
      </c>
      <c r="E2470" s="10" t="s">
        <v>1604</v>
      </c>
      <c r="F2470" s="10" t="s">
        <v>8930</v>
      </c>
      <c r="G2470" s="11" t="s">
        <v>8931</v>
      </c>
      <c r="H2470" s="2" t="s">
        <v>171</v>
      </c>
      <c r="L2470" s="18">
        <v>1</v>
      </c>
      <c r="N2470" s="13">
        <v>44706</v>
      </c>
      <c r="O2470" s="29">
        <v>8.49</v>
      </c>
      <c r="P2470" s="18" t="s">
        <v>1107</v>
      </c>
      <c r="Q2470" s="18">
        <v>0</v>
      </c>
      <c r="U2470" s="22">
        <v>0.69</v>
      </c>
      <c r="V2470" s="22">
        <f>4.07/5</f>
        <v>0.81400000000000006</v>
      </c>
      <c r="X2470" s="3">
        <v>3</v>
      </c>
      <c r="Z2470" s="23">
        <v>33.5</v>
      </c>
      <c r="AB2470" s="18">
        <f t="shared" si="76"/>
        <v>2016</v>
      </c>
      <c r="AC2470" s="22">
        <f t="shared" si="77"/>
        <v>0.70133333333333336</v>
      </c>
    </row>
    <row r="2471" spans="1:29" ht="30">
      <c r="A2471" s="8" t="s">
        <v>7973</v>
      </c>
      <c r="B2471" s="17" t="s">
        <v>7800</v>
      </c>
      <c r="C2471" s="13">
        <v>42681</v>
      </c>
      <c r="D2471" s="13" t="s">
        <v>8465</v>
      </c>
      <c r="E2471" s="10" t="s">
        <v>1680</v>
      </c>
      <c r="F2471" s="10" t="s">
        <v>3861</v>
      </c>
      <c r="G2471" s="11" t="s">
        <v>9072</v>
      </c>
      <c r="H2471" s="2" t="s">
        <v>75</v>
      </c>
      <c r="L2471" s="18">
        <v>1</v>
      </c>
      <c r="N2471" s="13">
        <v>43761</v>
      </c>
      <c r="O2471" s="29">
        <v>0</v>
      </c>
      <c r="P2471" s="18" t="s">
        <v>1107</v>
      </c>
      <c r="Q2471" s="18">
        <v>0</v>
      </c>
      <c r="V2471" s="22">
        <f>3.34/5</f>
        <v>0.66799999999999993</v>
      </c>
      <c r="W2471" s="14" t="s">
        <v>7777</v>
      </c>
      <c r="X2471" s="3">
        <v>3</v>
      </c>
      <c r="Z2471" s="23">
        <v>17</v>
      </c>
      <c r="AB2471" s="18">
        <f t="shared" si="76"/>
        <v>2016</v>
      </c>
      <c r="AC2471" s="22">
        <f t="shared" si="77"/>
        <v>0.6339999999999999</v>
      </c>
    </row>
    <row r="2472" spans="1:29">
      <c r="A2472" s="8" t="s">
        <v>11218</v>
      </c>
      <c r="B2472" s="17" t="s">
        <v>7749</v>
      </c>
      <c r="C2472" s="13">
        <v>42678</v>
      </c>
      <c r="D2472" s="13" t="s">
        <v>8465</v>
      </c>
      <c r="E2472" s="10" t="s">
        <v>86</v>
      </c>
      <c r="F2472" s="10" t="s">
        <v>11219</v>
      </c>
      <c r="G2472" s="11" t="s">
        <v>860</v>
      </c>
      <c r="H2472" s="2" t="s">
        <v>1469</v>
      </c>
      <c r="L2472" s="18">
        <v>1</v>
      </c>
      <c r="M2472" s="14" t="s">
        <v>8462</v>
      </c>
      <c r="N2472" s="13">
        <v>44957</v>
      </c>
      <c r="O2472" s="29">
        <v>24.05</v>
      </c>
      <c r="P2472" s="18" t="s">
        <v>14</v>
      </c>
      <c r="Q2472" s="18">
        <v>0</v>
      </c>
      <c r="U2472" s="22">
        <v>0.68</v>
      </c>
      <c r="V2472" s="22">
        <f>3.51/5</f>
        <v>0.70199999999999996</v>
      </c>
      <c r="X2472" s="3">
        <v>2</v>
      </c>
      <c r="Z2472" s="23">
        <v>4.5</v>
      </c>
      <c r="AB2472" s="18">
        <f t="shared" si="76"/>
        <v>2016</v>
      </c>
      <c r="AC2472" s="22">
        <f t="shared" si="77"/>
        <v>0.59399999999999997</v>
      </c>
    </row>
    <row r="2473" spans="1:29" ht="25.5">
      <c r="A2473" s="8" t="s">
        <v>6515</v>
      </c>
      <c r="B2473" s="17" t="s">
        <v>7766</v>
      </c>
      <c r="C2473" s="13">
        <v>42678</v>
      </c>
      <c r="D2473" s="13" t="s">
        <v>8465</v>
      </c>
      <c r="E2473" s="10" t="s">
        <v>1273</v>
      </c>
      <c r="F2473" s="10" t="s">
        <v>3400</v>
      </c>
      <c r="G2473" s="11" t="s">
        <v>3401</v>
      </c>
      <c r="H2473" s="2" t="s">
        <v>1050</v>
      </c>
      <c r="L2473" s="18">
        <v>1</v>
      </c>
      <c r="M2473" s="14" t="s">
        <v>8462</v>
      </c>
      <c r="N2473" s="13">
        <v>43450</v>
      </c>
      <c r="O2473" s="29">
        <v>16.260000000000002</v>
      </c>
      <c r="P2473" s="18" t="s">
        <v>14</v>
      </c>
      <c r="Q2473" s="18">
        <v>0</v>
      </c>
      <c r="U2473" s="22">
        <v>0.77</v>
      </c>
      <c r="V2473" s="22">
        <f>3.21/5</f>
        <v>0.64200000000000002</v>
      </c>
      <c r="X2473" s="3">
        <v>3</v>
      </c>
      <c r="Z2473" s="23">
        <v>7</v>
      </c>
      <c r="AB2473" s="18">
        <f t="shared" si="76"/>
        <v>2016</v>
      </c>
      <c r="AC2473" s="22">
        <f t="shared" si="77"/>
        <v>0.67066666666666663</v>
      </c>
    </row>
    <row r="2474" spans="1:29">
      <c r="A2474" s="8" t="s">
        <v>4633</v>
      </c>
      <c r="B2474" s="17" t="s">
        <v>7800</v>
      </c>
      <c r="C2474" s="13">
        <v>42675</v>
      </c>
      <c r="D2474" s="13" t="s">
        <v>8465</v>
      </c>
      <c r="E2474" s="10" t="s">
        <v>4634</v>
      </c>
      <c r="F2474" s="10" t="s">
        <v>4634</v>
      </c>
      <c r="H2474" s="2" t="s">
        <v>64</v>
      </c>
      <c r="L2474" s="18">
        <v>1</v>
      </c>
      <c r="N2474" s="13">
        <v>42875</v>
      </c>
      <c r="O2474" s="29">
        <v>13</v>
      </c>
      <c r="P2474" s="18" t="s">
        <v>1107</v>
      </c>
      <c r="Q2474" s="18">
        <v>0</v>
      </c>
      <c r="U2474" s="22">
        <v>0.9</v>
      </c>
      <c r="V2474" s="22">
        <f>3.74/5</f>
        <v>0.748</v>
      </c>
      <c r="W2474" s="14" t="s">
        <v>7777</v>
      </c>
      <c r="X2474" s="3">
        <v>4</v>
      </c>
      <c r="Z2474" s="23">
        <v>8</v>
      </c>
      <c r="AB2474" s="18">
        <f t="shared" si="76"/>
        <v>2016</v>
      </c>
      <c r="AC2474" s="22">
        <f t="shared" si="77"/>
        <v>0.81600000000000017</v>
      </c>
    </row>
    <row r="2475" spans="1:29" ht="25.5">
      <c r="A2475" s="8" t="s">
        <v>3412</v>
      </c>
      <c r="B2475" s="17" t="s">
        <v>7800</v>
      </c>
      <c r="C2475" s="13">
        <v>42671</v>
      </c>
      <c r="D2475" s="13" t="s">
        <v>8465</v>
      </c>
      <c r="E2475" s="10" t="s">
        <v>3413</v>
      </c>
      <c r="F2475" s="10" t="s">
        <v>3413</v>
      </c>
      <c r="G2475" s="11" t="s">
        <v>3414</v>
      </c>
      <c r="H2475" s="2" t="s">
        <v>1204</v>
      </c>
      <c r="L2475" s="18">
        <v>1</v>
      </c>
      <c r="N2475" s="13">
        <v>43363</v>
      </c>
      <c r="P2475" s="18" t="s">
        <v>1107</v>
      </c>
      <c r="Q2475" s="18">
        <v>0</v>
      </c>
      <c r="U2475" s="22">
        <v>0.8</v>
      </c>
      <c r="V2475" s="22">
        <f>3.48/5</f>
        <v>0.69599999999999995</v>
      </c>
      <c r="W2475" s="14" t="s">
        <v>7777</v>
      </c>
      <c r="X2475" s="3">
        <v>2</v>
      </c>
      <c r="Z2475" s="23">
        <v>14.5</v>
      </c>
      <c r="AB2475" s="18">
        <f t="shared" si="76"/>
        <v>2016</v>
      </c>
      <c r="AC2475" s="22">
        <f t="shared" si="77"/>
        <v>0.63200000000000001</v>
      </c>
    </row>
    <row r="2476" spans="1:29" ht="25.5">
      <c r="A2476" s="8" t="s">
        <v>4613</v>
      </c>
      <c r="B2476" s="17" t="s">
        <v>7800</v>
      </c>
      <c r="C2476" s="13">
        <v>42670</v>
      </c>
      <c r="D2476" s="13" t="s">
        <v>8465</v>
      </c>
      <c r="E2476" s="10" t="s">
        <v>4063</v>
      </c>
      <c r="F2476" s="10" t="s">
        <v>4611</v>
      </c>
      <c r="G2476" s="11" t="s">
        <v>4612</v>
      </c>
      <c r="H2476" s="2" t="s">
        <v>67</v>
      </c>
      <c r="L2476" s="18">
        <v>1</v>
      </c>
      <c r="N2476" s="13">
        <v>43328</v>
      </c>
      <c r="O2476" s="29">
        <v>0</v>
      </c>
      <c r="P2476" s="18" t="s">
        <v>1107</v>
      </c>
      <c r="Q2476" s="18">
        <v>0</v>
      </c>
      <c r="U2476" s="22">
        <v>0.78</v>
      </c>
      <c r="V2476" s="22">
        <f>3.47/5</f>
        <v>0.69400000000000006</v>
      </c>
      <c r="W2476" s="14" t="s">
        <v>7777</v>
      </c>
      <c r="X2476" s="3">
        <v>3</v>
      </c>
      <c r="Z2476" s="23">
        <v>4.5</v>
      </c>
      <c r="AB2476" s="18">
        <f t="shared" si="76"/>
        <v>2016</v>
      </c>
      <c r="AC2476" s="22">
        <f t="shared" si="77"/>
        <v>0.69133333333333347</v>
      </c>
    </row>
    <row r="2477" spans="1:29">
      <c r="A2477" s="8" t="s">
        <v>6956</v>
      </c>
      <c r="B2477" s="17" t="s">
        <v>7800</v>
      </c>
      <c r="C2477" s="13">
        <v>42668</v>
      </c>
      <c r="D2477" s="13" t="s">
        <v>8465</v>
      </c>
      <c r="E2477" s="10" t="s">
        <v>3246</v>
      </c>
      <c r="F2477" s="10" t="s">
        <v>3246</v>
      </c>
      <c r="G2477" s="11" t="s">
        <v>5660</v>
      </c>
      <c r="H2477" s="2" t="s">
        <v>67</v>
      </c>
      <c r="L2477" s="18">
        <v>1</v>
      </c>
      <c r="N2477" s="13">
        <v>42293</v>
      </c>
      <c r="O2477" s="29">
        <v>12.49</v>
      </c>
      <c r="P2477" s="18" t="s">
        <v>1107</v>
      </c>
      <c r="Q2477" s="18">
        <v>0</v>
      </c>
      <c r="V2477" s="22">
        <f>4.07/5</f>
        <v>0.81400000000000006</v>
      </c>
      <c r="W2477" s="14" t="s">
        <v>7778</v>
      </c>
      <c r="X2477" s="3">
        <v>3</v>
      </c>
      <c r="Z2477" s="23">
        <v>13</v>
      </c>
      <c r="AB2477" s="18">
        <f t="shared" si="76"/>
        <v>2016</v>
      </c>
      <c r="AC2477" s="22">
        <f t="shared" si="77"/>
        <v>0.70700000000000007</v>
      </c>
    </row>
    <row r="2478" spans="1:29">
      <c r="A2478" s="8" t="s">
        <v>6231</v>
      </c>
      <c r="B2478" s="17" t="s">
        <v>7749</v>
      </c>
      <c r="C2478" s="13">
        <v>42668</v>
      </c>
      <c r="D2478" s="13" t="s">
        <v>8465</v>
      </c>
      <c r="E2478" s="10" t="s">
        <v>7422</v>
      </c>
      <c r="F2478" s="10" t="s">
        <v>1534</v>
      </c>
      <c r="G2478" s="11" t="s">
        <v>6231</v>
      </c>
      <c r="H2478" s="2" t="s">
        <v>1061</v>
      </c>
      <c r="L2478" s="18">
        <v>1</v>
      </c>
      <c r="N2478" s="13">
        <v>44133</v>
      </c>
      <c r="O2478" s="29">
        <v>8.99</v>
      </c>
      <c r="P2478" s="18" t="s">
        <v>1107</v>
      </c>
      <c r="Q2478" s="18">
        <v>0</v>
      </c>
      <c r="U2478" s="22">
        <v>0.77</v>
      </c>
      <c r="V2478" s="22">
        <f>4.1/5</f>
        <v>0.82</v>
      </c>
      <c r="X2478" s="3">
        <v>3</v>
      </c>
      <c r="Z2478" s="23">
        <v>9.5</v>
      </c>
      <c r="AB2478" s="18">
        <f t="shared" si="76"/>
        <v>2016</v>
      </c>
      <c r="AC2478" s="22">
        <f t="shared" si="77"/>
        <v>0.73</v>
      </c>
    </row>
    <row r="2479" spans="1:29">
      <c r="A2479" s="8" t="s">
        <v>8380</v>
      </c>
      <c r="B2479" s="17" t="s">
        <v>7763</v>
      </c>
      <c r="C2479" s="13">
        <v>42668</v>
      </c>
      <c r="D2479" s="13" t="s">
        <v>8465</v>
      </c>
      <c r="E2479" s="10" t="s">
        <v>1082</v>
      </c>
      <c r="F2479" s="10" t="s">
        <v>7406</v>
      </c>
      <c r="G2479" s="11" t="s">
        <v>126</v>
      </c>
      <c r="H2479" s="2" t="s">
        <v>149</v>
      </c>
      <c r="L2479" s="18">
        <v>1</v>
      </c>
      <c r="M2479" s="14" t="s">
        <v>8462</v>
      </c>
      <c r="N2479" s="13">
        <v>43884</v>
      </c>
      <c r="O2479" s="29">
        <v>18.989999999999998</v>
      </c>
      <c r="P2479" s="18" t="s">
        <v>14</v>
      </c>
      <c r="Q2479" s="18">
        <v>0</v>
      </c>
      <c r="U2479" s="22">
        <v>0.77</v>
      </c>
      <c r="V2479" s="22">
        <f>4.07/5</f>
        <v>0.81400000000000006</v>
      </c>
      <c r="X2479" s="3">
        <v>3</v>
      </c>
      <c r="Z2479" s="23">
        <v>35.5</v>
      </c>
      <c r="AB2479" s="18">
        <f t="shared" si="76"/>
        <v>2016</v>
      </c>
      <c r="AC2479" s="22">
        <f t="shared" si="77"/>
        <v>0.72800000000000009</v>
      </c>
    </row>
    <row r="2480" spans="1:29">
      <c r="A2480" s="8" t="s">
        <v>5608</v>
      </c>
      <c r="B2480" s="17" t="s">
        <v>7800</v>
      </c>
      <c r="C2480" s="13">
        <v>42668</v>
      </c>
      <c r="D2480" s="13" t="s">
        <v>8465</v>
      </c>
      <c r="E2480" s="10" t="s">
        <v>1062</v>
      </c>
      <c r="F2480" s="10" t="s">
        <v>2285</v>
      </c>
      <c r="G2480" s="11" t="s">
        <v>5609</v>
      </c>
      <c r="H2480" s="2" t="s">
        <v>1061</v>
      </c>
      <c r="L2480" s="18">
        <v>1</v>
      </c>
      <c r="N2480" s="13">
        <v>43333</v>
      </c>
      <c r="P2480" s="18" t="s">
        <v>1107</v>
      </c>
      <c r="Q2480" s="18">
        <v>0</v>
      </c>
      <c r="U2480" s="22">
        <v>0.75</v>
      </c>
      <c r="V2480" s="22">
        <f>3.4/5</f>
        <v>0.67999999999999994</v>
      </c>
      <c r="W2480" s="14" t="s">
        <v>7777</v>
      </c>
      <c r="X2480" s="3">
        <v>3</v>
      </c>
      <c r="Z2480" s="23">
        <v>5</v>
      </c>
      <c r="AB2480" s="18">
        <f t="shared" si="76"/>
        <v>2016</v>
      </c>
      <c r="AC2480" s="22">
        <f t="shared" si="77"/>
        <v>0.67666666666666664</v>
      </c>
    </row>
    <row r="2481" spans="1:29">
      <c r="A2481" s="8" t="s">
        <v>13691</v>
      </c>
      <c r="B2481" s="17" t="s">
        <v>7800</v>
      </c>
      <c r="C2481" s="13">
        <v>42667</v>
      </c>
      <c r="D2481" s="13" t="s">
        <v>8465</v>
      </c>
      <c r="E2481" s="10" t="s">
        <v>9458</v>
      </c>
      <c r="F2481" s="10" t="s">
        <v>13692</v>
      </c>
      <c r="H2481" s="2" t="s">
        <v>67</v>
      </c>
      <c r="L2481" s="18">
        <v>1</v>
      </c>
      <c r="N2481" s="13">
        <v>44992</v>
      </c>
      <c r="O2481" s="29">
        <v>0.59</v>
      </c>
      <c r="P2481" s="18" t="s">
        <v>1107</v>
      </c>
      <c r="Q2481" s="18">
        <v>0</v>
      </c>
      <c r="V2481" s="22">
        <f>3/5</f>
        <v>0.6</v>
      </c>
      <c r="W2481" s="14" t="s">
        <v>7777</v>
      </c>
      <c r="X2481" s="3">
        <v>2</v>
      </c>
      <c r="Z2481" s="23">
        <v>3</v>
      </c>
      <c r="AB2481" s="18">
        <f t="shared" si="76"/>
        <v>2016</v>
      </c>
      <c r="AC2481" s="22">
        <f t="shared" si="77"/>
        <v>0.5</v>
      </c>
    </row>
    <row r="2482" spans="1:29">
      <c r="A2482" s="8" t="s">
        <v>6530</v>
      </c>
      <c r="B2482" s="17" t="s">
        <v>7800</v>
      </c>
      <c r="C2482" s="13">
        <v>42664</v>
      </c>
      <c r="D2482" s="13" t="s">
        <v>8465</v>
      </c>
      <c r="E2482" s="10" t="s">
        <v>231</v>
      </c>
      <c r="F2482" s="10" t="s">
        <v>4461</v>
      </c>
      <c r="G2482" s="11" t="s">
        <v>6350</v>
      </c>
      <c r="H2482" s="2" t="s">
        <v>1050</v>
      </c>
      <c r="L2482" s="18">
        <v>1</v>
      </c>
      <c r="N2482" s="13">
        <v>43339</v>
      </c>
      <c r="O2482" s="29">
        <v>4.99</v>
      </c>
      <c r="P2482" s="18" t="s">
        <v>1107</v>
      </c>
      <c r="Q2482" s="18">
        <v>0</v>
      </c>
      <c r="U2482" s="22">
        <v>0.88</v>
      </c>
      <c r="V2482" s="22">
        <f>3.62/5</f>
        <v>0.72399999999999998</v>
      </c>
      <c r="W2482" s="14" t="s">
        <v>7796</v>
      </c>
      <c r="X2482" s="3">
        <v>3</v>
      </c>
      <c r="Z2482" s="23">
        <v>6.5</v>
      </c>
      <c r="AB2482" s="18">
        <f t="shared" si="76"/>
        <v>2016</v>
      </c>
      <c r="AC2482" s="22">
        <f t="shared" si="77"/>
        <v>0.73466666666666669</v>
      </c>
    </row>
    <row r="2483" spans="1:29" ht="25.5">
      <c r="A2483" s="8" t="s">
        <v>8686</v>
      </c>
      <c r="B2483" s="17" t="s">
        <v>7800</v>
      </c>
      <c r="C2483" s="13">
        <v>42664</v>
      </c>
      <c r="D2483" s="13" t="s">
        <v>8465</v>
      </c>
      <c r="E2483" s="10" t="s">
        <v>3310</v>
      </c>
      <c r="F2483" s="10" t="s">
        <v>4993</v>
      </c>
      <c r="G2483" s="11" t="s">
        <v>4994</v>
      </c>
      <c r="H2483" s="2" t="s">
        <v>3123</v>
      </c>
      <c r="L2483" s="18">
        <v>1</v>
      </c>
      <c r="N2483" s="13">
        <v>43972</v>
      </c>
      <c r="O2483" s="29">
        <v>0</v>
      </c>
      <c r="P2483" s="18" t="s">
        <v>1107</v>
      </c>
      <c r="Q2483" s="18">
        <v>0</v>
      </c>
      <c r="U2483" s="22">
        <v>0.88</v>
      </c>
      <c r="V2483" s="22">
        <f>3.88/5</f>
        <v>0.77600000000000002</v>
      </c>
      <c r="W2483" s="14" t="s">
        <v>7777</v>
      </c>
      <c r="X2483" s="3">
        <v>3</v>
      </c>
      <c r="Z2483" s="23">
        <v>20.5</v>
      </c>
      <c r="AB2483" s="18">
        <f t="shared" si="76"/>
        <v>2016</v>
      </c>
      <c r="AC2483" s="22">
        <f t="shared" si="77"/>
        <v>0.75200000000000011</v>
      </c>
    </row>
    <row r="2484" spans="1:29" ht="25.5">
      <c r="A2484" s="8" t="s">
        <v>2122</v>
      </c>
      <c r="B2484" s="17" t="s">
        <v>7743</v>
      </c>
      <c r="C2484" s="13">
        <v>42663</v>
      </c>
      <c r="D2484" s="13" t="s">
        <v>8465</v>
      </c>
      <c r="E2484" s="10" t="s">
        <v>86</v>
      </c>
      <c r="F2484" s="10" t="s">
        <v>87</v>
      </c>
      <c r="G2484" s="11" t="s">
        <v>85</v>
      </c>
      <c r="H2484" s="2" t="s">
        <v>80</v>
      </c>
      <c r="L2484" s="18">
        <v>1</v>
      </c>
      <c r="N2484" s="13">
        <v>44626</v>
      </c>
      <c r="O2484" s="29">
        <v>9.99</v>
      </c>
      <c r="P2484" s="18" t="s">
        <v>1107</v>
      </c>
      <c r="Q2484" s="18">
        <v>0</v>
      </c>
      <c r="V2484" s="22">
        <f>3.94/5</f>
        <v>0.78800000000000003</v>
      </c>
      <c r="X2484" s="3">
        <v>3</v>
      </c>
      <c r="Z2484" s="23">
        <v>19.5</v>
      </c>
      <c r="AB2484" s="18">
        <f t="shared" si="76"/>
        <v>2016</v>
      </c>
      <c r="AC2484" s="22">
        <f t="shared" si="77"/>
        <v>0.69399999999999995</v>
      </c>
    </row>
    <row r="2485" spans="1:29">
      <c r="A2485" s="8" t="s">
        <v>7011</v>
      </c>
      <c r="B2485" s="17" t="s">
        <v>7800</v>
      </c>
      <c r="C2485" s="13">
        <v>42663</v>
      </c>
      <c r="D2485" s="13" t="s">
        <v>8465</v>
      </c>
      <c r="E2485" s="10" t="s">
        <v>7012</v>
      </c>
      <c r="F2485" s="10" t="s">
        <v>7012</v>
      </c>
      <c r="G2485" s="11" t="s">
        <v>7129</v>
      </c>
      <c r="H2485" s="2" t="s">
        <v>56</v>
      </c>
      <c r="L2485" s="18">
        <v>1</v>
      </c>
      <c r="O2485" s="29">
        <v>0</v>
      </c>
      <c r="P2485" s="18" t="s">
        <v>1107</v>
      </c>
      <c r="Q2485" s="18">
        <v>0</v>
      </c>
      <c r="U2485" s="22">
        <v>0.75</v>
      </c>
      <c r="V2485" s="22">
        <f>4.1/5</f>
        <v>0.82</v>
      </c>
      <c r="W2485" s="14" t="s">
        <v>7799</v>
      </c>
      <c r="X2485" s="3">
        <v>3</v>
      </c>
      <c r="Z2485" s="23">
        <v>3</v>
      </c>
      <c r="AB2485" s="18">
        <f t="shared" si="76"/>
        <v>2016</v>
      </c>
      <c r="AC2485" s="22">
        <f t="shared" si="77"/>
        <v>0.72333333333333327</v>
      </c>
    </row>
    <row r="2486" spans="1:29">
      <c r="A2486" s="8" t="s">
        <v>4886</v>
      </c>
      <c r="B2486" s="17" t="s">
        <v>7800</v>
      </c>
      <c r="C2486" s="13">
        <v>42663</v>
      </c>
      <c r="D2486" s="13" t="s">
        <v>8465</v>
      </c>
      <c r="E2486" s="10" t="s">
        <v>4884</v>
      </c>
      <c r="F2486" s="10" t="s">
        <v>4884</v>
      </c>
      <c r="G2486" s="11" t="s">
        <v>4884</v>
      </c>
      <c r="H2486" s="2" t="s">
        <v>67</v>
      </c>
      <c r="L2486" s="18">
        <v>1</v>
      </c>
      <c r="N2486" s="13">
        <v>43361</v>
      </c>
      <c r="O2486" s="29">
        <v>1.49</v>
      </c>
      <c r="P2486" s="18" t="s">
        <v>1107</v>
      </c>
      <c r="Q2486" s="18">
        <v>0</v>
      </c>
      <c r="U2486" s="22">
        <v>0.7</v>
      </c>
      <c r="V2486" s="22">
        <f>3.9/5</f>
        <v>0.78</v>
      </c>
      <c r="W2486" s="14" t="s">
        <v>7777</v>
      </c>
      <c r="X2486" s="3">
        <v>3</v>
      </c>
      <c r="Z2486" s="23">
        <v>4</v>
      </c>
      <c r="AB2486" s="18">
        <f t="shared" si="76"/>
        <v>2016</v>
      </c>
      <c r="AC2486" s="22">
        <f t="shared" si="77"/>
        <v>0.69333333333333336</v>
      </c>
    </row>
    <row r="2487" spans="1:29" ht="25.5">
      <c r="A2487" s="8" t="s">
        <v>13063</v>
      </c>
      <c r="B2487" s="17" t="s">
        <v>7763</v>
      </c>
      <c r="C2487" s="13">
        <v>42663</v>
      </c>
      <c r="D2487" s="13" t="s">
        <v>8463</v>
      </c>
      <c r="E2487" s="10" t="s">
        <v>3568</v>
      </c>
      <c r="F2487" s="10" t="s">
        <v>8933</v>
      </c>
      <c r="G2487" s="11" t="s">
        <v>298</v>
      </c>
      <c r="H2487" s="2" t="s">
        <v>171</v>
      </c>
      <c r="K2487" s="18">
        <v>1</v>
      </c>
      <c r="L2487" s="18">
        <v>0</v>
      </c>
      <c r="Q2487" s="18">
        <v>0</v>
      </c>
      <c r="V2487" s="22">
        <f>4.12/5</f>
        <v>0.82400000000000007</v>
      </c>
      <c r="X2487" s="3">
        <v>2</v>
      </c>
      <c r="Z2487" s="23">
        <v>20</v>
      </c>
      <c r="AB2487" s="18">
        <f t="shared" si="76"/>
        <v>2016</v>
      </c>
      <c r="AC2487" s="22">
        <f t="shared" si="77"/>
        <v>0.6120000000000001</v>
      </c>
    </row>
    <row r="2488" spans="1:29" ht="25.5">
      <c r="A2488" s="8" t="s">
        <v>6276</v>
      </c>
      <c r="B2488" s="17" t="s">
        <v>7763</v>
      </c>
      <c r="C2488" s="13">
        <v>42661</v>
      </c>
      <c r="D2488" s="13" t="s">
        <v>8465</v>
      </c>
      <c r="E2488" s="10" t="s">
        <v>1519</v>
      </c>
      <c r="F2488" s="10" t="s">
        <v>2452</v>
      </c>
      <c r="H2488" s="2" t="s">
        <v>149</v>
      </c>
      <c r="L2488" s="18">
        <v>1</v>
      </c>
      <c r="M2488" s="14" t="s">
        <v>8462</v>
      </c>
      <c r="N2488" s="13">
        <v>43633</v>
      </c>
      <c r="O2488" s="29">
        <v>17</v>
      </c>
      <c r="P2488" s="18" t="s">
        <v>14</v>
      </c>
      <c r="Q2488" s="18">
        <v>0</v>
      </c>
      <c r="U2488" s="22">
        <v>0.68</v>
      </c>
      <c r="V2488" s="22">
        <f>3.69/5</f>
        <v>0.73799999999999999</v>
      </c>
      <c r="X2488" s="3">
        <v>2</v>
      </c>
      <c r="Z2488" s="23">
        <v>35</v>
      </c>
      <c r="AB2488" s="18">
        <f t="shared" si="76"/>
        <v>2016</v>
      </c>
      <c r="AC2488" s="22">
        <f t="shared" si="77"/>
        <v>0.60599999999999998</v>
      </c>
    </row>
    <row r="2489" spans="1:29">
      <c r="A2489" s="8" t="s">
        <v>9854</v>
      </c>
      <c r="B2489" s="17" t="s">
        <v>7760</v>
      </c>
      <c r="C2489" s="13">
        <v>42656</v>
      </c>
      <c r="D2489" s="13" t="s">
        <v>8465</v>
      </c>
      <c r="E2489" s="10" t="s">
        <v>9855</v>
      </c>
      <c r="F2489" s="10" t="s">
        <v>2771</v>
      </c>
      <c r="G2489" s="11" t="s">
        <v>5766</v>
      </c>
      <c r="H2489" s="2" t="s">
        <v>1170</v>
      </c>
      <c r="I2489" s="18">
        <v>1</v>
      </c>
      <c r="L2489" s="18">
        <v>1</v>
      </c>
      <c r="N2489" s="13">
        <v>44281</v>
      </c>
      <c r="O2489" s="29">
        <v>0</v>
      </c>
      <c r="P2489" s="18" t="s">
        <v>1107</v>
      </c>
      <c r="Q2489" s="18">
        <v>0</v>
      </c>
      <c r="U2489" s="22">
        <v>0.89</v>
      </c>
      <c r="V2489" s="22">
        <f>3.83/5</f>
        <v>0.76600000000000001</v>
      </c>
      <c r="X2489" s="3">
        <v>3</v>
      </c>
      <c r="Z2489" s="23">
        <v>2</v>
      </c>
      <c r="AB2489" s="18">
        <f t="shared" si="76"/>
        <v>2016</v>
      </c>
      <c r="AC2489" s="22">
        <f t="shared" si="77"/>
        <v>0.75200000000000011</v>
      </c>
    </row>
    <row r="2490" spans="1:29" ht="25.5">
      <c r="A2490" s="8" t="s">
        <v>2094</v>
      </c>
      <c r="B2490" s="17" t="s">
        <v>7743</v>
      </c>
      <c r="C2490" s="13">
        <v>42656</v>
      </c>
      <c r="D2490" s="13" t="s">
        <v>8465</v>
      </c>
      <c r="E2490" s="10" t="s">
        <v>86</v>
      </c>
      <c r="F2490" s="10" t="s">
        <v>87</v>
      </c>
      <c r="G2490" s="11" t="s">
        <v>901</v>
      </c>
      <c r="H2490" s="2" t="s">
        <v>1334</v>
      </c>
      <c r="L2490" s="18">
        <v>1</v>
      </c>
      <c r="N2490" s="13">
        <v>44639</v>
      </c>
      <c r="O2490" s="29">
        <v>9.99</v>
      </c>
      <c r="P2490" s="18" t="s">
        <v>1107</v>
      </c>
      <c r="Q2490" s="18">
        <v>0</v>
      </c>
      <c r="V2490" s="22">
        <f>4.01/5</f>
        <v>0.80199999999999994</v>
      </c>
      <c r="X2490" s="3">
        <v>3</v>
      </c>
      <c r="Z2490" s="23">
        <v>68.5</v>
      </c>
      <c r="AB2490" s="18">
        <f t="shared" si="76"/>
        <v>2016</v>
      </c>
      <c r="AC2490" s="22">
        <f t="shared" si="77"/>
        <v>0.70099999999999996</v>
      </c>
    </row>
    <row r="2491" spans="1:29" ht="30">
      <c r="A2491" s="8" t="s">
        <v>6201</v>
      </c>
      <c r="B2491" s="17" t="s">
        <v>7760</v>
      </c>
      <c r="C2491" s="13">
        <v>42656</v>
      </c>
      <c r="D2491" s="13" t="s">
        <v>8465</v>
      </c>
      <c r="E2491" s="10" t="s">
        <v>6107</v>
      </c>
      <c r="F2491" s="10" t="s">
        <v>6200</v>
      </c>
      <c r="G2491" s="11" t="s">
        <v>6199</v>
      </c>
      <c r="H2491" s="2" t="s">
        <v>2138</v>
      </c>
      <c r="I2491" s="18">
        <v>1</v>
      </c>
      <c r="L2491" s="18">
        <v>1</v>
      </c>
      <c r="N2491" s="13">
        <v>43089</v>
      </c>
      <c r="O2491" s="29">
        <v>0</v>
      </c>
      <c r="P2491" s="18" t="s">
        <v>1107</v>
      </c>
      <c r="Q2491" s="18">
        <v>0</v>
      </c>
      <c r="U2491" s="22">
        <v>0.73</v>
      </c>
      <c r="V2491" s="22">
        <f>3.79/5</f>
        <v>0.75800000000000001</v>
      </c>
      <c r="W2491" s="14" t="s">
        <v>6072</v>
      </c>
      <c r="X2491" s="3">
        <v>3</v>
      </c>
      <c r="Z2491" s="23">
        <v>2</v>
      </c>
      <c r="AB2491" s="18">
        <f t="shared" si="76"/>
        <v>2016</v>
      </c>
      <c r="AC2491" s="22">
        <f t="shared" si="77"/>
        <v>0.69600000000000006</v>
      </c>
    </row>
    <row r="2492" spans="1:29">
      <c r="A2492" s="8" t="s">
        <v>6972</v>
      </c>
      <c r="B2492" s="17" t="s">
        <v>7800</v>
      </c>
      <c r="C2492" s="13">
        <v>42656</v>
      </c>
      <c r="D2492" s="13" t="s">
        <v>8465</v>
      </c>
      <c r="E2492" s="10" t="s">
        <v>3063</v>
      </c>
      <c r="F2492" s="10" t="s">
        <v>4087</v>
      </c>
      <c r="G2492" s="11" t="s">
        <v>4960</v>
      </c>
      <c r="H2492" s="2" t="s">
        <v>1050</v>
      </c>
      <c r="L2492" s="18">
        <v>1</v>
      </c>
      <c r="N2492" s="13">
        <v>43377</v>
      </c>
      <c r="O2492" s="29">
        <v>0</v>
      </c>
      <c r="P2492" s="18" t="s">
        <v>1107</v>
      </c>
      <c r="Q2492" s="18">
        <v>0</v>
      </c>
      <c r="U2492" s="22">
        <v>0.79</v>
      </c>
      <c r="V2492" s="22">
        <f>3.55/5</f>
        <v>0.71</v>
      </c>
      <c r="W2492" s="14" t="s">
        <v>7778</v>
      </c>
      <c r="X2492" s="3">
        <v>3</v>
      </c>
      <c r="Z2492" s="23">
        <v>7.5</v>
      </c>
      <c r="AB2492" s="18">
        <f t="shared" si="76"/>
        <v>2016</v>
      </c>
      <c r="AC2492" s="22">
        <f t="shared" si="77"/>
        <v>0.70000000000000007</v>
      </c>
    </row>
    <row r="2493" spans="1:29" ht="30">
      <c r="A2493" s="8" t="s">
        <v>12830</v>
      </c>
      <c r="B2493" s="17" t="s">
        <v>7760</v>
      </c>
      <c r="C2493" s="13">
        <v>42656</v>
      </c>
      <c r="D2493" s="13" t="s">
        <v>8465</v>
      </c>
      <c r="E2493" s="10" t="s">
        <v>6107</v>
      </c>
      <c r="F2493" s="10" t="s">
        <v>8452</v>
      </c>
      <c r="H2493" s="2" t="s">
        <v>1050</v>
      </c>
      <c r="I2493" s="18">
        <v>1</v>
      </c>
      <c r="L2493" s="18">
        <v>1</v>
      </c>
      <c r="M2493" s="14" t="s">
        <v>8462</v>
      </c>
      <c r="N2493" s="13">
        <v>44851</v>
      </c>
      <c r="O2493" s="29">
        <v>17.09</v>
      </c>
      <c r="P2493" s="18" t="s">
        <v>14</v>
      </c>
      <c r="Q2493" s="18">
        <v>0</v>
      </c>
      <c r="U2493" s="22">
        <v>0.78</v>
      </c>
      <c r="V2493" s="22">
        <f>3.89/5</f>
        <v>0.77800000000000002</v>
      </c>
      <c r="X2493" s="3">
        <v>2</v>
      </c>
      <c r="Z2493" s="23">
        <v>1</v>
      </c>
      <c r="AB2493" s="18">
        <f t="shared" si="76"/>
        <v>2016</v>
      </c>
      <c r="AC2493" s="22">
        <f t="shared" si="77"/>
        <v>0.65266666666666673</v>
      </c>
    </row>
    <row r="2494" spans="1:29" ht="30">
      <c r="A2494" s="8" t="s">
        <v>15381</v>
      </c>
      <c r="B2494" s="17" t="s">
        <v>7760</v>
      </c>
      <c r="C2494" s="13">
        <v>42656</v>
      </c>
      <c r="D2494" s="13" t="s">
        <v>8467</v>
      </c>
      <c r="E2494" s="10" t="s">
        <v>6107</v>
      </c>
      <c r="F2494" s="10" t="s">
        <v>15382</v>
      </c>
      <c r="G2494" s="11" t="s">
        <v>9580</v>
      </c>
      <c r="H2494" s="2" t="s">
        <v>1054</v>
      </c>
      <c r="I2494" s="18">
        <v>1</v>
      </c>
      <c r="L2494" s="18">
        <v>1</v>
      </c>
      <c r="M2494" s="14" t="s">
        <v>8462</v>
      </c>
      <c r="N2494" s="13">
        <v>45111</v>
      </c>
      <c r="O2494" s="29">
        <v>13</v>
      </c>
      <c r="P2494" s="18" t="s">
        <v>14</v>
      </c>
      <c r="Q2494" s="18">
        <v>0</v>
      </c>
      <c r="U2494" s="22">
        <v>0.66</v>
      </c>
      <c r="V2494" s="22">
        <f>3.31/5</f>
        <v>0.66200000000000003</v>
      </c>
      <c r="X2494" s="3">
        <v>3</v>
      </c>
      <c r="Z2494" s="23">
        <v>2</v>
      </c>
      <c r="AB2494" s="18">
        <f t="shared" si="76"/>
        <v>2016</v>
      </c>
      <c r="AC2494" s="22">
        <f t="shared" si="77"/>
        <v>0.64066666666666672</v>
      </c>
    </row>
    <row r="2495" spans="1:29" ht="30">
      <c r="A2495" s="8" t="s">
        <v>15532</v>
      </c>
      <c r="B2495" s="17" t="s">
        <v>7760</v>
      </c>
      <c r="C2495" s="13">
        <v>42656</v>
      </c>
      <c r="D2495" s="13" t="s">
        <v>8465</v>
      </c>
      <c r="E2495" s="10" t="s">
        <v>6107</v>
      </c>
      <c r="F2495" s="10" t="s">
        <v>15534</v>
      </c>
      <c r="H2495" s="2" t="s">
        <v>1061</v>
      </c>
      <c r="I2495" s="18">
        <v>1</v>
      </c>
      <c r="L2495" s="18">
        <v>1</v>
      </c>
      <c r="N2495" s="13">
        <v>43321</v>
      </c>
      <c r="O2495" s="29">
        <v>0</v>
      </c>
      <c r="P2495" s="18" t="s">
        <v>1107</v>
      </c>
      <c r="Q2495" s="18">
        <v>0</v>
      </c>
      <c r="U2495" s="22">
        <v>0.62</v>
      </c>
      <c r="V2495" s="22">
        <f>3.11/5</f>
        <v>0.622</v>
      </c>
      <c r="W2495" s="14" t="s">
        <v>6072</v>
      </c>
      <c r="X2495" s="3">
        <v>2</v>
      </c>
      <c r="Z2495" s="23">
        <v>2.5</v>
      </c>
      <c r="AB2495" s="18">
        <f t="shared" si="76"/>
        <v>2016</v>
      </c>
      <c r="AC2495" s="22">
        <f t="shared" si="77"/>
        <v>0.54733333333333334</v>
      </c>
    </row>
    <row r="2496" spans="1:29">
      <c r="A2496" s="8" t="s">
        <v>7025</v>
      </c>
      <c r="B2496" s="17" t="s">
        <v>7800</v>
      </c>
      <c r="C2496" s="13">
        <v>42655</v>
      </c>
      <c r="D2496" s="13" t="s">
        <v>8465</v>
      </c>
      <c r="E2496" s="10" t="s">
        <v>3544</v>
      </c>
      <c r="F2496" s="10" t="s">
        <v>7026</v>
      </c>
      <c r="H2496" s="2" t="s">
        <v>56</v>
      </c>
      <c r="L2496" s="18">
        <v>1</v>
      </c>
      <c r="N2496" s="13">
        <v>43998</v>
      </c>
      <c r="O2496" s="29">
        <v>0</v>
      </c>
      <c r="P2496" s="18" t="s">
        <v>1107</v>
      </c>
      <c r="Q2496" s="18">
        <v>0</v>
      </c>
      <c r="U2496" s="22">
        <v>0.8</v>
      </c>
      <c r="V2496" s="22">
        <f>3.39/5</f>
        <v>0.67800000000000005</v>
      </c>
      <c r="W2496" s="14" t="s">
        <v>7777</v>
      </c>
      <c r="X2496" s="3">
        <v>3</v>
      </c>
      <c r="Z2496" s="23">
        <v>8</v>
      </c>
      <c r="AB2496" s="18">
        <f t="shared" si="76"/>
        <v>2016</v>
      </c>
      <c r="AC2496" s="22">
        <f t="shared" si="77"/>
        <v>0.69266666666666676</v>
      </c>
    </row>
    <row r="2497" spans="1:29" ht="30">
      <c r="A2497" s="8" t="s">
        <v>6118</v>
      </c>
      <c r="B2497" s="17" t="s">
        <v>7760</v>
      </c>
      <c r="C2497" s="13">
        <v>42654</v>
      </c>
      <c r="D2497" s="13" t="s">
        <v>8465</v>
      </c>
      <c r="E2497" s="10" t="s">
        <v>1082</v>
      </c>
      <c r="F2497" s="10" t="s">
        <v>6119</v>
      </c>
      <c r="G2497" s="11" t="s">
        <v>140</v>
      </c>
      <c r="H2497" s="2" t="s">
        <v>171</v>
      </c>
      <c r="L2497" s="18">
        <v>1</v>
      </c>
      <c r="M2497" s="14" t="s">
        <v>8462</v>
      </c>
      <c r="N2497" s="13">
        <v>43638</v>
      </c>
      <c r="O2497" s="29">
        <v>15.27</v>
      </c>
      <c r="P2497" s="18" t="s">
        <v>14</v>
      </c>
      <c r="Q2497" s="18">
        <v>0</v>
      </c>
      <c r="U2497" s="22">
        <v>0.84</v>
      </c>
      <c r="V2497" s="22">
        <f>4.15/5</f>
        <v>0.83000000000000007</v>
      </c>
      <c r="X2497" s="3">
        <v>3</v>
      </c>
      <c r="Z2497" s="23">
        <v>39.5</v>
      </c>
      <c r="AB2497" s="18">
        <f t="shared" ref="AB2497:AB2560" si="78">IFERROR(YEAR(C2497), "Early Access")</f>
        <v>2016</v>
      </c>
      <c r="AC2497" s="22">
        <f t="shared" ref="AC2497:AC2560" si="79">AVERAGE(T2497, U2497, V2497, IF(ISBLANK(X2497), X2497, X2497/5))</f>
        <v>0.75666666666666671</v>
      </c>
    </row>
    <row r="2498" spans="1:29" ht="25.5">
      <c r="A2498" s="8" t="s">
        <v>9266</v>
      </c>
      <c r="B2498" s="17" t="s">
        <v>7763</v>
      </c>
      <c r="C2498" s="13">
        <v>42654</v>
      </c>
      <c r="D2498" s="13" t="s">
        <v>8465</v>
      </c>
      <c r="E2498" s="10" t="s">
        <v>7877</v>
      </c>
      <c r="F2498" s="10" t="s">
        <v>9267</v>
      </c>
      <c r="G2498" s="11" t="s">
        <v>9268</v>
      </c>
      <c r="H2498" s="2" t="s">
        <v>1059</v>
      </c>
      <c r="L2498" s="18">
        <v>1</v>
      </c>
      <c r="M2498" s="14" t="s">
        <v>8462</v>
      </c>
      <c r="N2498" s="13">
        <v>44078</v>
      </c>
      <c r="O2498" s="29">
        <v>48.39</v>
      </c>
      <c r="P2498" s="18" t="s">
        <v>14</v>
      </c>
      <c r="Q2498" s="18">
        <v>0</v>
      </c>
      <c r="U2498" s="22">
        <v>0.72</v>
      </c>
      <c r="V2498" s="22">
        <f>3.81/5</f>
        <v>0.76200000000000001</v>
      </c>
      <c r="X2498" s="3">
        <v>3</v>
      </c>
      <c r="Z2498" s="23">
        <v>16.5</v>
      </c>
      <c r="AB2498" s="18">
        <f t="shared" si="78"/>
        <v>2016</v>
      </c>
      <c r="AC2498" s="22">
        <f t="shared" si="79"/>
        <v>0.69399999999999995</v>
      </c>
    </row>
    <row r="2499" spans="1:29" ht="25.5">
      <c r="A2499" s="8" t="s">
        <v>9297</v>
      </c>
      <c r="B2499" s="17" t="s">
        <v>7763</v>
      </c>
      <c r="C2499" s="13">
        <v>42654</v>
      </c>
      <c r="D2499" s="13" t="s">
        <v>8465</v>
      </c>
      <c r="E2499" s="10" t="s">
        <v>1062</v>
      </c>
      <c r="F2499" s="10" t="s">
        <v>2285</v>
      </c>
      <c r="G2499" s="11" t="s">
        <v>9140</v>
      </c>
      <c r="H2499" s="2" t="s">
        <v>1377</v>
      </c>
      <c r="L2499" s="18">
        <v>1</v>
      </c>
      <c r="M2499" s="14" t="s">
        <v>8462</v>
      </c>
      <c r="N2499" s="13">
        <v>44084</v>
      </c>
      <c r="O2499" s="29">
        <v>47.44</v>
      </c>
      <c r="P2499" s="18" t="s">
        <v>14</v>
      </c>
      <c r="Q2499" s="18">
        <v>0</v>
      </c>
      <c r="U2499" s="22">
        <v>0.67</v>
      </c>
      <c r="V2499" s="22">
        <f>3.89/5</f>
        <v>0.77800000000000002</v>
      </c>
      <c r="X2499" s="3">
        <v>3</v>
      </c>
      <c r="Z2499" s="23">
        <v>22</v>
      </c>
      <c r="AB2499" s="18">
        <f t="shared" si="78"/>
        <v>2016</v>
      </c>
      <c r="AC2499" s="22">
        <f t="shared" si="79"/>
        <v>0.68266666666666664</v>
      </c>
    </row>
    <row r="2500" spans="1:29">
      <c r="A2500" s="8" t="s">
        <v>8504</v>
      </c>
      <c r="B2500" s="17" t="s">
        <v>7800</v>
      </c>
      <c r="C2500" s="13">
        <v>42653</v>
      </c>
      <c r="D2500" s="13" t="s">
        <v>8465</v>
      </c>
      <c r="E2500" s="10" t="s">
        <v>8505</v>
      </c>
      <c r="F2500" s="10" t="s">
        <v>8505</v>
      </c>
      <c r="H2500" s="2" t="s">
        <v>1220</v>
      </c>
      <c r="I2500" s="18">
        <v>1</v>
      </c>
      <c r="L2500" s="18">
        <v>1</v>
      </c>
      <c r="N2500" s="13">
        <v>43906</v>
      </c>
      <c r="O2500" s="29">
        <v>5.99</v>
      </c>
      <c r="P2500" s="18" t="s">
        <v>1107</v>
      </c>
      <c r="Q2500" s="18">
        <v>0</v>
      </c>
      <c r="U2500" s="22">
        <v>0.86</v>
      </c>
      <c r="V2500" s="22">
        <f>3.91/5</f>
        <v>0.78200000000000003</v>
      </c>
      <c r="W2500" s="14" t="s">
        <v>7777</v>
      </c>
      <c r="X2500" s="3">
        <v>3</v>
      </c>
      <c r="Z2500" s="23">
        <v>7.5</v>
      </c>
      <c r="AB2500" s="18">
        <f t="shared" si="78"/>
        <v>2016</v>
      </c>
      <c r="AC2500" s="22">
        <f t="shared" si="79"/>
        <v>0.74733333333333329</v>
      </c>
    </row>
    <row r="2501" spans="1:29">
      <c r="A2501" s="8" t="s">
        <v>14077</v>
      </c>
      <c r="B2501" s="17" t="s">
        <v>7760</v>
      </c>
      <c r="C2501" s="13">
        <v>42653</v>
      </c>
      <c r="D2501" s="13" t="s">
        <v>8465</v>
      </c>
      <c r="E2501" s="10" t="s">
        <v>14078</v>
      </c>
      <c r="F2501" s="10" t="s">
        <v>14078</v>
      </c>
      <c r="H2501" s="2" t="s">
        <v>80</v>
      </c>
      <c r="I2501" s="18">
        <v>1</v>
      </c>
      <c r="L2501" s="18">
        <v>0</v>
      </c>
      <c r="Q2501" s="18">
        <v>0</v>
      </c>
      <c r="U2501" s="22">
        <v>0.72</v>
      </c>
      <c r="V2501" s="22">
        <f>3.14/5</f>
        <v>0.628</v>
      </c>
      <c r="X2501" s="3">
        <v>2</v>
      </c>
      <c r="Y2501" s="18">
        <v>1</v>
      </c>
      <c r="Z2501" s="23">
        <v>3</v>
      </c>
      <c r="AB2501" s="18">
        <f t="shared" si="78"/>
        <v>2016</v>
      </c>
      <c r="AC2501" s="22">
        <f t="shared" si="79"/>
        <v>0.58266666666666656</v>
      </c>
    </row>
    <row r="2502" spans="1:29" ht="25.5">
      <c r="A2502" s="8" t="s">
        <v>1128</v>
      </c>
      <c r="B2502" s="17" t="s">
        <v>7743</v>
      </c>
      <c r="C2502" s="13">
        <v>42650</v>
      </c>
      <c r="D2502" s="13" t="s">
        <v>8465</v>
      </c>
      <c r="E2502" s="10" t="s">
        <v>86</v>
      </c>
      <c r="F2502" s="10" t="s">
        <v>1069</v>
      </c>
      <c r="G2502" s="11" t="s">
        <v>880</v>
      </c>
      <c r="H2502" s="2" t="s">
        <v>149</v>
      </c>
      <c r="L2502" s="18">
        <v>1</v>
      </c>
      <c r="M2502" s="14" t="s">
        <v>8462</v>
      </c>
      <c r="N2502" s="13">
        <v>43478</v>
      </c>
      <c r="O2502" s="29">
        <v>26</v>
      </c>
      <c r="P2502" s="18" t="s">
        <v>14</v>
      </c>
      <c r="Q2502" s="18">
        <v>0</v>
      </c>
      <c r="U2502" s="22">
        <v>0.76</v>
      </c>
      <c r="V2502" s="22">
        <f>3.63/5</f>
        <v>0.72599999999999998</v>
      </c>
      <c r="X2502" s="3">
        <v>3</v>
      </c>
      <c r="Z2502" s="23">
        <v>30.5</v>
      </c>
      <c r="AB2502" s="18">
        <f t="shared" si="78"/>
        <v>2016</v>
      </c>
      <c r="AC2502" s="22">
        <f t="shared" si="79"/>
        <v>0.69533333333333325</v>
      </c>
    </row>
    <row r="2503" spans="1:29">
      <c r="A2503" s="8" t="s">
        <v>14110</v>
      </c>
      <c r="B2503" s="17" t="s">
        <v>7800</v>
      </c>
      <c r="C2503" s="13">
        <v>42650</v>
      </c>
      <c r="D2503" s="13" t="s">
        <v>8465</v>
      </c>
      <c r="E2503" s="10" t="s">
        <v>14111</v>
      </c>
      <c r="F2503" s="10" t="s">
        <v>14111</v>
      </c>
      <c r="H2503" s="2" t="s">
        <v>78</v>
      </c>
      <c r="L2503" s="18">
        <v>1</v>
      </c>
      <c r="O2503" s="29">
        <v>0</v>
      </c>
      <c r="P2503" s="18" t="s">
        <v>1107</v>
      </c>
      <c r="Q2503" s="18">
        <v>0</v>
      </c>
      <c r="V2503" s="22">
        <f>3.5/5</f>
        <v>0.7</v>
      </c>
      <c r="W2503" s="14" t="s">
        <v>8765</v>
      </c>
      <c r="X2503" s="3">
        <v>2</v>
      </c>
      <c r="Z2503" s="23">
        <v>6</v>
      </c>
      <c r="AB2503" s="18">
        <f t="shared" si="78"/>
        <v>2016</v>
      </c>
      <c r="AC2503" s="22">
        <f t="shared" si="79"/>
        <v>0.55000000000000004</v>
      </c>
    </row>
    <row r="2504" spans="1:29">
      <c r="A2504" s="8" t="s">
        <v>7885</v>
      </c>
      <c r="B2504" s="17" t="s">
        <v>7800</v>
      </c>
      <c r="C2504" s="13">
        <v>42650</v>
      </c>
      <c r="D2504" s="13" t="s">
        <v>8465</v>
      </c>
      <c r="E2504" s="10" t="s">
        <v>7886</v>
      </c>
      <c r="F2504" s="10" t="s">
        <v>7886</v>
      </c>
      <c r="H2504" s="2" t="s">
        <v>3422</v>
      </c>
      <c r="L2504" s="18">
        <v>1</v>
      </c>
      <c r="N2504" s="13">
        <v>43739</v>
      </c>
      <c r="O2504" s="29">
        <v>0</v>
      </c>
      <c r="P2504" s="18" t="s">
        <v>1107</v>
      </c>
      <c r="Q2504" s="18">
        <v>0</v>
      </c>
      <c r="U2504" s="22">
        <v>0.61670000000000003</v>
      </c>
      <c r="V2504" s="22">
        <f>3.68/5</f>
        <v>0.73599999999999999</v>
      </c>
      <c r="W2504" s="14" t="s">
        <v>7799</v>
      </c>
      <c r="X2504" s="3">
        <v>2</v>
      </c>
      <c r="Z2504" s="23">
        <v>5.5</v>
      </c>
      <c r="AB2504" s="18">
        <f t="shared" si="78"/>
        <v>2016</v>
      </c>
      <c r="AC2504" s="22">
        <f t="shared" si="79"/>
        <v>0.58423333333333327</v>
      </c>
    </row>
    <row r="2505" spans="1:29" ht="30">
      <c r="A2505" s="8" t="s">
        <v>8912</v>
      </c>
      <c r="B2505" s="17" t="s">
        <v>7800</v>
      </c>
      <c r="C2505" s="13">
        <v>42649</v>
      </c>
      <c r="D2505" s="13" t="s">
        <v>8465</v>
      </c>
      <c r="E2505" s="10" t="s">
        <v>1505</v>
      </c>
      <c r="F2505" s="10" t="s">
        <v>1505</v>
      </c>
      <c r="G2505" s="11" t="s">
        <v>8912</v>
      </c>
      <c r="H2505" s="2" t="s">
        <v>1057</v>
      </c>
      <c r="L2505" s="18">
        <v>1</v>
      </c>
      <c r="N2505" s="13">
        <v>44000</v>
      </c>
      <c r="O2505" s="29">
        <v>0</v>
      </c>
      <c r="P2505" s="18" t="s">
        <v>1107</v>
      </c>
      <c r="Q2505" s="18">
        <v>0</v>
      </c>
      <c r="U2505" s="22">
        <v>0.64</v>
      </c>
      <c r="V2505" s="22">
        <f>3.63/5</f>
        <v>0.72599999999999998</v>
      </c>
      <c r="W2505" s="14" t="s">
        <v>7777</v>
      </c>
      <c r="X2505" s="3">
        <v>3</v>
      </c>
      <c r="Z2505" s="23">
        <v>14</v>
      </c>
      <c r="AB2505" s="18">
        <f t="shared" si="78"/>
        <v>2016</v>
      </c>
      <c r="AC2505" s="22">
        <f t="shared" si="79"/>
        <v>0.65533333333333343</v>
      </c>
    </row>
    <row r="2506" spans="1:29">
      <c r="A2506" s="8" t="s">
        <v>4380</v>
      </c>
      <c r="B2506" s="17" t="s">
        <v>7800</v>
      </c>
      <c r="C2506" s="13">
        <v>42649</v>
      </c>
      <c r="D2506" s="13" t="s">
        <v>8465</v>
      </c>
      <c r="E2506" s="10" t="s">
        <v>3310</v>
      </c>
      <c r="F2506" s="10" t="s">
        <v>4381</v>
      </c>
      <c r="G2506" s="11" t="s">
        <v>4379</v>
      </c>
      <c r="H2506" s="2" t="s">
        <v>80</v>
      </c>
      <c r="L2506" s="18">
        <v>1</v>
      </c>
      <c r="N2506" s="13">
        <v>43514</v>
      </c>
      <c r="P2506" s="18" t="s">
        <v>1107</v>
      </c>
      <c r="Q2506" s="18">
        <v>0</v>
      </c>
      <c r="U2506" s="22">
        <v>0.6</v>
      </c>
      <c r="V2506" s="22">
        <f>2.65/5</f>
        <v>0.53</v>
      </c>
      <c r="W2506" s="14" t="s">
        <v>7777</v>
      </c>
      <c r="X2506" s="3">
        <v>3</v>
      </c>
      <c r="Z2506" s="23">
        <v>22</v>
      </c>
      <c r="AB2506" s="18">
        <f t="shared" si="78"/>
        <v>2016</v>
      </c>
      <c r="AC2506" s="22">
        <f t="shared" si="79"/>
        <v>0.57666666666666666</v>
      </c>
    </row>
    <row r="2507" spans="1:29">
      <c r="A2507" s="8" t="s">
        <v>9376</v>
      </c>
      <c r="B2507" s="17" t="s">
        <v>7800</v>
      </c>
      <c r="C2507" s="13">
        <v>42649</v>
      </c>
      <c r="D2507" s="13" t="s">
        <v>8465</v>
      </c>
      <c r="E2507" s="10" t="s">
        <v>9377</v>
      </c>
      <c r="F2507" s="10" t="s">
        <v>9377</v>
      </c>
      <c r="H2507" s="2" t="s">
        <v>1061</v>
      </c>
      <c r="L2507" s="18">
        <v>1</v>
      </c>
      <c r="N2507" s="13">
        <v>44119</v>
      </c>
      <c r="O2507" s="29">
        <v>0</v>
      </c>
      <c r="P2507" s="18" t="s">
        <v>1107</v>
      </c>
      <c r="Q2507" s="18">
        <v>0</v>
      </c>
      <c r="U2507" s="22">
        <v>0.56000000000000005</v>
      </c>
      <c r="V2507" s="22">
        <f>1.63/5</f>
        <v>0.32599999999999996</v>
      </c>
      <c r="W2507" s="14" t="s">
        <v>7777</v>
      </c>
      <c r="X2507" s="3">
        <v>3</v>
      </c>
      <c r="Z2507" s="23">
        <v>8</v>
      </c>
      <c r="AB2507" s="18">
        <f t="shared" si="78"/>
        <v>2016</v>
      </c>
      <c r="AC2507" s="22">
        <f t="shared" si="79"/>
        <v>0.49533333333333335</v>
      </c>
    </row>
    <row r="2508" spans="1:29">
      <c r="A2508" s="8" t="s">
        <v>7579</v>
      </c>
      <c r="B2508" s="17" t="s">
        <v>7800</v>
      </c>
      <c r="C2508" s="13">
        <v>42648</v>
      </c>
      <c r="D2508" s="13" t="s">
        <v>8465</v>
      </c>
      <c r="E2508" s="10" t="s">
        <v>7580</v>
      </c>
      <c r="F2508" s="10" t="s">
        <v>7580</v>
      </c>
      <c r="H2508" s="2" t="s">
        <v>147</v>
      </c>
      <c r="L2508" s="18">
        <v>1</v>
      </c>
      <c r="N2508" s="13">
        <v>43705</v>
      </c>
      <c r="O2508" s="29">
        <v>0</v>
      </c>
      <c r="P2508" s="18" t="s">
        <v>1107</v>
      </c>
      <c r="Q2508" s="18">
        <v>0</v>
      </c>
      <c r="U2508" s="22">
        <v>0.75</v>
      </c>
      <c r="V2508" s="22">
        <f>3.5/5</f>
        <v>0.7</v>
      </c>
      <c r="W2508" s="14" t="s">
        <v>7777</v>
      </c>
      <c r="X2508" s="3">
        <v>3</v>
      </c>
      <c r="Z2508" s="23">
        <v>2.5</v>
      </c>
      <c r="AB2508" s="18">
        <f t="shared" si="78"/>
        <v>2016</v>
      </c>
      <c r="AC2508" s="22">
        <f t="shared" si="79"/>
        <v>0.68333333333333324</v>
      </c>
    </row>
    <row r="2509" spans="1:29">
      <c r="A2509" s="8" t="s">
        <v>13325</v>
      </c>
      <c r="B2509" s="17" t="s">
        <v>7763</v>
      </c>
      <c r="C2509" s="13">
        <v>42648</v>
      </c>
      <c r="D2509" s="13" t="s">
        <v>8465</v>
      </c>
      <c r="E2509" s="10" t="s">
        <v>1534</v>
      </c>
      <c r="F2509" s="10" t="s">
        <v>13326</v>
      </c>
      <c r="H2509" s="2" t="s">
        <v>151</v>
      </c>
      <c r="L2509" s="18">
        <v>1</v>
      </c>
      <c r="N2509" s="13">
        <v>43149</v>
      </c>
      <c r="O2509" s="29">
        <v>0</v>
      </c>
      <c r="P2509" s="18" t="s">
        <v>1107</v>
      </c>
      <c r="Q2509" s="18">
        <v>0</v>
      </c>
      <c r="U2509" s="22">
        <v>0.46</v>
      </c>
      <c r="V2509" s="22">
        <f>2.83/5</f>
        <v>0.56600000000000006</v>
      </c>
      <c r="W2509" s="14" t="s">
        <v>6072</v>
      </c>
      <c r="X2509" s="3">
        <v>2</v>
      </c>
      <c r="Z2509" s="23">
        <v>5</v>
      </c>
      <c r="AB2509" s="18">
        <f t="shared" si="78"/>
        <v>2016</v>
      </c>
      <c r="AC2509" s="22">
        <f t="shared" si="79"/>
        <v>0.47533333333333339</v>
      </c>
    </row>
    <row r="2510" spans="1:29">
      <c r="A2510" s="8" t="s">
        <v>10469</v>
      </c>
      <c r="B2510" s="17" t="s">
        <v>7800</v>
      </c>
      <c r="C2510" s="13">
        <v>42647</v>
      </c>
      <c r="D2510" s="13" t="s">
        <v>8465</v>
      </c>
      <c r="E2510" s="10" t="s">
        <v>10470</v>
      </c>
      <c r="F2510" s="10" t="s">
        <v>10470</v>
      </c>
      <c r="G2510" s="11" t="s">
        <v>10469</v>
      </c>
      <c r="H2510" s="2" t="s">
        <v>245</v>
      </c>
      <c r="L2510" s="18">
        <v>1</v>
      </c>
      <c r="N2510" s="13">
        <v>44433</v>
      </c>
      <c r="O2510" s="29">
        <v>10.6</v>
      </c>
      <c r="P2510" s="18" t="s">
        <v>1107</v>
      </c>
      <c r="Q2510" s="18">
        <v>0</v>
      </c>
      <c r="U2510" s="22">
        <v>0.71</v>
      </c>
      <c r="V2510" s="22">
        <f>3.47/5</f>
        <v>0.69400000000000006</v>
      </c>
      <c r="W2510" s="14" t="s">
        <v>7777</v>
      </c>
      <c r="X2510" s="3">
        <v>3</v>
      </c>
      <c r="Z2510" s="23">
        <v>7</v>
      </c>
      <c r="AB2510" s="18">
        <f t="shared" si="78"/>
        <v>2016</v>
      </c>
      <c r="AC2510" s="22">
        <f t="shared" si="79"/>
        <v>0.66800000000000004</v>
      </c>
    </row>
    <row r="2511" spans="1:29" ht="38.25">
      <c r="A2511" s="8" t="s">
        <v>7975</v>
      </c>
      <c r="B2511" s="17" t="s">
        <v>7800</v>
      </c>
      <c r="C2511" s="13">
        <v>42646</v>
      </c>
      <c r="D2511" s="13" t="s">
        <v>8465</v>
      </c>
      <c r="E2511" s="10" t="s">
        <v>1680</v>
      </c>
      <c r="F2511" s="10" t="s">
        <v>3861</v>
      </c>
      <c r="G2511" s="11" t="s">
        <v>1682</v>
      </c>
      <c r="H2511" s="2" t="s">
        <v>1059</v>
      </c>
      <c r="L2511" s="18">
        <v>1</v>
      </c>
      <c r="N2511" s="13">
        <v>43761</v>
      </c>
      <c r="O2511" s="29">
        <v>0</v>
      </c>
      <c r="P2511" s="18" t="s">
        <v>1107</v>
      </c>
      <c r="Q2511" s="18">
        <v>0</v>
      </c>
      <c r="U2511" s="22">
        <v>0.6</v>
      </c>
      <c r="V2511" s="22">
        <f>3.17/5</f>
        <v>0.63400000000000001</v>
      </c>
      <c r="W2511" s="14" t="s">
        <v>7777</v>
      </c>
      <c r="X2511" s="3">
        <v>3</v>
      </c>
      <c r="Z2511" s="23">
        <v>7</v>
      </c>
      <c r="AB2511" s="18">
        <f t="shared" si="78"/>
        <v>2016</v>
      </c>
      <c r="AC2511" s="22">
        <f t="shared" si="79"/>
        <v>0.6113333333333334</v>
      </c>
    </row>
    <row r="2512" spans="1:29">
      <c r="A2512" s="8" t="s">
        <v>8270</v>
      </c>
      <c r="B2512" s="17" t="s">
        <v>7800</v>
      </c>
      <c r="C2512" s="13">
        <v>42642</v>
      </c>
      <c r="D2512" s="13" t="s">
        <v>8465</v>
      </c>
      <c r="E2512" s="10" t="s">
        <v>3116</v>
      </c>
      <c r="F2512" s="10" t="s">
        <v>3130</v>
      </c>
      <c r="H2512" s="2" t="s">
        <v>1168</v>
      </c>
      <c r="L2512" s="18">
        <v>1</v>
      </c>
      <c r="N2512" s="13">
        <v>43827</v>
      </c>
      <c r="O2512" s="29">
        <v>9.99</v>
      </c>
      <c r="P2512" s="18" t="s">
        <v>1107</v>
      </c>
      <c r="Q2512" s="18">
        <v>0</v>
      </c>
      <c r="U2512" s="22">
        <v>0.66</v>
      </c>
      <c r="V2512" s="22">
        <f>2.92/5</f>
        <v>0.58399999999999996</v>
      </c>
      <c r="W2512" s="14" t="s">
        <v>7777</v>
      </c>
      <c r="X2512" s="3">
        <v>3</v>
      </c>
      <c r="Z2512" s="23">
        <v>10</v>
      </c>
      <c r="AB2512" s="18">
        <f t="shared" si="78"/>
        <v>2016</v>
      </c>
      <c r="AC2512" s="22">
        <f t="shared" si="79"/>
        <v>0.61466666666666658</v>
      </c>
    </row>
    <row r="2513" spans="1:29" ht="25.5">
      <c r="A2513" s="9" t="s">
        <v>7079</v>
      </c>
      <c r="B2513" s="17" t="s">
        <v>7800</v>
      </c>
      <c r="C2513" s="13">
        <v>42642</v>
      </c>
      <c r="D2513" s="13" t="s">
        <v>8465</v>
      </c>
      <c r="E2513" s="10" t="s">
        <v>6112</v>
      </c>
      <c r="F2513" s="10" t="s">
        <v>7080</v>
      </c>
      <c r="H2513" s="2" t="s">
        <v>1220</v>
      </c>
      <c r="L2513" s="18">
        <v>1</v>
      </c>
      <c r="N2513" s="13">
        <v>43619</v>
      </c>
      <c r="O2513" s="29">
        <v>0</v>
      </c>
      <c r="P2513" s="18" t="s">
        <v>1107</v>
      </c>
      <c r="Q2513" s="18">
        <v>0</v>
      </c>
      <c r="U2513" s="22">
        <v>0.8</v>
      </c>
      <c r="V2513" s="22">
        <f>4.1/5</f>
        <v>0.82</v>
      </c>
      <c r="W2513" s="14" t="s">
        <v>7799</v>
      </c>
      <c r="X2513" s="3">
        <v>2</v>
      </c>
      <c r="Z2513" s="23">
        <v>5.5</v>
      </c>
      <c r="AB2513" s="18">
        <f t="shared" si="78"/>
        <v>2016</v>
      </c>
      <c r="AC2513" s="22">
        <f t="shared" si="79"/>
        <v>0.67333333333333334</v>
      </c>
    </row>
    <row r="2514" spans="1:29">
      <c r="A2514" s="8" t="s">
        <v>5581</v>
      </c>
      <c r="B2514" s="17" t="s">
        <v>7800</v>
      </c>
      <c r="C2514" s="13">
        <v>42642</v>
      </c>
      <c r="D2514" s="13" t="s">
        <v>8465</v>
      </c>
      <c r="E2514" s="10" t="s">
        <v>5582</v>
      </c>
      <c r="F2514" s="10" t="s">
        <v>5583</v>
      </c>
      <c r="H2514" s="2" t="s">
        <v>64</v>
      </c>
      <c r="L2514" s="18">
        <v>1</v>
      </c>
      <c r="N2514" s="13">
        <v>43375</v>
      </c>
      <c r="P2514" s="18" t="s">
        <v>1107</v>
      </c>
      <c r="Q2514" s="18">
        <v>0</v>
      </c>
      <c r="U2514" s="22">
        <v>0.8</v>
      </c>
      <c r="V2514" s="22">
        <f>3.88/5</f>
        <v>0.77600000000000002</v>
      </c>
      <c r="W2514" s="14" t="s">
        <v>7777</v>
      </c>
      <c r="X2514" s="3">
        <v>2</v>
      </c>
      <c r="Z2514" s="23">
        <v>8.5</v>
      </c>
      <c r="AB2514" s="18">
        <f t="shared" si="78"/>
        <v>2016</v>
      </c>
      <c r="AC2514" s="22">
        <f t="shared" si="79"/>
        <v>0.65866666666666662</v>
      </c>
    </row>
    <row r="2515" spans="1:29">
      <c r="A2515" s="8" t="s">
        <v>3388</v>
      </c>
      <c r="B2515" s="17" t="s">
        <v>7800</v>
      </c>
      <c r="C2515" s="13">
        <v>42642</v>
      </c>
      <c r="D2515" s="13" t="s">
        <v>8465</v>
      </c>
      <c r="E2515" s="10" t="s">
        <v>3389</v>
      </c>
      <c r="F2515" s="10" t="s">
        <v>3389</v>
      </c>
      <c r="H2515" s="2" t="s">
        <v>67</v>
      </c>
      <c r="L2515" s="18">
        <v>1</v>
      </c>
      <c r="N2515" s="13">
        <v>43400</v>
      </c>
      <c r="P2515" s="18" t="s">
        <v>1107</v>
      </c>
      <c r="Q2515" s="18">
        <v>0</v>
      </c>
      <c r="U2515" s="22">
        <v>0.75</v>
      </c>
      <c r="V2515" s="22">
        <f>3.64/5</f>
        <v>0.72799999999999998</v>
      </c>
      <c r="W2515" s="14" t="s">
        <v>7777</v>
      </c>
      <c r="X2515" s="3">
        <v>2</v>
      </c>
      <c r="Z2515" s="23">
        <v>0.42</v>
      </c>
      <c r="AB2515" s="18">
        <f t="shared" si="78"/>
        <v>2016</v>
      </c>
      <c r="AC2515" s="22">
        <f t="shared" si="79"/>
        <v>0.626</v>
      </c>
    </row>
    <row r="2516" spans="1:29">
      <c r="A2516" s="8" t="s">
        <v>12904</v>
      </c>
      <c r="B2516" s="17" t="s">
        <v>7766</v>
      </c>
      <c r="C2516" s="13">
        <v>42640</v>
      </c>
      <c r="D2516" s="13" t="s">
        <v>8465</v>
      </c>
      <c r="E2516" s="10" t="s">
        <v>3116</v>
      </c>
      <c r="F2516" s="10" t="s">
        <v>10641</v>
      </c>
      <c r="G2516" s="11" t="s">
        <v>10642</v>
      </c>
      <c r="H2516" s="2" t="s">
        <v>150</v>
      </c>
      <c r="L2516" s="18">
        <v>0</v>
      </c>
      <c r="Q2516" s="18">
        <v>0</v>
      </c>
      <c r="U2516" s="22">
        <v>0.91</v>
      </c>
      <c r="V2516" s="22">
        <f>4.29/5</f>
        <v>0.85799999999999998</v>
      </c>
      <c r="X2516" s="3">
        <v>3</v>
      </c>
      <c r="Y2516" s="18">
        <v>1</v>
      </c>
      <c r="Z2516" s="23">
        <v>17</v>
      </c>
      <c r="AB2516" s="18">
        <f t="shared" si="78"/>
        <v>2016</v>
      </c>
      <c r="AC2516" s="22">
        <f t="shared" si="79"/>
        <v>0.78933333333333333</v>
      </c>
    </row>
    <row r="2517" spans="1:29">
      <c r="A2517" s="8" t="s">
        <v>6178</v>
      </c>
      <c r="B2517" s="17" t="s">
        <v>7760</v>
      </c>
      <c r="C2517" s="13">
        <v>42640</v>
      </c>
      <c r="D2517" s="13" t="s">
        <v>8465</v>
      </c>
      <c r="E2517" s="10" t="s">
        <v>3310</v>
      </c>
      <c r="F2517" s="10" t="s">
        <v>4993</v>
      </c>
      <c r="G2517" s="11" t="s">
        <v>5594</v>
      </c>
      <c r="H2517" s="2" t="s">
        <v>3937</v>
      </c>
      <c r="L2517" s="18">
        <v>1</v>
      </c>
      <c r="M2517" s="14" t="s">
        <v>8462</v>
      </c>
      <c r="N2517" s="13">
        <v>43666</v>
      </c>
      <c r="O2517" s="29">
        <v>7.4</v>
      </c>
      <c r="P2517" s="18" t="s">
        <v>14</v>
      </c>
      <c r="Q2517" s="18">
        <v>0</v>
      </c>
      <c r="U2517" s="22">
        <v>0.86</v>
      </c>
      <c r="V2517" s="22">
        <f>3.99/5</f>
        <v>0.79800000000000004</v>
      </c>
      <c r="X2517" s="3">
        <v>3</v>
      </c>
      <c r="Z2517" s="23">
        <v>31</v>
      </c>
      <c r="AB2517" s="18">
        <f t="shared" si="78"/>
        <v>2016</v>
      </c>
      <c r="AC2517" s="22">
        <f t="shared" si="79"/>
        <v>0.75266666666666671</v>
      </c>
    </row>
    <row r="2518" spans="1:29" ht="25.5">
      <c r="A2518" s="8" t="s">
        <v>9867</v>
      </c>
      <c r="B2518" s="17" t="s">
        <v>7749</v>
      </c>
      <c r="C2518" s="13">
        <v>42640</v>
      </c>
      <c r="D2518" s="13" t="s">
        <v>8465</v>
      </c>
      <c r="E2518" s="10" t="s">
        <v>66</v>
      </c>
      <c r="F2518" s="10" t="s">
        <v>242</v>
      </c>
      <c r="G2518" s="11" t="s">
        <v>226</v>
      </c>
      <c r="H2518" s="2" t="s">
        <v>153</v>
      </c>
      <c r="L2518" s="18">
        <v>1</v>
      </c>
      <c r="N2518" s="13">
        <v>44284</v>
      </c>
      <c r="O2518" s="29">
        <v>14.99</v>
      </c>
      <c r="P2518" s="18" t="s">
        <v>1107</v>
      </c>
      <c r="Q2518" s="18">
        <v>0</v>
      </c>
      <c r="U2518" s="22">
        <v>0.69</v>
      </c>
      <c r="V2518" s="22">
        <f>3.98/5</f>
        <v>0.79600000000000004</v>
      </c>
      <c r="X2518" s="3">
        <v>3</v>
      </c>
      <c r="Z2518" s="23">
        <v>3.5</v>
      </c>
      <c r="AB2518" s="18">
        <f t="shared" si="78"/>
        <v>2016</v>
      </c>
      <c r="AC2518" s="22">
        <f t="shared" si="79"/>
        <v>0.69533333333333325</v>
      </c>
    </row>
    <row r="2519" spans="1:29">
      <c r="A2519" s="8" t="s">
        <v>8529</v>
      </c>
      <c r="B2519" s="17" t="s">
        <v>7800</v>
      </c>
      <c r="C2519" s="13">
        <v>42640</v>
      </c>
      <c r="D2519" s="13" t="s">
        <v>8465</v>
      </c>
      <c r="E2519" s="10" t="s">
        <v>8530</v>
      </c>
      <c r="F2519" s="10" t="s">
        <v>8531</v>
      </c>
      <c r="G2519" s="11" t="s">
        <v>8529</v>
      </c>
      <c r="H2519" s="2" t="s">
        <v>149</v>
      </c>
      <c r="L2519" s="18">
        <v>1</v>
      </c>
      <c r="N2519" s="13">
        <v>43922</v>
      </c>
      <c r="O2519" s="29">
        <v>0</v>
      </c>
      <c r="P2519" s="18" t="s">
        <v>1107</v>
      </c>
      <c r="Q2519" s="18">
        <v>0</v>
      </c>
      <c r="V2519" s="22">
        <f>3.25/5</f>
        <v>0.65</v>
      </c>
      <c r="W2519" s="14" t="s">
        <v>7777</v>
      </c>
      <c r="X2519" s="3">
        <v>3</v>
      </c>
      <c r="Z2519" s="23">
        <v>20</v>
      </c>
      <c r="AB2519" s="18">
        <f t="shared" si="78"/>
        <v>2016</v>
      </c>
      <c r="AC2519" s="22">
        <f t="shared" si="79"/>
        <v>0.625</v>
      </c>
    </row>
    <row r="2520" spans="1:29">
      <c r="A2520" s="8" t="s">
        <v>3463</v>
      </c>
      <c r="B2520" s="17" t="s">
        <v>7800</v>
      </c>
      <c r="C2520" s="13">
        <v>42640</v>
      </c>
      <c r="D2520" s="13" t="s">
        <v>8465</v>
      </c>
      <c r="E2520" s="10" t="s">
        <v>3464</v>
      </c>
      <c r="F2520" s="10" t="s">
        <v>3465</v>
      </c>
      <c r="H2520" s="2" t="s">
        <v>1040</v>
      </c>
      <c r="L2520" s="18">
        <v>1</v>
      </c>
      <c r="N2520" s="13">
        <v>43606</v>
      </c>
      <c r="O2520" s="29">
        <v>0</v>
      </c>
      <c r="P2520" s="18" t="s">
        <v>1107</v>
      </c>
      <c r="Q2520" s="18">
        <v>0</v>
      </c>
      <c r="U2520" s="22">
        <v>0.81</v>
      </c>
      <c r="V2520" s="22">
        <f>3.52/5</f>
        <v>0.70399999999999996</v>
      </c>
      <c r="W2520" s="14" t="s">
        <v>7777</v>
      </c>
      <c r="X2520" s="3">
        <v>2</v>
      </c>
      <c r="Z2520" s="23">
        <v>3.5</v>
      </c>
      <c r="AB2520" s="18">
        <f t="shared" si="78"/>
        <v>2016</v>
      </c>
      <c r="AC2520" s="22">
        <f t="shared" si="79"/>
        <v>0.63800000000000001</v>
      </c>
    </row>
    <row r="2521" spans="1:29">
      <c r="A2521" s="8" t="s">
        <v>11272</v>
      </c>
      <c r="B2521" s="17" t="s">
        <v>7749</v>
      </c>
      <c r="C2521" s="13">
        <v>42640</v>
      </c>
      <c r="D2521" s="13" t="s">
        <v>8465</v>
      </c>
      <c r="E2521" s="10" t="s">
        <v>455</v>
      </c>
      <c r="F2521" s="10" t="s">
        <v>5885</v>
      </c>
      <c r="G2521" s="11" t="s">
        <v>1688</v>
      </c>
      <c r="H2521" s="2" t="s">
        <v>64</v>
      </c>
      <c r="L2521" s="18">
        <v>1</v>
      </c>
      <c r="N2521" s="13">
        <v>44652</v>
      </c>
      <c r="O2521" s="29">
        <v>9.99</v>
      </c>
      <c r="P2521" s="18" t="s">
        <v>1107</v>
      </c>
      <c r="Q2521" s="18">
        <v>0</v>
      </c>
      <c r="U2521" s="22">
        <v>0.62</v>
      </c>
      <c r="V2521" s="22">
        <f>3.35/5</f>
        <v>0.67</v>
      </c>
      <c r="X2521" s="3">
        <v>2</v>
      </c>
      <c r="Z2521" s="23">
        <v>4.5</v>
      </c>
      <c r="AB2521" s="18">
        <f t="shared" si="78"/>
        <v>2016</v>
      </c>
      <c r="AC2521" s="22">
        <f t="shared" si="79"/>
        <v>0.56333333333333335</v>
      </c>
    </row>
    <row r="2522" spans="1:29">
      <c r="A2522" s="8" t="s">
        <v>5514</v>
      </c>
      <c r="B2522" s="17" t="s">
        <v>7800</v>
      </c>
      <c r="C2522" s="13">
        <v>42635</v>
      </c>
      <c r="D2522" s="13" t="s">
        <v>8465</v>
      </c>
      <c r="E2522" s="10" t="s">
        <v>1571</v>
      </c>
      <c r="F2522" s="10" t="s">
        <v>5515</v>
      </c>
      <c r="H2522" s="2" t="s">
        <v>67</v>
      </c>
      <c r="L2522" s="18">
        <v>1</v>
      </c>
      <c r="N2522" s="13">
        <v>43600</v>
      </c>
      <c r="O2522" s="29">
        <v>0.99</v>
      </c>
      <c r="P2522" s="18" t="s">
        <v>1107</v>
      </c>
      <c r="Q2522" s="18">
        <v>0</v>
      </c>
      <c r="U2522" s="22">
        <v>0.76</v>
      </c>
      <c r="V2522" s="22">
        <f>3.24/5</f>
        <v>0.64800000000000002</v>
      </c>
      <c r="W2522" s="14" t="s">
        <v>7777</v>
      </c>
      <c r="X2522" s="3">
        <v>3</v>
      </c>
      <c r="Z2522" s="23">
        <v>2</v>
      </c>
      <c r="AB2522" s="18">
        <f t="shared" si="78"/>
        <v>2016</v>
      </c>
      <c r="AC2522" s="22">
        <f t="shared" si="79"/>
        <v>0.66933333333333334</v>
      </c>
    </row>
    <row r="2523" spans="1:29">
      <c r="A2523" s="8" t="s">
        <v>4374</v>
      </c>
      <c r="B2523" s="17" t="s">
        <v>7800</v>
      </c>
      <c r="C2523" s="13">
        <v>42635</v>
      </c>
      <c r="D2523" s="13" t="s">
        <v>8465</v>
      </c>
      <c r="E2523" s="10" t="s">
        <v>3136</v>
      </c>
      <c r="F2523" s="10" t="s">
        <v>4375</v>
      </c>
      <c r="H2523" s="2" t="s">
        <v>1061</v>
      </c>
      <c r="L2523" s="18">
        <v>1</v>
      </c>
      <c r="N2523" s="13">
        <v>43395</v>
      </c>
      <c r="O2523" s="29">
        <v>2.99</v>
      </c>
      <c r="P2523" s="18" t="s">
        <v>1107</v>
      </c>
      <c r="Q2523" s="18">
        <v>0</v>
      </c>
      <c r="U2523" s="22">
        <v>0.6</v>
      </c>
      <c r="V2523" s="22">
        <f>3.81/5</f>
        <v>0.76200000000000001</v>
      </c>
      <c r="W2523" s="14" t="s">
        <v>7777</v>
      </c>
      <c r="X2523" s="3">
        <v>3</v>
      </c>
      <c r="Z2523" s="23">
        <v>2.5</v>
      </c>
      <c r="AB2523" s="18">
        <f t="shared" si="78"/>
        <v>2016</v>
      </c>
      <c r="AC2523" s="22">
        <f t="shared" si="79"/>
        <v>0.65400000000000003</v>
      </c>
    </row>
    <row r="2524" spans="1:29" ht="25.5">
      <c r="A2524" s="8" t="s">
        <v>9348</v>
      </c>
      <c r="B2524" s="17" t="s">
        <v>7800</v>
      </c>
      <c r="C2524" s="13">
        <v>42635</v>
      </c>
      <c r="D2524" s="13" t="s">
        <v>8465</v>
      </c>
      <c r="E2524" s="10" t="s">
        <v>9349</v>
      </c>
      <c r="F2524" s="10" t="s">
        <v>9349</v>
      </c>
      <c r="G2524" s="11" t="s">
        <v>9350</v>
      </c>
      <c r="H2524" s="2" t="s">
        <v>67</v>
      </c>
      <c r="L2524" s="18">
        <v>1</v>
      </c>
      <c r="N2524" s="13">
        <v>44106</v>
      </c>
      <c r="O2524" s="29">
        <v>12</v>
      </c>
      <c r="P2524" s="18" t="s">
        <v>1107</v>
      </c>
      <c r="Q2524" s="18">
        <v>0</v>
      </c>
      <c r="V2524" s="22">
        <f>3.17/5</f>
        <v>0.63400000000000001</v>
      </c>
      <c r="W2524" s="14" t="s">
        <v>7777</v>
      </c>
      <c r="X2524" s="3">
        <v>3</v>
      </c>
      <c r="Z2524" s="23">
        <v>3</v>
      </c>
      <c r="AB2524" s="18">
        <f t="shared" si="78"/>
        <v>2016</v>
      </c>
      <c r="AC2524" s="22">
        <f t="shared" si="79"/>
        <v>0.61699999999999999</v>
      </c>
    </row>
    <row r="2525" spans="1:29" ht="25.5">
      <c r="A2525" s="8" t="s">
        <v>9305</v>
      </c>
      <c r="B2525" s="17" t="s">
        <v>7749</v>
      </c>
      <c r="C2525" s="13">
        <v>42633</v>
      </c>
      <c r="D2525" s="13" t="s">
        <v>8465</v>
      </c>
      <c r="E2525" s="10" t="s">
        <v>2461</v>
      </c>
      <c r="F2525" s="10" t="s">
        <v>228</v>
      </c>
      <c r="G2525" s="11" t="s">
        <v>1171</v>
      </c>
      <c r="H2525" s="2" t="s">
        <v>149</v>
      </c>
      <c r="L2525" s="18">
        <v>1</v>
      </c>
      <c r="N2525" s="13">
        <v>44095</v>
      </c>
      <c r="O2525" s="29">
        <v>14.99</v>
      </c>
      <c r="P2525" s="18" t="s">
        <v>1107</v>
      </c>
      <c r="Q2525" s="18">
        <v>0</v>
      </c>
      <c r="U2525" s="22">
        <v>0.84</v>
      </c>
      <c r="V2525" s="22">
        <f>4.11/5</f>
        <v>0.82200000000000006</v>
      </c>
      <c r="X2525" s="3">
        <v>4</v>
      </c>
      <c r="Z2525" s="23">
        <v>44.5</v>
      </c>
      <c r="AB2525" s="18">
        <f t="shared" si="78"/>
        <v>2016</v>
      </c>
      <c r="AC2525" s="22">
        <f t="shared" si="79"/>
        <v>0.82066666666666654</v>
      </c>
    </row>
    <row r="2526" spans="1:29">
      <c r="A2526" s="8" t="s">
        <v>5623</v>
      </c>
      <c r="B2526" s="17" t="s">
        <v>7800</v>
      </c>
      <c r="C2526" s="13">
        <v>42633</v>
      </c>
      <c r="D2526" s="13" t="s">
        <v>8465</v>
      </c>
      <c r="E2526" s="10" t="s">
        <v>5624</v>
      </c>
      <c r="F2526" s="10" t="s">
        <v>5625</v>
      </c>
      <c r="H2526" s="2" t="s">
        <v>171</v>
      </c>
      <c r="L2526" s="18">
        <v>1</v>
      </c>
      <c r="N2526" s="13">
        <v>43320</v>
      </c>
      <c r="P2526" s="18" t="s">
        <v>1107</v>
      </c>
      <c r="Q2526" s="18">
        <v>0</v>
      </c>
      <c r="U2526" s="22">
        <v>0.55000000000000004</v>
      </c>
      <c r="V2526" s="22">
        <f>3.57/5</f>
        <v>0.71399999999999997</v>
      </c>
      <c r="W2526" s="14" t="s">
        <v>7777</v>
      </c>
      <c r="X2526" s="3">
        <v>3</v>
      </c>
      <c r="Z2526" s="23">
        <v>10</v>
      </c>
      <c r="AB2526" s="18">
        <f t="shared" si="78"/>
        <v>2016</v>
      </c>
      <c r="AC2526" s="22">
        <f t="shared" si="79"/>
        <v>0.62133333333333329</v>
      </c>
    </row>
    <row r="2527" spans="1:29">
      <c r="A2527" s="8" t="s">
        <v>8587</v>
      </c>
      <c r="B2527" s="17" t="s">
        <v>7800</v>
      </c>
      <c r="C2527" s="13">
        <v>42633</v>
      </c>
      <c r="D2527" s="13" t="s">
        <v>8465</v>
      </c>
      <c r="E2527" s="10" t="s">
        <v>4459</v>
      </c>
      <c r="F2527" s="10" t="s">
        <v>4459</v>
      </c>
      <c r="H2527" s="2" t="s">
        <v>67</v>
      </c>
      <c r="L2527" s="18">
        <v>1</v>
      </c>
      <c r="N2527" s="13">
        <v>43938</v>
      </c>
      <c r="O2527" s="29">
        <v>0</v>
      </c>
      <c r="P2527" s="18" t="s">
        <v>1107</v>
      </c>
      <c r="Q2527" s="18">
        <v>0</v>
      </c>
      <c r="U2527" s="22">
        <v>0.63</v>
      </c>
      <c r="V2527" s="22">
        <f>2.88/5</f>
        <v>0.57599999999999996</v>
      </c>
      <c r="W2527" s="14" t="s">
        <v>7777</v>
      </c>
      <c r="X2527" s="3">
        <v>3</v>
      </c>
      <c r="Z2527" s="23">
        <f>27/60</f>
        <v>0.45</v>
      </c>
      <c r="AB2527" s="18">
        <f t="shared" si="78"/>
        <v>2016</v>
      </c>
      <c r="AC2527" s="22">
        <f t="shared" si="79"/>
        <v>0.60199999999999998</v>
      </c>
    </row>
    <row r="2528" spans="1:29">
      <c r="A2528" s="8" t="s">
        <v>15700</v>
      </c>
      <c r="B2528" s="17" t="s">
        <v>7800</v>
      </c>
      <c r="C2528" s="13">
        <v>42633</v>
      </c>
      <c r="D2528" s="13" t="s">
        <v>8465</v>
      </c>
      <c r="E2528" s="10" t="s">
        <v>4281</v>
      </c>
      <c r="F2528" s="10" t="s">
        <v>15701</v>
      </c>
      <c r="H2528" s="2" t="s">
        <v>1194</v>
      </c>
      <c r="L2528" s="18">
        <v>1</v>
      </c>
      <c r="N2528" s="13">
        <v>45170</v>
      </c>
      <c r="O2528" s="29">
        <v>10</v>
      </c>
      <c r="P2528" s="18" t="s">
        <v>1107</v>
      </c>
      <c r="Q2528" s="18">
        <v>0</v>
      </c>
      <c r="U2528" s="22">
        <v>0.56999999999999995</v>
      </c>
      <c r="V2528" s="22">
        <f>3.54/5</f>
        <v>0.70799999999999996</v>
      </c>
      <c r="W2528" s="14" t="s">
        <v>7777</v>
      </c>
      <c r="X2528" s="3">
        <v>2</v>
      </c>
      <c r="Z2528" s="23">
        <v>2</v>
      </c>
      <c r="AB2528" s="18">
        <f t="shared" si="78"/>
        <v>2016</v>
      </c>
      <c r="AC2528" s="22">
        <f t="shared" si="79"/>
        <v>0.55933333333333335</v>
      </c>
    </row>
    <row r="2529" spans="1:29" ht="38.25">
      <c r="A2529" s="8" t="s">
        <v>2368</v>
      </c>
      <c r="B2529" s="17" t="s">
        <v>7749</v>
      </c>
      <c r="C2529" s="13">
        <v>42629</v>
      </c>
      <c r="D2529" s="13" t="s">
        <v>8465</v>
      </c>
      <c r="E2529" s="10" t="s">
        <v>86</v>
      </c>
      <c r="F2529" s="10" t="s">
        <v>1537</v>
      </c>
      <c r="G2529" s="11" t="s">
        <v>140</v>
      </c>
      <c r="H2529" s="2" t="s">
        <v>149</v>
      </c>
      <c r="L2529" s="18">
        <v>1</v>
      </c>
      <c r="M2529" s="14" t="s">
        <v>8462</v>
      </c>
      <c r="N2529" s="13">
        <v>43559</v>
      </c>
      <c r="O2529" s="29">
        <v>25</v>
      </c>
      <c r="P2529" s="18" t="s">
        <v>14</v>
      </c>
      <c r="Q2529" s="18">
        <v>0</v>
      </c>
      <c r="U2529" s="22">
        <v>0.82</v>
      </c>
      <c r="V2529" s="22">
        <f>4.18/5</f>
        <v>0.83599999999999997</v>
      </c>
      <c r="X2529" s="3">
        <v>4</v>
      </c>
      <c r="Z2529" s="23">
        <v>73</v>
      </c>
      <c r="AB2529" s="18">
        <f t="shared" si="78"/>
        <v>2016</v>
      </c>
      <c r="AC2529" s="22">
        <f t="shared" si="79"/>
        <v>0.81866666666666665</v>
      </c>
    </row>
    <row r="2530" spans="1:29" ht="25.5">
      <c r="A2530" s="8" t="s">
        <v>3658</v>
      </c>
      <c r="B2530" s="17" t="s">
        <v>7800</v>
      </c>
      <c r="C2530" s="13">
        <v>42629</v>
      </c>
      <c r="D2530" s="13" t="s">
        <v>8465</v>
      </c>
      <c r="E2530" s="10" t="s">
        <v>3464</v>
      </c>
      <c r="F2530" s="10" t="s">
        <v>3659</v>
      </c>
      <c r="H2530" s="2" t="s">
        <v>67</v>
      </c>
      <c r="L2530" s="18">
        <v>1</v>
      </c>
      <c r="N2530" s="13">
        <v>43606</v>
      </c>
      <c r="O2530" s="29">
        <v>0</v>
      </c>
      <c r="P2530" s="18" t="s">
        <v>1107</v>
      </c>
      <c r="Q2530" s="18">
        <v>0</v>
      </c>
      <c r="U2530" s="22">
        <v>0.71</v>
      </c>
      <c r="V2530" s="22">
        <f>3.9/5</f>
        <v>0.78</v>
      </c>
      <c r="W2530" s="14" t="s">
        <v>7777</v>
      </c>
      <c r="X2530" s="3">
        <v>3</v>
      </c>
      <c r="Z2530" s="23">
        <v>7.5</v>
      </c>
      <c r="AB2530" s="18">
        <f t="shared" si="78"/>
        <v>2016</v>
      </c>
      <c r="AC2530" s="22">
        <f t="shared" si="79"/>
        <v>0.69666666666666666</v>
      </c>
    </row>
    <row r="2531" spans="1:29" ht="38.25">
      <c r="A2531" s="8" t="s">
        <v>8603</v>
      </c>
      <c r="B2531" s="17" t="s">
        <v>7800</v>
      </c>
      <c r="C2531" s="13">
        <v>42628</v>
      </c>
      <c r="D2531" s="13" t="s">
        <v>8465</v>
      </c>
      <c r="E2531" s="10" t="s">
        <v>1604</v>
      </c>
      <c r="F2531" s="10" t="s">
        <v>1614</v>
      </c>
      <c r="G2531" s="11" t="s">
        <v>4639</v>
      </c>
      <c r="H2531" s="2" t="s">
        <v>143</v>
      </c>
      <c r="L2531" s="18">
        <v>1</v>
      </c>
      <c r="N2531" s="13">
        <v>43945</v>
      </c>
      <c r="O2531" s="29">
        <v>0</v>
      </c>
      <c r="P2531" s="18" t="s">
        <v>1107</v>
      </c>
      <c r="Q2531" s="18">
        <v>0</v>
      </c>
      <c r="U2531" s="22">
        <v>0.78</v>
      </c>
      <c r="V2531" s="22">
        <f>3.52/5</f>
        <v>0.70399999999999996</v>
      </c>
      <c r="W2531" s="14" t="s">
        <v>7777</v>
      </c>
      <c r="X2531" s="3">
        <v>3</v>
      </c>
      <c r="Z2531" s="23">
        <v>3.5</v>
      </c>
      <c r="AB2531" s="18">
        <f t="shared" si="78"/>
        <v>2016</v>
      </c>
      <c r="AC2531" s="22">
        <f t="shared" si="79"/>
        <v>0.69466666666666665</v>
      </c>
    </row>
    <row r="2532" spans="1:29" ht="30">
      <c r="A2532" s="8" t="s">
        <v>3589</v>
      </c>
      <c r="B2532" s="17" t="s">
        <v>7800</v>
      </c>
      <c r="C2532" s="13">
        <v>42626</v>
      </c>
      <c r="D2532" s="13" t="s">
        <v>8465</v>
      </c>
      <c r="E2532" s="10" t="s">
        <v>73</v>
      </c>
      <c r="F2532" s="10" t="s">
        <v>1140</v>
      </c>
      <c r="G2532" s="11" t="s">
        <v>3589</v>
      </c>
      <c r="H2532" s="2" t="s">
        <v>1061</v>
      </c>
      <c r="L2532" s="18">
        <v>1</v>
      </c>
      <c r="N2532" s="13">
        <v>43643</v>
      </c>
      <c r="O2532" s="29">
        <v>5.99</v>
      </c>
      <c r="P2532" s="18" t="s">
        <v>1107</v>
      </c>
      <c r="Q2532" s="18">
        <v>0</v>
      </c>
      <c r="U2532" s="22">
        <v>0.8</v>
      </c>
      <c r="V2532" s="22">
        <f>3.79/5</f>
        <v>0.75800000000000001</v>
      </c>
      <c r="W2532" s="14" t="s">
        <v>7777</v>
      </c>
      <c r="X2532" s="3">
        <v>3</v>
      </c>
      <c r="Z2532" s="23">
        <v>11</v>
      </c>
      <c r="AB2532" s="18">
        <f t="shared" si="78"/>
        <v>2016</v>
      </c>
      <c r="AC2532" s="22">
        <f t="shared" si="79"/>
        <v>0.71933333333333327</v>
      </c>
    </row>
    <row r="2533" spans="1:29" ht="25.5">
      <c r="A2533" s="8" t="s">
        <v>9177</v>
      </c>
      <c r="B2533" s="17" t="s">
        <v>7763</v>
      </c>
      <c r="C2533" s="13">
        <v>42626</v>
      </c>
      <c r="D2533" s="13" t="s">
        <v>8465</v>
      </c>
      <c r="E2533" s="10" t="s">
        <v>3113</v>
      </c>
      <c r="F2533" s="10" t="s">
        <v>3861</v>
      </c>
      <c r="G2533" s="11" t="s">
        <v>9072</v>
      </c>
      <c r="H2533" s="2" t="s">
        <v>1377</v>
      </c>
      <c r="L2533" s="18">
        <v>1</v>
      </c>
      <c r="M2533" s="14" t="s">
        <v>8462</v>
      </c>
      <c r="N2533" s="13">
        <v>44051</v>
      </c>
      <c r="O2533" s="29">
        <v>16.93</v>
      </c>
      <c r="P2533" s="18" t="s">
        <v>14</v>
      </c>
      <c r="Q2533" s="18">
        <v>0</v>
      </c>
      <c r="U2533" s="22">
        <v>0.56000000000000005</v>
      </c>
      <c r="V2533" s="22">
        <f>3.5/5</f>
        <v>0.7</v>
      </c>
      <c r="X2533" s="3">
        <v>3</v>
      </c>
      <c r="Z2533" s="23">
        <v>19.5</v>
      </c>
      <c r="AB2533" s="18">
        <f t="shared" si="78"/>
        <v>2016</v>
      </c>
      <c r="AC2533" s="22">
        <f t="shared" si="79"/>
        <v>0.62</v>
      </c>
    </row>
    <row r="2534" spans="1:29">
      <c r="A2534" s="8" t="s">
        <v>9456</v>
      </c>
      <c r="B2534" s="17" t="s">
        <v>7800</v>
      </c>
      <c r="C2534" s="13">
        <v>42626</v>
      </c>
      <c r="D2534" s="13" t="s">
        <v>8465</v>
      </c>
      <c r="E2534" s="10" t="s">
        <v>3116</v>
      </c>
      <c r="F2534" s="10" t="s">
        <v>1164</v>
      </c>
      <c r="H2534" s="2" t="s">
        <v>80</v>
      </c>
      <c r="L2534" s="18">
        <v>1</v>
      </c>
      <c r="N2534" s="13">
        <v>44154</v>
      </c>
      <c r="O2534" s="29">
        <v>4.99</v>
      </c>
      <c r="P2534" s="18" t="s">
        <v>1107</v>
      </c>
      <c r="Q2534" s="18">
        <v>0</v>
      </c>
      <c r="U2534" s="22">
        <v>0.57999999999999996</v>
      </c>
      <c r="V2534" s="22">
        <f>3.3/5</f>
        <v>0.65999999999999992</v>
      </c>
      <c r="W2534" s="14" t="s">
        <v>7777</v>
      </c>
      <c r="X2534" s="3">
        <v>3</v>
      </c>
      <c r="Z2534" s="23">
        <v>12</v>
      </c>
      <c r="AB2534" s="18">
        <f t="shared" si="78"/>
        <v>2016</v>
      </c>
      <c r="AC2534" s="22">
        <f t="shared" si="79"/>
        <v>0.61333333333333329</v>
      </c>
    </row>
    <row r="2535" spans="1:29" ht="25.5">
      <c r="A2535" s="8" t="s">
        <v>10815</v>
      </c>
      <c r="B2535" s="17" t="s">
        <v>7800</v>
      </c>
      <c r="C2535" s="13">
        <v>42625</v>
      </c>
      <c r="D2535" s="13" t="s">
        <v>8465</v>
      </c>
      <c r="E2535" s="10" t="s">
        <v>2452</v>
      </c>
      <c r="F2535" s="10" t="s">
        <v>2452</v>
      </c>
      <c r="G2535" s="11" t="s">
        <v>4595</v>
      </c>
      <c r="H2535" s="2" t="s">
        <v>1518</v>
      </c>
      <c r="L2535" s="18">
        <v>1</v>
      </c>
      <c r="N2535" s="13">
        <v>44552</v>
      </c>
      <c r="O2535" s="29">
        <v>0.89</v>
      </c>
      <c r="P2535" s="18" t="s">
        <v>1107</v>
      </c>
      <c r="Q2535" s="18">
        <v>0</v>
      </c>
      <c r="V2535" s="22">
        <f>4.06/5</f>
        <v>0.81199999999999994</v>
      </c>
      <c r="W2535" s="14" t="s">
        <v>7777</v>
      </c>
      <c r="X2535" s="3">
        <v>3</v>
      </c>
      <c r="Z2535" s="23">
        <v>5</v>
      </c>
      <c r="AB2535" s="18">
        <f t="shared" si="78"/>
        <v>2016</v>
      </c>
      <c r="AC2535" s="22">
        <f t="shared" si="79"/>
        <v>0.70599999999999996</v>
      </c>
    </row>
    <row r="2536" spans="1:29">
      <c r="A2536" s="8" t="s">
        <v>3789</v>
      </c>
      <c r="B2536" s="17" t="s">
        <v>7800</v>
      </c>
      <c r="C2536" s="13">
        <v>42622</v>
      </c>
      <c r="D2536" s="13" t="s">
        <v>8465</v>
      </c>
      <c r="E2536" s="10" t="s">
        <v>1571</v>
      </c>
      <c r="F2536" s="10" t="s">
        <v>3651</v>
      </c>
      <c r="H2536" s="2" t="s">
        <v>171</v>
      </c>
      <c r="L2536" s="18">
        <v>1</v>
      </c>
      <c r="N2536" s="13">
        <v>43285</v>
      </c>
      <c r="O2536" s="29">
        <v>2.4900000000000002</v>
      </c>
      <c r="P2536" s="18" t="s">
        <v>1107</v>
      </c>
      <c r="Q2536" s="18">
        <v>0</v>
      </c>
      <c r="U2536" s="22">
        <v>0.7</v>
      </c>
      <c r="V2536" s="22">
        <f>3.72/5</f>
        <v>0.74399999999999999</v>
      </c>
      <c r="W2536" s="14" t="s">
        <v>7777</v>
      </c>
      <c r="X2536" s="3">
        <v>3</v>
      </c>
      <c r="Z2536" s="23">
        <v>19.5</v>
      </c>
      <c r="AB2536" s="18">
        <f t="shared" si="78"/>
        <v>2016</v>
      </c>
      <c r="AC2536" s="22">
        <f t="shared" si="79"/>
        <v>0.68133333333333335</v>
      </c>
    </row>
    <row r="2537" spans="1:29" ht="38.25">
      <c r="A2537" s="8" t="s">
        <v>7615</v>
      </c>
      <c r="B2537" s="17" t="s">
        <v>7749</v>
      </c>
      <c r="C2537" s="13">
        <v>42621</v>
      </c>
      <c r="D2537" s="13" t="s">
        <v>8465</v>
      </c>
      <c r="E2537" s="10" t="s">
        <v>73</v>
      </c>
      <c r="F2537" s="10" t="s">
        <v>73</v>
      </c>
      <c r="G2537" s="11" t="s">
        <v>2323</v>
      </c>
      <c r="H2537" s="2" t="s">
        <v>67</v>
      </c>
      <c r="L2537" s="18">
        <v>1</v>
      </c>
      <c r="N2537" s="13">
        <v>44273</v>
      </c>
      <c r="O2537" s="29">
        <v>11.99</v>
      </c>
      <c r="P2537" s="18" t="s">
        <v>1107</v>
      </c>
      <c r="Q2537" s="18">
        <v>0</v>
      </c>
      <c r="U2537" s="22">
        <v>0.82</v>
      </c>
      <c r="V2537" s="22">
        <f>4.22/5</f>
        <v>0.84399999999999997</v>
      </c>
      <c r="X2537" s="3">
        <v>4</v>
      </c>
      <c r="Z2537" s="23">
        <v>34.5</v>
      </c>
      <c r="AB2537" s="18">
        <f t="shared" si="78"/>
        <v>2016</v>
      </c>
      <c r="AC2537" s="22">
        <f t="shared" si="79"/>
        <v>0.82133333333333336</v>
      </c>
    </row>
    <row r="2538" spans="1:29" ht="25.5">
      <c r="A2538" s="8" t="s">
        <v>4745</v>
      </c>
      <c r="B2538" s="17" t="s">
        <v>7800</v>
      </c>
      <c r="C2538" s="13">
        <v>42621</v>
      </c>
      <c r="D2538" s="13" t="s">
        <v>8465</v>
      </c>
      <c r="E2538" s="10" t="s">
        <v>3410</v>
      </c>
      <c r="F2538" s="10" t="s">
        <v>3410</v>
      </c>
      <c r="G2538" s="11" t="s">
        <v>4746</v>
      </c>
      <c r="H2538" s="2" t="s">
        <v>80</v>
      </c>
      <c r="L2538" s="18">
        <v>1</v>
      </c>
      <c r="N2538" s="13">
        <v>43276</v>
      </c>
      <c r="O2538" s="29">
        <v>0.5</v>
      </c>
      <c r="P2538" s="18" t="s">
        <v>1107</v>
      </c>
      <c r="Q2538" s="18">
        <v>0</v>
      </c>
      <c r="V2538" s="22">
        <f>3.73/5</f>
        <v>0.746</v>
      </c>
      <c r="W2538" s="14" t="s">
        <v>7777</v>
      </c>
      <c r="X2538" s="3">
        <v>3</v>
      </c>
      <c r="Z2538" s="23">
        <v>1</v>
      </c>
      <c r="AB2538" s="18">
        <f t="shared" si="78"/>
        <v>2016</v>
      </c>
      <c r="AC2538" s="22">
        <f t="shared" si="79"/>
        <v>0.67300000000000004</v>
      </c>
    </row>
    <row r="2539" spans="1:29">
      <c r="A2539" s="8" t="s">
        <v>4141</v>
      </c>
      <c r="B2539" s="17" t="s">
        <v>7800</v>
      </c>
      <c r="C2539" s="13">
        <v>42621</v>
      </c>
      <c r="D2539" s="13" t="s">
        <v>8465</v>
      </c>
      <c r="E2539" s="10" t="s">
        <v>1571</v>
      </c>
      <c r="F2539" s="10" t="s">
        <v>4140</v>
      </c>
      <c r="G2539" s="11" t="s">
        <v>4139</v>
      </c>
      <c r="H2539" s="2" t="s">
        <v>1699</v>
      </c>
      <c r="L2539" s="18">
        <v>1</v>
      </c>
      <c r="N2539" s="13">
        <v>43333</v>
      </c>
      <c r="P2539" s="18" t="s">
        <v>1107</v>
      </c>
      <c r="Q2539" s="18">
        <v>0</v>
      </c>
      <c r="V2539" s="22">
        <f>2.89/5</f>
        <v>0.57800000000000007</v>
      </c>
      <c r="W2539" s="14" t="s">
        <v>7777</v>
      </c>
      <c r="X2539" s="3">
        <v>3</v>
      </c>
      <c r="Z2539" s="23">
        <v>32</v>
      </c>
      <c r="AB2539" s="18">
        <f t="shared" si="78"/>
        <v>2016</v>
      </c>
      <c r="AC2539" s="22">
        <f t="shared" si="79"/>
        <v>0.58899999999999997</v>
      </c>
    </row>
    <row r="2540" spans="1:29">
      <c r="A2540" s="8" t="s">
        <v>4748</v>
      </c>
      <c r="B2540" s="17" t="s">
        <v>7800</v>
      </c>
      <c r="C2540" s="13">
        <v>42621</v>
      </c>
      <c r="D2540" s="13" t="s">
        <v>8465</v>
      </c>
      <c r="E2540" s="10" t="s">
        <v>4749</v>
      </c>
      <c r="F2540" s="10" t="s">
        <v>4750</v>
      </c>
      <c r="H2540" s="2" t="s">
        <v>1334</v>
      </c>
      <c r="L2540" s="18">
        <v>1</v>
      </c>
      <c r="N2540" s="13">
        <v>43424</v>
      </c>
      <c r="P2540" s="18" t="s">
        <v>1107</v>
      </c>
      <c r="Q2540" s="18">
        <v>0</v>
      </c>
      <c r="U2540" s="22">
        <v>0.75</v>
      </c>
      <c r="V2540" s="22">
        <f>3.38/5</f>
        <v>0.67599999999999993</v>
      </c>
      <c r="W2540" s="14" t="s">
        <v>7777</v>
      </c>
      <c r="X2540" s="3">
        <v>2</v>
      </c>
      <c r="Z2540" s="23">
        <v>9</v>
      </c>
      <c r="AB2540" s="18">
        <f t="shared" si="78"/>
        <v>2016</v>
      </c>
      <c r="AC2540" s="22">
        <f t="shared" si="79"/>
        <v>0.60866666666666669</v>
      </c>
    </row>
    <row r="2541" spans="1:29">
      <c r="A2541" s="8" t="s">
        <v>4486</v>
      </c>
      <c r="B2541" s="17" t="s">
        <v>7800</v>
      </c>
      <c r="C2541" s="13">
        <v>42618</v>
      </c>
      <c r="D2541" s="13" t="s">
        <v>8465</v>
      </c>
      <c r="E2541" s="10" t="s">
        <v>3063</v>
      </c>
      <c r="F2541" s="10" t="s">
        <v>4487</v>
      </c>
      <c r="H2541" s="2" t="s">
        <v>153</v>
      </c>
      <c r="L2541" s="18">
        <v>1</v>
      </c>
      <c r="N2541" s="13">
        <v>43629</v>
      </c>
      <c r="O2541" s="29">
        <v>3.74</v>
      </c>
      <c r="P2541" s="18" t="s">
        <v>1107</v>
      </c>
      <c r="Q2541" s="18">
        <v>0</v>
      </c>
      <c r="U2541" s="22">
        <v>0.65</v>
      </c>
      <c r="V2541" s="22">
        <f>3.2/5</f>
        <v>0.64</v>
      </c>
      <c r="W2541" s="14" t="s">
        <v>7777</v>
      </c>
      <c r="X2541" s="3">
        <v>3</v>
      </c>
      <c r="Z2541" s="23">
        <v>4</v>
      </c>
      <c r="AB2541" s="18">
        <f t="shared" si="78"/>
        <v>2016</v>
      </c>
      <c r="AC2541" s="22">
        <f t="shared" si="79"/>
        <v>0.63</v>
      </c>
    </row>
    <row r="2542" spans="1:29">
      <c r="A2542" s="8" t="s">
        <v>11358</v>
      </c>
      <c r="B2542" s="17" t="s">
        <v>7800</v>
      </c>
      <c r="C2542" s="13">
        <v>42615</v>
      </c>
      <c r="D2542" s="13" t="s">
        <v>8465</v>
      </c>
      <c r="E2542" s="10" t="s">
        <v>11359</v>
      </c>
      <c r="F2542" s="10" t="s">
        <v>11359</v>
      </c>
      <c r="G2542" s="11" t="s">
        <v>11358</v>
      </c>
      <c r="H2542" s="2" t="s">
        <v>1518</v>
      </c>
      <c r="L2542" s="18">
        <v>1</v>
      </c>
      <c r="N2542" s="13">
        <v>44627</v>
      </c>
      <c r="O2542" s="29">
        <v>0</v>
      </c>
      <c r="P2542" s="18" t="s">
        <v>1107</v>
      </c>
      <c r="Q2542" s="18">
        <v>0</v>
      </c>
      <c r="U2542" s="22">
        <v>0.74</v>
      </c>
      <c r="V2542" s="22">
        <f>3.79/5</f>
        <v>0.75800000000000001</v>
      </c>
      <c r="W2542" s="14" t="s">
        <v>8765</v>
      </c>
      <c r="X2542" s="3">
        <v>3</v>
      </c>
      <c r="Z2542" s="23">
        <v>7.5</v>
      </c>
      <c r="AB2542" s="18">
        <f t="shared" si="78"/>
        <v>2016</v>
      </c>
      <c r="AC2542" s="22">
        <f t="shared" si="79"/>
        <v>0.69933333333333325</v>
      </c>
    </row>
    <row r="2543" spans="1:29">
      <c r="A2543" s="8" t="s">
        <v>12446</v>
      </c>
      <c r="B2543" s="17" t="s">
        <v>7800</v>
      </c>
      <c r="C2543" s="13">
        <v>42615</v>
      </c>
      <c r="D2543" s="13" t="s">
        <v>8465</v>
      </c>
      <c r="E2543" s="10" t="s">
        <v>12148</v>
      </c>
      <c r="F2543" s="10" t="s">
        <v>3348</v>
      </c>
      <c r="H2543" s="2" t="s">
        <v>64</v>
      </c>
      <c r="L2543" s="18">
        <v>1</v>
      </c>
      <c r="N2543" s="13">
        <v>44809</v>
      </c>
      <c r="O2543" s="29">
        <v>1.99</v>
      </c>
      <c r="P2543" s="18" t="s">
        <v>1107</v>
      </c>
      <c r="Q2543" s="18">
        <v>0</v>
      </c>
      <c r="U2543" s="22">
        <v>0.75</v>
      </c>
      <c r="V2543" s="22">
        <f>3.2/5</f>
        <v>0.64</v>
      </c>
      <c r="W2543" s="14" t="s">
        <v>7777</v>
      </c>
      <c r="X2543" s="3">
        <v>3</v>
      </c>
      <c r="Z2543" s="23">
        <v>6</v>
      </c>
      <c r="AB2543" s="18">
        <f t="shared" si="78"/>
        <v>2016</v>
      </c>
      <c r="AC2543" s="22">
        <f t="shared" si="79"/>
        <v>0.66333333333333344</v>
      </c>
    </row>
    <row r="2544" spans="1:29" ht="25.5">
      <c r="A2544" s="8" t="s">
        <v>11716</v>
      </c>
      <c r="B2544" s="17" t="s">
        <v>7800</v>
      </c>
      <c r="C2544" s="13">
        <v>42615</v>
      </c>
      <c r="D2544" s="13" t="s">
        <v>8465</v>
      </c>
      <c r="E2544" s="10" t="s">
        <v>11717</v>
      </c>
      <c r="F2544" s="10" t="s">
        <v>11717</v>
      </c>
      <c r="G2544" s="11" t="s">
        <v>11718</v>
      </c>
      <c r="H2544" s="2" t="s">
        <v>150</v>
      </c>
      <c r="L2544" s="18">
        <v>1</v>
      </c>
      <c r="N2544" s="13">
        <v>44699</v>
      </c>
      <c r="O2544" s="29">
        <v>0</v>
      </c>
      <c r="P2544" s="18" t="s">
        <v>1107</v>
      </c>
      <c r="Q2544" s="18">
        <v>0</v>
      </c>
      <c r="U2544" s="22">
        <v>0.81</v>
      </c>
      <c r="V2544" s="22">
        <f>3.75/5</f>
        <v>0.75</v>
      </c>
      <c r="W2544" s="14" t="s">
        <v>7097</v>
      </c>
      <c r="X2544" s="3">
        <v>2</v>
      </c>
      <c r="Z2544" s="23">
        <v>12.5</v>
      </c>
      <c r="AB2544" s="18">
        <f t="shared" si="78"/>
        <v>2016</v>
      </c>
      <c r="AC2544" s="22">
        <f t="shared" si="79"/>
        <v>0.65333333333333332</v>
      </c>
    </row>
    <row r="2545" spans="1:29">
      <c r="A2545" s="8" t="s">
        <v>11242</v>
      </c>
      <c r="B2545" s="17" t="s">
        <v>7749</v>
      </c>
      <c r="C2545" s="13">
        <v>42614</v>
      </c>
      <c r="D2545" s="13" t="s">
        <v>8465</v>
      </c>
      <c r="E2545" s="10" t="s">
        <v>86</v>
      </c>
      <c r="F2545" s="10" t="s">
        <v>30</v>
      </c>
      <c r="G2545" s="11" t="s">
        <v>10286</v>
      </c>
      <c r="H2545" s="2" t="s">
        <v>78</v>
      </c>
      <c r="L2545" s="18">
        <v>1</v>
      </c>
      <c r="N2545" s="13">
        <v>44626</v>
      </c>
      <c r="O2545" s="29">
        <v>29.99</v>
      </c>
      <c r="P2545" s="18" t="s">
        <v>1107</v>
      </c>
      <c r="Q2545" s="18">
        <v>0</v>
      </c>
      <c r="U2545" s="22">
        <v>0.86</v>
      </c>
      <c r="V2545" s="22">
        <f>4.24/5</f>
        <v>0.84800000000000009</v>
      </c>
      <c r="X2545" s="3">
        <v>3</v>
      </c>
      <c r="Z2545" s="23">
        <v>39.5</v>
      </c>
      <c r="AB2545" s="18">
        <f t="shared" si="78"/>
        <v>2016</v>
      </c>
      <c r="AC2545" s="22">
        <f t="shared" si="79"/>
        <v>0.76933333333333342</v>
      </c>
    </row>
    <row r="2546" spans="1:29" ht="25.5">
      <c r="A2546" s="8" t="s">
        <v>974</v>
      </c>
      <c r="B2546" s="17" t="s">
        <v>7743</v>
      </c>
      <c r="C2546" s="13">
        <v>42614</v>
      </c>
      <c r="D2546" s="13" t="s">
        <v>8465</v>
      </c>
      <c r="E2546" s="10" t="s">
        <v>86</v>
      </c>
      <c r="F2546" s="10" t="s">
        <v>87</v>
      </c>
      <c r="G2546" s="11" t="s">
        <v>85</v>
      </c>
      <c r="H2546" s="2" t="s">
        <v>80</v>
      </c>
      <c r="L2546" s="18">
        <v>1</v>
      </c>
      <c r="N2546" s="13">
        <v>44639</v>
      </c>
      <c r="O2546" s="29">
        <v>19.989999999999998</v>
      </c>
      <c r="P2546" s="18" t="s">
        <v>1107</v>
      </c>
      <c r="Q2546" s="18">
        <v>0</v>
      </c>
      <c r="V2546" s="22">
        <f>4.21/5</f>
        <v>0.84199999999999997</v>
      </c>
      <c r="X2546" s="3">
        <v>3</v>
      </c>
      <c r="Z2546" s="23">
        <v>38</v>
      </c>
      <c r="AB2546" s="18">
        <f t="shared" si="78"/>
        <v>2016</v>
      </c>
      <c r="AC2546" s="22">
        <f t="shared" si="79"/>
        <v>0.72099999999999997</v>
      </c>
    </row>
    <row r="2547" spans="1:29">
      <c r="A2547" s="8" t="s">
        <v>4527</v>
      </c>
      <c r="B2547" s="17" t="s">
        <v>7800</v>
      </c>
      <c r="C2547" s="13">
        <v>42613</v>
      </c>
      <c r="D2547" s="13" t="s">
        <v>8465</v>
      </c>
      <c r="E2547" s="10" t="s">
        <v>3074</v>
      </c>
      <c r="F2547" s="10" t="s">
        <v>4528</v>
      </c>
      <c r="H2547" s="2" t="s">
        <v>1054</v>
      </c>
      <c r="L2547" s="18">
        <v>1</v>
      </c>
      <c r="N2547" s="13">
        <v>43442</v>
      </c>
      <c r="P2547" s="18" t="s">
        <v>1107</v>
      </c>
      <c r="Q2547" s="18">
        <v>0</v>
      </c>
      <c r="V2547" s="22">
        <f>3.58/5</f>
        <v>0.71599999999999997</v>
      </c>
      <c r="W2547" s="14" t="s">
        <v>7777</v>
      </c>
      <c r="X2547" s="3">
        <v>3</v>
      </c>
      <c r="Z2547" s="23">
        <v>4.5</v>
      </c>
      <c r="AB2547" s="18">
        <f t="shared" si="78"/>
        <v>2016</v>
      </c>
      <c r="AC2547" s="22">
        <f t="shared" si="79"/>
        <v>0.65799999999999992</v>
      </c>
    </row>
    <row r="2548" spans="1:29" ht="25.5">
      <c r="A2548" s="8" t="s">
        <v>11791</v>
      </c>
      <c r="B2548" s="17" t="s">
        <v>7749</v>
      </c>
      <c r="C2548" s="13">
        <v>42613</v>
      </c>
      <c r="D2548" s="13" t="s">
        <v>8465</v>
      </c>
      <c r="E2548" s="10" t="s">
        <v>10018</v>
      </c>
      <c r="F2548" s="10" t="s">
        <v>11790</v>
      </c>
      <c r="G2548" s="11" t="s">
        <v>11789</v>
      </c>
      <c r="H2548" s="2" t="s">
        <v>149</v>
      </c>
      <c r="L2548" s="18">
        <v>1</v>
      </c>
      <c r="N2548" s="13">
        <v>44759</v>
      </c>
      <c r="O2548" s="29">
        <v>5</v>
      </c>
      <c r="P2548" s="18" t="s">
        <v>1107</v>
      </c>
      <c r="Q2548" s="18">
        <v>0</v>
      </c>
      <c r="U2548" s="22">
        <v>0.55000000000000004</v>
      </c>
      <c r="V2548" s="22">
        <f>3.75/5</f>
        <v>0.75</v>
      </c>
      <c r="X2548" s="3">
        <v>2</v>
      </c>
      <c r="AB2548" s="18">
        <f t="shared" si="78"/>
        <v>2016</v>
      </c>
      <c r="AC2548" s="22">
        <f t="shared" si="79"/>
        <v>0.56666666666666676</v>
      </c>
    </row>
    <row r="2549" spans="1:29" ht="30">
      <c r="A2549" s="8" t="s">
        <v>920</v>
      </c>
      <c r="B2549" s="17" t="s">
        <v>7766</v>
      </c>
      <c r="C2549" s="13">
        <v>42612</v>
      </c>
      <c r="D2549" s="13" t="s">
        <v>8465</v>
      </c>
      <c r="E2549" s="10" t="s">
        <v>73</v>
      </c>
      <c r="F2549" s="10" t="s">
        <v>1060</v>
      </c>
      <c r="G2549" s="11" t="s">
        <v>943</v>
      </c>
      <c r="H2549" s="2" t="s">
        <v>1168</v>
      </c>
      <c r="L2549" s="18">
        <v>1</v>
      </c>
      <c r="M2549" s="14" t="s">
        <v>8462</v>
      </c>
      <c r="N2549" s="13">
        <v>43506</v>
      </c>
      <c r="O2549" s="29">
        <v>14.46</v>
      </c>
      <c r="P2549" s="18" t="s">
        <v>14</v>
      </c>
      <c r="Q2549" s="18">
        <v>0</v>
      </c>
      <c r="U2549" s="22">
        <v>0.81</v>
      </c>
      <c r="V2549" s="22">
        <f>4.18/5</f>
        <v>0.83599999999999997</v>
      </c>
      <c r="X2549" s="3">
        <v>3</v>
      </c>
      <c r="Z2549" s="23">
        <v>16</v>
      </c>
      <c r="AB2549" s="18">
        <f t="shared" si="78"/>
        <v>2016</v>
      </c>
      <c r="AC2549" s="22">
        <f t="shared" si="79"/>
        <v>0.7486666666666667</v>
      </c>
    </row>
    <row r="2550" spans="1:29" ht="30">
      <c r="A2550" s="8" t="s">
        <v>6185</v>
      </c>
      <c r="B2550" s="17" t="s">
        <v>7760</v>
      </c>
      <c r="C2550" s="13">
        <v>42612</v>
      </c>
      <c r="D2550" s="13" t="s">
        <v>8465</v>
      </c>
      <c r="E2550" s="10" t="s">
        <v>1604</v>
      </c>
      <c r="F2550" s="10" t="s">
        <v>6129</v>
      </c>
      <c r="G2550" s="11" t="s">
        <v>1606</v>
      </c>
      <c r="H2550" s="2" t="s">
        <v>171</v>
      </c>
      <c r="L2550" s="18">
        <v>1</v>
      </c>
      <c r="N2550" s="13">
        <v>43503</v>
      </c>
      <c r="O2550" s="29">
        <v>0</v>
      </c>
      <c r="P2550" s="18" t="s">
        <v>1107</v>
      </c>
      <c r="Q2550" s="18">
        <v>0</v>
      </c>
      <c r="U2550" s="22">
        <v>0.71</v>
      </c>
      <c r="V2550" s="22">
        <f>4.05/5</f>
        <v>0.80999999999999994</v>
      </c>
      <c r="X2550" s="3">
        <v>3</v>
      </c>
      <c r="Z2550" s="23">
        <v>32.5</v>
      </c>
      <c r="AB2550" s="18">
        <f t="shared" si="78"/>
        <v>2016</v>
      </c>
      <c r="AC2550" s="22">
        <f t="shared" si="79"/>
        <v>0.70666666666666667</v>
      </c>
    </row>
    <row r="2551" spans="1:29">
      <c r="A2551" s="8" t="s">
        <v>9889</v>
      </c>
      <c r="B2551" s="17" t="s">
        <v>7760</v>
      </c>
      <c r="C2551" s="13">
        <v>42612</v>
      </c>
      <c r="D2551" s="13" t="s">
        <v>8465</v>
      </c>
      <c r="E2551" s="10" t="s">
        <v>1565</v>
      </c>
      <c r="F2551" s="10" t="s">
        <v>1471</v>
      </c>
      <c r="G2551" s="11" t="s">
        <v>9889</v>
      </c>
      <c r="H2551" s="2" t="s">
        <v>1059</v>
      </c>
      <c r="L2551" s="18">
        <v>1</v>
      </c>
      <c r="M2551" s="14" t="s">
        <v>8462</v>
      </c>
      <c r="N2551" s="13">
        <v>44936</v>
      </c>
      <c r="O2551" s="29">
        <v>30.95</v>
      </c>
      <c r="P2551" s="18" t="s">
        <v>14</v>
      </c>
      <c r="Q2551" s="18">
        <v>0</v>
      </c>
      <c r="U2551" s="22">
        <v>0.74</v>
      </c>
      <c r="V2551" s="22">
        <f>3.82/5</f>
        <v>0.76400000000000001</v>
      </c>
      <c r="X2551" s="3">
        <v>3</v>
      </c>
      <c r="Z2551" s="23">
        <v>10.5</v>
      </c>
      <c r="AB2551" s="18">
        <f t="shared" si="78"/>
        <v>2016</v>
      </c>
      <c r="AC2551" s="22">
        <f t="shared" si="79"/>
        <v>0.70133333333333336</v>
      </c>
    </row>
    <row r="2552" spans="1:29" ht="30">
      <c r="A2552" s="8" t="s">
        <v>5309</v>
      </c>
      <c r="B2552" s="17" t="s">
        <v>7800</v>
      </c>
      <c r="C2552" s="13">
        <v>42612</v>
      </c>
      <c r="D2552" s="13" t="s">
        <v>8465</v>
      </c>
      <c r="E2552" s="10" t="s">
        <v>3464</v>
      </c>
      <c r="F2552" s="10" t="s">
        <v>5310</v>
      </c>
      <c r="H2552" s="2" t="s">
        <v>1699</v>
      </c>
      <c r="L2552" s="18">
        <v>1</v>
      </c>
      <c r="N2552" s="13">
        <v>43606</v>
      </c>
      <c r="O2552" s="29">
        <v>0</v>
      </c>
      <c r="P2552" s="18" t="s">
        <v>1107</v>
      </c>
      <c r="Q2552" s="18">
        <v>0</v>
      </c>
      <c r="U2552" s="22">
        <v>0.76</v>
      </c>
      <c r="V2552" s="22">
        <f>3.61/5</f>
        <v>0.72199999999999998</v>
      </c>
      <c r="W2552" s="14" t="s">
        <v>7777</v>
      </c>
      <c r="X2552" s="3">
        <v>3</v>
      </c>
      <c r="Z2552" s="23">
        <v>4.5</v>
      </c>
      <c r="AB2552" s="18">
        <f t="shared" si="78"/>
        <v>2016</v>
      </c>
      <c r="AC2552" s="22">
        <f t="shared" si="79"/>
        <v>0.69399999999999995</v>
      </c>
    </row>
    <row r="2553" spans="1:29">
      <c r="A2553" s="8" t="s">
        <v>5376</v>
      </c>
      <c r="B2553" s="17" t="s">
        <v>7800</v>
      </c>
      <c r="C2553" s="13">
        <v>42612</v>
      </c>
      <c r="D2553" s="13" t="s">
        <v>8465</v>
      </c>
      <c r="E2553" s="10" t="s">
        <v>1082</v>
      </c>
      <c r="F2553" s="10" t="s">
        <v>5377</v>
      </c>
      <c r="H2553" s="2" t="s">
        <v>3191</v>
      </c>
      <c r="L2553" s="18">
        <v>1</v>
      </c>
      <c r="N2553" s="13">
        <v>43572</v>
      </c>
      <c r="O2553" s="29">
        <v>0</v>
      </c>
      <c r="P2553" s="18" t="s">
        <v>1107</v>
      </c>
      <c r="Q2553" s="18">
        <v>0</v>
      </c>
      <c r="U2553" s="22">
        <v>0.74</v>
      </c>
      <c r="V2553" s="22">
        <f>3.66/5</f>
        <v>0.73199999999999998</v>
      </c>
      <c r="W2553" s="14" t="s">
        <v>7777</v>
      </c>
      <c r="X2553" s="3">
        <v>3</v>
      </c>
      <c r="Z2553" s="23">
        <v>5</v>
      </c>
      <c r="AB2553" s="18">
        <f t="shared" si="78"/>
        <v>2016</v>
      </c>
      <c r="AC2553" s="22">
        <f t="shared" si="79"/>
        <v>0.69066666666666665</v>
      </c>
    </row>
    <row r="2554" spans="1:29" ht="30">
      <c r="A2554" s="8" t="s">
        <v>6128</v>
      </c>
      <c r="B2554" s="17" t="s">
        <v>7760</v>
      </c>
      <c r="C2554" s="13">
        <v>42612</v>
      </c>
      <c r="D2554" s="13" t="s">
        <v>8465</v>
      </c>
      <c r="E2554" s="10" t="s">
        <v>1604</v>
      </c>
      <c r="F2554" s="10" t="s">
        <v>6129</v>
      </c>
      <c r="G2554" s="11" t="s">
        <v>1606</v>
      </c>
      <c r="H2554" s="2" t="s">
        <v>171</v>
      </c>
      <c r="L2554" s="18">
        <v>1</v>
      </c>
      <c r="M2554" s="14" t="s">
        <v>8462</v>
      </c>
      <c r="N2554" s="13">
        <v>43503</v>
      </c>
      <c r="O2554" s="29">
        <v>19.989999999999998</v>
      </c>
      <c r="P2554" s="18" t="s">
        <v>14</v>
      </c>
      <c r="Q2554" s="18">
        <v>0</v>
      </c>
      <c r="U2554" s="22">
        <v>0.7</v>
      </c>
      <c r="V2554" s="22">
        <f>4.02/5</f>
        <v>0.80399999999999994</v>
      </c>
      <c r="X2554" s="3">
        <v>2</v>
      </c>
      <c r="Z2554" s="23">
        <v>60</v>
      </c>
      <c r="AB2554" s="18">
        <f t="shared" si="78"/>
        <v>2016</v>
      </c>
      <c r="AC2554" s="22">
        <f t="shared" si="79"/>
        <v>0.6346666666666666</v>
      </c>
    </row>
    <row r="2555" spans="1:29">
      <c r="A2555" s="8" t="s">
        <v>7032</v>
      </c>
      <c r="B2555" s="17" t="s">
        <v>7800</v>
      </c>
      <c r="C2555" s="13">
        <v>42612</v>
      </c>
      <c r="D2555" s="13" t="s">
        <v>8465</v>
      </c>
      <c r="E2555" s="10" t="s">
        <v>1151</v>
      </c>
      <c r="F2555" s="10" t="s">
        <v>7033</v>
      </c>
      <c r="H2555" s="2" t="s">
        <v>27</v>
      </c>
      <c r="L2555" s="18">
        <v>1</v>
      </c>
      <c r="O2555" s="29">
        <v>0</v>
      </c>
      <c r="P2555" s="18" t="s">
        <v>1107</v>
      </c>
      <c r="Q2555" s="18">
        <v>0</v>
      </c>
      <c r="U2555" s="22">
        <v>0.79</v>
      </c>
      <c r="V2555" s="22">
        <f>3.47/5</f>
        <v>0.69400000000000006</v>
      </c>
      <c r="W2555" s="14" t="s">
        <v>7799</v>
      </c>
      <c r="X2555" s="3">
        <v>2</v>
      </c>
      <c r="Z2555" s="23">
        <v>4.5</v>
      </c>
      <c r="AB2555" s="18">
        <f t="shared" si="78"/>
        <v>2016</v>
      </c>
      <c r="AC2555" s="22">
        <f t="shared" si="79"/>
        <v>0.628</v>
      </c>
    </row>
    <row r="2556" spans="1:29" ht="25.5">
      <c r="A2556" s="8" t="s">
        <v>8219</v>
      </c>
      <c r="B2556" s="17" t="s">
        <v>7760</v>
      </c>
      <c r="C2556" s="13">
        <v>42609</v>
      </c>
      <c r="D2556" s="13" t="s">
        <v>8465</v>
      </c>
      <c r="E2556" s="10" t="s">
        <v>8220</v>
      </c>
      <c r="F2556" s="10" t="s">
        <v>8220</v>
      </c>
      <c r="H2556" s="2" t="s">
        <v>143</v>
      </c>
      <c r="L2556" s="18">
        <v>1</v>
      </c>
      <c r="M2556" s="14" t="s">
        <v>8462</v>
      </c>
      <c r="N2556" s="13">
        <v>43802</v>
      </c>
      <c r="O2556" s="29">
        <v>26.62</v>
      </c>
      <c r="P2556" s="18" t="s">
        <v>14</v>
      </c>
      <c r="Q2556" s="18">
        <v>0</v>
      </c>
      <c r="U2556" s="22">
        <v>0.66820000000000002</v>
      </c>
      <c r="V2556" s="22">
        <f>3.83/5</f>
        <v>0.76600000000000001</v>
      </c>
      <c r="W2556" s="14" t="s">
        <v>8216</v>
      </c>
      <c r="X2556" s="3">
        <v>3</v>
      </c>
      <c r="Z2556" s="23">
        <v>4</v>
      </c>
      <c r="AB2556" s="18">
        <f t="shared" si="78"/>
        <v>2016</v>
      </c>
      <c r="AC2556" s="22">
        <f t="shared" si="79"/>
        <v>0.67806666666666671</v>
      </c>
    </row>
    <row r="2557" spans="1:29">
      <c r="A2557" s="8" t="s">
        <v>4504</v>
      </c>
      <c r="B2557" s="17" t="s">
        <v>7800</v>
      </c>
      <c r="C2557" s="13">
        <v>42607</v>
      </c>
      <c r="D2557" s="13" t="s">
        <v>8465</v>
      </c>
      <c r="E2557" s="10" t="s">
        <v>4505</v>
      </c>
      <c r="F2557" s="10" t="s">
        <v>4505</v>
      </c>
      <c r="G2557" s="11" t="s">
        <v>4506</v>
      </c>
      <c r="H2557" s="2" t="s">
        <v>64</v>
      </c>
      <c r="L2557" s="18">
        <v>1</v>
      </c>
      <c r="N2557" s="13">
        <v>42747</v>
      </c>
      <c r="P2557" s="18" t="s">
        <v>1107</v>
      </c>
      <c r="Q2557" s="18">
        <v>0</v>
      </c>
      <c r="U2557" s="22">
        <v>0.9</v>
      </c>
      <c r="V2557" s="22">
        <f>4/5</f>
        <v>0.8</v>
      </c>
      <c r="W2557" s="14" t="s">
        <v>7777</v>
      </c>
      <c r="X2557" s="3">
        <v>3</v>
      </c>
      <c r="Z2557" s="23">
        <v>27.5</v>
      </c>
      <c r="AB2557" s="18">
        <f t="shared" si="78"/>
        <v>2016</v>
      </c>
      <c r="AC2557" s="22">
        <f t="shared" si="79"/>
        <v>0.76666666666666672</v>
      </c>
    </row>
    <row r="2558" spans="1:29">
      <c r="A2558" s="8" t="s">
        <v>6966</v>
      </c>
      <c r="B2558" s="17" t="s">
        <v>7800</v>
      </c>
      <c r="C2558" s="13">
        <v>42606</v>
      </c>
      <c r="D2558" s="13" t="s">
        <v>8465</v>
      </c>
      <c r="E2558" s="10" t="s">
        <v>6967</v>
      </c>
      <c r="F2558" s="10" t="s">
        <v>6967</v>
      </c>
      <c r="H2558" s="2" t="s">
        <v>67</v>
      </c>
      <c r="L2558" s="18">
        <v>1</v>
      </c>
      <c r="N2558" s="13">
        <v>43616</v>
      </c>
      <c r="O2558" s="29">
        <v>0</v>
      </c>
      <c r="P2558" s="18" t="s">
        <v>1107</v>
      </c>
      <c r="Q2558" s="18">
        <v>0</v>
      </c>
      <c r="U2558" s="22">
        <v>0.77</v>
      </c>
      <c r="V2558" s="22">
        <f>3.48/5</f>
        <v>0.69599999999999995</v>
      </c>
      <c r="W2558" s="14" t="s">
        <v>7777</v>
      </c>
      <c r="X2558" s="3">
        <v>3</v>
      </c>
      <c r="Z2558" s="23">
        <v>12</v>
      </c>
      <c r="AB2558" s="18">
        <f t="shared" si="78"/>
        <v>2016</v>
      </c>
      <c r="AC2558" s="22">
        <f t="shared" si="79"/>
        <v>0.68866666666666665</v>
      </c>
    </row>
    <row r="2559" spans="1:29" ht="25.5">
      <c r="A2559" s="8" t="s">
        <v>3649</v>
      </c>
      <c r="B2559" s="17" t="s">
        <v>7800</v>
      </c>
      <c r="C2559" s="13">
        <v>42605</v>
      </c>
      <c r="D2559" s="13" t="s">
        <v>8465</v>
      </c>
      <c r="E2559" s="10" t="s">
        <v>1082</v>
      </c>
      <c r="F2559" s="10" t="s">
        <v>3647</v>
      </c>
      <c r="G2559" s="11" t="s">
        <v>3645</v>
      </c>
      <c r="H2559" s="2" t="s">
        <v>171</v>
      </c>
      <c r="L2559" s="18">
        <v>1</v>
      </c>
      <c r="N2559" s="13">
        <v>43273</v>
      </c>
      <c r="O2559" s="29">
        <v>3.85</v>
      </c>
      <c r="P2559" s="18" t="s">
        <v>1107</v>
      </c>
      <c r="Q2559" s="18">
        <v>0</v>
      </c>
      <c r="U2559" s="22">
        <v>0.82</v>
      </c>
      <c r="V2559" s="22">
        <f>3.65/5</f>
        <v>0.73</v>
      </c>
      <c r="W2559" s="14" t="s">
        <v>7777</v>
      </c>
      <c r="X2559" s="3">
        <v>4</v>
      </c>
      <c r="Z2559" s="23">
        <v>15</v>
      </c>
      <c r="AB2559" s="18">
        <f t="shared" si="78"/>
        <v>2016</v>
      </c>
      <c r="AC2559" s="22">
        <f t="shared" si="79"/>
        <v>0.78333333333333321</v>
      </c>
    </row>
    <row r="2560" spans="1:29" ht="30">
      <c r="A2560" s="8" t="s">
        <v>6095</v>
      </c>
      <c r="B2560" s="17" t="s">
        <v>7760</v>
      </c>
      <c r="C2560" s="13">
        <v>42605</v>
      </c>
      <c r="D2560" s="13" t="s">
        <v>8465</v>
      </c>
      <c r="E2560" s="10" t="s">
        <v>6096</v>
      </c>
      <c r="F2560" s="10" t="s">
        <v>6096</v>
      </c>
      <c r="H2560" s="2" t="s">
        <v>67</v>
      </c>
      <c r="L2560" s="18">
        <v>1</v>
      </c>
      <c r="M2560" s="14" t="s">
        <v>8462</v>
      </c>
      <c r="N2560" s="13">
        <v>43605</v>
      </c>
      <c r="O2560" s="29">
        <v>32.549999999999997</v>
      </c>
      <c r="P2560" s="18" t="s">
        <v>14</v>
      </c>
      <c r="Q2560" s="18">
        <v>0</v>
      </c>
      <c r="U2560" s="22">
        <v>0.72</v>
      </c>
      <c r="V2560" s="22">
        <f>3.69/5</f>
        <v>0.73799999999999999</v>
      </c>
      <c r="W2560" s="14" t="s">
        <v>1134</v>
      </c>
      <c r="X2560" s="3">
        <v>2</v>
      </c>
      <c r="Z2560" s="23">
        <v>6.5</v>
      </c>
      <c r="AB2560" s="18">
        <f t="shared" si="78"/>
        <v>2016</v>
      </c>
      <c r="AC2560" s="22">
        <f t="shared" si="79"/>
        <v>0.6193333333333334</v>
      </c>
    </row>
    <row r="2561" spans="1:29" ht="25.5">
      <c r="A2561" s="8" t="s">
        <v>2385</v>
      </c>
      <c r="B2561" s="17" t="s">
        <v>7749</v>
      </c>
      <c r="C2561" s="13">
        <v>42601</v>
      </c>
      <c r="D2561" s="13" t="s">
        <v>8465</v>
      </c>
      <c r="E2561" s="10" t="s">
        <v>86</v>
      </c>
      <c r="F2561" s="10" t="s">
        <v>1535</v>
      </c>
      <c r="G2561" s="11" t="s">
        <v>109</v>
      </c>
      <c r="H2561" s="2" t="s">
        <v>1050</v>
      </c>
      <c r="L2561" s="18">
        <v>1</v>
      </c>
      <c r="M2561" s="14" t="s">
        <v>8462</v>
      </c>
      <c r="N2561" s="13">
        <v>43634</v>
      </c>
      <c r="O2561" s="29">
        <v>17.899999999999999</v>
      </c>
      <c r="P2561" s="18" t="s">
        <v>14</v>
      </c>
      <c r="Q2561" s="18">
        <v>0</v>
      </c>
      <c r="U2561" s="22">
        <v>0.65</v>
      </c>
      <c r="V2561" s="22">
        <f>2.91/5</f>
        <v>0.58200000000000007</v>
      </c>
      <c r="X2561" s="3">
        <v>3</v>
      </c>
      <c r="Z2561" s="23">
        <v>10</v>
      </c>
      <c r="AB2561" s="18">
        <f t="shared" ref="AB2561:AB2624" si="80">IFERROR(YEAR(C2561), "Early Access")</f>
        <v>2016</v>
      </c>
      <c r="AC2561" s="22">
        <f t="shared" ref="AC2561:AC2624" si="81">AVERAGE(T2561, U2561, V2561, IF(ISBLANK(X2561), X2561, X2561/5))</f>
        <v>0.6106666666666668</v>
      </c>
    </row>
    <row r="2562" spans="1:29" ht="38.25">
      <c r="A2562" s="8" t="s">
        <v>3484</v>
      </c>
      <c r="B2562" s="17" t="s">
        <v>7800</v>
      </c>
      <c r="C2562" s="13">
        <v>42598</v>
      </c>
      <c r="D2562" s="13" t="s">
        <v>8465</v>
      </c>
      <c r="E2562" s="10" t="s">
        <v>2452</v>
      </c>
      <c r="F2562" s="10" t="s">
        <v>2452</v>
      </c>
      <c r="G2562" s="11" t="s">
        <v>3485</v>
      </c>
      <c r="H2562" s="2" t="s">
        <v>149</v>
      </c>
      <c r="L2562" s="18">
        <v>1</v>
      </c>
      <c r="N2562" s="13">
        <v>43328</v>
      </c>
      <c r="O2562" s="29">
        <v>5.99</v>
      </c>
      <c r="P2562" s="18" t="s">
        <v>1107</v>
      </c>
      <c r="Q2562" s="18">
        <v>0</v>
      </c>
      <c r="V2562" s="22">
        <f>4.03/5</f>
        <v>0.80600000000000005</v>
      </c>
      <c r="W2562" s="14" t="s">
        <v>7777</v>
      </c>
      <c r="X2562" s="3">
        <v>4</v>
      </c>
      <c r="Z2562" s="23">
        <v>40</v>
      </c>
      <c r="AB2562" s="18">
        <f t="shared" si="80"/>
        <v>2016</v>
      </c>
      <c r="AC2562" s="22">
        <f t="shared" si="81"/>
        <v>0.80300000000000005</v>
      </c>
    </row>
    <row r="2563" spans="1:29">
      <c r="A2563" s="8" t="s">
        <v>4043</v>
      </c>
      <c r="B2563" s="17" t="s">
        <v>7800</v>
      </c>
      <c r="C2563" s="13">
        <v>42598</v>
      </c>
      <c r="D2563" s="13" t="s">
        <v>8465</v>
      </c>
      <c r="E2563" s="10" t="s">
        <v>1047</v>
      </c>
      <c r="F2563" s="10" t="s">
        <v>4042</v>
      </c>
      <c r="G2563" s="11" t="s">
        <v>4041</v>
      </c>
      <c r="H2563" s="2" t="s">
        <v>80</v>
      </c>
      <c r="L2563" s="18">
        <v>1</v>
      </c>
      <c r="N2563" s="13">
        <v>43338</v>
      </c>
      <c r="P2563" s="18" t="s">
        <v>1107</v>
      </c>
      <c r="Q2563" s="18">
        <v>0</v>
      </c>
      <c r="U2563" s="22">
        <v>0.74</v>
      </c>
      <c r="V2563" s="22">
        <f>3.25/5</f>
        <v>0.65</v>
      </c>
      <c r="W2563" s="14" t="s">
        <v>7777</v>
      </c>
      <c r="X2563" s="3">
        <v>4</v>
      </c>
      <c r="Z2563" s="23">
        <v>4</v>
      </c>
      <c r="AB2563" s="18">
        <f t="shared" si="80"/>
        <v>2016</v>
      </c>
      <c r="AC2563" s="22">
        <f t="shared" si="81"/>
        <v>0.73000000000000009</v>
      </c>
    </row>
    <row r="2564" spans="1:29" ht="30">
      <c r="A2564" s="8" t="s">
        <v>14066</v>
      </c>
      <c r="B2564" s="17" t="s">
        <v>7760</v>
      </c>
      <c r="C2564" s="13">
        <v>42598</v>
      </c>
      <c r="D2564" s="13" t="s">
        <v>8465</v>
      </c>
      <c r="E2564" s="10" t="s">
        <v>6107</v>
      </c>
      <c r="F2564" s="10" t="s">
        <v>10372</v>
      </c>
      <c r="H2564" s="2" t="s">
        <v>64</v>
      </c>
      <c r="L2564" s="18">
        <v>0</v>
      </c>
      <c r="Q2564" s="18">
        <v>0</v>
      </c>
      <c r="U2564" s="22">
        <v>0.71</v>
      </c>
      <c r="V2564" s="22">
        <f>3.17/5</f>
        <v>0.63400000000000001</v>
      </c>
      <c r="X2564" s="3">
        <v>2</v>
      </c>
      <c r="Y2564" s="18">
        <v>1</v>
      </c>
      <c r="Z2564" s="23">
        <v>2</v>
      </c>
      <c r="AB2564" s="18">
        <f t="shared" si="80"/>
        <v>2016</v>
      </c>
      <c r="AC2564" s="22">
        <f t="shared" si="81"/>
        <v>0.58133333333333326</v>
      </c>
    </row>
    <row r="2565" spans="1:29">
      <c r="A2565" s="8" t="s">
        <v>10454</v>
      </c>
      <c r="B2565" s="17" t="s">
        <v>7800</v>
      </c>
      <c r="C2565" s="13">
        <v>42593</v>
      </c>
      <c r="D2565" s="13" t="s">
        <v>8465</v>
      </c>
      <c r="E2565" s="10" t="s">
        <v>3063</v>
      </c>
      <c r="F2565" s="10" t="s">
        <v>10453</v>
      </c>
      <c r="G2565" s="11" t="s">
        <v>10454</v>
      </c>
      <c r="H2565" s="2" t="s">
        <v>1334</v>
      </c>
      <c r="L2565" s="18">
        <v>1</v>
      </c>
      <c r="N2565" s="13">
        <v>45003</v>
      </c>
      <c r="O2565" s="29">
        <v>0.98</v>
      </c>
      <c r="P2565" s="18" t="s">
        <v>1107</v>
      </c>
      <c r="Q2565" s="18">
        <v>0</v>
      </c>
      <c r="U2565" s="22">
        <v>0.77</v>
      </c>
      <c r="V2565" s="22">
        <f>3.39/5</f>
        <v>0.67800000000000005</v>
      </c>
      <c r="W2565" s="14" t="s">
        <v>7777</v>
      </c>
      <c r="X2565" s="3">
        <v>3</v>
      </c>
      <c r="Z2565" s="23">
        <v>4</v>
      </c>
      <c r="AB2565" s="18">
        <f t="shared" si="80"/>
        <v>2016</v>
      </c>
      <c r="AC2565" s="22">
        <f t="shared" si="81"/>
        <v>0.68266666666666664</v>
      </c>
    </row>
    <row r="2566" spans="1:29">
      <c r="A2566" s="8" t="s">
        <v>4237</v>
      </c>
      <c r="B2566" s="17" t="s">
        <v>7800</v>
      </c>
      <c r="C2566" s="13">
        <v>42591</v>
      </c>
      <c r="D2566" s="13" t="s">
        <v>8465</v>
      </c>
      <c r="E2566" s="10" t="s">
        <v>3544</v>
      </c>
      <c r="F2566" s="10" t="s">
        <v>4238</v>
      </c>
      <c r="G2566" s="11" t="s">
        <v>4239</v>
      </c>
      <c r="H2566" s="2" t="s">
        <v>61</v>
      </c>
      <c r="L2566" s="18">
        <v>1</v>
      </c>
      <c r="N2566" s="13">
        <v>43404</v>
      </c>
      <c r="O2566" s="29">
        <v>2.99</v>
      </c>
      <c r="P2566" s="18" t="s">
        <v>1107</v>
      </c>
      <c r="Q2566" s="18">
        <v>0</v>
      </c>
      <c r="U2566" s="22">
        <v>0.9</v>
      </c>
      <c r="V2566" s="22">
        <f>3.67/5</f>
        <v>0.73399999999999999</v>
      </c>
      <c r="W2566" s="14" t="s">
        <v>7777</v>
      </c>
      <c r="X2566" s="3">
        <v>3</v>
      </c>
      <c r="Z2566" s="23">
        <v>8</v>
      </c>
      <c r="AB2566" s="18">
        <f t="shared" si="80"/>
        <v>2016</v>
      </c>
      <c r="AC2566" s="22">
        <f t="shared" si="81"/>
        <v>0.7446666666666667</v>
      </c>
    </row>
    <row r="2567" spans="1:29">
      <c r="A2567" s="8" t="s">
        <v>4362</v>
      </c>
      <c r="B2567" s="17" t="s">
        <v>7800</v>
      </c>
      <c r="C2567" s="13">
        <v>42590</v>
      </c>
      <c r="D2567" s="13" t="s">
        <v>8465</v>
      </c>
      <c r="E2567" s="10" t="s">
        <v>4361</v>
      </c>
      <c r="F2567" s="10" t="s">
        <v>4361</v>
      </c>
      <c r="G2567" s="11" t="s">
        <v>4360</v>
      </c>
      <c r="H2567" s="2" t="s">
        <v>1061</v>
      </c>
      <c r="L2567" s="18">
        <v>1</v>
      </c>
      <c r="N2567" s="13">
        <v>43460</v>
      </c>
      <c r="P2567" s="18" t="s">
        <v>1107</v>
      </c>
      <c r="Q2567" s="18">
        <v>0</v>
      </c>
      <c r="V2567" s="22">
        <f>3.06/5</f>
        <v>0.61199999999999999</v>
      </c>
      <c r="W2567" s="14" t="s">
        <v>7777</v>
      </c>
      <c r="X2567" s="3">
        <v>2</v>
      </c>
      <c r="Z2567" s="23">
        <v>3</v>
      </c>
      <c r="AB2567" s="18">
        <f t="shared" si="80"/>
        <v>2016</v>
      </c>
      <c r="AC2567" s="22">
        <f t="shared" si="81"/>
        <v>0.50600000000000001</v>
      </c>
    </row>
    <row r="2568" spans="1:29" ht="25.5">
      <c r="A2568" s="8" t="s">
        <v>15144</v>
      </c>
      <c r="B2568" s="17" t="s">
        <v>7800</v>
      </c>
      <c r="C2568" s="13">
        <v>42588</v>
      </c>
      <c r="D2568" s="13" t="s">
        <v>8465</v>
      </c>
      <c r="E2568" s="10" t="s">
        <v>15145</v>
      </c>
      <c r="F2568" s="10" t="s">
        <v>15145</v>
      </c>
      <c r="H2568" s="2" t="s">
        <v>151</v>
      </c>
      <c r="L2568" s="18">
        <v>0</v>
      </c>
      <c r="Q2568" s="18">
        <v>0</v>
      </c>
      <c r="W2568" s="14" t="s">
        <v>5674</v>
      </c>
      <c r="X2568" s="3">
        <v>3</v>
      </c>
      <c r="Z2568" s="23">
        <v>5.5</v>
      </c>
      <c r="AB2568" s="18">
        <f t="shared" si="80"/>
        <v>2016</v>
      </c>
      <c r="AC2568" s="22">
        <f t="shared" si="81"/>
        <v>0.6</v>
      </c>
    </row>
    <row r="2569" spans="1:29" ht="25.5">
      <c r="A2569" s="8" t="s">
        <v>12366</v>
      </c>
      <c r="B2569" s="17" t="s">
        <v>7760</v>
      </c>
      <c r="C2569" s="13">
        <v>42587</v>
      </c>
      <c r="D2569" s="13" t="s">
        <v>9335</v>
      </c>
      <c r="E2569" s="10" t="s">
        <v>3568</v>
      </c>
      <c r="F2569" s="10" t="s">
        <v>11049</v>
      </c>
      <c r="G2569" s="11" t="s">
        <v>299</v>
      </c>
      <c r="H2569" s="2" t="s">
        <v>75</v>
      </c>
      <c r="K2569" s="18">
        <v>2</v>
      </c>
      <c r="L2569" s="18">
        <v>1</v>
      </c>
      <c r="M2569" s="14" t="s">
        <v>8462</v>
      </c>
      <c r="N2569" s="13">
        <v>44947</v>
      </c>
      <c r="O2569" s="29">
        <v>14.95</v>
      </c>
      <c r="P2569" s="18" t="s">
        <v>14</v>
      </c>
      <c r="Q2569" s="18">
        <v>0</v>
      </c>
      <c r="V2569" s="22">
        <f>4.19/5</f>
        <v>0.83800000000000008</v>
      </c>
      <c r="X2569" s="3">
        <v>3</v>
      </c>
      <c r="Z2569" s="23">
        <v>41.5</v>
      </c>
      <c r="AB2569" s="18">
        <f t="shared" si="80"/>
        <v>2016</v>
      </c>
      <c r="AC2569" s="22">
        <f t="shared" si="81"/>
        <v>0.71900000000000008</v>
      </c>
    </row>
    <row r="2570" spans="1:29">
      <c r="A2570" s="8" t="s">
        <v>7045</v>
      </c>
      <c r="B2570" s="17" t="s">
        <v>7800</v>
      </c>
      <c r="C2570" s="13">
        <v>42585</v>
      </c>
      <c r="D2570" s="13" t="s">
        <v>8465</v>
      </c>
      <c r="E2570" s="10" t="s">
        <v>1634</v>
      </c>
      <c r="F2570" s="10" t="s">
        <v>7046</v>
      </c>
      <c r="G2570" s="11" t="s">
        <v>7045</v>
      </c>
      <c r="H2570" s="2" t="s">
        <v>1334</v>
      </c>
      <c r="L2570" s="18">
        <v>1</v>
      </c>
      <c r="O2570" s="29">
        <v>0</v>
      </c>
      <c r="P2570" s="18" t="s">
        <v>1107</v>
      </c>
      <c r="Q2570" s="18">
        <v>0</v>
      </c>
      <c r="U2570" s="22">
        <v>0.82</v>
      </c>
      <c r="V2570" s="22">
        <f>3.71/5</f>
        <v>0.74199999999999999</v>
      </c>
      <c r="W2570" s="14" t="s">
        <v>7799</v>
      </c>
      <c r="X2570" s="3">
        <v>3</v>
      </c>
      <c r="Z2570" s="23">
        <v>6</v>
      </c>
      <c r="AB2570" s="18">
        <f t="shared" si="80"/>
        <v>2016</v>
      </c>
      <c r="AC2570" s="22">
        <f t="shared" si="81"/>
        <v>0.72066666666666668</v>
      </c>
    </row>
    <row r="2571" spans="1:29">
      <c r="A2571" s="8" t="s">
        <v>7779</v>
      </c>
      <c r="B2571" s="17" t="s">
        <v>7800</v>
      </c>
      <c r="C2571" s="13">
        <v>42584</v>
      </c>
      <c r="D2571" s="13" t="s">
        <v>8465</v>
      </c>
      <c r="E2571" s="10" t="s">
        <v>1571</v>
      </c>
      <c r="F2571" s="10" t="s">
        <v>7780</v>
      </c>
      <c r="H2571" s="2" t="s">
        <v>80</v>
      </c>
      <c r="L2571" s="18">
        <v>1</v>
      </c>
      <c r="N2571" s="13">
        <v>43713</v>
      </c>
      <c r="O2571" s="29">
        <v>0</v>
      </c>
      <c r="P2571" s="18" t="s">
        <v>1107</v>
      </c>
      <c r="Q2571" s="18">
        <v>0</v>
      </c>
      <c r="U2571" s="22">
        <v>0.86</v>
      </c>
      <c r="V2571" s="22">
        <f>3.68/5</f>
        <v>0.73599999999999999</v>
      </c>
      <c r="W2571" s="14" t="s">
        <v>7097</v>
      </c>
      <c r="X2571" s="3">
        <v>4</v>
      </c>
      <c r="Z2571" s="23">
        <v>2</v>
      </c>
      <c r="AB2571" s="18">
        <f t="shared" si="80"/>
        <v>2016</v>
      </c>
      <c r="AC2571" s="22">
        <f t="shared" si="81"/>
        <v>0.79866666666666664</v>
      </c>
    </row>
    <row r="2572" spans="1:29" ht="25.5">
      <c r="A2572" s="8" t="s">
        <v>9293</v>
      </c>
      <c r="B2572" s="17" t="s">
        <v>7763</v>
      </c>
      <c r="C2572" s="13">
        <v>42584</v>
      </c>
      <c r="D2572" s="13" t="s">
        <v>8465</v>
      </c>
      <c r="E2572" s="10" t="s">
        <v>7877</v>
      </c>
      <c r="F2572" s="10" t="s">
        <v>1070</v>
      </c>
      <c r="G2572" s="11" t="s">
        <v>9294</v>
      </c>
      <c r="H2572" s="2" t="s">
        <v>1170</v>
      </c>
      <c r="L2572" s="18">
        <v>1</v>
      </c>
      <c r="M2572" s="14" t="s">
        <v>8462</v>
      </c>
      <c r="N2572" s="13">
        <v>44081</v>
      </c>
      <c r="O2572" s="29">
        <v>32.54</v>
      </c>
      <c r="P2572" s="18" t="s">
        <v>14</v>
      </c>
      <c r="Q2572" s="18">
        <v>0</v>
      </c>
      <c r="V2572" s="22">
        <f>3.59/5</f>
        <v>0.71799999999999997</v>
      </c>
      <c r="X2572" s="3">
        <v>3</v>
      </c>
      <c r="Z2572" s="23">
        <v>3.5</v>
      </c>
      <c r="AB2572" s="18">
        <f t="shared" si="80"/>
        <v>2016</v>
      </c>
      <c r="AC2572" s="22">
        <f t="shared" si="81"/>
        <v>0.65900000000000003</v>
      </c>
    </row>
    <row r="2573" spans="1:29" ht="30">
      <c r="A2573" s="8" t="s">
        <v>1117</v>
      </c>
      <c r="B2573" s="17" t="s">
        <v>7743</v>
      </c>
      <c r="C2573" s="13">
        <v>42583</v>
      </c>
      <c r="D2573" s="13" t="s">
        <v>8465</v>
      </c>
      <c r="E2573" s="10" t="s">
        <v>1153</v>
      </c>
      <c r="F2573" s="10" t="s">
        <v>1153</v>
      </c>
      <c r="G2573" s="11" t="s">
        <v>1117</v>
      </c>
      <c r="H2573" s="2" t="s">
        <v>151</v>
      </c>
      <c r="L2573" s="18">
        <v>1</v>
      </c>
      <c r="M2573" s="14" t="s">
        <v>8462</v>
      </c>
      <c r="N2573" s="13">
        <v>43563</v>
      </c>
      <c r="O2573" s="29">
        <v>45.74</v>
      </c>
      <c r="P2573" s="18" t="s">
        <v>14</v>
      </c>
      <c r="Q2573" s="18">
        <v>0</v>
      </c>
      <c r="U2573" s="22">
        <v>0.88</v>
      </c>
      <c r="V2573" s="22">
        <f>4.31/5</f>
        <v>0.86199999999999988</v>
      </c>
      <c r="W2573" s="14" t="s">
        <v>1134</v>
      </c>
      <c r="X2573" s="3">
        <v>4</v>
      </c>
      <c r="Z2573" s="23">
        <v>10.5</v>
      </c>
      <c r="AB2573" s="18">
        <f t="shared" si="80"/>
        <v>2016</v>
      </c>
      <c r="AC2573" s="22">
        <f t="shared" si="81"/>
        <v>0.84733333333333327</v>
      </c>
    </row>
    <row r="2574" spans="1:29">
      <c r="A2574" s="8" t="s">
        <v>11467</v>
      </c>
      <c r="B2574" s="17" t="s">
        <v>7749</v>
      </c>
      <c r="C2574" s="13">
        <v>42578</v>
      </c>
      <c r="D2574" s="13" t="s">
        <v>8465</v>
      </c>
      <c r="E2574" s="10" t="s">
        <v>1944</v>
      </c>
      <c r="F2574" s="10" t="s">
        <v>1944</v>
      </c>
      <c r="G2574" s="11" t="s">
        <v>6367</v>
      </c>
      <c r="H2574" s="2" t="s">
        <v>1169</v>
      </c>
      <c r="L2574" s="18">
        <v>1</v>
      </c>
      <c r="N2574" s="13">
        <v>44642</v>
      </c>
      <c r="O2574" s="29">
        <v>11.99</v>
      </c>
      <c r="P2574" s="18" t="s">
        <v>1107</v>
      </c>
      <c r="Q2574" s="18">
        <v>0</v>
      </c>
      <c r="U2574" s="22">
        <v>0.87</v>
      </c>
      <c r="V2574" s="22">
        <f>4.21/5</f>
        <v>0.84199999999999997</v>
      </c>
      <c r="X2574" s="3">
        <v>4</v>
      </c>
      <c r="Z2574" s="23">
        <v>22</v>
      </c>
      <c r="AB2574" s="18">
        <f t="shared" si="80"/>
        <v>2016</v>
      </c>
      <c r="AC2574" s="22">
        <f t="shared" si="81"/>
        <v>0.83733333333333337</v>
      </c>
    </row>
    <row r="2575" spans="1:29" ht="38.25">
      <c r="A2575" s="8" t="s">
        <v>8687</v>
      </c>
      <c r="B2575" s="17" t="s">
        <v>7763</v>
      </c>
      <c r="C2575" s="13">
        <v>42577</v>
      </c>
      <c r="D2575" s="13" t="s">
        <v>8465</v>
      </c>
      <c r="E2575" s="10" t="s">
        <v>1519</v>
      </c>
      <c r="F2575" s="10" t="s">
        <v>164</v>
      </c>
      <c r="G2575" s="11" t="s">
        <v>11001</v>
      </c>
      <c r="H2575" s="2" t="s">
        <v>1377</v>
      </c>
      <c r="L2575" s="18">
        <v>1</v>
      </c>
      <c r="M2575" s="14" t="s">
        <v>8462</v>
      </c>
      <c r="N2575" s="13">
        <v>43972</v>
      </c>
      <c r="O2575" s="29">
        <v>20.059999999999999</v>
      </c>
      <c r="P2575" s="18" t="s">
        <v>14</v>
      </c>
      <c r="Q2575" s="18">
        <v>0</v>
      </c>
      <c r="U2575" s="22">
        <v>0.79</v>
      </c>
      <c r="V2575" s="22">
        <f>4.16/5</f>
        <v>0.83200000000000007</v>
      </c>
      <c r="X2575" s="3">
        <v>3</v>
      </c>
      <c r="Z2575" s="23">
        <v>23</v>
      </c>
      <c r="AB2575" s="18">
        <f t="shared" si="80"/>
        <v>2016</v>
      </c>
      <c r="AC2575" s="22">
        <f t="shared" si="81"/>
        <v>0.7406666666666667</v>
      </c>
    </row>
    <row r="2576" spans="1:29" ht="30">
      <c r="A2576" s="8" t="s">
        <v>4096</v>
      </c>
      <c r="B2576" s="17" t="s">
        <v>7800</v>
      </c>
      <c r="C2576" s="13">
        <v>42577</v>
      </c>
      <c r="D2576" s="13" t="s">
        <v>8465</v>
      </c>
      <c r="E2576" s="10" t="s">
        <v>3272</v>
      </c>
      <c r="F2576" s="10" t="s">
        <v>3370</v>
      </c>
      <c r="H2576" s="2" t="s">
        <v>151</v>
      </c>
      <c r="L2576" s="18">
        <v>1</v>
      </c>
      <c r="N2576" s="13">
        <v>43101</v>
      </c>
      <c r="P2576" s="18" t="s">
        <v>1107</v>
      </c>
      <c r="Q2576" s="18">
        <v>0</v>
      </c>
      <c r="U2576" s="22">
        <v>0.75</v>
      </c>
      <c r="V2576" s="22">
        <f>3.94/5</f>
        <v>0.78800000000000003</v>
      </c>
      <c r="W2576" s="14" t="s">
        <v>7777</v>
      </c>
      <c r="X2576" s="3">
        <v>3</v>
      </c>
      <c r="Z2576" s="23">
        <v>5.5</v>
      </c>
      <c r="AB2576" s="18">
        <f t="shared" si="80"/>
        <v>2016</v>
      </c>
      <c r="AC2576" s="22">
        <f t="shared" si="81"/>
        <v>0.71266666666666667</v>
      </c>
    </row>
    <row r="2577" spans="1:29">
      <c r="A2577" s="8" t="s">
        <v>13736</v>
      </c>
      <c r="B2577" s="17" t="s">
        <v>7763</v>
      </c>
      <c r="C2577" s="13">
        <v>42577</v>
      </c>
      <c r="D2577" s="13" t="s">
        <v>8465</v>
      </c>
      <c r="E2577" s="10" t="s">
        <v>3568</v>
      </c>
      <c r="F2577" s="10" t="s">
        <v>3568</v>
      </c>
      <c r="G2577" s="11" t="s">
        <v>11788</v>
      </c>
      <c r="H2577" s="2" t="s">
        <v>171</v>
      </c>
      <c r="L2577" s="18">
        <v>0</v>
      </c>
      <c r="Q2577" s="18">
        <v>0</v>
      </c>
      <c r="V2577" s="22">
        <f>2.94/5</f>
        <v>0.58799999999999997</v>
      </c>
      <c r="W2577" s="14" t="s">
        <v>9890</v>
      </c>
      <c r="X2577" s="3">
        <v>2</v>
      </c>
      <c r="Z2577" s="23">
        <v>4</v>
      </c>
      <c r="AB2577" s="18">
        <f t="shared" si="80"/>
        <v>2016</v>
      </c>
      <c r="AC2577" s="22">
        <f t="shared" si="81"/>
        <v>0.49399999999999999</v>
      </c>
    </row>
    <row r="2578" spans="1:29">
      <c r="A2578" s="8" t="s">
        <v>8766</v>
      </c>
      <c r="B2578" s="17" t="s">
        <v>7800</v>
      </c>
      <c r="C2578" s="13">
        <v>42576</v>
      </c>
      <c r="D2578" s="13" t="s">
        <v>8465</v>
      </c>
      <c r="E2578" s="10" t="s">
        <v>3915</v>
      </c>
      <c r="F2578" s="10" t="s">
        <v>3915</v>
      </c>
      <c r="H2578" s="2" t="s">
        <v>67</v>
      </c>
      <c r="L2578" s="18">
        <v>1</v>
      </c>
      <c r="N2578" s="13">
        <v>43987</v>
      </c>
      <c r="O2578" s="29">
        <v>0.62</v>
      </c>
      <c r="P2578" s="18" t="s">
        <v>1107</v>
      </c>
      <c r="Q2578" s="18">
        <v>0</v>
      </c>
      <c r="U2578" s="22">
        <v>0.81</v>
      </c>
      <c r="V2578" s="22">
        <f>3.89/5</f>
        <v>0.77800000000000002</v>
      </c>
      <c r="W2578" s="14" t="s">
        <v>8765</v>
      </c>
      <c r="X2578" s="3">
        <v>4</v>
      </c>
      <c r="Z2578" s="23">
        <v>5</v>
      </c>
      <c r="AB2578" s="18">
        <f t="shared" si="80"/>
        <v>2016</v>
      </c>
      <c r="AC2578" s="22">
        <f t="shared" si="81"/>
        <v>0.79599999999999993</v>
      </c>
    </row>
    <row r="2579" spans="1:29">
      <c r="A2579" s="8" t="s">
        <v>4685</v>
      </c>
      <c r="B2579" s="17" t="s">
        <v>7800</v>
      </c>
      <c r="C2579" s="13">
        <v>42576</v>
      </c>
      <c r="D2579" s="13" t="s">
        <v>8465</v>
      </c>
      <c r="E2579" s="10" t="s">
        <v>1062</v>
      </c>
      <c r="F2579" s="10" t="s">
        <v>2285</v>
      </c>
      <c r="H2579" s="2" t="s">
        <v>75</v>
      </c>
      <c r="L2579" s="18">
        <v>1</v>
      </c>
      <c r="N2579" s="13">
        <v>43384</v>
      </c>
      <c r="P2579" s="18" t="s">
        <v>1107</v>
      </c>
      <c r="Q2579" s="18">
        <v>0</v>
      </c>
      <c r="U2579" s="22">
        <v>0.81</v>
      </c>
      <c r="V2579" s="22">
        <f>4.25/5</f>
        <v>0.85</v>
      </c>
      <c r="W2579" s="14" t="s">
        <v>7777</v>
      </c>
      <c r="X2579" s="3">
        <v>3</v>
      </c>
      <c r="Z2579" s="23">
        <v>34.5</v>
      </c>
      <c r="AB2579" s="18">
        <f t="shared" si="80"/>
        <v>2016</v>
      </c>
      <c r="AC2579" s="22">
        <f t="shared" si="81"/>
        <v>0.75333333333333341</v>
      </c>
    </row>
    <row r="2580" spans="1:29">
      <c r="A2580" s="8" t="s">
        <v>8661</v>
      </c>
      <c r="B2580" s="17" t="s">
        <v>7800</v>
      </c>
      <c r="C2580" s="13">
        <v>42573</v>
      </c>
      <c r="D2580" s="13" t="s">
        <v>8465</v>
      </c>
      <c r="E2580" s="10" t="s">
        <v>4850</v>
      </c>
      <c r="F2580" s="10" t="s">
        <v>8662</v>
      </c>
      <c r="H2580" s="2" t="s">
        <v>80</v>
      </c>
      <c r="L2580" s="18">
        <v>1</v>
      </c>
      <c r="N2580" s="13">
        <v>43963</v>
      </c>
      <c r="O2580" s="29">
        <v>0</v>
      </c>
      <c r="P2580" s="18" t="s">
        <v>1107</v>
      </c>
      <c r="Q2580" s="18">
        <v>0</v>
      </c>
      <c r="U2580" s="22">
        <v>0.81</v>
      </c>
      <c r="V2580" s="22">
        <f>3.75/5</f>
        <v>0.75</v>
      </c>
      <c r="W2580" s="14" t="s">
        <v>7777</v>
      </c>
      <c r="X2580" s="3">
        <v>3</v>
      </c>
      <c r="Z2580" s="23">
        <v>21</v>
      </c>
      <c r="AB2580" s="18">
        <f t="shared" si="80"/>
        <v>2016</v>
      </c>
      <c r="AC2580" s="22">
        <f t="shared" si="81"/>
        <v>0.72000000000000008</v>
      </c>
    </row>
    <row r="2581" spans="1:29">
      <c r="A2581" s="8" t="s">
        <v>12690</v>
      </c>
      <c r="B2581" s="17" t="s">
        <v>7800</v>
      </c>
      <c r="C2581" s="13">
        <v>42573</v>
      </c>
      <c r="D2581" s="13" t="s">
        <v>8465</v>
      </c>
      <c r="E2581" s="10" t="s">
        <v>10742</v>
      </c>
      <c r="F2581" s="10" t="s">
        <v>12691</v>
      </c>
      <c r="H2581" s="2" t="s">
        <v>80</v>
      </c>
      <c r="L2581" s="18">
        <v>1</v>
      </c>
      <c r="P2581" s="18" t="s">
        <v>1107</v>
      </c>
      <c r="Q2581" s="18">
        <v>0</v>
      </c>
      <c r="U2581" s="22">
        <v>0.7</v>
      </c>
      <c r="V2581" s="22">
        <f>3.59/5</f>
        <v>0.71799999999999997</v>
      </c>
      <c r="W2581" s="14" t="s">
        <v>7777</v>
      </c>
      <c r="X2581" s="3">
        <v>3</v>
      </c>
      <c r="Z2581" s="23">
        <v>6</v>
      </c>
      <c r="AB2581" s="18">
        <f t="shared" si="80"/>
        <v>2016</v>
      </c>
      <c r="AC2581" s="22">
        <f t="shared" si="81"/>
        <v>0.67266666666666663</v>
      </c>
    </row>
    <row r="2582" spans="1:29" ht="30">
      <c r="A2582" s="8" t="s">
        <v>5634</v>
      </c>
      <c r="B2582" s="17" t="s">
        <v>7800</v>
      </c>
      <c r="C2582" s="13">
        <v>42571</v>
      </c>
      <c r="D2582" s="13" t="s">
        <v>8465</v>
      </c>
      <c r="E2582" s="10" t="s">
        <v>4498</v>
      </c>
      <c r="F2582" s="10" t="s">
        <v>5635</v>
      </c>
      <c r="H2582" s="2" t="s">
        <v>61</v>
      </c>
      <c r="L2582" s="18">
        <v>1</v>
      </c>
      <c r="N2582" s="13">
        <v>43350</v>
      </c>
      <c r="P2582" s="18" t="s">
        <v>1107</v>
      </c>
      <c r="Q2582" s="18">
        <v>0</v>
      </c>
      <c r="U2582" s="22">
        <v>0.81</v>
      </c>
      <c r="V2582" s="22">
        <f>3.69/5</f>
        <v>0.73799999999999999</v>
      </c>
      <c r="W2582" s="14" t="s">
        <v>7777</v>
      </c>
      <c r="X2582" s="3">
        <v>3</v>
      </c>
      <c r="Z2582" s="23">
        <v>11.5</v>
      </c>
      <c r="AB2582" s="18">
        <f t="shared" si="80"/>
        <v>2016</v>
      </c>
      <c r="AC2582" s="22">
        <f t="shared" si="81"/>
        <v>0.71600000000000008</v>
      </c>
    </row>
    <row r="2583" spans="1:29">
      <c r="A2583" s="8" t="s">
        <v>8627</v>
      </c>
      <c r="B2583" s="17" t="s">
        <v>7800</v>
      </c>
      <c r="C2583" s="13">
        <v>42570</v>
      </c>
      <c r="D2583" s="13" t="s">
        <v>8465</v>
      </c>
      <c r="E2583" s="10" t="s">
        <v>1082</v>
      </c>
      <c r="F2583" s="10" t="s">
        <v>8625</v>
      </c>
      <c r="H2583" s="2" t="s">
        <v>149</v>
      </c>
      <c r="L2583" s="18">
        <v>1</v>
      </c>
      <c r="N2583" s="13">
        <v>43952</v>
      </c>
      <c r="O2583" s="29">
        <v>17.989999999999998</v>
      </c>
      <c r="P2583" s="18" t="s">
        <v>1107</v>
      </c>
      <c r="Q2583" s="18">
        <v>0</v>
      </c>
      <c r="U2583" s="22">
        <v>0.7</v>
      </c>
      <c r="V2583" s="22">
        <f>3.65/5</f>
        <v>0.73</v>
      </c>
      <c r="W2583" s="14" t="s">
        <v>7777</v>
      </c>
      <c r="X2583" s="3">
        <v>3</v>
      </c>
      <c r="Z2583" s="23">
        <v>20.5</v>
      </c>
      <c r="AB2583" s="18">
        <f t="shared" si="80"/>
        <v>2016</v>
      </c>
      <c r="AC2583" s="22">
        <f t="shared" si="81"/>
        <v>0.67666666666666664</v>
      </c>
    </row>
    <row r="2584" spans="1:29">
      <c r="A2584" s="8" t="s">
        <v>7016</v>
      </c>
      <c r="B2584" s="17" t="s">
        <v>7800</v>
      </c>
      <c r="C2584" s="13">
        <v>42570</v>
      </c>
      <c r="D2584" s="13" t="s">
        <v>8465</v>
      </c>
      <c r="E2584" s="10" t="s">
        <v>7017</v>
      </c>
      <c r="F2584" s="10" t="s">
        <v>7018</v>
      </c>
      <c r="H2584" s="2" t="s">
        <v>1054</v>
      </c>
      <c r="L2584" s="18">
        <v>1</v>
      </c>
      <c r="O2584" s="29">
        <v>0</v>
      </c>
      <c r="P2584" s="18" t="s">
        <v>1107</v>
      </c>
      <c r="Q2584" s="18">
        <v>0</v>
      </c>
      <c r="V2584" s="22">
        <f>3.6/5</f>
        <v>0.72</v>
      </c>
      <c r="W2584" s="14" t="s">
        <v>7799</v>
      </c>
      <c r="X2584" s="3">
        <v>2</v>
      </c>
      <c r="Z2584" s="23">
        <v>3</v>
      </c>
      <c r="AB2584" s="18">
        <f t="shared" si="80"/>
        <v>2016</v>
      </c>
      <c r="AC2584" s="22">
        <f t="shared" si="81"/>
        <v>0.56000000000000005</v>
      </c>
    </row>
    <row r="2585" spans="1:29" ht="38.25">
      <c r="A2585" s="8" t="s">
        <v>3773</v>
      </c>
      <c r="B2585" s="17" t="s">
        <v>7800</v>
      </c>
      <c r="C2585" s="13">
        <v>42569</v>
      </c>
      <c r="D2585" s="13" t="s">
        <v>8465</v>
      </c>
      <c r="E2585" s="10" t="s">
        <v>2298</v>
      </c>
      <c r="F2585" s="10" t="s">
        <v>1549</v>
      </c>
      <c r="G2585" s="11" t="s">
        <v>665</v>
      </c>
      <c r="H2585" s="2" t="s">
        <v>1168</v>
      </c>
      <c r="L2585" s="18">
        <v>1</v>
      </c>
      <c r="N2585" s="13">
        <v>43497</v>
      </c>
      <c r="P2585" s="18" t="s">
        <v>1107</v>
      </c>
      <c r="Q2585" s="18">
        <v>0</v>
      </c>
      <c r="U2585" s="22">
        <v>0.8</v>
      </c>
      <c r="V2585" s="22">
        <f>4.2/5</f>
        <v>0.84000000000000008</v>
      </c>
      <c r="W2585" s="14" t="s">
        <v>7777</v>
      </c>
      <c r="X2585" s="3">
        <v>3</v>
      </c>
      <c r="Z2585" s="23">
        <v>21.5</v>
      </c>
      <c r="AB2585" s="18">
        <f t="shared" si="80"/>
        <v>2016</v>
      </c>
      <c r="AC2585" s="22">
        <f t="shared" si="81"/>
        <v>0.7466666666666667</v>
      </c>
    </row>
    <row r="2586" spans="1:29" ht="25.5">
      <c r="A2586" s="8" t="s">
        <v>9302</v>
      </c>
      <c r="B2586" s="17" t="s">
        <v>7800</v>
      </c>
      <c r="C2586" s="13">
        <v>42569</v>
      </c>
      <c r="D2586" s="13" t="s">
        <v>8465</v>
      </c>
      <c r="E2586" s="10" t="s">
        <v>1519</v>
      </c>
      <c r="F2586" s="10" t="s">
        <v>3029</v>
      </c>
      <c r="H2586" s="2" t="s">
        <v>3279</v>
      </c>
      <c r="L2586" s="18">
        <v>1</v>
      </c>
      <c r="N2586" s="13">
        <v>44093</v>
      </c>
      <c r="O2586" s="29">
        <v>4.99</v>
      </c>
      <c r="P2586" s="18" t="s">
        <v>1107</v>
      </c>
      <c r="Q2586" s="18">
        <v>0</v>
      </c>
      <c r="V2586" s="22">
        <f>3/5</f>
        <v>0.6</v>
      </c>
      <c r="W2586" s="14" t="s">
        <v>7777</v>
      </c>
      <c r="X2586" s="3">
        <v>2</v>
      </c>
      <c r="Z2586" s="23">
        <v>26.5</v>
      </c>
      <c r="AB2586" s="18">
        <f t="shared" si="80"/>
        <v>2016</v>
      </c>
      <c r="AC2586" s="22">
        <f t="shared" si="81"/>
        <v>0.5</v>
      </c>
    </row>
    <row r="2587" spans="1:29">
      <c r="A2587" s="8" t="s">
        <v>6098</v>
      </c>
      <c r="B2587" s="17" t="s">
        <v>7760</v>
      </c>
      <c r="C2587" s="13">
        <v>42565</v>
      </c>
      <c r="D2587" s="13" t="s">
        <v>8465</v>
      </c>
      <c r="E2587" s="10" t="s">
        <v>1601</v>
      </c>
      <c r="F2587" s="10" t="s">
        <v>6099</v>
      </c>
      <c r="G2587" s="11" t="s">
        <v>6100</v>
      </c>
      <c r="H2587" s="2" t="s">
        <v>2138</v>
      </c>
      <c r="L2587" s="18">
        <v>1</v>
      </c>
      <c r="M2587" s="14" t="s">
        <v>8462</v>
      </c>
      <c r="N2587" s="13">
        <v>43616</v>
      </c>
      <c r="O2587" s="29">
        <v>13.99</v>
      </c>
      <c r="P2587" s="18" t="s">
        <v>14</v>
      </c>
      <c r="Q2587" s="18">
        <v>0</v>
      </c>
      <c r="U2587" s="22">
        <v>0.67</v>
      </c>
      <c r="V2587" s="22">
        <f>3.28/5</f>
        <v>0.65599999999999992</v>
      </c>
      <c r="X2587" s="3">
        <v>2</v>
      </c>
      <c r="Z2587" s="23">
        <v>1.5</v>
      </c>
      <c r="AB2587" s="18">
        <f t="shared" si="80"/>
        <v>2016</v>
      </c>
      <c r="AC2587" s="22">
        <f t="shared" si="81"/>
        <v>0.57533333333333336</v>
      </c>
    </row>
    <row r="2588" spans="1:29">
      <c r="A2588" s="8" t="s">
        <v>5060</v>
      </c>
      <c r="B2588" s="17" t="s">
        <v>7800</v>
      </c>
      <c r="C2588" s="13">
        <v>42563</v>
      </c>
      <c r="D2588" s="13" t="s">
        <v>8465</v>
      </c>
      <c r="E2588" s="10" t="s">
        <v>5061</v>
      </c>
      <c r="F2588" s="10" t="s">
        <v>3039</v>
      </c>
      <c r="H2588" s="2" t="s">
        <v>151</v>
      </c>
      <c r="L2588" s="18">
        <v>1</v>
      </c>
      <c r="N2588" s="13">
        <v>42779</v>
      </c>
      <c r="O2588" s="29">
        <v>0</v>
      </c>
      <c r="P2588" s="18" t="s">
        <v>1107</v>
      </c>
      <c r="Q2588" s="18">
        <v>0</v>
      </c>
      <c r="U2588" s="22">
        <v>0.72</v>
      </c>
      <c r="V2588" s="22">
        <f>3.61/5</f>
        <v>0.72199999999999998</v>
      </c>
      <c r="W2588" s="14" t="s">
        <v>7777</v>
      </c>
      <c r="X2588" s="3">
        <v>3</v>
      </c>
      <c r="Z2588" s="23">
        <v>6.5</v>
      </c>
      <c r="AB2588" s="18">
        <f t="shared" si="80"/>
        <v>2016</v>
      </c>
      <c r="AC2588" s="22">
        <f t="shared" si="81"/>
        <v>0.68066666666666664</v>
      </c>
    </row>
    <row r="2589" spans="1:29" ht="25.5">
      <c r="A2589" s="8" t="s">
        <v>2360</v>
      </c>
      <c r="B2589" s="17" t="s">
        <v>7749</v>
      </c>
      <c r="C2589" s="13">
        <v>42563</v>
      </c>
      <c r="D2589" s="13" t="s">
        <v>8465</v>
      </c>
      <c r="E2589" s="10" t="s">
        <v>455</v>
      </c>
      <c r="F2589" s="10" t="s">
        <v>455</v>
      </c>
      <c r="G2589" s="11" t="s">
        <v>2448</v>
      </c>
      <c r="H2589" s="2" t="s">
        <v>149</v>
      </c>
      <c r="L2589" s="18">
        <v>1</v>
      </c>
      <c r="M2589" s="14" t="s">
        <v>8462</v>
      </c>
      <c r="N2589" s="13">
        <v>43647</v>
      </c>
      <c r="O2589" s="29">
        <v>39.99</v>
      </c>
      <c r="P2589" s="18" t="s">
        <v>14</v>
      </c>
      <c r="Q2589" s="18">
        <v>0</v>
      </c>
      <c r="U2589" s="22">
        <v>0.78</v>
      </c>
      <c r="V2589" s="22">
        <f>3.99/5</f>
        <v>0.79800000000000004</v>
      </c>
      <c r="W2589" s="14" t="s">
        <v>8840</v>
      </c>
      <c r="X2589" s="3">
        <v>2</v>
      </c>
      <c r="Z2589" s="23">
        <v>32</v>
      </c>
      <c r="AB2589" s="18">
        <f t="shared" si="80"/>
        <v>2016</v>
      </c>
      <c r="AC2589" s="22">
        <f t="shared" si="81"/>
        <v>0.65933333333333344</v>
      </c>
    </row>
    <row r="2590" spans="1:29">
      <c r="A2590" s="8" t="s">
        <v>8285</v>
      </c>
      <c r="B2590" s="17" t="s">
        <v>7800</v>
      </c>
      <c r="C2590" s="13">
        <v>42563</v>
      </c>
      <c r="D2590" s="13" t="s">
        <v>8465</v>
      </c>
      <c r="E2590" s="10" t="s">
        <v>3808</v>
      </c>
      <c r="F2590" s="10" t="s">
        <v>8286</v>
      </c>
      <c r="H2590" s="2" t="s">
        <v>143</v>
      </c>
      <c r="L2590" s="18">
        <v>1</v>
      </c>
      <c r="N2590" s="13">
        <v>43832</v>
      </c>
      <c r="O2590" s="29">
        <v>0</v>
      </c>
      <c r="P2590" s="18" t="s">
        <v>1107</v>
      </c>
      <c r="Q2590" s="18">
        <v>0</v>
      </c>
      <c r="U2590" s="22">
        <v>0.79</v>
      </c>
      <c r="V2590" s="22">
        <f>3.86/5</f>
        <v>0.77200000000000002</v>
      </c>
      <c r="W2590" s="14" t="s">
        <v>7799</v>
      </c>
      <c r="X2590" s="3">
        <v>2</v>
      </c>
      <c r="Z2590" s="23">
        <v>7</v>
      </c>
      <c r="AB2590" s="18">
        <f t="shared" si="80"/>
        <v>2016</v>
      </c>
      <c r="AC2590" s="22">
        <f t="shared" si="81"/>
        <v>0.65400000000000003</v>
      </c>
    </row>
    <row r="2591" spans="1:29" ht="30">
      <c r="A2591" s="8" t="s">
        <v>11088</v>
      </c>
      <c r="B2591" s="17" t="s">
        <v>7763</v>
      </c>
      <c r="C2591" s="13">
        <v>42563</v>
      </c>
      <c r="D2591" s="13" t="s">
        <v>8465</v>
      </c>
      <c r="E2591" s="10" t="s">
        <v>1604</v>
      </c>
      <c r="F2591" s="10" t="s">
        <v>1614</v>
      </c>
      <c r="G2591" s="11" t="s">
        <v>1395</v>
      </c>
      <c r="H2591" s="2" t="s">
        <v>459</v>
      </c>
      <c r="L2591" s="18">
        <v>0</v>
      </c>
      <c r="Q2591" s="18">
        <v>0</v>
      </c>
      <c r="U2591" s="22">
        <v>0.56999999999999995</v>
      </c>
      <c r="V2591" s="22">
        <f>3.63/5</f>
        <v>0.72599999999999998</v>
      </c>
      <c r="X2591" s="3">
        <v>2</v>
      </c>
      <c r="Y2591" s="18">
        <v>1</v>
      </c>
      <c r="Z2591" s="23">
        <v>10</v>
      </c>
      <c r="AB2591" s="18">
        <f t="shared" si="80"/>
        <v>2016</v>
      </c>
      <c r="AC2591" s="22">
        <f t="shared" si="81"/>
        <v>0.56533333333333324</v>
      </c>
    </row>
    <row r="2592" spans="1:29">
      <c r="A2592" s="8" t="s">
        <v>3360</v>
      </c>
      <c r="B2592" s="17" t="s">
        <v>7800</v>
      </c>
      <c r="C2592" s="13">
        <v>42562</v>
      </c>
      <c r="D2592" s="13" t="s">
        <v>8465</v>
      </c>
      <c r="E2592" s="10" t="s">
        <v>3361</v>
      </c>
      <c r="F2592" s="10" t="s">
        <v>3361</v>
      </c>
      <c r="H2592" s="2" t="s">
        <v>143</v>
      </c>
      <c r="L2592" s="18">
        <v>1</v>
      </c>
      <c r="N2592" s="13">
        <v>43340</v>
      </c>
      <c r="O2592" s="29">
        <v>0.89</v>
      </c>
      <c r="P2592" s="18" t="s">
        <v>1107</v>
      </c>
      <c r="Q2592" s="18">
        <v>0</v>
      </c>
      <c r="U2592" s="22">
        <v>0.5</v>
      </c>
      <c r="V2592" s="22">
        <f>3.81/5</f>
        <v>0.76200000000000001</v>
      </c>
      <c r="W2592" s="14" t="s">
        <v>7777</v>
      </c>
      <c r="X2592" s="3">
        <v>2</v>
      </c>
      <c r="Z2592" s="23">
        <v>2.5</v>
      </c>
      <c r="AB2592" s="18">
        <f t="shared" si="80"/>
        <v>2016</v>
      </c>
      <c r="AC2592" s="22">
        <f t="shared" si="81"/>
        <v>0.55399999999999994</v>
      </c>
    </row>
    <row r="2593" spans="1:29">
      <c r="A2593" s="8" t="s">
        <v>12609</v>
      </c>
      <c r="B2593" s="17" t="s">
        <v>7800</v>
      </c>
      <c r="C2593" s="13">
        <v>42556</v>
      </c>
      <c r="D2593" s="13" t="s">
        <v>8465</v>
      </c>
      <c r="E2593" s="10" t="s">
        <v>12610</v>
      </c>
      <c r="F2593" s="10" t="s">
        <v>12610</v>
      </c>
      <c r="G2593" s="11" t="s">
        <v>12611</v>
      </c>
      <c r="H2593" s="2" t="s">
        <v>1059</v>
      </c>
      <c r="L2593" s="18">
        <v>1</v>
      </c>
      <c r="P2593" s="18" t="s">
        <v>1107</v>
      </c>
      <c r="Q2593" s="18">
        <v>0</v>
      </c>
      <c r="V2593" s="22">
        <f>3.49/5</f>
        <v>0.69800000000000006</v>
      </c>
      <c r="W2593" s="14" t="s">
        <v>7777</v>
      </c>
      <c r="X2593" s="3">
        <v>2</v>
      </c>
      <c r="Z2593" s="23">
        <v>5</v>
      </c>
      <c r="AB2593" s="18">
        <f t="shared" si="80"/>
        <v>2016</v>
      </c>
      <c r="AC2593" s="22">
        <f t="shared" si="81"/>
        <v>0.54900000000000004</v>
      </c>
    </row>
    <row r="2594" spans="1:29" ht="38.25">
      <c r="A2594" s="8" t="s">
        <v>587</v>
      </c>
      <c r="B2594" s="17" t="s">
        <v>7743</v>
      </c>
      <c r="C2594" s="13">
        <v>42551</v>
      </c>
      <c r="D2594" s="13" t="s">
        <v>8465</v>
      </c>
      <c r="E2594" s="10" t="s">
        <v>86</v>
      </c>
      <c r="F2594" s="10" t="s">
        <v>161</v>
      </c>
      <c r="G2594" s="11" t="s">
        <v>137</v>
      </c>
      <c r="H2594" s="2" t="s">
        <v>149</v>
      </c>
      <c r="L2594" s="18">
        <v>1</v>
      </c>
      <c r="N2594" s="13">
        <v>44635</v>
      </c>
      <c r="O2594" s="29">
        <v>7.99</v>
      </c>
      <c r="P2594" s="18" t="s">
        <v>1107</v>
      </c>
      <c r="Q2594" s="18">
        <v>0</v>
      </c>
      <c r="V2594" s="22">
        <f>4.45/5</f>
        <v>0.89</v>
      </c>
      <c r="X2594" s="3">
        <v>3</v>
      </c>
      <c r="Z2594" s="23">
        <v>17.5</v>
      </c>
      <c r="AB2594" s="18">
        <f t="shared" si="80"/>
        <v>2016</v>
      </c>
      <c r="AC2594" s="22">
        <f t="shared" si="81"/>
        <v>0.745</v>
      </c>
    </row>
    <row r="2595" spans="1:29">
      <c r="A2595" s="8" t="s">
        <v>10253</v>
      </c>
      <c r="B2595" s="17" t="s">
        <v>7749</v>
      </c>
      <c r="C2595" s="13">
        <v>42551</v>
      </c>
      <c r="D2595" s="13" t="s">
        <v>8465</v>
      </c>
      <c r="E2595" s="10" t="s">
        <v>86</v>
      </c>
      <c r="F2595" s="10" t="s">
        <v>30</v>
      </c>
      <c r="G2595" s="11" t="s">
        <v>10282</v>
      </c>
      <c r="H2595" s="2" t="s">
        <v>27</v>
      </c>
      <c r="L2595" s="18">
        <v>1</v>
      </c>
      <c r="N2595" s="13">
        <v>44420</v>
      </c>
      <c r="O2595" s="29">
        <v>4.99</v>
      </c>
      <c r="P2595" s="18" t="s">
        <v>1107</v>
      </c>
      <c r="Q2595" s="18">
        <v>0</v>
      </c>
      <c r="U2595" s="22">
        <v>0.8</v>
      </c>
      <c r="V2595" s="22">
        <f>3.99/5</f>
        <v>0.79800000000000004</v>
      </c>
      <c r="X2595" s="3">
        <v>3</v>
      </c>
      <c r="Z2595" s="23">
        <v>4.5</v>
      </c>
      <c r="AB2595" s="18">
        <f t="shared" si="80"/>
        <v>2016</v>
      </c>
      <c r="AC2595" s="22">
        <f t="shared" si="81"/>
        <v>0.73266666666666669</v>
      </c>
    </row>
    <row r="2596" spans="1:29">
      <c r="A2596" s="8" t="s">
        <v>8831</v>
      </c>
      <c r="B2596" s="17" t="s">
        <v>7763</v>
      </c>
      <c r="C2596" s="13">
        <v>42549</v>
      </c>
      <c r="D2596" s="13" t="s">
        <v>8465</v>
      </c>
      <c r="E2596" s="10" t="s">
        <v>1519</v>
      </c>
      <c r="F2596" s="10" t="s">
        <v>2768</v>
      </c>
      <c r="G2596" s="11" t="s">
        <v>2141</v>
      </c>
      <c r="H2596" s="2" t="s">
        <v>1057</v>
      </c>
      <c r="L2596" s="18">
        <v>1</v>
      </c>
      <c r="N2596" s="13">
        <v>43303</v>
      </c>
      <c r="O2596" s="29">
        <v>0</v>
      </c>
      <c r="P2596" s="18" t="s">
        <v>1107</v>
      </c>
      <c r="Q2596" s="18">
        <v>0</v>
      </c>
      <c r="U2596" s="22">
        <v>0.83</v>
      </c>
      <c r="V2596" s="22">
        <f>4.08/5</f>
        <v>0.81600000000000006</v>
      </c>
      <c r="W2596" s="14" t="s">
        <v>6072</v>
      </c>
      <c r="X2596" s="3">
        <v>4</v>
      </c>
      <c r="Z2596" s="23">
        <v>21</v>
      </c>
      <c r="AB2596" s="18">
        <f t="shared" si="80"/>
        <v>2016</v>
      </c>
      <c r="AC2596" s="22">
        <f t="shared" si="81"/>
        <v>0.81533333333333324</v>
      </c>
    </row>
    <row r="2597" spans="1:29" ht="30">
      <c r="A2597" s="8" t="s">
        <v>8813</v>
      </c>
      <c r="B2597" s="17" t="s">
        <v>7763</v>
      </c>
      <c r="C2597" s="13">
        <v>42549</v>
      </c>
      <c r="D2597" s="13" t="s">
        <v>8465</v>
      </c>
      <c r="E2597" s="10" t="s">
        <v>1062</v>
      </c>
      <c r="F2597" s="10" t="s">
        <v>8814</v>
      </c>
      <c r="H2597" s="2" t="s">
        <v>75</v>
      </c>
      <c r="L2597" s="18">
        <v>1</v>
      </c>
      <c r="N2597" s="13">
        <v>43149</v>
      </c>
      <c r="O2597" s="29">
        <v>0</v>
      </c>
      <c r="P2597" s="18" t="s">
        <v>1107</v>
      </c>
      <c r="Q2597" s="18">
        <v>0</v>
      </c>
      <c r="U2597" s="22">
        <v>0.76</v>
      </c>
      <c r="V2597" s="22">
        <f>4/5</f>
        <v>0.8</v>
      </c>
      <c r="W2597" s="14" t="s">
        <v>6072</v>
      </c>
      <c r="X2597" s="3">
        <v>3</v>
      </c>
      <c r="Z2597" s="23">
        <v>23</v>
      </c>
      <c r="AB2597" s="18">
        <f t="shared" si="80"/>
        <v>2016</v>
      </c>
      <c r="AC2597" s="22">
        <f t="shared" si="81"/>
        <v>0.72000000000000008</v>
      </c>
    </row>
    <row r="2598" spans="1:29" ht="45">
      <c r="A2598" s="8" t="s">
        <v>4312</v>
      </c>
      <c r="B2598" s="17" t="s">
        <v>7800</v>
      </c>
      <c r="C2598" s="13">
        <v>42549</v>
      </c>
      <c r="D2598" s="13" t="s">
        <v>8465</v>
      </c>
      <c r="E2598" s="10" t="s">
        <v>1156</v>
      </c>
      <c r="F2598" s="10" t="s">
        <v>4304</v>
      </c>
      <c r="G2598" s="11" t="s">
        <v>4310</v>
      </c>
      <c r="H2598" s="2" t="s">
        <v>80</v>
      </c>
      <c r="L2598" s="18">
        <v>1</v>
      </c>
      <c r="N2598" s="13">
        <v>43643</v>
      </c>
      <c r="O2598" s="29">
        <v>4.99</v>
      </c>
      <c r="P2598" s="18" t="s">
        <v>1107</v>
      </c>
      <c r="Q2598" s="18">
        <v>0</v>
      </c>
      <c r="U2598" s="22">
        <v>0.64</v>
      </c>
      <c r="V2598" s="22">
        <f>3.94/5</f>
        <v>0.78800000000000003</v>
      </c>
      <c r="W2598" s="14" t="s">
        <v>7777</v>
      </c>
      <c r="X2598" s="3">
        <v>3</v>
      </c>
      <c r="Z2598" s="23">
        <v>9</v>
      </c>
      <c r="AB2598" s="18">
        <f t="shared" si="80"/>
        <v>2016</v>
      </c>
      <c r="AC2598" s="22">
        <f t="shared" si="81"/>
        <v>0.67600000000000005</v>
      </c>
    </row>
    <row r="2599" spans="1:29">
      <c r="A2599" s="8" t="s">
        <v>7862</v>
      </c>
      <c r="B2599" s="17" t="s">
        <v>7763</v>
      </c>
      <c r="C2599" s="13">
        <v>42549</v>
      </c>
      <c r="D2599" s="13" t="s">
        <v>8465</v>
      </c>
      <c r="E2599" s="10" t="s">
        <v>1082</v>
      </c>
      <c r="F2599" s="10" t="s">
        <v>7863</v>
      </c>
      <c r="G2599" s="11" t="s">
        <v>1253</v>
      </c>
      <c r="H2599" s="2" t="s">
        <v>171</v>
      </c>
      <c r="L2599" s="18">
        <v>1</v>
      </c>
      <c r="N2599" s="13">
        <v>43723</v>
      </c>
      <c r="O2599" s="29">
        <v>4.99</v>
      </c>
      <c r="P2599" s="18" t="s">
        <v>1107</v>
      </c>
      <c r="Q2599" s="18">
        <v>0</v>
      </c>
      <c r="U2599" s="22">
        <v>0.64829999999999999</v>
      </c>
      <c r="V2599" s="22">
        <f>3.6/5</f>
        <v>0.72</v>
      </c>
      <c r="X2599" s="3">
        <v>3</v>
      </c>
      <c r="Z2599" s="23">
        <v>9</v>
      </c>
      <c r="AB2599" s="18">
        <f t="shared" si="80"/>
        <v>2016</v>
      </c>
      <c r="AC2599" s="22">
        <f t="shared" si="81"/>
        <v>0.65610000000000002</v>
      </c>
    </row>
    <row r="2600" spans="1:29" ht="25.5">
      <c r="A2600" s="8" t="s">
        <v>8749</v>
      </c>
      <c r="B2600" s="17" t="s">
        <v>7760</v>
      </c>
      <c r="C2600" s="13">
        <v>42549</v>
      </c>
      <c r="D2600" s="13" t="s">
        <v>8465</v>
      </c>
      <c r="E2600" s="10" t="s">
        <v>1082</v>
      </c>
      <c r="F2600" s="10" t="s">
        <v>1423</v>
      </c>
      <c r="G2600" s="11" t="s">
        <v>840</v>
      </c>
      <c r="H2600" s="2" t="s">
        <v>171</v>
      </c>
      <c r="L2600" s="18">
        <v>1</v>
      </c>
      <c r="M2600" s="14" t="s">
        <v>8462</v>
      </c>
      <c r="N2600" s="13">
        <v>43981</v>
      </c>
      <c r="O2600" s="29">
        <v>19.48</v>
      </c>
      <c r="P2600" s="18" t="s">
        <v>14</v>
      </c>
      <c r="Q2600" s="18">
        <v>0</v>
      </c>
      <c r="U2600" s="22">
        <v>0.57999999999999996</v>
      </c>
      <c r="V2600" s="22">
        <f>3.42/5</f>
        <v>0.68399999999999994</v>
      </c>
      <c r="X2600" s="3">
        <v>3</v>
      </c>
      <c r="Z2600" s="23">
        <v>21.5</v>
      </c>
      <c r="AB2600" s="18">
        <f t="shared" si="80"/>
        <v>2016</v>
      </c>
      <c r="AC2600" s="22">
        <f t="shared" si="81"/>
        <v>0.62133333333333329</v>
      </c>
    </row>
    <row r="2601" spans="1:29">
      <c r="A2601" s="8" t="s">
        <v>5373</v>
      </c>
      <c r="B2601" s="17" t="s">
        <v>7800</v>
      </c>
      <c r="C2601" s="13">
        <v>42549</v>
      </c>
      <c r="D2601" s="13" t="s">
        <v>8465</v>
      </c>
      <c r="E2601" s="10" t="s">
        <v>3493</v>
      </c>
      <c r="F2601" s="10" t="s">
        <v>4401</v>
      </c>
      <c r="G2601" s="11" t="s">
        <v>4402</v>
      </c>
      <c r="H2601" s="2" t="s">
        <v>171</v>
      </c>
      <c r="L2601" s="18">
        <v>1</v>
      </c>
      <c r="N2601" s="13">
        <v>43320</v>
      </c>
      <c r="P2601" s="18" t="s">
        <v>1107</v>
      </c>
      <c r="Q2601" s="18">
        <v>0</v>
      </c>
      <c r="U2601" s="22">
        <v>0.55000000000000004</v>
      </c>
      <c r="V2601" s="22">
        <f>3.26/5</f>
        <v>0.65199999999999991</v>
      </c>
      <c r="W2601" s="14" t="s">
        <v>7777</v>
      </c>
      <c r="X2601" s="3">
        <v>3</v>
      </c>
      <c r="Z2601" s="23">
        <v>20</v>
      </c>
      <c r="AB2601" s="18">
        <f t="shared" si="80"/>
        <v>2016</v>
      </c>
      <c r="AC2601" s="22">
        <f t="shared" si="81"/>
        <v>0.60066666666666668</v>
      </c>
    </row>
    <row r="2602" spans="1:29" ht="25.5">
      <c r="A2602" s="8" t="s">
        <v>1133</v>
      </c>
      <c r="B2602" s="17" t="s">
        <v>7743</v>
      </c>
      <c r="C2602" s="13">
        <v>42545</v>
      </c>
      <c r="D2602" s="13" t="s">
        <v>8465</v>
      </c>
      <c r="E2602" s="10" t="s">
        <v>86</v>
      </c>
      <c r="F2602" s="10" t="s">
        <v>228</v>
      </c>
      <c r="G2602" s="11" t="s">
        <v>1171</v>
      </c>
      <c r="H2602" s="2" t="s">
        <v>75</v>
      </c>
      <c r="L2602" s="18">
        <v>1</v>
      </c>
      <c r="M2602" s="14" t="s">
        <v>8462</v>
      </c>
      <c r="N2602" s="13">
        <v>43501</v>
      </c>
      <c r="O2602" s="29">
        <v>22.99</v>
      </c>
      <c r="P2602" s="18" t="s">
        <v>14</v>
      </c>
      <c r="Q2602" s="18">
        <v>0</v>
      </c>
      <c r="U2602" s="22">
        <v>0.83</v>
      </c>
      <c r="V2602" s="22">
        <f>3.78/5</f>
        <v>0.75600000000000001</v>
      </c>
      <c r="X2602" s="3">
        <v>4</v>
      </c>
      <c r="Z2602" s="23">
        <v>49</v>
      </c>
      <c r="AB2602" s="18">
        <f t="shared" si="80"/>
        <v>2016</v>
      </c>
      <c r="AC2602" s="22">
        <f t="shared" si="81"/>
        <v>0.79533333333333334</v>
      </c>
    </row>
    <row r="2603" spans="1:29" ht="38.25">
      <c r="A2603" s="8" t="s">
        <v>14366</v>
      </c>
      <c r="B2603" s="17" t="s">
        <v>7743</v>
      </c>
      <c r="C2603" s="13">
        <v>42545</v>
      </c>
      <c r="D2603" s="13" t="s">
        <v>8465</v>
      </c>
      <c r="E2603" s="10" t="s">
        <v>86</v>
      </c>
      <c r="F2603" s="10" t="s">
        <v>14363</v>
      </c>
      <c r="G2603" s="11" t="s">
        <v>14364</v>
      </c>
      <c r="H2603" s="2" t="s">
        <v>255</v>
      </c>
      <c r="L2603" s="18">
        <v>0</v>
      </c>
      <c r="Q2603" s="18">
        <v>0</v>
      </c>
      <c r="U2603" s="22">
        <v>0.65</v>
      </c>
      <c r="V2603" s="22">
        <f>3.53/5</f>
        <v>0.70599999999999996</v>
      </c>
      <c r="X2603" s="3">
        <v>2</v>
      </c>
      <c r="Z2603" s="23">
        <v>5.5</v>
      </c>
      <c r="AB2603" s="18">
        <f t="shared" si="80"/>
        <v>2016</v>
      </c>
      <c r="AC2603" s="22">
        <f t="shared" si="81"/>
        <v>0.58533333333333326</v>
      </c>
    </row>
    <row r="2604" spans="1:29" ht="38.25">
      <c r="A2604" s="8" t="s">
        <v>5489</v>
      </c>
      <c r="B2604" s="17" t="s">
        <v>7800</v>
      </c>
      <c r="C2604" s="13">
        <v>42542</v>
      </c>
      <c r="D2604" s="13" t="s">
        <v>8465</v>
      </c>
      <c r="E2604" s="10" t="s">
        <v>3136</v>
      </c>
      <c r="F2604" s="10" t="s">
        <v>5490</v>
      </c>
      <c r="H2604" s="2" t="s">
        <v>1057</v>
      </c>
      <c r="L2604" s="18">
        <v>1</v>
      </c>
      <c r="N2604" s="13">
        <v>42747</v>
      </c>
      <c r="P2604" s="18" t="s">
        <v>1107</v>
      </c>
      <c r="Q2604" s="18">
        <v>0</v>
      </c>
      <c r="U2604" s="22">
        <v>0.77</v>
      </c>
      <c r="V2604" s="22">
        <f>4.15/5</f>
        <v>0.83000000000000007</v>
      </c>
      <c r="W2604" s="14" t="s">
        <v>7777</v>
      </c>
      <c r="X2604" s="3">
        <v>4</v>
      </c>
      <c r="Z2604" s="23">
        <v>10.5</v>
      </c>
      <c r="AB2604" s="18">
        <f t="shared" si="80"/>
        <v>2016</v>
      </c>
      <c r="AC2604" s="22">
        <f t="shared" si="81"/>
        <v>0.80000000000000016</v>
      </c>
    </row>
    <row r="2605" spans="1:29" ht="30">
      <c r="A2605" s="8" t="s">
        <v>4637</v>
      </c>
      <c r="B2605" s="17" t="s">
        <v>7800</v>
      </c>
      <c r="C2605" s="13">
        <v>42542</v>
      </c>
      <c r="D2605" s="13" t="s">
        <v>8465</v>
      </c>
      <c r="E2605" s="10" t="s">
        <v>1604</v>
      </c>
      <c r="F2605" s="10" t="s">
        <v>4638</v>
      </c>
      <c r="G2605" s="11" t="s">
        <v>4639</v>
      </c>
      <c r="H2605" s="2" t="s">
        <v>1089</v>
      </c>
      <c r="L2605" s="18">
        <v>1</v>
      </c>
      <c r="N2605" s="13">
        <v>42779</v>
      </c>
      <c r="P2605" s="18" t="s">
        <v>1107</v>
      </c>
      <c r="Q2605" s="18">
        <v>0</v>
      </c>
      <c r="U2605" s="22">
        <v>0.57999999999999996</v>
      </c>
      <c r="V2605" s="22">
        <f>3.61/5</f>
        <v>0.72199999999999998</v>
      </c>
      <c r="W2605" s="14" t="s">
        <v>7777</v>
      </c>
      <c r="X2605" s="3">
        <v>3</v>
      </c>
      <c r="Z2605" s="23">
        <v>10.5</v>
      </c>
      <c r="AB2605" s="18">
        <f t="shared" si="80"/>
        <v>2016</v>
      </c>
      <c r="AC2605" s="22">
        <f t="shared" si="81"/>
        <v>0.63400000000000001</v>
      </c>
    </row>
    <row r="2606" spans="1:29">
      <c r="A2606" s="8" t="s">
        <v>1125</v>
      </c>
      <c r="B2606" s="17" t="s">
        <v>7743</v>
      </c>
      <c r="C2606" s="13">
        <v>42542</v>
      </c>
      <c r="D2606" s="13" t="s">
        <v>8465</v>
      </c>
      <c r="E2606" s="10" t="s">
        <v>1163</v>
      </c>
      <c r="F2606" s="10" t="s">
        <v>1164</v>
      </c>
      <c r="H2606" s="2" t="s">
        <v>56</v>
      </c>
      <c r="L2606" s="18">
        <v>1</v>
      </c>
      <c r="M2606" s="14" t="s">
        <v>8462</v>
      </c>
      <c r="N2606" s="13">
        <v>43557</v>
      </c>
      <c r="O2606" s="29">
        <v>7.99</v>
      </c>
      <c r="P2606" s="18" t="s">
        <v>14</v>
      </c>
      <c r="Q2606" s="18">
        <v>0</v>
      </c>
      <c r="U2606" s="22">
        <v>0.53</v>
      </c>
      <c r="V2606" s="22">
        <f>2.98/5</f>
        <v>0.59599999999999997</v>
      </c>
      <c r="X2606" s="3">
        <v>3</v>
      </c>
      <c r="Z2606" s="23">
        <v>5</v>
      </c>
      <c r="AB2606" s="18">
        <f t="shared" si="80"/>
        <v>2016</v>
      </c>
      <c r="AC2606" s="22">
        <f t="shared" si="81"/>
        <v>0.57533333333333336</v>
      </c>
    </row>
    <row r="2607" spans="1:29">
      <c r="A2607" s="8" t="s">
        <v>10293</v>
      </c>
      <c r="B2607" s="17" t="s">
        <v>7800</v>
      </c>
      <c r="C2607" s="13">
        <v>42542</v>
      </c>
      <c r="D2607" s="13" t="s">
        <v>8465</v>
      </c>
      <c r="E2607" s="10" t="s">
        <v>73</v>
      </c>
      <c r="F2607" s="10" t="s">
        <v>73</v>
      </c>
      <c r="G2607" s="11" t="s">
        <v>943</v>
      </c>
      <c r="H2607" s="2" t="s">
        <v>1168</v>
      </c>
      <c r="L2607" s="18">
        <v>1</v>
      </c>
      <c r="N2607" s="13">
        <v>44376</v>
      </c>
      <c r="O2607" s="29">
        <v>4.99</v>
      </c>
      <c r="P2607" s="18" t="s">
        <v>1107</v>
      </c>
      <c r="Q2607" s="18">
        <v>0</v>
      </c>
      <c r="U2607" s="22">
        <v>0.36</v>
      </c>
      <c r="V2607" s="22">
        <f>1.63/5</f>
        <v>0.32599999999999996</v>
      </c>
      <c r="W2607" s="14" t="s">
        <v>7777</v>
      </c>
      <c r="X2607" s="3">
        <v>3</v>
      </c>
      <c r="Z2607" s="23">
        <v>4</v>
      </c>
      <c r="AB2607" s="18">
        <f t="shared" si="80"/>
        <v>2016</v>
      </c>
      <c r="AC2607" s="22">
        <f t="shared" si="81"/>
        <v>0.4286666666666667</v>
      </c>
    </row>
    <row r="2608" spans="1:29" ht="25.5">
      <c r="A2608" s="8" t="s">
        <v>10268</v>
      </c>
      <c r="B2608" s="17" t="s">
        <v>7749</v>
      </c>
      <c r="C2608" s="13">
        <v>42536</v>
      </c>
      <c r="D2608" s="13" t="s">
        <v>8465</v>
      </c>
      <c r="E2608" s="10" t="s">
        <v>86</v>
      </c>
      <c r="F2608" s="10" t="s">
        <v>1515</v>
      </c>
      <c r="G2608" s="11" t="s">
        <v>1547</v>
      </c>
      <c r="H2608" s="2" t="s">
        <v>1220</v>
      </c>
      <c r="L2608" s="18">
        <v>1</v>
      </c>
      <c r="N2608" s="13">
        <v>44614</v>
      </c>
      <c r="O2608" s="29">
        <v>29.99</v>
      </c>
      <c r="P2608" s="18" t="s">
        <v>1107</v>
      </c>
      <c r="Q2608" s="18">
        <v>0</v>
      </c>
      <c r="U2608" s="22">
        <v>0.83</v>
      </c>
      <c r="V2608" s="22">
        <f>4.22/5</f>
        <v>0.84399999999999997</v>
      </c>
      <c r="X2608" s="3">
        <v>3</v>
      </c>
      <c r="Z2608" s="23">
        <v>8.5</v>
      </c>
      <c r="AB2608" s="18">
        <f t="shared" si="80"/>
        <v>2016</v>
      </c>
      <c r="AC2608" s="22">
        <f t="shared" si="81"/>
        <v>0.75800000000000001</v>
      </c>
    </row>
    <row r="2609" spans="1:29" ht="30">
      <c r="A2609" s="8" t="s">
        <v>9721</v>
      </c>
      <c r="B2609" s="17" t="s">
        <v>7749</v>
      </c>
      <c r="C2609" s="13">
        <v>42531</v>
      </c>
      <c r="D2609" s="13" t="s">
        <v>8465</v>
      </c>
      <c r="E2609" s="10" t="s">
        <v>86</v>
      </c>
      <c r="F2609" s="10" t="s">
        <v>30</v>
      </c>
      <c r="G2609" s="11" t="s">
        <v>223</v>
      </c>
      <c r="H2609" s="2" t="s">
        <v>64</v>
      </c>
      <c r="L2609" s="18">
        <v>1</v>
      </c>
      <c r="M2609" s="14" t="s">
        <v>11018</v>
      </c>
      <c r="N2609" s="13">
        <v>44219</v>
      </c>
      <c r="O2609" s="29">
        <v>26.04</v>
      </c>
      <c r="P2609" s="18" t="s">
        <v>14</v>
      </c>
      <c r="Q2609" s="18">
        <v>0</v>
      </c>
      <c r="U2609" s="22">
        <v>0.81</v>
      </c>
      <c r="V2609" s="22">
        <f>4.23/5</f>
        <v>0.84600000000000009</v>
      </c>
      <c r="X2609" s="3">
        <v>3</v>
      </c>
      <c r="Z2609" s="23">
        <v>7</v>
      </c>
      <c r="AB2609" s="18">
        <f t="shared" si="80"/>
        <v>2016</v>
      </c>
      <c r="AC2609" s="22">
        <f t="shared" si="81"/>
        <v>0.75200000000000011</v>
      </c>
    </row>
    <row r="2610" spans="1:29" ht="25.5">
      <c r="A2610" s="8" t="s">
        <v>8251</v>
      </c>
      <c r="B2610" s="17" t="s">
        <v>7800</v>
      </c>
      <c r="C2610" s="13">
        <v>42531</v>
      </c>
      <c r="D2610" s="13" t="s">
        <v>8465</v>
      </c>
      <c r="E2610" s="10" t="s">
        <v>6173</v>
      </c>
      <c r="F2610" s="10" t="s">
        <v>6174</v>
      </c>
      <c r="G2610" s="11" t="s">
        <v>8255</v>
      </c>
      <c r="H2610" s="2" t="s">
        <v>67</v>
      </c>
      <c r="L2610" s="18">
        <v>1</v>
      </c>
      <c r="N2610" s="13">
        <v>43878</v>
      </c>
      <c r="O2610" s="29">
        <v>0</v>
      </c>
      <c r="P2610" s="18" t="s">
        <v>1107</v>
      </c>
      <c r="Q2610" s="18">
        <v>0</v>
      </c>
      <c r="U2610" s="22">
        <v>0.65</v>
      </c>
      <c r="V2610" s="22">
        <f>3.59/5</f>
        <v>0.71799999999999997</v>
      </c>
      <c r="W2610" s="14" t="s">
        <v>7777</v>
      </c>
      <c r="X2610" s="3">
        <v>3</v>
      </c>
      <c r="Z2610" s="23">
        <v>10</v>
      </c>
      <c r="AB2610" s="18">
        <f t="shared" si="80"/>
        <v>2016</v>
      </c>
      <c r="AC2610" s="22">
        <f t="shared" si="81"/>
        <v>0.65600000000000003</v>
      </c>
    </row>
    <row r="2611" spans="1:29">
      <c r="A2611" s="8" t="s">
        <v>13764</v>
      </c>
      <c r="B2611" s="17" t="s">
        <v>7749</v>
      </c>
      <c r="C2611" s="13">
        <v>42530</v>
      </c>
      <c r="D2611" s="13" t="s">
        <v>8465</v>
      </c>
      <c r="E2611" s="10" t="s">
        <v>10018</v>
      </c>
      <c r="F2611" s="10" t="s">
        <v>11255</v>
      </c>
      <c r="H2611" s="2" t="s">
        <v>31</v>
      </c>
      <c r="L2611" s="18">
        <v>1</v>
      </c>
      <c r="N2611" s="13">
        <v>45004</v>
      </c>
      <c r="O2611" s="29">
        <v>2</v>
      </c>
      <c r="P2611" s="18" t="s">
        <v>1107</v>
      </c>
      <c r="Q2611" s="18">
        <v>0</v>
      </c>
      <c r="V2611" s="22">
        <f>3.23/5</f>
        <v>0.64600000000000002</v>
      </c>
      <c r="X2611" s="3">
        <v>2</v>
      </c>
      <c r="AB2611" s="18">
        <f t="shared" si="80"/>
        <v>2016</v>
      </c>
      <c r="AC2611" s="22">
        <f t="shared" si="81"/>
        <v>0.52300000000000002</v>
      </c>
    </row>
    <row r="2612" spans="1:29" ht="30">
      <c r="A2612" s="8" t="s">
        <v>4754</v>
      </c>
      <c r="B2612" s="17" t="s">
        <v>7760</v>
      </c>
      <c r="C2612" s="13">
        <v>42528</v>
      </c>
      <c r="D2612" s="13" t="s">
        <v>8465</v>
      </c>
      <c r="E2612" s="10" t="s">
        <v>3370</v>
      </c>
      <c r="F2612" s="10" t="s">
        <v>3370</v>
      </c>
      <c r="G2612" s="11" t="s">
        <v>4754</v>
      </c>
      <c r="H2612" s="2" t="s">
        <v>1040</v>
      </c>
      <c r="L2612" s="18">
        <v>1</v>
      </c>
      <c r="M2612" s="14" t="s">
        <v>8462</v>
      </c>
      <c r="N2612" s="13">
        <v>43730</v>
      </c>
      <c r="O2612" s="29">
        <v>35.06</v>
      </c>
      <c r="P2612" s="18" t="s">
        <v>14</v>
      </c>
      <c r="Q2612" s="18">
        <v>0</v>
      </c>
      <c r="U2612" s="22">
        <v>0.75</v>
      </c>
      <c r="V2612" s="22">
        <f>3.94/5</f>
        <v>0.78800000000000003</v>
      </c>
      <c r="W2612" s="14" t="s">
        <v>1134</v>
      </c>
      <c r="X2612" s="3">
        <v>4</v>
      </c>
      <c r="Z2612" s="23">
        <v>12.5</v>
      </c>
      <c r="AB2612" s="18">
        <f t="shared" si="80"/>
        <v>2016</v>
      </c>
      <c r="AC2612" s="22">
        <f t="shared" si="81"/>
        <v>0.77933333333333332</v>
      </c>
    </row>
    <row r="2613" spans="1:29">
      <c r="A2613" s="8" t="s">
        <v>5139</v>
      </c>
      <c r="B2613" s="17" t="s">
        <v>7800</v>
      </c>
      <c r="C2613" s="13">
        <v>42528</v>
      </c>
      <c r="D2613" s="13" t="s">
        <v>8465</v>
      </c>
      <c r="E2613" s="10" t="s">
        <v>5138</v>
      </c>
      <c r="F2613" s="10" t="s">
        <v>5138</v>
      </c>
      <c r="G2613" s="11" t="s">
        <v>2481</v>
      </c>
      <c r="H2613" s="2" t="s">
        <v>69</v>
      </c>
      <c r="L2613" s="18">
        <v>1</v>
      </c>
      <c r="N2613" s="13">
        <v>42875</v>
      </c>
      <c r="O2613" s="29">
        <v>0</v>
      </c>
      <c r="P2613" s="18" t="s">
        <v>1107</v>
      </c>
      <c r="Q2613" s="18">
        <v>0</v>
      </c>
      <c r="U2613" s="22">
        <v>0.9</v>
      </c>
      <c r="V2613" s="22">
        <f>3.93/5</f>
        <v>0.78600000000000003</v>
      </c>
      <c r="W2613" s="14" t="s">
        <v>7777</v>
      </c>
      <c r="X2613" s="3">
        <v>3</v>
      </c>
      <c r="Z2613" s="23">
        <v>12</v>
      </c>
      <c r="AB2613" s="18">
        <f t="shared" si="80"/>
        <v>2016</v>
      </c>
      <c r="AC2613" s="22">
        <f t="shared" si="81"/>
        <v>0.76200000000000001</v>
      </c>
    </row>
    <row r="2614" spans="1:29">
      <c r="A2614" s="8" t="s">
        <v>6145</v>
      </c>
      <c r="B2614" s="17" t="s">
        <v>7760</v>
      </c>
      <c r="C2614" s="13">
        <v>42528</v>
      </c>
      <c r="D2614" s="13" t="s">
        <v>8465</v>
      </c>
      <c r="E2614" s="10" t="s">
        <v>231</v>
      </c>
      <c r="F2614" s="10" t="s">
        <v>4461</v>
      </c>
      <c r="G2614" s="11" t="s">
        <v>4460</v>
      </c>
      <c r="H2614" s="2" t="s">
        <v>80</v>
      </c>
      <c r="L2614" s="18">
        <v>1</v>
      </c>
      <c r="M2614" s="14" t="s">
        <v>8462</v>
      </c>
      <c r="N2614" s="13">
        <v>43509</v>
      </c>
      <c r="O2614" s="29">
        <v>9.99</v>
      </c>
      <c r="P2614" s="18" t="s">
        <v>14</v>
      </c>
      <c r="Q2614" s="18">
        <v>0</v>
      </c>
      <c r="U2614" s="22">
        <v>0.7</v>
      </c>
      <c r="V2614" s="22">
        <f>3.4/5</f>
        <v>0.67999999999999994</v>
      </c>
      <c r="X2614" s="3">
        <v>3</v>
      </c>
      <c r="Z2614" s="23">
        <v>8.5</v>
      </c>
      <c r="AB2614" s="18">
        <f t="shared" si="80"/>
        <v>2016</v>
      </c>
      <c r="AC2614" s="22">
        <f t="shared" si="81"/>
        <v>0.66</v>
      </c>
    </row>
    <row r="2615" spans="1:29">
      <c r="A2615" s="8" t="s">
        <v>15353</v>
      </c>
      <c r="B2615" s="17" t="s">
        <v>7760</v>
      </c>
      <c r="C2615" s="13">
        <v>42528</v>
      </c>
      <c r="D2615" s="13" t="s">
        <v>8465</v>
      </c>
      <c r="E2615" s="10" t="s">
        <v>228</v>
      </c>
      <c r="F2615" s="10" t="s">
        <v>1553</v>
      </c>
      <c r="G2615" s="11" t="s">
        <v>5824</v>
      </c>
      <c r="H2615" s="2" t="s">
        <v>171</v>
      </c>
      <c r="L2615" s="18">
        <v>1</v>
      </c>
      <c r="M2615" s="14" t="s">
        <v>8462</v>
      </c>
      <c r="N2615" s="13">
        <v>45105</v>
      </c>
      <c r="O2615" s="29">
        <v>43.45</v>
      </c>
      <c r="P2615" s="18" t="s">
        <v>14</v>
      </c>
      <c r="Q2615" s="18">
        <v>0</v>
      </c>
      <c r="U2615" s="22">
        <v>0.87</v>
      </c>
      <c r="V2615" s="22">
        <f>4.3/5</f>
        <v>0.86</v>
      </c>
      <c r="X2615" s="3">
        <v>4</v>
      </c>
      <c r="Z2615" s="23">
        <v>30</v>
      </c>
      <c r="AB2615" s="18">
        <f t="shared" si="80"/>
        <v>2016</v>
      </c>
      <c r="AC2615" s="22">
        <f t="shared" si="81"/>
        <v>0.84333333333333338</v>
      </c>
    </row>
    <row r="2616" spans="1:29" ht="30">
      <c r="A2616" s="8" t="s">
        <v>8966</v>
      </c>
      <c r="B2616" s="17" t="s">
        <v>7800</v>
      </c>
      <c r="C2616" s="13">
        <v>42527</v>
      </c>
      <c r="D2616" s="13" t="s">
        <v>8465</v>
      </c>
      <c r="E2616" s="10" t="s">
        <v>1062</v>
      </c>
      <c r="F2616" s="10" t="s">
        <v>8972</v>
      </c>
      <c r="G2616" s="11" t="s">
        <v>9844</v>
      </c>
      <c r="H2616" s="2" t="s">
        <v>1377</v>
      </c>
      <c r="L2616" s="18">
        <v>1</v>
      </c>
      <c r="N2616" s="13">
        <v>44007</v>
      </c>
      <c r="O2616" s="29">
        <v>4.99</v>
      </c>
      <c r="P2616" s="18" t="s">
        <v>1107</v>
      </c>
      <c r="Q2616" s="18">
        <v>0</v>
      </c>
      <c r="V2616" s="22">
        <f>3.92/5</f>
        <v>0.78400000000000003</v>
      </c>
      <c r="W2616" s="14" t="s">
        <v>7777</v>
      </c>
      <c r="X2616" s="3">
        <v>3</v>
      </c>
      <c r="Z2616" s="23">
        <v>46</v>
      </c>
      <c r="AB2616" s="18">
        <f t="shared" si="80"/>
        <v>2016</v>
      </c>
      <c r="AC2616" s="22">
        <f t="shared" si="81"/>
        <v>0.69199999999999995</v>
      </c>
    </row>
    <row r="2617" spans="1:29">
      <c r="A2617" s="8" t="s">
        <v>3198</v>
      </c>
      <c r="B2617" s="17" t="s">
        <v>7800</v>
      </c>
      <c r="C2617" s="13">
        <v>42523</v>
      </c>
      <c r="D2617" s="13" t="s">
        <v>8465</v>
      </c>
      <c r="E2617" s="10" t="s">
        <v>3199</v>
      </c>
      <c r="F2617" s="10" t="s">
        <v>3199</v>
      </c>
      <c r="H2617" s="2" t="s">
        <v>149</v>
      </c>
      <c r="L2617" s="18">
        <v>1</v>
      </c>
      <c r="N2617" s="13">
        <v>43395</v>
      </c>
      <c r="O2617" s="29">
        <v>3.99</v>
      </c>
      <c r="P2617" s="18" t="s">
        <v>1107</v>
      </c>
      <c r="Q2617" s="18">
        <v>0</v>
      </c>
      <c r="U2617" s="22">
        <v>0.75</v>
      </c>
      <c r="V2617" s="22">
        <f>3.57/5</f>
        <v>0.71399999999999997</v>
      </c>
      <c r="W2617" s="14" t="s">
        <v>7777</v>
      </c>
      <c r="X2617" s="3">
        <v>3</v>
      </c>
      <c r="Z2617" s="23">
        <v>11</v>
      </c>
      <c r="AB2617" s="18">
        <f t="shared" si="80"/>
        <v>2016</v>
      </c>
      <c r="AC2617" s="22">
        <f t="shared" si="81"/>
        <v>0.68800000000000006</v>
      </c>
    </row>
    <row r="2618" spans="1:29" ht="25.5">
      <c r="A2618" s="8" t="s">
        <v>9521</v>
      </c>
      <c r="B2618" s="17" t="s">
        <v>7800</v>
      </c>
      <c r="C2618" s="13">
        <v>42523</v>
      </c>
      <c r="D2618" s="13" t="s">
        <v>8465</v>
      </c>
      <c r="E2618" s="10" t="s">
        <v>9522</v>
      </c>
      <c r="F2618" s="10" t="s">
        <v>9522</v>
      </c>
      <c r="G2618" s="11" t="s">
        <v>9523</v>
      </c>
      <c r="H2618" s="2" t="s">
        <v>3279</v>
      </c>
      <c r="L2618" s="18">
        <v>1</v>
      </c>
      <c r="N2618" s="13">
        <v>44187</v>
      </c>
      <c r="O2618" s="29">
        <v>0</v>
      </c>
      <c r="P2618" s="18" t="s">
        <v>1107</v>
      </c>
      <c r="Q2618" s="18">
        <v>0</v>
      </c>
      <c r="U2618" s="22">
        <v>0.7</v>
      </c>
      <c r="V2618" s="22">
        <f>3.79/5</f>
        <v>0.75800000000000001</v>
      </c>
      <c r="W2618" s="14" t="s">
        <v>7778</v>
      </c>
      <c r="X2618" s="3">
        <v>3</v>
      </c>
      <c r="Z2618" s="23">
        <v>7.5</v>
      </c>
      <c r="AB2618" s="18">
        <f t="shared" si="80"/>
        <v>2016</v>
      </c>
      <c r="AC2618" s="22">
        <f t="shared" si="81"/>
        <v>0.68599999999999994</v>
      </c>
    </row>
    <row r="2619" spans="1:29" ht="25.5">
      <c r="A2619" s="8" t="s">
        <v>13358</v>
      </c>
      <c r="B2619" s="17" t="s">
        <v>7800</v>
      </c>
      <c r="C2619" s="13">
        <v>42523</v>
      </c>
      <c r="D2619" s="13" t="s">
        <v>8465</v>
      </c>
      <c r="E2619" s="10" t="s">
        <v>3136</v>
      </c>
      <c r="F2619" s="10" t="s">
        <v>13359</v>
      </c>
      <c r="H2619" s="2" t="s">
        <v>149</v>
      </c>
      <c r="L2619" s="18">
        <v>1</v>
      </c>
      <c r="N2619" s="13">
        <v>44952</v>
      </c>
      <c r="O2619" s="29">
        <v>1.49</v>
      </c>
      <c r="P2619" s="18" t="s">
        <v>1107</v>
      </c>
      <c r="Q2619" s="18">
        <v>0</v>
      </c>
      <c r="V2619" s="22">
        <f>1.89/5</f>
        <v>0.378</v>
      </c>
      <c r="W2619" s="14" t="s">
        <v>7777</v>
      </c>
      <c r="X2619" s="3">
        <v>2</v>
      </c>
      <c r="Z2619" s="23">
        <v>1.5</v>
      </c>
      <c r="AB2619" s="18">
        <f t="shared" si="80"/>
        <v>2016</v>
      </c>
      <c r="AC2619" s="22">
        <f t="shared" si="81"/>
        <v>0.38900000000000001</v>
      </c>
    </row>
    <row r="2620" spans="1:29" ht="25.5">
      <c r="A2620" s="8" t="s">
        <v>12075</v>
      </c>
      <c r="B2620" s="17" t="s">
        <v>7800</v>
      </c>
      <c r="C2620" s="13">
        <v>42522</v>
      </c>
      <c r="D2620" s="13" t="s">
        <v>8465</v>
      </c>
      <c r="E2620" s="10" t="s">
        <v>1534</v>
      </c>
      <c r="F2620" s="10" t="s">
        <v>7413</v>
      </c>
      <c r="G2620" s="11" t="s">
        <v>10280</v>
      </c>
      <c r="H2620" s="2" t="s">
        <v>459</v>
      </c>
      <c r="L2620" s="18">
        <v>1</v>
      </c>
      <c r="N2620" s="13">
        <v>44743</v>
      </c>
      <c r="O2620" s="29">
        <v>9.99</v>
      </c>
      <c r="P2620" s="18" t="s">
        <v>1107</v>
      </c>
      <c r="Q2620" s="18">
        <v>0</v>
      </c>
      <c r="U2620" s="22">
        <v>0.7</v>
      </c>
      <c r="V2620" s="22">
        <f>3.06/5</f>
        <v>0.61199999999999999</v>
      </c>
      <c r="W2620" s="14" t="s">
        <v>7777</v>
      </c>
      <c r="X2620" s="3">
        <v>2</v>
      </c>
      <c r="Z2620" s="23">
        <v>18</v>
      </c>
      <c r="AB2620" s="18">
        <f t="shared" si="80"/>
        <v>2016</v>
      </c>
      <c r="AC2620" s="22">
        <f t="shared" si="81"/>
        <v>0.57066666666666654</v>
      </c>
    </row>
    <row r="2621" spans="1:29">
      <c r="A2621" s="8" t="s">
        <v>12118</v>
      </c>
      <c r="B2621" s="17" t="s">
        <v>7800</v>
      </c>
      <c r="C2621" s="13">
        <v>42519</v>
      </c>
      <c r="D2621" s="13" t="s">
        <v>8465</v>
      </c>
      <c r="E2621" s="10" t="s">
        <v>12119</v>
      </c>
      <c r="F2621" s="10" t="s">
        <v>12119</v>
      </c>
      <c r="G2621" s="11" t="s">
        <v>14261</v>
      </c>
      <c r="H2621" s="2" t="s">
        <v>21</v>
      </c>
      <c r="L2621" s="18">
        <v>1</v>
      </c>
      <c r="O2621" s="29">
        <v>0</v>
      </c>
      <c r="P2621" s="18" t="s">
        <v>1107</v>
      </c>
      <c r="Q2621" s="18">
        <v>0</v>
      </c>
      <c r="V2621" s="22">
        <f>3.04/5</f>
        <v>0.60799999999999998</v>
      </c>
      <c r="W2621" s="14" t="s">
        <v>8765</v>
      </c>
      <c r="X2621" s="3">
        <v>2</v>
      </c>
      <c r="Z2621" s="23">
        <v>3.5</v>
      </c>
      <c r="AB2621" s="18">
        <f t="shared" si="80"/>
        <v>2016</v>
      </c>
      <c r="AC2621" s="22">
        <f t="shared" si="81"/>
        <v>0.504</v>
      </c>
    </row>
    <row r="2622" spans="1:29" ht="25.5">
      <c r="A2622" s="8" t="s">
        <v>13066</v>
      </c>
      <c r="B2622" s="17" t="s">
        <v>7743</v>
      </c>
      <c r="C2622" s="13">
        <v>42516</v>
      </c>
      <c r="D2622" s="13" t="s">
        <v>8465</v>
      </c>
      <c r="E2622" s="10" t="s">
        <v>1652</v>
      </c>
      <c r="F2622" s="10" t="s">
        <v>6117</v>
      </c>
      <c r="G2622" s="11" t="s">
        <v>3708</v>
      </c>
      <c r="H2622" s="2" t="s">
        <v>149</v>
      </c>
      <c r="L2622" s="18">
        <v>1</v>
      </c>
      <c r="N2622" s="13">
        <v>44923</v>
      </c>
      <c r="O2622" s="29">
        <v>9.99</v>
      </c>
      <c r="P2622" s="18" t="s">
        <v>1107</v>
      </c>
      <c r="Q2622" s="18">
        <v>0</v>
      </c>
      <c r="V2622" s="22">
        <f>4.15/5</f>
        <v>0.83000000000000007</v>
      </c>
      <c r="X2622" s="3">
        <v>3</v>
      </c>
      <c r="AB2622" s="18">
        <f t="shared" si="80"/>
        <v>2016</v>
      </c>
      <c r="AC2622" s="22">
        <f t="shared" si="81"/>
        <v>0.71500000000000008</v>
      </c>
    </row>
    <row r="2623" spans="1:29">
      <c r="A2623" s="8" t="s">
        <v>10896</v>
      </c>
      <c r="B2623" s="17" t="s">
        <v>7800</v>
      </c>
      <c r="C2623" s="13">
        <v>42514</v>
      </c>
      <c r="D2623" s="13" t="s">
        <v>8465</v>
      </c>
      <c r="E2623" s="10" t="s">
        <v>455</v>
      </c>
      <c r="F2623" s="10" t="s">
        <v>3151</v>
      </c>
      <c r="G2623" s="11" t="s">
        <v>3794</v>
      </c>
      <c r="H2623" s="2" t="s">
        <v>1271</v>
      </c>
      <c r="L2623" s="18">
        <v>1</v>
      </c>
      <c r="N2623" s="13">
        <v>44564</v>
      </c>
      <c r="O2623" s="29">
        <v>0</v>
      </c>
      <c r="P2623" s="18" t="s">
        <v>1107</v>
      </c>
      <c r="Q2623" s="18">
        <v>0</v>
      </c>
      <c r="U2623" s="22">
        <v>0.86</v>
      </c>
      <c r="V2623" s="22">
        <f>3.84/5</f>
        <v>0.76800000000000002</v>
      </c>
      <c r="W2623" s="14" t="s">
        <v>7097</v>
      </c>
      <c r="X2623" s="3">
        <v>3</v>
      </c>
      <c r="Z2623" s="23">
        <v>34</v>
      </c>
      <c r="AB2623" s="18">
        <f t="shared" si="80"/>
        <v>2016</v>
      </c>
      <c r="AC2623" s="22">
        <f t="shared" si="81"/>
        <v>0.7426666666666667</v>
      </c>
    </row>
    <row r="2624" spans="1:29" ht="38.25">
      <c r="A2624" s="8" t="s">
        <v>13619</v>
      </c>
      <c r="B2624" s="17" t="s">
        <v>7760</v>
      </c>
      <c r="C2624" s="13">
        <v>42514</v>
      </c>
      <c r="D2624" s="13" t="s">
        <v>8465</v>
      </c>
      <c r="E2624" s="10" t="s">
        <v>1273</v>
      </c>
      <c r="F2624" s="10" t="s">
        <v>1058</v>
      </c>
      <c r="G2624" s="11" t="s">
        <v>215</v>
      </c>
      <c r="H2624" s="2" t="s">
        <v>1059</v>
      </c>
      <c r="L2624" s="18">
        <v>1</v>
      </c>
      <c r="M2624" s="14" t="s">
        <v>8462</v>
      </c>
      <c r="N2624" s="13">
        <v>44975</v>
      </c>
      <c r="O2624" s="29">
        <v>32.53</v>
      </c>
      <c r="P2624" s="18" t="s">
        <v>14</v>
      </c>
      <c r="Q2624" s="18">
        <v>0</v>
      </c>
      <c r="U2624" s="22">
        <v>0.44</v>
      </c>
      <c r="V2624" s="22">
        <f>3.24/5</f>
        <v>0.64800000000000002</v>
      </c>
      <c r="X2624" s="3">
        <v>2</v>
      </c>
      <c r="Z2624" s="23">
        <v>5</v>
      </c>
      <c r="AB2624" s="18">
        <f t="shared" si="80"/>
        <v>2016</v>
      </c>
      <c r="AC2624" s="22">
        <f t="shared" si="81"/>
        <v>0.496</v>
      </c>
    </row>
    <row r="2625" spans="1:29">
      <c r="A2625" s="8" t="s">
        <v>15328</v>
      </c>
      <c r="B2625" s="17" t="s">
        <v>7800</v>
      </c>
      <c r="C2625" s="13">
        <v>42513</v>
      </c>
      <c r="D2625" s="13" t="s">
        <v>8465</v>
      </c>
      <c r="E2625" s="10" t="s">
        <v>15319</v>
      </c>
      <c r="F2625" s="10" t="s">
        <v>15319</v>
      </c>
      <c r="G2625" s="11" t="s">
        <v>15320</v>
      </c>
      <c r="H2625" s="2" t="s">
        <v>56</v>
      </c>
      <c r="L2625" s="18">
        <v>1</v>
      </c>
      <c r="N2625" s="13">
        <v>45108</v>
      </c>
      <c r="O2625" s="29">
        <v>0.99</v>
      </c>
      <c r="P2625" s="18" t="s">
        <v>1107</v>
      </c>
      <c r="Q2625" s="18">
        <v>0</v>
      </c>
      <c r="V2625" s="22">
        <f>3.08/5</f>
        <v>0.61599999999999999</v>
      </c>
      <c r="W2625" s="14" t="s">
        <v>7777</v>
      </c>
      <c r="X2625" s="3">
        <v>2</v>
      </c>
      <c r="Z2625" s="23">
        <v>1</v>
      </c>
      <c r="AB2625" s="18">
        <f t="shared" ref="AB2625:AB2688" si="82">IFERROR(YEAR(C2625), "Early Access")</f>
        <v>2016</v>
      </c>
      <c r="AC2625" s="22">
        <f t="shared" ref="AC2625:AC2688" si="83">AVERAGE(T2625, U2625, V2625, IF(ISBLANK(X2625), X2625, X2625/5))</f>
        <v>0.50800000000000001</v>
      </c>
    </row>
    <row r="2626" spans="1:29" ht="30">
      <c r="A2626" s="8" t="s">
        <v>3583</v>
      </c>
      <c r="B2626" s="17" t="s">
        <v>7800</v>
      </c>
      <c r="C2626" s="13">
        <v>42511</v>
      </c>
      <c r="D2626" s="13" t="s">
        <v>8465</v>
      </c>
      <c r="E2626" s="10" t="s">
        <v>3370</v>
      </c>
      <c r="F2626" s="10" t="s">
        <v>3370</v>
      </c>
      <c r="G2626" s="11" t="s">
        <v>3584</v>
      </c>
      <c r="H2626" s="2" t="s">
        <v>67</v>
      </c>
      <c r="L2626" s="18">
        <v>1</v>
      </c>
      <c r="N2626" s="13">
        <v>42747</v>
      </c>
      <c r="P2626" s="18" t="s">
        <v>1107</v>
      </c>
      <c r="Q2626" s="18">
        <v>0</v>
      </c>
      <c r="U2626" s="22">
        <v>0.86</v>
      </c>
      <c r="V2626" s="22">
        <f>4.09/5</f>
        <v>0.81799999999999995</v>
      </c>
      <c r="W2626" s="14" t="s">
        <v>7777</v>
      </c>
      <c r="X2626" s="3">
        <v>4</v>
      </c>
      <c r="Z2626" s="23">
        <v>4.5</v>
      </c>
      <c r="AB2626" s="18">
        <f t="shared" si="82"/>
        <v>2016</v>
      </c>
      <c r="AC2626" s="22">
        <f t="shared" si="83"/>
        <v>0.82599999999999996</v>
      </c>
    </row>
    <row r="2627" spans="1:29">
      <c r="A2627" s="8" t="s">
        <v>3748</v>
      </c>
      <c r="B2627" s="17" t="s">
        <v>7800</v>
      </c>
      <c r="C2627" s="13">
        <v>42508</v>
      </c>
      <c r="D2627" s="13" t="s">
        <v>8465</v>
      </c>
      <c r="E2627" s="10" t="s">
        <v>3084</v>
      </c>
      <c r="F2627" s="10" t="s">
        <v>3084</v>
      </c>
      <c r="H2627" s="2" t="s">
        <v>61</v>
      </c>
      <c r="L2627" s="18">
        <v>1</v>
      </c>
      <c r="N2627" s="13">
        <v>43624</v>
      </c>
      <c r="O2627" s="29">
        <v>0</v>
      </c>
      <c r="P2627" s="18" t="s">
        <v>1107</v>
      </c>
      <c r="Q2627" s="18">
        <v>0</v>
      </c>
      <c r="U2627" s="22">
        <v>0.82</v>
      </c>
      <c r="V2627" s="22">
        <f>3.69/5</f>
        <v>0.73799999999999999</v>
      </c>
      <c r="W2627" s="14" t="s">
        <v>7777</v>
      </c>
      <c r="X2627" s="3">
        <v>2</v>
      </c>
      <c r="AB2627" s="18">
        <f t="shared" si="82"/>
        <v>2016</v>
      </c>
      <c r="AC2627" s="22">
        <f t="shared" si="83"/>
        <v>0.65266666666666662</v>
      </c>
    </row>
    <row r="2628" spans="1:29" ht="25.5">
      <c r="A2628" s="8" t="s">
        <v>6202</v>
      </c>
      <c r="B2628" s="17" t="s">
        <v>7760</v>
      </c>
      <c r="C2628" s="13">
        <v>42507</v>
      </c>
      <c r="D2628" s="13" t="s">
        <v>8465</v>
      </c>
      <c r="E2628" s="10" t="s">
        <v>455</v>
      </c>
      <c r="F2628" s="10" t="s">
        <v>6092</v>
      </c>
      <c r="G2628" s="11" t="s">
        <v>5494</v>
      </c>
      <c r="H2628" s="2" t="s">
        <v>75</v>
      </c>
      <c r="L2628" s="18">
        <v>1</v>
      </c>
      <c r="N2628" s="13">
        <v>43214</v>
      </c>
      <c r="O2628" s="29">
        <v>0</v>
      </c>
      <c r="P2628" s="18" t="s">
        <v>1107</v>
      </c>
      <c r="Q2628" s="18">
        <v>0</v>
      </c>
      <c r="U2628" s="22">
        <v>0.87</v>
      </c>
      <c r="V2628" s="22">
        <f>4.28/5</f>
        <v>0.85600000000000009</v>
      </c>
      <c r="W2628" s="14" t="s">
        <v>6072</v>
      </c>
      <c r="X2628" s="3">
        <v>4</v>
      </c>
      <c r="Z2628" s="23">
        <v>27</v>
      </c>
      <c r="AB2628" s="18">
        <f t="shared" si="82"/>
        <v>2016</v>
      </c>
      <c r="AC2628" s="22">
        <f t="shared" si="83"/>
        <v>0.84199999999999997</v>
      </c>
    </row>
    <row r="2629" spans="1:29" ht="30">
      <c r="A2629" s="8" t="s">
        <v>13928</v>
      </c>
      <c r="B2629" s="17" t="s">
        <v>7760</v>
      </c>
      <c r="C2629" s="13">
        <v>42507</v>
      </c>
      <c r="D2629" s="13" t="s">
        <v>8465</v>
      </c>
      <c r="E2629" s="10" t="s">
        <v>6107</v>
      </c>
      <c r="F2629" s="10" t="s">
        <v>14075</v>
      </c>
      <c r="G2629" s="11" t="s">
        <v>13928</v>
      </c>
      <c r="H2629" s="2" t="s">
        <v>56</v>
      </c>
      <c r="L2629" s="18">
        <v>1</v>
      </c>
      <c r="N2629" s="13">
        <v>45084</v>
      </c>
      <c r="O2629" s="29">
        <v>7.99</v>
      </c>
      <c r="P2629" s="18" t="s">
        <v>1107</v>
      </c>
      <c r="Q2629" s="18">
        <v>0</v>
      </c>
      <c r="U2629" s="22">
        <v>0.64</v>
      </c>
      <c r="V2629" s="22">
        <f>3.44/5</f>
        <v>0.68799999999999994</v>
      </c>
      <c r="X2629" s="3">
        <v>2</v>
      </c>
      <c r="Z2629" s="23">
        <v>3.5</v>
      </c>
      <c r="AB2629" s="18">
        <f t="shared" si="82"/>
        <v>2016</v>
      </c>
      <c r="AC2629" s="22">
        <f t="shared" si="83"/>
        <v>0.57599999999999996</v>
      </c>
    </row>
    <row r="2630" spans="1:29">
      <c r="A2630" s="8" t="s">
        <v>4973</v>
      </c>
      <c r="B2630" s="17" t="s">
        <v>7800</v>
      </c>
      <c r="C2630" s="13">
        <v>42507</v>
      </c>
      <c r="D2630" s="13" t="s">
        <v>8465</v>
      </c>
      <c r="E2630" s="10" t="s">
        <v>4544</v>
      </c>
      <c r="F2630" s="10" t="s">
        <v>4544</v>
      </c>
      <c r="H2630" s="2" t="s">
        <v>245</v>
      </c>
      <c r="L2630" s="18">
        <v>1</v>
      </c>
      <c r="N2630" s="13">
        <v>43459</v>
      </c>
      <c r="O2630" s="29">
        <v>3.18</v>
      </c>
      <c r="P2630" s="18" t="s">
        <v>1107</v>
      </c>
      <c r="Q2630" s="18">
        <v>0</v>
      </c>
      <c r="U2630" s="22">
        <v>0.56000000000000005</v>
      </c>
      <c r="V2630" s="22">
        <f>3/5</f>
        <v>0.6</v>
      </c>
      <c r="W2630" s="14" t="s">
        <v>7777</v>
      </c>
      <c r="X2630" s="3">
        <v>2</v>
      </c>
      <c r="Z2630" s="23">
        <v>5.5</v>
      </c>
      <c r="AB2630" s="18">
        <f t="shared" si="82"/>
        <v>2016</v>
      </c>
      <c r="AC2630" s="22">
        <f t="shared" si="83"/>
        <v>0.52</v>
      </c>
    </row>
    <row r="2631" spans="1:29" ht="25.5">
      <c r="A2631" s="8" t="s">
        <v>7823</v>
      </c>
      <c r="B2631" s="17" t="s">
        <v>7800</v>
      </c>
      <c r="C2631" s="13">
        <v>42507</v>
      </c>
      <c r="D2631" s="13" t="s">
        <v>8465</v>
      </c>
      <c r="E2631" s="10" t="s">
        <v>1163</v>
      </c>
      <c r="F2631" s="10" t="s">
        <v>7824</v>
      </c>
      <c r="G2631" s="11" t="s">
        <v>5659</v>
      </c>
      <c r="H2631" s="2" t="s">
        <v>1050</v>
      </c>
      <c r="L2631" s="18">
        <v>1</v>
      </c>
      <c r="N2631" s="13">
        <v>43719</v>
      </c>
      <c r="O2631" s="29">
        <v>4.49</v>
      </c>
      <c r="P2631" s="18" t="s">
        <v>1107</v>
      </c>
      <c r="Q2631" s="18">
        <v>0</v>
      </c>
      <c r="U2631" s="22">
        <v>0.51080000000000003</v>
      </c>
      <c r="V2631" s="22">
        <f>2.82/5</f>
        <v>0.56399999999999995</v>
      </c>
      <c r="W2631" s="14" t="s">
        <v>7777</v>
      </c>
      <c r="X2631" s="3">
        <v>3</v>
      </c>
      <c r="Z2631" s="23">
        <v>12</v>
      </c>
      <c r="AB2631" s="18">
        <f t="shared" si="82"/>
        <v>2016</v>
      </c>
      <c r="AC2631" s="22">
        <f t="shared" si="83"/>
        <v>0.55826666666666658</v>
      </c>
    </row>
    <row r="2632" spans="1:29" ht="30">
      <c r="A2632" s="8" t="s">
        <v>5853</v>
      </c>
      <c r="B2632" s="17" t="s">
        <v>7760</v>
      </c>
      <c r="C2632" s="13">
        <v>42502</v>
      </c>
      <c r="D2632" s="13" t="s">
        <v>8465</v>
      </c>
      <c r="E2632" s="10" t="s">
        <v>2908</v>
      </c>
      <c r="F2632" s="10" t="s">
        <v>3039</v>
      </c>
      <c r="G2632" s="11" t="s">
        <v>5853</v>
      </c>
      <c r="H2632" s="2" t="s">
        <v>1040</v>
      </c>
      <c r="L2632" s="18">
        <v>1</v>
      </c>
      <c r="M2632" s="14" t="s">
        <v>8462</v>
      </c>
      <c r="N2632" s="13">
        <v>43166</v>
      </c>
      <c r="P2632" s="18" t="s">
        <v>14</v>
      </c>
      <c r="Q2632" s="18">
        <v>0</v>
      </c>
      <c r="U2632" s="22">
        <v>0.86</v>
      </c>
      <c r="V2632" s="22">
        <f>4.04/5</f>
        <v>0.80800000000000005</v>
      </c>
      <c r="X2632" s="3">
        <v>4</v>
      </c>
      <c r="Z2632" s="23">
        <v>10</v>
      </c>
      <c r="AB2632" s="18">
        <f t="shared" si="82"/>
        <v>2016</v>
      </c>
      <c r="AC2632" s="22">
        <f t="shared" si="83"/>
        <v>0.82266666666666666</v>
      </c>
    </row>
    <row r="2633" spans="1:29" ht="25.5">
      <c r="A2633" s="8" t="s">
        <v>2098</v>
      </c>
      <c r="B2633" s="17" t="s">
        <v>7743</v>
      </c>
      <c r="C2633" s="13">
        <v>42502</v>
      </c>
      <c r="D2633" s="13" t="s">
        <v>8465</v>
      </c>
      <c r="E2633" s="10" t="s">
        <v>86</v>
      </c>
      <c r="F2633" s="10" t="s">
        <v>87</v>
      </c>
      <c r="G2633" s="11" t="s">
        <v>85</v>
      </c>
      <c r="H2633" s="2" t="s">
        <v>80</v>
      </c>
      <c r="L2633" s="18">
        <v>1</v>
      </c>
      <c r="N2633" s="13">
        <v>44626</v>
      </c>
      <c r="O2633" s="29">
        <v>9.99</v>
      </c>
      <c r="P2633" s="18" t="s">
        <v>1107</v>
      </c>
      <c r="Q2633" s="18">
        <v>0</v>
      </c>
      <c r="V2633" s="22">
        <f>3.92/5</f>
        <v>0.78400000000000003</v>
      </c>
      <c r="X2633" s="3">
        <v>3</v>
      </c>
      <c r="Z2633" s="23">
        <v>17</v>
      </c>
      <c r="AB2633" s="18">
        <f t="shared" si="82"/>
        <v>2016</v>
      </c>
      <c r="AC2633" s="22">
        <f t="shared" si="83"/>
        <v>0.69199999999999995</v>
      </c>
    </row>
    <row r="2634" spans="1:29">
      <c r="A2634" s="8" t="s">
        <v>4523</v>
      </c>
      <c r="B2634" s="17" t="s">
        <v>7800</v>
      </c>
      <c r="C2634" s="13">
        <v>42502</v>
      </c>
      <c r="D2634" s="13" t="s">
        <v>8465</v>
      </c>
      <c r="E2634" s="10" t="s">
        <v>4524</v>
      </c>
      <c r="F2634" s="10" t="s">
        <v>4524</v>
      </c>
      <c r="H2634" s="2" t="s">
        <v>150</v>
      </c>
      <c r="L2634" s="18">
        <v>1</v>
      </c>
      <c r="N2634" s="13">
        <v>43246</v>
      </c>
      <c r="P2634" s="18" t="s">
        <v>1107</v>
      </c>
      <c r="Q2634" s="18">
        <v>0</v>
      </c>
      <c r="U2634" s="22">
        <v>0.7</v>
      </c>
      <c r="V2634" s="22">
        <f>3.74/5</f>
        <v>0.748</v>
      </c>
      <c r="W2634" s="14" t="s">
        <v>7777</v>
      </c>
      <c r="X2634" s="3">
        <v>3</v>
      </c>
      <c r="Z2634" s="23">
        <v>1.5</v>
      </c>
      <c r="AB2634" s="18">
        <f t="shared" si="82"/>
        <v>2016</v>
      </c>
      <c r="AC2634" s="22">
        <f t="shared" si="83"/>
        <v>0.68266666666666664</v>
      </c>
    </row>
    <row r="2635" spans="1:29" ht="30">
      <c r="A2635" s="8" t="s">
        <v>6175</v>
      </c>
      <c r="B2635" s="17" t="s">
        <v>7760</v>
      </c>
      <c r="C2635" s="13">
        <v>42500</v>
      </c>
      <c r="D2635" s="13" t="s">
        <v>8465</v>
      </c>
      <c r="E2635" s="10" t="s">
        <v>2908</v>
      </c>
      <c r="F2635" s="10" t="s">
        <v>2646</v>
      </c>
      <c r="G2635" s="11" t="s">
        <v>6040</v>
      </c>
      <c r="H2635" s="2" t="s">
        <v>80</v>
      </c>
      <c r="L2635" s="18">
        <v>1</v>
      </c>
      <c r="M2635" s="14" t="s">
        <v>8462</v>
      </c>
      <c r="N2635" s="13">
        <v>42650</v>
      </c>
      <c r="P2635" s="18" t="s">
        <v>14</v>
      </c>
      <c r="Q2635" s="18">
        <v>0</v>
      </c>
      <c r="U2635" s="22">
        <v>0.93</v>
      </c>
      <c r="V2635" s="22">
        <f>4.3/5</f>
        <v>0.86</v>
      </c>
      <c r="X2635" s="3">
        <v>4</v>
      </c>
      <c r="Z2635" s="23">
        <v>15</v>
      </c>
      <c r="AB2635" s="18">
        <f t="shared" si="82"/>
        <v>2016</v>
      </c>
      <c r="AC2635" s="22">
        <f t="shared" si="83"/>
        <v>0.86333333333333329</v>
      </c>
    </row>
    <row r="2636" spans="1:29" ht="30">
      <c r="A2636" s="8" t="s">
        <v>8266</v>
      </c>
      <c r="B2636" s="17" t="s">
        <v>7800</v>
      </c>
      <c r="C2636" s="13">
        <v>42499</v>
      </c>
      <c r="D2636" s="13" t="s">
        <v>8465</v>
      </c>
      <c r="E2636" s="10" t="s">
        <v>3453</v>
      </c>
      <c r="F2636" s="10" t="s">
        <v>3516</v>
      </c>
      <c r="G2636" s="11" t="s">
        <v>8266</v>
      </c>
      <c r="H2636" s="2" t="s">
        <v>3123</v>
      </c>
      <c r="L2636" s="18">
        <v>1</v>
      </c>
      <c r="N2636" s="13">
        <v>43827</v>
      </c>
      <c r="O2636" s="29">
        <v>9.99</v>
      </c>
      <c r="P2636" s="18" t="s">
        <v>1107</v>
      </c>
      <c r="Q2636" s="18">
        <v>0</v>
      </c>
      <c r="U2636" s="22">
        <v>0.78</v>
      </c>
      <c r="V2636" s="22">
        <f>3.98/5</f>
        <v>0.79600000000000004</v>
      </c>
      <c r="W2636" s="14" t="s">
        <v>7777</v>
      </c>
      <c r="X2636" s="3">
        <v>3</v>
      </c>
      <c r="Z2636" s="23">
        <v>20.5</v>
      </c>
      <c r="AB2636" s="18">
        <f t="shared" si="82"/>
        <v>2016</v>
      </c>
      <c r="AC2636" s="22">
        <f t="shared" si="83"/>
        <v>0.72533333333333339</v>
      </c>
    </row>
    <row r="2637" spans="1:29">
      <c r="A2637" s="8" t="s">
        <v>13328</v>
      </c>
      <c r="B2637" s="17" t="s">
        <v>7800</v>
      </c>
      <c r="C2637" s="13">
        <v>42498</v>
      </c>
      <c r="D2637" s="13" t="s">
        <v>8465</v>
      </c>
      <c r="E2637" s="10" t="s">
        <v>3066</v>
      </c>
      <c r="F2637" s="10" t="s">
        <v>3066</v>
      </c>
      <c r="H2637" s="2" t="s">
        <v>67</v>
      </c>
      <c r="L2637" s="18">
        <v>1</v>
      </c>
      <c r="N2637" s="13">
        <v>44937</v>
      </c>
      <c r="O2637" s="29">
        <v>0</v>
      </c>
      <c r="P2637" s="18" t="s">
        <v>1107</v>
      </c>
      <c r="Q2637" s="18">
        <v>0</v>
      </c>
      <c r="U2637" s="22">
        <v>0.75</v>
      </c>
      <c r="V2637" s="22">
        <f>3.73/5</f>
        <v>0.746</v>
      </c>
      <c r="W2637" s="14" t="s">
        <v>7777</v>
      </c>
      <c r="X2637" s="3">
        <v>4</v>
      </c>
      <c r="Z2637" s="23">
        <v>6.5</v>
      </c>
      <c r="AB2637" s="18">
        <f t="shared" si="82"/>
        <v>2016</v>
      </c>
      <c r="AC2637" s="22">
        <f t="shared" si="83"/>
        <v>0.76533333333333342</v>
      </c>
    </row>
    <row r="2638" spans="1:29">
      <c r="A2638" s="8" t="s">
        <v>14132</v>
      </c>
      <c r="B2638" s="17" t="s">
        <v>7800</v>
      </c>
      <c r="C2638" s="13">
        <v>42496</v>
      </c>
      <c r="D2638" s="13" t="s">
        <v>8465</v>
      </c>
      <c r="E2638" s="10" t="s">
        <v>3780</v>
      </c>
      <c r="F2638" s="10" t="s">
        <v>3780</v>
      </c>
      <c r="G2638" s="11" t="s">
        <v>14265</v>
      </c>
      <c r="H2638" s="2" t="s">
        <v>56</v>
      </c>
      <c r="L2638" s="18">
        <v>1</v>
      </c>
      <c r="O2638" s="29">
        <v>0</v>
      </c>
      <c r="P2638" s="18" t="s">
        <v>1107</v>
      </c>
      <c r="Q2638" s="18">
        <v>0</v>
      </c>
      <c r="V2638" s="22">
        <f>3.5/5</f>
        <v>0.7</v>
      </c>
      <c r="W2638" s="14" t="s">
        <v>8765</v>
      </c>
      <c r="X2638" s="3">
        <v>2</v>
      </c>
      <c r="Z2638" s="23">
        <v>2</v>
      </c>
      <c r="AB2638" s="18">
        <f t="shared" si="82"/>
        <v>2016</v>
      </c>
      <c r="AC2638" s="22">
        <f t="shared" si="83"/>
        <v>0.55000000000000004</v>
      </c>
    </row>
    <row r="2639" spans="1:29">
      <c r="A2639" s="8" t="s">
        <v>4228</v>
      </c>
      <c r="B2639" s="17" t="s">
        <v>7800</v>
      </c>
      <c r="C2639" s="13">
        <v>42495</v>
      </c>
      <c r="D2639" s="13" t="s">
        <v>8465</v>
      </c>
      <c r="E2639" s="10" t="s">
        <v>3544</v>
      </c>
      <c r="F2639" s="10" t="s">
        <v>4229</v>
      </c>
      <c r="H2639" s="2" t="s">
        <v>67</v>
      </c>
      <c r="L2639" s="18">
        <v>1</v>
      </c>
      <c r="N2639" s="13">
        <v>43591</v>
      </c>
      <c r="O2639" s="29">
        <v>0</v>
      </c>
      <c r="P2639" s="18" t="s">
        <v>1107</v>
      </c>
      <c r="Q2639" s="18">
        <v>0</v>
      </c>
      <c r="U2639" s="22">
        <v>0.79</v>
      </c>
      <c r="V2639" s="22">
        <f>3.54/5</f>
        <v>0.70799999999999996</v>
      </c>
      <c r="W2639" s="14" t="s">
        <v>7777</v>
      </c>
      <c r="X2639" s="3">
        <v>3</v>
      </c>
      <c r="Z2639" s="23">
        <v>5.5</v>
      </c>
      <c r="AB2639" s="18">
        <f t="shared" si="82"/>
        <v>2016</v>
      </c>
      <c r="AC2639" s="22">
        <f t="shared" si="83"/>
        <v>0.69933333333333325</v>
      </c>
    </row>
    <row r="2640" spans="1:29">
      <c r="A2640" s="8" t="s">
        <v>11243</v>
      </c>
      <c r="B2640" s="17" t="s">
        <v>7749</v>
      </c>
      <c r="C2640" s="13">
        <v>42494</v>
      </c>
      <c r="D2640" s="13" t="s">
        <v>8465</v>
      </c>
      <c r="E2640" s="10" t="s">
        <v>86</v>
      </c>
      <c r="F2640" s="10" t="s">
        <v>1354</v>
      </c>
      <c r="H2640" s="2" t="s">
        <v>3411</v>
      </c>
      <c r="L2640" s="18">
        <v>1</v>
      </c>
      <c r="N2640" s="13">
        <v>44624</v>
      </c>
      <c r="O2640" s="29">
        <v>6.99</v>
      </c>
      <c r="P2640" s="18" t="s">
        <v>1107</v>
      </c>
      <c r="Q2640" s="18">
        <v>0</v>
      </c>
      <c r="U2640" s="22">
        <v>0.83</v>
      </c>
      <c r="V2640" s="22">
        <f>4.09/5</f>
        <v>0.81799999999999995</v>
      </c>
      <c r="X2640" s="3">
        <v>2</v>
      </c>
      <c r="Z2640" s="23">
        <v>22</v>
      </c>
      <c r="AB2640" s="18">
        <f t="shared" si="82"/>
        <v>2016</v>
      </c>
      <c r="AC2640" s="22">
        <f t="shared" si="83"/>
        <v>0.68266666666666664</v>
      </c>
    </row>
    <row r="2641" spans="1:29">
      <c r="A2641" s="8" t="s">
        <v>15298</v>
      </c>
      <c r="B2641" s="17" t="s">
        <v>7800</v>
      </c>
      <c r="C2641" s="13">
        <v>42494</v>
      </c>
      <c r="D2641" s="13" t="s">
        <v>8465</v>
      </c>
      <c r="E2641" s="10" t="s">
        <v>7354</v>
      </c>
      <c r="F2641" s="10" t="s">
        <v>7354</v>
      </c>
      <c r="H2641" s="2" t="s">
        <v>143</v>
      </c>
      <c r="I2641" s="18">
        <v>1</v>
      </c>
      <c r="L2641" s="18">
        <v>1</v>
      </c>
      <c r="N2641" s="13">
        <v>45106</v>
      </c>
      <c r="O2641" s="29">
        <v>0.74</v>
      </c>
      <c r="P2641" s="18" t="s">
        <v>1107</v>
      </c>
      <c r="Q2641" s="18">
        <v>0</v>
      </c>
      <c r="V2641" s="22">
        <f>4.1/5</f>
        <v>0.82</v>
      </c>
      <c r="W2641" s="14" t="s">
        <v>7777</v>
      </c>
      <c r="X2641" s="3">
        <v>2</v>
      </c>
      <c r="AB2641" s="18">
        <f t="shared" si="82"/>
        <v>2016</v>
      </c>
      <c r="AC2641" s="22">
        <f t="shared" si="83"/>
        <v>0.61</v>
      </c>
    </row>
    <row r="2642" spans="1:29" ht="25.5">
      <c r="A2642" s="8" t="s">
        <v>11221</v>
      </c>
      <c r="B2642" s="17" t="s">
        <v>7749</v>
      </c>
      <c r="C2642" s="13">
        <v>42489</v>
      </c>
      <c r="D2642" s="13" t="s">
        <v>8465</v>
      </c>
      <c r="E2642" s="10" t="s">
        <v>86</v>
      </c>
      <c r="F2642" s="10" t="s">
        <v>7701</v>
      </c>
      <c r="G2642" s="11" t="s">
        <v>1470</v>
      </c>
      <c r="H2642" s="2" t="s">
        <v>171</v>
      </c>
      <c r="L2642" s="18">
        <v>1</v>
      </c>
      <c r="M2642" s="14" t="s">
        <v>8462</v>
      </c>
      <c r="N2642" s="13">
        <v>44658</v>
      </c>
      <c r="O2642" s="29">
        <v>27.16</v>
      </c>
      <c r="P2642" s="18" t="s">
        <v>14</v>
      </c>
      <c r="Q2642" s="18">
        <v>0</v>
      </c>
      <c r="U2642" s="22">
        <v>0.57999999999999996</v>
      </c>
      <c r="V2642" s="22">
        <f>3.59/5</f>
        <v>0.71799999999999997</v>
      </c>
      <c r="X2642" s="3">
        <v>2</v>
      </c>
      <c r="Z2642" s="23">
        <v>22.5</v>
      </c>
      <c r="AB2642" s="18">
        <f t="shared" si="82"/>
        <v>2016</v>
      </c>
      <c r="AC2642" s="22">
        <f t="shared" si="83"/>
        <v>0.56599999999999995</v>
      </c>
    </row>
    <row r="2643" spans="1:29" ht="25.5">
      <c r="A2643" s="8" t="s">
        <v>8473</v>
      </c>
      <c r="B2643" s="17" t="s">
        <v>7800</v>
      </c>
      <c r="C2643" s="13">
        <v>42488</v>
      </c>
      <c r="D2643" s="13" t="s">
        <v>8465</v>
      </c>
      <c r="E2643" s="10" t="s">
        <v>3951</v>
      </c>
      <c r="F2643" s="10" t="s">
        <v>8474</v>
      </c>
      <c r="H2643" s="2" t="s">
        <v>1143</v>
      </c>
      <c r="L2643" s="18">
        <v>1</v>
      </c>
      <c r="N2643" s="13">
        <v>43895</v>
      </c>
      <c r="O2643" s="29">
        <v>0</v>
      </c>
      <c r="P2643" s="18" t="s">
        <v>1107</v>
      </c>
      <c r="Q2643" s="18">
        <v>0</v>
      </c>
      <c r="U2643" s="22">
        <v>0.78</v>
      </c>
      <c r="V2643" s="22">
        <f>3.73/5</f>
        <v>0.746</v>
      </c>
      <c r="W2643" s="14" t="s">
        <v>7097</v>
      </c>
      <c r="X2643" s="3">
        <v>3</v>
      </c>
      <c r="Z2643" s="23">
        <v>7.5</v>
      </c>
      <c r="AB2643" s="18">
        <f t="shared" si="82"/>
        <v>2016</v>
      </c>
      <c r="AC2643" s="22">
        <f t="shared" si="83"/>
        <v>0.70866666666666667</v>
      </c>
    </row>
    <row r="2644" spans="1:29" ht="30">
      <c r="A2644" s="8" t="s">
        <v>11503</v>
      </c>
      <c r="B2644" s="17" t="s">
        <v>7743</v>
      </c>
      <c r="C2644" s="13">
        <v>42488</v>
      </c>
      <c r="D2644" s="13" t="s">
        <v>8465</v>
      </c>
      <c r="E2644" s="10" t="s">
        <v>86</v>
      </c>
      <c r="F2644" s="10" t="s">
        <v>1506</v>
      </c>
      <c r="G2644" s="11" t="s">
        <v>1964</v>
      </c>
      <c r="H2644" s="2" t="s">
        <v>78</v>
      </c>
      <c r="L2644" s="18">
        <v>1</v>
      </c>
      <c r="O2644" s="29">
        <v>0</v>
      </c>
      <c r="P2644" s="18" t="s">
        <v>1107</v>
      </c>
      <c r="Q2644" s="18">
        <v>0</v>
      </c>
      <c r="V2644" s="22">
        <f>3.51/5</f>
        <v>0.70199999999999996</v>
      </c>
      <c r="X2644" s="3">
        <v>3</v>
      </c>
      <c r="Z2644" s="23">
        <v>1.5</v>
      </c>
      <c r="AB2644" s="18">
        <f t="shared" si="82"/>
        <v>2016</v>
      </c>
      <c r="AC2644" s="22">
        <f t="shared" si="83"/>
        <v>0.65100000000000002</v>
      </c>
    </row>
    <row r="2645" spans="1:29">
      <c r="A2645" s="8" t="s">
        <v>7003</v>
      </c>
      <c r="B2645" s="17" t="s">
        <v>7800</v>
      </c>
      <c r="C2645" s="13">
        <v>42487</v>
      </c>
      <c r="D2645" s="13" t="s">
        <v>8465</v>
      </c>
      <c r="E2645" s="10" t="s">
        <v>170</v>
      </c>
      <c r="F2645" s="10" t="s">
        <v>170</v>
      </c>
      <c r="G2645" s="11" t="s">
        <v>7004</v>
      </c>
      <c r="H2645" s="2" t="s">
        <v>255</v>
      </c>
      <c r="L2645" s="18">
        <v>1</v>
      </c>
      <c r="O2645" s="29">
        <v>0</v>
      </c>
      <c r="P2645" s="18" t="s">
        <v>1107</v>
      </c>
      <c r="Q2645" s="18">
        <v>0</v>
      </c>
      <c r="V2645" s="22">
        <f>4.04/5</f>
        <v>0.80800000000000005</v>
      </c>
      <c r="W2645" s="14" t="s">
        <v>7799</v>
      </c>
      <c r="X2645" s="3">
        <v>2</v>
      </c>
      <c r="Z2645" s="23">
        <v>11.5</v>
      </c>
      <c r="AB2645" s="18">
        <f t="shared" si="82"/>
        <v>2016</v>
      </c>
      <c r="AC2645" s="22">
        <f t="shared" si="83"/>
        <v>0.60400000000000009</v>
      </c>
    </row>
    <row r="2646" spans="1:29">
      <c r="A2646" s="8" t="s">
        <v>8837</v>
      </c>
      <c r="B2646" s="17" t="s">
        <v>7763</v>
      </c>
      <c r="C2646" s="13">
        <v>42486</v>
      </c>
      <c r="D2646" s="13" t="s">
        <v>8465</v>
      </c>
      <c r="E2646" s="10" t="s">
        <v>4045</v>
      </c>
      <c r="F2646" s="10" t="s">
        <v>4045</v>
      </c>
      <c r="H2646" s="2" t="s">
        <v>1377</v>
      </c>
      <c r="L2646" s="18">
        <v>1</v>
      </c>
      <c r="N2646" s="13">
        <v>42823</v>
      </c>
      <c r="O2646" s="29">
        <v>0</v>
      </c>
      <c r="P2646" s="18" t="s">
        <v>1107</v>
      </c>
      <c r="Q2646" s="18">
        <v>0</v>
      </c>
      <c r="U2646" s="22">
        <v>0.82</v>
      </c>
      <c r="V2646" s="22">
        <f>4.05/5</f>
        <v>0.80999999999999994</v>
      </c>
      <c r="W2646" s="14" t="s">
        <v>6072</v>
      </c>
      <c r="X2646" s="3">
        <v>3</v>
      </c>
      <c r="Z2646" s="23">
        <v>5.5</v>
      </c>
      <c r="AB2646" s="18">
        <f t="shared" si="82"/>
        <v>2016</v>
      </c>
      <c r="AC2646" s="22">
        <f t="shared" si="83"/>
        <v>0.74333333333333329</v>
      </c>
    </row>
    <row r="2647" spans="1:29" ht="30">
      <c r="A2647" s="8" t="s">
        <v>6181</v>
      </c>
      <c r="B2647" s="17" t="s">
        <v>7760</v>
      </c>
      <c r="C2647" s="13">
        <v>42486</v>
      </c>
      <c r="D2647" s="13" t="s">
        <v>8465</v>
      </c>
      <c r="E2647" s="10" t="s">
        <v>6107</v>
      </c>
      <c r="F2647" s="10" t="s">
        <v>4535</v>
      </c>
      <c r="H2647" s="2" t="s">
        <v>1054</v>
      </c>
      <c r="L2647" s="18">
        <v>1</v>
      </c>
      <c r="N2647" s="13">
        <v>43459</v>
      </c>
      <c r="O2647" s="29">
        <v>2.99</v>
      </c>
      <c r="P2647" s="18" t="s">
        <v>1107</v>
      </c>
      <c r="Q2647" s="18">
        <v>0</v>
      </c>
      <c r="U2647" s="22">
        <v>0.79</v>
      </c>
      <c r="V2647" s="22">
        <f>3.82/5</f>
        <v>0.76400000000000001</v>
      </c>
      <c r="X2647" s="3">
        <v>3</v>
      </c>
      <c r="Z2647" s="23">
        <v>7.5</v>
      </c>
      <c r="AB2647" s="18">
        <f t="shared" si="82"/>
        <v>2016</v>
      </c>
      <c r="AC2647" s="22">
        <f t="shared" si="83"/>
        <v>0.71799999999999997</v>
      </c>
    </row>
    <row r="2648" spans="1:29" ht="30">
      <c r="A2648" s="8" t="s">
        <v>4150</v>
      </c>
      <c r="B2648" s="17" t="s">
        <v>7800</v>
      </c>
      <c r="C2648" s="13">
        <v>42486</v>
      </c>
      <c r="D2648" s="13" t="s">
        <v>8465</v>
      </c>
      <c r="E2648" s="10" t="s">
        <v>1680</v>
      </c>
      <c r="F2648" s="10" t="s">
        <v>3861</v>
      </c>
      <c r="G2648" s="11" t="s">
        <v>1682</v>
      </c>
      <c r="H2648" s="2" t="s">
        <v>75</v>
      </c>
      <c r="L2648" s="18">
        <v>1</v>
      </c>
      <c r="N2648" s="13">
        <v>43425</v>
      </c>
      <c r="O2648" s="29">
        <v>3.99</v>
      </c>
      <c r="P2648" s="18" t="s">
        <v>1107</v>
      </c>
      <c r="Q2648" s="18">
        <v>0</v>
      </c>
      <c r="U2648" s="22">
        <v>0.64</v>
      </c>
      <c r="V2648" s="22">
        <f>3.6/5</f>
        <v>0.72</v>
      </c>
      <c r="W2648" s="14" t="s">
        <v>7777</v>
      </c>
      <c r="X2648" s="3">
        <v>3</v>
      </c>
      <c r="Z2648" s="23">
        <v>23</v>
      </c>
      <c r="AB2648" s="18">
        <f t="shared" si="82"/>
        <v>2016</v>
      </c>
      <c r="AC2648" s="22">
        <f t="shared" si="83"/>
        <v>0.65333333333333332</v>
      </c>
    </row>
    <row r="2649" spans="1:29" ht="25.5">
      <c r="A2649" s="8" t="s">
        <v>11179</v>
      </c>
      <c r="B2649" s="17" t="s">
        <v>7749</v>
      </c>
      <c r="C2649" s="13">
        <v>42486</v>
      </c>
      <c r="D2649" s="13" t="s">
        <v>8465</v>
      </c>
      <c r="E2649" s="10" t="s">
        <v>455</v>
      </c>
      <c r="F2649" s="10" t="s">
        <v>1081</v>
      </c>
      <c r="H2649" s="2" t="s">
        <v>6510</v>
      </c>
      <c r="L2649" s="18">
        <v>1</v>
      </c>
      <c r="M2649" s="14" t="s">
        <v>8462</v>
      </c>
      <c r="N2649" s="13">
        <v>44611</v>
      </c>
      <c r="O2649" s="29">
        <v>23.83</v>
      </c>
      <c r="P2649" s="18" t="s">
        <v>14</v>
      </c>
      <c r="Q2649" s="18">
        <v>0</v>
      </c>
      <c r="U2649" s="22">
        <v>0.73</v>
      </c>
      <c r="V2649" s="22">
        <f>4.15/5</f>
        <v>0.83000000000000007</v>
      </c>
      <c r="X2649" s="3">
        <v>2</v>
      </c>
      <c r="Z2649" s="23">
        <v>17</v>
      </c>
      <c r="AB2649" s="18">
        <f t="shared" si="82"/>
        <v>2016</v>
      </c>
      <c r="AC2649" s="22">
        <f t="shared" si="83"/>
        <v>0.65333333333333332</v>
      </c>
    </row>
    <row r="2650" spans="1:29" ht="25.5">
      <c r="A2650" s="8" t="s">
        <v>15535</v>
      </c>
      <c r="B2650" s="17" t="s">
        <v>7760</v>
      </c>
      <c r="C2650" s="13">
        <v>42486</v>
      </c>
      <c r="D2650" s="13" t="s">
        <v>8465</v>
      </c>
      <c r="E2650" s="10" t="s">
        <v>4866</v>
      </c>
      <c r="F2650" s="10" t="s">
        <v>4866</v>
      </c>
      <c r="G2650" s="11" t="s">
        <v>4867</v>
      </c>
      <c r="H2650" s="2" t="s">
        <v>56</v>
      </c>
      <c r="L2650" s="18">
        <v>1</v>
      </c>
      <c r="N2650" s="13">
        <v>43377</v>
      </c>
      <c r="O2650" s="29">
        <v>0</v>
      </c>
      <c r="P2650" s="18" t="s">
        <v>1107</v>
      </c>
      <c r="Q2650" s="18">
        <v>0</v>
      </c>
      <c r="U2650" s="22">
        <v>0.67</v>
      </c>
      <c r="V2650" s="22">
        <f>2.66/5</f>
        <v>0.53200000000000003</v>
      </c>
      <c r="W2650" s="14" t="s">
        <v>6072</v>
      </c>
      <c r="X2650" s="3">
        <v>2</v>
      </c>
      <c r="Z2650" s="23">
        <v>6</v>
      </c>
      <c r="AB2650" s="18">
        <f t="shared" si="82"/>
        <v>2016</v>
      </c>
      <c r="AC2650" s="22">
        <f t="shared" si="83"/>
        <v>0.53399999999999992</v>
      </c>
    </row>
    <row r="2651" spans="1:29">
      <c r="A2651" s="8" t="s">
        <v>1130</v>
      </c>
      <c r="B2651" s="17" t="s">
        <v>7743</v>
      </c>
      <c r="C2651" s="13">
        <v>42482</v>
      </c>
      <c r="D2651" s="13" t="s">
        <v>8465</v>
      </c>
      <c r="E2651" s="10" t="s">
        <v>86</v>
      </c>
      <c r="F2651" s="10" t="s">
        <v>1138</v>
      </c>
      <c r="G2651" s="11" t="s">
        <v>578</v>
      </c>
      <c r="H2651" s="2" t="s">
        <v>1169</v>
      </c>
      <c r="L2651" s="18">
        <v>1</v>
      </c>
      <c r="M2651" s="14" t="s">
        <v>8462</v>
      </c>
      <c r="N2651" s="13">
        <v>42627</v>
      </c>
      <c r="O2651" s="29">
        <v>12.93</v>
      </c>
      <c r="P2651" s="18" t="s">
        <v>14</v>
      </c>
      <c r="Q2651" s="18">
        <v>0</v>
      </c>
      <c r="U2651" s="22">
        <v>0.74</v>
      </c>
      <c r="V2651" s="22">
        <f>3.57/5</f>
        <v>0.71399999999999997</v>
      </c>
      <c r="X2651" s="3">
        <v>3</v>
      </c>
      <c r="Z2651" s="23">
        <v>5.5</v>
      </c>
      <c r="AB2651" s="18">
        <f t="shared" si="82"/>
        <v>2016</v>
      </c>
      <c r="AC2651" s="22">
        <f t="shared" si="83"/>
        <v>0.68466666666666665</v>
      </c>
    </row>
    <row r="2652" spans="1:29">
      <c r="A2652" s="8" t="s">
        <v>1131</v>
      </c>
      <c r="B2652" s="17" t="s">
        <v>7743</v>
      </c>
      <c r="C2652" s="13">
        <v>42482</v>
      </c>
      <c r="D2652" s="13" t="s">
        <v>8465</v>
      </c>
      <c r="E2652" s="10" t="s">
        <v>86</v>
      </c>
      <c r="F2652" s="10" t="s">
        <v>1138</v>
      </c>
      <c r="G2652" s="11" t="s">
        <v>578</v>
      </c>
      <c r="H2652" s="2" t="s">
        <v>1170</v>
      </c>
      <c r="L2652" s="18">
        <v>1</v>
      </c>
      <c r="M2652" s="14" t="s">
        <v>8462</v>
      </c>
      <c r="N2652" s="13">
        <v>42627</v>
      </c>
      <c r="O2652" s="29">
        <v>12.93</v>
      </c>
      <c r="P2652" s="18" t="s">
        <v>14</v>
      </c>
      <c r="Q2652" s="18">
        <v>0</v>
      </c>
      <c r="U2652" s="22">
        <v>0.69</v>
      </c>
      <c r="V2652" s="22">
        <f>3.52/5</f>
        <v>0.70399999999999996</v>
      </c>
      <c r="X2652" s="3">
        <v>3</v>
      </c>
      <c r="Z2652" s="23">
        <v>5</v>
      </c>
      <c r="AB2652" s="18">
        <f t="shared" si="82"/>
        <v>2016</v>
      </c>
      <c r="AC2652" s="22">
        <f t="shared" si="83"/>
        <v>0.66466666666666663</v>
      </c>
    </row>
    <row r="2653" spans="1:29">
      <c r="A2653" s="8" t="s">
        <v>11083</v>
      </c>
      <c r="B2653" s="17" t="s">
        <v>7763</v>
      </c>
      <c r="C2653" s="13">
        <v>42481</v>
      </c>
      <c r="D2653" s="13" t="s">
        <v>8463</v>
      </c>
      <c r="E2653" s="10" t="s">
        <v>2298</v>
      </c>
      <c r="F2653" s="10" t="s">
        <v>1085</v>
      </c>
      <c r="G2653" s="11" t="s">
        <v>11084</v>
      </c>
      <c r="H2653" s="2" t="s">
        <v>1168</v>
      </c>
      <c r="K2653" s="18">
        <v>1</v>
      </c>
      <c r="L2653" s="18">
        <v>0</v>
      </c>
      <c r="Q2653" s="18">
        <v>0</v>
      </c>
      <c r="V2653" s="22">
        <f>3.51/5</f>
        <v>0.70199999999999996</v>
      </c>
      <c r="X2653" s="3">
        <v>2</v>
      </c>
      <c r="Z2653" s="23">
        <v>13.5</v>
      </c>
      <c r="AB2653" s="18">
        <f t="shared" si="82"/>
        <v>2016</v>
      </c>
      <c r="AC2653" s="22">
        <f t="shared" si="83"/>
        <v>0.55099999999999993</v>
      </c>
    </row>
    <row r="2654" spans="1:29">
      <c r="A2654" s="8" t="s">
        <v>7074</v>
      </c>
      <c r="B2654" s="17" t="s">
        <v>7800</v>
      </c>
      <c r="C2654" s="13">
        <v>42479</v>
      </c>
      <c r="D2654" s="13" t="s">
        <v>8465</v>
      </c>
      <c r="E2654" s="10" t="s">
        <v>3212</v>
      </c>
      <c r="F2654" s="10" t="s">
        <v>5273</v>
      </c>
      <c r="G2654" s="11" t="s">
        <v>5272</v>
      </c>
      <c r="H2654" s="2" t="s">
        <v>75</v>
      </c>
      <c r="L2654" s="18">
        <v>1</v>
      </c>
      <c r="O2654" s="29">
        <v>0</v>
      </c>
      <c r="P2654" s="18" t="s">
        <v>1107</v>
      </c>
      <c r="Q2654" s="18">
        <v>0</v>
      </c>
      <c r="U2654" s="22">
        <v>0.83</v>
      </c>
      <c r="V2654" s="22">
        <f>3.93/5</f>
        <v>0.78600000000000003</v>
      </c>
      <c r="W2654" s="14" t="s">
        <v>7777</v>
      </c>
      <c r="X2654" s="3">
        <v>3</v>
      </c>
      <c r="Z2654" s="23">
        <v>11.5</v>
      </c>
      <c r="AB2654" s="18">
        <f t="shared" si="82"/>
        <v>2016</v>
      </c>
      <c r="AC2654" s="22">
        <f t="shared" si="83"/>
        <v>0.73866666666666669</v>
      </c>
    </row>
    <row r="2655" spans="1:29">
      <c r="A2655" s="8" t="s">
        <v>5088</v>
      </c>
      <c r="B2655" s="17" t="s">
        <v>7800</v>
      </c>
      <c r="C2655" s="13">
        <v>42479</v>
      </c>
      <c r="D2655" s="13" t="s">
        <v>8465</v>
      </c>
      <c r="E2655" s="10" t="s">
        <v>3464</v>
      </c>
      <c r="F2655" s="10" t="s">
        <v>5089</v>
      </c>
      <c r="H2655" s="2" t="s">
        <v>56</v>
      </c>
      <c r="L2655" s="18">
        <v>1</v>
      </c>
      <c r="N2655" s="13">
        <v>42008</v>
      </c>
      <c r="P2655" s="18" t="s">
        <v>1107</v>
      </c>
      <c r="Q2655" s="18">
        <v>0</v>
      </c>
      <c r="U2655" s="22">
        <v>0.86</v>
      </c>
      <c r="V2655" s="22">
        <f>3.59/5</f>
        <v>0.71799999999999997</v>
      </c>
      <c r="W2655" s="14" t="s">
        <v>7777</v>
      </c>
      <c r="X2655" s="3">
        <v>2</v>
      </c>
      <c r="Z2655" s="23">
        <v>2</v>
      </c>
      <c r="AB2655" s="18">
        <f t="shared" si="82"/>
        <v>2016</v>
      </c>
      <c r="AC2655" s="22">
        <f t="shared" si="83"/>
        <v>0.65933333333333322</v>
      </c>
    </row>
    <row r="2656" spans="1:29" ht="25.5">
      <c r="A2656" s="8" t="s">
        <v>8793</v>
      </c>
      <c r="B2656" s="17" t="s">
        <v>7749</v>
      </c>
      <c r="C2656" s="13">
        <v>42479</v>
      </c>
      <c r="D2656" s="13" t="s">
        <v>8465</v>
      </c>
      <c r="E2656" s="10" t="s">
        <v>1519</v>
      </c>
      <c r="F2656" s="10" t="s">
        <v>8794</v>
      </c>
      <c r="G2656" s="11" t="s">
        <v>1369</v>
      </c>
      <c r="H2656" s="2" t="s">
        <v>75</v>
      </c>
      <c r="L2656" s="18">
        <v>1</v>
      </c>
      <c r="M2656" s="14" t="s">
        <v>8462</v>
      </c>
      <c r="N2656" s="13">
        <v>43986</v>
      </c>
      <c r="O2656" s="29">
        <v>19.309999999999999</v>
      </c>
      <c r="P2656" s="18" t="s">
        <v>14</v>
      </c>
      <c r="Q2656" s="18">
        <v>0</v>
      </c>
      <c r="U2656" s="22">
        <v>0.35</v>
      </c>
      <c r="V2656" s="22">
        <f>3.13/5</f>
        <v>0.626</v>
      </c>
      <c r="X2656" s="3">
        <v>3</v>
      </c>
      <c r="Z2656" s="23">
        <v>17.5</v>
      </c>
      <c r="AB2656" s="18">
        <f t="shared" si="82"/>
        <v>2016</v>
      </c>
      <c r="AC2656" s="22">
        <f t="shared" si="83"/>
        <v>0.52533333333333332</v>
      </c>
    </row>
    <row r="2657" spans="1:29" ht="25.5">
      <c r="A2657" s="8" t="s">
        <v>3546</v>
      </c>
      <c r="B2657" s="17" t="s">
        <v>7800</v>
      </c>
      <c r="C2657" s="13">
        <v>42478</v>
      </c>
      <c r="D2657" s="13" t="s">
        <v>8465</v>
      </c>
      <c r="E2657" s="10" t="s">
        <v>2452</v>
      </c>
      <c r="F2657" s="10" t="s">
        <v>2452</v>
      </c>
      <c r="G2657" s="11" t="s">
        <v>3547</v>
      </c>
      <c r="H2657" s="2" t="s">
        <v>1057</v>
      </c>
      <c r="L2657" s="18">
        <v>1</v>
      </c>
      <c r="N2657" s="13">
        <v>42729</v>
      </c>
      <c r="O2657" s="29">
        <v>16.190000000000001</v>
      </c>
      <c r="P2657" s="18" t="s">
        <v>1107</v>
      </c>
      <c r="Q2657" s="18">
        <v>0</v>
      </c>
      <c r="U2657" s="22">
        <v>0.83</v>
      </c>
      <c r="V2657" s="22">
        <f>4.28/5</f>
        <v>0.85600000000000009</v>
      </c>
      <c r="W2657" s="14" t="s">
        <v>7777</v>
      </c>
      <c r="X2657" s="3">
        <v>4</v>
      </c>
      <c r="Z2657" s="23">
        <v>32.5</v>
      </c>
      <c r="AB2657" s="18">
        <f t="shared" si="82"/>
        <v>2016</v>
      </c>
      <c r="AC2657" s="22">
        <f t="shared" si="83"/>
        <v>0.82866666666666655</v>
      </c>
    </row>
    <row r="2658" spans="1:29" ht="25.5">
      <c r="A2658" s="8" t="s">
        <v>2363</v>
      </c>
      <c r="B2658" s="17" t="s">
        <v>7749</v>
      </c>
      <c r="C2658" s="13">
        <v>42475</v>
      </c>
      <c r="D2658" s="13" t="s">
        <v>8465</v>
      </c>
      <c r="E2658" s="10" t="s">
        <v>86</v>
      </c>
      <c r="F2658" s="10" t="s">
        <v>2449</v>
      </c>
      <c r="G2658" s="11" t="s">
        <v>2362</v>
      </c>
      <c r="H2658" s="2" t="s">
        <v>149</v>
      </c>
      <c r="L2658" s="18">
        <v>1</v>
      </c>
      <c r="M2658" s="14" t="s">
        <v>8462</v>
      </c>
      <c r="N2658" s="13">
        <v>43303</v>
      </c>
      <c r="O2658" s="29">
        <v>16.649999999999999</v>
      </c>
      <c r="P2658" s="18" t="s">
        <v>14</v>
      </c>
      <c r="Q2658" s="18">
        <v>0</v>
      </c>
      <c r="U2658" s="22">
        <v>0.83</v>
      </c>
      <c r="V2658" s="22">
        <f>4.32/5</f>
        <v>0.8640000000000001</v>
      </c>
      <c r="X2658" s="3">
        <v>4</v>
      </c>
      <c r="Z2658" s="23">
        <v>43</v>
      </c>
      <c r="AB2658" s="18">
        <f t="shared" si="82"/>
        <v>2016</v>
      </c>
      <c r="AC2658" s="22">
        <f t="shared" si="83"/>
        <v>0.83133333333333326</v>
      </c>
    </row>
    <row r="2659" spans="1:29">
      <c r="A2659" s="9" t="s">
        <v>486</v>
      </c>
      <c r="B2659" s="17" t="s">
        <v>7800</v>
      </c>
      <c r="C2659" s="13">
        <v>42474</v>
      </c>
      <c r="D2659" s="13" t="s">
        <v>8465</v>
      </c>
      <c r="E2659" s="10" t="s">
        <v>170</v>
      </c>
      <c r="F2659" s="10" t="s">
        <v>170</v>
      </c>
      <c r="G2659" s="11" t="s">
        <v>450</v>
      </c>
      <c r="H2659" s="2" t="s">
        <v>2138</v>
      </c>
      <c r="L2659" s="18">
        <v>1</v>
      </c>
      <c r="N2659" s="13">
        <v>43866</v>
      </c>
      <c r="O2659" s="29">
        <v>0.75</v>
      </c>
      <c r="P2659" s="18" t="s">
        <v>1107</v>
      </c>
      <c r="Q2659" s="18">
        <v>0</v>
      </c>
      <c r="V2659" s="22">
        <f>3.72/5</f>
        <v>0.74399999999999999</v>
      </c>
      <c r="W2659" s="14" t="s">
        <v>7777</v>
      </c>
      <c r="X2659" s="3">
        <v>3</v>
      </c>
      <c r="Z2659" s="23">
        <v>1</v>
      </c>
      <c r="AB2659" s="18">
        <f t="shared" si="82"/>
        <v>2016</v>
      </c>
      <c r="AC2659" s="22">
        <f t="shared" si="83"/>
        <v>0.67199999999999993</v>
      </c>
    </row>
    <row r="2660" spans="1:29">
      <c r="A2660" s="8" t="s">
        <v>3466</v>
      </c>
      <c r="B2660" s="17" t="s">
        <v>7800</v>
      </c>
      <c r="C2660" s="13">
        <v>42474</v>
      </c>
      <c r="D2660" s="13" t="s">
        <v>8465</v>
      </c>
      <c r="E2660" s="10" t="s">
        <v>3467</v>
      </c>
      <c r="F2660" s="10" t="s">
        <v>1710</v>
      </c>
      <c r="H2660" s="2" t="s">
        <v>153</v>
      </c>
      <c r="L2660" s="18">
        <v>1</v>
      </c>
      <c r="N2660" s="13">
        <v>43375</v>
      </c>
      <c r="O2660" s="29">
        <v>5.99</v>
      </c>
      <c r="P2660" s="18" t="s">
        <v>1107</v>
      </c>
      <c r="Q2660" s="18">
        <v>0</v>
      </c>
      <c r="U2660" s="22">
        <v>0.63</v>
      </c>
      <c r="V2660" s="22">
        <f>3.81/5</f>
        <v>0.76200000000000001</v>
      </c>
      <c r="W2660" s="14" t="s">
        <v>7777</v>
      </c>
      <c r="X2660" s="3">
        <v>3</v>
      </c>
      <c r="Z2660" s="23">
        <v>5.5</v>
      </c>
      <c r="AB2660" s="18">
        <f t="shared" si="82"/>
        <v>2016</v>
      </c>
      <c r="AC2660" s="22">
        <f t="shared" si="83"/>
        <v>0.66400000000000003</v>
      </c>
    </row>
    <row r="2661" spans="1:29" ht="25.5">
      <c r="A2661" s="8" t="s">
        <v>10654</v>
      </c>
      <c r="B2661" s="17" t="s">
        <v>7800</v>
      </c>
      <c r="C2661" s="13">
        <v>42474</v>
      </c>
      <c r="D2661" s="13" t="s">
        <v>8465</v>
      </c>
      <c r="E2661" s="10" t="s">
        <v>3074</v>
      </c>
      <c r="F2661" s="10" t="s">
        <v>10655</v>
      </c>
      <c r="H2661" s="2" t="s">
        <v>171</v>
      </c>
      <c r="L2661" s="18">
        <v>1</v>
      </c>
      <c r="N2661" s="13">
        <v>44510</v>
      </c>
      <c r="O2661" s="29">
        <v>14.99</v>
      </c>
      <c r="P2661" s="18" t="s">
        <v>1107</v>
      </c>
      <c r="Q2661" s="18">
        <v>0</v>
      </c>
      <c r="U2661" s="22">
        <v>0.7</v>
      </c>
      <c r="V2661" s="22">
        <f>3/5</f>
        <v>0.6</v>
      </c>
      <c r="W2661" s="14" t="s">
        <v>7777</v>
      </c>
      <c r="X2661" s="3">
        <v>3</v>
      </c>
      <c r="Z2661" s="23">
        <v>19</v>
      </c>
      <c r="AB2661" s="18">
        <f t="shared" si="82"/>
        <v>2016</v>
      </c>
      <c r="AC2661" s="22">
        <f t="shared" si="83"/>
        <v>0.6333333333333333</v>
      </c>
    </row>
    <row r="2662" spans="1:29">
      <c r="A2662" s="8" t="s">
        <v>4003</v>
      </c>
      <c r="B2662" s="17" t="s">
        <v>7800</v>
      </c>
      <c r="C2662" s="13">
        <v>42474</v>
      </c>
      <c r="D2662" s="13" t="s">
        <v>8465</v>
      </c>
      <c r="E2662" s="10" t="s">
        <v>1082</v>
      </c>
      <c r="F2662" s="10" t="s">
        <v>4004</v>
      </c>
      <c r="H2662" s="2" t="s">
        <v>67</v>
      </c>
      <c r="L2662" s="18">
        <v>1</v>
      </c>
      <c r="N2662" s="13">
        <v>43572</v>
      </c>
      <c r="O2662" s="29">
        <v>0</v>
      </c>
      <c r="P2662" s="18" t="s">
        <v>1107</v>
      </c>
      <c r="Q2662" s="18">
        <v>0</v>
      </c>
      <c r="U2662" s="22">
        <v>0.84</v>
      </c>
      <c r="V2662" s="22">
        <f>4/5</f>
        <v>0.8</v>
      </c>
      <c r="W2662" s="14" t="s">
        <v>7777</v>
      </c>
      <c r="X2662" s="3">
        <v>2</v>
      </c>
      <c r="Z2662" s="23">
        <v>6.5</v>
      </c>
      <c r="AB2662" s="18">
        <f t="shared" si="82"/>
        <v>2016</v>
      </c>
      <c r="AC2662" s="22">
        <f t="shared" si="83"/>
        <v>0.68</v>
      </c>
    </row>
    <row r="2663" spans="1:29" ht="30">
      <c r="A2663" s="8" t="s">
        <v>580</v>
      </c>
      <c r="B2663" s="17" t="s">
        <v>8456</v>
      </c>
      <c r="C2663" s="13">
        <v>42473</v>
      </c>
      <c r="D2663" s="13" t="s">
        <v>8465</v>
      </c>
      <c r="E2663" s="10" t="s">
        <v>86</v>
      </c>
      <c r="F2663" s="10" t="s">
        <v>87</v>
      </c>
      <c r="G2663" s="11" t="s">
        <v>85</v>
      </c>
      <c r="H2663" s="2" t="s">
        <v>80</v>
      </c>
      <c r="L2663" s="18">
        <v>1</v>
      </c>
      <c r="N2663" s="13">
        <v>44639</v>
      </c>
      <c r="O2663" s="29">
        <v>7.99</v>
      </c>
      <c r="P2663" s="18" t="s">
        <v>1107</v>
      </c>
      <c r="Q2663" s="18">
        <v>0</v>
      </c>
      <c r="V2663" s="22">
        <f>4.56/5</f>
        <v>0.91199999999999992</v>
      </c>
      <c r="X2663" s="3">
        <v>3</v>
      </c>
      <c r="Z2663" s="23">
        <v>15</v>
      </c>
      <c r="AB2663" s="18">
        <f t="shared" si="82"/>
        <v>2016</v>
      </c>
      <c r="AC2663" s="22">
        <f t="shared" si="83"/>
        <v>0.75600000000000001</v>
      </c>
    </row>
    <row r="2664" spans="1:29">
      <c r="A2664" s="8" t="s">
        <v>8908</v>
      </c>
      <c r="B2664" s="17" t="s">
        <v>7800</v>
      </c>
      <c r="C2664" s="13">
        <v>42468</v>
      </c>
      <c r="D2664" s="13" t="s">
        <v>8465</v>
      </c>
      <c r="E2664" s="10" t="s">
        <v>3136</v>
      </c>
      <c r="F2664" s="10" t="s">
        <v>8909</v>
      </c>
      <c r="H2664" s="2" t="s">
        <v>80</v>
      </c>
      <c r="L2664" s="18">
        <v>1</v>
      </c>
      <c r="N2664" s="13">
        <v>44000</v>
      </c>
      <c r="O2664" s="29">
        <v>10</v>
      </c>
      <c r="P2664" s="18" t="s">
        <v>1107</v>
      </c>
      <c r="Q2664" s="18">
        <v>0</v>
      </c>
      <c r="V2664" s="22">
        <f>3.43/5</f>
        <v>0.68600000000000005</v>
      </c>
      <c r="W2664" s="14" t="s">
        <v>7777</v>
      </c>
      <c r="X2664" s="3">
        <v>2</v>
      </c>
      <c r="Z2664" s="23">
        <v>3.5</v>
      </c>
      <c r="AB2664" s="18">
        <f t="shared" si="82"/>
        <v>2016</v>
      </c>
      <c r="AC2664" s="22">
        <f t="shared" si="83"/>
        <v>0.54300000000000004</v>
      </c>
    </row>
    <row r="2665" spans="1:29">
      <c r="A2665" s="8" t="s">
        <v>14160</v>
      </c>
      <c r="B2665" s="17" t="s">
        <v>7800</v>
      </c>
      <c r="C2665" s="13">
        <v>42467</v>
      </c>
      <c r="D2665" s="13" t="s">
        <v>8465</v>
      </c>
      <c r="E2665" s="10" t="s">
        <v>14161</v>
      </c>
      <c r="F2665" s="10" t="s">
        <v>14161</v>
      </c>
      <c r="H2665" s="2" t="s">
        <v>67</v>
      </c>
      <c r="L2665" s="18">
        <v>1</v>
      </c>
      <c r="O2665" s="29">
        <v>0</v>
      </c>
      <c r="P2665" s="18" t="s">
        <v>1107</v>
      </c>
      <c r="Q2665" s="18">
        <v>0</v>
      </c>
      <c r="V2665" s="22">
        <f>1.93/5</f>
        <v>0.38600000000000001</v>
      </c>
      <c r="W2665" s="14" t="s">
        <v>8765</v>
      </c>
      <c r="X2665" s="3">
        <v>2</v>
      </c>
      <c r="Z2665" s="23">
        <v>5</v>
      </c>
      <c r="AB2665" s="18">
        <f t="shared" si="82"/>
        <v>2016</v>
      </c>
      <c r="AC2665" s="22">
        <f t="shared" si="83"/>
        <v>0.39300000000000002</v>
      </c>
    </row>
    <row r="2666" spans="1:29" ht="30">
      <c r="A2666" s="8" t="s">
        <v>6124</v>
      </c>
      <c r="B2666" s="17" t="s">
        <v>7760</v>
      </c>
      <c r="C2666" s="13">
        <v>42465</v>
      </c>
      <c r="D2666" s="13" t="s">
        <v>8465</v>
      </c>
      <c r="E2666" s="10" t="s">
        <v>3063</v>
      </c>
      <c r="F2666" s="10" t="s">
        <v>6125</v>
      </c>
      <c r="G2666" s="11" t="s">
        <v>8551</v>
      </c>
      <c r="H2666" s="2" t="s">
        <v>1518</v>
      </c>
      <c r="L2666" s="18">
        <v>1</v>
      </c>
      <c r="M2666" s="14" t="s">
        <v>8462</v>
      </c>
      <c r="N2666" s="13">
        <v>43542</v>
      </c>
      <c r="O2666" s="29">
        <v>34.99</v>
      </c>
      <c r="P2666" s="18" t="s">
        <v>14</v>
      </c>
      <c r="Q2666" s="18">
        <v>0</v>
      </c>
      <c r="U2666" s="22">
        <v>0.82</v>
      </c>
      <c r="V2666" s="22">
        <f>3.85/5</f>
        <v>0.77</v>
      </c>
      <c r="W2666" s="14" t="s">
        <v>8101</v>
      </c>
      <c r="X2666" s="3">
        <v>3</v>
      </c>
      <c r="Z2666" s="23">
        <v>16</v>
      </c>
      <c r="AB2666" s="18">
        <f t="shared" si="82"/>
        <v>2016</v>
      </c>
      <c r="AC2666" s="22">
        <f t="shared" si="83"/>
        <v>0.73</v>
      </c>
    </row>
    <row r="2667" spans="1:29">
      <c r="A2667" s="8" t="s">
        <v>5076</v>
      </c>
      <c r="B2667" s="17" t="s">
        <v>7800</v>
      </c>
      <c r="C2667" s="13">
        <v>42465</v>
      </c>
      <c r="D2667" s="13" t="s">
        <v>8465</v>
      </c>
      <c r="E2667" s="10" t="s">
        <v>5077</v>
      </c>
      <c r="F2667" s="10" t="s">
        <v>5077</v>
      </c>
      <c r="G2667" s="11" t="s">
        <v>5078</v>
      </c>
      <c r="H2667" s="2" t="s">
        <v>1377</v>
      </c>
      <c r="L2667" s="18">
        <v>1</v>
      </c>
      <c r="N2667" s="13">
        <v>43450</v>
      </c>
      <c r="P2667" s="18" t="s">
        <v>1107</v>
      </c>
      <c r="Q2667" s="18">
        <v>0</v>
      </c>
      <c r="U2667" s="22">
        <v>0.72</v>
      </c>
      <c r="V2667" s="22">
        <f>4.22/5</f>
        <v>0.84399999999999997</v>
      </c>
      <c r="W2667" s="14" t="s">
        <v>7777</v>
      </c>
      <c r="X2667" s="3">
        <v>3</v>
      </c>
      <c r="Z2667" s="23">
        <v>8</v>
      </c>
      <c r="AB2667" s="18">
        <f t="shared" si="82"/>
        <v>2016</v>
      </c>
      <c r="AC2667" s="22">
        <f t="shared" si="83"/>
        <v>0.72133333333333338</v>
      </c>
    </row>
    <row r="2668" spans="1:29">
      <c r="A2668" s="8" t="s">
        <v>9906</v>
      </c>
      <c r="B2668" s="17" t="s">
        <v>7800</v>
      </c>
      <c r="C2668" s="13">
        <v>42465</v>
      </c>
      <c r="D2668" s="13" t="s">
        <v>8465</v>
      </c>
      <c r="E2668" s="10" t="s">
        <v>3760</v>
      </c>
      <c r="F2668" s="10" t="s">
        <v>3760</v>
      </c>
      <c r="G2668" s="11" t="s">
        <v>9906</v>
      </c>
      <c r="H2668" s="2" t="s">
        <v>1334</v>
      </c>
      <c r="I2668" s="18">
        <v>1</v>
      </c>
      <c r="L2668" s="18">
        <v>1</v>
      </c>
      <c r="N2668" s="13">
        <v>44293</v>
      </c>
      <c r="O2668" s="29">
        <v>0</v>
      </c>
      <c r="P2668" s="18" t="s">
        <v>1107</v>
      </c>
      <c r="Q2668" s="18">
        <v>0</v>
      </c>
      <c r="U2668" s="22">
        <v>0.68</v>
      </c>
      <c r="V2668" s="22">
        <f>3.56/5</f>
        <v>0.71199999999999997</v>
      </c>
      <c r="W2668" s="14" t="s">
        <v>7777</v>
      </c>
      <c r="X2668" s="3">
        <v>3</v>
      </c>
      <c r="Z2668" s="23">
        <v>2.5</v>
      </c>
      <c r="AB2668" s="18">
        <f t="shared" si="82"/>
        <v>2016</v>
      </c>
      <c r="AC2668" s="22">
        <f t="shared" si="83"/>
        <v>0.66400000000000003</v>
      </c>
    </row>
    <row r="2669" spans="1:29">
      <c r="A2669" s="8" t="s">
        <v>6178</v>
      </c>
      <c r="B2669" s="17" t="s">
        <v>7800</v>
      </c>
      <c r="C2669" s="13">
        <v>42464</v>
      </c>
      <c r="D2669" s="13" t="s">
        <v>8465</v>
      </c>
      <c r="E2669" s="10" t="s">
        <v>3310</v>
      </c>
      <c r="F2669" s="10" t="s">
        <v>4993</v>
      </c>
      <c r="G2669" s="11" t="s">
        <v>5594</v>
      </c>
      <c r="H2669" s="2" t="s">
        <v>3937</v>
      </c>
      <c r="L2669" s="18">
        <v>1</v>
      </c>
      <c r="N2669" s="13">
        <v>43952</v>
      </c>
      <c r="O2669" s="29">
        <v>11</v>
      </c>
      <c r="P2669" s="18" t="s">
        <v>1107</v>
      </c>
      <c r="Q2669" s="18">
        <v>0</v>
      </c>
      <c r="U2669" s="22">
        <v>0.88</v>
      </c>
      <c r="V2669" s="22">
        <f>4.16/5</f>
        <v>0.83200000000000007</v>
      </c>
      <c r="W2669" s="14" t="s">
        <v>7777</v>
      </c>
      <c r="X2669" s="3">
        <v>4</v>
      </c>
      <c r="Z2669" s="23">
        <v>31.5</v>
      </c>
      <c r="AB2669" s="18">
        <f t="shared" si="82"/>
        <v>2016</v>
      </c>
      <c r="AC2669" s="22">
        <f t="shared" si="83"/>
        <v>0.83733333333333348</v>
      </c>
    </row>
    <row r="2670" spans="1:29">
      <c r="A2670" s="8" t="s">
        <v>13729</v>
      </c>
      <c r="B2670" s="17" t="s">
        <v>7800</v>
      </c>
      <c r="C2670" s="13">
        <v>42464</v>
      </c>
      <c r="D2670" s="13" t="s">
        <v>8465</v>
      </c>
      <c r="E2670" s="10" t="s">
        <v>13730</v>
      </c>
      <c r="F2670" s="10" t="s">
        <v>4743</v>
      </c>
      <c r="H2670" s="2" t="s">
        <v>56</v>
      </c>
      <c r="L2670" s="18">
        <v>1</v>
      </c>
      <c r="N2670" s="13">
        <v>45003</v>
      </c>
      <c r="O2670" s="29">
        <v>1.39</v>
      </c>
      <c r="P2670" s="18" t="s">
        <v>1107</v>
      </c>
      <c r="Q2670" s="18">
        <v>0</v>
      </c>
      <c r="U2670" s="22">
        <v>0.69</v>
      </c>
      <c r="V2670" s="22">
        <f>2.5/5</f>
        <v>0.5</v>
      </c>
      <c r="W2670" s="14" t="s">
        <v>7777</v>
      </c>
      <c r="X2670" s="3">
        <v>2</v>
      </c>
      <c r="Z2670" s="23">
        <v>4</v>
      </c>
      <c r="AB2670" s="18">
        <f t="shared" si="82"/>
        <v>2016</v>
      </c>
      <c r="AC2670" s="22">
        <f t="shared" si="83"/>
        <v>0.52999999999999992</v>
      </c>
    </row>
    <row r="2671" spans="1:29">
      <c r="A2671" s="8" t="s">
        <v>13069</v>
      </c>
      <c r="B2671" s="17" t="s">
        <v>7749</v>
      </c>
      <c r="C2671" s="13">
        <v>42462</v>
      </c>
      <c r="D2671" s="13" t="s">
        <v>8463</v>
      </c>
      <c r="E2671" s="10" t="s">
        <v>2129</v>
      </c>
      <c r="F2671" s="10" t="s">
        <v>1565</v>
      </c>
      <c r="G2671" s="11" t="s">
        <v>10273</v>
      </c>
      <c r="H2671" s="2" t="s">
        <v>75</v>
      </c>
      <c r="K2671" s="18">
        <v>0</v>
      </c>
      <c r="L2671" s="18">
        <v>0</v>
      </c>
      <c r="Q2671" s="18">
        <v>0</v>
      </c>
      <c r="V2671" s="22">
        <f>3.63/5</f>
        <v>0.72599999999999998</v>
      </c>
      <c r="X2671" s="3">
        <v>2</v>
      </c>
      <c r="AB2671" s="18">
        <f t="shared" si="82"/>
        <v>2016</v>
      </c>
      <c r="AC2671" s="22">
        <f t="shared" si="83"/>
        <v>0.56299999999999994</v>
      </c>
    </row>
    <row r="2672" spans="1:29" ht="25.5">
      <c r="A2672" s="8" t="s">
        <v>7065</v>
      </c>
      <c r="B2672" s="17" t="s">
        <v>7800</v>
      </c>
      <c r="C2672" s="13">
        <v>42461</v>
      </c>
      <c r="D2672" s="13" t="s">
        <v>8465</v>
      </c>
      <c r="E2672" s="10" t="s">
        <v>1151</v>
      </c>
      <c r="F2672" s="10" t="s">
        <v>7066</v>
      </c>
      <c r="H2672" s="2" t="s">
        <v>255</v>
      </c>
      <c r="L2672" s="18">
        <v>1</v>
      </c>
      <c r="N2672" s="13">
        <v>43619</v>
      </c>
      <c r="O2672" s="29">
        <v>0</v>
      </c>
      <c r="P2672" s="18" t="s">
        <v>1107</v>
      </c>
      <c r="Q2672" s="18">
        <v>0</v>
      </c>
      <c r="U2672" s="22">
        <v>0.7</v>
      </c>
      <c r="V2672" s="22">
        <f>3.61/5</f>
        <v>0.72199999999999998</v>
      </c>
      <c r="W2672" s="14" t="s">
        <v>7799</v>
      </c>
      <c r="X2672" s="3">
        <v>2</v>
      </c>
      <c r="Z2672" s="23">
        <v>1.5</v>
      </c>
      <c r="AB2672" s="18">
        <f t="shared" si="82"/>
        <v>2016</v>
      </c>
      <c r="AC2672" s="22">
        <f t="shared" si="83"/>
        <v>0.60733333333333339</v>
      </c>
    </row>
    <row r="2673" spans="1:29">
      <c r="A2673" s="8" t="s">
        <v>4148</v>
      </c>
      <c r="B2673" s="17" t="s">
        <v>7800</v>
      </c>
      <c r="C2673" s="13">
        <v>42460</v>
      </c>
      <c r="D2673" s="13" t="s">
        <v>8465</v>
      </c>
      <c r="E2673" s="10" t="s">
        <v>3136</v>
      </c>
      <c r="F2673" s="10" t="s">
        <v>4149</v>
      </c>
      <c r="H2673" s="2" t="s">
        <v>80</v>
      </c>
      <c r="L2673" s="18">
        <v>1</v>
      </c>
      <c r="N2673" s="13">
        <v>42701</v>
      </c>
      <c r="O2673" s="29">
        <v>11.99</v>
      </c>
      <c r="P2673" s="18" t="s">
        <v>1107</v>
      </c>
      <c r="Q2673" s="18">
        <v>0</v>
      </c>
      <c r="U2673" s="22">
        <v>0.85</v>
      </c>
      <c r="V2673" s="22">
        <f>4/5</f>
        <v>0.8</v>
      </c>
      <c r="W2673" s="14" t="s">
        <v>7777</v>
      </c>
      <c r="X2673" s="3">
        <v>4</v>
      </c>
      <c r="Z2673" s="23">
        <v>7.5</v>
      </c>
      <c r="AB2673" s="18">
        <f t="shared" si="82"/>
        <v>2016</v>
      </c>
      <c r="AC2673" s="22">
        <f t="shared" si="83"/>
        <v>0.81666666666666676</v>
      </c>
    </row>
    <row r="2674" spans="1:29" ht="25.5">
      <c r="A2674" s="8" t="s">
        <v>3807</v>
      </c>
      <c r="B2674" s="17" t="s">
        <v>7800</v>
      </c>
      <c r="C2674" s="13">
        <v>42459</v>
      </c>
      <c r="D2674" s="13" t="s">
        <v>8465</v>
      </c>
      <c r="E2674" s="10" t="s">
        <v>3808</v>
      </c>
      <c r="F2674" s="10" t="s">
        <v>3809</v>
      </c>
      <c r="G2674" s="11" t="s">
        <v>11579</v>
      </c>
      <c r="H2674" s="2" t="s">
        <v>80</v>
      </c>
      <c r="L2674" s="18">
        <v>1</v>
      </c>
      <c r="N2674" s="13">
        <v>43363</v>
      </c>
      <c r="P2674" s="18" t="s">
        <v>1107</v>
      </c>
      <c r="Q2674" s="18">
        <v>0</v>
      </c>
      <c r="U2674" s="22">
        <v>0.76</v>
      </c>
      <c r="V2674" s="22">
        <f>3.72/5</f>
        <v>0.74399999999999999</v>
      </c>
      <c r="W2674" s="14" t="s">
        <v>7777</v>
      </c>
      <c r="X2674" s="3">
        <v>3</v>
      </c>
      <c r="Z2674" s="23">
        <v>5</v>
      </c>
      <c r="AB2674" s="18">
        <f t="shared" si="82"/>
        <v>2016</v>
      </c>
      <c r="AC2674" s="22">
        <f t="shared" si="83"/>
        <v>0.70133333333333336</v>
      </c>
    </row>
    <row r="2675" spans="1:29" ht="30">
      <c r="A2675" s="8" t="s">
        <v>5333</v>
      </c>
      <c r="B2675" s="17" t="s">
        <v>7800</v>
      </c>
      <c r="C2675" s="13">
        <v>42458</v>
      </c>
      <c r="D2675" s="13" t="s">
        <v>8465</v>
      </c>
      <c r="E2675" s="10" t="s">
        <v>3469</v>
      </c>
      <c r="F2675" s="10" t="s">
        <v>5331</v>
      </c>
      <c r="G2675" s="11" t="s">
        <v>5332</v>
      </c>
      <c r="H2675" s="2" t="s">
        <v>67</v>
      </c>
      <c r="L2675" s="18">
        <v>1</v>
      </c>
      <c r="N2675" s="13">
        <v>43642</v>
      </c>
      <c r="O2675" s="29">
        <v>1.66</v>
      </c>
      <c r="P2675" s="18" t="s">
        <v>1107</v>
      </c>
      <c r="Q2675" s="18">
        <v>0</v>
      </c>
      <c r="U2675" s="22">
        <v>0.83</v>
      </c>
      <c r="V2675" s="22">
        <f>4.08/5</f>
        <v>0.81600000000000006</v>
      </c>
      <c r="W2675" s="14" t="s">
        <v>7777</v>
      </c>
      <c r="X2675" s="3">
        <v>3</v>
      </c>
      <c r="Z2675" s="23">
        <v>6</v>
      </c>
      <c r="AB2675" s="18">
        <f t="shared" si="82"/>
        <v>2016</v>
      </c>
      <c r="AC2675" s="22">
        <f t="shared" si="83"/>
        <v>0.7486666666666667</v>
      </c>
    </row>
    <row r="2676" spans="1:29" ht="25.5">
      <c r="A2676" s="8" t="s">
        <v>9743</v>
      </c>
      <c r="B2676" s="17" t="s">
        <v>7800</v>
      </c>
      <c r="C2676" s="13">
        <v>42458</v>
      </c>
      <c r="D2676" s="13" t="s">
        <v>8465</v>
      </c>
      <c r="E2676" s="10" t="s">
        <v>9741</v>
      </c>
      <c r="F2676" s="10" t="s">
        <v>4395</v>
      </c>
      <c r="G2676" s="11" t="s">
        <v>9742</v>
      </c>
      <c r="H2676" s="2" t="s">
        <v>56</v>
      </c>
      <c r="L2676" s="18">
        <v>1</v>
      </c>
      <c r="N2676" s="13">
        <v>44231</v>
      </c>
      <c r="O2676" s="29">
        <v>0</v>
      </c>
      <c r="P2676" s="18" t="s">
        <v>1107</v>
      </c>
      <c r="Q2676" s="18">
        <v>0</v>
      </c>
      <c r="V2676" s="22">
        <f>3.68/5</f>
        <v>0.73599999999999999</v>
      </c>
      <c r="W2676" s="14" t="s">
        <v>7777</v>
      </c>
      <c r="X2676" s="3">
        <v>3</v>
      </c>
      <c r="Z2676" s="23">
        <v>2.5</v>
      </c>
      <c r="AB2676" s="18">
        <f t="shared" si="82"/>
        <v>2016</v>
      </c>
      <c r="AC2676" s="22">
        <f t="shared" si="83"/>
        <v>0.66799999999999993</v>
      </c>
    </row>
    <row r="2677" spans="1:29" ht="25.5">
      <c r="A2677" s="8" t="s">
        <v>9342</v>
      </c>
      <c r="B2677" s="17" t="s">
        <v>7763</v>
      </c>
      <c r="C2677" s="13">
        <v>42458</v>
      </c>
      <c r="D2677" s="13" t="s">
        <v>8465</v>
      </c>
      <c r="E2677" s="10" t="s">
        <v>3310</v>
      </c>
      <c r="F2677" s="10" t="s">
        <v>4993</v>
      </c>
      <c r="G2677" s="11" t="s">
        <v>4994</v>
      </c>
      <c r="H2677" s="2" t="s">
        <v>3123</v>
      </c>
      <c r="L2677" s="18">
        <v>1</v>
      </c>
      <c r="N2677" s="13">
        <v>44101</v>
      </c>
      <c r="O2677" s="29">
        <v>19.989999999999998</v>
      </c>
      <c r="P2677" s="18" t="s">
        <v>1107</v>
      </c>
      <c r="Q2677" s="18">
        <v>0</v>
      </c>
      <c r="V2677" s="22">
        <f>3.63/5</f>
        <v>0.72599999999999998</v>
      </c>
      <c r="X2677" s="3">
        <v>3</v>
      </c>
      <c r="Z2677" s="23">
        <v>3</v>
      </c>
      <c r="AB2677" s="18">
        <f t="shared" si="82"/>
        <v>2016</v>
      </c>
      <c r="AC2677" s="22">
        <f t="shared" si="83"/>
        <v>0.66300000000000003</v>
      </c>
    </row>
    <row r="2678" spans="1:29" ht="25.5">
      <c r="A2678" s="8" t="s">
        <v>2376</v>
      </c>
      <c r="B2678" s="17" t="s">
        <v>7749</v>
      </c>
      <c r="C2678" s="13">
        <v>42454</v>
      </c>
      <c r="D2678" s="13" t="s">
        <v>8465</v>
      </c>
      <c r="E2678" s="10" t="s">
        <v>86</v>
      </c>
      <c r="F2678" s="10" t="s">
        <v>1471</v>
      </c>
      <c r="G2678" s="11" t="s">
        <v>85</v>
      </c>
      <c r="H2678" s="2" t="s">
        <v>1059</v>
      </c>
      <c r="L2678" s="18">
        <v>1</v>
      </c>
      <c r="M2678" s="14" t="s">
        <v>8462</v>
      </c>
      <c r="N2678" s="13">
        <v>42651</v>
      </c>
      <c r="O2678" s="29">
        <v>20.89</v>
      </c>
      <c r="P2678" s="18" t="s">
        <v>14</v>
      </c>
      <c r="Q2678" s="18">
        <v>0</v>
      </c>
      <c r="U2678" s="22">
        <v>0.72</v>
      </c>
      <c r="V2678" s="22">
        <f>4.15/5</f>
        <v>0.83000000000000007</v>
      </c>
      <c r="X2678" s="3">
        <v>3</v>
      </c>
      <c r="Z2678" s="23">
        <v>16.5</v>
      </c>
      <c r="AB2678" s="18">
        <f t="shared" si="82"/>
        <v>2016</v>
      </c>
      <c r="AC2678" s="22">
        <f t="shared" si="83"/>
        <v>0.71666666666666667</v>
      </c>
    </row>
    <row r="2679" spans="1:29" ht="25.5">
      <c r="A2679" s="8" t="s">
        <v>8752</v>
      </c>
      <c r="B2679" s="17" t="s">
        <v>7749</v>
      </c>
      <c r="C2679" s="13">
        <v>42453</v>
      </c>
      <c r="D2679" s="13" t="s">
        <v>8463</v>
      </c>
      <c r="E2679" s="10" t="s">
        <v>1082</v>
      </c>
      <c r="F2679" s="10" t="s">
        <v>58</v>
      </c>
      <c r="G2679" s="11" t="s">
        <v>140</v>
      </c>
      <c r="H2679" s="2" t="s">
        <v>149</v>
      </c>
      <c r="K2679" s="18">
        <v>2</v>
      </c>
      <c r="L2679" s="18">
        <v>0</v>
      </c>
      <c r="Q2679" s="18">
        <v>0</v>
      </c>
      <c r="V2679" s="22">
        <f>4.33/5</f>
        <v>0.86599999999999999</v>
      </c>
      <c r="X2679" s="3">
        <v>3</v>
      </c>
      <c r="Z2679" s="23">
        <v>31</v>
      </c>
      <c r="AB2679" s="18">
        <f t="shared" si="82"/>
        <v>2016</v>
      </c>
      <c r="AC2679" s="22">
        <f t="shared" si="83"/>
        <v>0.73299999999999998</v>
      </c>
    </row>
    <row r="2680" spans="1:29" ht="25.5">
      <c r="A2680" s="8" t="s">
        <v>4353</v>
      </c>
      <c r="B2680" s="17" t="s">
        <v>7800</v>
      </c>
      <c r="C2680" s="13">
        <v>42453</v>
      </c>
      <c r="D2680" s="13" t="s">
        <v>8465</v>
      </c>
      <c r="E2680" s="10" t="s">
        <v>4352</v>
      </c>
      <c r="F2680" s="10" t="s">
        <v>4352</v>
      </c>
      <c r="G2680" s="11" t="s">
        <v>4351</v>
      </c>
      <c r="H2680" s="2" t="s">
        <v>27</v>
      </c>
      <c r="L2680" s="18">
        <v>1</v>
      </c>
      <c r="N2680" s="13">
        <v>43450</v>
      </c>
      <c r="P2680" s="18" t="s">
        <v>1107</v>
      </c>
      <c r="Q2680" s="18">
        <v>0</v>
      </c>
      <c r="V2680" s="22">
        <f>4/5</f>
        <v>0.8</v>
      </c>
      <c r="W2680" s="14" t="s">
        <v>7777</v>
      </c>
      <c r="X2680" s="3">
        <v>3</v>
      </c>
      <c r="Z2680" s="23">
        <v>3.5</v>
      </c>
      <c r="AB2680" s="18">
        <f t="shared" si="82"/>
        <v>2016</v>
      </c>
      <c r="AC2680" s="22">
        <f t="shared" si="83"/>
        <v>0.7</v>
      </c>
    </row>
    <row r="2681" spans="1:29">
      <c r="A2681" s="8" t="s">
        <v>4912</v>
      </c>
      <c r="B2681" s="17" t="s">
        <v>7800</v>
      </c>
      <c r="C2681" s="13">
        <v>42453</v>
      </c>
      <c r="D2681" s="13" t="s">
        <v>8465</v>
      </c>
      <c r="E2681" s="10" t="s">
        <v>1625</v>
      </c>
      <c r="F2681" s="10" t="s">
        <v>1625</v>
      </c>
      <c r="G2681" s="11" t="s">
        <v>2804</v>
      </c>
      <c r="H2681" s="2" t="s">
        <v>67</v>
      </c>
      <c r="L2681" s="18">
        <v>1</v>
      </c>
      <c r="N2681" s="13">
        <v>43246</v>
      </c>
      <c r="P2681" s="18" t="s">
        <v>1107</v>
      </c>
      <c r="Q2681" s="18">
        <v>0</v>
      </c>
      <c r="U2681" s="22">
        <v>0.8</v>
      </c>
      <c r="V2681" s="22">
        <f>3.84/5</f>
        <v>0.76800000000000002</v>
      </c>
      <c r="W2681" s="14" t="s">
        <v>7777</v>
      </c>
      <c r="X2681" s="3">
        <v>3</v>
      </c>
      <c r="Z2681" s="23">
        <v>5</v>
      </c>
      <c r="AB2681" s="18">
        <f t="shared" si="82"/>
        <v>2016</v>
      </c>
      <c r="AC2681" s="22">
        <f t="shared" si="83"/>
        <v>0.72266666666666668</v>
      </c>
    </row>
    <row r="2682" spans="1:29">
      <c r="A2682" s="8" t="s">
        <v>4351</v>
      </c>
      <c r="B2682" s="17" t="s">
        <v>7800</v>
      </c>
      <c r="C2682" s="13">
        <v>42453</v>
      </c>
      <c r="D2682" s="13" t="s">
        <v>8465</v>
      </c>
      <c r="E2682" s="10" t="s">
        <v>4352</v>
      </c>
      <c r="F2682" s="10" t="s">
        <v>4352</v>
      </c>
      <c r="G2682" s="11" t="s">
        <v>4351</v>
      </c>
      <c r="H2682" s="2" t="s">
        <v>27</v>
      </c>
      <c r="L2682" s="18">
        <v>1</v>
      </c>
      <c r="N2682" s="13">
        <v>43101</v>
      </c>
      <c r="P2682" s="18" t="s">
        <v>1107</v>
      </c>
      <c r="Q2682" s="18">
        <v>0</v>
      </c>
      <c r="V2682" s="22">
        <f>3.75/5</f>
        <v>0.75</v>
      </c>
      <c r="W2682" s="14" t="s">
        <v>7777</v>
      </c>
      <c r="X2682" s="3">
        <v>3</v>
      </c>
      <c r="Z2682" s="23">
        <v>2.5</v>
      </c>
      <c r="AB2682" s="18">
        <f t="shared" si="82"/>
        <v>2016</v>
      </c>
      <c r="AC2682" s="22">
        <f t="shared" si="83"/>
        <v>0.67500000000000004</v>
      </c>
    </row>
    <row r="2683" spans="1:29">
      <c r="A2683" s="8" t="s">
        <v>12791</v>
      </c>
      <c r="B2683" s="17" t="s">
        <v>7800</v>
      </c>
      <c r="C2683" s="13">
        <v>42453</v>
      </c>
      <c r="D2683" s="13" t="s">
        <v>8465</v>
      </c>
      <c r="E2683" s="10" t="s">
        <v>12034</v>
      </c>
      <c r="F2683" s="10" t="s">
        <v>10733</v>
      </c>
      <c r="H2683" s="2" t="s">
        <v>56</v>
      </c>
      <c r="L2683" s="18">
        <v>1</v>
      </c>
      <c r="N2683" s="13">
        <v>44840</v>
      </c>
      <c r="O2683" s="29">
        <v>0</v>
      </c>
      <c r="P2683" s="18" t="s">
        <v>1107</v>
      </c>
      <c r="Q2683" s="18">
        <v>0</v>
      </c>
      <c r="U2683" s="22">
        <v>0.74</v>
      </c>
      <c r="V2683" s="22">
        <f>3.46/5</f>
        <v>0.69199999999999995</v>
      </c>
      <c r="W2683" s="14" t="s">
        <v>7097</v>
      </c>
      <c r="X2683" s="3">
        <v>2</v>
      </c>
      <c r="Z2683" s="23">
        <v>6</v>
      </c>
      <c r="AB2683" s="18">
        <f t="shared" si="82"/>
        <v>2016</v>
      </c>
      <c r="AC2683" s="22">
        <f t="shared" si="83"/>
        <v>0.61066666666666658</v>
      </c>
    </row>
    <row r="2684" spans="1:29">
      <c r="A2684" s="8" t="s">
        <v>9725</v>
      </c>
      <c r="B2684" s="17" t="s">
        <v>7800</v>
      </c>
      <c r="C2684" s="13">
        <v>42452</v>
      </c>
      <c r="D2684" s="13" t="s">
        <v>8465</v>
      </c>
      <c r="E2684" s="10" t="s">
        <v>3112</v>
      </c>
      <c r="F2684" s="10" t="s">
        <v>3029</v>
      </c>
      <c r="G2684" s="11" t="s">
        <v>9197</v>
      </c>
      <c r="H2684" s="2" t="s">
        <v>80</v>
      </c>
      <c r="L2684" s="18">
        <v>1</v>
      </c>
      <c r="N2684" s="13">
        <v>44225</v>
      </c>
      <c r="O2684" s="29">
        <v>1.99</v>
      </c>
      <c r="P2684" s="18" t="s">
        <v>1107</v>
      </c>
      <c r="Q2684" s="18">
        <v>0</v>
      </c>
      <c r="V2684" s="22">
        <f>3.61/5</f>
        <v>0.72199999999999998</v>
      </c>
      <c r="W2684" s="14" t="s">
        <v>7778</v>
      </c>
      <c r="X2684" s="3">
        <v>3</v>
      </c>
      <c r="Z2684" s="23">
        <v>6</v>
      </c>
      <c r="AB2684" s="18">
        <f t="shared" si="82"/>
        <v>2016</v>
      </c>
      <c r="AC2684" s="22">
        <f t="shared" si="83"/>
        <v>0.66100000000000003</v>
      </c>
    </row>
    <row r="2685" spans="1:29" ht="30">
      <c r="A2685" s="8" t="s">
        <v>586</v>
      </c>
      <c r="B2685" s="17" t="s">
        <v>8456</v>
      </c>
      <c r="C2685" s="13">
        <v>42452</v>
      </c>
      <c r="D2685" s="13" t="s">
        <v>8465</v>
      </c>
      <c r="E2685" s="10" t="s">
        <v>86</v>
      </c>
      <c r="F2685" s="10" t="s">
        <v>30</v>
      </c>
      <c r="G2685" s="11" t="s">
        <v>99</v>
      </c>
      <c r="H2685" s="2" t="s">
        <v>149</v>
      </c>
      <c r="L2685" s="18">
        <v>1</v>
      </c>
      <c r="N2685" s="13">
        <v>44639</v>
      </c>
      <c r="O2685" s="29">
        <v>9.99</v>
      </c>
      <c r="P2685" s="18" t="s">
        <v>1107</v>
      </c>
      <c r="Q2685" s="18">
        <v>0</v>
      </c>
      <c r="V2685" s="22">
        <f>4.34/5</f>
        <v>0.86799999999999999</v>
      </c>
      <c r="X2685" s="3">
        <v>2</v>
      </c>
      <c r="Z2685" s="23">
        <v>28</v>
      </c>
      <c r="AB2685" s="18">
        <f t="shared" si="82"/>
        <v>2016</v>
      </c>
      <c r="AC2685" s="22">
        <f t="shared" si="83"/>
        <v>0.63400000000000001</v>
      </c>
    </row>
    <row r="2686" spans="1:29">
      <c r="A2686" s="8" t="s">
        <v>14174</v>
      </c>
      <c r="B2686" s="17" t="s">
        <v>7800</v>
      </c>
      <c r="C2686" s="13">
        <v>42452</v>
      </c>
      <c r="D2686" s="13" t="s">
        <v>8465</v>
      </c>
      <c r="E2686" s="10" t="s">
        <v>14175</v>
      </c>
      <c r="F2686" s="10" t="s">
        <v>14175</v>
      </c>
      <c r="H2686" s="2" t="s">
        <v>67</v>
      </c>
      <c r="L2686" s="18">
        <v>1</v>
      </c>
      <c r="O2686" s="29">
        <v>0</v>
      </c>
      <c r="P2686" s="18" t="s">
        <v>1107</v>
      </c>
      <c r="Q2686" s="18">
        <v>0</v>
      </c>
      <c r="V2686" s="22">
        <f>3.75/5</f>
        <v>0.75</v>
      </c>
      <c r="W2686" s="14" t="s">
        <v>8765</v>
      </c>
      <c r="X2686" s="3">
        <v>2</v>
      </c>
      <c r="Z2686" s="23">
        <f>25/60</f>
        <v>0.41666666666666669</v>
      </c>
      <c r="AB2686" s="18">
        <f t="shared" si="82"/>
        <v>2016</v>
      </c>
      <c r="AC2686" s="22">
        <f t="shared" si="83"/>
        <v>0.57499999999999996</v>
      </c>
    </row>
    <row r="2687" spans="1:29" ht="30">
      <c r="A2687" s="8" t="s">
        <v>3708</v>
      </c>
      <c r="B2687" s="17" t="s">
        <v>7760</v>
      </c>
      <c r="C2687" s="13">
        <v>42451</v>
      </c>
      <c r="D2687" s="13" t="s">
        <v>8465</v>
      </c>
      <c r="E2687" s="10" t="s">
        <v>6117</v>
      </c>
      <c r="F2687" s="10" t="s">
        <v>6117</v>
      </c>
      <c r="G2687" s="11" t="s">
        <v>3708</v>
      </c>
      <c r="H2687" s="2" t="s">
        <v>149</v>
      </c>
      <c r="L2687" s="18">
        <v>1</v>
      </c>
      <c r="M2687" s="14" t="s">
        <v>8462</v>
      </c>
      <c r="N2687" s="13">
        <v>43603</v>
      </c>
      <c r="O2687" s="29">
        <v>32.549999999999997</v>
      </c>
      <c r="P2687" s="18" t="s">
        <v>14</v>
      </c>
      <c r="Q2687" s="18">
        <v>0</v>
      </c>
      <c r="V2687" s="22">
        <f>3.1/5</f>
        <v>0.62</v>
      </c>
      <c r="W2687" s="14" t="s">
        <v>1134</v>
      </c>
      <c r="X2687" s="3">
        <v>2</v>
      </c>
      <c r="Z2687" s="23">
        <v>8.5</v>
      </c>
      <c r="AB2687" s="18">
        <f t="shared" si="82"/>
        <v>2016</v>
      </c>
      <c r="AC2687" s="22">
        <f t="shared" si="83"/>
        <v>0.51</v>
      </c>
    </row>
    <row r="2688" spans="1:29" ht="38.25">
      <c r="A2688" s="8" t="s">
        <v>4154</v>
      </c>
      <c r="B2688" s="17" t="s">
        <v>7800</v>
      </c>
      <c r="C2688" s="13">
        <v>42450</v>
      </c>
      <c r="D2688" s="13" t="s">
        <v>8465</v>
      </c>
      <c r="E2688" s="10" t="s">
        <v>1680</v>
      </c>
      <c r="F2688" s="10" t="s">
        <v>3861</v>
      </c>
      <c r="G2688" s="11" t="s">
        <v>1682</v>
      </c>
      <c r="H2688" s="2" t="s">
        <v>171</v>
      </c>
      <c r="L2688" s="18">
        <v>1</v>
      </c>
      <c r="N2688" s="13">
        <v>43425</v>
      </c>
      <c r="O2688" s="29">
        <v>4.49</v>
      </c>
      <c r="P2688" s="18" t="s">
        <v>1107</v>
      </c>
      <c r="Q2688" s="18">
        <v>0</v>
      </c>
      <c r="U2688" s="22">
        <v>0.5</v>
      </c>
      <c r="V2688" s="22">
        <f>3.55/5</f>
        <v>0.71</v>
      </c>
      <c r="W2688" s="14" t="s">
        <v>7777</v>
      </c>
      <c r="X2688" s="3">
        <v>3</v>
      </c>
      <c r="Z2688" s="23">
        <v>10</v>
      </c>
      <c r="AB2688" s="18">
        <f t="shared" si="82"/>
        <v>2016</v>
      </c>
      <c r="AC2688" s="22">
        <f t="shared" si="83"/>
        <v>0.60333333333333339</v>
      </c>
    </row>
    <row r="2689" spans="1:29" ht="25.5">
      <c r="A2689" s="8" t="s">
        <v>4100</v>
      </c>
      <c r="B2689" s="17" t="s">
        <v>7800</v>
      </c>
      <c r="C2689" s="13">
        <v>42447</v>
      </c>
      <c r="D2689" s="13" t="s">
        <v>8465</v>
      </c>
      <c r="E2689" s="10" t="s">
        <v>3136</v>
      </c>
      <c r="F2689" s="10" t="s">
        <v>4101</v>
      </c>
      <c r="H2689" s="2" t="s">
        <v>149</v>
      </c>
      <c r="L2689" s="18">
        <v>1</v>
      </c>
      <c r="N2689" s="13">
        <v>43363</v>
      </c>
      <c r="O2689" s="29">
        <v>1.19</v>
      </c>
      <c r="P2689" s="18" t="s">
        <v>1107</v>
      </c>
      <c r="Q2689" s="18">
        <v>0</v>
      </c>
      <c r="U2689" s="22">
        <v>0.7</v>
      </c>
      <c r="V2689" s="22">
        <f>3.93/5</f>
        <v>0.78600000000000003</v>
      </c>
      <c r="W2689" s="14" t="s">
        <v>7777</v>
      </c>
      <c r="X2689" s="3">
        <v>3</v>
      </c>
      <c r="Z2689" s="23">
        <v>6</v>
      </c>
      <c r="AB2689" s="18">
        <f t="shared" ref="AB2689:AB2752" si="84">IFERROR(YEAR(C2689), "Early Access")</f>
        <v>2016</v>
      </c>
      <c r="AC2689" s="22">
        <f t="shared" ref="AC2689:AC2752" si="85">AVERAGE(T2689, U2689, V2689, IF(ISBLANK(X2689), X2689, X2689/5))</f>
        <v>0.69533333333333325</v>
      </c>
    </row>
    <row r="2690" spans="1:29">
      <c r="A2690" s="8" t="s">
        <v>3622</v>
      </c>
      <c r="B2690" s="17" t="s">
        <v>7800</v>
      </c>
      <c r="C2690" s="13">
        <v>42447</v>
      </c>
      <c r="D2690" s="13" t="s">
        <v>8465</v>
      </c>
      <c r="E2690" s="10" t="s">
        <v>3623</v>
      </c>
      <c r="F2690" s="10" t="s">
        <v>3624</v>
      </c>
      <c r="H2690" s="2" t="s">
        <v>56</v>
      </c>
      <c r="L2690" s="18">
        <v>1</v>
      </c>
      <c r="N2690" s="13">
        <v>41809</v>
      </c>
      <c r="O2690" s="29">
        <v>0.28999999999999998</v>
      </c>
      <c r="P2690" s="18" t="s">
        <v>1107</v>
      </c>
      <c r="Q2690" s="18">
        <v>0</v>
      </c>
      <c r="U2690" s="22">
        <v>0.8</v>
      </c>
      <c r="V2690" s="22">
        <f>2.83/5</f>
        <v>0.56600000000000006</v>
      </c>
      <c r="W2690" s="14" t="s">
        <v>7777</v>
      </c>
      <c r="X2690" s="3">
        <v>3</v>
      </c>
      <c r="Z2690" s="23">
        <v>2</v>
      </c>
      <c r="AB2690" s="18">
        <f t="shared" si="84"/>
        <v>2016</v>
      </c>
      <c r="AC2690" s="22">
        <f t="shared" si="85"/>
        <v>0.65533333333333343</v>
      </c>
    </row>
    <row r="2691" spans="1:29">
      <c r="A2691" s="8" t="s">
        <v>3599</v>
      </c>
      <c r="B2691" s="17" t="s">
        <v>7800</v>
      </c>
      <c r="C2691" s="13">
        <v>42443</v>
      </c>
      <c r="D2691" s="13" t="s">
        <v>8465</v>
      </c>
      <c r="E2691" s="10" t="s">
        <v>3600</v>
      </c>
      <c r="F2691" s="10" t="s">
        <v>3600</v>
      </c>
      <c r="H2691" s="2" t="s">
        <v>245</v>
      </c>
      <c r="L2691" s="18">
        <v>1</v>
      </c>
      <c r="N2691" s="13">
        <v>42747</v>
      </c>
      <c r="P2691" s="18" t="s">
        <v>1107</v>
      </c>
      <c r="Q2691" s="18">
        <v>0</v>
      </c>
      <c r="U2691" s="22">
        <v>0.8</v>
      </c>
      <c r="V2691" s="22">
        <f>3.52/5</f>
        <v>0.70399999999999996</v>
      </c>
      <c r="W2691" s="14" t="s">
        <v>7777</v>
      </c>
      <c r="X2691" s="3">
        <v>3</v>
      </c>
      <c r="Z2691" s="23">
        <v>6</v>
      </c>
      <c r="AB2691" s="18">
        <f t="shared" si="84"/>
        <v>2016</v>
      </c>
      <c r="AC2691" s="22">
        <f t="shared" si="85"/>
        <v>0.70133333333333336</v>
      </c>
    </row>
    <row r="2692" spans="1:29" ht="25.5">
      <c r="A2692" s="8" t="s">
        <v>10255</v>
      </c>
      <c r="B2692" s="17" t="s">
        <v>7749</v>
      </c>
      <c r="C2692" s="13">
        <v>42439</v>
      </c>
      <c r="D2692" s="13" t="s">
        <v>8465</v>
      </c>
      <c r="E2692" s="10" t="s">
        <v>86</v>
      </c>
      <c r="F2692" s="10" t="s">
        <v>1069</v>
      </c>
      <c r="G2692" s="11" t="s">
        <v>305</v>
      </c>
      <c r="H2692" s="2" t="s">
        <v>75</v>
      </c>
      <c r="J2692" s="18">
        <v>1</v>
      </c>
      <c r="L2692" s="18">
        <v>1</v>
      </c>
      <c r="N2692" s="13">
        <v>44613</v>
      </c>
      <c r="O2692" s="29">
        <v>19.989999999999998</v>
      </c>
      <c r="P2692" s="18" t="s">
        <v>1107</v>
      </c>
      <c r="Q2692" s="18">
        <v>0</v>
      </c>
      <c r="U2692" s="22">
        <v>0.88</v>
      </c>
      <c r="V2692" s="22">
        <f>4.02/5</f>
        <v>0.80399999999999994</v>
      </c>
      <c r="X2692" s="3">
        <v>4</v>
      </c>
      <c r="Z2692" s="23">
        <v>21.5</v>
      </c>
      <c r="AB2692" s="18">
        <f t="shared" si="84"/>
        <v>2016</v>
      </c>
      <c r="AC2692" s="22">
        <f t="shared" si="85"/>
        <v>0.82799999999999996</v>
      </c>
    </row>
    <row r="2693" spans="1:29">
      <c r="A2693" s="8" t="s">
        <v>4477</v>
      </c>
      <c r="B2693" s="17" t="s">
        <v>7800</v>
      </c>
      <c r="C2693" s="13">
        <v>42439</v>
      </c>
      <c r="D2693" s="13" t="s">
        <v>8465</v>
      </c>
      <c r="E2693" s="10" t="s">
        <v>4478</v>
      </c>
      <c r="F2693" s="10" t="s">
        <v>4478</v>
      </c>
      <c r="H2693" s="2" t="s">
        <v>171</v>
      </c>
      <c r="L2693" s="18">
        <v>1</v>
      </c>
      <c r="N2693" s="13">
        <v>43281</v>
      </c>
      <c r="O2693" s="29">
        <v>5.24</v>
      </c>
      <c r="P2693" s="18" t="s">
        <v>1107</v>
      </c>
      <c r="Q2693" s="18">
        <v>0</v>
      </c>
      <c r="U2693" s="22">
        <v>0.67</v>
      </c>
      <c r="V2693" s="22">
        <f>3.56/5</f>
        <v>0.71199999999999997</v>
      </c>
      <c r="W2693" s="14" t="s">
        <v>7777</v>
      </c>
      <c r="X2693" s="3">
        <v>2</v>
      </c>
      <c r="Z2693" s="23">
        <v>1.5</v>
      </c>
      <c r="AB2693" s="18">
        <f t="shared" si="84"/>
        <v>2016</v>
      </c>
      <c r="AC2693" s="22">
        <f t="shared" si="85"/>
        <v>0.59399999999999997</v>
      </c>
    </row>
    <row r="2694" spans="1:29">
      <c r="A2694" s="8" t="s">
        <v>9303</v>
      </c>
      <c r="B2694" s="17" t="s">
        <v>7800</v>
      </c>
      <c r="C2694" s="13">
        <v>42437</v>
      </c>
      <c r="D2694" s="13" t="s">
        <v>8465</v>
      </c>
      <c r="E2694" s="10" t="s">
        <v>1519</v>
      </c>
      <c r="F2694" s="10" t="s">
        <v>3029</v>
      </c>
      <c r="H2694" s="2" t="s">
        <v>149</v>
      </c>
      <c r="L2694" s="18">
        <v>1</v>
      </c>
      <c r="N2694" s="13">
        <v>44093</v>
      </c>
      <c r="O2694" s="29">
        <v>0</v>
      </c>
      <c r="P2694" s="18" t="s">
        <v>1107</v>
      </c>
      <c r="Q2694" s="18">
        <v>0</v>
      </c>
      <c r="V2694" s="22">
        <f>3.37/5</f>
        <v>0.67400000000000004</v>
      </c>
      <c r="W2694" s="14" t="s">
        <v>7777</v>
      </c>
      <c r="X2694" s="3">
        <v>3</v>
      </c>
      <c r="Z2694" s="23">
        <v>30.5</v>
      </c>
      <c r="AB2694" s="18">
        <f t="shared" si="84"/>
        <v>2016</v>
      </c>
      <c r="AC2694" s="22">
        <f t="shared" si="85"/>
        <v>0.63700000000000001</v>
      </c>
    </row>
    <row r="2695" spans="1:29" ht="25.5">
      <c r="A2695" s="8" t="s">
        <v>4467</v>
      </c>
      <c r="B2695" s="17" t="s">
        <v>7800</v>
      </c>
      <c r="C2695" s="13">
        <v>42433</v>
      </c>
      <c r="D2695" s="13" t="s">
        <v>8465</v>
      </c>
      <c r="E2695" s="10" t="s">
        <v>3136</v>
      </c>
      <c r="F2695" s="10" t="s">
        <v>4468</v>
      </c>
      <c r="G2695" s="11" t="s">
        <v>4466</v>
      </c>
      <c r="H2695" s="2" t="s">
        <v>151</v>
      </c>
      <c r="L2695" s="18">
        <v>1</v>
      </c>
      <c r="N2695" s="13">
        <v>43375</v>
      </c>
      <c r="P2695" s="18" t="s">
        <v>1107</v>
      </c>
      <c r="Q2695" s="18">
        <v>0</v>
      </c>
      <c r="U2695" s="22">
        <v>0.83</v>
      </c>
      <c r="V2695" s="22">
        <f>3.94/5</f>
        <v>0.78800000000000003</v>
      </c>
      <c r="W2695" s="14" t="s">
        <v>7777</v>
      </c>
      <c r="X2695" s="3">
        <v>3</v>
      </c>
      <c r="Z2695" s="23">
        <v>4.5</v>
      </c>
      <c r="AB2695" s="18">
        <f t="shared" si="84"/>
        <v>2016</v>
      </c>
      <c r="AC2695" s="22">
        <f t="shared" si="85"/>
        <v>0.73933333333333329</v>
      </c>
    </row>
    <row r="2696" spans="1:29" ht="38.25">
      <c r="A2696" s="8" t="s">
        <v>10395</v>
      </c>
      <c r="B2696" s="17" t="s">
        <v>7760</v>
      </c>
      <c r="C2696" s="13">
        <v>42433</v>
      </c>
      <c r="D2696" s="13" t="s">
        <v>8465</v>
      </c>
      <c r="E2696" s="10" t="s">
        <v>1062</v>
      </c>
      <c r="F2696" s="10" t="s">
        <v>2285</v>
      </c>
      <c r="G2696" s="11" t="s">
        <v>10394</v>
      </c>
      <c r="H2696" s="2" t="s">
        <v>171</v>
      </c>
      <c r="L2696" s="18">
        <v>1</v>
      </c>
      <c r="N2696" s="13">
        <v>44412</v>
      </c>
      <c r="O2696" s="29">
        <v>7.49</v>
      </c>
      <c r="P2696" s="18" t="s">
        <v>1107</v>
      </c>
      <c r="Q2696" s="18">
        <v>0</v>
      </c>
      <c r="U2696" s="22">
        <v>0.63</v>
      </c>
      <c r="V2696" s="22">
        <f>3.88/5</f>
        <v>0.77600000000000002</v>
      </c>
      <c r="X2696" s="3">
        <v>3</v>
      </c>
      <c r="Z2696" s="23">
        <v>41.5</v>
      </c>
      <c r="AB2696" s="18">
        <f t="shared" si="84"/>
        <v>2016</v>
      </c>
      <c r="AC2696" s="22">
        <f t="shared" si="85"/>
        <v>0.66866666666666674</v>
      </c>
    </row>
    <row r="2697" spans="1:29">
      <c r="A2697" s="8" t="s">
        <v>8735</v>
      </c>
      <c r="B2697" s="17" t="s">
        <v>7800</v>
      </c>
      <c r="C2697" s="13">
        <v>42430</v>
      </c>
      <c r="D2697" s="13" t="s">
        <v>8465</v>
      </c>
      <c r="E2697" s="10" t="s">
        <v>1519</v>
      </c>
      <c r="F2697" s="10" t="s">
        <v>479</v>
      </c>
      <c r="G2697" s="11" t="s">
        <v>3340</v>
      </c>
      <c r="H2697" s="2" t="s">
        <v>1057</v>
      </c>
      <c r="L2697" s="18">
        <v>1</v>
      </c>
      <c r="N2697" s="13">
        <v>43985</v>
      </c>
      <c r="O2697" s="29">
        <v>5.99</v>
      </c>
      <c r="P2697" s="18" t="s">
        <v>1107</v>
      </c>
      <c r="Q2697" s="18">
        <v>0</v>
      </c>
      <c r="V2697" s="22">
        <f>3.72/5</f>
        <v>0.74399999999999999</v>
      </c>
      <c r="W2697" s="14" t="s">
        <v>7777</v>
      </c>
      <c r="X2697" s="3">
        <v>3</v>
      </c>
      <c r="Z2697" s="23">
        <v>7</v>
      </c>
      <c r="AB2697" s="18">
        <f t="shared" si="84"/>
        <v>2016</v>
      </c>
      <c r="AC2697" s="22">
        <f t="shared" si="85"/>
        <v>0.67199999999999993</v>
      </c>
    </row>
    <row r="2698" spans="1:29">
      <c r="A2698" s="8" t="s">
        <v>3630</v>
      </c>
      <c r="B2698" s="17" t="s">
        <v>7800</v>
      </c>
      <c r="C2698" s="13">
        <v>42430</v>
      </c>
      <c r="D2698" s="13" t="s">
        <v>8465</v>
      </c>
      <c r="E2698" s="10" t="s">
        <v>3072</v>
      </c>
      <c r="F2698" s="10" t="s">
        <v>3072</v>
      </c>
      <c r="G2698" s="11" t="s">
        <v>3433</v>
      </c>
      <c r="H2698" s="2" t="s">
        <v>67</v>
      </c>
      <c r="L2698" s="18">
        <v>1</v>
      </c>
      <c r="N2698" s="13">
        <v>43256</v>
      </c>
      <c r="P2698" s="18" t="s">
        <v>1107</v>
      </c>
      <c r="Q2698" s="18">
        <v>0</v>
      </c>
      <c r="U2698" s="22">
        <v>0.75</v>
      </c>
      <c r="V2698" s="22">
        <f>3.78/5</f>
        <v>0.75600000000000001</v>
      </c>
      <c r="W2698" s="14" t="s">
        <v>7777</v>
      </c>
      <c r="X2698" s="3">
        <v>2</v>
      </c>
      <c r="Z2698" s="23">
        <v>11</v>
      </c>
      <c r="AB2698" s="18">
        <f t="shared" si="84"/>
        <v>2016</v>
      </c>
      <c r="AC2698" s="22">
        <f t="shared" si="85"/>
        <v>0.63533333333333342</v>
      </c>
    </row>
    <row r="2699" spans="1:29" ht="38.25">
      <c r="A2699" s="8" t="s">
        <v>2491</v>
      </c>
      <c r="B2699" s="17" t="s">
        <v>7749</v>
      </c>
      <c r="C2699" s="13">
        <v>42430</v>
      </c>
      <c r="D2699" s="13" t="s">
        <v>8465</v>
      </c>
      <c r="E2699" s="10" t="s">
        <v>1534</v>
      </c>
      <c r="F2699" s="10" t="s">
        <v>2313</v>
      </c>
      <c r="G2699" s="11" t="s">
        <v>11300</v>
      </c>
      <c r="H2699" s="2" t="s">
        <v>1334</v>
      </c>
      <c r="L2699" s="18">
        <v>1</v>
      </c>
      <c r="M2699" s="14" t="s">
        <v>8462</v>
      </c>
      <c r="N2699" s="13">
        <v>43626</v>
      </c>
      <c r="O2699" s="29">
        <v>6.81</v>
      </c>
      <c r="P2699" s="18" t="s">
        <v>14</v>
      </c>
      <c r="Q2699" s="18">
        <v>0</v>
      </c>
      <c r="U2699" s="22">
        <v>0.73</v>
      </c>
      <c r="V2699" s="22">
        <f>3.73/5</f>
        <v>0.746</v>
      </c>
      <c r="X2699" s="3">
        <v>2</v>
      </c>
      <c r="Z2699" s="23">
        <v>16.5</v>
      </c>
      <c r="AB2699" s="18">
        <f t="shared" si="84"/>
        <v>2016</v>
      </c>
      <c r="AC2699" s="22">
        <f t="shared" si="85"/>
        <v>0.6253333333333333</v>
      </c>
    </row>
    <row r="2700" spans="1:29">
      <c r="A2700" s="8" t="s">
        <v>5129</v>
      </c>
      <c r="B2700" s="17" t="s">
        <v>7800</v>
      </c>
      <c r="C2700" s="13">
        <v>42426</v>
      </c>
      <c r="D2700" s="13" t="s">
        <v>8465</v>
      </c>
      <c r="E2700" s="10" t="s">
        <v>5130</v>
      </c>
      <c r="F2700" s="10" t="s">
        <v>5130</v>
      </c>
      <c r="H2700" s="2" t="s">
        <v>1334</v>
      </c>
      <c r="L2700" s="18">
        <v>1</v>
      </c>
      <c r="N2700" s="13">
        <v>42779</v>
      </c>
      <c r="O2700" s="29">
        <v>0</v>
      </c>
      <c r="P2700" s="18" t="s">
        <v>1107</v>
      </c>
      <c r="Q2700" s="18">
        <v>0</v>
      </c>
      <c r="U2700" s="22">
        <v>0.9</v>
      </c>
      <c r="V2700" s="22">
        <f>4.33/5</f>
        <v>0.86599999999999999</v>
      </c>
      <c r="W2700" s="14" t="s">
        <v>7777</v>
      </c>
      <c r="X2700" s="3">
        <v>4</v>
      </c>
      <c r="Z2700" s="23">
        <v>51</v>
      </c>
      <c r="AB2700" s="18">
        <f t="shared" si="84"/>
        <v>2016</v>
      </c>
      <c r="AC2700" s="22">
        <f t="shared" si="85"/>
        <v>0.85533333333333328</v>
      </c>
    </row>
    <row r="2701" spans="1:29">
      <c r="A2701" s="8" t="s">
        <v>4319</v>
      </c>
      <c r="B2701" s="17" t="s">
        <v>7800</v>
      </c>
      <c r="C2701" s="13">
        <v>42426</v>
      </c>
      <c r="D2701" s="13" t="s">
        <v>8465</v>
      </c>
      <c r="E2701" s="10" t="s">
        <v>3136</v>
      </c>
      <c r="F2701" s="10" t="s">
        <v>3137</v>
      </c>
      <c r="H2701" s="2" t="s">
        <v>149</v>
      </c>
      <c r="L2701" s="18">
        <v>1</v>
      </c>
      <c r="N2701" s="13">
        <v>43363</v>
      </c>
      <c r="O2701" s="29">
        <v>1.79</v>
      </c>
      <c r="P2701" s="18" t="s">
        <v>1107</v>
      </c>
      <c r="Q2701" s="18">
        <v>0</v>
      </c>
      <c r="V2701" s="22">
        <f>3.81/5</f>
        <v>0.76200000000000001</v>
      </c>
      <c r="W2701" s="14" t="s">
        <v>7777</v>
      </c>
      <c r="X2701" s="3">
        <v>3</v>
      </c>
      <c r="Z2701" s="23">
        <v>4</v>
      </c>
      <c r="AB2701" s="18">
        <f t="shared" si="84"/>
        <v>2016</v>
      </c>
      <c r="AC2701" s="22">
        <f t="shared" si="85"/>
        <v>0.68100000000000005</v>
      </c>
    </row>
    <row r="2702" spans="1:29">
      <c r="A2702" s="8" t="s">
        <v>7069</v>
      </c>
      <c r="B2702" s="17" t="s">
        <v>7800</v>
      </c>
      <c r="C2702" s="13">
        <v>42425</v>
      </c>
      <c r="D2702" s="13" t="s">
        <v>8465</v>
      </c>
      <c r="E2702" s="10" t="s">
        <v>7070</v>
      </c>
      <c r="F2702" s="10" t="s">
        <v>7070</v>
      </c>
      <c r="G2702" s="11" t="s">
        <v>7069</v>
      </c>
      <c r="H2702" s="2" t="s">
        <v>1050</v>
      </c>
      <c r="L2702" s="18">
        <v>1</v>
      </c>
      <c r="O2702" s="29">
        <v>0</v>
      </c>
      <c r="P2702" s="18" t="s">
        <v>1107</v>
      </c>
      <c r="Q2702" s="18">
        <v>0</v>
      </c>
      <c r="U2702" s="22">
        <v>0.83</v>
      </c>
      <c r="V2702" s="22">
        <f>3.63/5</f>
        <v>0.72599999999999998</v>
      </c>
      <c r="W2702" s="14" t="s">
        <v>7799</v>
      </c>
      <c r="X2702" s="3">
        <v>4</v>
      </c>
      <c r="Z2702" s="23">
        <v>2.5</v>
      </c>
      <c r="AB2702" s="18">
        <f t="shared" si="84"/>
        <v>2016</v>
      </c>
      <c r="AC2702" s="22">
        <f t="shared" si="85"/>
        <v>0.78533333333333333</v>
      </c>
    </row>
    <row r="2703" spans="1:29">
      <c r="A2703" s="8" t="s">
        <v>5311</v>
      </c>
      <c r="B2703" s="17" t="s">
        <v>7800</v>
      </c>
      <c r="C2703" s="13">
        <v>42424</v>
      </c>
      <c r="D2703" s="13" t="s">
        <v>8465</v>
      </c>
      <c r="E2703" s="10" t="s">
        <v>1151</v>
      </c>
      <c r="F2703" s="10" t="s">
        <v>5312</v>
      </c>
      <c r="H2703" s="2" t="s">
        <v>1518</v>
      </c>
      <c r="L2703" s="18">
        <v>1</v>
      </c>
      <c r="N2703" s="13">
        <v>43246</v>
      </c>
      <c r="P2703" s="18" t="s">
        <v>1107</v>
      </c>
      <c r="Q2703" s="18">
        <v>0</v>
      </c>
      <c r="U2703" s="22">
        <v>0.74</v>
      </c>
      <c r="V2703" s="22">
        <f>3.35/5</f>
        <v>0.67</v>
      </c>
      <c r="W2703" s="14" t="s">
        <v>7777</v>
      </c>
      <c r="X2703" s="3">
        <v>3</v>
      </c>
      <c r="Z2703" s="23">
        <v>9.5</v>
      </c>
      <c r="AB2703" s="18">
        <f t="shared" si="84"/>
        <v>2016</v>
      </c>
      <c r="AC2703" s="22">
        <f t="shared" si="85"/>
        <v>0.67</v>
      </c>
    </row>
    <row r="2704" spans="1:29" ht="25.5">
      <c r="A2704" s="8" t="s">
        <v>5389</v>
      </c>
      <c r="B2704" s="17" t="s">
        <v>7800</v>
      </c>
      <c r="C2704" s="13">
        <v>42423</v>
      </c>
      <c r="D2704" s="13" t="s">
        <v>8465</v>
      </c>
      <c r="E2704" s="10" t="s">
        <v>3246</v>
      </c>
      <c r="F2704" s="10" t="s">
        <v>3246</v>
      </c>
      <c r="G2704" s="11" t="s">
        <v>5388</v>
      </c>
      <c r="H2704" s="2" t="s">
        <v>67</v>
      </c>
      <c r="L2704" s="18">
        <v>1</v>
      </c>
      <c r="N2704" s="13">
        <v>42726</v>
      </c>
      <c r="O2704" s="29">
        <v>5.09</v>
      </c>
      <c r="P2704" s="18" t="s">
        <v>1107</v>
      </c>
      <c r="Q2704" s="18">
        <v>0</v>
      </c>
      <c r="U2704" s="22">
        <v>0.72</v>
      </c>
      <c r="V2704" s="22">
        <f>3.26/5</f>
        <v>0.65199999999999991</v>
      </c>
      <c r="W2704" s="14" t="s">
        <v>7777</v>
      </c>
      <c r="X2704" s="3">
        <v>4</v>
      </c>
      <c r="Z2704" s="23">
        <v>4</v>
      </c>
      <c r="AB2704" s="18">
        <f t="shared" si="84"/>
        <v>2016</v>
      </c>
      <c r="AC2704" s="22">
        <f t="shared" si="85"/>
        <v>0.72399999999999987</v>
      </c>
    </row>
    <row r="2705" spans="1:29">
      <c r="A2705" s="8" t="s">
        <v>3995</v>
      </c>
      <c r="B2705" s="17" t="s">
        <v>7800</v>
      </c>
      <c r="C2705" s="13">
        <v>42423</v>
      </c>
      <c r="D2705" s="13" t="s">
        <v>8465</v>
      </c>
      <c r="E2705" s="10" t="s">
        <v>3996</v>
      </c>
      <c r="F2705" s="10" t="s">
        <v>3996</v>
      </c>
      <c r="H2705" s="2" t="s">
        <v>1334</v>
      </c>
      <c r="L2705" s="18">
        <v>1</v>
      </c>
      <c r="N2705" s="13">
        <v>41785</v>
      </c>
      <c r="P2705" s="18" t="s">
        <v>1107</v>
      </c>
      <c r="Q2705" s="18">
        <v>0</v>
      </c>
      <c r="U2705" s="22">
        <v>0.6</v>
      </c>
      <c r="V2705" s="22">
        <f>3.8/5</f>
        <v>0.76</v>
      </c>
      <c r="W2705" s="14" t="s">
        <v>7777</v>
      </c>
      <c r="X2705" s="3">
        <v>2</v>
      </c>
      <c r="AB2705" s="18">
        <f t="shared" si="84"/>
        <v>2016</v>
      </c>
      <c r="AC2705" s="22">
        <f t="shared" si="85"/>
        <v>0.58666666666666656</v>
      </c>
    </row>
    <row r="2706" spans="1:29" ht="25.5">
      <c r="A2706" s="8" t="s">
        <v>8458</v>
      </c>
      <c r="B2706" s="17" t="s">
        <v>7749</v>
      </c>
      <c r="C2706" s="13">
        <v>42419</v>
      </c>
      <c r="D2706" s="13" t="s">
        <v>8465</v>
      </c>
      <c r="E2706" s="10" t="s">
        <v>86</v>
      </c>
      <c r="F2706" s="10" t="s">
        <v>1069</v>
      </c>
      <c r="G2706" s="11" t="s">
        <v>305</v>
      </c>
      <c r="H2706" s="2" t="s">
        <v>75</v>
      </c>
      <c r="L2706" s="18">
        <v>1</v>
      </c>
      <c r="M2706" s="14" t="s">
        <v>10622</v>
      </c>
      <c r="N2706" s="13">
        <v>43891</v>
      </c>
      <c r="O2706" s="29">
        <v>14.92</v>
      </c>
      <c r="P2706" s="18" t="s">
        <v>14</v>
      </c>
      <c r="Q2706" s="18">
        <v>0</v>
      </c>
      <c r="U2706" s="22">
        <v>0.86</v>
      </c>
      <c r="V2706" s="22">
        <f>3.95/5</f>
        <v>0.79</v>
      </c>
      <c r="X2706" s="3">
        <v>4</v>
      </c>
      <c r="Z2706" s="23">
        <v>27.5</v>
      </c>
      <c r="AB2706" s="18">
        <f t="shared" si="84"/>
        <v>2016</v>
      </c>
      <c r="AC2706" s="22">
        <f t="shared" si="85"/>
        <v>0.81666666666666676</v>
      </c>
    </row>
    <row r="2707" spans="1:29" ht="25.5">
      <c r="A2707" s="8" t="s">
        <v>3548</v>
      </c>
      <c r="B2707" s="17" t="s">
        <v>7800</v>
      </c>
      <c r="C2707" s="13">
        <v>42418</v>
      </c>
      <c r="D2707" s="13" t="s">
        <v>8465</v>
      </c>
      <c r="E2707" s="10" t="s">
        <v>2452</v>
      </c>
      <c r="F2707" s="10" t="s">
        <v>2452</v>
      </c>
      <c r="G2707" s="11" t="s">
        <v>3547</v>
      </c>
      <c r="H2707" s="2" t="s">
        <v>1057</v>
      </c>
      <c r="L2707" s="18">
        <v>1</v>
      </c>
      <c r="N2707" s="13">
        <v>42729</v>
      </c>
      <c r="O2707" s="29">
        <v>16.190000000000001</v>
      </c>
      <c r="P2707" s="18" t="s">
        <v>1107</v>
      </c>
      <c r="Q2707" s="18">
        <v>0</v>
      </c>
      <c r="U2707" s="22">
        <v>0.82</v>
      </c>
      <c r="V2707" s="22">
        <f>4.14/5</f>
        <v>0.82799999999999996</v>
      </c>
      <c r="W2707" s="14" t="s">
        <v>7777</v>
      </c>
      <c r="X2707" s="3">
        <v>4</v>
      </c>
      <c r="Z2707" s="23">
        <v>24.5</v>
      </c>
      <c r="AB2707" s="18">
        <f t="shared" si="84"/>
        <v>2016</v>
      </c>
      <c r="AC2707" s="22">
        <f t="shared" si="85"/>
        <v>0.81599999999999995</v>
      </c>
    </row>
    <row r="2708" spans="1:29">
      <c r="A2708" s="8" t="s">
        <v>3652</v>
      </c>
      <c r="B2708" s="17" t="s">
        <v>7800</v>
      </c>
      <c r="C2708" s="13">
        <v>42418</v>
      </c>
      <c r="D2708" s="13" t="s">
        <v>8465</v>
      </c>
      <c r="E2708" s="10" t="s">
        <v>3653</v>
      </c>
      <c r="F2708" s="10" t="s">
        <v>3653</v>
      </c>
      <c r="H2708" s="2" t="s">
        <v>1050</v>
      </c>
      <c r="L2708" s="18">
        <v>1</v>
      </c>
      <c r="N2708" s="13">
        <v>43635</v>
      </c>
      <c r="O2708" s="29">
        <v>0</v>
      </c>
      <c r="P2708" s="18" t="s">
        <v>1107</v>
      </c>
      <c r="Q2708" s="18">
        <v>0</v>
      </c>
      <c r="U2708" s="22">
        <v>0.85</v>
      </c>
      <c r="V2708" s="22">
        <f>3.66/5</f>
        <v>0.73199999999999998</v>
      </c>
      <c r="W2708" s="14" t="s">
        <v>7777</v>
      </c>
      <c r="X2708" s="3">
        <v>3</v>
      </c>
      <c r="Z2708" s="23">
        <v>6.5</v>
      </c>
      <c r="AB2708" s="18">
        <f t="shared" si="84"/>
        <v>2016</v>
      </c>
      <c r="AC2708" s="22">
        <f t="shared" si="85"/>
        <v>0.72733333333333328</v>
      </c>
    </row>
    <row r="2709" spans="1:29" ht="30">
      <c r="A2709" s="8" t="s">
        <v>2398</v>
      </c>
      <c r="B2709" s="17" t="s">
        <v>7749</v>
      </c>
      <c r="C2709" s="13">
        <v>42416</v>
      </c>
      <c r="D2709" s="13" t="s">
        <v>8465</v>
      </c>
      <c r="E2709" s="10" t="s">
        <v>1604</v>
      </c>
      <c r="F2709" s="10" t="s">
        <v>1145</v>
      </c>
      <c r="G2709" s="11" t="s">
        <v>2397</v>
      </c>
      <c r="H2709" s="2" t="s">
        <v>75</v>
      </c>
      <c r="L2709" s="18">
        <v>1</v>
      </c>
      <c r="M2709" s="14" t="s">
        <v>8462</v>
      </c>
      <c r="N2709" s="13">
        <v>43592</v>
      </c>
      <c r="O2709" s="29">
        <v>12.99</v>
      </c>
      <c r="P2709" s="18" t="s">
        <v>14</v>
      </c>
      <c r="Q2709" s="18">
        <v>0</v>
      </c>
      <c r="U2709" s="22">
        <v>0.72</v>
      </c>
      <c r="V2709" s="22">
        <f>3.92/5</f>
        <v>0.78400000000000003</v>
      </c>
      <c r="X2709" s="3">
        <v>3</v>
      </c>
      <c r="Z2709" s="23">
        <v>37.5</v>
      </c>
      <c r="AB2709" s="18">
        <f t="shared" si="84"/>
        <v>2016</v>
      </c>
      <c r="AC2709" s="22">
        <f t="shared" si="85"/>
        <v>0.70133333333333336</v>
      </c>
    </row>
    <row r="2710" spans="1:29">
      <c r="A2710" s="8" t="s">
        <v>8293</v>
      </c>
      <c r="B2710" s="17" t="s">
        <v>7800</v>
      </c>
      <c r="C2710" s="13">
        <v>42416</v>
      </c>
      <c r="D2710" s="13" t="s">
        <v>8465</v>
      </c>
      <c r="E2710" s="10" t="s">
        <v>73</v>
      </c>
      <c r="F2710" s="10" t="s">
        <v>73</v>
      </c>
      <c r="G2710" s="11" t="s">
        <v>227</v>
      </c>
      <c r="H2710" s="2" t="s">
        <v>459</v>
      </c>
      <c r="L2710" s="18">
        <v>1</v>
      </c>
      <c r="N2710" s="13">
        <v>43833</v>
      </c>
      <c r="O2710" s="29">
        <v>11</v>
      </c>
      <c r="P2710" s="18" t="s">
        <v>1107</v>
      </c>
      <c r="Q2710" s="18">
        <v>0</v>
      </c>
      <c r="U2710" s="22">
        <v>0.74</v>
      </c>
      <c r="V2710" s="22">
        <f>3.2/5</f>
        <v>0.64</v>
      </c>
      <c r="W2710" s="14" t="s">
        <v>7777</v>
      </c>
      <c r="X2710" s="3">
        <v>3</v>
      </c>
      <c r="Z2710" s="23">
        <v>3</v>
      </c>
      <c r="AB2710" s="18">
        <f t="shared" si="84"/>
        <v>2016</v>
      </c>
      <c r="AC2710" s="22">
        <f t="shared" si="85"/>
        <v>0.66</v>
      </c>
    </row>
    <row r="2711" spans="1:29">
      <c r="A2711" s="8" t="s">
        <v>9224</v>
      </c>
      <c r="B2711" s="17" t="s">
        <v>7800</v>
      </c>
      <c r="C2711" s="13">
        <v>42409</v>
      </c>
      <c r="D2711" s="13" t="s">
        <v>8465</v>
      </c>
      <c r="E2711" s="10" t="s">
        <v>231</v>
      </c>
      <c r="F2711" s="10" t="s">
        <v>9225</v>
      </c>
      <c r="G2711" s="11" t="s">
        <v>9224</v>
      </c>
      <c r="H2711" s="2" t="s">
        <v>27</v>
      </c>
      <c r="L2711" s="18">
        <v>1</v>
      </c>
      <c r="N2711" s="13">
        <v>44070</v>
      </c>
      <c r="O2711" s="29">
        <v>5.24</v>
      </c>
      <c r="P2711" s="18" t="s">
        <v>1107</v>
      </c>
      <c r="Q2711" s="18">
        <v>0</v>
      </c>
      <c r="U2711" s="22">
        <v>0.81</v>
      </c>
      <c r="V2711" s="22">
        <f>3.85/5</f>
        <v>0.77</v>
      </c>
      <c r="W2711" s="14" t="s">
        <v>7777</v>
      </c>
      <c r="X2711" s="3">
        <v>4</v>
      </c>
      <c r="Z2711" s="23">
        <v>6</v>
      </c>
      <c r="AB2711" s="18">
        <f t="shared" si="84"/>
        <v>2016</v>
      </c>
      <c r="AC2711" s="22">
        <f t="shared" si="85"/>
        <v>0.79333333333333333</v>
      </c>
    </row>
    <row r="2712" spans="1:29">
      <c r="A2712" s="8" t="s">
        <v>3900</v>
      </c>
      <c r="B2712" s="17" t="s">
        <v>7800</v>
      </c>
      <c r="C2712" s="13">
        <v>42409</v>
      </c>
      <c r="D2712" s="13" t="s">
        <v>8465</v>
      </c>
      <c r="E2712" s="10" t="s">
        <v>3901</v>
      </c>
      <c r="F2712" s="10" t="s">
        <v>3901</v>
      </c>
      <c r="H2712" s="2" t="s">
        <v>67</v>
      </c>
      <c r="L2712" s="18">
        <v>1</v>
      </c>
      <c r="N2712" s="13">
        <v>43425</v>
      </c>
      <c r="O2712" s="29">
        <v>4.99</v>
      </c>
      <c r="P2712" s="18" t="s">
        <v>1107</v>
      </c>
      <c r="Q2712" s="18">
        <v>0</v>
      </c>
      <c r="U2712" s="22">
        <v>0.83</v>
      </c>
      <c r="V2712" s="22">
        <f>3.66/5</f>
        <v>0.73199999999999998</v>
      </c>
      <c r="W2712" s="14" t="s">
        <v>7777</v>
      </c>
      <c r="X2712" s="3">
        <v>4</v>
      </c>
      <c r="Z2712" s="23">
        <v>4</v>
      </c>
      <c r="AB2712" s="18">
        <f t="shared" si="84"/>
        <v>2016</v>
      </c>
      <c r="AC2712" s="22">
        <f t="shared" si="85"/>
        <v>0.78733333333333333</v>
      </c>
    </row>
    <row r="2713" spans="1:29" ht="25.5">
      <c r="A2713" s="8" t="s">
        <v>13350</v>
      </c>
      <c r="B2713" s="17" t="s">
        <v>7766</v>
      </c>
      <c r="C2713" s="13">
        <v>42409</v>
      </c>
      <c r="D2713" s="13" t="s">
        <v>8465</v>
      </c>
      <c r="E2713" s="10" t="s">
        <v>1565</v>
      </c>
      <c r="F2713" s="10" t="s">
        <v>1471</v>
      </c>
      <c r="G2713" s="11" t="s">
        <v>13351</v>
      </c>
      <c r="H2713" s="2" t="s">
        <v>1059</v>
      </c>
      <c r="L2713" s="18">
        <v>1</v>
      </c>
      <c r="M2713" s="14" t="s">
        <v>8462</v>
      </c>
      <c r="N2713" s="13">
        <v>44943</v>
      </c>
      <c r="O2713" s="29">
        <v>19.55</v>
      </c>
      <c r="P2713" s="18" t="s">
        <v>14</v>
      </c>
      <c r="Q2713" s="18">
        <v>0</v>
      </c>
      <c r="V2713" s="22">
        <f>3.56/5</f>
        <v>0.71199999999999997</v>
      </c>
      <c r="X2713" s="3">
        <v>2</v>
      </c>
      <c r="Z2713" s="23">
        <v>8.5</v>
      </c>
      <c r="AB2713" s="18">
        <f t="shared" si="84"/>
        <v>2016</v>
      </c>
      <c r="AC2713" s="22">
        <f t="shared" si="85"/>
        <v>0.55600000000000005</v>
      </c>
    </row>
    <row r="2714" spans="1:29" ht="25.5">
      <c r="A2714" s="8" t="s">
        <v>12554</v>
      </c>
      <c r="B2714" s="17" t="s">
        <v>7800</v>
      </c>
      <c r="C2714" s="13">
        <v>42404</v>
      </c>
      <c r="D2714" s="13" t="s">
        <v>8465</v>
      </c>
      <c r="E2714" s="10" t="s">
        <v>9795</v>
      </c>
      <c r="F2714" s="10" t="s">
        <v>12463</v>
      </c>
      <c r="G2714" s="11" t="s">
        <v>12211</v>
      </c>
      <c r="H2714" s="2" t="s">
        <v>67</v>
      </c>
      <c r="L2714" s="18">
        <v>1</v>
      </c>
      <c r="P2714" s="18" t="s">
        <v>1107</v>
      </c>
      <c r="Q2714" s="18">
        <v>0</v>
      </c>
      <c r="U2714" s="22">
        <v>0.66</v>
      </c>
      <c r="V2714" s="22">
        <f>3.62/5</f>
        <v>0.72399999999999998</v>
      </c>
      <c r="W2714" s="14" t="s">
        <v>7777</v>
      </c>
      <c r="X2714" s="3">
        <v>2</v>
      </c>
      <c r="Z2714" s="23">
        <v>7</v>
      </c>
      <c r="AB2714" s="18">
        <f t="shared" si="84"/>
        <v>2016</v>
      </c>
      <c r="AC2714" s="22">
        <f t="shared" si="85"/>
        <v>0.59466666666666657</v>
      </c>
    </row>
    <row r="2715" spans="1:29" ht="30">
      <c r="A2715" s="8" t="s">
        <v>6187</v>
      </c>
      <c r="B2715" s="17" t="s">
        <v>7760</v>
      </c>
      <c r="C2715" s="13">
        <v>42402</v>
      </c>
      <c r="D2715" s="13" t="s">
        <v>8465</v>
      </c>
      <c r="E2715" s="10" t="s">
        <v>2908</v>
      </c>
      <c r="F2715" s="10" t="s">
        <v>5862</v>
      </c>
      <c r="G2715" s="11" t="s">
        <v>6132</v>
      </c>
      <c r="H2715" s="2" t="s">
        <v>80</v>
      </c>
      <c r="L2715" s="18">
        <v>1</v>
      </c>
      <c r="N2715" s="13">
        <v>43446</v>
      </c>
      <c r="O2715" s="29">
        <v>8.99</v>
      </c>
      <c r="P2715" s="18" t="s">
        <v>1107</v>
      </c>
      <c r="Q2715" s="18">
        <v>0</v>
      </c>
      <c r="U2715" s="22">
        <v>0.81</v>
      </c>
      <c r="V2715" s="22">
        <f>4.02/5</f>
        <v>0.80399999999999994</v>
      </c>
      <c r="X2715" s="3">
        <v>4</v>
      </c>
      <c r="Z2715" s="23">
        <v>10</v>
      </c>
      <c r="AB2715" s="18">
        <f t="shared" si="84"/>
        <v>2016</v>
      </c>
      <c r="AC2715" s="22">
        <f t="shared" si="85"/>
        <v>0.80466666666666653</v>
      </c>
    </row>
    <row r="2716" spans="1:29">
      <c r="A2716" s="8" t="s">
        <v>945</v>
      </c>
      <c r="B2716" s="17" t="s">
        <v>7800</v>
      </c>
      <c r="C2716" s="13">
        <v>42402</v>
      </c>
      <c r="D2716" s="13" t="s">
        <v>8465</v>
      </c>
      <c r="E2716" s="10" t="s">
        <v>158</v>
      </c>
      <c r="F2716" s="10" t="s">
        <v>1500</v>
      </c>
      <c r="G2716" s="11" t="s">
        <v>1422</v>
      </c>
      <c r="H2716" s="2" t="s">
        <v>171</v>
      </c>
      <c r="L2716" s="18">
        <v>1</v>
      </c>
      <c r="N2716" s="13">
        <v>43324</v>
      </c>
      <c r="O2716" s="29">
        <v>4.09</v>
      </c>
      <c r="P2716" s="18" t="s">
        <v>1107</v>
      </c>
      <c r="Q2716" s="18">
        <v>0</v>
      </c>
      <c r="V2716" s="22">
        <f>3.94/5</f>
        <v>0.78800000000000003</v>
      </c>
      <c r="W2716" s="14" t="s">
        <v>7777</v>
      </c>
      <c r="X2716" s="3">
        <v>4</v>
      </c>
      <c r="Z2716" s="23">
        <v>47.5</v>
      </c>
      <c r="AB2716" s="18">
        <f t="shared" si="84"/>
        <v>2016</v>
      </c>
      <c r="AC2716" s="22">
        <f t="shared" si="85"/>
        <v>0.79400000000000004</v>
      </c>
    </row>
    <row r="2717" spans="1:29">
      <c r="A2717" s="8" t="s">
        <v>5079</v>
      </c>
      <c r="B2717" s="17" t="s">
        <v>7800</v>
      </c>
      <c r="C2717" s="13">
        <v>42402</v>
      </c>
      <c r="D2717" s="13" t="s">
        <v>8465</v>
      </c>
      <c r="E2717" s="10" t="s">
        <v>5077</v>
      </c>
      <c r="F2717" s="10" t="s">
        <v>5077</v>
      </c>
      <c r="G2717" s="11" t="s">
        <v>5078</v>
      </c>
      <c r="H2717" s="2" t="s">
        <v>1377</v>
      </c>
      <c r="L2717" s="18">
        <v>1</v>
      </c>
      <c r="N2717" s="13">
        <v>42537</v>
      </c>
      <c r="P2717" s="18" t="s">
        <v>1107</v>
      </c>
      <c r="Q2717" s="18">
        <v>0</v>
      </c>
      <c r="U2717" s="22">
        <v>0.73</v>
      </c>
      <c r="V2717" s="22">
        <f>4/5</f>
        <v>0.8</v>
      </c>
      <c r="W2717" s="14" t="s">
        <v>7777</v>
      </c>
      <c r="X2717" s="3">
        <v>3</v>
      </c>
      <c r="Z2717" s="23">
        <v>9</v>
      </c>
      <c r="AB2717" s="18">
        <f t="shared" si="84"/>
        <v>2016</v>
      </c>
      <c r="AC2717" s="22">
        <f t="shared" si="85"/>
        <v>0.71</v>
      </c>
    </row>
    <row r="2718" spans="1:29" ht="25.5">
      <c r="A2718" s="8" t="s">
        <v>3167</v>
      </c>
      <c r="B2718" s="17" t="s">
        <v>7800</v>
      </c>
      <c r="C2718" s="13">
        <v>42402</v>
      </c>
      <c r="D2718" s="13" t="s">
        <v>8465</v>
      </c>
      <c r="E2718" s="10" t="s">
        <v>3168</v>
      </c>
      <c r="F2718" s="10" t="s">
        <v>3168</v>
      </c>
      <c r="G2718" s="11" t="s">
        <v>3169</v>
      </c>
      <c r="H2718" s="2" t="s">
        <v>1334</v>
      </c>
      <c r="L2718" s="18">
        <v>1</v>
      </c>
      <c r="N2718" s="13">
        <v>43378</v>
      </c>
      <c r="P2718" s="18" t="s">
        <v>1107</v>
      </c>
      <c r="Q2718" s="18">
        <v>0</v>
      </c>
      <c r="U2718" s="22">
        <v>0.76</v>
      </c>
      <c r="V2718" s="22">
        <f>4.01/5</f>
        <v>0.80199999999999994</v>
      </c>
      <c r="W2718" s="14" t="s">
        <v>7777</v>
      </c>
      <c r="X2718" s="3">
        <v>2</v>
      </c>
      <c r="Z2718" s="23">
        <v>22</v>
      </c>
      <c r="AB2718" s="18">
        <f t="shared" si="84"/>
        <v>2016</v>
      </c>
      <c r="AC2718" s="22">
        <f t="shared" si="85"/>
        <v>0.65399999999999991</v>
      </c>
    </row>
    <row r="2719" spans="1:29">
      <c r="A2719" s="8" t="s">
        <v>4883</v>
      </c>
      <c r="B2719" s="17" t="s">
        <v>7800</v>
      </c>
      <c r="C2719" s="13">
        <v>42398</v>
      </c>
      <c r="D2719" s="13" t="s">
        <v>8465</v>
      </c>
      <c r="E2719" s="10" t="s">
        <v>4884</v>
      </c>
      <c r="F2719" s="10" t="s">
        <v>4884</v>
      </c>
      <c r="G2719" s="11" t="s">
        <v>4884</v>
      </c>
      <c r="H2719" s="2" t="s">
        <v>67</v>
      </c>
      <c r="L2719" s="18">
        <v>1</v>
      </c>
      <c r="N2719" s="13">
        <v>43361</v>
      </c>
      <c r="O2719" s="29">
        <v>0.99</v>
      </c>
      <c r="P2719" s="18" t="s">
        <v>1107</v>
      </c>
      <c r="Q2719" s="18">
        <v>0</v>
      </c>
      <c r="U2719" s="22">
        <v>0.6</v>
      </c>
      <c r="V2719" s="22">
        <f>3.52/5</f>
        <v>0.70399999999999996</v>
      </c>
      <c r="W2719" s="14" t="s">
        <v>7777</v>
      </c>
      <c r="X2719" s="3">
        <v>3</v>
      </c>
      <c r="Z2719" s="23">
        <v>2</v>
      </c>
      <c r="AB2719" s="18">
        <f t="shared" si="84"/>
        <v>2016</v>
      </c>
      <c r="AC2719" s="22">
        <f t="shared" si="85"/>
        <v>0.6346666666666666</v>
      </c>
    </row>
    <row r="2720" spans="1:29">
      <c r="A2720" s="8" t="s">
        <v>5394</v>
      </c>
      <c r="B2720" s="17" t="s">
        <v>7800</v>
      </c>
      <c r="C2720" s="13">
        <v>42395</v>
      </c>
      <c r="D2720" s="13" t="s">
        <v>8465</v>
      </c>
      <c r="E2720" s="10" t="s">
        <v>5395</v>
      </c>
      <c r="F2720" s="10" t="s">
        <v>5395</v>
      </c>
      <c r="H2720" s="2" t="s">
        <v>78</v>
      </c>
      <c r="L2720" s="18">
        <v>1</v>
      </c>
      <c r="N2720" s="13">
        <v>42779</v>
      </c>
      <c r="O2720" s="29">
        <v>30</v>
      </c>
      <c r="P2720" s="18" t="s">
        <v>1107</v>
      </c>
      <c r="Q2720" s="18">
        <v>0</v>
      </c>
      <c r="U2720" s="22">
        <v>0.84</v>
      </c>
      <c r="V2720" s="22">
        <f>3.77/5</f>
        <v>0.754</v>
      </c>
      <c r="W2720" s="14" t="s">
        <v>7777</v>
      </c>
      <c r="X2720" s="3">
        <v>4</v>
      </c>
      <c r="Z2720" s="23">
        <v>17</v>
      </c>
      <c r="AB2720" s="18">
        <f t="shared" si="84"/>
        <v>2016</v>
      </c>
      <c r="AC2720" s="22">
        <f t="shared" si="85"/>
        <v>0.79800000000000004</v>
      </c>
    </row>
    <row r="2721" spans="1:29">
      <c r="A2721" s="8" t="s">
        <v>8378</v>
      </c>
      <c r="B2721" s="17" t="s">
        <v>7749</v>
      </c>
      <c r="C2721" s="13">
        <v>42395</v>
      </c>
      <c r="D2721" s="13" t="s">
        <v>8465</v>
      </c>
      <c r="E2721" s="10" t="s">
        <v>1082</v>
      </c>
      <c r="F2721" s="10" t="s">
        <v>8379</v>
      </c>
      <c r="G2721" s="11" t="s">
        <v>126</v>
      </c>
      <c r="H2721" s="2" t="s">
        <v>171</v>
      </c>
      <c r="L2721" s="18">
        <v>1</v>
      </c>
      <c r="M2721" s="14" t="s">
        <v>8462</v>
      </c>
      <c r="N2721" s="13">
        <v>43884</v>
      </c>
      <c r="O2721" s="29">
        <v>21.09</v>
      </c>
      <c r="P2721" s="18" t="s">
        <v>14</v>
      </c>
      <c r="Q2721" s="18">
        <v>0</v>
      </c>
      <c r="U2721" s="22">
        <v>0.69</v>
      </c>
      <c r="V2721" s="22">
        <f>3.73/5</f>
        <v>0.746</v>
      </c>
      <c r="X2721" s="3">
        <v>3</v>
      </c>
      <c r="Z2721" s="23">
        <v>21.5</v>
      </c>
      <c r="AB2721" s="18">
        <f t="shared" si="84"/>
        <v>2016</v>
      </c>
      <c r="AC2721" s="22">
        <f t="shared" si="85"/>
        <v>0.67866666666666664</v>
      </c>
    </row>
    <row r="2722" spans="1:29" ht="45">
      <c r="A2722" s="8" t="s">
        <v>4308</v>
      </c>
      <c r="B2722" s="17" t="s">
        <v>7800</v>
      </c>
      <c r="C2722" s="13">
        <v>42395</v>
      </c>
      <c r="D2722" s="13" t="s">
        <v>8465</v>
      </c>
      <c r="E2722" s="10" t="s">
        <v>1156</v>
      </c>
      <c r="F2722" s="10" t="s">
        <v>1309</v>
      </c>
      <c r="G2722" s="11" t="s">
        <v>4307</v>
      </c>
      <c r="H2722" s="2" t="s">
        <v>80</v>
      </c>
      <c r="L2722" s="18">
        <v>1</v>
      </c>
      <c r="N2722" s="13">
        <v>43370</v>
      </c>
      <c r="O2722" s="29">
        <v>4.99</v>
      </c>
      <c r="P2722" s="18" t="s">
        <v>1107</v>
      </c>
      <c r="Q2722" s="18">
        <v>0</v>
      </c>
      <c r="U2722" s="22">
        <v>0.61</v>
      </c>
      <c r="V2722" s="22">
        <f>3.8/5</f>
        <v>0.76</v>
      </c>
      <c r="W2722" s="14" t="s">
        <v>7777</v>
      </c>
      <c r="X2722" s="3">
        <v>3</v>
      </c>
      <c r="Z2722" s="23">
        <v>8</v>
      </c>
      <c r="AB2722" s="18">
        <f t="shared" si="84"/>
        <v>2016</v>
      </c>
      <c r="AC2722" s="22">
        <f t="shared" si="85"/>
        <v>0.65666666666666673</v>
      </c>
    </row>
    <row r="2723" spans="1:29" ht="25.5">
      <c r="A2723" s="8" t="s">
        <v>2435</v>
      </c>
      <c r="B2723" s="17" t="s">
        <v>7749</v>
      </c>
      <c r="C2723" s="13">
        <v>42391</v>
      </c>
      <c r="D2723" s="13" t="s">
        <v>8465</v>
      </c>
      <c r="E2723" s="10" t="s">
        <v>86</v>
      </c>
      <c r="F2723" s="10" t="s">
        <v>1892</v>
      </c>
      <c r="G2723" s="11" t="s">
        <v>1893</v>
      </c>
      <c r="H2723" s="2" t="s">
        <v>149</v>
      </c>
      <c r="L2723" s="18">
        <v>1</v>
      </c>
      <c r="N2723" s="13">
        <v>42830</v>
      </c>
      <c r="O2723" s="29">
        <v>27.99</v>
      </c>
      <c r="P2723" s="18" t="s">
        <v>1107</v>
      </c>
      <c r="Q2723" s="18">
        <v>0</v>
      </c>
      <c r="U2723" s="22">
        <v>0.76</v>
      </c>
      <c r="V2723" s="22">
        <f>3.79/5</f>
        <v>0.75800000000000001</v>
      </c>
      <c r="X2723" s="3">
        <v>4</v>
      </c>
      <c r="Z2723" s="23">
        <v>27</v>
      </c>
      <c r="AB2723" s="18">
        <f t="shared" si="84"/>
        <v>2016</v>
      </c>
      <c r="AC2723" s="22">
        <f t="shared" si="85"/>
        <v>0.77266666666666672</v>
      </c>
    </row>
    <row r="2724" spans="1:29" ht="25.5">
      <c r="A2724" s="8" t="s">
        <v>2067</v>
      </c>
      <c r="B2724" s="17" t="s">
        <v>7743</v>
      </c>
      <c r="C2724" s="13">
        <v>42390</v>
      </c>
      <c r="D2724" s="13" t="s">
        <v>8465</v>
      </c>
      <c r="E2724" s="10" t="s">
        <v>86</v>
      </c>
      <c r="F2724" s="10" t="s">
        <v>87</v>
      </c>
      <c r="G2724" s="11" t="s">
        <v>137</v>
      </c>
      <c r="H2724" s="2" t="s">
        <v>64</v>
      </c>
      <c r="L2724" s="18">
        <v>1</v>
      </c>
      <c r="N2724" s="13">
        <v>44635</v>
      </c>
      <c r="O2724" s="29">
        <v>7.99</v>
      </c>
      <c r="P2724" s="18" t="s">
        <v>1107</v>
      </c>
      <c r="Q2724" s="18">
        <v>0</v>
      </c>
      <c r="V2724" s="22">
        <f>4.23/5</f>
        <v>0.84600000000000009</v>
      </c>
      <c r="X2724" s="3">
        <v>3</v>
      </c>
      <c r="Z2724" s="23">
        <f>6+3</f>
        <v>9</v>
      </c>
      <c r="AB2724" s="18">
        <f t="shared" si="84"/>
        <v>2016</v>
      </c>
      <c r="AC2724" s="22">
        <f t="shared" si="85"/>
        <v>0.72300000000000009</v>
      </c>
    </row>
    <row r="2725" spans="1:29" ht="25.5">
      <c r="A2725" s="8" t="s">
        <v>964</v>
      </c>
      <c r="B2725" s="17" t="s">
        <v>7743</v>
      </c>
      <c r="C2725" s="13">
        <v>42390</v>
      </c>
      <c r="D2725" s="13" t="s">
        <v>8465</v>
      </c>
      <c r="E2725" s="10" t="s">
        <v>73</v>
      </c>
      <c r="F2725" s="10" t="s">
        <v>73</v>
      </c>
      <c r="H2725" s="2" t="s">
        <v>67</v>
      </c>
      <c r="L2725" s="18">
        <v>1</v>
      </c>
      <c r="N2725" s="13">
        <v>44923</v>
      </c>
      <c r="O2725" s="29">
        <v>4.99</v>
      </c>
      <c r="P2725" s="18" t="s">
        <v>1107</v>
      </c>
      <c r="Q2725" s="18">
        <v>0</v>
      </c>
      <c r="V2725" s="22">
        <f>3.91/5</f>
        <v>0.78200000000000003</v>
      </c>
      <c r="X2725" s="3">
        <v>3</v>
      </c>
      <c r="Z2725" s="23">
        <v>14.5</v>
      </c>
      <c r="AB2725" s="18">
        <f t="shared" si="84"/>
        <v>2016</v>
      </c>
      <c r="AC2725" s="22">
        <f t="shared" si="85"/>
        <v>0.69100000000000006</v>
      </c>
    </row>
    <row r="2726" spans="1:29" ht="25.5">
      <c r="A2726" s="8" t="s">
        <v>15587</v>
      </c>
      <c r="B2726" s="17" t="s">
        <v>7800</v>
      </c>
      <c r="C2726" s="13">
        <v>42389</v>
      </c>
      <c r="D2726" s="13" t="s">
        <v>8465</v>
      </c>
      <c r="E2726" s="10" t="s">
        <v>3154</v>
      </c>
      <c r="F2726" s="10" t="s">
        <v>15588</v>
      </c>
      <c r="G2726" s="11" t="s">
        <v>4133</v>
      </c>
      <c r="H2726" s="2" t="s">
        <v>1143</v>
      </c>
      <c r="L2726" s="18">
        <v>1</v>
      </c>
      <c r="N2726" s="13">
        <v>45162</v>
      </c>
      <c r="O2726" s="29">
        <v>0</v>
      </c>
      <c r="P2726" s="18" t="s">
        <v>1107</v>
      </c>
      <c r="Q2726" s="18">
        <v>0</v>
      </c>
      <c r="U2726" s="22">
        <v>0.79</v>
      </c>
      <c r="V2726" s="22">
        <f>3.91/5</f>
        <v>0.78200000000000003</v>
      </c>
      <c r="W2726" s="14" t="s">
        <v>7097</v>
      </c>
      <c r="X2726" s="3">
        <v>3</v>
      </c>
      <c r="Z2726" s="23">
        <v>10</v>
      </c>
      <c r="AB2726" s="18">
        <f t="shared" si="84"/>
        <v>2016</v>
      </c>
      <c r="AC2726" s="22">
        <f t="shared" si="85"/>
        <v>0.72400000000000009</v>
      </c>
    </row>
    <row r="2727" spans="1:29">
      <c r="A2727" s="8" t="s">
        <v>4810</v>
      </c>
      <c r="B2727" s="17" t="s">
        <v>7800</v>
      </c>
      <c r="C2727" s="13">
        <v>42388</v>
      </c>
      <c r="D2727" s="13" t="s">
        <v>8465</v>
      </c>
      <c r="E2727" s="10" t="s">
        <v>73</v>
      </c>
      <c r="F2727" s="10" t="s">
        <v>73</v>
      </c>
      <c r="G2727" s="11" t="s">
        <v>943</v>
      </c>
      <c r="H2727" s="2" t="s">
        <v>1061</v>
      </c>
      <c r="L2727" s="18">
        <v>1</v>
      </c>
      <c r="N2727" s="13">
        <v>43455</v>
      </c>
      <c r="O2727" s="29">
        <v>7.99</v>
      </c>
      <c r="P2727" s="18" t="s">
        <v>1107</v>
      </c>
      <c r="Q2727" s="18">
        <v>0</v>
      </c>
      <c r="U2727" s="22">
        <v>0.63</v>
      </c>
      <c r="V2727" s="22">
        <f>3.58/5</f>
        <v>0.71599999999999997</v>
      </c>
      <c r="W2727" s="14" t="s">
        <v>7777</v>
      </c>
      <c r="X2727" s="3">
        <v>4</v>
      </c>
      <c r="Z2727" s="23">
        <v>8</v>
      </c>
      <c r="AB2727" s="18">
        <f t="shared" si="84"/>
        <v>2016</v>
      </c>
      <c r="AC2727" s="22">
        <f t="shared" si="85"/>
        <v>0.71533333333333327</v>
      </c>
    </row>
    <row r="2728" spans="1:29" ht="30">
      <c r="A2728" s="8" t="s">
        <v>26</v>
      </c>
      <c r="B2728" s="17" t="s">
        <v>7800</v>
      </c>
      <c r="C2728" s="13">
        <v>42388</v>
      </c>
      <c r="D2728" s="13" t="s">
        <v>8465</v>
      </c>
      <c r="E2728" s="10" t="s">
        <v>1551</v>
      </c>
      <c r="F2728" s="10" t="s">
        <v>1084</v>
      </c>
      <c r="G2728" s="11" t="s">
        <v>26</v>
      </c>
      <c r="H2728" s="2" t="s">
        <v>27</v>
      </c>
      <c r="L2728" s="18">
        <v>1</v>
      </c>
      <c r="N2728" s="13">
        <v>42493</v>
      </c>
      <c r="O2728" s="29">
        <v>4.2</v>
      </c>
      <c r="P2728" s="18" t="s">
        <v>1107</v>
      </c>
      <c r="Q2728" s="18">
        <v>0</v>
      </c>
      <c r="U2728" s="22">
        <v>0.6</v>
      </c>
      <c r="V2728" s="22">
        <f>3.66/5</f>
        <v>0.73199999999999998</v>
      </c>
      <c r="W2728" s="14" t="s">
        <v>7777</v>
      </c>
      <c r="X2728" s="3">
        <v>4</v>
      </c>
      <c r="Z2728" s="23">
        <v>9.5</v>
      </c>
      <c r="AB2728" s="18">
        <f t="shared" si="84"/>
        <v>2016</v>
      </c>
      <c r="AC2728" s="22">
        <f t="shared" si="85"/>
        <v>0.71066666666666656</v>
      </c>
    </row>
    <row r="2729" spans="1:29">
      <c r="A2729" s="8" t="s">
        <v>9534</v>
      </c>
      <c r="B2729" s="17" t="s">
        <v>7800</v>
      </c>
      <c r="C2729" s="13">
        <v>42388</v>
      </c>
      <c r="D2729" s="13" t="s">
        <v>8465</v>
      </c>
      <c r="E2729" s="10" t="s">
        <v>9535</v>
      </c>
      <c r="F2729" s="10" t="s">
        <v>9535</v>
      </c>
      <c r="G2729" s="11" t="s">
        <v>9534</v>
      </c>
      <c r="H2729" s="2" t="s">
        <v>1377</v>
      </c>
      <c r="L2729" s="18">
        <v>1</v>
      </c>
      <c r="N2729" s="13">
        <v>44190</v>
      </c>
      <c r="O2729" s="29">
        <v>0</v>
      </c>
      <c r="P2729" s="18" t="s">
        <v>1107</v>
      </c>
      <c r="Q2729" s="18">
        <v>0</v>
      </c>
      <c r="U2729" s="22">
        <v>0.84</v>
      </c>
      <c r="V2729" s="22">
        <f>3.92/5</f>
        <v>0.78400000000000003</v>
      </c>
      <c r="W2729" s="14" t="s">
        <v>7097</v>
      </c>
      <c r="X2729" s="3">
        <v>3</v>
      </c>
      <c r="Z2729" s="23">
        <v>55</v>
      </c>
      <c r="AB2729" s="18">
        <f t="shared" si="84"/>
        <v>2016</v>
      </c>
      <c r="AC2729" s="22">
        <f t="shared" si="85"/>
        <v>0.7413333333333334</v>
      </c>
    </row>
    <row r="2730" spans="1:29">
      <c r="A2730" s="8" t="s">
        <v>10557</v>
      </c>
      <c r="B2730" s="17" t="s">
        <v>7800</v>
      </c>
      <c r="C2730" s="13">
        <v>42387</v>
      </c>
      <c r="D2730" s="13" t="s">
        <v>8465</v>
      </c>
      <c r="E2730" s="10" t="s">
        <v>10561</v>
      </c>
      <c r="F2730" s="10" t="s">
        <v>10561</v>
      </c>
      <c r="H2730" s="2" t="s">
        <v>80</v>
      </c>
      <c r="L2730" s="18">
        <v>1</v>
      </c>
      <c r="N2730" s="13">
        <v>44497</v>
      </c>
      <c r="O2730" s="29">
        <v>0.74</v>
      </c>
      <c r="P2730" s="18" t="s">
        <v>1107</v>
      </c>
      <c r="Q2730" s="18">
        <v>0</v>
      </c>
      <c r="U2730" s="22">
        <v>0.54</v>
      </c>
      <c r="V2730" s="22">
        <f>3.33/5</f>
        <v>0.66600000000000004</v>
      </c>
      <c r="W2730" s="14" t="s">
        <v>7777</v>
      </c>
      <c r="X2730" s="3">
        <v>3</v>
      </c>
      <c r="Z2730" s="23">
        <v>4</v>
      </c>
      <c r="AB2730" s="18">
        <f t="shared" si="84"/>
        <v>2016</v>
      </c>
      <c r="AC2730" s="22">
        <f t="shared" si="85"/>
        <v>0.60199999999999998</v>
      </c>
    </row>
    <row r="2731" spans="1:29" ht="25.5">
      <c r="A2731" s="8" t="s">
        <v>1593</v>
      </c>
      <c r="B2731" s="17" t="s">
        <v>7800</v>
      </c>
      <c r="C2731" s="13">
        <v>42384</v>
      </c>
      <c r="D2731" s="13" t="s">
        <v>8465</v>
      </c>
      <c r="E2731" s="10" t="s">
        <v>73</v>
      </c>
      <c r="F2731" s="10" t="s">
        <v>73</v>
      </c>
      <c r="G2731" s="11" t="s">
        <v>1594</v>
      </c>
      <c r="H2731" s="2" t="s">
        <v>171</v>
      </c>
      <c r="L2731" s="18">
        <v>1</v>
      </c>
      <c r="N2731" s="13">
        <v>43123</v>
      </c>
      <c r="O2731" s="29">
        <v>5.38</v>
      </c>
      <c r="P2731" s="18" t="s">
        <v>1107</v>
      </c>
      <c r="Q2731" s="18">
        <v>0</v>
      </c>
      <c r="U2731" s="22">
        <v>0.82</v>
      </c>
      <c r="V2731" s="22">
        <f>4.19/5</f>
        <v>0.83800000000000008</v>
      </c>
      <c r="W2731" s="14" t="s">
        <v>7777</v>
      </c>
      <c r="X2731" s="3">
        <v>4</v>
      </c>
      <c r="Z2731" s="23">
        <v>36.5</v>
      </c>
      <c r="AB2731" s="18">
        <f t="shared" si="84"/>
        <v>2016</v>
      </c>
      <c r="AC2731" s="22">
        <f t="shared" si="85"/>
        <v>0.81933333333333336</v>
      </c>
    </row>
    <row r="2732" spans="1:29">
      <c r="A2732" s="8" t="s">
        <v>4635</v>
      </c>
      <c r="B2732" s="17" t="s">
        <v>7800</v>
      </c>
      <c r="C2732" s="13">
        <v>42384</v>
      </c>
      <c r="D2732" s="13" t="s">
        <v>8465</v>
      </c>
      <c r="E2732" s="10" t="s">
        <v>4636</v>
      </c>
      <c r="F2732" s="10" t="s">
        <v>4636</v>
      </c>
      <c r="H2732" s="2" t="s">
        <v>67</v>
      </c>
      <c r="L2732" s="18">
        <v>1</v>
      </c>
      <c r="N2732" s="13">
        <v>42672</v>
      </c>
      <c r="P2732" s="18" t="s">
        <v>1107</v>
      </c>
      <c r="Q2732" s="18">
        <v>0</v>
      </c>
      <c r="U2732" s="22">
        <v>0.82</v>
      </c>
      <c r="V2732" s="22">
        <f>3.67/5</f>
        <v>0.73399999999999999</v>
      </c>
      <c r="W2732" s="14" t="s">
        <v>7777</v>
      </c>
      <c r="X2732" s="3">
        <v>4</v>
      </c>
      <c r="Z2732" s="23">
        <v>4.5</v>
      </c>
      <c r="AB2732" s="18">
        <f t="shared" si="84"/>
        <v>2016</v>
      </c>
      <c r="AC2732" s="22">
        <f t="shared" si="85"/>
        <v>0.78466666666666673</v>
      </c>
    </row>
    <row r="2733" spans="1:29">
      <c r="A2733" s="8" t="s">
        <v>1906</v>
      </c>
      <c r="B2733" s="17" t="s">
        <v>7743</v>
      </c>
      <c r="C2733" s="13">
        <v>42383</v>
      </c>
      <c r="D2733" s="13" t="s">
        <v>8465</v>
      </c>
      <c r="E2733" s="10" t="s">
        <v>86</v>
      </c>
      <c r="F2733" s="10" t="s">
        <v>142</v>
      </c>
      <c r="G2733" s="11" t="s">
        <v>109</v>
      </c>
      <c r="H2733" s="2" t="s">
        <v>151</v>
      </c>
      <c r="L2733" s="18">
        <v>1</v>
      </c>
      <c r="N2733" s="13">
        <v>44639</v>
      </c>
      <c r="O2733" s="29">
        <v>7.99</v>
      </c>
      <c r="P2733" s="18" t="s">
        <v>1107</v>
      </c>
      <c r="Q2733" s="18">
        <v>0</v>
      </c>
      <c r="V2733" s="22">
        <f>4.25/5</f>
        <v>0.85</v>
      </c>
      <c r="X2733" s="3">
        <v>3</v>
      </c>
      <c r="Z2733" s="23">
        <v>4.5</v>
      </c>
      <c r="AB2733" s="18">
        <f t="shared" si="84"/>
        <v>2016</v>
      </c>
      <c r="AC2733" s="22">
        <f t="shared" si="85"/>
        <v>0.72499999999999998</v>
      </c>
    </row>
    <row r="2734" spans="1:29" ht="30">
      <c r="A2734" s="8" t="s">
        <v>7998</v>
      </c>
      <c r="B2734" s="17" t="s">
        <v>7760</v>
      </c>
      <c r="C2734" s="13">
        <v>42381</v>
      </c>
      <c r="D2734" s="13" t="s">
        <v>8465</v>
      </c>
      <c r="E2734" s="10" t="s">
        <v>1652</v>
      </c>
      <c r="F2734" s="10" t="s">
        <v>1652</v>
      </c>
      <c r="H2734" s="2" t="s">
        <v>61</v>
      </c>
      <c r="L2734" s="18">
        <v>1</v>
      </c>
      <c r="M2734" s="14" t="s">
        <v>8462</v>
      </c>
      <c r="N2734" s="13">
        <v>43766</v>
      </c>
      <c r="O2734" s="29">
        <v>37.72</v>
      </c>
      <c r="P2734" s="18" t="s">
        <v>14</v>
      </c>
      <c r="Q2734" s="18">
        <v>0</v>
      </c>
      <c r="U2734" s="22">
        <v>0.69</v>
      </c>
      <c r="V2734" s="22">
        <f>3.28/5</f>
        <v>0.65599999999999992</v>
      </c>
      <c r="W2734" s="14" t="s">
        <v>1134</v>
      </c>
      <c r="X2734" s="3">
        <v>3</v>
      </c>
      <c r="Z2734" s="23">
        <v>2</v>
      </c>
      <c r="AB2734" s="18">
        <f t="shared" si="84"/>
        <v>2016</v>
      </c>
      <c r="AC2734" s="22">
        <f t="shared" si="85"/>
        <v>0.64866666666666661</v>
      </c>
    </row>
    <row r="2735" spans="1:29">
      <c r="A2735" s="8" t="s">
        <v>4755</v>
      </c>
      <c r="B2735" s="17" t="s">
        <v>7800</v>
      </c>
      <c r="C2735" s="13">
        <v>42377</v>
      </c>
      <c r="D2735" s="13" t="s">
        <v>8465</v>
      </c>
      <c r="E2735" s="10" t="s">
        <v>3464</v>
      </c>
      <c r="F2735" s="10" t="s">
        <v>4027</v>
      </c>
      <c r="G2735" s="11" t="s">
        <v>4755</v>
      </c>
      <c r="H2735" s="2" t="s">
        <v>1334</v>
      </c>
      <c r="L2735" s="18">
        <v>1</v>
      </c>
      <c r="N2735" s="13">
        <v>43606</v>
      </c>
      <c r="O2735" s="29">
        <v>0</v>
      </c>
      <c r="P2735" s="18" t="s">
        <v>1107</v>
      </c>
      <c r="Q2735" s="18">
        <v>0</v>
      </c>
      <c r="U2735" s="22">
        <v>0.71</v>
      </c>
      <c r="V2735" s="22">
        <f>3.43/5</f>
        <v>0.68600000000000005</v>
      </c>
      <c r="W2735" s="14" t="s">
        <v>7777</v>
      </c>
      <c r="X2735" s="3">
        <v>3</v>
      </c>
      <c r="Z2735" s="23">
        <v>9.5</v>
      </c>
      <c r="AB2735" s="18">
        <f t="shared" si="84"/>
        <v>2016</v>
      </c>
      <c r="AC2735" s="22">
        <f t="shared" si="85"/>
        <v>0.66533333333333333</v>
      </c>
    </row>
    <row r="2736" spans="1:29">
      <c r="A2736" s="8" t="s">
        <v>14051</v>
      </c>
      <c r="B2736" s="17" t="s">
        <v>7800</v>
      </c>
      <c r="C2736" s="13">
        <v>42374</v>
      </c>
      <c r="D2736" s="13" t="s">
        <v>8465</v>
      </c>
      <c r="E2736" s="10" t="s">
        <v>14052</v>
      </c>
      <c r="F2736" s="10" t="s">
        <v>14052</v>
      </c>
      <c r="G2736" s="11" t="s">
        <v>14053</v>
      </c>
      <c r="H2736" s="2" t="s">
        <v>149</v>
      </c>
      <c r="L2736" s="18">
        <v>1</v>
      </c>
      <c r="N2736" s="13">
        <v>45019</v>
      </c>
      <c r="O2736" s="29">
        <v>0.49</v>
      </c>
      <c r="P2736" s="18" t="s">
        <v>1107</v>
      </c>
      <c r="Q2736" s="18">
        <v>0</v>
      </c>
      <c r="V2736" s="22">
        <f>3.65/5</f>
        <v>0.73</v>
      </c>
      <c r="W2736" s="14" t="s">
        <v>7777</v>
      </c>
      <c r="X2736" s="3">
        <v>3</v>
      </c>
      <c r="Z2736" s="23">
        <v>3.5</v>
      </c>
      <c r="AB2736" s="18">
        <f t="shared" si="84"/>
        <v>2016</v>
      </c>
      <c r="AC2736" s="22">
        <f t="shared" si="85"/>
        <v>0.66500000000000004</v>
      </c>
    </row>
    <row r="2737" spans="1:29" ht="25.5">
      <c r="A2737" s="8" t="s">
        <v>10623</v>
      </c>
      <c r="B2737" s="17" t="s">
        <v>7800</v>
      </c>
      <c r="C2737" s="13">
        <v>42724</v>
      </c>
      <c r="D2737" s="13" t="s">
        <v>8465</v>
      </c>
      <c r="E2737" s="10" t="s">
        <v>3740</v>
      </c>
      <c r="F2737" s="10" t="s">
        <v>5115</v>
      </c>
      <c r="G2737" s="11" t="s">
        <v>4079</v>
      </c>
      <c r="H2737" s="2" t="s">
        <v>1143</v>
      </c>
      <c r="L2737" s="18">
        <v>0</v>
      </c>
      <c r="Q2737" s="18">
        <v>1</v>
      </c>
      <c r="R2737" s="13">
        <v>44510</v>
      </c>
      <c r="T2737" s="22">
        <v>0.7</v>
      </c>
      <c r="V2737" s="22">
        <f>3.61/5</f>
        <v>0.72199999999999998</v>
      </c>
      <c r="W2737" s="14" t="s">
        <v>8280</v>
      </c>
      <c r="AB2737" s="18">
        <f t="shared" si="84"/>
        <v>2016</v>
      </c>
      <c r="AC2737" s="22">
        <f t="shared" si="85"/>
        <v>0.71099999999999997</v>
      </c>
    </row>
    <row r="2738" spans="1:29">
      <c r="A2738" s="8" t="s">
        <v>5545</v>
      </c>
      <c r="B2738" s="17" t="s">
        <v>7800</v>
      </c>
      <c r="C2738" s="13">
        <v>42703</v>
      </c>
      <c r="D2738" s="13" t="s">
        <v>8465</v>
      </c>
      <c r="E2738" s="10" t="s">
        <v>1047</v>
      </c>
      <c r="F2738" s="10" t="s">
        <v>1048</v>
      </c>
      <c r="G2738" s="11" t="s">
        <v>5546</v>
      </c>
      <c r="H2738" s="2" t="s">
        <v>80</v>
      </c>
      <c r="L2738" s="18">
        <v>1</v>
      </c>
      <c r="N2738" s="13">
        <v>43612</v>
      </c>
      <c r="O2738" s="29">
        <v>8.5500000000000007</v>
      </c>
      <c r="P2738" s="18" t="s">
        <v>1107</v>
      </c>
      <c r="Q2738" s="18">
        <v>1</v>
      </c>
      <c r="R2738" s="13">
        <v>45214</v>
      </c>
      <c r="S2738" s="21">
        <f>12+52/60</f>
        <v>12.866666666666667</v>
      </c>
      <c r="T2738" s="22">
        <v>0.5</v>
      </c>
      <c r="U2738" s="22">
        <v>0.75</v>
      </c>
      <c r="V2738" s="22">
        <f>3.55/5</f>
        <v>0.71</v>
      </c>
      <c r="W2738" s="14" t="s">
        <v>7777</v>
      </c>
      <c r="AB2738" s="18">
        <f t="shared" si="84"/>
        <v>2016</v>
      </c>
      <c r="AC2738" s="22">
        <f t="shared" si="85"/>
        <v>0.65333333333333332</v>
      </c>
    </row>
    <row r="2739" spans="1:29">
      <c r="A2739" s="8" t="s">
        <v>2393</v>
      </c>
      <c r="B2739" s="17" t="s">
        <v>7749</v>
      </c>
      <c r="C2739" s="13">
        <v>42692</v>
      </c>
      <c r="D2739" s="13" t="s">
        <v>8465</v>
      </c>
      <c r="E2739" s="10" t="s">
        <v>86</v>
      </c>
      <c r="F2739" s="10" t="s">
        <v>1354</v>
      </c>
      <c r="G2739" s="11" t="s">
        <v>1470</v>
      </c>
      <c r="H2739" s="2" t="s">
        <v>149</v>
      </c>
      <c r="L2739" s="18">
        <v>1</v>
      </c>
      <c r="M2739" s="14" t="s">
        <v>8462</v>
      </c>
      <c r="N2739" s="13">
        <v>42692</v>
      </c>
      <c r="O2739" s="29">
        <v>34.229999999999997</v>
      </c>
      <c r="P2739" s="18" t="s">
        <v>14</v>
      </c>
      <c r="Q2739" s="18">
        <v>1</v>
      </c>
      <c r="R2739" s="13">
        <v>43341</v>
      </c>
      <c r="S2739" s="21">
        <v>18.5</v>
      </c>
      <c r="T2739" s="22">
        <v>0.7</v>
      </c>
      <c r="U2739" s="22">
        <v>0.88</v>
      </c>
      <c r="V2739" s="22">
        <f>4.18/5</f>
        <v>0.83599999999999997</v>
      </c>
      <c r="AB2739" s="18">
        <f t="shared" si="84"/>
        <v>2016</v>
      </c>
      <c r="AC2739" s="22">
        <f t="shared" si="85"/>
        <v>0.80533333333333335</v>
      </c>
    </row>
    <row r="2740" spans="1:29">
      <c r="A2740" s="8" t="s">
        <v>3675</v>
      </c>
      <c r="B2740" s="17" t="s">
        <v>7800</v>
      </c>
      <c r="C2740" s="13">
        <v>42685</v>
      </c>
      <c r="D2740" s="13" t="s">
        <v>8465</v>
      </c>
      <c r="E2740" s="10" t="s">
        <v>1690</v>
      </c>
      <c r="F2740" s="10" t="s">
        <v>3218</v>
      </c>
      <c r="G2740" s="11" t="s">
        <v>3674</v>
      </c>
      <c r="H2740" s="2" t="s">
        <v>245</v>
      </c>
      <c r="L2740" s="18">
        <v>1</v>
      </c>
      <c r="N2740" s="13">
        <v>42908</v>
      </c>
      <c r="O2740" s="29">
        <v>19.989999999999998</v>
      </c>
      <c r="P2740" s="18" t="s">
        <v>1107</v>
      </c>
      <c r="Q2740" s="18">
        <v>1</v>
      </c>
      <c r="R2740" s="13">
        <v>43158</v>
      </c>
      <c r="S2740" s="21">
        <v>10.58</v>
      </c>
      <c r="T2740" s="22">
        <v>0.8</v>
      </c>
      <c r="U2740" s="22">
        <v>0.84</v>
      </c>
      <c r="V2740" s="22">
        <f>3.83/5</f>
        <v>0.76600000000000001</v>
      </c>
      <c r="W2740" s="14" t="s">
        <v>7777</v>
      </c>
      <c r="AB2740" s="18">
        <f t="shared" si="84"/>
        <v>2016</v>
      </c>
      <c r="AC2740" s="22">
        <f t="shared" si="85"/>
        <v>0.80200000000000005</v>
      </c>
    </row>
    <row r="2741" spans="1:29">
      <c r="A2741" s="8" t="s">
        <v>6560</v>
      </c>
      <c r="B2741" s="17" t="s">
        <v>7800</v>
      </c>
      <c r="C2741" s="13">
        <v>42671</v>
      </c>
      <c r="D2741" s="13" t="s">
        <v>8465</v>
      </c>
      <c r="E2741" s="10" t="s">
        <v>231</v>
      </c>
      <c r="F2741" s="10" t="s">
        <v>6559</v>
      </c>
      <c r="G2741" s="11" t="s">
        <v>6558</v>
      </c>
      <c r="H2741" s="2" t="s">
        <v>1050</v>
      </c>
      <c r="L2741" s="18">
        <v>1</v>
      </c>
      <c r="N2741" s="13">
        <v>42731</v>
      </c>
      <c r="O2741" s="29">
        <v>29.99</v>
      </c>
      <c r="P2741" s="18" t="s">
        <v>1107</v>
      </c>
      <c r="Q2741" s="18">
        <v>1</v>
      </c>
      <c r="T2741" s="22">
        <v>0.9</v>
      </c>
      <c r="U2741" s="22">
        <v>0.89</v>
      </c>
      <c r="V2741" s="22">
        <f>4.07/5</f>
        <v>0.81400000000000006</v>
      </c>
      <c r="W2741" s="14" t="s">
        <v>7796</v>
      </c>
      <c r="AB2741" s="18">
        <f t="shared" si="84"/>
        <v>2016</v>
      </c>
      <c r="AC2741" s="22">
        <f t="shared" si="85"/>
        <v>0.86799999999999999</v>
      </c>
    </row>
    <row r="2742" spans="1:29" ht="38.25">
      <c r="A2742" s="8" t="s">
        <v>10465</v>
      </c>
      <c r="B2742" s="17" t="s">
        <v>7749</v>
      </c>
      <c r="C2742" s="13">
        <v>42656</v>
      </c>
      <c r="D2742" s="13" t="s">
        <v>8465</v>
      </c>
      <c r="E2742" s="10" t="s">
        <v>1519</v>
      </c>
      <c r="F2742" s="10" t="s">
        <v>479</v>
      </c>
      <c r="H2742" s="2" t="s">
        <v>1057</v>
      </c>
      <c r="L2742" s="18">
        <v>1</v>
      </c>
      <c r="N2742" s="13">
        <v>44427</v>
      </c>
      <c r="O2742" s="29">
        <v>5.99</v>
      </c>
      <c r="P2742" s="18" t="s">
        <v>1107</v>
      </c>
      <c r="Q2742" s="18">
        <v>1</v>
      </c>
      <c r="R2742" s="13">
        <v>44714</v>
      </c>
      <c r="S2742" s="21">
        <f>1+20/60</f>
        <v>1.3333333333333333</v>
      </c>
      <c r="T2742" s="22">
        <v>0.5</v>
      </c>
      <c r="U2742" s="22">
        <v>0.59</v>
      </c>
      <c r="V2742" s="22">
        <f>3.08/5</f>
        <v>0.61599999999999999</v>
      </c>
      <c r="AB2742" s="18">
        <f t="shared" si="84"/>
        <v>2016</v>
      </c>
      <c r="AC2742" s="22">
        <f t="shared" si="85"/>
        <v>0.56866666666666665</v>
      </c>
    </row>
    <row r="2743" spans="1:29">
      <c r="A2743" s="8" t="s">
        <v>6519</v>
      </c>
      <c r="B2743" s="17" t="s">
        <v>7766</v>
      </c>
      <c r="C2743" s="13">
        <v>42654</v>
      </c>
      <c r="D2743" s="13" t="s">
        <v>8465</v>
      </c>
      <c r="E2743" s="10" t="s">
        <v>3116</v>
      </c>
      <c r="F2743" s="10" t="s">
        <v>6520</v>
      </c>
      <c r="G2743" s="11" t="s">
        <v>6303</v>
      </c>
      <c r="H2743" s="2" t="s">
        <v>1168</v>
      </c>
      <c r="L2743" s="18">
        <v>1</v>
      </c>
      <c r="M2743" s="14" t="s">
        <v>8462</v>
      </c>
      <c r="N2743" s="13">
        <v>43380</v>
      </c>
      <c r="O2743" s="29">
        <v>21.67</v>
      </c>
      <c r="P2743" s="18" t="s">
        <v>14</v>
      </c>
      <c r="Q2743" s="18">
        <v>1</v>
      </c>
      <c r="R2743" s="13">
        <v>43496</v>
      </c>
      <c r="S2743" s="21">
        <v>6.93</v>
      </c>
      <c r="T2743" s="22">
        <v>0.7</v>
      </c>
      <c r="U2743" s="22">
        <v>0.85</v>
      </c>
      <c r="V2743" s="22">
        <f>3.87/5</f>
        <v>0.77400000000000002</v>
      </c>
      <c r="AB2743" s="18">
        <f t="shared" si="84"/>
        <v>2016</v>
      </c>
      <c r="AC2743" s="22">
        <f t="shared" si="85"/>
        <v>0.77466666666666661</v>
      </c>
    </row>
    <row r="2744" spans="1:29">
      <c r="A2744" s="8" t="s">
        <v>5673</v>
      </c>
      <c r="B2744" s="17" t="s">
        <v>7800</v>
      </c>
      <c r="C2744" s="13">
        <v>42586</v>
      </c>
      <c r="D2744" s="13" t="s">
        <v>8465</v>
      </c>
      <c r="E2744" s="10" t="s">
        <v>5708</v>
      </c>
      <c r="F2744" s="10" t="s">
        <v>5708</v>
      </c>
      <c r="H2744" s="2" t="s">
        <v>151</v>
      </c>
      <c r="L2744" s="18">
        <v>1</v>
      </c>
      <c r="N2744" s="13">
        <v>43317</v>
      </c>
      <c r="O2744" s="29">
        <v>0</v>
      </c>
      <c r="P2744" s="18" t="s">
        <v>1107</v>
      </c>
      <c r="Q2744" s="18">
        <v>1</v>
      </c>
      <c r="R2744" s="13">
        <v>43348</v>
      </c>
      <c r="S2744" s="21">
        <v>0.35</v>
      </c>
      <c r="T2744" s="22">
        <v>0.7</v>
      </c>
      <c r="V2744" s="22">
        <f>3.31/5</f>
        <v>0.66200000000000003</v>
      </c>
      <c r="W2744" s="14" t="s">
        <v>7777</v>
      </c>
      <c r="AB2744" s="18">
        <f t="shared" si="84"/>
        <v>2016</v>
      </c>
      <c r="AC2744" s="22">
        <f t="shared" si="85"/>
        <v>0.68100000000000005</v>
      </c>
    </row>
    <row r="2745" spans="1:29">
      <c r="A2745" s="8" t="s">
        <v>4184</v>
      </c>
      <c r="B2745" s="17" t="s">
        <v>7800</v>
      </c>
      <c r="C2745" s="13">
        <v>42558</v>
      </c>
      <c r="D2745" s="13" t="s">
        <v>8465</v>
      </c>
      <c r="E2745" s="10" t="s">
        <v>4185</v>
      </c>
      <c r="F2745" s="10" t="s">
        <v>4185</v>
      </c>
      <c r="H2745" s="2" t="s">
        <v>27</v>
      </c>
      <c r="L2745" s="18">
        <v>1</v>
      </c>
      <c r="N2745" s="13">
        <v>43316</v>
      </c>
      <c r="O2745" s="29">
        <v>8.99</v>
      </c>
      <c r="P2745" s="18" t="s">
        <v>1107</v>
      </c>
      <c r="Q2745" s="18">
        <v>1</v>
      </c>
      <c r="R2745" s="13">
        <v>43317</v>
      </c>
      <c r="S2745" s="21">
        <v>3.22</v>
      </c>
      <c r="T2745" s="22">
        <v>0.8</v>
      </c>
      <c r="U2745" s="22">
        <v>0.84</v>
      </c>
      <c r="V2745" s="22">
        <f>3.95/5</f>
        <v>0.79</v>
      </c>
      <c r="W2745" s="14" t="s">
        <v>7777</v>
      </c>
      <c r="AB2745" s="18">
        <f t="shared" si="84"/>
        <v>2016</v>
      </c>
      <c r="AC2745" s="22">
        <f t="shared" si="85"/>
        <v>0.81</v>
      </c>
    </row>
    <row r="2746" spans="1:29">
      <c r="A2746" s="8" t="s">
        <v>3946</v>
      </c>
      <c r="B2746" s="17" t="s">
        <v>7800</v>
      </c>
      <c r="C2746" s="13">
        <v>42556</v>
      </c>
      <c r="D2746" s="13" t="s">
        <v>8465</v>
      </c>
      <c r="E2746" s="10" t="s">
        <v>3947</v>
      </c>
      <c r="F2746" s="10" t="s">
        <v>3947</v>
      </c>
      <c r="H2746" s="2" t="s">
        <v>143</v>
      </c>
      <c r="L2746" s="18">
        <v>1</v>
      </c>
      <c r="N2746" s="13">
        <v>43150</v>
      </c>
      <c r="O2746" s="29">
        <v>11.99</v>
      </c>
      <c r="P2746" s="18" t="s">
        <v>1107</v>
      </c>
      <c r="Q2746" s="18">
        <v>1</v>
      </c>
      <c r="R2746" s="13">
        <v>43936</v>
      </c>
      <c r="S2746" s="21">
        <f>4+38/60+38/3600</f>
        <v>4.6438888888888883</v>
      </c>
      <c r="T2746" s="22">
        <v>0.8</v>
      </c>
      <c r="U2746" s="22">
        <v>0.78</v>
      </c>
      <c r="V2746" s="22">
        <f>4/5</f>
        <v>0.8</v>
      </c>
      <c r="W2746" s="14" t="s">
        <v>7777</v>
      </c>
      <c r="AB2746" s="18">
        <f t="shared" si="84"/>
        <v>2016</v>
      </c>
      <c r="AC2746" s="22">
        <f t="shared" si="85"/>
        <v>0.79333333333333333</v>
      </c>
    </row>
    <row r="2747" spans="1:29">
      <c r="A2747" s="8" t="s">
        <v>4811</v>
      </c>
      <c r="B2747" s="17" t="s">
        <v>7766</v>
      </c>
      <c r="C2747" s="13">
        <v>42549</v>
      </c>
      <c r="D2747" s="13" t="s">
        <v>8465</v>
      </c>
      <c r="E2747" s="10" t="s">
        <v>73</v>
      </c>
      <c r="F2747" s="10" t="s">
        <v>73</v>
      </c>
      <c r="G2747" s="11" t="s">
        <v>943</v>
      </c>
      <c r="H2747" s="2" t="s">
        <v>1168</v>
      </c>
      <c r="L2747" s="18">
        <v>1</v>
      </c>
      <c r="M2747" s="14" t="s">
        <v>8462</v>
      </c>
      <c r="N2747" s="13">
        <v>43380</v>
      </c>
      <c r="O2747" s="29">
        <v>19</v>
      </c>
      <c r="P2747" s="18" t="s">
        <v>14</v>
      </c>
      <c r="Q2747" s="18">
        <v>1</v>
      </c>
      <c r="R2747" s="13">
        <v>43443</v>
      </c>
      <c r="S2747" s="21">
        <v>7.42</v>
      </c>
      <c r="T2747" s="22">
        <v>0.7</v>
      </c>
      <c r="U2747" s="22">
        <v>0.8</v>
      </c>
      <c r="V2747" s="22">
        <f>3.97/5</f>
        <v>0.79400000000000004</v>
      </c>
      <c r="AB2747" s="18">
        <f t="shared" si="84"/>
        <v>2016</v>
      </c>
      <c r="AC2747" s="22">
        <f t="shared" si="85"/>
        <v>0.76466666666666672</v>
      </c>
    </row>
    <row r="2748" spans="1:29">
      <c r="A2748" s="8" t="s">
        <v>4622</v>
      </c>
      <c r="B2748" s="17" t="s">
        <v>7800</v>
      </c>
      <c r="C2748" s="13">
        <v>42504</v>
      </c>
      <c r="D2748" s="13" t="s">
        <v>8465</v>
      </c>
      <c r="E2748" s="10" t="s">
        <v>4623</v>
      </c>
      <c r="F2748" s="10" t="s">
        <v>4624</v>
      </c>
      <c r="H2748" s="2" t="s">
        <v>56</v>
      </c>
      <c r="L2748" s="18">
        <v>1</v>
      </c>
      <c r="N2748" s="13">
        <v>42167</v>
      </c>
      <c r="O2748" s="29">
        <v>0.19</v>
      </c>
      <c r="P2748" s="18" t="s">
        <v>1107</v>
      </c>
      <c r="Q2748" s="18">
        <v>1</v>
      </c>
      <c r="R2748" s="13">
        <v>42198</v>
      </c>
      <c r="S2748" s="21">
        <v>1.01</v>
      </c>
      <c r="T2748" s="22">
        <v>0.8</v>
      </c>
      <c r="U2748" s="22">
        <v>0.9</v>
      </c>
      <c r="V2748" s="22">
        <f>3.44/5</f>
        <v>0.68799999999999994</v>
      </c>
      <c r="W2748" s="14" t="s">
        <v>7777</v>
      </c>
      <c r="AB2748" s="18">
        <f t="shared" si="84"/>
        <v>2016</v>
      </c>
      <c r="AC2748" s="22">
        <f t="shared" si="85"/>
        <v>0.79599999999999993</v>
      </c>
    </row>
    <row r="2749" spans="1:29">
      <c r="A2749" s="8" t="s">
        <v>1890</v>
      </c>
      <c r="B2749" s="17" t="s">
        <v>7800</v>
      </c>
      <c r="C2749" s="13">
        <v>42502</v>
      </c>
      <c r="D2749" s="13" t="s">
        <v>8465</v>
      </c>
      <c r="E2749" s="10" t="s">
        <v>1690</v>
      </c>
      <c r="F2749" s="10" t="s">
        <v>1889</v>
      </c>
      <c r="G2749" s="11" t="s">
        <v>1890</v>
      </c>
      <c r="H2749" s="2" t="s">
        <v>1050</v>
      </c>
      <c r="L2749" s="18">
        <v>1</v>
      </c>
      <c r="N2749" s="13">
        <v>42699</v>
      </c>
      <c r="O2749" s="29">
        <v>19.79</v>
      </c>
      <c r="P2749" s="18" t="s">
        <v>1107</v>
      </c>
      <c r="Q2749" s="18">
        <v>1</v>
      </c>
      <c r="R2749" s="13">
        <v>42922</v>
      </c>
      <c r="S2749" s="21">
        <v>8.8000000000000007</v>
      </c>
      <c r="T2749" s="22">
        <v>0.8</v>
      </c>
      <c r="U2749" s="22">
        <v>0.85</v>
      </c>
      <c r="V2749" s="22">
        <f>4.1/5</f>
        <v>0.82</v>
      </c>
      <c r="W2749" s="14" t="s">
        <v>7777</v>
      </c>
      <c r="AB2749" s="18">
        <f t="shared" si="84"/>
        <v>2016</v>
      </c>
      <c r="AC2749" s="22">
        <f t="shared" si="85"/>
        <v>0.82333333333333325</v>
      </c>
    </row>
    <row r="2750" spans="1:29" ht="30">
      <c r="A2750" s="8" t="s">
        <v>3569</v>
      </c>
      <c r="B2750" s="17" t="s">
        <v>7800</v>
      </c>
      <c r="C2750" s="13">
        <v>42471</v>
      </c>
      <c r="D2750" s="13" t="s">
        <v>8465</v>
      </c>
      <c r="E2750" s="10" t="s">
        <v>1604</v>
      </c>
      <c r="F2750" s="10" t="s">
        <v>1580</v>
      </c>
      <c r="G2750" s="11" t="s">
        <v>3566</v>
      </c>
      <c r="H2750" s="2" t="s">
        <v>171</v>
      </c>
      <c r="L2750" s="18">
        <v>1</v>
      </c>
      <c r="N2750" s="13">
        <v>42471</v>
      </c>
      <c r="O2750" s="29">
        <v>59.99</v>
      </c>
      <c r="P2750" s="18" t="s">
        <v>1107</v>
      </c>
      <c r="Q2750" s="18">
        <v>1</v>
      </c>
      <c r="R2750" s="13">
        <v>42495</v>
      </c>
      <c r="S2750" s="21">
        <v>27.98</v>
      </c>
      <c r="T2750" s="22">
        <v>1</v>
      </c>
      <c r="U2750" s="22">
        <v>0.89</v>
      </c>
      <c r="V2750" s="22">
        <f>4.32/5</f>
        <v>0.8640000000000001</v>
      </c>
      <c r="W2750" s="14" t="s">
        <v>7777</v>
      </c>
      <c r="AB2750" s="18">
        <f t="shared" si="84"/>
        <v>2016</v>
      </c>
      <c r="AC2750" s="22">
        <f t="shared" si="85"/>
        <v>0.91800000000000015</v>
      </c>
    </row>
    <row r="2751" spans="1:29" ht="38.25">
      <c r="A2751" s="8" t="s">
        <v>2440</v>
      </c>
      <c r="B2751" s="17" t="s">
        <v>7749</v>
      </c>
      <c r="C2751" s="13">
        <v>42460</v>
      </c>
      <c r="D2751" s="13" t="s">
        <v>8465</v>
      </c>
      <c r="E2751" s="10" t="s">
        <v>86</v>
      </c>
      <c r="F2751" s="10" t="s">
        <v>1794</v>
      </c>
      <c r="G2751" s="11" t="s">
        <v>85</v>
      </c>
      <c r="H2751" s="2" t="s">
        <v>78</v>
      </c>
      <c r="L2751" s="18">
        <v>1</v>
      </c>
      <c r="N2751" s="13">
        <v>42695</v>
      </c>
      <c r="O2751" s="29">
        <v>0</v>
      </c>
      <c r="P2751" s="18" t="s">
        <v>1107</v>
      </c>
      <c r="Q2751" s="18">
        <v>1</v>
      </c>
      <c r="R2751" s="13">
        <v>44019</v>
      </c>
      <c r="S2751" s="21">
        <f>5+48/60</f>
        <v>5.8</v>
      </c>
      <c r="T2751" s="22">
        <v>0.7</v>
      </c>
      <c r="U2751" s="22">
        <v>0.75</v>
      </c>
      <c r="V2751" s="22">
        <f>3.6/5</f>
        <v>0.72</v>
      </c>
      <c r="AB2751" s="18">
        <f t="shared" si="84"/>
        <v>2016</v>
      </c>
      <c r="AC2751" s="22">
        <f t="shared" si="85"/>
        <v>0.72333333333333327</v>
      </c>
    </row>
    <row r="2752" spans="1:29">
      <c r="A2752" s="8" t="s">
        <v>4812</v>
      </c>
      <c r="B2752" s="17" t="s">
        <v>7766</v>
      </c>
      <c r="C2752" s="13">
        <v>42458</v>
      </c>
      <c r="D2752" s="13" t="s">
        <v>8465</v>
      </c>
      <c r="E2752" s="10" t="s">
        <v>73</v>
      </c>
      <c r="F2752" s="10" t="s">
        <v>73</v>
      </c>
      <c r="G2752" s="11" t="s">
        <v>943</v>
      </c>
      <c r="H2752" s="2" t="s">
        <v>1168</v>
      </c>
      <c r="L2752" s="18">
        <v>1</v>
      </c>
      <c r="M2752" s="14" t="s">
        <v>8462</v>
      </c>
      <c r="N2752" s="13">
        <v>43442</v>
      </c>
      <c r="O2752" s="29">
        <v>17.5</v>
      </c>
      <c r="P2752" s="18" t="s">
        <v>14</v>
      </c>
      <c r="Q2752" s="18">
        <v>1</v>
      </c>
      <c r="R2752" s="13">
        <v>43498</v>
      </c>
      <c r="S2752" s="21">
        <v>18.52</v>
      </c>
      <c r="T2752" s="22">
        <v>0.5</v>
      </c>
      <c r="U2752" s="22">
        <v>0.63</v>
      </c>
      <c r="V2752" s="22">
        <f>3.75/5</f>
        <v>0.75</v>
      </c>
      <c r="AB2752" s="18">
        <f t="shared" si="84"/>
        <v>2016</v>
      </c>
      <c r="AC2752" s="22">
        <f t="shared" si="85"/>
        <v>0.62666666666666659</v>
      </c>
    </row>
    <row r="2753" spans="1:29" ht="25.5">
      <c r="A2753" s="8" t="s">
        <v>5431</v>
      </c>
      <c r="B2753" s="17" t="s">
        <v>7800</v>
      </c>
      <c r="C2753" s="13">
        <v>42437</v>
      </c>
      <c r="D2753" s="13" t="s">
        <v>8465</v>
      </c>
      <c r="E2753" s="10" t="s">
        <v>1047</v>
      </c>
      <c r="F2753" s="10" t="s">
        <v>5432</v>
      </c>
      <c r="G2753" s="11" t="s">
        <v>5433</v>
      </c>
      <c r="H2753" s="2" t="s">
        <v>1168</v>
      </c>
      <c r="L2753" s="18">
        <v>1</v>
      </c>
      <c r="N2753" s="13">
        <v>43273</v>
      </c>
      <c r="O2753" s="29">
        <v>9.99</v>
      </c>
      <c r="P2753" s="18" t="s">
        <v>1107</v>
      </c>
      <c r="Q2753" s="18">
        <v>1</v>
      </c>
      <c r="R2753" s="13">
        <v>44395</v>
      </c>
      <c r="S2753" s="21">
        <f>21+49/60</f>
        <v>21.816666666666666</v>
      </c>
      <c r="T2753" s="22">
        <v>0.5</v>
      </c>
      <c r="U2753" s="22">
        <v>0.8</v>
      </c>
      <c r="V2753" s="22">
        <f>3.45/5</f>
        <v>0.69000000000000006</v>
      </c>
      <c r="W2753" s="14" t="s">
        <v>7777</v>
      </c>
      <c r="AB2753" s="18">
        <f t="shared" ref="AB2753:AB2816" si="86">IFERROR(YEAR(C2753), "Early Access")</f>
        <v>2016</v>
      </c>
      <c r="AC2753" s="22">
        <f t="shared" ref="AC2753:AC2816" si="87">AVERAGE(T2753, U2753, V2753, IF(ISBLANK(X2753), X2753, X2753/5))</f>
        <v>0.66333333333333344</v>
      </c>
    </row>
    <row r="2754" spans="1:29" ht="25.5">
      <c r="A2754" s="8" t="s">
        <v>1115</v>
      </c>
      <c r="B2754" s="17" t="s">
        <v>7743</v>
      </c>
      <c r="C2754" s="13">
        <v>42433</v>
      </c>
      <c r="D2754" s="13" t="s">
        <v>8465</v>
      </c>
      <c r="E2754" s="10" t="s">
        <v>86</v>
      </c>
      <c r="F2754" s="10" t="s">
        <v>1138</v>
      </c>
      <c r="G2754" s="11" t="s">
        <v>85</v>
      </c>
      <c r="H2754" s="2" t="s">
        <v>80</v>
      </c>
      <c r="L2754" s="18">
        <v>1</v>
      </c>
      <c r="M2754" s="14" t="s">
        <v>8462</v>
      </c>
      <c r="N2754" s="13">
        <v>42433</v>
      </c>
      <c r="O2754" s="29">
        <v>51.59</v>
      </c>
      <c r="P2754" s="18" t="s">
        <v>14</v>
      </c>
      <c r="Q2754" s="18">
        <v>1</v>
      </c>
      <c r="R2754" s="13">
        <v>42539</v>
      </c>
      <c r="S2754" s="21">
        <v>36.520000000000003</v>
      </c>
      <c r="T2754" s="22">
        <v>0.9</v>
      </c>
      <c r="U2754" s="22">
        <v>0.86</v>
      </c>
      <c r="V2754" s="22">
        <f>4.4/5</f>
        <v>0.88000000000000012</v>
      </c>
      <c r="AB2754" s="18">
        <f t="shared" si="86"/>
        <v>2016</v>
      </c>
      <c r="AC2754" s="22">
        <f t="shared" si="87"/>
        <v>0.88</v>
      </c>
    </row>
    <row r="2755" spans="1:29" ht="38.25">
      <c r="A2755" s="8" t="s">
        <v>11239</v>
      </c>
      <c r="B2755" s="17" t="s">
        <v>7749</v>
      </c>
      <c r="C2755" s="13">
        <v>42432</v>
      </c>
      <c r="D2755" s="13" t="s">
        <v>8465</v>
      </c>
      <c r="E2755" s="10" t="s">
        <v>10018</v>
      </c>
      <c r="F2755" s="10" t="s">
        <v>11255</v>
      </c>
      <c r="G2755" s="11" t="s">
        <v>11256</v>
      </c>
      <c r="H2755" s="2" t="s">
        <v>1057</v>
      </c>
      <c r="L2755" s="18">
        <v>1</v>
      </c>
      <c r="N2755" s="13">
        <v>44673</v>
      </c>
      <c r="O2755" s="29">
        <v>2.4900000000000002</v>
      </c>
      <c r="P2755" s="18" t="s">
        <v>1107</v>
      </c>
      <c r="Q2755" s="18">
        <v>1</v>
      </c>
      <c r="R2755" s="13">
        <v>44773</v>
      </c>
      <c r="S2755" s="21">
        <f>3+50/60</f>
        <v>3.8333333333333335</v>
      </c>
      <c r="T2755" s="22">
        <v>0.4</v>
      </c>
      <c r="V2755" s="22">
        <f>3.53/5</f>
        <v>0.70599999999999996</v>
      </c>
      <c r="AB2755" s="18">
        <f t="shared" si="86"/>
        <v>2016</v>
      </c>
      <c r="AC2755" s="22">
        <f t="shared" si="87"/>
        <v>0.55299999999999994</v>
      </c>
    </row>
    <row r="2756" spans="1:29">
      <c r="A2756" s="8" t="s">
        <v>3872</v>
      </c>
      <c r="B2756" s="17" t="s">
        <v>7800</v>
      </c>
      <c r="C2756" s="13">
        <v>42430</v>
      </c>
      <c r="D2756" s="13" t="s">
        <v>8465</v>
      </c>
      <c r="E2756" s="10" t="s">
        <v>1047</v>
      </c>
      <c r="F2756" s="10" t="s">
        <v>1048</v>
      </c>
      <c r="G2756" s="11" t="s">
        <v>1049</v>
      </c>
      <c r="H2756" s="2" t="s">
        <v>80</v>
      </c>
      <c r="L2756" s="18">
        <v>1</v>
      </c>
      <c r="N2756" s="13">
        <v>43482</v>
      </c>
      <c r="O2756" s="29">
        <v>12.49</v>
      </c>
      <c r="P2756" s="18" t="s">
        <v>1107</v>
      </c>
      <c r="Q2756" s="18">
        <v>1</v>
      </c>
      <c r="R2756" s="13">
        <v>43654</v>
      </c>
      <c r="S2756" s="21">
        <v>6.15</v>
      </c>
      <c r="T2756" s="22">
        <v>0.6</v>
      </c>
      <c r="U2756" s="22">
        <v>0.72</v>
      </c>
      <c r="V2756" s="22">
        <f>3.36/5</f>
        <v>0.67199999999999993</v>
      </c>
      <c r="W2756" s="14" t="s">
        <v>7777</v>
      </c>
      <c r="AB2756" s="18">
        <f t="shared" si="86"/>
        <v>2016</v>
      </c>
      <c r="AC2756" s="22">
        <f t="shared" si="87"/>
        <v>0.66399999999999992</v>
      </c>
    </row>
    <row r="2757" spans="1:29">
      <c r="A2757" s="8" t="s">
        <v>14214</v>
      </c>
      <c r="B2757" s="17" t="s">
        <v>7781</v>
      </c>
      <c r="C2757" s="13">
        <v>42426</v>
      </c>
      <c r="D2757" s="13" t="s">
        <v>8465</v>
      </c>
      <c r="E2757" s="10" t="s">
        <v>5696</v>
      </c>
      <c r="F2757" s="10" t="s">
        <v>5696</v>
      </c>
      <c r="H2757" s="2" t="s">
        <v>151</v>
      </c>
      <c r="L2757" s="18">
        <v>1</v>
      </c>
      <c r="O2757" s="29">
        <v>0</v>
      </c>
      <c r="P2757" s="18" t="s">
        <v>1107</v>
      </c>
      <c r="Q2757" s="18">
        <v>1</v>
      </c>
      <c r="R2757" s="13">
        <v>45124</v>
      </c>
      <c r="T2757" s="22">
        <v>0.5</v>
      </c>
      <c r="W2757" s="14" t="s">
        <v>8765</v>
      </c>
      <c r="AB2757" s="18">
        <f t="shared" si="86"/>
        <v>2016</v>
      </c>
      <c r="AC2757" s="22">
        <f t="shared" si="87"/>
        <v>0.5</v>
      </c>
    </row>
    <row r="2758" spans="1:29">
      <c r="A2758" s="8" t="s">
        <v>4037</v>
      </c>
      <c r="B2758" s="17" t="s">
        <v>7800</v>
      </c>
      <c r="C2758" s="13">
        <v>42425</v>
      </c>
      <c r="D2758" s="13" t="s">
        <v>8465</v>
      </c>
      <c r="E2758" s="10" t="s">
        <v>4038</v>
      </c>
      <c r="F2758" s="10" t="s">
        <v>4038</v>
      </c>
      <c r="H2758" s="2" t="s">
        <v>171</v>
      </c>
      <c r="L2758" s="18">
        <v>1</v>
      </c>
      <c r="N2758" s="13">
        <v>43285</v>
      </c>
      <c r="O2758" s="29">
        <v>7.47</v>
      </c>
      <c r="P2758" s="18" t="s">
        <v>1107</v>
      </c>
      <c r="Q2758" s="18">
        <v>1</v>
      </c>
      <c r="R2758" s="13">
        <v>43313</v>
      </c>
      <c r="S2758" s="21">
        <v>13.68</v>
      </c>
      <c r="T2758" s="22">
        <v>0.6</v>
      </c>
      <c r="U2758" s="22">
        <v>0.83</v>
      </c>
      <c r="V2758" s="22">
        <f>3.98/5</f>
        <v>0.79600000000000004</v>
      </c>
      <c r="W2758" s="14" t="s">
        <v>7777</v>
      </c>
      <c r="AB2758" s="18">
        <f t="shared" si="86"/>
        <v>2016</v>
      </c>
      <c r="AC2758" s="22">
        <f t="shared" si="87"/>
        <v>0.74199999999999999</v>
      </c>
    </row>
    <row r="2759" spans="1:29" ht="25.5">
      <c r="A2759" s="8" t="s">
        <v>7274</v>
      </c>
      <c r="B2759" s="17" t="s">
        <v>7783</v>
      </c>
      <c r="C2759" s="13">
        <v>42425</v>
      </c>
      <c r="D2759" s="13" t="s">
        <v>8465</v>
      </c>
      <c r="E2759" s="10" t="s">
        <v>1047</v>
      </c>
      <c r="F2759" s="10" t="s">
        <v>7275</v>
      </c>
      <c r="G2759" s="11" t="s">
        <v>1563</v>
      </c>
      <c r="H2759" s="2" t="s">
        <v>171</v>
      </c>
      <c r="L2759" s="18">
        <v>1</v>
      </c>
      <c r="N2759" s="13">
        <v>43676</v>
      </c>
      <c r="O2759" s="29">
        <v>1.99</v>
      </c>
      <c r="P2759" s="18" t="s">
        <v>1107</v>
      </c>
      <c r="Q2759" s="18">
        <v>1</v>
      </c>
      <c r="R2759" s="13">
        <v>43678</v>
      </c>
      <c r="T2759" s="22">
        <v>0.4</v>
      </c>
      <c r="U2759" s="22">
        <v>0.74</v>
      </c>
      <c r="V2759" s="22">
        <f>3.63/5</f>
        <v>0.72599999999999998</v>
      </c>
      <c r="AB2759" s="18">
        <f t="shared" si="86"/>
        <v>2016</v>
      </c>
      <c r="AC2759" s="22">
        <f t="shared" si="87"/>
        <v>0.622</v>
      </c>
    </row>
    <row r="2760" spans="1:29">
      <c r="A2760" s="8" t="s">
        <v>4283</v>
      </c>
      <c r="B2760" s="17" t="s">
        <v>7800</v>
      </c>
      <c r="C2760" s="13">
        <v>42416</v>
      </c>
      <c r="D2760" s="13" t="s">
        <v>8465</v>
      </c>
      <c r="E2760" s="10" t="s">
        <v>3047</v>
      </c>
      <c r="F2760" s="10" t="s">
        <v>3048</v>
      </c>
      <c r="G2760" s="11" t="s">
        <v>4283</v>
      </c>
      <c r="H2760" s="2" t="s">
        <v>1061</v>
      </c>
      <c r="L2760" s="18">
        <v>1</v>
      </c>
      <c r="N2760" s="13">
        <v>43333</v>
      </c>
      <c r="P2760" s="18" t="s">
        <v>1107</v>
      </c>
      <c r="Q2760" s="18">
        <v>1</v>
      </c>
      <c r="R2760" s="13">
        <v>44472</v>
      </c>
      <c r="S2760" s="21">
        <f>2+2/60</f>
        <v>2.0333333333333332</v>
      </c>
      <c r="T2760" s="22">
        <v>0.4</v>
      </c>
      <c r="U2760" s="22">
        <v>0.72</v>
      </c>
      <c r="V2760" s="22">
        <f>3.41/5</f>
        <v>0.68200000000000005</v>
      </c>
      <c r="W2760" s="14" t="s">
        <v>7777</v>
      </c>
      <c r="AB2760" s="18">
        <f t="shared" si="86"/>
        <v>2016</v>
      </c>
      <c r="AC2760" s="22">
        <f t="shared" si="87"/>
        <v>0.60066666666666668</v>
      </c>
    </row>
    <row r="2761" spans="1:29" ht="25.5">
      <c r="A2761" s="8" t="s">
        <v>4843</v>
      </c>
      <c r="B2761" s="17" t="s">
        <v>7800</v>
      </c>
      <c r="C2761" s="13">
        <v>42409</v>
      </c>
      <c r="D2761" s="13" t="s">
        <v>8465</v>
      </c>
      <c r="E2761" s="10" t="s">
        <v>1082</v>
      </c>
      <c r="F2761" s="10" t="s">
        <v>1198</v>
      </c>
      <c r="G2761" s="11" t="s">
        <v>1853</v>
      </c>
      <c r="H2761" s="2" t="s">
        <v>80</v>
      </c>
      <c r="L2761" s="18">
        <v>1</v>
      </c>
      <c r="N2761" s="13">
        <v>42908</v>
      </c>
      <c r="O2761" s="29">
        <v>23.99</v>
      </c>
      <c r="P2761" s="18" t="s">
        <v>1107</v>
      </c>
      <c r="Q2761" s="18">
        <v>1</v>
      </c>
      <c r="R2761" s="13">
        <v>43209</v>
      </c>
      <c r="S2761" s="21">
        <v>11</v>
      </c>
      <c r="T2761" s="22">
        <v>0.8</v>
      </c>
      <c r="U2761" s="22">
        <v>0.86</v>
      </c>
      <c r="V2761" s="22">
        <f>3.81/5</f>
        <v>0.76200000000000001</v>
      </c>
      <c r="W2761" s="14" t="s">
        <v>7777</v>
      </c>
      <c r="AB2761" s="18">
        <f t="shared" si="86"/>
        <v>2016</v>
      </c>
      <c r="AC2761" s="22">
        <f t="shared" si="87"/>
        <v>0.80733333333333335</v>
      </c>
    </row>
    <row r="2762" spans="1:29" ht="25.5">
      <c r="A2762" s="8" t="s">
        <v>3220</v>
      </c>
      <c r="B2762" s="17" t="s">
        <v>7800</v>
      </c>
      <c r="C2762" s="13">
        <v>42409</v>
      </c>
      <c r="D2762" s="13" t="s">
        <v>8465</v>
      </c>
      <c r="E2762" s="10" t="s">
        <v>1047</v>
      </c>
      <c r="F2762" s="10" t="s">
        <v>1552</v>
      </c>
      <c r="G2762" s="11" t="s">
        <v>1563</v>
      </c>
      <c r="H2762" s="2" t="s">
        <v>80</v>
      </c>
      <c r="L2762" s="18">
        <v>1</v>
      </c>
      <c r="N2762" s="13">
        <v>43442</v>
      </c>
      <c r="O2762" s="29">
        <v>3.39</v>
      </c>
      <c r="P2762" s="18" t="s">
        <v>1107</v>
      </c>
      <c r="Q2762" s="18">
        <v>1</v>
      </c>
      <c r="R2762" s="13">
        <v>43722</v>
      </c>
      <c r="S2762" s="21">
        <v>6.13</v>
      </c>
      <c r="T2762" s="22">
        <v>0.4</v>
      </c>
      <c r="U2762" s="22">
        <v>0.53</v>
      </c>
      <c r="V2762" s="22">
        <f>2.95/5</f>
        <v>0.59000000000000008</v>
      </c>
      <c r="W2762" s="14" t="s">
        <v>7777</v>
      </c>
      <c r="AB2762" s="18">
        <f t="shared" si="86"/>
        <v>2016</v>
      </c>
      <c r="AC2762" s="22">
        <f t="shared" si="87"/>
        <v>0.50666666666666671</v>
      </c>
    </row>
    <row r="2763" spans="1:29" ht="30">
      <c r="A2763" s="8" t="s">
        <v>4167</v>
      </c>
      <c r="B2763" s="17" t="s">
        <v>7800</v>
      </c>
      <c r="C2763" s="13">
        <v>42400</v>
      </c>
      <c r="D2763" s="13" t="s">
        <v>8465</v>
      </c>
      <c r="E2763" s="10" t="s">
        <v>4168</v>
      </c>
      <c r="F2763" s="10" t="s">
        <v>4168</v>
      </c>
      <c r="H2763" s="2" t="s">
        <v>1061</v>
      </c>
      <c r="L2763" s="18">
        <v>1</v>
      </c>
      <c r="N2763" s="13">
        <v>43642</v>
      </c>
      <c r="O2763" s="29">
        <v>0.91</v>
      </c>
      <c r="P2763" s="18" t="s">
        <v>1107</v>
      </c>
      <c r="Q2763" s="18">
        <v>1</v>
      </c>
      <c r="R2763" s="13">
        <v>44112</v>
      </c>
      <c r="S2763" s="21">
        <f>2+27/60</f>
        <v>2.4500000000000002</v>
      </c>
      <c r="T2763" s="22">
        <v>0.6</v>
      </c>
      <c r="V2763" s="22">
        <f>4.04/5</f>
        <v>0.80800000000000005</v>
      </c>
      <c r="W2763" s="14" t="s">
        <v>7777</v>
      </c>
      <c r="AB2763" s="18">
        <f t="shared" si="86"/>
        <v>2016</v>
      </c>
      <c r="AC2763" s="22">
        <f t="shared" si="87"/>
        <v>0.70399999999999996</v>
      </c>
    </row>
    <row r="2764" spans="1:29">
      <c r="A2764" s="8" t="s">
        <v>13387</v>
      </c>
      <c r="B2764" s="17" t="s">
        <v>7800</v>
      </c>
      <c r="C2764" s="13">
        <v>42397</v>
      </c>
      <c r="D2764" s="13" t="s">
        <v>8465</v>
      </c>
      <c r="E2764" s="10" t="s">
        <v>13388</v>
      </c>
      <c r="F2764" s="10" t="s">
        <v>13389</v>
      </c>
      <c r="H2764" s="2" t="s">
        <v>151</v>
      </c>
      <c r="L2764" s="18">
        <v>1</v>
      </c>
      <c r="N2764" s="13">
        <v>44959</v>
      </c>
      <c r="O2764" s="29">
        <v>6.11</v>
      </c>
      <c r="P2764" s="18" t="s">
        <v>1107</v>
      </c>
      <c r="Q2764" s="18">
        <v>1</v>
      </c>
      <c r="R2764" s="13">
        <v>45131</v>
      </c>
      <c r="S2764" s="21">
        <f>10+17/60</f>
        <v>10.283333333333333</v>
      </c>
      <c r="T2764" s="22">
        <v>0.5</v>
      </c>
      <c r="V2764" s="22">
        <f>4.27/5</f>
        <v>0.85399999999999987</v>
      </c>
      <c r="W2764" s="14" t="s">
        <v>7777</v>
      </c>
      <c r="AB2764" s="18">
        <f t="shared" si="86"/>
        <v>2016</v>
      </c>
      <c r="AC2764" s="22">
        <f t="shared" si="87"/>
        <v>0.67699999999999994</v>
      </c>
    </row>
    <row r="2765" spans="1:29" ht="25.5">
      <c r="A2765" s="8" t="s">
        <v>3219</v>
      </c>
      <c r="B2765" s="17" t="s">
        <v>7800</v>
      </c>
      <c r="C2765" s="13">
        <v>42381</v>
      </c>
      <c r="D2765" s="13" t="s">
        <v>8465</v>
      </c>
      <c r="E2765" s="10" t="s">
        <v>1047</v>
      </c>
      <c r="F2765" s="10" t="s">
        <v>1552</v>
      </c>
      <c r="G2765" s="11" t="s">
        <v>1563</v>
      </c>
      <c r="H2765" s="2" t="s">
        <v>80</v>
      </c>
      <c r="L2765" s="18">
        <v>1</v>
      </c>
      <c r="N2765" s="13">
        <v>43442</v>
      </c>
      <c r="O2765" s="29">
        <v>3.39</v>
      </c>
      <c r="P2765" s="18" t="s">
        <v>1107</v>
      </c>
      <c r="Q2765" s="18">
        <v>1</v>
      </c>
      <c r="R2765" s="13">
        <v>43717</v>
      </c>
      <c r="S2765" s="21">
        <v>4.25</v>
      </c>
      <c r="T2765" s="22">
        <v>0.5</v>
      </c>
      <c r="U2765" s="22">
        <v>0.65</v>
      </c>
      <c r="V2765" s="22">
        <f>3.07/5</f>
        <v>0.61399999999999999</v>
      </c>
      <c r="W2765" s="14" t="s">
        <v>7777</v>
      </c>
      <c r="AB2765" s="18">
        <f t="shared" si="86"/>
        <v>2016</v>
      </c>
      <c r="AC2765" s="22">
        <f t="shared" si="87"/>
        <v>0.58799999999999997</v>
      </c>
    </row>
    <row r="2766" spans="1:29">
      <c r="A2766" s="8" t="s">
        <v>4726</v>
      </c>
      <c r="B2766" s="17" t="s">
        <v>7800</v>
      </c>
      <c r="C2766" s="13">
        <v>42373</v>
      </c>
      <c r="D2766" s="13" t="s">
        <v>8465</v>
      </c>
      <c r="E2766" s="10" t="s">
        <v>4727</v>
      </c>
      <c r="F2766" s="10" t="s">
        <v>4727</v>
      </c>
      <c r="H2766" s="2" t="s">
        <v>67</v>
      </c>
      <c r="L2766" s="18">
        <v>1</v>
      </c>
      <c r="N2766" s="13">
        <v>42547</v>
      </c>
      <c r="O2766" s="29">
        <v>2.99</v>
      </c>
      <c r="P2766" s="18" t="s">
        <v>1107</v>
      </c>
      <c r="Q2766" s="18">
        <v>1</v>
      </c>
      <c r="R2766" s="13">
        <v>42923</v>
      </c>
      <c r="S2766" s="21">
        <v>1.8</v>
      </c>
      <c r="T2766" s="22">
        <v>0.7</v>
      </c>
      <c r="U2766" s="22">
        <v>0.86</v>
      </c>
      <c r="V2766" s="22">
        <f>3.6/5</f>
        <v>0.72</v>
      </c>
      <c r="W2766" s="14" t="s">
        <v>7777</v>
      </c>
      <c r="AB2766" s="18">
        <f t="shared" si="86"/>
        <v>2016</v>
      </c>
      <c r="AC2766" s="22">
        <f t="shared" si="87"/>
        <v>0.76000000000000012</v>
      </c>
    </row>
    <row r="2767" spans="1:29">
      <c r="A2767" s="8" t="s">
        <v>14263</v>
      </c>
      <c r="B2767" s="17" t="s">
        <v>7800</v>
      </c>
      <c r="C2767" s="13">
        <v>42359</v>
      </c>
      <c r="D2767" s="13" t="s">
        <v>8465</v>
      </c>
      <c r="E2767" s="10" t="s">
        <v>14264</v>
      </c>
      <c r="F2767" s="10" t="s">
        <v>14264</v>
      </c>
      <c r="H2767" s="2" t="s">
        <v>78</v>
      </c>
      <c r="L2767" s="18">
        <v>1</v>
      </c>
      <c r="O2767" s="29">
        <v>0</v>
      </c>
      <c r="P2767" s="18" t="s">
        <v>1107</v>
      </c>
      <c r="Q2767" s="18">
        <v>0</v>
      </c>
      <c r="V2767" s="22">
        <f>3.75/5</f>
        <v>0.75</v>
      </c>
      <c r="W2767" s="14" t="s">
        <v>8765</v>
      </c>
      <c r="X2767" s="3">
        <v>2</v>
      </c>
      <c r="Z2767" s="23">
        <v>4</v>
      </c>
      <c r="AB2767" s="18">
        <f t="shared" si="86"/>
        <v>2015</v>
      </c>
      <c r="AC2767" s="22">
        <f t="shared" si="87"/>
        <v>0.57499999999999996</v>
      </c>
    </row>
    <row r="2768" spans="1:29">
      <c r="A2768" s="8" t="s">
        <v>5482</v>
      </c>
      <c r="B2768" s="17" t="s">
        <v>7800</v>
      </c>
      <c r="C2768" s="13">
        <v>42356</v>
      </c>
      <c r="D2768" s="13" t="s">
        <v>8465</v>
      </c>
      <c r="E2768" s="10" t="s">
        <v>5483</v>
      </c>
      <c r="F2768" s="10" t="s">
        <v>5483</v>
      </c>
      <c r="H2768" s="2" t="s">
        <v>1720</v>
      </c>
      <c r="L2768" s="18">
        <v>1</v>
      </c>
      <c r="N2768" s="13">
        <v>42356</v>
      </c>
      <c r="P2768" s="18" t="s">
        <v>1107</v>
      </c>
      <c r="Q2768" s="18">
        <v>0</v>
      </c>
      <c r="U2768" s="22">
        <v>0.7</v>
      </c>
      <c r="V2768" s="22">
        <f>4.02/5</f>
        <v>0.80399999999999994</v>
      </c>
      <c r="W2768" s="14" t="s">
        <v>7777</v>
      </c>
      <c r="X2768" s="3">
        <v>2</v>
      </c>
      <c r="Z2768" s="23">
        <v>49</v>
      </c>
      <c r="AB2768" s="18">
        <f t="shared" si="86"/>
        <v>2015</v>
      </c>
      <c r="AC2768" s="22">
        <f t="shared" si="87"/>
        <v>0.6346666666666666</v>
      </c>
    </row>
    <row r="2769" spans="1:29" ht="30">
      <c r="A2769" s="8" t="s">
        <v>11391</v>
      </c>
      <c r="B2769" s="17" t="s">
        <v>7749</v>
      </c>
      <c r="C2769" s="13">
        <v>42355</v>
      </c>
      <c r="D2769" s="13" t="s">
        <v>8465</v>
      </c>
      <c r="E2769" s="10" t="s">
        <v>10018</v>
      </c>
      <c r="F2769" s="10" t="s">
        <v>2483</v>
      </c>
      <c r="G2769" s="11" t="s">
        <v>2444</v>
      </c>
      <c r="H2769" s="2" t="s">
        <v>64</v>
      </c>
      <c r="L2769" s="18">
        <v>1</v>
      </c>
      <c r="N2769" s="13">
        <v>44639</v>
      </c>
      <c r="O2769" s="29">
        <v>6.99</v>
      </c>
      <c r="P2769" s="18" t="s">
        <v>1107</v>
      </c>
      <c r="Q2769" s="18">
        <v>0</v>
      </c>
      <c r="V2769" s="22">
        <f>3.98/5</f>
        <v>0.79600000000000004</v>
      </c>
      <c r="X2769" s="3">
        <v>3</v>
      </c>
      <c r="Z2769" s="23">
        <v>3</v>
      </c>
      <c r="AB2769" s="18">
        <f t="shared" si="86"/>
        <v>2015</v>
      </c>
      <c r="AC2769" s="22">
        <f t="shared" si="87"/>
        <v>0.69799999999999995</v>
      </c>
    </row>
    <row r="2770" spans="1:29">
      <c r="A2770" s="8" t="s">
        <v>9378</v>
      </c>
      <c r="B2770" s="17" t="s">
        <v>7800</v>
      </c>
      <c r="C2770" s="13">
        <v>42355</v>
      </c>
      <c r="D2770" s="13" t="s">
        <v>8465</v>
      </c>
      <c r="E2770" s="10" t="s">
        <v>9379</v>
      </c>
      <c r="F2770" s="10" t="s">
        <v>9379</v>
      </c>
      <c r="H2770" s="2" t="s">
        <v>1061</v>
      </c>
      <c r="L2770" s="18">
        <v>1</v>
      </c>
      <c r="N2770" s="13">
        <v>44119</v>
      </c>
      <c r="O2770" s="29">
        <v>0</v>
      </c>
      <c r="P2770" s="18" t="s">
        <v>1107</v>
      </c>
      <c r="Q2770" s="18">
        <v>0</v>
      </c>
      <c r="V2770" s="22">
        <f>2.57/5</f>
        <v>0.51400000000000001</v>
      </c>
      <c r="W2770" s="14" t="s">
        <v>7777</v>
      </c>
      <c r="X2770" s="3">
        <v>3</v>
      </c>
      <c r="Z2770" s="23">
        <v>1</v>
      </c>
      <c r="AB2770" s="18">
        <f t="shared" si="86"/>
        <v>2015</v>
      </c>
      <c r="AC2770" s="22">
        <f t="shared" si="87"/>
        <v>0.55699999999999994</v>
      </c>
    </row>
    <row r="2771" spans="1:29" ht="25.5">
      <c r="A2771" s="8" t="s">
        <v>14168</v>
      </c>
      <c r="B2771" s="17" t="s">
        <v>7800</v>
      </c>
      <c r="C2771" s="13">
        <v>42354</v>
      </c>
      <c r="D2771" s="13" t="s">
        <v>8465</v>
      </c>
      <c r="E2771" s="10" t="s">
        <v>14169</v>
      </c>
      <c r="F2771" s="10" t="s">
        <v>14169</v>
      </c>
      <c r="G2771" s="11" t="s">
        <v>14170</v>
      </c>
      <c r="H2771" s="2" t="s">
        <v>56</v>
      </c>
      <c r="L2771" s="18">
        <v>1</v>
      </c>
      <c r="P2771" s="18" t="s">
        <v>1107</v>
      </c>
      <c r="Q2771" s="18">
        <v>0</v>
      </c>
      <c r="V2771" s="22">
        <f>3.5/5</f>
        <v>0.7</v>
      </c>
      <c r="W2771" s="14" t="s">
        <v>7777</v>
      </c>
      <c r="X2771" s="3">
        <v>2</v>
      </c>
      <c r="Z2771" s="23">
        <v>2</v>
      </c>
      <c r="AB2771" s="18">
        <f t="shared" si="86"/>
        <v>2015</v>
      </c>
      <c r="AC2771" s="22">
        <f t="shared" si="87"/>
        <v>0.55000000000000004</v>
      </c>
    </row>
    <row r="2772" spans="1:29">
      <c r="A2772" s="8" t="s">
        <v>13767</v>
      </c>
      <c r="B2772" s="17" t="s">
        <v>7743</v>
      </c>
      <c r="C2772" s="13">
        <v>42354</v>
      </c>
      <c r="D2772" s="13" t="s">
        <v>8465</v>
      </c>
      <c r="E2772" s="10" t="s">
        <v>13768</v>
      </c>
      <c r="F2772" s="10" t="s">
        <v>13768</v>
      </c>
      <c r="H2772" s="2" t="s">
        <v>1518</v>
      </c>
      <c r="L2772" s="18">
        <v>0</v>
      </c>
      <c r="Q2772" s="18">
        <v>0</v>
      </c>
      <c r="U2772" s="22">
        <v>0.54</v>
      </c>
      <c r="V2772" s="22">
        <f>4.07/5</f>
        <v>0.81400000000000006</v>
      </c>
      <c r="W2772" s="14" t="s">
        <v>9890</v>
      </c>
      <c r="X2772" s="3">
        <v>2</v>
      </c>
      <c r="AB2772" s="18">
        <f t="shared" si="86"/>
        <v>2015</v>
      </c>
      <c r="AC2772" s="22">
        <f t="shared" si="87"/>
        <v>0.58466666666666667</v>
      </c>
    </row>
    <row r="2773" spans="1:29" ht="30">
      <c r="A2773" s="8" t="s">
        <v>8697</v>
      </c>
      <c r="B2773" s="17" t="s">
        <v>7762</v>
      </c>
      <c r="C2773" s="13">
        <v>42353</v>
      </c>
      <c r="D2773" s="13" t="s">
        <v>8465</v>
      </c>
      <c r="E2773" s="10" t="s">
        <v>1080</v>
      </c>
      <c r="F2773" s="10" t="s">
        <v>8698</v>
      </c>
      <c r="G2773" s="11" t="s">
        <v>1898</v>
      </c>
      <c r="H2773" s="2" t="s">
        <v>75</v>
      </c>
      <c r="L2773" s="18">
        <v>0</v>
      </c>
      <c r="Q2773" s="18">
        <v>0</v>
      </c>
      <c r="U2773" s="22">
        <v>0.74</v>
      </c>
      <c r="V2773" s="22">
        <f>4.04/5</f>
        <v>0.80800000000000005</v>
      </c>
      <c r="X2773" s="3">
        <v>3</v>
      </c>
      <c r="Z2773" s="23">
        <v>25</v>
      </c>
      <c r="AB2773" s="18">
        <f t="shared" si="86"/>
        <v>2015</v>
      </c>
      <c r="AC2773" s="22">
        <f t="shared" si="87"/>
        <v>0.71600000000000008</v>
      </c>
    </row>
    <row r="2774" spans="1:29">
      <c r="A2774" s="8" t="s">
        <v>1118</v>
      </c>
      <c r="B2774" s="17" t="s">
        <v>7743</v>
      </c>
      <c r="C2774" s="13">
        <v>42349</v>
      </c>
      <c r="D2774" s="13" t="s">
        <v>8465</v>
      </c>
      <c r="E2774" s="10" t="s">
        <v>86</v>
      </c>
      <c r="F2774" s="10" t="s">
        <v>1154</v>
      </c>
      <c r="G2774" s="11" t="s">
        <v>1118</v>
      </c>
      <c r="H2774" s="2" t="s">
        <v>1059</v>
      </c>
      <c r="L2774" s="18">
        <v>1</v>
      </c>
      <c r="M2774" s="14" t="s">
        <v>8462</v>
      </c>
      <c r="N2774" s="13">
        <v>43569</v>
      </c>
      <c r="O2774" s="29">
        <v>60</v>
      </c>
      <c r="P2774" s="18" t="s">
        <v>14</v>
      </c>
      <c r="Q2774" s="18">
        <v>0</v>
      </c>
      <c r="U2774" s="22">
        <v>0.44</v>
      </c>
      <c r="V2774" s="22">
        <f>3.53/5</f>
        <v>0.70599999999999996</v>
      </c>
      <c r="X2774" s="3">
        <v>3</v>
      </c>
      <c r="Z2774" s="23">
        <v>8.5</v>
      </c>
      <c r="AB2774" s="18">
        <f t="shared" si="86"/>
        <v>2015</v>
      </c>
      <c r="AC2774" s="22">
        <f t="shared" si="87"/>
        <v>0.58199999999999996</v>
      </c>
    </row>
    <row r="2775" spans="1:29">
      <c r="A2775" s="8" t="s">
        <v>10277</v>
      </c>
      <c r="B2775" s="17" t="s">
        <v>7743</v>
      </c>
      <c r="C2775" s="13">
        <v>42348</v>
      </c>
      <c r="D2775" s="13" t="s">
        <v>8465</v>
      </c>
      <c r="E2775" s="10" t="s">
        <v>1733</v>
      </c>
      <c r="F2775" s="10" t="s">
        <v>1733</v>
      </c>
      <c r="G2775" s="11" t="s">
        <v>1734</v>
      </c>
      <c r="H2775" s="2" t="s">
        <v>150</v>
      </c>
      <c r="L2775" s="18">
        <v>1</v>
      </c>
      <c r="N2775" s="13">
        <v>44413</v>
      </c>
      <c r="O2775" s="29">
        <v>14.99</v>
      </c>
      <c r="P2775" s="18" t="s">
        <v>1107</v>
      </c>
      <c r="Q2775" s="18">
        <v>0</v>
      </c>
      <c r="U2775" s="22">
        <v>0.81</v>
      </c>
      <c r="V2775" s="22">
        <f>4.18/5</f>
        <v>0.83599999999999997</v>
      </c>
      <c r="X2775" s="3">
        <v>3</v>
      </c>
      <c r="Z2775" s="23">
        <v>3</v>
      </c>
      <c r="AB2775" s="18">
        <f t="shared" si="86"/>
        <v>2015</v>
      </c>
      <c r="AC2775" s="22">
        <f t="shared" si="87"/>
        <v>0.7486666666666667</v>
      </c>
    </row>
    <row r="2776" spans="1:29">
      <c r="A2776" s="8" t="s">
        <v>4047</v>
      </c>
      <c r="B2776" s="17" t="s">
        <v>7800</v>
      </c>
      <c r="C2776" s="13">
        <v>42347</v>
      </c>
      <c r="D2776" s="13" t="s">
        <v>8465</v>
      </c>
      <c r="E2776" s="10" t="s">
        <v>479</v>
      </c>
      <c r="F2776" s="10" t="s">
        <v>479</v>
      </c>
      <c r="G2776" s="11" t="s">
        <v>447</v>
      </c>
      <c r="H2776" s="2" t="s">
        <v>459</v>
      </c>
      <c r="L2776" s="18">
        <v>1</v>
      </c>
      <c r="N2776" s="13">
        <v>43158</v>
      </c>
      <c r="P2776" s="18" t="s">
        <v>1107</v>
      </c>
      <c r="Q2776" s="18">
        <v>0</v>
      </c>
      <c r="U2776" s="22">
        <v>0.85</v>
      </c>
      <c r="V2776" s="22">
        <f>4.22/5</f>
        <v>0.84399999999999997</v>
      </c>
      <c r="W2776" s="14" t="s">
        <v>7777</v>
      </c>
      <c r="X2776" s="3">
        <v>3</v>
      </c>
      <c r="Z2776" s="23">
        <v>5.5</v>
      </c>
      <c r="AB2776" s="18">
        <f t="shared" si="86"/>
        <v>2015</v>
      </c>
      <c r="AC2776" s="22">
        <f t="shared" si="87"/>
        <v>0.76466666666666672</v>
      </c>
    </row>
    <row r="2777" spans="1:29" ht="38.25">
      <c r="A2777" s="8" t="s">
        <v>8997</v>
      </c>
      <c r="B2777" s="17" t="s">
        <v>7763</v>
      </c>
      <c r="C2777" s="13">
        <v>42346</v>
      </c>
      <c r="D2777" s="13" t="s">
        <v>8465</v>
      </c>
      <c r="E2777" s="10" t="s">
        <v>1534</v>
      </c>
      <c r="F2777" s="10" t="s">
        <v>1549</v>
      </c>
      <c r="G2777" s="11" t="s">
        <v>665</v>
      </c>
      <c r="H2777" s="2" t="s">
        <v>1168</v>
      </c>
      <c r="L2777" s="18">
        <v>1</v>
      </c>
      <c r="M2777" s="14" t="s">
        <v>8462</v>
      </c>
      <c r="N2777" s="13">
        <v>44011</v>
      </c>
      <c r="O2777" s="29">
        <v>9.2200000000000006</v>
      </c>
      <c r="P2777" s="18" t="s">
        <v>14</v>
      </c>
      <c r="Q2777" s="18">
        <v>0</v>
      </c>
      <c r="U2777" s="22">
        <v>0.72</v>
      </c>
      <c r="V2777" s="22">
        <f>4.05/5</f>
        <v>0.80999999999999994</v>
      </c>
      <c r="X2777" s="3">
        <v>3</v>
      </c>
      <c r="Z2777" s="23">
        <v>11.5</v>
      </c>
      <c r="AB2777" s="18">
        <f t="shared" si="86"/>
        <v>2015</v>
      </c>
      <c r="AC2777" s="22">
        <f t="shared" si="87"/>
        <v>0.71</v>
      </c>
    </row>
    <row r="2778" spans="1:29">
      <c r="A2778" s="8" t="s">
        <v>7646</v>
      </c>
      <c r="B2778" s="17" t="s">
        <v>7800</v>
      </c>
      <c r="C2778" s="13">
        <v>42345</v>
      </c>
      <c r="D2778" s="13" t="s">
        <v>8465</v>
      </c>
      <c r="E2778" s="10" t="s">
        <v>1513</v>
      </c>
      <c r="F2778" s="10" t="s">
        <v>1513</v>
      </c>
      <c r="G2778" s="11" t="s">
        <v>3666</v>
      </c>
      <c r="H2778" s="2" t="s">
        <v>150</v>
      </c>
      <c r="L2778" s="18">
        <v>1</v>
      </c>
      <c r="N2778" s="13">
        <v>43706</v>
      </c>
      <c r="O2778" s="29">
        <v>0</v>
      </c>
      <c r="P2778" s="18" t="s">
        <v>1107</v>
      </c>
      <c r="Q2778" s="18">
        <v>0</v>
      </c>
      <c r="U2778" s="22">
        <v>0.82</v>
      </c>
      <c r="V2778" s="22">
        <f>3.75/5</f>
        <v>0.75</v>
      </c>
      <c r="W2778" s="14" t="s">
        <v>7777</v>
      </c>
      <c r="X2778" s="3">
        <v>3</v>
      </c>
      <c r="Z2778" s="23">
        <v>27.5</v>
      </c>
      <c r="AB2778" s="18">
        <f t="shared" si="86"/>
        <v>2015</v>
      </c>
      <c r="AC2778" s="22">
        <f t="shared" si="87"/>
        <v>0.72333333333333327</v>
      </c>
    </row>
    <row r="2779" spans="1:29">
      <c r="A2779" s="8" t="s">
        <v>4555</v>
      </c>
      <c r="B2779" s="17" t="s">
        <v>7800</v>
      </c>
      <c r="C2779" s="13">
        <v>42343</v>
      </c>
      <c r="D2779" s="13" t="s">
        <v>8465</v>
      </c>
      <c r="E2779" s="10" t="s">
        <v>4364</v>
      </c>
      <c r="F2779" s="10" t="s">
        <v>4364</v>
      </c>
      <c r="H2779" s="2" t="s">
        <v>1518</v>
      </c>
      <c r="L2779" s="18">
        <v>1</v>
      </c>
      <c r="N2779" s="13">
        <v>42600</v>
      </c>
      <c r="P2779" s="18" t="s">
        <v>1107</v>
      </c>
      <c r="Q2779" s="18">
        <v>0</v>
      </c>
      <c r="U2779" s="22">
        <v>0.9</v>
      </c>
      <c r="V2779" s="22">
        <f>3.71/5</f>
        <v>0.74199999999999999</v>
      </c>
      <c r="W2779" s="14" t="s">
        <v>7777</v>
      </c>
      <c r="X2779" s="3">
        <v>3</v>
      </c>
      <c r="Z2779" s="23">
        <v>16</v>
      </c>
      <c r="AB2779" s="18">
        <f t="shared" si="86"/>
        <v>2015</v>
      </c>
      <c r="AC2779" s="22">
        <f t="shared" si="87"/>
        <v>0.74733333333333329</v>
      </c>
    </row>
    <row r="2780" spans="1:29" ht="38.25">
      <c r="A2780" s="8" t="s">
        <v>13185</v>
      </c>
      <c r="B2780" s="17" t="s">
        <v>7743</v>
      </c>
      <c r="C2780" s="13">
        <v>42343</v>
      </c>
      <c r="D2780" s="13" t="s">
        <v>8463</v>
      </c>
      <c r="E2780" s="10" t="s">
        <v>2129</v>
      </c>
      <c r="F2780" s="10" t="s">
        <v>1047</v>
      </c>
      <c r="G2780" s="11" t="s">
        <v>10273</v>
      </c>
      <c r="H2780" s="2" t="s">
        <v>1220</v>
      </c>
      <c r="K2780" s="18">
        <v>0</v>
      </c>
      <c r="L2780" s="18">
        <v>0</v>
      </c>
      <c r="Q2780" s="18">
        <v>0</v>
      </c>
      <c r="V2780" s="22">
        <f>3.83/5</f>
        <v>0.76600000000000001</v>
      </c>
      <c r="X2780" s="3">
        <v>2</v>
      </c>
      <c r="AB2780" s="18">
        <f t="shared" si="86"/>
        <v>2015</v>
      </c>
      <c r="AC2780" s="22">
        <f t="shared" si="87"/>
        <v>0.58299999999999996</v>
      </c>
    </row>
    <row r="2781" spans="1:29" ht="30">
      <c r="A2781" s="8" t="s">
        <v>14068</v>
      </c>
      <c r="B2781" s="17" t="s">
        <v>7760</v>
      </c>
      <c r="C2781" s="13">
        <v>42343</v>
      </c>
      <c r="D2781" s="13" t="s">
        <v>8465</v>
      </c>
      <c r="E2781" s="10" t="s">
        <v>2908</v>
      </c>
      <c r="F2781" s="10" t="s">
        <v>14071</v>
      </c>
      <c r="G2781" s="11" t="s">
        <v>14069</v>
      </c>
      <c r="H2781" s="2" t="s">
        <v>171</v>
      </c>
      <c r="L2781" s="18">
        <v>1</v>
      </c>
      <c r="N2781" s="13">
        <v>45084</v>
      </c>
      <c r="O2781" s="29">
        <v>4.99</v>
      </c>
      <c r="P2781" s="18" t="s">
        <v>1107</v>
      </c>
      <c r="Q2781" s="18">
        <v>0</v>
      </c>
      <c r="U2781" s="22">
        <v>0.63</v>
      </c>
      <c r="V2781" s="22">
        <f>3.42/5</f>
        <v>0.68399999999999994</v>
      </c>
      <c r="X2781" s="3">
        <v>2</v>
      </c>
      <c r="Z2781" s="23">
        <v>7</v>
      </c>
      <c r="AB2781" s="18">
        <f t="shared" si="86"/>
        <v>2015</v>
      </c>
      <c r="AC2781" s="22">
        <f t="shared" si="87"/>
        <v>0.57133333333333336</v>
      </c>
    </row>
    <row r="2782" spans="1:29" ht="25.5">
      <c r="A2782" s="8" t="s">
        <v>15497</v>
      </c>
      <c r="B2782" s="17" t="s">
        <v>7800</v>
      </c>
      <c r="C2782" s="13">
        <v>42343</v>
      </c>
      <c r="D2782" s="13" t="s">
        <v>8465</v>
      </c>
      <c r="E2782" s="10" t="s">
        <v>6304</v>
      </c>
      <c r="F2782" s="10" t="s">
        <v>4095</v>
      </c>
      <c r="G2782" s="11" t="s">
        <v>4094</v>
      </c>
      <c r="H2782" s="2" t="s">
        <v>1057</v>
      </c>
      <c r="L2782" s="18">
        <v>1</v>
      </c>
      <c r="N2782" s="13">
        <v>45145</v>
      </c>
      <c r="O2782" s="29">
        <v>1.99</v>
      </c>
      <c r="P2782" s="18" t="s">
        <v>1107</v>
      </c>
      <c r="Q2782" s="18">
        <v>0</v>
      </c>
      <c r="U2782" s="22">
        <v>0.54</v>
      </c>
      <c r="V2782" s="22">
        <f>3.29/5</f>
        <v>0.65800000000000003</v>
      </c>
      <c r="W2782" s="14" t="s">
        <v>7777</v>
      </c>
      <c r="X2782" s="3">
        <v>2</v>
      </c>
      <c r="Z2782" s="23">
        <v>3</v>
      </c>
      <c r="AB2782" s="18">
        <f t="shared" si="86"/>
        <v>2015</v>
      </c>
      <c r="AC2782" s="22">
        <f t="shared" si="87"/>
        <v>0.53266666666666662</v>
      </c>
    </row>
    <row r="2783" spans="1:29" ht="63.75">
      <c r="A2783" s="8" t="s">
        <v>3702</v>
      </c>
      <c r="B2783" s="17" t="s">
        <v>7800</v>
      </c>
      <c r="C2783" s="13">
        <v>42342</v>
      </c>
      <c r="D2783" s="13" t="s">
        <v>8465</v>
      </c>
      <c r="E2783" s="10" t="s">
        <v>3703</v>
      </c>
      <c r="F2783" s="10" t="s">
        <v>3703</v>
      </c>
      <c r="H2783" s="2" t="s">
        <v>67</v>
      </c>
      <c r="L2783" s="18">
        <v>1</v>
      </c>
      <c r="N2783" s="13">
        <v>43317</v>
      </c>
      <c r="P2783" s="18" t="s">
        <v>1107</v>
      </c>
      <c r="Q2783" s="18">
        <v>0</v>
      </c>
      <c r="U2783" s="22">
        <v>0.9</v>
      </c>
      <c r="V2783" s="22">
        <f>3.55/5</f>
        <v>0.71</v>
      </c>
      <c r="W2783" s="14" t="s">
        <v>7777</v>
      </c>
      <c r="X2783" s="3">
        <v>2</v>
      </c>
      <c r="Z2783" s="23">
        <v>0.4</v>
      </c>
      <c r="AB2783" s="18">
        <f t="shared" si="86"/>
        <v>2015</v>
      </c>
      <c r="AC2783" s="22">
        <f t="shared" si="87"/>
        <v>0.66999999999999993</v>
      </c>
    </row>
    <row r="2784" spans="1:29" ht="25.5">
      <c r="A2784" s="8" t="s">
        <v>7089</v>
      </c>
      <c r="B2784" s="17" t="s">
        <v>7800</v>
      </c>
      <c r="C2784" s="13">
        <v>42341</v>
      </c>
      <c r="D2784" s="13" t="s">
        <v>8465</v>
      </c>
      <c r="E2784" s="10" t="s">
        <v>6304</v>
      </c>
      <c r="F2784" s="10" t="s">
        <v>6331</v>
      </c>
      <c r="G2784" s="11" t="s">
        <v>6330</v>
      </c>
      <c r="H2784" s="2" t="s">
        <v>151</v>
      </c>
      <c r="L2784" s="18">
        <v>1</v>
      </c>
      <c r="N2784" s="13">
        <v>42359</v>
      </c>
      <c r="O2784" s="29">
        <v>0</v>
      </c>
      <c r="P2784" s="18" t="s">
        <v>1107</v>
      </c>
      <c r="Q2784" s="18">
        <v>0</v>
      </c>
      <c r="V2784" s="22">
        <f>3.72/5</f>
        <v>0.74399999999999999</v>
      </c>
      <c r="W2784" s="14" t="s">
        <v>7097</v>
      </c>
      <c r="X2784" s="3">
        <v>3</v>
      </c>
      <c r="Z2784" s="23">
        <v>4.5</v>
      </c>
      <c r="AB2784" s="18">
        <f t="shared" si="86"/>
        <v>2015</v>
      </c>
      <c r="AC2784" s="22">
        <f t="shared" si="87"/>
        <v>0.67199999999999993</v>
      </c>
    </row>
    <row r="2785" spans="1:29">
      <c r="A2785" s="8" t="s">
        <v>11502</v>
      </c>
      <c r="B2785" s="17" t="s">
        <v>7749</v>
      </c>
      <c r="C2785" s="13">
        <v>42341</v>
      </c>
      <c r="D2785" s="13" t="s">
        <v>8465</v>
      </c>
      <c r="E2785" s="10" t="s">
        <v>86</v>
      </c>
      <c r="F2785" s="10" t="s">
        <v>1794</v>
      </c>
      <c r="G2785" s="11" t="s">
        <v>1470</v>
      </c>
      <c r="H2785" s="2" t="s">
        <v>78</v>
      </c>
      <c r="L2785" s="18">
        <v>1</v>
      </c>
      <c r="N2785" s="13">
        <v>44675</v>
      </c>
      <c r="O2785" s="29">
        <v>29.97</v>
      </c>
      <c r="P2785" s="18" t="s">
        <v>1107</v>
      </c>
      <c r="Q2785" s="18">
        <v>0</v>
      </c>
      <c r="U2785" s="22">
        <v>0.75</v>
      </c>
      <c r="V2785" s="22">
        <f>3.35/5</f>
        <v>0.67</v>
      </c>
      <c r="X2785" s="3">
        <v>3</v>
      </c>
      <c r="Z2785" s="23">
        <v>47</v>
      </c>
      <c r="AB2785" s="18">
        <f t="shared" si="86"/>
        <v>2015</v>
      </c>
      <c r="AC2785" s="22">
        <f t="shared" si="87"/>
        <v>0.67333333333333334</v>
      </c>
    </row>
    <row r="2786" spans="1:29" ht="30">
      <c r="A2786" s="8" t="s">
        <v>13365</v>
      </c>
      <c r="B2786" s="17" t="s">
        <v>7760</v>
      </c>
      <c r="C2786" s="13">
        <v>42340</v>
      </c>
      <c r="D2786" s="13" t="s">
        <v>8465</v>
      </c>
      <c r="E2786" s="10" t="s">
        <v>54</v>
      </c>
      <c r="F2786" s="10" t="s">
        <v>6261</v>
      </c>
      <c r="G2786" s="11" t="s">
        <v>330</v>
      </c>
      <c r="H2786" s="2" t="s">
        <v>21</v>
      </c>
      <c r="L2786" s="18">
        <v>1</v>
      </c>
      <c r="M2786" s="14" t="s">
        <v>8462</v>
      </c>
      <c r="N2786" s="13">
        <v>44928</v>
      </c>
      <c r="O2786" s="29">
        <v>59.99</v>
      </c>
      <c r="P2786" s="18" t="s">
        <v>14</v>
      </c>
      <c r="Q2786" s="18">
        <v>0</v>
      </c>
      <c r="U2786" s="22">
        <v>0.8</v>
      </c>
      <c r="V2786" s="22">
        <f>3.92/5</f>
        <v>0.78400000000000003</v>
      </c>
      <c r="W2786" s="14" t="s">
        <v>1134</v>
      </c>
      <c r="X2786" s="3">
        <v>3</v>
      </c>
      <c r="Z2786" s="23">
        <f>46/60</f>
        <v>0.76666666666666672</v>
      </c>
      <c r="AB2786" s="18">
        <f t="shared" si="86"/>
        <v>2015</v>
      </c>
      <c r="AC2786" s="22">
        <f t="shared" si="87"/>
        <v>0.72800000000000009</v>
      </c>
    </row>
    <row r="2787" spans="1:29">
      <c r="A2787" s="8" t="s">
        <v>4218</v>
      </c>
      <c r="B2787" s="17" t="s">
        <v>7800</v>
      </c>
      <c r="C2787" s="13">
        <v>42339</v>
      </c>
      <c r="D2787" s="13" t="s">
        <v>8465</v>
      </c>
      <c r="E2787" s="10" t="s">
        <v>1082</v>
      </c>
      <c r="F2787" s="10" t="s">
        <v>4216</v>
      </c>
      <c r="G2787" s="11" t="s">
        <v>4215</v>
      </c>
      <c r="H2787" s="2" t="s">
        <v>1168</v>
      </c>
      <c r="L2787" s="18">
        <v>1</v>
      </c>
      <c r="N2787" s="13">
        <v>42701</v>
      </c>
      <c r="O2787" s="29">
        <v>14.99</v>
      </c>
      <c r="P2787" s="18" t="s">
        <v>1107</v>
      </c>
      <c r="Q2787" s="18">
        <v>0</v>
      </c>
      <c r="U2787" s="22">
        <v>0.74</v>
      </c>
      <c r="V2787" s="22">
        <f>3.5/5</f>
        <v>0.7</v>
      </c>
      <c r="W2787" s="14" t="s">
        <v>7777</v>
      </c>
      <c r="X2787" s="3">
        <v>3</v>
      </c>
      <c r="Z2787" s="23">
        <v>17</v>
      </c>
      <c r="AB2787" s="18">
        <f t="shared" si="86"/>
        <v>2015</v>
      </c>
      <c r="AC2787" s="22">
        <f t="shared" si="87"/>
        <v>0.68</v>
      </c>
    </row>
    <row r="2788" spans="1:29" ht="30">
      <c r="A2788" s="8" t="s">
        <v>15391</v>
      </c>
      <c r="B2788" s="17" t="s">
        <v>7760</v>
      </c>
      <c r="C2788" s="13">
        <v>42332</v>
      </c>
      <c r="D2788" s="13" t="s">
        <v>8465</v>
      </c>
      <c r="E2788" s="10" t="s">
        <v>2908</v>
      </c>
      <c r="F2788" s="10" t="s">
        <v>1580</v>
      </c>
      <c r="G2788" s="11" t="s">
        <v>3566</v>
      </c>
      <c r="H2788" s="2" t="s">
        <v>171</v>
      </c>
      <c r="J2788" s="18">
        <v>1</v>
      </c>
      <c r="L2788" s="18">
        <v>1</v>
      </c>
      <c r="N2788" s="13">
        <v>45126</v>
      </c>
      <c r="O2788" s="29">
        <v>9.99</v>
      </c>
      <c r="P2788" s="18" t="s">
        <v>1107</v>
      </c>
      <c r="Q2788" s="18">
        <v>0</v>
      </c>
      <c r="U2788" s="22">
        <v>0.87</v>
      </c>
      <c r="V2788" s="22">
        <f>4.3/5</f>
        <v>0.86</v>
      </c>
      <c r="X2788" s="3">
        <v>4</v>
      </c>
      <c r="Z2788" s="23">
        <v>8</v>
      </c>
      <c r="AB2788" s="18">
        <f t="shared" si="86"/>
        <v>2015</v>
      </c>
      <c r="AC2788" s="22">
        <f t="shared" si="87"/>
        <v>0.84333333333333338</v>
      </c>
    </row>
    <row r="2789" spans="1:29" ht="30">
      <c r="A2789" s="8" t="s">
        <v>9878</v>
      </c>
      <c r="B2789" s="17" t="s">
        <v>7749</v>
      </c>
      <c r="C2789" s="13">
        <v>42328</v>
      </c>
      <c r="D2789" s="13" t="s">
        <v>8465</v>
      </c>
      <c r="E2789" s="10" t="s">
        <v>86</v>
      </c>
      <c r="F2789" s="10" t="s">
        <v>2452</v>
      </c>
      <c r="G2789" s="11" t="s">
        <v>1984</v>
      </c>
      <c r="H2789" s="2" t="s">
        <v>1377</v>
      </c>
      <c r="L2789" s="18">
        <v>1</v>
      </c>
      <c r="M2789" s="14" t="s">
        <v>8462</v>
      </c>
      <c r="N2789" s="13">
        <v>44284</v>
      </c>
      <c r="O2789" s="29">
        <v>28.02</v>
      </c>
      <c r="P2789" s="18" t="s">
        <v>14</v>
      </c>
      <c r="Q2789" s="18">
        <v>0</v>
      </c>
      <c r="U2789" s="22">
        <v>0.69</v>
      </c>
      <c r="V2789" s="22">
        <f>4.14/5</f>
        <v>0.82799999999999996</v>
      </c>
      <c r="X2789" s="3">
        <v>3</v>
      </c>
      <c r="Z2789" s="23">
        <v>23.5</v>
      </c>
      <c r="AB2789" s="18">
        <f t="shared" si="86"/>
        <v>2015</v>
      </c>
      <c r="AC2789" s="22">
        <f t="shared" si="87"/>
        <v>0.70599999999999996</v>
      </c>
    </row>
    <row r="2790" spans="1:29">
      <c r="A2790" s="8" t="s">
        <v>3790</v>
      </c>
      <c r="B2790" s="17" t="s">
        <v>7800</v>
      </c>
      <c r="C2790" s="13">
        <v>42328</v>
      </c>
      <c r="D2790" s="13" t="s">
        <v>8465</v>
      </c>
      <c r="E2790" s="10" t="s">
        <v>3791</v>
      </c>
      <c r="F2790" s="10" t="s">
        <v>3791</v>
      </c>
      <c r="G2790" s="11" t="s">
        <v>3790</v>
      </c>
      <c r="H2790" s="2" t="s">
        <v>1057</v>
      </c>
      <c r="L2790" s="18">
        <v>1</v>
      </c>
      <c r="N2790" s="13">
        <v>42369</v>
      </c>
      <c r="P2790" s="18" t="s">
        <v>1107</v>
      </c>
      <c r="Q2790" s="18">
        <v>0</v>
      </c>
      <c r="V2790" s="22">
        <f>3.29/5</f>
        <v>0.65800000000000003</v>
      </c>
      <c r="W2790" s="14" t="s">
        <v>7777</v>
      </c>
      <c r="X2790" s="3">
        <v>3</v>
      </c>
      <c r="Z2790" s="23">
        <v>0.62</v>
      </c>
      <c r="AB2790" s="18">
        <f t="shared" si="86"/>
        <v>2015</v>
      </c>
      <c r="AC2790" s="22">
        <f t="shared" si="87"/>
        <v>0.629</v>
      </c>
    </row>
    <row r="2791" spans="1:29" ht="30">
      <c r="A2791" s="8" t="s">
        <v>1123</v>
      </c>
      <c r="B2791" s="17" t="s">
        <v>7743</v>
      </c>
      <c r="C2791" s="13">
        <v>42328</v>
      </c>
      <c r="D2791" s="13" t="s">
        <v>8465</v>
      </c>
      <c r="E2791" s="10" t="s">
        <v>86</v>
      </c>
      <c r="F2791" s="10" t="s">
        <v>1160</v>
      </c>
      <c r="G2791" s="11" t="s">
        <v>877</v>
      </c>
      <c r="H2791" s="2" t="s">
        <v>255</v>
      </c>
      <c r="L2791" s="18">
        <v>1</v>
      </c>
      <c r="M2791" s="14" t="s">
        <v>8462</v>
      </c>
      <c r="N2791" s="13">
        <v>43512</v>
      </c>
      <c r="O2791" s="29">
        <v>15.99</v>
      </c>
      <c r="P2791" s="18" t="s">
        <v>14</v>
      </c>
      <c r="Q2791" s="18">
        <v>0</v>
      </c>
      <c r="U2791" s="22">
        <v>0.56000000000000005</v>
      </c>
      <c r="V2791" s="22">
        <f>3.08/5</f>
        <v>0.61599999999999999</v>
      </c>
      <c r="X2791" s="3">
        <v>2</v>
      </c>
      <c r="Z2791" s="23">
        <v>5.5</v>
      </c>
      <c r="AB2791" s="18">
        <f t="shared" si="86"/>
        <v>2015</v>
      </c>
      <c r="AC2791" s="22">
        <f t="shared" si="87"/>
        <v>0.52533333333333332</v>
      </c>
    </row>
    <row r="2792" spans="1:29" ht="25.5">
      <c r="A2792" s="8" t="s">
        <v>4481</v>
      </c>
      <c r="B2792" s="17" t="s">
        <v>7800</v>
      </c>
      <c r="C2792" s="13">
        <v>42327</v>
      </c>
      <c r="D2792" s="13" t="s">
        <v>8465</v>
      </c>
      <c r="E2792" s="10" t="s">
        <v>3493</v>
      </c>
      <c r="F2792" s="10" t="s">
        <v>4482</v>
      </c>
      <c r="G2792" s="11" t="s">
        <v>4483</v>
      </c>
      <c r="H2792" s="2" t="s">
        <v>1720</v>
      </c>
      <c r="L2792" s="18">
        <v>1</v>
      </c>
      <c r="N2792" s="13">
        <v>43363</v>
      </c>
      <c r="P2792" s="18" t="s">
        <v>1107</v>
      </c>
      <c r="Q2792" s="18">
        <v>0</v>
      </c>
      <c r="U2792" s="22">
        <v>0.72</v>
      </c>
      <c r="V2792" s="22">
        <f>3.44/5</f>
        <v>0.68799999999999994</v>
      </c>
      <c r="W2792" s="14" t="s">
        <v>7777</v>
      </c>
      <c r="X2792" s="3">
        <v>3</v>
      </c>
      <c r="Z2792" s="23">
        <v>12</v>
      </c>
      <c r="AB2792" s="18">
        <f t="shared" si="86"/>
        <v>2015</v>
      </c>
      <c r="AC2792" s="22">
        <f t="shared" si="87"/>
        <v>0.66933333333333334</v>
      </c>
    </row>
    <row r="2793" spans="1:29">
      <c r="A2793" s="8" t="s">
        <v>8910</v>
      </c>
      <c r="B2793" s="17" t="s">
        <v>7800</v>
      </c>
      <c r="C2793" s="13">
        <v>42326</v>
      </c>
      <c r="D2793" s="13" t="s">
        <v>8465</v>
      </c>
      <c r="E2793" s="10" t="s">
        <v>3136</v>
      </c>
      <c r="F2793" s="10" t="s">
        <v>8911</v>
      </c>
      <c r="H2793" s="2" t="s">
        <v>171</v>
      </c>
      <c r="L2793" s="18">
        <v>1</v>
      </c>
      <c r="N2793" s="13">
        <v>44000</v>
      </c>
      <c r="O2793" s="29">
        <v>0</v>
      </c>
      <c r="P2793" s="18" t="s">
        <v>1107</v>
      </c>
      <c r="Q2793" s="18">
        <v>0</v>
      </c>
      <c r="V2793" s="22">
        <f>2.75/5</f>
        <v>0.55000000000000004</v>
      </c>
      <c r="W2793" s="14" t="s">
        <v>7777</v>
      </c>
      <c r="X2793" s="3">
        <v>3</v>
      </c>
      <c r="AB2793" s="18">
        <f t="shared" si="86"/>
        <v>2015</v>
      </c>
      <c r="AC2793" s="22">
        <f t="shared" si="87"/>
        <v>0.57499999999999996</v>
      </c>
    </row>
    <row r="2794" spans="1:29" ht="30">
      <c r="A2794" s="8" t="s">
        <v>15674</v>
      </c>
      <c r="B2794" s="17" t="s">
        <v>7800</v>
      </c>
      <c r="C2794" s="13">
        <v>42326</v>
      </c>
      <c r="D2794" s="13" t="s">
        <v>8465</v>
      </c>
      <c r="E2794" s="10" t="s">
        <v>15682</v>
      </c>
      <c r="F2794" s="10" t="s">
        <v>8227</v>
      </c>
      <c r="G2794" s="11" t="s">
        <v>15674</v>
      </c>
      <c r="H2794" s="2" t="s">
        <v>3937</v>
      </c>
      <c r="L2794" s="18">
        <v>1</v>
      </c>
      <c r="N2794" s="13">
        <v>45167</v>
      </c>
      <c r="O2794" s="29">
        <v>1.99</v>
      </c>
      <c r="P2794" s="18" t="s">
        <v>1107</v>
      </c>
      <c r="Q2794" s="18">
        <v>0</v>
      </c>
      <c r="U2794" s="22">
        <v>0.73</v>
      </c>
      <c r="V2794" s="22">
        <f>3.34/5</f>
        <v>0.66799999999999993</v>
      </c>
      <c r="W2794" s="14" t="s">
        <v>7777</v>
      </c>
      <c r="X2794" s="3">
        <v>3</v>
      </c>
      <c r="Z2794" s="23">
        <v>12</v>
      </c>
      <c r="AB2794" s="18">
        <f t="shared" si="86"/>
        <v>2015</v>
      </c>
      <c r="AC2794" s="22">
        <f t="shared" si="87"/>
        <v>0.66599999999999993</v>
      </c>
    </row>
    <row r="2795" spans="1:29">
      <c r="A2795" s="8" t="s">
        <v>8838</v>
      </c>
      <c r="B2795" s="17" t="s">
        <v>7749</v>
      </c>
      <c r="C2795" s="13">
        <v>42325</v>
      </c>
      <c r="D2795" s="13" t="s">
        <v>8465</v>
      </c>
      <c r="E2795" s="10" t="s">
        <v>2461</v>
      </c>
      <c r="F2795" s="10" t="s">
        <v>6037</v>
      </c>
      <c r="H2795" s="2" t="s">
        <v>149</v>
      </c>
      <c r="L2795" s="18">
        <v>1</v>
      </c>
      <c r="N2795" s="13">
        <v>43992</v>
      </c>
      <c r="O2795" s="29">
        <v>9.99</v>
      </c>
      <c r="P2795" s="18" t="s">
        <v>1107</v>
      </c>
      <c r="Q2795" s="18">
        <v>0</v>
      </c>
      <c r="U2795" s="22">
        <v>0.79</v>
      </c>
      <c r="V2795" s="22">
        <f>4.27/5</f>
        <v>0.85399999999999987</v>
      </c>
      <c r="X2795" s="3">
        <v>4</v>
      </c>
      <c r="Z2795" s="23">
        <v>48.5</v>
      </c>
      <c r="AB2795" s="18">
        <f t="shared" si="86"/>
        <v>2015</v>
      </c>
      <c r="AC2795" s="22">
        <f t="shared" si="87"/>
        <v>0.81466666666666665</v>
      </c>
    </row>
    <row r="2796" spans="1:29" ht="30">
      <c r="A2796" s="8" t="s">
        <v>7997</v>
      </c>
      <c r="B2796" s="17" t="s">
        <v>7760</v>
      </c>
      <c r="C2796" s="13">
        <v>42325</v>
      </c>
      <c r="D2796" s="13" t="s">
        <v>8465</v>
      </c>
      <c r="E2796" s="10" t="s">
        <v>2317</v>
      </c>
      <c r="F2796" s="10" t="s">
        <v>1284</v>
      </c>
      <c r="G2796" s="11" t="s">
        <v>1481</v>
      </c>
      <c r="H2796" s="2" t="s">
        <v>1168</v>
      </c>
      <c r="L2796" s="18">
        <v>1</v>
      </c>
      <c r="M2796" s="14" t="s">
        <v>8462</v>
      </c>
      <c r="N2796" s="13">
        <v>43766</v>
      </c>
      <c r="O2796" s="29">
        <v>35.43</v>
      </c>
      <c r="P2796" s="18" t="s">
        <v>14</v>
      </c>
      <c r="Q2796" s="18">
        <v>0</v>
      </c>
      <c r="V2796" s="22">
        <f>3.63/5</f>
        <v>0.72599999999999998</v>
      </c>
      <c r="W2796" s="14" t="s">
        <v>1134</v>
      </c>
      <c r="X2796" s="3">
        <v>3</v>
      </c>
      <c r="Z2796" s="23">
        <v>7</v>
      </c>
      <c r="AB2796" s="18">
        <f t="shared" si="86"/>
        <v>2015</v>
      </c>
      <c r="AC2796" s="22">
        <f t="shared" si="87"/>
        <v>0.66300000000000003</v>
      </c>
    </row>
    <row r="2797" spans="1:29" ht="25.5">
      <c r="A2797" s="8" t="s">
        <v>3960</v>
      </c>
      <c r="B2797" s="17" t="s">
        <v>7800</v>
      </c>
      <c r="C2797" s="13">
        <v>42325</v>
      </c>
      <c r="D2797" s="13" t="s">
        <v>8465</v>
      </c>
      <c r="E2797" s="10" t="s">
        <v>3246</v>
      </c>
      <c r="F2797" s="10" t="s">
        <v>3246</v>
      </c>
      <c r="G2797" s="11" t="s">
        <v>3958</v>
      </c>
      <c r="H2797" s="2" t="s">
        <v>67</v>
      </c>
      <c r="L2797" s="18">
        <v>1</v>
      </c>
      <c r="N2797" s="13">
        <v>42285</v>
      </c>
      <c r="O2797" s="29">
        <v>10.09</v>
      </c>
      <c r="P2797" s="18" t="s">
        <v>1107</v>
      </c>
      <c r="Q2797" s="18">
        <v>0</v>
      </c>
      <c r="U2797" s="22">
        <v>0.66</v>
      </c>
      <c r="V2797" s="22">
        <f>3.42/5</f>
        <v>0.68399999999999994</v>
      </c>
      <c r="W2797" s="14" t="s">
        <v>7777</v>
      </c>
      <c r="X2797" s="3">
        <v>3</v>
      </c>
      <c r="Z2797" s="23">
        <v>12.5</v>
      </c>
      <c r="AB2797" s="18">
        <f t="shared" si="86"/>
        <v>2015</v>
      </c>
      <c r="AC2797" s="22">
        <f t="shared" si="87"/>
        <v>0.64800000000000002</v>
      </c>
    </row>
    <row r="2798" spans="1:29">
      <c r="A2798" s="8" t="s">
        <v>14049</v>
      </c>
      <c r="B2798" s="17" t="s">
        <v>7760</v>
      </c>
      <c r="C2798" s="13">
        <v>42325</v>
      </c>
      <c r="D2798" s="13" t="s">
        <v>8465</v>
      </c>
      <c r="E2798" s="10" t="s">
        <v>1273</v>
      </c>
      <c r="F2798" s="10" t="s">
        <v>5879</v>
      </c>
      <c r="G2798" s="11" t="s">
        <v>1308</v>
      </c>
      <c r="H2798" s="2" t="s">
        <v>80</v>
      </c>
      <c r="L2798" s="18">
        <v>1</v>
      </c>
      <c r="M2798" s="14" t="s">
        <v>8462</v>
      </c>
      <c r="N2798" s="13">
        <v>45010</v>
      </c>
      <c r="O2798" s="29">
        <v>41.27</v>
      </c>
      <c r="P2798" s="18" t="s">
        <v>14</v>
      </c>
      <c r="Q2798" s="18">
        <v>0</v>
      </c>
      <c r="U2798" s="22">
        <v>0.6</v>
      </c>
      <c r="V2798" s="22">
        <f>3.69/5</f>
        <v>0.73799999999999999</v>
      </c>
      <c r="X2798" s="3">
        <v>3</v>
      </c>
      <c r="Z2798" s="23">
        <v>7.5</v>
      </c>
      <c r="AB2798" s="18">
        <f t="shared" si="86"/>
        <v>2015</v>
      </c>
      <c r="AC2798" s="22">
        <f t="shared" si="87"/>
        <v>0.64600000000000002</v>
      </c>
    </row>
    <row r="2799" spans="1:29">
      <c r="A2799" s="8" t="s">
        <v>11390</v>
      </c>
      <c r="B2799" s="17" t="s">
        <v>7749</v>
      </c>
      <c r="C2799" s="13">
        <v>42325</v>
      </c>
      <c r="D2799" s="13" t="s">
        <v>8465</v>
      </c>
      <c r="E2799" s="10" t="s">
        <v>1519</v>
      </c>
      <c r="F2799" s="10" t="s">
        <v>8379</v>
      </c>
      <c r="H2799" s="2" t="s">
        <v>149</v>
      </c>
      <c r="L2799" s="18">
        <v>0</v>
      </c>
      <c r="Q2799" s="18">
        <v>0</v>
      </c>
      <c r="U2799" s="22">
        <v>0.62</v>
      </c>
      <c r="V2799" s="22">
        <f>3.66/5</f>
        <v>0.73199999999999998</v>
      </c>
      <c r="X2799" s="3">
        <v>2</v>
      </c>
      <c r="Y2799" s="18">
        <v>1</v>
      </c>
      <c r="Z2799" s="23">
        <v>27.5</v>
      </c>
      <c r="AB2799" s="18">
        <f t="shared" si="86"/>
        <v>2015</v>
      </c>
      <c r="AC2799" s="22">
        <f t="shared" si="87"/>
        <v>0.58399999999999996</v>
      </c>
    </row>
    <row r="2800" spans="1:29" ht="25.5">
      <c r="A2800" s="8" t="s">
        <v>1116</v>
      </c>
      <c r="B2800" s="17" t="s">
        <v>7743</v>
      </c>
      <c r="C2800" s="13">
        <v>42321</v>
      </c>
      <c r="D2800" s="13" t="s">
        <v>8465</v>
      </c>
      <c r="E2800" s="10" t="s">
        <v>86</v>
      </c>
      <c r="F2800" s="10" t="s">
        <v>1138</v>
      </c>
      <c r="G2800" s="11" t="s">
        <v>901</v>
      </c>
      <c r="H2800" s="2" t="s">
        <v>1469</v>
      </c>
      <c r="L2800" s="18">
        <v>1</v>
      </c>
      <c r="M2800" s="14" t="s">
        <v>8462</v>
      </c>
      <c r="N2800" s="13">
        <v>43496</v>
      </c>
      <c r="O2800" s="29">
        <v>19.989999999999998</v>
      </c>
      <c r="P2800" s="18" t="s">
        <v>14</v>
      </c>
      <c r="Q2800" s="18">
        <v>0</v>
      </c>
      <c r="U2800" s="22">
        <v>0.48</v>
      </c>
      <c r="V2800" s="22">
        <f>2.88/5</f>
        <v>0.57599999999999996</v>
      </c>
      <c r="X2800" s="3">
        <v>2</v>
      </c>
      <c r="Z2800" s="23">
        <v>7.5</v>
      </c>
      <c r="AB2800" s="18">
        <f t="shared" si="86"/>
        <v>2015</v>
      </c>
      <c r="AC2800" s="22">
        <f t="shared" si="87"/>
        <v>0.48533333333333334</v>
      </c>
    </row>
    <row r="2801" spans="1:29" ht="25.5">
      <c r="A2801" s="8" t="s">
        <v>6983</v>
      </c>
      <c r="B2801" s="17" t="s">
        <v>7800</v>
      </c>
      <c r="C2801" s="13">
        <v>42318</v>
      </c>
      <c r="D2801" s="13" t="s">
        <v>8465</v>
      </c>
      <c r="E2801" s="10" t="s">
        <v>1296</v>
      </c>
      <c r="F2801" s="10" t="s">
        <v>1296</v>
      </c>
      <c r="G2801" s="11" t="s">
        <v>6599</v>
      </c>
      <c r="H2801" s="2" t="s">
        <v>1143</v>
      </c>
      <c r="L2801" s="18">
        <v>1</v>
      </c>
      <c r="N2801" s="13">
        <v>42318</v>
      </c>
      <c r="O2801" s="29">
        <v>39.99</v>
      </c>
      <c r="P2801" s="18" t="s">
        <v>1107</v>
      </c>
      <c r="Q2801" s="18">
        <v>0</v>
      </c>
      <c r="U2801" s="22">
        <v>0.87</v>
      </c>
      <c r="V2801" s="22">
        <f>4.16/5</f>
        <v>0.83200000000000007</v>
      </c>
      <c r="W2801" s="14" t="s">
        <v>7797</v>
      </c>
      <c r="X2801" s="3">
        <v>4</v>
      </c>
      <c r="Z2801" s="23">
        <v>13.5</v>
      </c>
      <c r="AB2801" s="18">
        <f t="shared" si="86"/>
        <v>2015</v>
      </c>
      <c r="AC2801" s="22">
        <f t="shared" si="87"/>
        <v>0.83399999999999996</v>
      </c>
    </row>
    <row r="2802" spans="1:29">
      <c r="A2802" s="8" t="s">
        <v>3863</v>
      </c>
      <c r="B2802" s="17" t="s">
        <v>7800</v>
      </c>
      <c r="C2802" s="13">
        <v>42318</v>
      </c>
      <c r="D2802" s="13" t="s">
        <v>8465</v>
      </c>
      <c r="E2802" s="10" t="s">
        <v>1690</v>
      </c>
      <c r="F2802" s="10" t="s">
        <v>1691</v>
      </c>
      <c r="G2802" s="11" t="s">
        <v>3864</v>
      </c>
      <c r="H2802" s="2" t="s">
        <v>171</v>
      </c>
      <c r="L2802" s="18">
        <v>1</v>
      </c>
      <c r="N2802" s="13">
        <v>43442</v>
      </c>
      <c r="O2802" s="29">
        <v>14.99</v>
      </c>
      <c r="P2802" s="18" t="s">
        <v>1107</v>
      </c>
      <c r="Q2802" s="18">
        <v>0</v>
      </c>
      <c r="U2802" s="22">
        <v>0.86</v>
      </c>
      <c r="V2802" s="22">
        <f>3.67/5</f>
        <v>0.73399999999999999</v>
      </c>
      <c r="W2802" s="14" t="s">
        <v>7777</v>
      </c>
      <c r="X2802" s="3">
        <v>4</v>
      </c>
      <c r="Z2802" s="23">
        <v>26</v>
      </c>
      <c r="AB2802" s="18">
        <f t="shared" si="86"/>
        <v>2015</v>
      </c>
      <c r="AC2802" s="22">
        <f t="shared" si="87"/>
        <v>0.79800000000000004</v>
      </c>
    </row>
    <row r="2803" spans="1:29" ht="30">
      <c r="A2803" s="8" t="s">
        <v>1044</v>
      </c>
      <c r="B2803" s="17" t="s">
        <v>7741</v>
      </c>
      <c r="C2803" s="13">
        <v>42318</v>
      </c>
      <c r="D2803" s="13" t="s">
        <v>8465</v>
      </c>
      <c r="E2803" s="10" t="s">
        <v>1062</v>
      </c>
      <c r="F2803" s="10" t="s">
        <v>1063</v>
      </c>
      <c r="G2803" s="11" t="s">
        <v>1064</v>
      </c>
      <c r="H2803" s="2" t="s">
        <v>80</v>
      </c>
      <c r="L2803" s="18">
        <v>1</v>
      </c>
      <c r="M2803" s="14" t="s">
        <v>8462</v>
      </c>
      <c r="N2803" s="13">
        <v>43507</v>
      </c>
      <c r="O2803" s="29">
        <v>0</v>
      </c>
      <c r="P2803" s="18" t="s">
        <v>14</v>
      </c>
      <c r="Q2803" s="18">
        <v>0</v>
      </c>
      <c r="U2803" s="22">
        <v>0.7</v>
      </c>
      <c r="V2803" s="22">
        <f>3.96/5</f>
        <v>0.79200000000000004</v>
      </c>
      <c r="W2803" s="14" t="s">
        <v>8469</v>
      </c>
      <c r="X2803" s="3">
        <v>3</v>
      </c>
      <c r="Z2803" s="23">
        <v>8</v>
      </c>
      <c r="AB2803" s="18">
        <f t="shared" si="86"/>
        <v>2015</v>
      </c>
      <c r="AC2803" s="22">
        <f t="shared" si="87"/>
        <v>0.69733333333333336</v>
      </c>
    </row>
    <row r="2804" spans="1:29" ht="25.5">
      <c r="A2804" s="8" t="s">
        <v>10558</v>
      </c>
      <c r="B2804" s="17" t="s">
        <v>7800</v>
      </c>
      <c r="C2804" s="13">
        <v>42318</v>
      </c>
      <c r="D2804" s="13" t="s">
        <v>8465</v>
      </c>
      <c r="E2804" s="10" t="s">
        <v>10562</v>
      </c>
      <c r="F2804" s="10" t="s">
        <v>10562</v>
      </c>
      <c r="H2804" s="2" t="s">
        <v>21</v>
      </c>
      <c r="L2804" s="18">
        <v>1</v>
      </c>
      <c r="N2804" s="13">
        <v>44497</v>
      </c>
      <c r="O2804" s="29">
        <v>0.99</v>
      </c>
      <c r="P2804" s="18" t="s">
        <v>1107</v>
      </c>
      <c r="Q2804" s="18">
        <v>0</v>
      </c>
      <c r="V2804" s="22">
        <f>3.17/5</f>
        <v>0.63400000000000001</v>
      </c>
      <c r="W2804" s="14" t="s">
        <v>7777</v>
      </c>
      <c r="X2804" s="3">
        <v>3</v>
      </c>
      <c r="Z2804" s="23">
        <v>1.5</v>
      </c>
      <c r="AB2804" s="18">
        <f t="shared" si="86"/>
        <v>2015</v>
      </c>
      <c r="AC2804" s="22">
        <f t="shared" si="87"/>
        <v>0.61699999999999999</v>
      </c>
    </row>
    <row r="2805" spans="1:29" ht="30">
      <c r="A2805" s="8" t="s">
        <v>1044</v>
      </c>
      <c r="B2805" s="17" t="s">
        <v>7743</v>
      </c>
      <c r="C2805" s="13">
        <v>42318</v>
      </c>
      <c r="D2805" s="13" t="s">
        <v>8465</v>
      </c>
      <c r="E2805" s="10" t="s">
        <v>1062</v>
      </c>
      <c r="F2805" s="10" t="s">
        <v>1167</v>
      </c>
      <c r="G2805" s="11" t="s">
        <v>1064</v>
      </c>
      <c r="H2805" s="2" t="s">
        <v>80</v>
      </c>
      <c r="L2805" s="18">
        <v>1</v>
      </c>
      <c r="M2805" s="14" t="s">
        <v>8462</v>
      </c>
      <c r="N2805" s="13">
        <v>43507</v>
      </c>
      <c r="O2805" s="29">
        <v>17</v>
      </c>
      <c r="P2805" s="18" t="s">
        <v>14</v>
      </c>
      <c r="Q2805" s="18">
        <v>0</v>
      </c>
      <c r="U2805" s="22">
        <v>0.47</v>
      </c>
      <c r="V2805" s="22">
        <f>3.15/5</f>
        <v>0.63</v>
      </c>
      <c r="W2805" s="14" t="s">
        <v>8470</v>
      </c>
      <c r="X2805" s="3">
        <v>3</v>
      </c>
      <c r="Z2805" s="23">
        <v>8</v>
      </c>
      <c r="AB2805" s="18">
        <f t="shared" si="86"/>
        <v>2015</v>
      </c>
      <c r="AC2805" s="22">
        <f t="shared" si="87"/>
        <v>0.56666666666666676</v>
      </c>
    </row>
    <row r="2806" spans="1:29">
      <c r="A2806" s="8" t="s">
        <v>10273</v>
      </c>
      <c r="B2806" s="17" t="s">
        <v>7749</v>
      </c>
      <c r="C2806" s="13">
        <v>42314</v>
      </c>
      <c r="D2806" s="13" t="s">
        <v>8465</v>
      </c>
      <c r="E2806" s="10" t="s">
        <v>86</v>
      </c>
      <c r="F2806" s="10" t="s">
        <v>2129</v>
      </c>
      <c r="G2806" s="11" t="s">
        <v>10273</v>
      </c>
      <c r="H2806" s="2" t="s">
        <v>149</v>
      </c>
      <c r="L2806" s="18">
        <v>1</v>
      </c>
      <c r="M2806" s="14" t="s">
        <v>8462</v>
      </c>
      <c r="N2806" s="13">
        <v>44502</v>
      </c>
      <c r="O2806" s="29">
        <v>13.13</v>
      </c>
      <c r="P2806" s="18" t="s">
        <v>14</v>
      </c>
      <c r="Q2806" s="18">
        <v>0</v>
      </c>
      <c r="U2806" s="22">
        <v>0.76</v>
      </c>
      <c r="V2806" s="22">
        <f>4.03/5</f>
        <v>0.80600000000000005</v>
      </c>
      <c r="X2806" s="3">
        <v>3</v>
      </c>
      <c r="Z2806" s="23">
        <v>19.5</v>
      </c>
      <c r="AB2806" s="18">
        <f t="shared" si="86"/>
        <v>2015</v>
      </c>
      <c r="AC2806" s="22">
        <f t="shared" si="87"/>
        <v>0.72199999999999998</v>
      </c>
    </row>
    <row r="2807" spans="1:29">
      <c r="A2807" s="8" t="s">
        <v>12593</v>
      </c>
      <c r="B2807" s="17" t="s">
        <v>7800</v>
      </c>
      <c r="C2807" s="13">
        <v>42314</v>
      </c>
      <c r="D2807" s="13" t="s">
        <v>8465</v>
      </c>
      <c r="E2807" s="10" t="s">
        <v>12594</v>
      </c>
      <c r="F2807" s="10" t="s">
        <v>12594</v>
      </c>
      <c r="G2807" s="11" t="s">
        <v>12593</v>
      </c>
      <c r="H2807" s="2" t="s">
        <v>78</v>
      </c>
      <c r="L2807" s="18">
        <v>1</v>
      </c>
      <c r="P2807" s="18" t="s">
        <v>1107</v>
      </c>
      <c r="Q2807" s="18">
        <v>0</v>
      </c>
      <c r="U2807" s="22">
        <v>0.77</v>
      </c>
      <c r="V2807" s="22">
        <f>3.56/5</f>
        <v>0.71199999999999997</v>
      </c>
      <c r="W2807" s="14" t="s">
        <v>7777</v>
      </c>
      <c r="X2807" s="3">
        <v>3</v>
      </c>
      <c r="Z2807" s="23">
        <v>5.5</v>
      </c>
      <c r="AB2807" s="18">
        <f t="shared" si="86"/>
        <v>2015</v>
      </c>
      <c r="AC2807" s="22">
        <f t="shared" si="87"/>
        <v>0.69399999999999995</v>
      </c>
    </row>
    <row r="2808" spans="1:29" ht="25.5">
      <c r="A2808" s="8" t="s">
        <v>6183</v>
      </c>
      <c r="B2808" s="17" t="s">
        <v>7760</v>
      </c>
      <c r="C2808" s="13">
        <v>42314</v>
      </c>
      <c r="D2808" s="13" t="s">
        <v>8465</v>
      </c>
      <c r="E2808" s="10" t="s">
        <v>1273</v>
      </c>
      <c r="F2808" s="10" t="s">
        <v>1508</v>
      </c>
      <c r="G2808" s="11" t="s">
        <v>3401</v>
      </c>
      <c r="H2808" s="2" t="s">
        <v>1050</v>
      </c>
      <c r="L2808" s="18">
        <v>1</v>
      </c>
      <c r="N2808" s="13">
        <v>43270</v>
      </c>
      <c r="O2808" s="29">
        <v>0</v>
      </c>
      <c r="P2808" s="18" t="s">
        <v>1107</v>
      </c>
      <c r="Q2808" s="18">
        <v>0</v>
      </c>
      <c r="U2808" s="22">
        <v>0.83</v>
      </c>
      <c r="V2808" s="22">
        <f>3.47/5</f>
        <v>0.69400000000000006</v>
      </c>
      <c r="W2808" s="14" t="s">
        <v>6072</v>
      </c>
      <c r="X2808" s="3">
        <v>3</v>
      </c>
      <c r="Z2808" s="23">
        <v>9</v>
      </c>
      <c r="AB2808" s="18">
        <f t="shared" si="86"/>
        <v>2015</v>
      </c>
      <c r="AC2808" s="22">
        <f t="shared" si="87"/>
        <v>0.70800000000000007</v>
      </c>
    </row>
    <row r="2809" spans="1:29" ht="25.5">
      <c r="A2809" s="8" t="s">
        <v>3579</v>
      </c>
      <c r="B2809" s="17" t="s">
        <v>7800</v>
      </c>
      <c r="C2809" s="13">
        <v>42313</v>
      </c>
      <c r="D2809" s="13" t="s">
        <v>8465</v>
      </c>
      <c r="E2809" s="10" t="s">
        <v>3580</v>
      </c>
      <c r="F2809" s="10" t="s">
        <v>3581</v>
      </c>
      <c r="G2809" s="11" t="s">
        <v>1585</v>
      </c>
      <c r="H2809" s="2" t="s">
        <v>80</v>
      </c>
      <c r="L2809" s="18">
        <v>1</v>
      </c>
      <c r="N2809" s="13">
        <v>43350</v>
      </c>
      <c r="P2809" s="18" t="s">
        <v>1107</v>
      </c>
      <c r="Q2809" s="18">
        <v>0</v>
      </c>
      <c r="U2809" s="22">
        <v>0.67</v>
      </c>
      <c r="V2809" s="22">
        <f>3.82/5</f>
        <v>0.76400000000000001</v>
      </c>
      <c r="W2809" s="14" t="s">
        <v>7777</v>
      </c>
      <c r="X2809" s="3">
        <v>2</v>
      </c>
      <c r="Z2809" s="23">
        <v>20</v>
      </c>
      <c r="AB2809" s="18">
        <f t="shared" si="86"/>
        <v>2015</v>
      </c>
      <c r="AC2809" s="22">
        <f t="shared" si="87"/>
        <v>0.6113333333333334</v>
      </c>
    </row>
    <row r="2810" spans="1:29">
      <c r="A2810" s="8" t="s">
        <v>5071</v>
      </c>
      <c r="B2810" s="17" t="s">
        <v>7800</v>
      </c>
      <c r="C2810" s="13">
        <v>42310</v>
      </c>
      <c r="D2810" s="13" t="s">
        <v>8465</v>
      </c>
      <c r="E2810" s="10" t="s">
        <v>455</v>
      </c>
      <c r="F2810" s="10" t="s">
        <v>1492</v>
      </c>
      <c r="G2810" s="11" t="s">
        <v>1688</v>
      </c>
      <c r="H2810" s="2" t="s">
        <v>1040</v>
      </c>
      <c r="L2810" s="18">
        <v>1</v>
      </c>
      <c r="N2810" s="13">
        <v>43452</v>
      </c>
      <c r="P2810" s="18" t="s">
        <v>1107</v>
      </c>
      <c r="Q2810" s="18">
        <v>0</v>
      </c>
      <c r="U2810" s="22">
        <v>0.61</v>
      </c>
      <c r="V2810" s="22">
        <f>3.06/5</f>
        <v>0.61199999999999999</v>
      </c>
      <c r="W2810" s="14" t="s">
        <v>7777</v>
      </c>
      <c r="X2810" s="3">
        <v>3</v>
      </c>
      <c r="Z2810" s="23">
        <v>7.5</v>
      </c>
      <c r="AB2810" s="18">
        <f t="shared" si="86"/>
        <v>2015</v>
      </c>
      <c r="AC2810" s="22">
        <f t="shared" si="87"/>
        <v>0.60733333333333339</v>
      </c>
    </row>
    <row r="2811" spans="1:29">
      <c r="A2811" s="8" t="s">
        <v>3448</v>
      </c>
      <c r="B2811" s="17" t="s">
        <v>7800</v>
      </c>
      <c r="C2811" s="13">
        <v>42310</v>
      </c>
      <c r="D2811" s="13" t="s">
        <v>8465</v>
      </c>
      <c r="E2811" s="10" t="s">
        <v>3449</v>
      </c>
      <c r="F2811" s="10" t="s">
        <v>3449</v>
      </c>
      <c r="H2811" s="2" t="s">
        <v>67</v>
      </c>
      <c r="L2811" s="18">
        <v>1</v>
      </c>
      <c r="N2811" s="13">
        <v>42537</v>
      </c>
      <c r="P2811" s="18" t="s">
        <v>1107</v>
      </c>
      <c r="Q2811" s="18">
        <v>0</v>
      </c>
      <c r="U2811" s="22">
        <v>0.69</v>
      </c>
      <c r="V2811" s="22">
        <f>2.62/5</f>
        <v>0.52400000000000002</v>
      </c>
      <c r="W2811" s="14" t="s">
        <v>7777</v>
      </c>
      <c r="X2811" s="3">
        <v>2</v>
      </c>
      <c r="Z2811" s="23">
        <v>1</v>
      </c>
      <c r="AB2811" s="18">
        <f t="shared" si="86"/>
        <v>2015</v>
      </c>
      <c r="AC2811" s="22">
        <f t="shared" si="87"/>
        <v>0.53799999999999992</v>
      </c>
    </row>
    <row r="2812" spans="1:29" ht="38.25">
      <c r="A2812" s="8" t="s">
        <v>4153</v>
      </c>
      <c r="B2812" s="17" t="s">
        <v>7800</v>
      </c>
      <c r="C2812" s="13">
        <v>42307</v>
      </c>
      <c r="D2812" s="13" t="s">
        <v>8465</v>
      </c>
      <c r="E2812" s="10" t="s">
        <v>1680</v>
      </c>
      <c r="F2812" s="10" t="s">
        <v>3113</v>
      </c>
      <c r="G2812" s="11" t="s">
        <v>1682</v>
      </c>
      <c r="H2812" s="2" t="s">
        <v>149</v>
      </c>
      <c r="L2812" s="18">
        <v>1</v>
      </c>
      <c r="N2812" s="13">
        <v>43332</v>
      </c>
      <c r="P2812" s="18" t="s">
        <v>1107</v>
      </c>
      <c r="Q2812" s="18">
        <v>0</v>
      </c>
      <c r="U2812" s="22">
        <v>0.6</v>
      </c>
      <c r="V2812" s="22">
        <f>4.12/5</f>
        <v>0.82400000000000007</v>
      </c>
      <c r="W2812" s="14" t="s">
        <v>7777</v>
      </c>
      <c r="X2812" s="3">
        <v>3</v>
      </c>
      <c r="Z2812" s="23">
        <v>33.5</v>
      </c>
      <c r="AB2812" s="18">
        <f t="shared" si="86"/>
        <v>2015</v>
      </c>
      <c r="AC2812" s="22">
        <f t="shared" si="87"/>
        <v>0.67466666666666664</v>
      </c>
    </row>
    <row r="2813" spans="1:29" ht="30">
      <c r="A2813" s="8" t="s">
        <v>6275</v>
      </c>
      <c r="B2813" s="17" t="s">
        <v>7762</v>
      </c>
      <c r="C2813" s="13">
        <v>42306</v>
      </c>
      <c r="D2813" s="13" t="s">
        <v>8465</v>
      </c>
      <c r="E2813" s="10" t="s">
        <v>1534</v>
      </c>
      <c r="F2813" s="10" t="s">
        <v>1245</v>
      </c>
      <c r="G2813" s="11" t="s">
        <v>2892</v>
      </c>
      <c r="H2813" s="2" t="s">
        <v>149</v>
      </c>
      <c r="L2813" s="18">
        <v>0</v>
      </c>
      <c r="Q2813" s="18">
        <v>0</v>
      </c>
      <c r="U2813" s="22">
        <v>0.79</v>
      </c>
      <c r="V2813" s="22">
        <f>4.25/5</f>
        <v>0.85</v>
      </c>
      <c r="X2813" s="3">
        <v>4</v>
      </c>
      <c r="Z2813" s="23">
        <v>51</v>
      </c>
      <c r="AB2813" s="18">
        <f t="shared" si="86"/>
        <v>2015</v>
      </c>
      <c r="AC2813" s="22">
        <f t="shared" si="87"/>
        <v>0.81333333333333346</v>
      </c>
    </row>
    <row r="2814" spans="1:29">
      <c r="A2814" s="8" t="s">
        <v>4670</v>
      </c>
      <c r="B2814" s="17" t="s">
        <v>7800</v>
      </c>
      <c r="C2814" s="13">
        <v>42306</v>
      </c>
      <c r="D2814" s="13" t="s">
        <v>8465</v>
      </c>
      <c r="E2814" s="10" t="s">
        <v>3063</v>
      </c>
      <c r="F2814" s="10" t="s">
        <v>4251</v>
      </c>
      <c r="G2814" s="11" t="s">
        <v>9554</v>
      </c>
      <c r="H2814" s="2" t="s">
        <v>1061</v>
      </c>
      <c r="L2814" s="18">
        <v>1</v>
      </c>
      <c r="N2814" s="13">
        <v>43377</v>
      </c>
      <c r="O2814" s="29">
        <v>1.29</v>
      </c>
      <c r="P2814" s="18" t="s">
        <v>1107</v>
      </c>
      <c r="Q2814" s="18">
        <v>0</v>
      </c>
      <c r="U2814" s="22">
        <v>0.75</v>
      </c>
      <c r="V2814" s="22">
        <f>4.03/5</f>
        <v>0.80600000000000005</v>
      </c>
      <c r="W2814" s="14" t="s">
        <v>7777</v>
      </c>
      <c r="X2814" s="3">
        <v>3</v>
      </c>
      <c r="Z2814" s="23">
        <v>25.5</v>
      </c>
      <c r="AB2814" s="18">
        <f t="shared" si="86"/>
        <v>2015</v>
      </c>
      <c r="AC2814" s="22">
        <f t="shared" si="87"/>
        <v>0.71866666666666668</v>
      </c>
    </row>
    <row r="2815" spans="1:29">
      <c r="A2815" s="8" t="s">
        <v>3953</v>
      </c>
      <c r="B2815" s="17" t="s">
        <v>7800</v>
      </c>
      <c r="C2815" s="13">
        <v>42306</v>
      </c>
      <c r="D2815" s="13" t="s">
        <v>8465</v>
      </c>
      <c r="E2815" s="10" t="s">
        <v>3954</v>
      </c>
      <c r="F2815" s="10" t="s">
        <v>3954</v>
      </c>
      <c r="G2815" s="11" t="s">
        <v>5711</v>
      </c>
      <c r="H2815" s="2" t="s">
        <v>1518</v>
      </c>
      <c r="L2815" s="18">
        <v>1</v>
      </c>
      <c r="N2815" s="13">
        <v>42600</v>
      </c>
      <c r="P2815" s="18" t="s">
        <v>1107</v>
      </c>
      <c r="Q2815" s="18">
        <v>0</v>
      </c>
      <c r="U2815" s="22">
        <v>0.78</v>
      </c>
      <c r="V2815" s="22">
        <f>3.06/5</f>
        <v>0.61199999999999999</v>
      </c>
      <c r="W2815" s="14" t="s">
        <v>7777</v>
      </c>
      <c r="X2815" s="3">
        <v>3</v>
      </c>
      <c r="Z2815" s="23">
        <v>9</v>
      </c>
      <c r="AB2815" s="18">
        <f t="shared" si="86"/>
        <v>2015</v>
      </c>
      <c r="AC2815" s="22">
        <f t="shared" si="87"/>
        <v>0.66400000000000003</v>
      </c>
    </row>
    <row r="2816" spans="1:29">
      <c r="A2816" s="8" t="s">
        <v>16084</v>
      </c>
      <c r="B2816" s="17" t="s">
        <v>7800</v>
      </c>
      <c r="C2816" s="13">
        <v>42304</v>
      </c>
      <c r="D2816" s="13" t="s">
        <v>8465</v>
      </c>
      <c r="E2816" s="10" t="s">
        <v>11323</v>
      </c>
      <c r="F2816" s="10" t="s">
        <v>11323</v>
      </c>
      <c r="H2816" s="2" t="s">
        <v>67</v>
      </c>
      <c r="L2816" s="18">
        <v>1</v>
      </c>
      <c r="N2816" s="13">
        <v>45225</v>
      </c>
      <c r="O2816" s="29">
        <v>0.99</v>
      </c>
      <c r="P2816" s="18" t="s">
        <v>1107</v>
      </c>
      <c r="Q2816" s="18">
        <v>0</v>
      </c>
      <c r="V2816" s="22">
        <f>3.83/5</f>
        <v>0.76600000000000001</v>
      </c>
      <c r="W2816" s="14" t="s">
        <v>7777</v>
      </c>
      <c r="X2816" s="3">
        <v>2</v>
      </c>
      <c r="Z2816" s="23">
        <f>45/60</f>
        <v>0.75</v>
      </c>
      <c r="AB2816" s="18">
        <f t="shared" si="86"/>
        <v>2015</v>
      </c>
      <c r="AC2816" s="22">
        <f t="shared" si="87"/>
        <v>0.58299999999999996</v>
      </c>
    </row>
    <row r="2817" spans="1:29">
      <c r="A2817" s="8" t="s">
        <v>3434</v>
      </c>
      <c r="B2817" s="17" t="s">
        <v>7800</v>
      </c>
      <c r="C2817" s="13">
        <v>42303</v>
      </c>
      <c r="D2817" s="13" t="s">
        <v>8465</v>
      </c>
      <c r="E2817" s="10" t="s">
        <v>3435</v>
      </c>
      <c r="F2817" s="10" t="s">
        <v>3435</v>
      </c>
      <c r="G2817" s="11" t="s">
        <v>3436</v>
      </c>
      <c r="H2817" s="2" t="s">
        <v>75</v>
      </c>
      <c r="L2817" s="18">
        <v>1</v>
      </c>
      <c r="N2817" s="13">
        <v>43514</v>
      </c>
      <c r="P2817" s="18" t="s">
        <v>1107</v>
      </c>
      <c r="Q2817" s="18">
        <v>0</v>
      </c>
      <c r="U2817" s="22">
        <v>0.87</v>
      </c>
      <c r="V2817" s="22">
        <f>3.54/5</f>
        <v>0.70799999999999996</v>
      </c>
      <c r="W2817" s="14" t="s">
        <v>7777</v>
      </c>
      <c r="X2817" s="3">
        <v>3</v>
      </c>
      <c r="AB2817" s="18">
        <f t="shared" ref="AB2817:AB2880" si="88">IFERROR(YEAR(C2817), "Early Access")</f>
        <v>2015</v>
      </c>
      <c r="AC2817" s="22">
        <f t="shared" ref="AC2817:AC2880" si="89">AVERAGE(T2817, U2817, V2817, IF(ISBLANK(X2817), X2817, X2817/5))</f>
        <v>0.72599999999999998</v>
      </c>
    </row>
    <row r="2818" spans="1:29" ht="25.5">
      <c r="A2818" s="8" t="s">
        <v>5540</v>
      </c>
      <c r="B2818" s="17" t="s">
        <v>7800</v>
      </c>
      <c r="C2818" s="13">
        <v>42300</v>
      </c>
      <c r="D2818" s="13" t="s">
        <v>8465</v>
      </c>
      <c r="E2818" s="10" t="s">
        <v>4257</v>
      </c>
      <c r="F2818" s="10" t="s">
        <v>4257</v>
      </c>
      <c r="G2818" s="11" t="s">
        <v>4483</v>
      </c>
      <c r="H2818" s="2" t="s">
        <v>1050</v>
      </c>
      <c r="L2818" s="18">
        <v>1</v>
      </c>
      <c r="N2818" s="13">
        <v>43246</v>
      </c>
      <c r="P2818" s="18" t="s">
        <v>1107</v>
      </c>
      <c r="Q2818" s="18">
        <v>0</v>
      </c>
      <c r="U2818" s="22">
        <v>0.78</v>
      </c>
      <c r="V2818" s="22">
        <f>3.29/5</f>
        <v>0.65800000000000003</v>
      </c>
      <c r="W2818" s="14" t="s">
        <v>7777</v>
      </c>
      <c r="X2818" s="3">
        <v>3</v>
      </c>
      <c r="Z2818" s="23">
        <v>8</v>
      </c>
      <c r="AB2818" s="18">
        <f t="shared" si="88"/>
        <v>2015</v>
      </c>
      <c r="AC2818" s="22">
        <f t="shared" si="89"/>
        <v>0.67933333333333346</v>
      </c>
    </row>
    <row r="2819" spans="1:29" ht="25.5">
      <c r="A2819" s="8" t="s">
        <v>4711</v>
      </c>
      <c r="B2819" s="17" t="s">
        <v>7800</v>
      </c>
      <c r="C2819" s="13">
        <v>42298</v>
      </c>
      <c r="D2819" s="13" t="s">
        <v>8465</v>
      </c>
      <c r="E2819" s="10" t="s">
        <v>4709</v>
      </c>
      <c r="F2819" s="10" t="s">
        <v>2127</v>
      </c>
      <c r="G2819" s="11" t="s">
        <v>4707</v>
      </c>
      <c r="H2819" s="2" t="s">
        <v>1054</v>
      </c>
      <c r="L2819" s="18">
        <v>1</v>
      </c>
      <c r="N2819" s="13">
        <v>43404</v>
      </c>
      <c r="O2819" s="29">
        <v>1.49</v>
      </c>
      <c r="P2819" s="18" t="s">
        <v>1107</v>
      </c>
      <c r="Q2819" s="18">
        <v>0</v>
      </c>
      <c r="U2819" s="22">
        <v>0.9</v>
      </c>
      <c r="V2819" s="22">
        <f>3.67/5</f>
        <v>0.73399999999999999</v>
      </c>
      <c r="W2819" s="14" t="s">
        <v>7777</v>
      </c>
      <c r="X2819" s="3">
        <v>3</v>
      </c>
      <c r="Z2819" s="23">
        <v>11</v>
      </c>
      <c r="AB2819" s="18">
        <f t="shared" si="88"/>
        <v>2015</v>
      </c>
      <c r="AC2819" s="22">
        <f t="shared" si="89"/>
        <v>0.7446666666666667</v>
      </c>
    </row>
    <row r="2820" spans="1:29">
      <c r="A2820" s="8" t="s">
        <v>8854</v>
      </c>
      <c r="B2820" s="17" t="s">
        <v>7800</v>
      </c>
      <c r="C2820" s="13">
        <v>42298</v>
      </c>
      <c r="D2820" s="13" t="s">
        <v>8465</v>
      </c>
      <c r="E2820" s="10" t="s">
        <v>3544</v>
      </c>
      <c r="F2820" s="10" t="s">
        <v>8855</v>
      </c>
      <c r="G2820" s="11" t="s">
        <v>4239</v>
      </c>
      <c r="H2820" s="2" t="s">
        <v>61</v>
      </c>
      <c r="L2820" s="18">
        <v>1</v>
      </c>
      <c r="N2820" s="13">
        <v>43998</v>
      </c>
      <c r="O2820" s="29">
        <v>0</v>
      </c>
      <c r="P2820" s="18" t="s">
        <v>1107</v>
      </c>
      <c r="Q2820" s="18">
        <v>0</v>
      </c>
      <c r="V2820" s="22">
        <f>3.5/5</f>
        <v>0.7</v>
      </c>
      <c r="W2820" s="14" t="s">
        <v>7777</v>
      </c>
      <c r="X2820" s="3">
        <v>3</v>
      </c>
      <c r="Z2820" s="23">
        <v>7.5</v>
      </c>
      <c r="AB2820" s="18">
        <f t="shared" si="88"/>
        <v>2015</v>
      </c>
      <c r="AC2820" s="22">
        <f t="shared" si="89"/>
        <v>0.64999999999999991</v>
      </c>
    </row>
    <row r="2821" spans="1:29">
      <c r="A2821" s="8" t="s">
        <v>4789</v>
      </c>
      <c r="B2821" s="17" t="s">
        <v>7800</v>
      </c>
      <c r="C2821" s="13">
        <v>42297</v>
      </c>
      <c r="D2821" s="13" t="s">
        <v>8465</v>
      </c>
      <c r="E2821" s="10" t="s">
        <v>4790</v>
      </c>
      <c r="F2821" s="10" t="s">
        <v>4790</v>
      </c>
      <c r="G2821" s="11" t="s">
        <v>4789</v>
      </c>
      <c r="H2821" s="2" t="s">
        <v>7594</v>
      </c>
      <c r="L2821" s="18">
        <v>1</v>
      </c>
      <c r="N2821" s="13">
        <v>42908</v>
      </c>
      <c r="O2821" s="29">
        <v>5.99</v>
      </c>
      <c r="P2821" s="18" t="s">
        <v>1107</v>
      </c>
      <c r="Q2821" s="18">
        <v>0</v>
      </c>
      <c r="U2821" s="22">
        <v>0.76</v>
      </c>
      <c r="V2821" s="22">
        <f>3.56/5</f>
        <v>0.71199999999999997</v>
      </c>
      <c r="W2821" s="14" t="s">
        <v>7777</v>
      </c>
      <c r="X2821" s="3">
        <v>4</v>
      </c>
      <c r="Z2821" s="23">
        <v>21</v>
      </c>
      <c r="AB2821" s="18">
        <f t="shared" si="88"/>
        <v>2015</v>
      </c>
      <c r="AC2821" s="22">
        <f t="shared" si="89"/>
        <v>0.75733333333333341</v>
      </c>
    </row>
    <row r="2822" spans="1:29" ht="30">
      <c r="A2822" s="8" t="s">
        <v>8715</v>
      </c>
      <c r="B2822" s="17" t="s">
        <v>7760</v>
      </c>
      <c r="C2822" s="13">
        <v>42297</v>
      </c>
      <c r="D2822" s="13" t="s">
        <v>8465</v>
      </c>
      <c r="E2822" s="10" t="s">
        <v>1604</v>
      </c>
      <c r="F2822" s="10" t="s">
        <v>1614</v>
      </c>
      <c r="G2822" s="11" t="s">
        <v>1422</v>
      </c>
      <c r="H2822" s="2" t="s">
        <v>171</v>
      </c>
      <c r="L2822" s="18">
        <v>1</v>
      </c>
      <c r="M2822" s="14" t="s">
        <v>11018</v>
      </c>
      <c r="N2822" s="13">
        <v>43976</v>
      </c>
      <c r="O2822" s="29">
        <v>12.29</v>
      </c>
      <c r="P2822" s="18" t="s">
        <v>14</v>
      </c>
      <c r="Q2822" s="18">
        <v>0</v>
      </c>
      <c r="U2822" s="22">
        <v>0.72</v>
      </c>
      <c r="V2822" s="22">
        <f>3.59/5</f>
        <v>0.71799999999999997</v>
      </c>
      <c r="X2822" s="3">
        <v>4</v>
      </c>
      <c r="Z2822" s="23">
        <v>41.5</v>
      </c>
      <c r="AB2822" s="18">
        <f t="shared" si="88"/>
        <v>2015</v>
      </c>
      <c r="AC2822" s="22">
        <f t="shared" si="89"/>
        <v>0.746</v>
      </c>
    </row>
    <row r="2823" spans="1:29" ht="25.5">
      <c r="A2823" s="8" t="s">
        <v>8731</v>
      </c>
      <c r="B2823" s="17" t="s">
        <v>7763</v>
      </c>
      <c r="C2823" s="13">
        <v>42297</v>
      </c>
      <c r="D2823" s="13" t="s">
        <v>8465</v>
      </c>
      <c r="E2823" s="10" t="s">
        <v>1519</v>
      </c>
      <c r="F2823" s="10" t="s">
        <v>8732</v>
      </c>
      <c r="G2823" s="11" t="s">
        <v>8733</v>
      </c>
      <c r="H2823" s="2" t="s">
        <v>1057</v>
      </c>
      <c r="L2823" s="18">
        <v>1</v>
      </c>
      <c r="N2823" s="13">
        <v>42652</v>
      </c>
      <c r="O2823" s="29">
        <v>0</v>
      </c>
      <c r="P2823" s="18" t="s">
        <v>1107</v>
      </c>
      <c r="Q2823" s="18">
        <v>0</v>
      </c>
      <c r="U2823" s="22">
        <v>0.86</v>
      </c>
      <c r="V2823" s="22">
        <f>4.14/5</f>
        <v>0.82799999999999996</v>
      </c>
      <c r="W2823" s="14" t="s">
        <v>6072</v>
      </c>
      <c r="X2823" s="3">
        <v>3</v>
      </c>
      <c r="Z2823" s="23">
        <v>11</v>
      </c>
      <c r="AB2823" s="18">
        <f t="shared" si="88"/>
        <v>2015</v>
      </c>
      <c r="AC2823" s="22">
        <f t="shared" si="89"/>
        <v>0.7626666666666666</v>
      </c>
    </row>
    <row r="2824" spans="1:29" ht="30">
      <c r="A2824" s="8" t="s">
        <v>8856</v>
      </c>
      <c r="B2824" s="17" t="s">
        <v>7800</v>
      </c>
      <c r="C2824" s="13">
        <v>42297</v>
      </c>
      <c r="D2824" s="13" t="s">
        <v>8465</v>
      </c>
      <c r="E2824" s="10" t="s">
        <v>3453</v>
      </c>
      <c r="F2824" s="10" t="s">
        <v>8857</v>
      </c>
      <c r="G2824" s="11" t="s">
        <v>4249</v>
      </c>
      <c r="H2824" s="2" t="s">
        <v>149</v>
      </c>
      <c r="L2824" s="18">
        <v>1</v>
      </c>
      <c r="N2824" s="13">
        <v>43998</v>
      </c>
      <c r="O2824" s="29">
        <v>0</v>
      </c>
      <c r="P2824" s="18" t="s">
        <v>1107</v>
      </c>
      <c r="Q2824" s="18">
        <v>0</v>
      </c>
      <c r="U2824" s="22">
        <v>0.67</v>
      </c>
      <c r="V2824" s="22">
        <f>3.61/5</f>
        <v>0.72199999999999998</v>
      </c>
      <c r="W2824" s="14" t="s">
        <v>7777</v>
      </c>
      <c r="X2824" s="3">
        <v>3</v>
      </c>
      <c r="Z2824" s="23">
        <v>8</v>
      </c>
      <c r="AB2824" s="18">
        <f t="shared" si="88"/>
        <v>2015</v>
      </c>
      <c r="AC2824" s="22">
        <f t="shared" si="89"/>
        <v>0.66400000000000003</v>
      </c>
    </row>
    <row r="2825" spans="1:29" ht="25.5">
      <c r="A2825" s="8" t="s">
        <v>11514</v>
      </c>
      <c r="B2825" s="17" t="s">
        <v>7743</v>
      </c>
      <c r="C2825" s="13">
        <v>42297</v>
      </c>
      <c r="D2825" s="13" t="s">
        <v>8465</v>
      </c>
      <c r="E2825" s="10" t="s">
        <v>11513</v>
      </c>
      <c r="F2825" s="10" t="s">
        <v>3775</v>
      </c>
      <c r="G2825" s="11" t="s">
        <v>11510</v>
      </c>
      <c r="H2825" s="2" t="s">
        <v>80</v>
      </c>
      <c r="L2825" s="18">
        <v>1</v>
      </c>
      <c r="M2825" s="14" t="s">
        <v>8462</v>
      </c>
      <c r="N2825" s="13">
        <v>44926</v>
      </c>
      <c r="O2825" s="29">
        <v>9.7799999999999994</v>
      </c>
      <c r="P2825" s="18" t="s">
        <v>14</v>
      </c>
      <c r="Q2825" s="18">
        <v>0</v>
      </c>
      <c r="V2825" s="22">
        <f>3.43/5</f>
        <v>0.68600000000000005</v>
      </c>
      <c r="X2825" s="3">
        <v>2</v>
      </c>
      <c r="Z2825" s="23">
        <v>9</v>
      </c>
      <c r="AB2825" s="18">
        <f t="shared" si="88"/>
        <v>2015</v>
      </c>
      <c r="AC2825" s="22">
        <f t="shared" si="89"/>
        <v>0.54300000000000004</v>
      </c>
    </row>
    <row r="2826" spans="1:29" ht="25.5">
      <c r="A2826" s="8" t="s">
        <v>14829</v>
      </c>
      <c r="B2826" s="17" t="s">
        <v>7800</v>
      </c>
      <c r="C2826" s="13">
        <v>42296</v>
      </c>
      <c r="D2826" s="13" t="s">
        <v>8465</v>
      </c>
      <c r="E2826" s="10" t="s">
        <v>1513</v>
      </c>
      <c r="F2826" s="10" t="s">
        <v>1513</v>
      </c>
      <c r="G2826" s="11" t="s">
        <v>4630</v>
      </c>
      <c r="H2826" s="2" t="s">
        <v>171</v>
      </c>
      <c r="L2826" s="18">
        <v>1</v>
      </c>
      <c r="N2826" s="13">
        <v>45070</v>
      </c>
      <c r="O2826" s="29">
        <v>0.79</v>
      </c>
      <c r="P2826" s="18" t="s">
        <v>1107</v>
      </c>
      <c r="Q2826" s="18">
        <v>0</v>
      </c>
      <c r="U2826" s="22">
        <v>0.24</v>
      </c>
      <c r="V2826" s="22">
        <f>1.89/5</f>
        <v>0.378</v>
      </c>
      <c r="W2826" s="14" t="s">
        <v>7777</v>
      </c>
      <c r="X2826" s="3">
        <v>2</v>
      </c>
      <c r="Z2826" s="23">
        <v>6.5</v>
      </c>
      <c r="AB2826" s="18">
        <f t="shared" si="88"/>
        <v>2015</v>
      </c>
      <c r="AC2826" s="22">
        <f t="shared" si="89"/>
        <v>0.33933333333333332</v>
      </c>
    </row>
    <row r="2827" spans="1:29">
      <c r="A2827" s="8" t="s">
        <v>1425</v>
      </c>
      <c r="B2827" s="17" t="s">
        <v>7743</v>
      </c>
      <c r="C2827" s="13">
        <v>42293</v>
      </c>
      <c r="D2827" s="13" t="s">
        <v>8465</v>
      </c>
      <c r="E2827" s="10" t="s">
        <v>86</v>
      </c>
      <c r="F2827" s="10" t="s">
        <v>1172</v>
      </c>
      <c r="G2827" s="11" t="s">
        <v>1173</v>
      </c>
      <c r="H2827" s="2" t="s">
        <v>64</v>
      </c>
      <c r="L2827" s="18">
        <v>1</v>
      </c>
      <c r="M2827" s="14" t="s">
        <v>8462</v>
      </c>
      <c r="N2827" s="13">
        <v>43496</v>
      </c>
      <c r="O2827" s="29">
        <v>14</v>
      </c>
      <c r="P2827" s="18" t="s">
        <v>14</v>
      </c>
      <c r="Q2827" s="18">
        <v>0</v>
      </c>
      <c r="U2827" s="22">
        <v>0.79</v>
      </c>
      <c r="V2827" s="22">
        <f>4.11/5</f>
        <v>0.82200000000000006</v>
      </c>
      <c r="X2827" s="3">
        <v>4</v>
      </c>
      <c r="Z2827" s="23">
        <v>12</v>
      </c>
      <c r="AB2827" s="18">
        <f t="shared" si="88"/>
        <v>2015</v>
      </c>
      <c r="AC2827" s="22">
        <f t="shared" si="89"/>
        <v>0.80399999999999994</v>
      </c>
    </row>
    <row r="2828" spans="1:29">
      <c r="A2828" s="8" t="s">
        <v>3367</v>
      </c>
      <c r="B2828" s="17" t="s">
        <v>7800</v>
      </c>
      <c r="C2828" s="13">
        <v>42292</v>
      </c>
      <c r="D2828" s="13" t="s">
        <v>8465</v>
      </c>
      <c r="E2828" s="10" t="s">
        <v>3063</v>
      </c>
      <c r="F2828" s="10" t="s">
        <v>3368</v>
      </c>
      <c r="G2828" s="11" t="s">
        <v>3367</v>
      </c>
      <c r="H2828" s="2" t="s">
        <v>56</v>
      </c>
      <c r="L2828" s="18">
        <v>1</v>
      </c>
      <c r="N2828" s="13">
        <v>42726</v>
      </c>
      <c r="O2828" s="29">
        <v>3.74</v>
      </c>
      <c r="P2828" s="18" t="s">
        <v>1107</v>
      </c>
      <c r="Q2828" s="18">
        <v>0</v>
      </c>
      <c r="U2828" s="22">
        <v>0.82</v>
      </c>
      <c r="V2828" s="22">
        <f>3.85/5</f>
        <v>0.77</v>
      </c>
      <c r="W2828" s="14" t="s">
        <v>7777</v>
      </c>
      <c r="X2828" s="3">
        <v>3</v>
      </c>
      <c r="Z2828" s="23">
        <v>6.5</v>
      </c>
      <c r="AB2828" s="18">
        <f t="shared" si="88"/>
        <v>2015</v>
      </c>
      <c r="AC2828" s="22">
        <f t="shared" si="89"/>
        <v>0.73</v>
      </c>
    </row>
    <row r="2829" spans="1:29">
      <c r="A2829" s="8" t="s">
        <v>7014</v>
      </c>
      <c r="B2829" s="17" t="s">
        <v>7800</v>
      </c>
      <c r="C2829" s="13">
        <v>42292</v>
      </c>
      <c r="D2829" s="13" t="s">
        <v>8465</v>
      </c>
      <c r="E2829" s="10" t="s">
        <v>3063</v>
      </c>
      <c r="F2829" s="10" t="s">
        <v>7015</v>
      </c>
      <c r="G2829" s="11" t="s">
        <v>7014</v>
      </c>
      <c r="H2829" s="2" t="s">
        <v>21</v>
      </c>
      <c r="L2829" s="18">
        <v>1</v>
      </c>
      <c r="N2829" s="13">
        <v>43970</v>
      </c>
      <c r="O2829" s="29">
        <v>0</v>
      </c>
      <c r="P2829" s="18" t="s">
        <v>1107</v>
      </c>
      <c r="Q2829" s="18">
        <v>0</v>
      </c>
      <c r="U2829" s="22">
        <v>0.81</v>
      </c>
      <c r="V2829" s="22">
        <f>3.7/5</f>
        <v>0.74</v>
      </c>
      <c r="W2829" s="14" t="s">
        <v>7777</v>
      </c>
      <c r="X2829" s="3">
        <v>3</v>
      </c>
      <c r="Z2829" s="23">
        <v>7.5</v>
      </c>
      <c r="AB2829" s="18">
        <f t="shared" si="88"/>
        <v>2015</v>
      </c>
      <c r="AC2829" s="22">
        <f t="shared" si="89"/>
        <v>0.71666666666666667</v>
      </c>
    </row>
    <row r="2830" spans="1:29" ht="30">
      <c r="A2830" s="8" t="s">
        <v>4142</v>
      </c>
      <c r="B2830" s="17" t="s">
        <v>7800</v>
      </c>
      <c r="C2830" s="13">
        <v>42292</v>
      </c>
      <c r="D2830" s="13" t="s">
        <v>8465</v>
      </c>
      <c r="E2830" s="10" t="s">
        <v>4143</v>
      </c>
      <c r="F2830" s="10" t="s">
        <v>4143</v>
      </c>
      <c r="G2830" s="11" t="s">
        <v>4142</v>
      </c>
      <c r="H2830" s="2" t="s">
        <v>78</v>
      </c>
      <c r="L2830" s="18">
        <v>1</v>
      </c>
      <c r="N2830" s="13">
        <v>42493</v>
      </c>
      <c r="O2830" s="29">
        <v>0</v>
      </c>
      <c r="P2830" s="18" t="s">
        <v>1107</v>
      </c>
      <c r="Q2830" s="18">
        <v>0</v>
      </c>
      <c r="U2830" s="22">
        <v>0.72</v>
      </c>
      <c r="V2830" s="22">
        <f>3.75/5</f>
        <v>0.75</v>
      </c>
      <c r="W2830" s="14" t="s">
        <v>7777</v>
      </c>
      <c r="X2830" s="3">
        <v>3</v>
      </c>
      <c r="Z2830" s="23">
        <v>4</v>
      </c>
      <c r="AB2830" s="18">
        <f t="shared" si="88"/>
        <v>2015</v>
      </c>
      <c r="AC2830" s="22">
        <f t="shared" si="89"/>
        <v>0.69</v>
      </c>
    </row>
    <row r="2831" spans="1:29">
      <c r="A2831" s="8" t="s">
        <v>4492</v>
      </c>
      <c r="B2831" s="17" t="s">
        <v>7800</v>
      </c>
      <c r="C2831" s="13">
        <v>42292</v>
      </c>
      <c r="D2831" s="13" t="s">
        <v>8465</v>
      </c>
      <c r="E2831" s="10" t="s">
        <v>4493</v>
      </c>
      <c r="F2831" s="10" t="s">
        <v>4493</v>
      </c>
      <c r="H2831" s="2" t="s">
        <v>27</v>
      </c>
      <c r="L2831" s="18">
        <v>1</v>
      </c>
      <c r="N2831" s="13">
        <v>42493</v>
      </c>
      <c r="O2831" s="29">
        <v>0</v>
      </c>
      <c r="P2831" s="18" t="s">
        <v>1107</v>
      </c>
      <c r="Q2831" s="18">
        <v>0</v>
      </c>
      <c r="U2831" s="22">
        <v>0.76</v>
      </c>
      <c r="V2831" s="22">
        <f>3.23/5</f>
        <v>0.64600000000000002</v>
      </c>
      <c r="W2831" s="14" t="s">
        <v>7777</v>
      </c>
      <c r="X2831" s="3">
        <v>2</v>
      </c>
      <c r="Z2831" s="23">
        <v>5</v>
      </c>
      <c r="AB2831" s="18">
        <f t="shared" si="88"/>
        <v>2015</v>
      </c>
      <c r="AC2831" s="22">
        <f t="shared" si="89"/>
        <v>0.60199999999999998</v>
      </c>
    </row>
    <row r="2832" spans="1:29">
      <c r="A2832" s="8" t="s">
        <v>14262</v>
      </c>
      <c r="B2832" s="17" t="s">
        <v>7800</v>
      </c>
      <c r="C2832" s="13">
        <v>42292</v>
      </c>
      <c r="D2832" s="13" t="s">
        <v>8465</v>
      </c>
      <c r="E2832" s="10" t="s">
        <v>12119</v>
      </c>
      <c r="F2832" s="10" t="s">
        <v>12119</v>
      </c>
      <c r="G2832" s="11" t="s">
        <v>14261</v>
      </c>
      <c r="H2832" s="2" t="s">
        <v>21</v>
      </c>
      <c r="L2832" s="18">
        <v>1</v>
      </c>
      <c r="O2832" s="29">
        <v>0</v>
      </c>
      <c r="P2832" s="18" t="s">
        <v>1107</v>
      </c>
      <c r="Q2832" s="18">
        <v>0</v>
      </c>
      <c r="V2832" s="22">
        <f>3.25/5</f>
        <v>0.65</v>
      </c>
      <c r="W2832" s="14" t="s">
        <v>8765</v>
      </c>
      <c r="X2832" s="3">
        <v>2</v>
      </c>
      <c r="Z2832" s="23">
        <f>47/60</f>
        <v>0.78333333333333333</v>
      </c>
      <c r="AB2832" s="18">
        <f t="shared" si="88"/>
        <v>2015</v>
      </c>
      <c r="AC2832" s="22">
        <f t="shared" si="89"/>
        <v>0.52500000000000002</v>
      </c>
    </row>
    <row r="2833" spans="1:29">
      <c r="A2833" s="9" t="s">
        <v>7014</v>
      </c>
      <c r="B2833" s="17" t="s">
        <v>7783</v>
      </c>
      <c r="C2833" s="13">
        <v>42291</v>
      </c>
      <c r="D2833" s="13" t="s">
        <v>8465</v>
      </c>
      <c r="E2833" s="10" t="s">
        <v>3063</v>
      </c>
      <c r="F2833" s="10" t="s">
        <v>7015</v>
      </c>
      <c r="G2833" s="11" t="s">
        <v>7014</v>
      </c>
      <c r="H2833" s="2" t="s">
        <v>21</v>
      </c>
      <c r="L2833" s="18">
        <v>1</v>
      </c>
      <c r="N2833" s="13">
        <v>42303</v>
      </c>
      <c r="O2833" s="29">
        <v>2.99</v>
      </c>
      <c r="P2833" s="18" t="s">
        <v>1107</v>
      </c>
      <c r="Q2833" s="18">
        <v>0</v>
      </c>
      <c r="U2833" s="22">
        <v>0.92</v>
      </c>
      <c r="V2833" s="22">
        <f>3.98/5</f>
        <v>0.79600000000000004</v>
      </c>
      <c r="X2833" s="3">
        <v>3</v>
      </c>
      <c r="Z2833" s="23">
        <v>7.5</v>
      </c>
      <c r="AB2833" s="18">
        <f t="shared" si="88"/>
        <v>2015</v>
      </c>
      <c r="AC2833" s="22">
        <f t="shared" si="89"/>
        <v>0.77200000000000013</v>
      </c>
    </row>
    <row r="2834" spans="1:29">
      <c r="A2834" s="8" t="s">
        <v>5266</v>
      </c>
      <c r="B2834" s="17" t="s">
        <v>7800</v>
      </c>
      <c r="C2834" s="13">
        <v>42291</v>
      </c>
      <c r="D2834" s="13" t="s">
        <v>8465</v>
      </c>
      <c r="E2834" s="10" t="s">
        <v>5267</v>
      </c>
      <c r="F2834" s="10" t="s">
        <v>5267</v>
      </c>
      <c r="H2834" s="2" t="s">
        <v>1720</v>
      </c>
      <c r="L2834" s="18">
        <v>1</v>
      </c>
      <c r="N2834" s="13">
        <v>43439</v>
      </c>
      <c r="P2834" s="18" t="s">
        <v>1107</v>
      </c>
      <c r="Q2834" s="18">
        <v>0</v>
      </c>
      <c r="U2834" s="22">
        <v>0.73</v>
      </c>
      <c r="V2834" s="22">
        <f>3.72/5</f>
        <v>0.74399999999999999</v>
      </c>
      <c r="W2834" s="14" t="s">
        <v>7777</v>
      </c>
      <c r="X2834" s="3">
        <v>3</v>
      </c>
      <c r="Z2834" s="23">
        <v>18</v>
      </c>
      <c r="AB2834" s="18">
        <f t="shared" si="88"/>
        <v>2015</v>
      </c>
      <c r="AC2834" s="22">
        <f t="shared" si="89"/>
        <v>0.69133333333333324</v>
      </c>
    </row>
    <row r="2835" spans="1:29">
      <c r="A2835" s="8" t="s">
        <v>8836</v>
      </c>
      <c r="B2835" s="17" t="s">
        <v>7749</v>
      </c>
      <c r="C2835" s="13">
        <v>42290</v>
      </c>
      <c r="D2835" s="13" t="s">
        <v>8465</v>
      </c>
      <c r="E2835" s="10" t="s">
        <v>2461</v>
      </c>
      <c r="F2835" s="10" t="s">
        <v>1087</v>
      </c>
      <c r="H2835" s="2" t="s">
        <v>149</v>
      </c>
      <c r="L2835" s="18">
        <v>1</v>
      </c>
      <c r="N2835" s="13">
        <v>43992</v>
      </c>
      <c r="O2835" s="29">
        <v>9.99</v>
      </c>
      <c r="P2835" s="18" t="s">
        <v>1107</v>
      </c>
      <c r="Q2835" s="18">
        <v>0</v>
      </c>
      <c r="U2835" s="22">
        <v>0.67</v>
      </c>
      <c r="V2835" s="22">
        <f>3.75/5</f>
        <v>0.75</v>
      </c>
      <c r="X2835" s="3">
        <v>4</v>
      </c>
      <c r="Z2835" s="23">
        <v>32.5</v>
      </c>
      <c r="AB2835" s="18">
        <f t="shared" si="88"/>
        <v>2015</v>
      </c>
      <c r="AC2835" s="22">
        <f t="shared" si="89"/>
        <v>0.73999999999999988</v>
      </c>
    </row>
    <row r="2836" spans="1:29" ht="30">
      <c r="A2836" s="8" t="s">
        <v>4008</v>
      </c>
      <c r="B2836" s="17" t="s">
        <v>7800</v>
      </c>
      <c r="C2836" s="13">
        <v>42290</v>
      </c>
      <c r="D2836" s="13" t="s">
        <v>8465</v>
      </c>
      <c r="E2836" s="10" t="s">
        <v>4009</v>
      </c>
      <c r="F2836" s="10" t="s">
        <v>1084</v>
      </c>
      <c r="G2836" s="11" t="s">
        <v>4010</v>
      </c>
      <c r="H2836" s="2" t="s">
        <v>67</v>
      </c>
      <c r="L2836" s="18">
        <v>1</v>
      </c>
      <c r="N2836" s="13">
        <v>42442</v>
      </c>
      <c r="P2836" s="18" t="s">
        <v>1107</v>
      </c>
      <c r="Q2836" s="18">
        <v>0</v>
      </c>
      <c r="V2836" s="22">
        <f>4/5</f>
        <v>0.8</v>
      </c>
      <c r="W2836" s="14" t="s">
        <v>7777</v>
      </c>
      <c r="X2836" s="3">
        <v>3</v>
      </c>
      <c r="Z2836" s="23">
        <v>3</v>
      </c>
      <c r="AB2836" s="18">
        <f t="shared" si="88"/>
        <v>2015</v>
      </c>
      <c r="AC2836" s="22">
        <f t="shared" si="89"/>
        <v>0.7</v>
      </c>
    </row>
    <row r="2837" spans="1:29" ht="38.25">
      <c r="A2837" s="8" t="s">
        <v>6121</v>
      </c>
      <c r="B2837" s="17" t="s">
        <v>7760</v>
      </c>
      <c r="C2837" s="13">
        <v>42290</v>
      </c>
      <c r="D2837" s="13" t="s">
        <v>8465</v>
      </c>
      <c r="E2837" s="10" t="s">
        <v>1082</v>
      </c>
      <c r="F2837" s="10" t="s">
        <v>1471</v>
      </c>
      <c r="G2837" s="11" t="s">
        <v>140</v>
      </c>
      <c r="H2837" s="2" t="s">
        <v>1059</v>
      </c>
      <c r="L2837" s="18">
        <v>1</v>
      </c>
      <c r="M2837" s="14" t="s">
        <v>8462</v>
      </c>
      <c r="N2837" s="13">
        <v>43610</v>
      </c>
      <c r="O2837" s="29">
        <v>14.99</v>
      </c>
      <c r="P2837" s="18" t="s">
        <v>14</v>
      </c>
      <c r="Q2837" s="18">
        <v>0</v>
      </c>
      <c r="U2837" s="22">
        <v>0.78</v>
      </c>
      <c r="V2837" s="22">
        <f>3.99/5</f>
        <v>0.79800000000000004</v>
      </c>
      <c r="X2837" s="3">
        <v>3</v>
      </c>
      <c r="Z2837" s="23">
        <v>27</v>
      </c>
      <c r="AB2837" s="18">
        <f t="shared" si="88"/>
        <v>2015</v>
      </c>
      <c r="AC2837" s="22">
        <f t="shared" si="89"/>
        <v>0.72599999999999998</v>
      </c>
    </row>
    <row r="2838" spans="1:29" ht="25.5">
      <c r="A2838" s="8" t="s">
        <v>9033</v>
      </c>
      <c r="B2838" s="17" t="s">
        <v>7763</v>
      </c>
      <c r="C2838" s="13">
        <v>42290</v>
      </c>
      <c r="D2838" s="13" t="s">
        <v>8465</v>
      </c>
      <c r="E2838" s="10" t="s">
        <v>1534</v>
      </c>
      <c r="F2838" s="10" t="s">
        <v>9034</v>
      </c>
      <c r="G2838" s="11" t="s">
        <v>6231</v>
      </c>
      <c r="H2838" s="2" t="s">
        <v>1061</v>
      </c>
      <c r="L2838" s="18">
        <v>1</v>
      </c>
      <c r="M2838" s="14" t="s">
        <v>8462</v>
      </c>
      <c r="N2838" s="13">
        <v>44022</v>
      </c>
      <c r="O2838" s="29">
        <v>26.03</v>
      </c>
      <c r="P2838" s="18" t="s">
        <v>14</v>
      </c>
      <c r="Q2838" s="18">
        <v>0</v>
      </c>
      <c r="U2838" s="22">
        <v>0.6</v>
      </c>
      <c r="V2838" s="22">
        <f>3.7/5</f>
        <v>0.74</v>
      </c>
      <c r="X2838" s="3">
        <v>3</v>
      </c>
      <c r="Z2838" s="23">
        <v>12.5</v>
      </c>
      <c r="AB2838" s="18">
        <f t="shared" si="88"/>
        <v>2015</v>
      </c>
      <c r="AC2838" s="22">
        <f t="shared" si="89"/>
        <v>0.64666666666666661</v>
      </c>
    </row>
    <row r="2839" spans="1:29">
      <c r="A2839" s="8" t="s">
        <v>2364</v>
      </c>
      <c r="B2839" s="17" t="s">
        <v>7749</v>
      </c>
      <c r="C2839" s="13">
        <v>42286</v>
      </c>
      <c r="D2839" s="13" t="s">
        <v>8465</v>
      </c>
      <c r="E2839" s="10" t="s">
        <v>86</v>
      </c>
      <c r="F2839" s="10" t="s">
        <v>2450</v>
      </c>
      <c r="G2839" s="11" t="s">
        <v>9047</v>
      </c>
      <c r="H2839" s="2" t="s">
        <v>1040</v>
      </c>
      <c r="L2839" s="18">
        <v>1</v>
      </c>
      <c r="M2839" s="14" t="s">
        <v>8462</v>
      </c>
      <c r="N2839" s="13">
        <v>43559</v>
      </c>
      <c r="O2839" s="29">
        <v>5.29</v>
      </c>
      <c r="P2839" s="18" t="s">
        <v>14</v>
      </c>
      <c r="Q2839" s="18">
        <v>0</v>
      </c>
      <c r="U2839" s="22">
        <v>0.6</v>
      </c>
      <c r="V2839" s="22">
        <f>3.41/5</f>
        <v>0.68200000000000005</v>
      </c>
      <c r="X2839" s="3">
        <v>2</v>
      </c>
      <c r="Z2839" s="23">
        <v>11</v>
      </c>
      <c r="AB2839" s="18">
        <f t="shared" si="88"/>
        <v>2015</v>
      </c>
      <c r="AC2839" s="22">
        <f t="shared" si="89"/>
        <v>0.56066666666666665</v>
      </c>
    </row>
    <row r="2840" spans="1:29" ht="25.5">
      <c r="A2840" s="8" t="s">
        <v>13743</v>
      </c>
      <c r="B2840" s="17" t="s">
        <v>7749</v>
      </c>
      <c r="C2840" s="13">
        <v>42285</v>
      </c>
      <c r="D2840" s="13" t="s">
        <v>8465</v>
      </c>
      <c r="E2840" s="10" t="s">
        <v>455</v>
      </c>
      <c r="F2840" s="10" t="s">
        <v>1081</v>
      </c>
      <c r="G2840" s="11" t="s">
        <v>1688</v>
      </c>
      <c r="H2840" s="2" t="s">
        <v>64</v>
      </c>
      <c r="L2840" s="18">
        <v>1</v>
      </c>
      <c r="N2840" s="13">
        <v>45003</v>
      </c>
      <c r="O2840" s="29">
        <v>5.99</v>
      </c>
      <c r="P2840" s="18" t="s">
        <v>1107</v>
      </c>
      <c r="Q2840" s="18">
        <v>0</v>
      </c>
      <c r="U2840" s="22">
        <v>0.87</v>
      </c>
      <c r="V2840" s="22">
        <f>4.29/5</f>
        <v>0.85799999999999998</v>
      </c>
      <c r="X2840" s="3">
        <v>3</v>
      </c>
      <c r="Z2840" s="23">
        <v>2.5</v>
      </c>
      <c r="AB2840" s="18">
        <f t="shared" si="88"/>
        <v>2015</v>
      </c>
      <c r="AC2840" s="22">
        <f t="shared" si="89"/>
        <v>0.77599999999999991</v>
      </c>
    </row>
    <row r="2841" spans="1:29" ht="30">
      <c r="A2841" s="8" t="s">
        <v>5204</v>
      </c>
      <c r="B2841" s="17" t="s">
        <v>7763</v>
      </c>
      <c r="C2841" s="13">
        <v>42283</v>
      </c>
      <c r="D2841" s="13" t="s">
        <v>8465</v>
      </c>
      <c r="E2841" s="10" t="s">
        <v>5205</v>
      </c>
      <c r="F2841" s="10" t="s">
        <v>5205</v>
      </c>
      <c r="G2841" s="11" t="s">
        <v>5206</v>
      </c>
      <c r="H2841" s="2" t="s">
        <v>64</v>
      </c>
      <c r="L2841" s="18">
        <v>1</v>
      </c>
      <c r="M2841" s="14" t="s">
        <v>8462</v>
      </c>
      <c r="N2841" s="13">
        <v>44407</v>
      </c>
      <c r="O2841" s="29">
        <v>38.36</v>
      </c>
      <c r="P2841" s="18" t="s">
        <v>14</v>
      </c>
      <c r="Q2841" s="18">
        <v>0</v>
      </c>
      <c r="U2841" s="22">
        <v>0.85</v>
      </c>
      <c r="V2841" s="22">
        <f>3.81/5</f>
        <v>0.76200000000000001</v>
      </c>
      <c r="W2841" s="14" t="s">
        <v>1134</v>
      </c>
      <c r="X2841" s="3">
        <v>4</v>
      </c>
      <c r="Z2841" s="23">
        <v>10</v>
      </c>
      <c r="AB2841" s="18">
        <f t="shared" si="88"/>
        <v>2015</v>
      </c>
      <c r="AC2841" s="22">
        <f t="shared" si="89"/>
        <v>0.80399999999999994</v>
      </c>
    </row>
    <row r="2842" spans="1:29">
      <c r="A2842" s="8" t="s">
        <v>12603</v>
      </c>
      <c r="B2842" s="17" t="s">
        <v>7800</v>
      </c>
      <c r="C2842" s="13">
        <v>42283</v>
      </c>
      <c r="D2842" s="13" t="s">
        <v>8465</v>
      </c>
      <c r="E2842" s="10" t="s">
        <v>4927</v>
      </c>
      <c r="F2842" s="10" t="s">
        <v>4927</v>
      </c>
      <c r="H2842" s="2" t="s">
        <v>1334</v>
      </c>
      <c r="L2842" s="18">
        <v>1</v>
      </c>
      <c r="P2842" s="18" t="s">
        <v>1107</v>
      </c>
      <c r="Q2842" s="18">
        <v>0</v>
      </c>
      <c r="U2842" s="22">
        <v>0.83</v>
      </c>
      <c r="V2842" s="22">
        <f>3.78/5</f>
        <v>0.75600000000000001</v>
      </c>
      <c r="W2842" s="14" t="s">
        <v>7777</v>
      </c>
      <c r="X2842" s="3">
        <v>2</v>
      </c>
      <c r="Z2842" s="23">
        <v>16</v>
      </c>
      <c r="AB2842" s="18">
        <f t="shared" si="88"/>
        <v>2015</v>
      </c>
      <c r="AC2842" s="22">
        <f t="shared" si="89"/>
        <v>0.66199999999999992</v>
      </c>
    </row>
    <row r="2843" spans="1:29" ht="25.5">
      <c r="A2843" s="8" t="s">
        <v>6197</v>
      </c>
      <c r="B2843" s="17" t="s">
        <v>7760</v>
      </c>
      <c r="C2843" s="13">
        <v>42283</v>
      </c>
      <c r="D2843" s="13" t="s">
        <v>8465</v>
      </c>
      <c r="E2843" s="10" t="s">
        <v>1273</v>
      </c>
      <c r="F2843" s="10" t="s">
        <v>1058</v>
      </c>
      <c r="G2843" s="11" t="s">
        <v>6198</v>
      </c>
      <c r="H2843" s="2" t="s">
        <v>1059</v>
      </c>
      <c r="L2843" s="18">
        <v>1</v>
      </c>
      <c r="N2843" s="13">
        <v>42652</v>
      </c>
      <c r="O2843" s="29">
        <v>0</v>
      </c>
      <c r="P2843" s="18" t="s">
        <v>1107</v>
      </c>
      <c r="Q2843" s="18">
        <v>0</v>
      </c>
      <c r="U2843" s="22">
        <v>0.78</v>
      </c>
      <c r="V2843" s="22">
        <f>3.78/5</f>
        <v>0.75600000000000001</v>
      </c>
      <c r="W2843" s="14" t="s">
        <v>6072</v>
      </c>
      <c r="X2843" s="3">
        <v>2</v>
      </c>
      <c r="Z2843" s="23">
        <v>5.5</v>
      </c>
      <c r="AB2843" s="18">
        <f t="shared" si="88"/>
        <v>2015</v>
      </c>
      <c r="AC2843" s="22">
        <f t="shared" si="89"/>
        <v>0.64533333333333331</v>
      </c>
    </row>
    <row r="2844" spans="1:29" ht="30">
      <c r="A2844" s="8" t="s">
        <v>12439</v>
      </c>
      <c r="B2844" s="17" t="s">
        <v>7760</v>
      </c>
      <c r="C2844" s="13">
        <v>42283</v>
      </c>
      <c r="D2844" s="13" t="s">
        <v>8465</v>
      </c>
      <c r="E2844" s="10" t="s">
        <v>1604</v>
      </c>
      <c r="F2844" s="10" t="s">
        <v>1232</v>
      </c>
      <c r="G2844" s="11" t="s">
        <v>12440</v>
      </c>
      <c r="H2844" s="2" t="s">
        <v>459</v>
      </c>
      <c r="L2844" s="18">
        <v>0</v>
      </c>
      <c r="Q2844" s="18">
        <v>0</v>
      </c>
      <c r="U2844" s="22">
        <v>0.59</v>
      </c>
      <c r="V2844" s="22">
        <f>4.06/5</f>
        <v>0.81199999999999994</v>
      </c>
      <c r="W2844" s="14" t="s">
        <v>9890</v>
      </c>
      <c r="X2844" s="3">
        <v>2</v>
      </c>
      <c r="Y2844" s="18">
        <v>1</v>
      </c>
      <c r="Z2844" s="23">
        <v>12</v>
      </c>
      <c r="AB2844" s="18">
        <f t="shared" si="88"/>
        <v>2015</v>
      </c>
      <c r="AC2844" s="22">
        <f t="shared" si="89"/>
        <v>0.60066666666666668</v>
      </c>
    </row>
    <row r="2845" spans="1:29">
      <c r="A2845" s="8" t="s">
        <v>5033</v>
      </c>
      <c r="B2845" s="17" t="s">
        <v>7800</v>
      </c>
      <c r="C2845" s="13">
        <v>42283</v>
      </c>
      <c r="D2845" s="13" t="s">
        <v>8465</v>
      </c>
      <c r="E2845" s="10" t="s">
        <v>3072</v>
      </c>
      <c r="F2845" s="10" t="s">
        <v>5034</v>
      </c>
      <c r="H2845" s="2" t="s">
        <v>1518</v>
      </c>
      <c r="L2845" s="18">
        <v>1</v>
      </c>
      <c r="N2845" s="13">
        <v>43363</v>
      </c>
      <c r="P2845" s="18" t="s">
        <v>1107</v>
      </c>
      <c r="Q2845" s="18">
        <v>0</v>
      </c>
      <c r="U2845" s="22">
        <v>0.63</v>
      </c>
      <c r="V2845" s="22">
        <f>3.05/5</f>
        <v>0.61</v>
      </c>
      <c r="W2845" s="14" t="s">
        <v>7777</v>
      </c>
      <c r="X2845" s="3">
        <v>2</v>
      </c>
      <c r="Z2845" s="23">
        <v>4</v>
      </c>
      <c r="AB2845" s="18">
        <f t="shared" si="88"/>
        <v>2015</v>
      </c>
      <c r="AC2845" s="22">
        <f t="shared" si="89"/>
        <v>0.54666666666666675</v>
      </c>
    </row>
    <row r="2846" spans="1:29">
      <c r="A2846" s="8" t="s">
        <v>4146</v>
      </c>
      <c r="B2846" s="17" t="s">
        <v>7800</v>
      </c>
      <c r="C2846" s="13">
        <v>42279</v>
      </c>
      <c r="D2846" s="13" t="s">
        <v>8465</v>
      </c>
      <c r="E2846" s="10" t="s">
        <v>4147</v>
      </c>
      <c r="F2846" s="10" t="s">
        <v>4147</v>
      </c>
      <c r="H2846" s="2" t="s">
        <v>149</v>
      </c>
      <c r="L2846" s="18">
        <v>1</v>
      </c>
      <c r="N2846" s="13">
        <v>43455</v>
      </c>
      <c r="O2846" s="29">
        <v>1.49</v>
      </c>
      <c r="P2846" s="18" t="s">
        <v>1107</v>
      </c>
      <c r="Q2846" s="18">
        <v>0</v>
      </c>
      <c r="V2846" s="22">
        <f>3.96/5</f>
        <v>0.79200000000000004</v>
      </c>
      <c r="W2846" s="14" t="s">
        <v>7777</v>
      </c>
      <c r="X2846" s="3">
        <v>4</v>
      </c>
      <c r="Z2846" s="23">
        <v>3.5</v>
      </c>
      <c r="AB2846" s="18">
        <f t="shared" si="88"/>
        <v>2015</v>
      </c>
      <c r="AC2846" s="22">
        <f t="shared" si="89"/>
        <v>0.79600000000000004</v>
      </c>
    </row>
    <row r="2847" spans="1:29">
      <c r="A2847" s="8" t="s">
        <v>5145</v>
      </c>
      <c r="B2847" s="17" t="s">
        <v>7800</v>
      </c>
      <c r="C2847" s="13">
        <v>42278</v>
      </c>
      <c r="D2847" s="13" t="s">
        <v>8465</v>
      </c>
      <c r="E2847" s="10" t="s">
        <v>3808</v>
      </c>
      <c r="F2847" s="10" t="s">
        <v>5146</v>
      </c>
      <c r="H2847" s="2" t="s">
        <v>21</v>
      </c>
      <c r="L2847" s="18">
        <v>1</v>
      </c>
      <c r="N2847" s="13">
        <v>43371</v>
      </c>
      <c r="O2847" s="29">
        <v>3.89</v>
      </c>
      <c r="P2847" s="18" t="s">
        <v>1107</v>
      </c>
      <c r="Q2847" s="18">
        <v>0</v>
      </c>
      <c r="V2847" s="22">
        <f>4.14/5</f>
        <v>0.82799999999999996</v>
      </c>
      <c r="W2847" s="14" t="s">
        <v>7777</v>
      </c>
      <c r="X2847" s="3">
        <v>3</v>
      </c>
      <c r="Z2847" s="23">
        <v>1.5</v>
      </c>
      <c r="AB2847" s="18">
        <f t="shared" si="88"/>
        <v>2015</v>
      </c>
      <c r="AC2847" s="22">
        <f t="shared" si="89"/>
        <v>0.71399999999999997</v>
      </c>
    </row>
    <row r="2848" spans="1:29" ht="30">
      <c r="A2848" s="8" t="s">
        <v>5277</v>
      </c>
      <c r="B2848" s="17" t="s">
        <v>7800</v>
      </c>
      <c r="C2848" s="13">
        <v>42278</v>
      </c>
      <c r="D2848" s="13" t="s">
        <v>8465</v>
      </c>
      <c r="E2848" s="10" t="s">
        <v>5278</v>
      </c>
      <c r="F2848" s="10" t="s">
        <v>5278</v>
      </c>
      <c r="H2848" s="2" t="s">
        <v>67</v>
      </c>
      <c r="L2848" s="18">
        <v>1</v>
      </c>
      <c r="N2848" s="13">
        <v>42600</v>
      </c>
      <c r="P2848" s="18" t="s">
        <v>1107</v>
      </c>
      <c r="Q2848" s="18">
        <v>0</v>
      </c>
      <c r="U2848" s="22">
        <v>0.79</v>
      </c>
      <c r="V2848" s="22">
        <f>3.61/5</f>
        <v>0.72199999999999998</v>
      </c>
      <c r="W2848" s="14" t="s">
        <v>7777</v>
      </c>
      <c r="X2848" s="3">
        <v>3</v>
      </c>
      <c r="Z2848" s="23">
        <v>1.5</v>
      </c>
      <c r="AB2848" s="18">
        <f t="shared" si="88"/>
        <v>2015</v>
      </c>
      <c r="AC2848" s="22">
        <f t="shared" si="89"/>
        <v>0.70400000000000007</v>
      </c>
    </row>
    <row r="2849" spans="1:29">
      <c r="A2849" s="8" t="s">
        <v>15886</v>
      </c>
      <c r="B2849" s="17" t="s">
        <v>7734</v>
      </c>
      <c r="C2849" s="12">
        <v>42278</v>
      </c>
      <c r="D2849" s="13" t="s">
        <v>8465</v>
      </c>
      <c r="E2849" s="10" t="s">
        <v>15887</v>
      </c>
      <c r="F2849" s="10" t="s">
        <v>15887</v>
      </c>
      <c r="G2849" s="11" t="s">
        <v>15868</v>
      </c>
      <c r="H2849" s="2" t="s">
        <v>1267</v>
      </c>
      <c r="L2849" s="18">
        <v>0</v>
      </c>
      <c r="Q2849" s="18">
        <v>0</v>
      </c>
      <c r="V2849" s="22">
        <f>2.8/5</f>
        <v>0.55999999999999994</v>
      </c>
      <c r="X2849" s="3">
        <v>2</v>
      </c>
      <c r="AB2849" s="18">
        <f t="shared" si="88"/>
        <v>2015</v>
      </c>
      <c r="AC2849" s="22">
        <f t="shared" si="89"/>
        <v>0.48</v>
      </c>
    </row>
    <row r="2850" spans="1:29">
      <c r="A2850" s="8" t="s">
        <v>3211</v>
      </c>
      <c r="B2850" s="17" t="s">
        <v>7800</v>
      </c>
      <c r="C2850" s="13">
        <v>42277</v>
      </c>
      <c r="D2850" s="13" t="s">
        <v>8465</v>
      </c>
      <c r="E2850" s="10" t="s">
        <v>3212</v>
      </c>
      <c r="F2850" s="10" t="s">
        <v>3213</v>
      </c>
      <c r="H2850" s="2" t="s">
        <v>67</v>
      </c>
      <c r="L2850" s="18">
        <v>1</v>
      </c>
      <c r="N2850" s="13">
        <v>43368</v>
      </c>
      <c r="O2850" s="29">
        <v>1.99</v>
      </c>
      <c r="P2850" s="18" t="s">
        <v>1107</v>
      </c>
      <c r="Q2850" s="18">
        <v>0</v>
      </c>
      <c r="U2850" s="22">
        <v>0.56999999999999995</v>
      </c>
      <c r="V2850" s="22">
        <f>3.36/5</f>
        <v>0.67199999999999993</v>
      </c>
      <c r="W2850" s="14" t="s">
        <v>7777</v>
      </c>
      <c r="X2850" s="3">
        <v>2</v>
      </c>
      <c r="Z2850" s="23">
        <v>3.5</v>
      </c>
      <c r="AB2850" s="18">
        <f t="shared" si="88"/>
        <v>2015</v>
      </c>
      <c r="AC2850" s="22">
        <f t="shared" si="89"/>
        <v>0.54733333333333334</v>
      </c>
    </row>
    <row r="2851" spans="1:29" ht="25.5">
      <c r="A2851" s="8" t="s">
        <v>8454</v>
      </c>
      <c r="B2851" s="17" t="s">
        <v>7763</v>
      </c>
      <c r="C2851" s="13">
        <v>42276</v>
      </c>
      <c r="D2851" s="13" t="s">
        <v>8465</v>
      </c>
      <c r="E2851" s="10" t="s">
        <v>228</v>
      </c>
      <c r="F2851" s="10" t="s">
        <v>2458</v>
      </c>
      <c r="G2851" s="11" t="s">
        <v>1171</v>
      </c>
      <c r="H2851" s="2" t="s">
        <v>1220</v>
      </c>
      <c r="L2851" s="18">
        <v>1</v>
      </c>
      <c r="M2851" s="14" t="s">
        <v>10622</v>
      </c>
      <c r="N2851" s="13">
        <v>43889</v>
      </c>
      <c r="O2851" s="29">
        <v>10.84</v>
      </c>
      <c r="P2851" s="18" t="s">
        <v>14</v>
      </c>
      <c r="Q2851" s="18">
        <v>0</v>
      </c>
      <c r="U2851" s="22">
        <v>0.76</v>
      </c>
      <c r="V2851" s="22">
        <f>4.03/5</f>
        <v>0.80600000000000005</v>
      </c>
      <c r="X2851" s="3">
        <v>4</v>
      </c>
      <c r="Z2851" s="23">
        <v>8.5</v>
      </c>
      <c r="AB2851" s="18">
        <f t="shared" si="88"/>
        <v>2015</v>
      </c>
      <c r="AC2851" s="22">
        <f t="shared" si="89"/>
        <v>0.78866666666666674</v>
      </c>
    </row>
    <row r="2852" spans="1:29">
      <c r="A2852" s="8" t="s">
        <v>7036</v>
      </c>
      <c r="B2852" s="17" t="s">
        <v>7800</v>
      </c>
      <c r="C2852" s="13">
        <v>42276</v>
      </c>
      <c r="D2852" s="13" t="s">
        <v>8465</v>
      </c>
      <c r="E2852" s="10" t="s">
        <v>5182</v>
      </c>
      <c r="F2852" s="10" t="s">
        <v>5182</v>
      </c>
      <c r="H2852" s="2" t="s">
        <v>80</v>
      </c>
      <c r="L2852" s="18">
        <v>1</v>
      </c>
      <c r="O2852" s="29">
        <v>0</v>
      </c>
      <c r="P2852" s="18" t="s">
        <v>1107</v>
      </c>
      <c r="Q2852" s="18">
        <v>0</v>
      </c>
      <c r="U2852" s="22">
        <v>0.82</v>
      </c>
      <c r="V2852" s="22">
        <f>3.42/5</f>
        <v>0.68399999999999994</v>
      </c>
      <c r="W2852" s="14" t="s">
        <v>7799</v>
      </c>
      <c r="X2852" s="3">
        <v>3</v>
      </c>
      <c r="Z2852" s="23">
        <v>5</v>
      </c>
      <c r="AB2852" s="18">
        <f t="shared" si="88"/>
        <v>2015</v>
      </c>
      <c r="AC2852" s="22">
        <f t="shared" si="89"/>
        <v>0.70133333333333336</v>
      </c>
    </row>
    <row r="2853" spans="1:29">
      <c r="A2853" s="8" t="s">
        <v>2436</v>
      </c>
      <c r="B2853" s="17" t="s">
        <v>7800</v>
      </c>
      <c r="C2853" s="13">
        <v>42276</v>
      </c>
      <c r="D2853" s="13" t="s">
        <v>8465</v>
      </c>
      <c r="E2853" s="10" t="s">
        <v>1070</v>
      </c>
      <c r="F2853" s="10" t="s">
        <v>1070</v>
      </c>
      <c r="G2853" s="11" t="s">
        <v>2477</v>
      </c>
      <c r="H2853" s="2" t="s">
        <v>56</v>
      </c>
      <c r="L2853" s="18">
        <v>1</v>
      </c>
      <c r="N2853" s="13">
        <v>42246</v>
      </c>
      <c r="P2853" s="18" t="s">
        <v>1107</v>
      </c>
      <c r="Q2853" s="18">
        <v>0</v>
      </c>
      <c r="V2853" s="22">
        <f>3.23/5</f>
        <v>0.64600000000000002</v>
      </c>
      <c r="W2853" s="14" t="s">
        <v>7777</v>
      </c>
      <c r="X2853" s="3">
        <v>3</v>
      </c>
      <c r="Z2853" s="23">
        <v>0.68</v>
      </c>
      <c r="AB2853" s="18">
        <f t="shared" si="88"/>
        <v>2015</v>
      </c>
      <c r="AC2853" s="22">
        <f t="shared" si="89"/>
        <v>0.623</v>
      </c>
    </row>
    <row r="2854" spans="1:29" ht="25.5">
      <c r="A2854" s="9" t="s">
        <v>3202</v>
      </c>
      <c r="B2854" s="17" t="s">
        <v>7800</v>
      </c>
      <c r="C2854" s="13">
        <v>42276</v>
      </c>
      <c r="D2854" s="13" t="s">
        <v>8465</v>
      </c>
      <c r="E2854" s="10" t="s">
        <v>479</v>
      </c>
      <c r="F2854" s="10" t="s">
        <v>3203</v>
      </c>
      <c r="G2854" s="11" t="s">
        <v>3204</v>
      </c>
      <c r="H2854" s="2" t="s">
        <v>459</v>
      </c>
      <c r="L2854" s="18">
        <v>1</v>
      </c>
      <c r="N2854" s="13">
        <v>43158</v>
      </c>
      <c r="P2854" s="18" t="s">
        <v>1107</v>
      </c>
      <c r="Q2854" s="18">
        <v>0</v>
      </c>
      <c r="U2854" s="22">
        <v>0.73</v>
      </c>
      <c r="V2854" s="22">
        <f>3.62/5</f>
        <v>0.72399999999999998</v>
      </c>
      <c r="W2854" s="14" t="s">
        <v>7777</v>
      </c>
      <c r="X2854" s="3">
        <v>2</v>
      </c>
      <c r="Z2854" s="23">
        <v>1.5</v>
      </c>
      <c r="AB2854" s="18">
        <f t="shared" si="88"/>
        <v>2015</v>
      </c>
      <c r="AC2854" s="22">
        <f t="shared" si="89"/>
        <v>0.61799999999999999</v>
      </c>
    </row>
    <row r="2855" spans="1:29" ht="25.5">
      <c r="A2855" s="8" t="s">
        <v>2361</v>
      </c>
      <c r="B2855" s="17" t="s">
        <v>7749</v>
      </c>
      <c r="C2855" s="13">
        <v>42272</v>
      </c>
      <c r="D2855" s="13" t="s">
        <v>8465</v>
      </c>
      <c r="E2855" s="10" t="s">
        <v>86</v>
      </c>
      <c r="F2855" s="10" t="s">
        <v>87</v>
      </c>
      <c r="G2855" s="11" t="s">
        <v>901</v>
      </c>
      <c r="H2855" s="2" t="s">
        <v>1334</v>
      </c>
      <c r="L2855" s="18">
        <v>1</v>
      </c>
      <c r="M2855" s="14" t="s">
        <v>8462</v>
      </c>
      <c r="N2855" s="13">
        <v>43509</v>
      </c>
      <c r="O2855" s="29">
        <v>16.89</v>
      </c>
      <c r="P2855" s="18" t="s">
        <v>14</v>
      </c>
      <c r="Q2855" s="18">
        <v>0</v>
      </c>
      <c r="U2855" s="22">
        <v>0.66</v>
      </c>
      <c r="V2855" s="22">
        <f>3.8/5</f>
        <v>0.76</v>
      </c>
      <c r="X2855" s="3">
        <v>2</v>
      </c>
      <c r="Z2855" s="23">
        <v>12</v>
      </c>
      <c r="AB2855" s="18">
        <f t="shared" si="88"/>
        <v>2015</v>
      </c>
      <c r="AC2855" s="22">
        <f t="shared" si="89"/>
        <v>0.60666666666666658</v>
      </c>
    </row>
    <row r="2856" spans="1:29">
      <c r="A2856" s="8" t="s">
        <v>3788</v>
      </c>
      <c r="B2856" s="17" t="s">
        <v>7800</v>
      </c>
      <c r="C2856" s="13">
        <v>42271</v>
      </c>
      <c r="D2856" s="13" t="s">
        <v>8465</v>
      </c>
      <c r="E2856" s="10" t="s">
        <v>3355</v>
      </c>
      <c r="F2856" s="10" t="s">
        <v>3355</v>
      </c>
      <c r="H2856" s="2" t="s">
        <v>67</v>
      </c>
      <c r="L2856" s="18">
        <v>1</v>
      </c>
      <c r="N2856" s="13">
        <v>42430</v>
      </c>
      <c r="P2856" s="18" t="s">
        <v>1107</v>
      </c>
      <c r="Q2856" s="18">
        <v>0</v>
      </c>
      <c r="U2856" s="22">
        <v>0.8</v>
      </c>
      <c r="V2856" s="22">
        <f>3.76/5</f>
        <v>0.752</v>
      </c>
      <c r="W2856" s="14" t="s">
        <v>7777</v>
      </c>
      <c r="X2856" s="3">
        <v>3</v>
      </c>
      <c r="Z2856" s="23">
        <v>13.5</v>
      </c>
      <c r="AB2856" s="18">
        <f t="shared" si="88"/>
        <v>2015</v>
      </c>
      <c r="AC2856" s="22">
        <f t="shared" si="89"/>
        <v>0.71733333333333338</v>
      </c>
    </row>
    <row r="2857" spans="1:29">
      <c r="A2857" s="8" t="s">
        <v>3227</v>
      </c>
      <c r="B2857" s="17" t="s">
        <v>7800</v>
      </c>
      <c r="C2857" s="13">
        <v>42270</v>
      </c>
      <c r="D2857" s="13" t="s">
        <v>8465</v>
      </c>
      <c r="E2857" s="10" t="s">
        <v>3228</v>
      </c>
      <c r="F2857" s="10" t="s">
        <v>3228</v>
      </c>
      <c r="H2857" s="2" t="s">
        <v>2138</v>
      </c>
      <c r="L2857" s="18">
        <v>1</v>
      </c>
      <c r="N2857" s="13">
        <v>42672</v>
      </c>
      <c r="P2857" s="18" t="s">
        <v>1107</v>
      </c>
      <c r="Q2857" s="18">
        <v>0</v>
      </c>
      <c r="U2857" s="22">
        <v>0.78</v>
      </c>
      <c r="V2857" s="22">
        <f>3.65/5</f>
        <v>0.73</v>
      </c>
      <c r="W2857" s="14" t="s">
        <v>7777</v>
      </c>
      <c r="X2857" s="3">
        <v>2</v>
      </c>
      <c r="Z2857" s="23">
        <v>3</v>
      </c>
      <c r="AB2857" s="18">
        <f t="shared" si="88"/>
        <v>2015</v>
      </c>
      <c r="AC2857" s="22">
        <f t="shared" si="89"/>
        <v>0.63666666666666671</v>
      </c>
    </row>
    <row r="2858" spans="1:29">
      <c r="A2858" s="8" t="s">
        <v>3062</v>
      </c>
      <c r="B2858" s="17" t="s">
        <v>7800</v>
      </c>
      <c r="C2858" s="13">
        <v>42270</v>
      </c>
      <c r="D2858" s="13" t="s">
        <v>8465</v>
      </c>
      <c r="E2858" s="10" t="s">
        <v>3063</v>
      </c>
      <c r="F2858" s="10" t="s">
        <v>3064</v>
      </c>
      <c r="H2858" s="2" t="s">
        <v>2138</v>
      </c>
      <c r="L2858" s="18">
        <v>1</v>
      </c>
      <c r="N2858" s="13">
        <v>42485</v>
      </c>
      <c r="P2858" s="18" t="s">
        <v>1107</v>
      </c>
      <c r="Q2858" s="18">
        <v>0</v>
      </c>
      <c r="U2858" s="22">
        <v>0.65</v>
      </c>
      <c r="V2858" s="22">
        <f>3.37/5</f>
        <v>0.67400000000000004</v>
      </c>
      <c r="W2858" s="14" t="s">
        <v>7777</v>
      </c>
      <c r="X2858" s="3">
        <v>2</v>
      </c>
      <c r="Z2858" s="23">
        <v>3</v>
      </c>
      <c r="AB2858" s="18">
        <f t="shared" si="88"/>
        <v>2015</v>
      </c>
      <c r="AC2858" s="22">
        <f t="shared" si="89"/>
        <v>0.57466666666666677</v>
      </c>
    </row>
    <row r="2859" spans="1:29" ht="25.5">
      <c r="A2859" s="8" t="s">
        <v>5236</v>
      </c>
      <c r="B2859" s="17" t="s">
        <v>7800</v>
      </c>
      <c r="C2859" s="13">
        <v>42269</v>
      </c>
      <c r="D2859" s="13" t="s">
        <v>8465</v>
      </c>
      <c r="E2859" s="10" t="s">
        <v>8722</v>
      </c>
      <c r="F2859" s="10" t="s">
        <v>5234</v>
      </c>
      <c r="G2859" s="11" t="s">
        <v>5235</v>
      </c>
      <c r="H2859" s="2" t="s">
        <v>171</v>
      </c>
      <c r="L2859" s="18">
        <v>1</v>
      </c>
      <c r="N2859" s="13">
        <v>42785</v>
      </c>
      <c r="P2859" s="18" t="s">
        <v>1107</v>
      </c>
      <c r="Q2859" s="18">
        <v>0</v>
      </c>
      <c r="U2859" s="22">
        <v>0.82</v>
      </c>
      <c r="V2859" s="22">
        <f>3.88/5</f>
        <v>0.77600000000000002</v>
      </c>
      <c r="W2859" s="14" t="s">
        <v>7777</v>
      </c>
      <c r="X2859" s="3">
        <v>4</v>
      </c>
      <c r="Z2859" s="23">
        <v>13</v>
      </c>
      <c r="AB2859" s="18">
        <f t="shared" si="88"/>
        <v>2015</v>
      </c>
      <c r="AC2859" s="22">
        <f t="shared" si="89"/>
        <v>0.79866666666666664</v>
      </c>
    </row>
    <row r="2860" spans="1:29" ht="38.25">
      <c r="A2860" s="8" t="s">
        <v>12194</v>
      </c>
      <c r="B2860" s="17" t="s">
        <v>7800</v>
      </c>
      <c r="C2860" s="13">
        <v>42269</v>
      </c>
      <c r="D2860" s="13" t="s">
        <v>8465</v>
      </c>
      <c r="E2860" s="10" t="s">
        <v>3212</v>
      </c>
      <c r="F2860" s="10" t="s">
        <v>12193</v>
      </c>
      <c r="G2860" s="11" t="s">
        <v>5910</v>
      </c>
      <c r="H2860" s="2" t="s">
        <v>80</v>
      </c>
      <c r="L2860" s="18">
        <v>0</v>
      </c>
      <c r="Q2860" s="18">
        <v>0</v>
      </c>
      <c r="V2860" s="22">
        <f>1/5</f>
        <v>0.2</v>
      </c>
      <c r="W2860" s="14" t="s">
        <v>9890</v>
      </c>
      <c r="X2860" s="3">
        <v>2</v>
      </c>
      <c r="Z2860" s="23">
        <v>2</v>
      </c>
      <c r="AB2860" s="18">
        <f t="shared" si="88"/>
        <v>2015</v>
      </c>
      <c r="AC2860" s="22">
        <f t="shared" si="89"/>
        <v>0.30000000000000004</v>
      </c>
    </row>
    <row r="2861" spans="1:29" ht="25.5">
      <c r="A2861" s="8" t="s">
        <v>13064</v>
      </c>
      <c r="B2861" s="17" t="s">
        <v>7763</v>
      </c>
      <c r="C2861" s="13">
        <v>42264</v>
      </c>
      <c r="D2861" s="13" t="s">
        <v>8463</v>
      </c>
      <c r="E2861" s="10" t="s">
        <v>3568</v>
      </c>
      <c r="F2861" s="10" t="s">
        <v>3568</v>
      </c>
      <c r="H2861" s="2" t="s">
        <v>153</v>
      </c>
      <c r="K2861" s="18">
        <v>0</v>
      </c>
      <c r="L2861" s="18">
        <v>0</v>
      </c>
      <c r="Q2861" s="18">
        <v>0</v>
      </c>
      <c r="V2861" s="22">
        <f>4.17/5</f>
        <v>0.83399999999999996</v>
      </c>
      <c r="X2861" s="3">
        <v>2</v>
      </c>
      <c r="AB2861" s="18">
        <f t="shared" si="88"/>
        <v>2015</v>
      </c>
      <c r="AC2861" s="22">
        <f t="shared" si="89"/>
        <v>0.61699999999999999</v>
      </c>
    </row>
    <row r="2862" spans="1:29" ht="30">
      <c r="A2862" s="8" t="s">
        <v>3605</v>
      </c>
      <c r="B2862" s="17" t="s">
        <v>7800</v>
      </c>
      <c r="C2862" s="13">
        <v>42264</v>
      </c>
      <c r="D2862" s="13" t="s">
        <v>8465</v>
      </c>
      <c r="E2862" s="10" t="s">
        <v>3606</v>
      </c>
      <c r="F2862" s="10" t="s">
        <v>3606</v>
      </c>
      <c r="H2862" s="2" t="s">
        <v>1054</v>
      </c>
      <c r="L2862" s="18">
        <v>1</v>
      </c>
      <c r="N2862" s="13">
        <v>42362</v>
      </c>
      <c r="P2862" s="18" t="s">
        <v>1107</v>
      </c>
      <c r="Q2862" s="18">
        <v>0</v>
      </c>
      <c r="U2862" s="22">
        <v>0.77</v>
      </c>
      <c r="V2862" s="22">
        <f>3.67/5</f>
        <v>0.73399999999999999</v>
      </c>
      <c r="W2862" s="14" t="s">
        <v>7777</v>
      </c>
      <c r="X2862" s="3">
        <v>2</v>
      </c>
      <c r="Z2862" s="23">
        <v>0.67</v>
      </c>
      <c r="AB2862" s="18">
        <f t="shared" si="88"/>
        <v>2015</v>
      </c>
      <c r="AC2862" s="22">
        <f t="shared" si="89"/>
        <v>0.6346666666666666</v>
      </c>
    </row>
    <row r="2863" spans="1:29" ht="25.5">
      <c r="A2863" s="8" t="s">
        <v>10250</v>
      </c>
      <c r="B2863" s="17" t="s">
        <v>7749</v>
      </c>
      <c r="C2863" s="13">
        <v>42262</v>
      </c>
      <c r="D2863" s="13" t="s">
        <v>8465</v>
      </c>
      <c r="E2863" s="10" t="s">
        <v>1534</v>
      </c>
      <c r="F2863" s="10" t="s">
        <v>7413</v>
      </c>
      <c r="G2863" s="11" t="s">
        <v>10280</v>
      </c>
      <c r="H2863" s="2" t="s">
        <v>153</v>
      </c>
      <c r="L2863" s="18">
        <v>1</v>
      </c>
      <c r="M2863" s="14" t="s">
        <v>8462</v>
      </c>
      <c r="N2863" s="13">
        <v>44417</v>
      </c>
      <c r="O2863" s="29">
        <v>70.599999999999994</v>
      </c>
      <c r="P2863" s="18" t="s">
        <v>14</v>
      </c>
      <c r="Q2863" s="18">
        <v>0</v>
      </c>
      <c r="U2863" s="22">
        <v>0.57999999999999996</v>
      </c>
      <c r="V2863" s="22">
        <f>3.79/5</f>
        <v>0.75800000000000001</v>
      </c>
      <c r="X2863" s="3">
        <v>3</v>
      </c>
      <c r="Z2863" s="23">
        <v>11.5</v>
      </c>
      <c r="AB2863" s="18">
        <f t="shared" si="88"/>
        <v>2015</v>
      </c>
      <c r="AC2863" s="22">
        <f t="shared" si="89"/>
        <v>0.64600000000000002</v>
      </c>
    </row>
    <row r="2864" spans="1:29">
      <c r="A2864" s="8" t="s">
        <v>12901</v>
      </c>
      <c r="B2864" s="17" t="s">
        <v>7766</v>
      </c>
      <c r="C2864" s="13">
        <v>42262</v>
      </c>
      <c r="D2864" s="13" t="s">
        <v>8465</v>
      </c>
      <c r="E2864" s="10" t="s">
        <v>3116</v>
      </c>
      <c r="F2864" s="10" t="s">
        <v>10651</v>
      </c>
      <c r="G2864" s="11" t="s">
        <v>10642</v>
      </c>
      <c r="H2864" s="2" t="s">
        <v>150</v>
      </c>
      <c r="L2864" s="18">
        <v>0</v>
      </c>
      <c r="Q2864" s="18">
        <v>0</v>
      </c>
      <c r="U2864" s="22">
        <v>0.87</v>
      </c>
      <c r="V2864" s="22">
        <f>4.27/5</f>
        <v>0.85399999999999987</v>
      </c>
      <c r="X2864" s="3">
        <v>2</v>
      </c>
      <c r="Y2864" s="18">
        <v>1</v>
      </c>
      <c r="Z2864" s="23">
        <v>25</v>
      </c>
      <c r="AB2864" s="18">
        <f t="shared" si="88"/>
        <v>2015</v>
      </c>
      <c r="AC2864" s="22">
        <f t="shared" si="89"/>
        <v>0.70799999999999985</v>
      </c>
    </row>
    <row r="2865" spans="1:29">
      <c r="A2865" s="8" t="s">
        <v>1132</v>
      </c>
      <c r="B2865" s="17" t="s">
        <v>7743</v>
      </c>
      <c r="C2865" s="13">
        <v>42258</v>
      </c>
      <c r="D2865" s="13" t="s">
        <v>8465</v>
      </c>
      <c r="E2865" s="10" t="s">
        <v>86</v>
      </c>
      <c r="F2865" s="10" t="s">
        <v>87</v>
      </c>
      <c r="G2865" s="11" t="s">
        <v>137</v>
      </c>
      <c r="H2865" s="2" t="s">
        <v>64</v>
      </c>
      <c r="L2865" s="18">
        <v>1</v>
      </c>
      <c r="M2865" s="14" t="s">
        <v>8462</v>
      </c>
      <c r="N2865" s="13">
        <v>43515</v>
      </c>
      <c r="O2865" s="29">
        <v>23.99</v>
      </c>
      <c r="P2865" s="18" t="s">
        <v>14</v>
      </c>
      <c r="Q2865" s="18">
        <v>0</v>
      </c>
      <c r="U2865" s="22">
        <v>0.89</v>
      </c>
      <c r="V2865" s="22">
        <f>4.33/5</f>
        <v>0.86599999999999999</v>
      </c>
      <c r="X2865" s="3">
        <v>3</v>
      </c>
      <c r="Z2865" s="23">
        <v>5</v>
      </c>
      <c r="AB2865" s="18">
        <f t="shared" si="88"/>
        <v>2015</v>
      </c>
      <c r="AC2865" s="22">
        <f t="shared" si="89"/>
        <v>0.78533333333333333</v>
      </c>
    </row>
    <row r="2866" spans="1:29">
      <c r="A2866" s="8" t="s">
        <v>3720</v>
      </c>
      <c r="B2866" s="17" t="s">
        <v>7800</v>
      </c>
      <c r="C2866" s="13">
        <v>42257</v>
      </c>
      <c r="D2866" s="13" t="s">
        <v>8465</v>
      </c>
      <c r="E2866" s="10" t="s">
        <v>3063</v>
      </c>
      <c r="F2866" s="10" t="s">
        <v>3721</v>
      </c>
      <c r="H2866" s="2" t="s">
        <v>67</v>
      </c>
      <c r="L2866" s="18">
        <v>1</v>
      </c>
      <c r="N2866" s="13">
        <v>42485</v>
      </c>
      <c r="P2866" s="18" t="s">
        <v>1107</v>
      </c>
      <c r="Q2866" s="18">
        <v>0</v>
      </c>
      <c r="U2866" s="22">
        <v>0.8</v>
      </c>
      <c r="V2866" s="22">
        <f>4.02/5</f>
        <v>0.80399999999999994</v>
      </c>
      <c r="W2866" s="14" t="s">
        <v>7777</v>
      </c>
      <c r="X2866" s="3">
        <v>3</v>
      </c>
      <c r="Z2866" s="23">
        <v>4.5</v>
      </c>
      <c r="AB2866" s="18">
        <f t="shared" si="88"/>
        <v>2015</v>
      </c>
      <c r="AC2866" s="22">
        <f t="shared" si="89"/>
        <v>0.73466666666666669</v>
      </c>
    </row>
    <row r="2867" spans="1:29" ht="25.5">
      <c r="A2867" s="8" t="s">
        <v>4358</v>
      </c>
      <c r="B2867" s="17" t="s">
        <v>7800</v>
      </c>
      <c r="C2867" s="13">
        <v>42256</v>
      </c>
      <c r="D2867" s="13" t="s">
        <v>8465</v>
      </c>
      <c r="E2867" s="10" t="s">
        <v>4359</v>
      </c>
      <c r="F2867" s="10" t="s">
        <v>4359</v>
      </c>
      <c r="H2867" s="2" t="s">
        <v>56</v>
      </c>
      <c r="L2867" s="18">
        <v>1</v>
      </c>
      <c r="N2867" s="13">
        <v>42600</v>
      </c>
      <c r="P2867" s="18" t="s">
        <v>1107</v>
      </c>
      <c r="Q2867" s="18">
        <v>0</v>
      </c>
      <c r="U2867" s="22">
        <v>0.8</v>
      </c>
      <c r="V2867" s="22">
        <f>3.89/5</f>
        <v>0.77800000000000002</v>
      </c>
      <c r="W2867" s="14" t="s">
        <v>7777</v>
      </c>
      <c r="X2867" s="3">
        <v>3</v>
      </c>
      <c r="Z2867" s="23">
        <v>5.5</v>
      </c>
      <c r="AB2867" s="18">
        <f t="shared" si="88"/>
        <v>2015</v>
      </c>
      <c r="AC2867" s="22">
        <f t="shared" si="89"/>
        <v>0.72599999999999998</v>
      </c>
    </row>
    <row r="2868" spans="1:29" ht="30">
      <c r="A2868" s="8" t="s">
        <v>6195</v>
      </c>
      <c r="B2868" s="17" t="s">
        <v>7760</v>
      </c>
      <c r="C2868" s="13">
        <v>42255</v>
      </c>
      <c r="D2868" s="13" t="s">
        <v>8465</v>
      </c>
      <c r="E2868" s="10" t="s">
        <v>2908</v>
      </c>
      <c r="F2868" s="10" t="s">
        <v>5963</v>
      </c>
      <c r="G2868" s="11" t="s">
        <v>6196</v>
      </c>
      <c r="H2868" s="2" t="s">
        <v>64</v>
      </c>
      <c r="L2868" s="18">
        <v>1</v>
      </c>
      <c r="N2868" s="13">
        <v>42802</v>
      </c>
      <c r="O2868" s="29">
        <v>0</v>
      </c>
      <c r="P2868" s="18" t="s">
        <v>1107</v>
      </c>
      <c r="Q2868" s="18">
        <v>0</v>
      </c>
      <c r="U2868" s="22">
        <v>0.82</v>
      </c>
      <c r="V2868" s="22">
        <f>3.72/5</f>
        <v>0.74399999999999999</v>
      </c>
      <c r="W2868" s="14" t="s">
        <v>6072</v>
      </c>
      <c r="X2868" s="3">
        <v>3</v>
      </c>
      <c r="Z2868" s="23">
        <v>8.5</v>
      </c>
      <c r="AB2868" s="18">
        <f t="shared" si="88"/>
        <v>2015</v>
      </c>
      <c r="AC2868" s="22">
        <f t="shared" si="89"/>
        <v>0.72133333333333338</v>
      </c>
    </row>
    <row r="2869" spans="1:29">
      <c r="A2869" s="8" t="s">
        <v>4404</v>
      </c>
      <c r="B2869" s="17" t="s">
        <v>7800</v>
      </c>
      <c r="C2869" s="13">
        <v>42255</v>
      </c>
      <c r="D2869" s="13" t="s">
        <v>8465</v>
      </c>
      <c r="E2869" s="10" t="s">
        <v>4405</v>
      </c>
      <c r="F2869" s="10" t="s">
        <v>4405</v>
      </c>
      <c r="H2869" s="2" t="s">
        <v>245</v>
      </c>
      <c r="L2869" s="18">
        <v>1</v>
      </c>
      <c r="N2869" s="13">
        <v>42372</v>
      </c>
      <c r="O2869" s="29">
        <v>4.99</v>
      </c>
      <c r="P2869" s="18" t="s">
        <v>1107</v>
      </c>
      <c r="Q2869" s="18">
        <v>0</v>
      </c>
      <c r="U2869" s="22">
        <v>0.68</v>
      </c>
      <c r="V2869" s="22">
        <f>4.08/5</f>
        <v>0.81600000000000006</v>
      </c>
      <c r="W2869" s="14" t="s">
        <v>7777</v>
      </c>
      <c r="X2869" s="3">
        <v>3</v>
      </c>
      <c r="Z2869" s="23">
        <v>2</v>
      </c>
      <c r="AB2869" s="18">
        <f t="shared" si="88"/>
        <v>2015</v>
      </c>
      <c r="AC2869" s="22">
        <f t="shared" si="89"/>
        <v>0.69866666666666666</v>
      </c>
    </row>
    <row r="2870" spans="1:29">
      <c r="A2870" s="8" t="s">
        <v>13011</v>
      </c>
      <c r="B2870" s="17" t="s">
        <v>7800</v>
      </c>
      <c r="C2870" s="13">
        <v>42250</v>
      </c>
      <c r="D2870" s="13" t="s">
        <v>8465</v>
      </c>
      <c r="E2870" s="10" t="s">
        <v>2475</v>
      </c>
      <c r="F2870" s="10" t="s">
        <v>2475</v>
      </c>
      <c r="G2870" s="11" t="s">
        <v>2432</v>
      </c>
      <c r="H2870" s="2" t="s">
        <v>56</v>
      </c>
      <c r="L2870" s="18">
        <v>1</v>
      </c>
      <c r="N2870" s="13">
        <v>44917</v>
      </c>
      <c r="O2870" s="29">
        <v>0.89</v>
      </c>
      <c r="P2870" s="18" t="s">
        <v>1107</v>
      </c>
      <c r="Q2870" s="18">
        <v>0</v>
      </c>
      <c r="V2870" s="22">
        <f>3.83/5</f>
        <v>0.76600000000000001</v>
      </c>
      <c r="W2870" s="14" t="s">
        <v>7777</v>
      </c>
      <c r="X2870" s="3">
        <v>3</v>
      </c>
      <c r="Z2870" s="23">
        <v>2</v>
      </c>
      <c r="AB2870" s="18">
        <f t="shared" si="88"/>
        <v>2015</v>
      </c>
      <c r="AC2870" s="22">
        <f t="shared" si="89"/>
        <v>0.68300000000000005</v>
      </c>
    </row>
    <row r="2871" spans="1:29">
      <c r="A2871" s="9" t="s">
        <v>4781</v>
      </c>
      <c r="B2871" s="17" t="s">
        <v>7800</v>
      </c>
      <c r="C2871" s="13">
        <v>42250</v>
      </c>
      <c r="D2871" s="13" t="s">
        <v>8465</v>
      </c>
      <c r="E2871" s="10" t="s">
        <v>3339</v>
      </c>
      <c r="F2871" s="10" t="s">
        <v>4780</v>
      </c>
      <c r="G2871" s="11" t="s">
        <v>397</v>
      </c>
      <c r="H2871" s="2" t="s">
        <v>21</v>
      </c>
      <c r="L2871" s="18">
        <v>1</v>
      </c>
      <c r="N2871" s="13">
        <v>43363</v>
      </c>
      <c r="O2871" s="29">
        <v>2.2400000000000002</v>
      </c>
      <c r="P2871" s="18" t="s">
        <v>1107</v>
      </c>
      <c r="Q2871" s="18">
        <v>0</v>
      </c>
      <c r="V2871" s="22">
        <f>3.56/5</f>
        <v>0.71199999999999997</v>
      </c>
      <c r="W2871" s="14" t="s">
        <v>7777</v>
      </c>
      <c r="X2871" s="3">
        <v>3</v>
      </c>
      <c r="Z2871" s="23">
        <v>3.5</v>
      </c>
      <c r="AB2871" s="18">
        <f t="shared" si="88"/>
        <v>2015</v>
      </c>
      <c r="AC2871" s="22">
        <f t="shared" si="89"/>
        <v>0.65599999999999992</v>
      </c>
    </row>
    <row r="2872" spans="1:29" ht="25.5">
      <c r="A2872" s="8" t="s">
        <v>4437</v>
      </c>
      <c r="B2872" s="17" t="s">
        <v>7800</v>
      </c>
      <c r="C2872" s="13">
        <v>42248</v>
      </c>
      <c r="D2872" s="13" t="s">
        <v>8465</v>
      </c>
      <c r="E2872" s="10" t="s">
        <v>72</v>
      </c>
      <c r="F2872" s="10" t="s">
        <v>1940</v>
      </c>
      <c r="G2872" s="11" t="s">
        <v>220</v>
      </c>
      <c r="H2872" s="2" t="s">
        <v>245</v>
      </c>
      <c r="L2872" s="18">
        <v>1</v>
      </c>
      <c r="N2872" s="13">
        <v>43323</v>
      </c>
      <c r="O2872" s="29">
        <v>6.48</v>
      </c>
      <c r="P2872" s="18" t="s">
        <v>1107</v>
      </c>
      <c r="Q2872" s="18">
        <v>0</v>
      </c>
      <c r="U2872" s="22">
        <v>0.93</v>
      </c>
      <c r="V2872" s="22">
        <f>4.13/5</f>
        <v>0.82599999999999996</v>
      </c>
      <c r="W2872" s="14" t="s">
        <v>7777</v>
      </c>
      <c r="X2872" s="3">
        <v>4</v>
      </c>
      <c r="Z2872" s="23">
        <v>45.5</v>
      </c>
      <c r="AB2872" s="18">
        <f t="shared" si="88"/>
        <v>2015</v>
      </c>
      <c r="AC2872" s="22">
        <f t="shared" si="89"/>
        <v>0.85199999999999998</v>
      </c>
    </row>
    <row r="2873" spans="1:29" ht="45">
      <c r="A2873" s="8" t="s">
        <v>4376</v>
      </c>
      <c r="B2873" s="17" t="s">
        <v>7800</v>
      </c>
      <c r="C2873" s="13">
        <v>42248</v>
      </c>
      <c r="D2873" s="13" t="s">
        <v>8465</v>
      </c>
      <c r="E2873" s="10" t="s">
        <v>1156</v>
      </c>
      <c r="F2873" s="10" t="s">
        <v>4216</v>
      </c>
      <c r="G2873" s="11" t="s">
        <v>4376</v>
      </c>
      <c r="H2873" s="2" t="s">
        <v>80</v>
      </c>
      <c r="L2873" s="18">
        <v>1</v>
      </c>
      <c r="N2873" s="13">
        <v>42726</v>
      </c>
      <c r="O2873" s="29">
        <v>6.79</v>
      </c>
      <c r="P2873" s="18" t="s">
        <v>1107</v>
      </c>
      <c r="Q2873" s="18">
        <v>0</v>
      </c>
      <c r="U2873" s="22">
        <v>0.74</v>
      </c>
      <c r="V2873" s="22">
        <f>3.6/5</f>
        <v>0.72</v>
      </c>
      <c r="W2873" s="14" t="s">
        <v>7777</v>
      </c>
      <c r="X2873" s="3">
        <v>4</v>
      </c>
      <c r="Z2873" s="23">
        <v>19</v>
      </c>
      <c r="AB2873" s="18">
        <f t="shared" si="88"/>
        <v>2015</v>
      </c>
      <c r="AC2873" s="22">
        <f t="shared" si="89"/>
        <v>0.7533333333333333</v>
      </c>
    </row>
    <row r="2874" spans="1:29">
      <c r="A2874" s="8" t="s">
        <v>8307</v>
      </c>
      <c r="B2874" s="17" t="s">
        <v>7800</v>
      </c>
      <c r="C2874" s="13">
        <v>42248</v>
      </c>
      <c r="D2874" s="13" t="s">
        <v>8465</v>
      </c>
      <c r="E2874" s="10" t="s">
        <v>8308</v>
      </c>
      <c r="F2874" s="10" t="s">
        <v>8308</v>
      </c>
      <c r="H2874" s="2" t="s">
        <v>69</v>
      </c>
      <c r="L2874" s="18">
        <v>1</v>
      </c>
      <c r="N2874" s="13">
        <v>43846</v>
      </c>
      <c r="O2874" s="29">
        <v>0</v>
      </c>
      <c r="P2874" s="18" t="s">
        <v>1107</v>
      </c>
      <c r="Q2874" s="18">
        <v>0</v>
      </c>
      <c r="U2874" s="22">
        <v>0.75</v>
      </c>
      <c r="V2874" s="22">
        <f>3.61/5</f>
        <v>0.72199999999999998</v>
      </c>
      <c r="W2874" s="14" t="s">
        <v>7777</v>
      </c>
      <c r="X2874" s="3">
        <v>3</v>
      </c>
      <c r="Z2874" s="23">
        <v>1.5</v>
      </c>
      <c r="AB2874" s="18">
        <f t="shared" si="88"/>
        <v>2015</v>
      </c>
      <c r="AC2874" s="22">
        <f t="shared" si="89"/>
        <v>0.69066666666666665</v>
      </c>
    </row>
    <row r="2875" spans="1:29">
      <c r="A2875" s="8" t="s">
        <v>6290</v>
      </c>
      <c r="B2875" s="17" t="s">
        <v>7763</v>
      </c>
      <c r="C2875" s="13">
        <v>42248</v>
      </c>
      <c r="D2875" s="13" t="s">
        <v>8465</v>
      </c>
      <c r="E2875" s="10" t="s">
        <v>6291</v>
      </c>
      <c r="F2875" s="10" t="s">
        <v>6292</v>
      </c>
      <c r="G2875" s="11" t="s">
        <v>5534</v>
      </c>
      <c r="H2875" s="2" t="s">
        <v>75</v>
      </c>
      <c r="L2875" s="18">
        <v>1</v>
      </c>
      <c r="N2875" s="13">
        <v>43321</v>
      </c>
      <c r="O2875" s="29">
        <v>0</v>
      </c>
      <c r="P2875" s="18" t="s">
        <v>1107</v>
      </c>
      <c r="Q2875" s="18">
        <v>0</v>
      </c>
      <c r="U2875" s="22">
        <v>0.54</v>
      </c>
      <c r="V2875" s="22">
        <f>3.38/5</f>
        <v>0.67599999999999993</v>
      </c>
      <c r="W2875" s="14" t="s">
        <v>6072</v>
      </c>
      <c r="X2875" s="3">
        <v>2</v>
      </c>
      <c r="Z2875" s="23">
        <v>10</v>
      </c>
      <c r="AB2875" s="18">
        <f t="shared" si="88"/>
        <v>2015</v>
      </c>
      <c r="AC2875" s="22">
        <f t="shared" si="89"/>
        <v>0.53866666666666674</v>
      </c>
    </row>
    <row r="2876" spans="1:29">
      <c r="A2876" s="8" t="s">
        <v>8208</v>
      </c>
      <c r="B2876" s="17" t="s">
        <v>7800</v>
      </c>
      <c r="C2876" s="13">
        <v>42247</v>
      </c>
      <c r="D2876" s="13" t="s">
        <v>8465</v>
      </c>
      <c r="E2876" s="10" t="s">
        <v>3072</v>
      </c>
      <c r="F2876" s="10" t="s">
        <v>8209</v>
      </c>
      <c r="H2876" s="2" t="s">
        <v>67</v>
      </c>
      <c r="L2876" s="18">
        <v>1</v>
      </c>
      <c r="N2876" s="13">
        <v>43800</v>
      </c>
      <c r="O2876" s="29">
        <v>3.39</v>
      </c>
      <c r="P2876" s="18" t="s">
        <v>1107</v>
      </c>
      <c r="Q2876" s="18">
        <v>0</v>
      </c>
      <c r="U2876" s="22">
        <v>0.82</v>
      </c>
      <c r="V2876" s="22">
        <f>3.38/5</f>
        <v>0.67599999999999993</v>
      </c>
      <c r="W2876" s="14" t="s">
        <v>7777</v>
      </c>
      <c r="X2876" s="3">
        <v>3</v>
      </c>
      <c r="Z2876" s="23">
        <v>7</v>
      </c>
      <c r="AB2876" s="18">
        <f t="shared" si="88"/>
        <v>2015</v>
      </c>
      <c r="AC2876" s="22">
        <f t="shared" si="89"/>
        <v>0.69866666666666666</v>
      </c>
    </row>
    <row r="2877" spans="1:29">
      <c r="A2877" s="8" t="s">
        <v>3244</v>
      </c>
      <c r="B2877" s="17" t="s">
        <v>7800</v>
      </c>
      <c r="C2877" s="13">
        <v>42244</v>
      </c>
      <c r="D2877" s="13" t="s">
        <v>8465</v>
      </c>
      <c r="E2877" s="10" t="s">
        <v>1070</v>
      </c>
      <c r="F2877" s="10" t="s">
        <v>1070</v>
      </c>
      <c r="G2877" s="11" t="s">
        <v>2477</v>
      </c>
      <c r="H2877" s="2" t="s">
        <v>56</v>
      </c>
      <c r="L2877" s="18">
        <v>1</v>
      </c>
      <c r="N2877" s="13">
        <v>42908</v>
      </c>
      <c r="O2877" s="29">
        <v>3.74</v>
      </c>
      <c r="P2877" s="18" t="s">
        <v>1107</v>
      </c>
      <c r="Q2877" s="18">
        <v>0</v>
      </c>
      <c r="U2877" s="22">
        <v>0.8</v>
      </c>
      <c r="V2877" s="22">
        <f>3.82/5</f>
        <v>0.76400000000000001</v>
      </c>
      <c r="W2877" s="14" t="s">
        <v>7777</v>
      </c>
      <c r="X2877" s="3">
        <v>4</v>
      </c>
      <c r="Z2877" s="23">
        <v>5</v>
      </c>
      <c r="AB2877" s="18">
        <f t="shared" si="88"/>
        <v>2015</v>
      </c>
      <c r="AC2877" s="22">
        <f t="shared" si="89"/>
        <v>0.78799999999999992</v>
      </c>
    </row>
    <row r="2878" spans="1:29">
      <c r="A2878" s="8" t="s">
        <v>5152</v>
      </c>
      <c r="B2878" s="17" t="s">
        <v>7800</v>
      </c>
      <c r="C2878" s="13">
        <v>42244</v>
      </c>
      <c r="D2878" s="13" t="s">
        <v>8465</v>
      </c>
      <c r="E2878" s="10" t="s">
        <v>5153</v>
      </c>
      <c r="F2878" s="10" t="s">
        <v>5154</v>
      </c>
      <c r="H2878" s="2" t="s">
        <v>67</v>
      </c>
      <c r="L2878" s="18">
        <v>1</v>
      </c>
      <c r="N2878" s="13">
        <v>43642</v>
      </c>
      <c r="O2878" s="29">
        <v>1.52</v>
      </c>
      <c r="P2878" s="18" t="s">
        <v>1107</v>
      </c>
      <c r="Q2878" s="18">
        <v>0</v>
      </c>
      <c r="V2878" s="22">
        <f>3.64/5</f>
        <v>0.72799999999999998</v>
      </c>
      <c r="W2878" s="14" t="s">
        <v>7777</v>
      </c>
      <c r="X2878" s="3">
        <v>3</v>
      </c>
      <c r="Z2878" s="23">
        <v>2</v>
      </c>
      <c r="AB2878" s="18">
        <f t="shared" si="88"/>
        <v>2015</v>
      </c>
      <c r="AC2878" s="22">
        <f t="shared" si="89"/>
        <v>0.66399999999999992</v>
      </c>
    </row>
    <row r="2879" spans="1:29">
      <c r="A2879" s="8" t="s">
        <v>4918</v>
      </c>
      <c r="B2879" s="17" t="s">
        <v>7800</v>
      </c>
      <c r="C2879" s="13">
        <v>42244</v>
      </c>
      <c r="D2879" s="13" t="s">
        <v>8465</v>
      </c>
      <c r="E2879" s="10" t="s">
        <v>4919</v>
      </c>
      <c r="F2879" s="10" t="s">
        <v>4919</v>
      </c>
      <c r="H2879" s="2" t="s">
        <v>1143</v>
      </c>
      <c r="L2879" s="18">
        <v>1</v>
      </c>
      <c r="N2879" s="13">
        <v>43455</v>
      </c>
      <c r="O2879" s="29">
        <v>4.49</v>
      </c>
      <c r="P2879" s="18" t="s">
        <v>1107</v>
      </c>
      <c r="Q2879" s="18">
        <v>0</v>
      </c>
      <c r="U2879" s="22">
        <v>0.78</v>
      </c>
      <c r="V2879" s="22">
        <f>3.21/5</f>
        <v>0.64200000000000002</v>
      </c>
      <c r="W2879" s="14" t="s">
        <v>7777</v>
      </c>
      <c r="X2879" s="3">
        <v>3</v>
      </c>
      <c r="Z2879" s="23">
        <v>21.5</v>
      </c>
      <c r="AB2879" s="18">
        <f t="shared" si="88"/>
        <v>2015</v>
      </c>
      <c r="AC2879" s="22">
        <f t="shared" si="89"/>
        <v>0.67400000000000004</v>
      </c>
    </row>
    <row r="2880" spans="1:29">
      <c r="A2880" s="8" t="s">
        <v>4274</v>
      </c>
      <c r="B2880" s="17" t="s">
        <v>7783</v>
      </c>
      <c r="C2880" s="13">
        <v>42243</v>
      </c>
      <c r="D2880" s="13" t="s">
        <v>8465</v>
      </c>
      <c r="E2880" s="10" t="s">
        <v>1082</v>
      </c>
      <c r="F2880" s="10" t="s">
        <v>4275</v>
      </c>
      <c r="G2880" s="11" t="s">
        <v>1853</v>
      </c>
      <c r="H2880" s="2" t="s">
        <v>78</v>
      </c>
      <c r="L2880" s="18">
        <v>1</v>
      </c>
      <c r="N2880" s="13">
        <v>42368</v>
      </c>
      <c r="O2880" s="29">
        <v>1.99</v>
      </c>
      <c r="P2880" s="18" t="s">
        <v>1107</v>
      </c>
      <c r="Q2880" s="18">
        <v>0</v>
      </c>
      <c r="U2880" s="22">
        <v>0.83</v>
      </c>
      <c r="V2880" s="22">
        <f>3.95/5</f>
        <v>0.79</v>
      </c>
      <c r="X2880" s="3">
        <v>3</v>
      </c>
      <c r="Z2880" s="23">
        <v>3.5</v>
      </c>
      <c r="AB2880" s="18">
        <f t="shared" si="88"/>
        <v>2015</v>
      </c>
      <c r="AC2880" s="22">
        <f t="shared" si="89"/>
        <v>0.7400000000000001</v>
      </c>
    </row>
    <row r="2881" spans="1:29">
      <c r="A2881" s="8" t="s">
        <v>3929</v>
      </c>
      <c r="B2881" s="17" t="s">
        <v>7800</v>
      </c>
      <c r="C2881" s="13">
        <v>42243</v>
      </c>
      <c r="D2881" s="13" t="s">
        <v>8465</v>
      </c>
      <c r="E2881" s="10" t="s">
        <v>3930</v>
      </c>
      <c r="F2881" s="10" t="s">
        <v>3930</v>
      </c>
      <c r="H2881" s="2" t="s">
        <v>67</v>
      </c>
      <c r="L2881" s="18">
        <v>1</v>
      </c>
      <c r="N2881" s="13">
        <v>43363</v>
      </c>
      <c r="P2881" s="18" t="s">
        <v>1107</v>
      </c>
      <c r="Q2881" s="18">
        <v>0</v>
      </c>
      <c r="U2881" s="22">
        <v>0.7</v>
      </c>
      <c r="V2881" s="22">
        <f>3.87/5</f>
        <v>0.77400000000000002</v>
      </c>
      <c r="W2881" s="14" t="s">
        <v>7777</v>
      </c>
      <c r="X2881" s="3">
        <v>2</v>
      </c>
      <c r="Z2881" s="23">
        <v>7.5</v>
      </c>
      <c r="AB2881" s="18">
        <f t="shared" ref="AB2881:AB2944" si="90">IFERROR(YEAR(C2881), "Early Access")</f>
        <v>2015</v>
      </c>
      <c r="AC2881" s="22">
        <f t="shared" ref="AC2881:AC2944" si="91">AVERAGE(T2881, U2881, V2881, IF(ISBLANK(X2881), X2881, X2881/5))</f>
        <v>0.6246666666666667</v>
      </c>
    </row>
    <row r="2882" spans="1:29">
      <c r="A2882" s="8" t="s">
        <v>4598</v>
      </c>
      <c r="B2882" s="17" t="s">
        <v>7800</v>
      </c>
      <c r="C2882" s="13">
        <v>42243</v>
      </c>
      <c r="D2882" s="13" t="s">
        <v>8465</v>
      </c>
      <c r="E2882" s="10" t="s">
        <v>4599</v>
      </c>
      <c r="F2882" s="10" t="s">
        <v>4600</v>
      </c>
      <c r="H2882" s="2" t="s">
        <v>56</v>
      </c>
      <c r="L2882" s="18">
        <v>1</v>
      </c>
      <c r="N2882" s="13">
        <v>42023</v>
      </c>
      <c r="P2882" s="18" t="s">
        <v>1107</v>
      </c>
      <c r="Q2882" s="18">
        <v>0</v>
      </c>
      <c r="U2882" s="22">
        <v>0.55000000000000004</v>
      </c>
      <c r="V2882" s="22">
        <f>1.75/5</f>
        <v>0.35</v>
      </c>
      <c r="W2882" s="14" t="s">
        <v>7777</v>
      </c>
      <c r="X2882" s="3">
        <v>2</v>
      </c>
      <c r="Z2882" s="23">
        <v>4</v>
      </c>
      <c r="AB2882" s="18">
        <f t="shared" si="90"/>
        <v>2015</v>
      </c>
      <c r="AC2882" s="22">
        <f t="shared" si="91"/>
        <v>0.43333333333333335</v>
      </c>
    </row>
    <row r="2883" spans="1:29" ht="30">
      <c r="A2883" s="8" t="s">
        <v>6199</v>
      </c>
      <c r="B2883" s="17" t="s">
        <v>7760</v>
      </c>
      <c r="C2883" s="13">
        <v>42241</v>
      </c>
      <c r="D2883" s="13" t="s">
        <v>8465</v>
      </c>
      <c r="E2883" s="10" t="s">
        <v>2908</v>
      </c>
      <c r="F2883" s="10" t="s">
        <v>6200</v>
      </c>
      <c r="G2883" s="11" t="s">
        <v>6199</v>
      </c>
      <c r="H2883" s="2" t="s">
        <v>1061</v>
      </c>
      <c r="L2883" s="18">
        <v>1</v>
      </c>
      <c r="N2883" s="13">
        <v>42932</v>
      </c>
      <c r="O2883" s="29">
        <v>0</v>
      </c>
      <c r="P2883" s="18" t="s">
        <v>1107</v>
      </c>
      <c r="Q2883" s="18">
        <v>0</v>
      </c>
      <c r="U2883" s="22">
        <v>0.8</v>
      </c>
      <c r="V2883" s="22">
        <f>3.99/5</f>
        <v>0.79800000000000004</v>
      </c>
      <c r="W2883" s="14" t="s">
        <v>6072</v>
      </c>
      <c r="X2883" s="3">
        <v>4</v>
      </c>
      <c r="Z2883" s="23">
        <v>8</v>
      </c>
      <c r="AB2883" s="18">
        <f t="shared" si="90"/>
        <v>2015</v>
      </c>
      <c r="AC2883" s="22">
        <f t="shared" si="91"/>
        <v>0.79933333333333334</v>
      </c>
    </row>
    <row r="2884" spans="1:29">
      <c r="A2884" s="8" t="s">
        <v>9747</v>
      </c>
      <c r="B2884" s="17" t="s">
        <v>7759</v>
      </c>
      <c r="C2884" s="13">
        <v>42241</v>
      </c>
      <c r="D2884" s="13" t="s">
        <v>8465</v>
      </c>
      <c r="E2884" s="10" t="s">
        <v>7877</v>
      </c>
      <c r="F2884" s="10" t="s">
        <v>9117</v>
      </c>
      <c r="G2884" s="11" t="s">
        <v>9368</v>
      </c>
      <c r="H2884" s="2" t="s">
        <v>1057</v>
      </c>
      <c r="L2884" s="18">
        <v>1</v>
      </c>
      <c r="N2884" s="13">
        <v>43442</v>
      </c>
      <c r="O2884" s="29">
        <v>0</v>
      </c>
      <c r="P2884" s="18" t="s">
        <v>1107</v>
      </c>
      <c r="Q2884" s="18">
        <v>0</v>
      </c>
      <c r="U2884" s="22">
        <v>0.83</v>
      </c>
      <c r="V2884" s="22">
        <f>4.24/5</f>
        <v>0.84800000000000009</v>
      </c>
      <c r="W2884" s="14" t="s">
        <v>6072</v>
      </c>
      <c r="X2884" s="3">
        <v>4</v>
      </c>
      <c r="Z2884" s="23">
        <v>26</v>
      </c>
      <c r="AB2884" s="18">
        <f t="shared" si="90"/>
        <v>2015</v>
      </c>
      <c r="AC2884" s="22">
        <f t="shared" si="91"/>
        <v>0.82599999999999996</v>
      </c>
    </row>
    <row r="2885" spans="1:29" ht="30">
      <c r="A2885" s="8" t="s">
        <v>9670</v>
      </c>
      <c r="B2885" s="17" t="s">
        <v>7760</v>
      </c>
      <c r="C2885" s="13">
        <v>42241</v>
      </c>
      <c r="D2885" s="13" t="s">
        <v>8465</v>
      </c>
      <c r="E2885" s="10" t="s">
        <v>1604</v>
      </c>
      <c r="F2885" s="10" t="s">
        <v>1471</v>
      </c>
      <c r="G2885" s="11" t="s">
        <v>9669</v>
      </c>
      <c r="H2885" s="2" t="s">
        <v>1059</v>
      </c>
      <c r="L2885" s="18">
        <v>1</v>
      </c>
      <c r="M2885" s="14" t="s">
        <v>8462</v>
      </c>
      <c r="N2885" s="13">
        <v>44211</v>
      </c>
      <c r="O2885" s="29">
        <v>7.49</v>
      </c>
      <c r="P2885" s="18" t="s">
        <v>14</v>
      </c>
      <c r="Q2885" s="18">
        <v>0</v>
      </c>
      <c r="U2885" s="22">
        <v>0.74</v>
      </c>
      <c r="V2885" s="22">
        <f>4.12/5</f>
        <v>0.82400000000000007</v>
      </c>
      <c r="X2885" s="3">
        <v>3</v>
      </c>
      <c r="Z2885" s="23">
        <v>15.5</v>
      </c>
      <c r="AB2885" s="18">
        <f t="shared" si="90"/>
        <v>2015</v>
      </c>
      <c r="AC2885" s="22">
        <f t="shared" si="91"/>
        <v>0.72133333333333338</v>
      </c>
    </row>
    <row r="2886" spans="1:29">
      <c r="A2886" s="8" t="s">
        <v>3838</v>
      </c>
      <c r="B2886" s="17" t="s">
        <v>7800</v>
      </c>
      <c r="C2886" s="13">
        <v>42241</v>
      </c>
      <c r="D2886" s="13" t="s">
        <v>8465</v>
      </c>
      <c r="E2886" s="10" t="s">
        <v>3837</v>
      </c>
      <c r="F2886" s="10" t="s">
        <v>3837</v>
      </c>
      <c r="G2886" s="11" t="s">
        <v>3836</v>
      </c>
      <c r="H2886" s="2" t="s">
        <v>80</v>
      </c>
      <c r="L2886" s="18">
        <v>1</v>
      </c>
      <c r="N2886" s="13">
        <v>42752</v>
      </c>
      <c r="P2886" s="18" t="s">
        <v>1107</v>
      </c>
      <c r="Q2886" s="18">
        <v>0</v>
      </c>
      <c r="U2886" s="22">
        <v>0.72</v>
      </c>
      <c r="V2886" s="22">
        <f>3.93/5</f>
        <v>0.78600000000000003</v>
      </c>
      <c r="W2886" s="14" t="s">
        <v>7777</v>
      </c>
      <c r="X2886" s="3">
        <v>3</v>
      </c>
      <c r="Z2886" s="23">
        <v>17.5</v>
      </c>
      <c r="AB2886" s="18">
        <f t="shared" si="90"/>
        <v>2015</v>
      </c>
      <c r="AC2886" s="22">
        <f t="shared" si="91"/>
        <v>0.70199999999999996</v>
      </c>
    </row>
    <row r="2887" spans="1:29">
      <c r="A2887" s="8" t="s">
        <v>4667</v>
      </c>
      <c r="B2887" s="17" t="s">
        <v>7800</v>
      </c>
      <c r="C2887" s="13">
        <v>42241</v>
      </c>
      <c r="D2887" s="13" t="s">
        <v>8465</v>
      </c>
      <c r="E2887" s="10" t="s">
        <v>3464</v>
      </c>
      <c r="F2887" s="10" t="s">
        <v>4668</v>
      </c>
      <c r="G2887" s="11" t="s">
        <v>4667</v>
      </c>
      <c r="H2887" s="2" t="s">
        <v>143</v>
      </c>
      <c r="L2887" s="18">
        <v>1</v>
      </c>
      <c r="N2887" s="13">
        <v>43606</v>
      </c>
      <c r="O2887" s="29">
        <v>0</v>
      </c>
      <c r="P2887" s="18" t="s">
        <v>1107</v>
      </c>
      <c r="Q2887" s="18">
        <v>0</v>
      </c>
      <c r="U2887" s="22">
        <v>0.66</v>
      </c>
      <c r="V2887" s="22">
        <f>3.37/5</f>
        <v>0.67400000000000004</v>
      </c>
      <c r="W2887" s="14" t="s">
        <v>7777</v>
      </c>
      <c r="X2887" s="3">
        <v>3</v>
      </c>
      <c r="Z2887" s="23">
        <v>6.5</v>
      </c>
      <c r="AB2887" s="18">
        <f t="shared" si="90"/>
        <v>2015</v>
      </c>
      <c r="AC2887" s="22">
        <f t="shared" si="91"/>
        <v>0.64466666666666672</v>
      </c>
    </row>
    <row r="2888" spans="1:29">
      <c r="A2888" s="8" t="s">
        <v>4990</v>
      </c>
      <c r="B2888" s="17" t="s">
        <v>7800</v>
      </c>
      <c r="C2888" s="13">
        <v>42241</v>
      </c>
      <c r="D2888" s="13" t="s">
        <v>8465</v>
      </c>
      <c r="E2888" s="10" t="s">
        <v>1652</v>
      </c>
      <c r="F2888" s="10" t="s">
        <v>4991</v>
      </c>
      <c r="H2888" s="2" t="s">
        <v>21</v>
      </c>
      <c r="L2888" s="18">
        <v>1</v>
      </c>
      <c r="N2888" s="13">
        <v>42781</v>
      </c>
      <c r="P2888" s="18" t="s">
        <v>1107</v>
      </c>
      <c r="Q2888" s="18">
        <v>0</v>
      </c>
      <c r="V2888" s="22">
        <f>3.83/5</f>
        <v>0.76600000000000001</v>
      </c>
      <c r="W2888" s="14" t="s">
        <v>7777</v>
      </c>
      <c r="X2888" s="3">
        <v>2</v>
      </c>
      <c r="Z2888" s="23">
        <v>1.5</v>
      </c>
      <c r="AB2888" s="18">
        <f t="shared" si="90"/>
        <v>2015</v>
      </c>
      <c r="AC2888" s="22">
        <f t="shared" si="91"/>
        <v>0.58299999999999996</v>
      </c>
    </row>
    <row r="2889" spans="1:29" ht="25.5">
      <c r="A2889" s="8" t="s">
        <v>4419</v>
      </c>
      <c r="B2889" s="17" t="s">
        <v>7800</v>
      </c>
      <c r="C2889" s="13">
        <v>42240</v>
      </c>
      <c r="D2889" s="13" t="s">
        <v>8465</v>
      </c>
      <c r="E2889" s="10" t="s">
        <v>73</v>
      </c>
      <c r="F2889" s="10" t="s">
        <v>73</v>
      </c>
      <c r="G2889" s="11" t="s">
        <v>89</v>
      </c>
      <c r="H2889" s="2" t="s">
        <v>56</v>
      </c>
      <c r="L2889" s="18">
        <v>1</v>
      </c>
      <c r="N2889" s="13">
        <v>43441</v>
      </c>
      <c r="P2889" s="18" t="s">
        <v>1107</v>
      </c>
      <c r="Q2889" s="18">
        <v>0</v>
      </c>
      <c r="U2889" s="22">
        <v>0.88</v>
      </c>
      <c r="V2889" s="22">
        <f>4.28/5</f>
        <v>0.85600000000000009</v>
      </c>
      <c r="W2889" s="14" t="s">
        <v>7777</v>
      </c>
      <c r="X2889" s="3">
        <v>3</v>
      </c>
      <c r="Z2889" s="23">
        <v>20.5</v>
      </c>
      <c r="AB2889" s="18">
        <f t="shared" si="90"/>
        <v>2015</v>
      </c>
      <c r="AC2889" s="22">
        <f t="shared" si="91"/>
        <v>0.77866666666666673</v>
      </c>
    </row>
    <row r="2890" spans="1:29">
      <c r="A2890" s="8" t="s">
        <v>3918</v>
      </c>
      <c r="B2890" s="17" t="s">
        <v>7800</v>
      </c>
      <c r="C2890" s="13">
        <v>42240</v>
      </c>
      <c r="D2890" s="13" t="s">
        <v>8465</v>
      </c>
      <c r="E2890" s="10" t="s">
        <v>3919</v>
      </c>
      <c r="F2890" s="10" t="s">
        <v>3919</v>
      </c>
      <c r="G2890" s="11" t="s">
        <v>3918</v>
      </c>
      <c r="H2890" s="2" t="s">
        <v>143</v>
      </c>
      <c r="L2890" s="18">
        <v>1</v>
      </c>
      <c r="N2890" s="13">
        <v>43425</v>
      </c>
      <c r="O2890" s="29">
        <v>0.69</v>
      </c>
      <c r="P2890" s="18" t="s">
        <v>1107</v>
      </c>
      <c r="Q2890" s="18">
        <v>0</v>
      </c>
      <c r="U2890" s="22">
        <v>0.85</v>
      </c>
      <c r="V2890" s="22">
        <f>3.94/5</f>
        <v>0.78800000000000003</v>
      </c>
      <c r="W2890" s="14" t="s">
        <v>7777</v>
      </c>
      <c r="X2890" s="3">
        <v>3</v>
      </c>
      <c r="Z2890" s="23">
        <v>2.5</v>
      </c>
      <c r="AB2890" s="18">
        <f t="shared" si="90"/>
        <v>2015</v>
      </c>
      <c r="AC2890" s="22">
        <f t="shared" si="91"/>
        <v>0.746</v>
      </c>
    </row>
    <row r="2891" spans="1:29">
      <c r="A2891" s="8" t="s">
        <v>8860</v>
      </c>
      <c r="B2891" s="17" t="s">
        <v>7800</v>
      </c>
      <c r="C2891" s="13">
        <v>42240</v>
      </c>
      <c r="D2891" s="13" t="s">
        <v>8465</v>
      </c>
      <c r="E2891" s="10" t="s">
        <v>8861</v>
      </c>
      <c r="F2891" s="10" t="s">
        <v>8861</v>
      </c>
      <c r="H2891" s="2" t="s">
        <v>64</v>
      </c>
      <c r="L2891" s="18">
        <v>1</v>
      </c>
      <c r="N2891" s="13">
        <v>43998</v>
      </c>
      <c r="O2891" s="29">
        <v>0</v>
      </c>
      <c r="P2891" s="18" t="s">
        <v>1107</v>
      </c>
      <c r="Q2891" s="18">
        <v>0</v>
      </c>
      <c r="U2891" s="22">
        <v>0.66</v>
      </c>
      <c r="V2891" s="22">
        <f>3.88/5</f>
        <v>0.77600000000000002</v>
      </c>
      <c r="W2891" s="14" t="s">
        <v>7777</v>
      </c>
      <c r="X2891" s="3">
        <v>3</v>
      </c>
      <c r="Z2891" s="23">
        <v>1.5</v>
      </c>
      <c r="AB2891" s="18">
        <f t="shared" si="90"/>
        <v>2015</v>
      </c>
      <c r="AC2891" s="22">
        <f t="shared" si="91"/>
        <v>0.67866666666666664</v>
      </c>
    </row>
    <row r="2892" spans="1:29" ht="30">
      <c r="A2892" s="8" t="s">
        <v>8790</v>
      </c>
      <c r="B2892" s="17" t="s">
        <v>7800</v>
      </c>
      <c r="C2892" s="13">
        <v>42237</v>
      </c>
      <c r="D2892" s="13" t="s">
        <v>8465</v>
      </c>
      <c r="E2892" s="10" t="s">
        <v>8791</v>
      </c>
      <c r="F2892" s="10" t="s">
        <v>8791</v>
      </c>
      <c r="G2892" s="11" t="s">
        <v>6419</v>
      </c>
      <c r="H2892" s="2" t="s">
        <v>64</v>
      </c>
      <c r="L2892" s="18">
        <v>1</v>
      </c>
      <c r="N2892" s="13">
        <v>43987</v>
      </c>
      <c r="O2892" s="29">
        <v>0.62</v>
      </c>
      <c r="P2892" s="18" t="s">
        <v>1107</v>
      </c>
      <c r="Q2892" s="18">
        <v>0</v>
      </c>
      <c r="V2892" s="22">
        <f>4.05/5</f>
        <v>0.80999999999999994</v>
      </c>
      <c r="W2892" s="14" t="s">
        <v>8765</v>
      </c>
      <c r="X2892" s="3">
        <v>3</v>
      </c>
      <c r="Z2892" s="23">
        <v>1.5</v>
      </c>
      <c r="AB2892" s="18">
        <f t="shared" si="90"/>
        <v>2015</v>
      </c>
      <c r="AC2892" s="22">
        <f t="shared" si="91"/>
        <v>0.70499999999999996</v>
      </c>
    </row>
    <row r="2893" spans="1:29" ht="30">
      <c r="A2893" s="8" t="s">
        <v>11213</v>
      </c>
      <c r="B2893" s="17" t="s">
        <v>7749</v>
      </c>
      <c r="C2893" s="13">
        <v>42237</v>
      </c>
      <c r="D2893" s="13" t="s">
        <v>8465</v>
      </c>
      <c r="E2893" s="10" t="s">
        <v>86</v>
      </c>
      <c r="F2893" s="10" t="s">
        <v>2129</v>
      </c>
      <c r="G2893" s="11" t="s">
        <v>11214</v>
      </c>
      <c r="H2893" s="2" t="s">
        <v>171</v>
      </c>
      <c r="L2893" s="18">
        <v>1</v>
      </c>
      <c r="M2893" s="14" t="s">
        <v>8462</v>
      </c>
      <c r="N2893" s="13">
        <v>45025</v>
      </c>
      <c r="O2893" s="29">
        <v>19.47</v>
      </c>
      <c r="P2893" s="18" t="s">
        <v>14</v>
      </c>
      <c r="Q2893" s="18">
        <v>0</v>
      </c>
      <c r="U2893" s="22">
        <v>0.73</v>
      </c>
      <c r="V2893" s="22">
        <f>4.16/5</f>
        <v>0.83200000000000007</v>
      </c>
      <c r="W2893" s="14" t="s">
        <v>1066</v>
      </c>
      <c r="X2893" s="3">
        <v>2</v>
      </c>
      <c r="Z2893" s="23">
        <v>26.5</v>
      </c>
      <c r="AB2893" s="18">
        <f t="shared" si="90"/>
        <v>2015</v>
      </c>
      <c r="AC2893" s="22">
        <f t="shared" si="91"/>
        <v>0.65400000000000003</v>
      </c>
    </row>
    <row r="2894" spans="1:29">
      <c r="A2894" s="8" t="s">
        <v>11225</v>
      </c>
      <c r="B2894" s="17" t="s">
        <v>7749</v>
      </c>
      <c r="C2894" s="13">
        <v>42236</v>
      </c>
      <c r="D2894" s="13" t="s">
        <v>8465</v>
      </c>
      <c r="E2894" s="10" t="s">
        <v>455</v>
      </c>
      <c r="F2894" s="10" t="s">
        <v>1474</v>
      </c>
      <c r="G2894" s="11" t="s">
        <v>1891</v>
      </c>
      <c r="H2894" s="2" t="s">
        <v>147</v>
      </c>
      <c r="L2894" s="18">
        <v>1</v>
      </c>
      <c r="N2894" s="13">
        <v>44652</v>
      </c>
      <c r="O2894" s="29">
        <v>2.99</v>
      </c>
      <c r="P2894" s="18" t="s">
        <v>1107</v>
      </c>
      <c r="Q2894" s="18">
        <v>0</v>
      </c>
      <c r="U2894" s="22">
        <v>0.89</v>
      </c>
      <c r="V2894" s="22">
        <f>4.01/5</f>
        <v>0.80199999999999994</v>
      </c>
      <c r="X2894" s="3">
        <v>3</v>
      </c>
      <c r="Z2894" s="23">
        <v>2</v>
      </c>
      <c r="AB2894" s="18">
        <f t="shared" si="90"/>
        <v>2015</v>
      </c>
      <c r="AC2894" s="22">
        <f t="shared" si="91"/>
        <v>0.7639999999999999</v>
      </c>
    </row>
    <row r="2895" spans="1:29" ht="25.5">
      <c r="A2895" s="8" t="s">
        <v>4968</v>
      </c>
      <c r="B2895" s="17" t="s">
        <v>7800</v>
      </c>
      <c r="C2895" s="13">
        <v>42236</v>
      </c>
      <c r="D2895" s="13" t="s">
        <v>8465</v>
      </c>
      <c r="E2895" s="10" t="s">
        <v>3453</v>
      </c>
      <c r="F2895" s="10" t="s">
        <v>4966</v>
      </c>
      <c r="G2895" s="11" t="s">
        <v>606</v>
      </c>
      <c r="H2895" s="2" t="s">
        <v>1720</v>
      </c>
      <c r="L2895" s="18">
        <v>1</v>
      </c>
      <c r="N2895" s="13">
        <v>42752</v>
      </c>
      <c r="P2895" s="18" t="s">
        <v>1107</v>
      </c>
      <c r="Q2895" s="18">
        <v>0</v>
      </c>
      <c r="U2895" s="22">
        <v>0.81</v>
      </c>
      <c r="V2895" s="22">
        <f>3.85/5</f>
        <v>0.77</v>
      </c>
      <c r="W2895" s="14" t="s">
        <v>7777</v>
      </c>
      <c r="X2895" s="3">
        <v>3</v>
      </c>
      <c r="Z2895" s="23">
        <v>20.5</v>
      </c>
      <c r="AB2895" s="18">
        <f t="shared" si="90"/>
        <v>2015</v>
      </c>
      <c r="AC2895" s="22">
        <f t="shared" si="91"/>
        <v>0.72666666666666668</v>
      </c>
    </row>
    <row r="2896" spans="1:29">
      <c r="A2896" s="8" t="s">
        <v>8638</v>
      </c>
      <c r="B2896" s="17" t="s">
        <v>7800</v>
      </c>
      <c r="C2896" s="13">
        <v>42235</v>
      </c>
      <c r="D2896" s="13" t="s">
        <v>8465</v>
      </c>
      <c r="E2896" s="10" t="s">
        <v>3978</v>
      </c>
      <c r="F2896" s="10" t="s">
        <v>5503</v>
      </c>
      <c r="G2896" s="11" t="s">
        <v>5504</v>
      </c>
      <c r="H2896" s="2" t="s">
        <v>147</v>
      </c>
      <c r="L2896" s="18">
        <v>1</v>
      </c>
      <c r="N2896" s="13">
        <v>43956</v>
      </c>
      <c r="O2896" s="29">
        <v>0</v>
      </c>
      <c r="P2896" s="18" t="s">
        <v>1107</v>
      </c>
      <c r="Q2896" s="18">
        <v>0</v>
      </c>
      <c r="V2896" s="22">
        <f>4.17/5</f>
        <v>0.83399999999999996</v>
      </c>
      <c r="W2896" s="14" t="s">
        <v>7777</v>
      </c>
      <c r="X2896" s="3">
        <v>3</v>
      </c>
      <c r="Z2896" s="23">
        <v>5</v>
      </c>
      <c r="AB2896" s="18">
        <f t="shared" si="90"/>
        <v>2015</v>
      </c>
      <c r="AC2896" s="22">
        <f t="shared" si="91"/>
        <v>0.71699999999999997</v>
      </c>
    </row>
    <row r="2897" spans="1:29">
      <c r="A2897" s="8" t="s">
        <v>14209</v>
      </c>
      <c r="B2897" s="17" t="s">
        <v>7781</v>
      </c>
      <c r="C2897" s="13">
        <v>42235</v>
      </c>
      <c r="D2897" s="13" t="s">
        <v>8465</v>
      </c>
      <c r="E2897" s="10" t="s">
        <v>14210</v>
      </c>
      <c r="F2897" s="10" t="s">
        <v>14210</v>
      </c>
      <c r="H2897" s="2" t="s">
        <v>151</v>
      </c>
      <c r="L2897" s="18">
        <v>1</v>
      </c>
      <c r="O2897" s="29">
        <v>0</v>
      </c>
      <c r="P2897" s="18" t="s">
        <v>1107</v>
      </c>
      <c r="Q2897" s="18">
        <v>0</v>
      </c>
      <c r="W2897" s="14" t="s">
        <v>8765</v>
      </c>
      <c r="X2897" s="3">
        <v>2</v>
      </c>
      <c r="Z2897" s="23">
        <f>32/60</f>
        <v>0.53333333333333333</v>
      </c>
      <c r="AB2897" s="18">
        <f t="shared" si="90"/>
        <v>2015</v>
      </c>
      <c r="AC2897" s="22">
        <f t="shared" si="91"/>
        <v>0.4</v>
      </c>
    </row>
    <row r="2898" spans="1:29" ht="38.25">
      <c r="A2898" s="8" t="s">
        <v>9118</v>
      </c>
      <c r="B2898" s="17" t="s">
        <v>7763</v>
      </c>
      <c r="C2898" s="13">
        <v>42234</v>
      </c>
      <c r="D2898" s="13" t="s">
        <v>8465</v>
      </c>
      <c r="E2898" s="10" t="s">
        <v>228</v>
      </c>
      <c r="F2898" s="10" t="s">
        <v>1416</v>
      </c>
      <c r="G2898" s="11" t="s">
        <v>14311</v>
      </c>
      <c r="H2898" s="2" t="s">
        <v>1377</v>
      </c>
      <c r="L2898" s="18">
        <v>1</v>
      </c>
      <c r="M2898" s="14" t="s">
        <v>8462</v>
      </c>
      <c r="N2898" s="13">
        <v>44040</v>
      </c>
      <c r="O2898" s="29">
        <v>32.54</v>
      </c>
      <c r="P2898" s="18" t="s">
        <v>14</v>
      </c>
      <c r="Q2898" s="18">
        <v>0</v>
      </c>
      <c r="U2898" s="22">
        <v>0.73</v>
      </c>
      <c r="V2898" s="22">
        <f>4.1/5</f>
        <v>0.82</v>
      </c>
      <c r="X2898" s="3">
        <v>3</v>
      </c>
      <c r="Z2898" s="23">
        <v>58.5</v>
      </c>
      <c r="AB2898" s="18">
        <f t="shared" si="90"/>
        <v>2015</v>
      </c>
      <c r="AC2898" s="22">
        <f t="shared" si="91"/>
        <v>0.71666666666666667</v>
      </c>
    </row>
    <row r="2899" spans="1:29">
      <c r="A2899" s="8" t="s">
        <v>5522</v>
      </c>
      <c r="B2899" s="17" t="s">
        <v>7800</v>
      </c>
      <c r="C2899" s="13">
        <v>42234</v>
      </c>
      <c r="D2899" s="13" t="s">
        <v>8465</v>
      </c>
      <c r="E2899" s="10" t="s">
        <v>4773</v>
      </c>
      <c r="F2899" s="10" t="s">
        <v>4773</v>
      </c>
      <c r="H2899" s="2" t="s">
        <v>245</v>
      </c>
      <c r="L2899" s="18">
        <v>1</v>
      </c>
      <c r="N2899" s="13">
        <v>43642</v>
      </c>
      <c r="O2899" s="29">
        <v>3.41</v>
      </c>
      <c r="P2899" s="18" t="s">
        <v>1107</v>
      </c>
      <c r="Q2899" s="18">
        <v>0</v>
      </c>
      <c r="U2899" s="22">
        <v>0.78</v>
      </c>
      <c r="V2899" s="22">
        <f>3.36/5</f>
        <v>0.67199999999999993</v>
      </c>
      <c r="W2899" s="14" t="s">
        <v>7777</v>
      </c>
      <c r="X2899" s="3">
        <v>3</v>
      </c>
      <c r="Z2899" s="23">
        <v>7</v>
      </c>
      <c r="AB2899" s="18">
        <f t="shared" si="90"/>
        <v>2015</v>
      </c>
      <c r="AC2899" s="22">
        <f t="shared" si="91"/>
        <v>0.68400000000000005</v>
      </c>
    </row>
    <row r="2900" spans="1:29">
      <c r="A2900" s="8" t="s">
        <v>10051</v>
      </c>
      <c r="B2900" s="17" t="s">
        <v>7763</v>
      </c>
      <c r="C2900" s="13">
        <v>42234</v>
      </c>
      <c r="D2900" s="13" t="s">
        <v>8465</v>
      </c>
      <c r="E2900" s="10" t="s">
        <v>4432</v>
      </c>
      <c r="F2900" s="10" t="s">
        <v>4432</v>
      </c>
      <c r="H2900" s="2" t="s">
        <v>143</v>
      </c>
      <c r="L2900" s="18">
        <v>1</v>
      </c>
      <c r="N2900" s="13">
        <v>42840</v>
      </c>
      <c r="O2900" s="29">
        <v>0</v>
      </c>
      <c r="P2900" s="18" t="s">
        <v>1107</v>
      </c>
      <c r="Q2900" s="18">
        <v>0</v>
      </c>
      <c r="V2900" s="22">
        <f>2.66/5</f>
        <v>0.53200000000000003</v>
      </c>
      <c r="W2900" s="14" t="s">
        <v>6072</v>
      </c>
      <c r="X2900" s="3">
        <v>3</v>
      </c>
      <c r="Z2900" s="23">
        <v>7</v>
      </c>
      <c r="AB2900" s="18">
        <f t="shared" si="90"/>
        <v>2015</v>
      </c>
      <c r="AC2900" s="22">
        <f t="shared" si="91"/>
        <v>0.56600000000000006</v>
      </c>
    </row>
    <row r="2901" spans="1:29">
      <c r="A2901" s="8" t="s">
        <v>8516</v>
      </c>
      <c r="B2901" s="17" t="s">
        <v>7800</v>
      </c>
      <c r="C2901" s="13">
        <v>42234</v>
      </c>
      <c r="D2901" s="13" t="s">
        <v>8465</v>
      </c>
      <c r="E2901" s="10" t="s">
        <v>1693</v>
      </c>
      <c r="F2901" s="10" t="s">
        <v>1693</v>
      </c>
      <c r="H2901" s="2" t="s">
        <v>78</v>
      </c>
      <c r="L2901" s="18">
        <v>1</v>
      </c>
      <c r="N2901" s="13">
        <v>43910</v>
      </c>
      <c r="O2901" s="29">
        <v>0.28000000000000003</v>
      </c>
      <c r="P2901" s="18" t="s">
        <v>1107</v>
      </c>
      <c r="Q2901" s="18">
        <v>0</v>
      </c>
      <c r="V2901" s="22">
        <f>2.61/5</f>
        <v>0.52200000000000002</v>
      </c>
      <c r="W2901" s="14" t="s">
        <v>7777</v>
      </c>
      <c r="X2901" s="3">
        <v>3</v>
      </c>
      <c r="Z2901" s="23">
        <v>3</v>
      </c>
      <c r="AB2901" s="18">
        <f t="shared" si="90"/>
        <v>2015</v>
      </c>
      <c r="AC2901" s="22">
        <f t="shared" si="91"/>
        <v>0.56099999999999994</v>
      </c>
    </row>
    <row r="2902" spans="1:29" ht="30">
      <c r="A2902" s="8" t="s">
        <v>8214</v>
      </c>
      <c r="B2902" s="17" t="s">
        <v>7760</v>
      </c>
      <c r="C2902" s="13">
        <v>42234</v>
      </c>
      <c r="D2902" s="13" t="s">
        <v>8465</v>
      </c>
      <c r="E2902" s="10" t="s">
        <v>8215</v>
      </c>
      <c r="F2902" s="10" t="s">
        <v>8215</v>
      </c>
      <c r="H2902" s="2" t="s">
        <v>78</v>
      </c>
      <c r="L2902" s="18">
        <v>1</v>
      </c>
      <c r="M2902" s="14" t="s">
        <v>8462</v>
      </c>
      <c r="N2902" s="13">
        <v>43802</v>
      </c>
      <c r="O2902" s="29">
        <v>26.62</v>
      </c>
      <c r="P2902" s="18" t="s">
        <v>14</v>
      </c>
      <c r="Q2902" s="18">
        <v>0</v>
      </c>
      <c r="U2902" s="22">
        <v>0.7</v>
      </c>
      <c r="V2902" s="22">
        <f>3.34/5</f>
        <v>0.66799999999999993</v>
      </c>
      <c r="W2902" s="14" t="s">
        <v>8216</v>
      </c>
      <c r="X2902" s="3">
        <v>2</v>
      </c>
      <c r="Z2902" s="23">
        <v>4</v>
      </c>
      <c r="AB2902" s="18">
        <f t="shared" si="90"/>
        <v>2015</v>
      </c>
      <c r="AC2902" s="22">
        <f t="shared" si="91"/>
        <v>0.58933333333333326</v>
      </c>
    </row>
    <row r="2903" spans="1:29">
      <c r="A2903" s="8" t="s">
        <v>12364</v>
      </c>
      <c r="B2903" s="17" t="s">
        <v>7743</v>
      </c>
      <c r="C2903" s="13">
        <v>42229</v>
      </c>
      <c r="D2903" s="13" t="s">
        <v>8465</v>
      </c>
      <c r="E2903" s="10" t="s">
        <v>12365</v>
      </c>
      <c r="F2903" s="10" t="s">
        <v>12363</v>
      </c>
      <c r="G2903" s="11" t="s">
        <v>12361</v>
      </c>
      <c r="H2903" s="2" t="s">
        <v>64</v>
      </c>
      <c r="L2903" s="18">
        <v>0</v>
      </c>
      <c r="Q2903" s="18">
        <v>0</v>
      </c>
      <c r="V2903" s="22">
        <f>3.83/5</f>
        <v>0.76600000000000001</v>
      </c>
      <c r="W2903" s="14" t="s">
        <v>9890</v>
      </c>
      <c r="X2903" s="3">
        <v>3</v>
      </c>
      <c r="AB2903" s="18">
        <f t="shared" si="90"/>
        <v>2015</v>
      </c>
      <c r="AC2903" s="22">
        <f t="shared" si="91"/>
        <v>0.68300000000000005</v>
      </c>
    </row>
    <row r="2904" spans="1:29">
      <c r="A2904" s="8" t="s">
        <v>4062</v>
      </c>
      <c r="B2904" s="17" t="s">
        <v>7800</v>
      </c>
      <c r="C2904" s="13">
        <v>42228</v>
      </c>
      <c r="D2904" s="13" t="s">
        <v>8465</v>
      </c>
      <c r="E2904" s="10" t="s">
        <v>4063</v>
      </c>
      <c r="F2904" s="10" t="s">
        <v>4064</v>
      </c>
      <c r="H2904" s="2" t="s">
        <v>1334</v>
      </c>
      <c r="L2904" s="18">
        <v>1</v>
      </c>
      <c r="N2904" s="13">
        <v>42550</v>
      </c>
      <c r="O2904" s="29">
        <v>4.99</v>
      </c>
      <c r="P2904" s="18" t="s">
        <v>1107</v>
      </c>
      <c r="Q2904" s="18">
        <v>0</v>
      </c>
      <c r="U2904" s="22">
        <v>0.87</v>
      </c>
      <c r="V2904" s="22">
        <f>3.7/5</f>
        <v>0.74</v>
      </c>
      <c r="W2904" s="14" t="s">
        <v>7777</v>
      </c>
      <c r="X2904" s="3">
        <v>3</v>
      </c>
      <c r="Z2904" s="23">
        <v>6.5</v>
      </c>
      <c r="AB2904" s="18">
        <f t="shared" si="90"/>
        <v>2015</v>
      </c>
      <c r="AC2904" s="22">
        <f t="shared" si="91"/>
        <v>0.73666666666666669</v>
      </c>
    </row>
    <row r="2905" spans="1:29" ht="25.5">
      <c r="A2905" s="8" t="s">
        <v>4588</v>
      </c>
      <c r="B2905" s="17" t="s">
        <v>7800</v>
      </c>
      <c r="C2905" s="13">
        <v>42227</v>
      </c>
      <c r="D2905" s="13" t="s">
        <v>8465</v>
      </c>
      <c r="E2905" s="10" t="s">
        <v>3063</v>
      </c>
      <c r="F2905" s="10" t="s">
        <v>2478</v>
      </c>
      <c r="G2905" s="11" t="s">
        <v>2441</v>
      </c>
      <c r="H2905" s="2" t="s">
        <v>255</v>
      </c>
      <c r="L2905" s="18">
        <v>1</v>
      </c>
      <c r="N2905" s="13">
        <v>42486</v>
      </c>
      <c r="P2905" s="18" t="s">
        <v>1107</v>
      </c>
      <c r="Q2905" s="18">
        <v>0</v>
      </c>
      <c r="U2905" s="22">
        <v>0.8</v>
      </c>
      <c r="V2905" s="22">
        <f>4.07/5</f>
        <v>0.81400000000000006</v>
      </c>
      <c r="W2905" s="14" t="s">
        <v>7777</v>
      </c>
      <c r="X2905" s="3">
        <v>3</v>
      </c>
      <c r="Z2905" s="23">
        <v>3</v>
      </c>
      <c r="AB2905" s="18">
        <f t="shared" si="90"/>
        <v>2015</v>
      </c>
      <c r="AC2905" s="22">
        <f t="shared" si="91"/>
        <v>0.73799999999999999</v>
      </c>
    </row>
    <row r="2906" spans="1:29" ht="30">
      <c r="A2906" s="8" t="s">
        <v>6184</v>
      </c>
      <c r="B2906" s="17" t="s">
        <v>7760</v>
      </c>
      <c r="C2906" s="13">
        <v>42227</v>
      </c>
      <c r="D2906" s="13" t="s">
        <v>8465</v>
      </c>
      <c r="E2906" s="10" t="s">
        <v>2908</v>
      </c>
      <c r="F2906" s="10" t="s">
        <v>3172</v>
      </c>
      <c r="H2906" s="2" t="s">
        <v>67</v>
      </c>
      <c r="L2906" s="18">
        <v>1</v>
      </c>
      <c r="N2906" s="13">
        <v>42675</v>
      </c>
      <c r="O2906" s="29">
        <v>0</v>
      </c>
      <c r="P2906" s="18" t="s">
        <v>1107</v>
      </c>
      <c r="Q2906" s="18">
        <v>0</v>
      </c>
      <c r="U2906" s="22">
        <v>0.8</v>
      </c>
      <c r="V2906" s="22">
        <f>3.23/5</f>
        <v>0.64600000000000002</v>
      </c>
      <c r="W2906" s="14" t="s">
        <v>6072</v>
      </c>
      <c r="X2906" s="3">
        <v>3</v>
      </c>
      <c r="Z2906" s="23">
        <v>4.5</v>
      </c>
      <c r="AB2906" s="18">
        <f t="shared" si="90"/>
        <v>2015</v>
      </c>
      <c r="AC2906" s="22">
        <f t="shared" si="91"/>
        <v>0.68200000000000005</v>
      </c>
    </row>
    <row r="2907" spans="1:29">
      <c r="A2907" s="8" t="s">
        <v>8734</v>
      </c>
      <c r="B2907" s="17" t="s">
        <v>7759</v>
      </c>
      <c r="C2907" s="13">
        <v>42227</v>
      </c>
      <c r="D2907" s="13" t="s">
        <v>8465</v>
      </c>
      <c r="E2907" s="10" t="s">
        <v>1519</v>
      </c>
      <c r="F2907" s="10" t="s">
        <v>479</v>
      </c>
      <c r="G2907" s="11" t="s">
        <v>3340</v>
      </c>
      <c r="H2907" s="2" t="s">
        <v>1057</v>
      </c>
      <c r="L2907" s="18">
        <v>1</v>
      </c>
      <c r="N2907" s="13">
        <v>43089</v>
      </c>
      <c r="O2907" s="29">
        <v>0</v>
      </c>
      <c r="P2907" s="18" t="s">
        <v>1107</v>
      </c>
      <c r="Q2907" s="18">
        <v>0</v>
      </c>
      <c r="U2907" s="22">
        <v>0.63</v>
      </c>
      <c r="V2907" s="22">
        <f>2.97/5</f>
        <v>0.59400000000000008</v>
      </c>
      <c r="W2907" s="14" t="s">
        <v>6072</v>
      </c>
      <c r="X2907" s="3">
        <v>3</v>
      </c>
      <c r="Z2907" s="23">
        <v>7</v>
      </c>
      <c r="AB2907" s="18">
        <f t="shared" si="90"/>
        <v>2015</v>
      </c>
      <c r="AC2907" s="22">
        <f t="shared" si="91"/>
        <v>0.6080000000000001</v>
      </c>
    </row>
    <row r="2908" spans="1:29">
      <c r="A2908" s="8" t="s">
        <v>15303</v>
      </c>
      <c r="B2908" s="17" t="s">
        <v>7800</v>
      </c>
      <c r="C2908" s="13">
        <v>42226</v>
      </c>
      <c r="D2908" s="13" t="s">
        <v>8465</v>
      </c>
      <c r="E2908" s="10" t="s">
        <v>4850</v>
      </c>
      <c r="F2908" s="10" t="s">
        <v>5528</v>
      </c>
      <c r="G2908" s="11" t="s">
        <v>15304</v>
      </c>
      <c r="H2908" s="2" t="s">
        <v>171</v>
      </c>
      <c r="L2908" s="18">
        <v>1</v>
      </c>
      <c r="N2908" s="13">
        <v>45106</v>
      </c>
      <c r="O2908" s="29">
        <v>0.99</v>
      </c>
      <c r="P2908" s="18" t="s">
        <v>1107</v>
      </c>
      <c r="Q2908" s="18">
        <v>0</v>
      </c>
      <c r="V2908" s="22">
        <f>2.7/5</f>
        <v>0.54</v>
      </c>
      <c r="W2908" s="14" t="s">
        <v>7777</v>
      </c>
      <c r="X2908" s="3">
        <v>2</v>
      </c>
      <c r="Z2908" s="23">
        <v>7</v>
      </c>
      <c r="AB2908" s="18">
        <f t="shared" si="90"/>
        <v>2015</v>
      </c>
      <c r="AC2908" s="22">
        <f t="shared" si="91"/>
        <v>0.47000000000000003</v>
      </c>
    </row>
    <row r="2909" spans="1:29" ht="25.5">
      <c r="A2909" s="8" t="s">
        <v>16046</v>
      </c>
      <c r="B2909" s="17" t="s">
        <v>7751</v>
      </c>
      <c r="C2909" s="13">
        <v>42223</v>
      </c>
      <c r="D2909" s="13" t="s">
        <v>8465</v>
      </c>
      <c r="E2909" s="10" t="s">
        <v>5187</v>
      </c>
      <c r="F2909" s="10" t="s">
        <v>16047</v>
      </c>
      <c r="H2909" s="2" t="s">
        <v>153</v>
      </c>
      <c r="L2909" s="18">
        <v>0</v>
      </c>
      <c r="Q2909" s="18">
        <v>0</v>
      </c>
      <c r="V2909" s="22">
        <f>3.73/5</f>
        <v>0.746</v>
      </c>
      <c r="X2909" s="3">
        <v>2</v>
      </c>
      <c r="Z2909" s="23">
        <f>56/60</f>
        <v>0.93333333333333335</v>
      </c>
      <c r="AB2909" s="18">
        <f t="shared" si="90"/>
        <v>2015</v>
      </c>
      <c r="AC2909" s="22">
        <f t="shared" si="91"/>
        <v>0.57299999999999995</v>
      </c>
    </row>
    <row r="2910" spans="1:29" ht="25.5">
      <c r="A2910" s="8" t="s">
        <v>5092</v>
      </c>
      <c r="B2910" s="17" t="s">
        <v>7800</v>
      </c>
      <c r="C2910" s="13">
        <v>42222</v>
      </c>
      <c r="D2910" s="13" t="s">
        <v>8465</v>
      </c>
      <c r="E2910" s="10" t="s">
        <v>5093</v>
      </c>
      <c r="F2910" s="10" t="s">
        <v>5093</v>
      </c>
      <c r="G2910" s="11" t="s">
        <v>5094</v>
      </c>
      <c r="H2910" s="2" t="s">
        <v>27</v>
      </c>
      <c r="L2910" s="18">
        <v>1</v>
      </c>
      <c r="N2910" s="13">
        <v>43404</v>
      </c>
      <c r="O2910" s="29">
        <v>1.99</v>
      </c>
      <c r="P2910" s="18" t="s">
        <v>1107</v>
      </c>
      <c r="Q2910" s="18">
        <v>0</v>
      </c>
      <c r="U2910" s="22">
        <v>0.85</v>
      </c>
      <c r="V2910" s="22">
        <f>4/5</f>
        <v>0.8</v>
      </c>
      <c r="W2910" s="14" t="s">
        <v>7777</v>
      </c>
      <c r="X2910" s="3">
        <v>3</v>
      </c>
      <c r="Z2910" s="23">
        <v>4.5</v>
      </c>
      <c r="AB2910" s="18">
        <f t="shared" si="90"/>
        <v>2015</v>
      </c>
      <c r="AC2910" s="22">
        <f t="shared" si="91"/>
        <v>0.75</v>
      </c>
    </row>
    <row r="2911" spans="1:29">
      <c r="A2911" s="8" t="s">
        <v>9272</v>
      </c>
      <c r="B2911" s="17" t="s">
        <v>7763</v>
      </c>
      <c r="C2911" s="13">
        <v>42222</v>
      </c>
      <c r="D2911" s="13" t="s">
        <v>8463</v>
      </c>
      <c r="E2911" s="10" t="s">
        <v>5025</v>
      </c>
      <c r="F2911" s="10" t="s">
        <v>8698</v>
      </c>
      <c r="G2911" s="11" t="s">
        <v>2251</v>
      </c>
      <c r="H2911" s="2" t="s">
        <v>75</v>
      </c>
      <c r="K2911" s="18">
        <v>0</v>
      </c>
      <c r="L2911" s="18">
        <v>0</v>
      </c>
      <c r="Q2911" s="18">
        <v>0</v>
      </c>
      <c r="V2911" s="22">
        <f>3.3/5</f>
        <v>0.65999999999999992</v>
      </c>
      <c r="X2911" s="3">
        <v>3</v>
      </c>
      <c r="AB2911" s="18">
        <f t="shared" si="90"/>
        <v>2015</v>
      </c>
      <c r="AC2911" s="22">
        <f t="shared" si="91"/>
        <v>0.62999999999999989</v>
      </c>
    </row>
    <row r="2912" spans="1:29">
      <c r="A2912" s="8" t="s">
        <v>6525</v>
      </c>
      <c r="B2912" s="17" t="s">
        <v>7766</v>
      </c>
      <c r="C2912" s="13">
        <v>42220</v>
      </c>
      <c r="D2912" s="13" t="s">
        <v>8465</v>
      </c>
      <c r="E2912" s="10" t="s">
        <v>3116</v>
      </c>
      <c r="F2912" s="10" t="s">
        <v>163</v>
      </c>
      <c r="H2912" s="2" t="s">
        <v>6510</v>
      </c>
      <c r="L2912" s="18">
        <v>1</v>
      </c>
      <c r="M2912" s="14" t="s">
        <v>8462</v>
      </c>
      <c r="N2912" s="13">
        <v>43369</v>
      </c>
      <c r="O2912" s="29">
        <v>13.3</v>
      </c>
      <c r="P2912" s="18" t="s">
        <v>14</v>
      </c>
      <c r="Q2912" s="18">
        <v>0</v>
      </c>
      <c r="U2912" s="22">
        <v>0.86</v>
      </c>
      <c r="V2912" s="22">
        <f>4.16/5</f>
        <v>0.83200000000000007</v>
      </c>
      <c r="X2912" s="3">
        <v>4</v>
      </c>
      <c r="Z2912" s="23">
        <v>52</v>
      </c>
      <c r="AB2912" s="18">
        <f t="shared" si="90"/>
        <v>2015</v>
      </c>
      <c r="AC2912" s="22">
        <f t="shared" si="91"/>
        <v>0.83066666666666666</v>
      </c>
    </row>
    <row r="2913" spans="1:29" ht="25.5">
      <c r="A2913" s="8" t="s">
        <v>9307</v>
      </c>
      <c r="B2913" s="17" t="s">
        <v>7749</v>
      </c>
      <c r="C2913" s="13">
        <v>42220</v>
      </c>
      <c r="D2913" s="13" t="s">
        <v>8465</v>
      </c>
      <c r="E2913" s="10" t="s">
        <v>2461</v>
      </c>
      <c r="F2913" s="10" t="s">
        <v>228</v>
      </c>
      <c r="G2913" s="11" t="s">
        <v>2239</v>
      </c>
      <c r="H2913" s="2" t="s">
        <v>1377</v>
      </c>
      <c r="L2913" s="18">
        <v>1</v>
      </c>
      <c r="N2913" s="13">
        <v>44095</v>
      </c>
      <c r="O2913" s="29">
        <v>9.99</v>
      </c>
      <c r="P2913" s="18" t="s">
        <v>1107</v>
      </c>
      <c r="Q2913" s="18">
        <v>0</v>
      </c>
      <c r="U2913" s="22">
        <v>0.82</v>
      </c>
      <c r="V2913" s="22">
        <f>4.23/5</f>
        <v>0.84600000000000009</v>
      </c>
      <c r="X2913" s="3">
        <v>4</v>
      </c>
      <c r="Z2913" s="23">
        <v>43.5</v>
      </c>
      <c r="AB2913" s="18">
        <f t="shared" si="90"/>
        <v>2015</v>
      </c>
      <c r="AC2913" s="22">
        <f t="shared" si="91"/>
        <v>0.82200000000000006</v>
      </c>
    </row>
    <row r="2914" spans="1:29" ht="30">
      <c r="A2914" s="8" t="s">
        <v>3860</v>
      </c>
      <c r="B2914" s="17" t="s">
        <v>7800</v>
      </c>
      <c r="C2914" s="13">
        <v>42220</v>
      </c>
      <c r="D2914" s="13" t="s">
        <v>8465</v>
      </c>
      <c r="E2914" s="10" t="s">
        <v>1680</v>
      </c>
      <c r="F2914" s="10" t="s">
        <v>3861</v>
      </c>
      <c r="G2914" s="11" t="s">
        <v>3862</v>
      </c>
      <c r="H2914" s="2" t="s">
        <v>149</v>
      </c>
      <c r="L2914" s="18">
        <v>1</v>
      </c>
      <c r="N2914" s="13">
        <v>43342</v>
      </c>
      <c r="O2914" s="29">
        <v>4.03</v>
      </c>
      <c r="P2914" s="18" t="s">
        <v>1107</v>
      </c>
      <c r="Q2914" s="18">
        <v>0</v>
      </c>
      <c r="U2914" s="22">
        <v>0.69</v>
      </c>
      <c r="V2914" s="22">
        <f>3.82/5</f>
        <v>0.76400000000000001</v>
      </c>
      <c r="W2914" s="14" t="s">
        <v>7777</v>
      </c>
      <c r="X2914" s="3">
        <v>3</v>
      </c>
      <c r="Z2914" s="23">
        <v>24.5</v>
      </c>
      <c r="AB2914" s="18">
        <f t="shared" si="90"/>
        <v>2015</v>
      </c>
      <c r="AC2914" s="22">
        <f t="shared" si="91"/>
        <v>0.68466666666666665</v>
      </c>
    </row>
    <row r="2915" spans="1:29">
      <c r="A2915" s="8" t="s">
        <v>5174</v>
      </c>
      <c r="B2915" s="17" t="s">
        <v>7800</v>
      </c>
      <c r="C2915" s="13">
        <v>42219</v>
      </c>
      <c r="D2915" s="13" t="s">
        <v>8465</v>
      </c>
      <c r="E2915" s="10" t="s">
        <v>5175</v>
      </c>
      <c r="F2915" s="10" t="s">
        <v>5175</v>
      </c>
      <c r="G2915" s="11" t="s">
        <v>5174</v>
      </c>
      <c r="H2915" s="2" t="s">
        <v>80</v>
      </c>
      <c r="L2915" s="18">
        <v>1</v>
      </c>
      <c r="N2915" s="13">
        <v>43367</v>
      </c>
      <c r="O2915" s="29">
        <v>1.99</v>
      </c>
      <c r="P2915" s="18" t="s">
        <v>1107</v>
      </c>
      <c r="Q2915" s="18">
        <v>0</v>
      </c>
      <c r="U2915" s="22">
        <v>0.52</v>
      </c>
      <c r="V2915" s="22">
        <f>3.17/5</f>
        <v>0.63400000000000001</v>
      </c>
      <c r="W2915" s="14" t="s">
        <v>7777</v>
      </c>
      <c r="X2915" s="3">
        <v>2</v>
      </c>
      <c r="Z2915" s="23">
        <v>2.5</v>
      </c>
      <c r="AB2915" s="18">
        <f t="shared" si="90"/>
        <v>2015</v>
      </c>
      <c r="AC2915" s="22">
        <f t="shared" si="91"/>
        <v>0.5179999999999999</v>
      </c>
    </row>
    <row r="2916" spans="1:29">
      <c r="A2916" s="8" t="s">
        <v>15301</v>
      </c>
      <c r="B2916" s="17" t="s">
        <v>7800</v>
      </c>
      <c r="C2916" s="13">
        <v>42216</v>
      </c>
      <c r="D2916" s="13" t="s">
        <v>8465</v>
      </c>
      <c r="E2916" s="10" t="s">
        <v>15302</v>
      </c>
      <c r="F2916" s="10" t="s">
        <v>15302</v>
      </c>
      <c r="H2916" s="2" t="s">
        <v>67</v>
      </c>
      <c r="L2916" s="18">
        <v>1</v>
      </c>
      <c r="N2916" s="13">
        <v>45106</v>
      </c>
      <c r="O2916" s="29">
        <v>0.89</v>
      </c>
      <c r="P2916" s="18" t="s">
        <v>1107</v>
      </c>
      <c r="Q2916" s="18">
        <v>0</v>
      </c>
      <c r="U2916" s="22">
        <v>0.59</v>
      </c>
      <c r="V2916" s="22">
        <f>3.4/5</f>
        <v>0.67999999999999994</v>
      </c>
      <c r="W2916" s="14" t="s">
        <v>7777</v>
      </c>
      <c r="X2916" s="3">
        <v>2</v>
      </c>
      <c r="Z2916" s="23">
        <v>4.5</v>
      </c>
      <c r="AB2916" s="18">
        <f t="shared" si="90"/>
        <v>2015</v>
      </c>
      <c r="AC2916" s="22">
        <f t="shared" si="91"/>
        <v>0.55666666666666664</v>
      </c>
    </row>
    <row r="2917" spans="1:29" ht="25.5">
      <c r="A2917" s="8" t="s">
        <v>4394</v>
      </c>
      <c r="B2917" s="17" t="s">
        <v>7800</v>
      </c>
      <c r="C2917" s="13">
        <v>42215</v>
      </c>
      <c r="D2917" s="13" t="s">
        <v>8465</v>
      </c>
      <c r="E2917" s="10" t="s">
        <v>4395</v>
      </c>
      <c r="F2917" s="10" t="s">
        <v>4395</v>
      </c>
      <c r="G2917" s="11" t="s">
        <v>4396</v>
      </c>
      <c r="H2917" s="2" t="s">
        <v>56</v>
      </c>
      <c r="L2917" s="18">
        <v>1</v>
      </c>
      <c r="N2917" s="13">
        <v>42362</v>
      </c>
      <c r="P2917" s="18" t="s">
        <v>1107</v>
      </c>
      <c r="Q2917" s="18">
        <v>0</v>
      </c>
      <c r="V2917" s="22">
        <f>3.5/5</f>
        <v>0.7</v>
      </c>
      <c r="W2917" s="14" t="s">
        <v>7777</v>
      </c>
      <c r="X2917" s="3">
        <v>2</v>
      </c>
      <c r="Z2917" s="23">
        <v>0.85</v>
      </c>
      <c r="AB2917" s="18">
        <f t="shared" si="90"/>
        <v>2015</v>
      </c>
      <c r="AC2917" s="22">
        <f t="shared" si="91"/>
        <v>0.55000000000000004</v>
      </c>
    </row>
    <row r="2918" spans="1:29" ht="25.5">
      <c r="A2918" s="8" t="s">
        <v>10102</v>
      </c>
      <c r="B2918" s="17" t="s">
        <v>7759</v>
      </c>
      <c r="C2918" s="13">
        <v>42213</v>
      </c>
      <c r="D2918" s="13" t="s">
        <v>8465</v>
      </c>
      <c r="E2918" s="10" t="s">
        <v>3580</v>
      </c>
      <c r="F2918" s="10" t="s">
        <v>10105</v>
      </c>
      <c r="G2918" s="11" t="s">
        <v>10106</v>
      </c>
      <c r="H2918" s="2" t="s">
        <v>80</v>
      </c>
      <c r="L2918" s="18">
        <v>1</v>
      </c>
      <c r="N2918" s="13">
        <v>43166</v>
      </c>
      <c r="O2918" s="29">
        <v>0</v>
      </c>
      <c r="P2918" s="18" t="s">
        <v>1107</v>
      </c>
      <c r="Q2918" s="18">
        <v>0</v>
      </c>
      <c r="V2918" s="22">
        <f>3.59/5</f>
        <v>0.71799999999999997</v>
      </c>
      <c r="W2918" s="14" t="s">
        <v>6072</v>
      </c>
      <c r="X2918" s="3">
        <v>2</v>
      </c>
      <c r="Z2918" s="23">
        <v>12.5</v>
      </c>
      <c r="AB2918" s="18">
        <f t="shared" si="90"/>
        <v>2015</v>
      </c>
      <c r="AC2918" s="22">
        <f t="shared" si="91"/>
        <v>0.55899999999999994</v>
      </c>
    </row>
    <row r="2919" spans="1:29" ht="25.5">
      <c r="A2919" s="8" t="s">
        <v>15519</v>
      </c>
      <c r="B2919" s="17" t="s">
        <v>7763</v>
      </c>
      <c r="C2919" s="13">
        <v>42213</v>
      </c>
      <c r="D2919" s="13" t="s">
        <v>8465</v>
      </c>
      <c r="E2919" s="10" t="s">
        <v>1519</v>
      </c>
      <c r="F2919" s="10" t="s">
        <v>479</v>
      </c>
      <c r="G2919" s="11" t="s">
        <v>3340</v>
      </c>
      <c r="H2919" s="2" t="s">
        <v>459</v>
      </c>
      <c r="L2919" s="18">
        <v>1</v>
      </c>
      <c r="M2919" s="14" t="s">
        <v>8462</v>
      </c>
      <c r="N2919" s="13">
        <v>45146</v>
      </c>
      <c r="O2919" s="29">
        <v>32.53</v>
      </c>
      <c r="P2919" s="18" t="s">
        <v>14</v>
      </c>
      <c r="Q2919" s="18">
        <v>0</v>
      </c>
      <c r="V2919" s="22">
        <f>4.18/5</f>
        <v>0.83599999999999997</v>
      </c>
      <c r="X2919" s="3">
        <v>2</v>
      </c>
      <c r="Z2919" s="23">
        <v>13.5</v>
      </c>
      <c r="AB2919" s="18">
        <f t="shared" si="90"/>
        <v>2015</v>
      </c>
      <c r="AC2919" s="22">
        <f t="shared" si="91"/>
        <v>0.61799999999999999</v>
      </c>
    </row>
    <row r="2920" spans="1:29">
      <c r="A2920" s="8" t="s">
        <v>13787</v>
      </c>
      <c r="B2920" s="17" t="s">
        <v>7800</v>
      </c>
      <c r="C2920" s="13">
        <v>42212</v>
      </c>
      <c r="D2920" s="13" t="s">
        <v>8465</v>
      </c>
      <c r="E2920" s="10" t="s">
        <v>13788</v>
      </c>
      <c r="F2920" s="10" t="s">
        <v>13788</v>
      </c>
      <c r="H2920" s="2" t="s">
        <v>31</v>
      </c>
      <c r="L2920" s="18">
        <v>1</v>
      </c>
      <c r="N2920" s="13">
        <v>45004</v>
      </c>
      <c r="O2920" s="29">
        <v>0.99</v>
      </c>
      <c r="P2920" s="18" t="s">
        <v>1107</v>
      </c>
      <c r="Q2920" s="18">
        <v>0</v>
      </c>
      <c r="U2920" s="22">
        <v>0.76</v>
      </c>
      <c r="V2920" s="22">
        <f>3.33/5</f>
        <v>0.66600000000000004</v>
      </c>
      <c r="W2920" s="14" t="s">
        <v>7777</v>
      </c>
      <c r="X2920" s="3">
        <v>2</v>
      </c>
      <c r="AB2920" s="18">
        <f t="shared" si="90"/>
        <v>2015</v>
      </c>
      <c r="AC2920" s="22">
        <f t="shared" si="91"/>
        <v>0.60866666666666669</v>
      </c>
    </row>
    <row r="2921" spans="1:29">
      <c r="A2921" s="8" t="s">
        <v>14201</v>
      </c>
      <c r="B2921" s="17" t="s">
        <v>7781</v>
      </c>
      <c r="C2921" s="13">
        <v>42210</v>
      </c>
      <c r="D2921" s="13" t="s">
        <v>8465</v>
      </c>
      <c r="E2921" s="10" t="s">
        <v>14202</v>
      </c>
      <c r="F2921" s="10" t="s">
        <v>14202</v>
      </c>
      <c r="G2921" s="11" t="s">
        <v>7647</v>
      </c>
      <c r="H2921" s="2" t="s">
        <v>64</v>
      </c>
      <c r="L2921" s="18">
        <v>1</v>
      </c>
      <c r="N2921" s="13">
        <v>45022</v>
      </c>
      <c r="O2921" s="29">
        <v>0</v>
      </c>
      <c r="P2921" s="18" t="s">
        <v>1107</v>
      </c>
      <c r="Q2921" s="18">
        <v>0</v>
      </c>
      <c r="W2921" s="14" t="s">
        <v>8765</v>
      </c>
      <c r="X2921" s="3">
        <v>3</v>
      </c>
      <c r="Z2921" s="23">
        <f>28/60</f>
        <v>0.46666666666666667</v>
      </c>
      <c r="AB2921" s="18">
        <f t="shared" si="90"/>
        <v>2015</v>
      </c>
      <c r="AC2921" s="22">
        <f t="shared" si="91"/>
        <v>0.6</v>
      </c>
    </row>
    <row r="2922" spans="1:29">
      <c r="A2922" s="8" t="s">
        <v>10203</v>
      </c>
      <c r="B2922" s="17" t="s">
        <v>7800</v>
      </c>
      <c r="C2922" s="13">
        <v>42210</v>
      </c>
      <c r="D2922" s="13" t="s">
        <v>8465</v>
      </c>
      <c r="E2922" s="10" t="s">
        <v>10204</v>
      </c>
      <c r="F2922" s="10" t="s">
        <v>10204</v>
      </c>
      <c r="H2922" s="2" t="s">
        <v>150</v>
      </c>
      <c r="L2922" s="18">
        <v>1</v>
      </c>
      <c r="N2922" s="13">
        <v>44364</v>
      </c>
      <c r="O2922" s="29">
        <v>0</v>
      </c>
      <c r="P2922" s="18" t="s">
        <v>1107</v>
      </c>
      <c r="Q2922" s="18">
        <v>0</v>
      </c>
      <c r="U2922" s="22">
        <v>0.66</v>
      </c>
      <c r="V2922" s="22">
        <f>3.34/5</f>
        <v>0.66799999999999993</v>
      </c>
      <c r="W2922" s="14" t="s">
        <v>7778</v>
      </c>
      <c r="X2922" s="3">
        <v>2</v>
      </c>
      <c r="Z2922" s="23">
        <v>2.5</v>
      </c>
      <c r="AB2922" s="18">
        <f t="shared" si="90"/>
        <v>2015</v>
      </c>
      <c r="AC2922" s="22">
        <f t="shared" si="91"/>
        <v>0.57599999999999996</v>
      </c>
    </row>
    <row r="2923" spans="1:29" ht="30">
      <c r="A2923" s="8" t="s">
        <v>3502</v>
      </c>
      <c r="B2923" s="17" t="s">
        <v>7800</v>
      </c>
      <c r="C2923" s="13">
        <v>42209</v>
      </c>
      <c r="D2923" s="13" t="s">
        <v>8465</v>
      </c>
      <c r="E2923" s="10" t="s">
        <v>3503</v>
      </c>
      <c r="F2923" s="10" t="s">
        <v>3503</v>
      </c>
      <c r="H2923" s="2" t="s">
        <v>67</v>
      </c>
      <c r="L2923" s="18">
        <v>1</v>
      </c>
      <c r="N2923" s="13">
        <v>43455</v>
      </c>
      <c r="O2923" s="29">
        <v>5.19</v>
      </c>
      <c r="P2923" s="18" t="s">
        <v>1107</v>
      </c>
      <c r="Q2923" s="18">
        <v>0</v>
      </c>
      <c r="U2923" s="22">
        <v>0.71</v>
      </c>
      <c r="V2923" s="22">
        <f>3.68/5</f>
        <v>0.73599999999999999</v>
      </c>
      <c r="W2923" s="14" t="s">
        <v>7777</v>
      </c>
      <c r="X2923" s="3">
        <v>3</v>
      </c>
      <c r="Z2923" s="23">
        <v>6</v>
      </c>
      <c r="AB2923" s="18">
        <f t="shared" si="90"/>
        <v>2015</v>
      </c>
      <c r="AC2923" s="22">
        <f t="shared" si="91"/>
        <v>0.68199999999999994</v>
      </c>
    </row>
    <row r="2924" spans="1:29">
      <c r="A2924" s="8" t="s">
        <v>4589</v>
      </c>
      <c r="B2924" s="17" t="s">
        <v>7800</v>
      </c>
      <c r="C2924" s="13">
        <v>42208</v>
      </c>
      <c r="D2924" s="13" t="s">
        <v>8465</v>
      </c>
      <c r="E2924" s="10" t="s">
        <v>4590</v>
      </c>
      <c r="F2924" s="10" t="s">
        <v>4590</v>
      </c>
      <c r="H2924" s="2" t="s">
        <v>56</v>
      </c>
      <c r="L2924" s="18">
        <v>1</v>
      </c>
      <c r="N2924" s="13">
        <v>42372</v>
      </c>
      <c r="O2924" s="29">
        <v>2.4900000000000002</v>
      </c>
      <c r="P2924" s="18" t="s">
        <v>1107</v>
      </c>
      <c r="Q2924" s="18">
        <v>0</v>
      </c>
      <c r="V2924" s="22">
        <f>3.88/5</f>
        <v>0.77600000000000002</v>
      </c>
      <c r="W2924" s="14" t="s">
        <v>7777</v>
      </c>
      <c r="X2924" s="3">
        <v>3</v>
      </c>
      <c r="Z2924" s="23">
        <v>3</v>
      </c>
      <c r="AB2924" s="18">
        <f t="shared" si="90"/>
        <v>2015</v>
      </c>
      <c r="AC2924" s="22">
        <f t="shared" si="91"/>
        <v>0.68799999999999994</v>
      </c>
    </row>
    <row r="2925" spans="1:29">
      <c r="A2925" s="8" t="s">
        <v>9726</v>
      </c>
      <c r="B2925" s="17" t="s">
        <v>7800</v>
      </c>
      <c r="C2925" s="13">
        <v>42208</v>
      </c>
      <c r="D2925" s="13" t="s">
        <v>8465</v>
      </c>
      <c r="E2925" s="10" t="s">
        <v>3112</v>
      </c>
      <c r="F2925" s="10" t="s">
        <v>3029</v>
      </c>
      <c r="G2925" s="11" t="s">
        <v>9197</v>
      </c>
      <c r="H2925" s="2" t="s">
        <v>80</v>
      </c>
      <c r="L2925" s="18">
        <v>1</v>
      </c>
      <c r="N2925" s="13">
        <v>44225</v>
      </c>
      <c r="O2925" s="29">
        <v>2.4900000000000002</v>
      </c>
      <c r="P2925" s="18" t="s">
        <v>1107</v>
      </c>
      <c r="Q2925" s="18">
        <v>0</v>
      </c>
      <c r="U2925" s="22">
        <v>0.72</v>
      </c>
      <c r="V2925" s="22">
        <f>3.94/5</f>
        <v>0.78800000000000003</v>
      </c>
      <c r="W2925" s="14" t="s">
        <v>7778</v>
      </c>
      <c r="X2925" s="3">
        <v>3</v>
      </c>
      <c r="Z2925" s="23">
        <v>12</v>
      </c>
      <c r="AB2925" s="18">
        <f t="shared" si="90"/>
        <v>2015</v>
      </c>
      <c r="AC2925" s="22">
        <f t="shared" si="91"/>
        <v>0.70266666666666666</v>
      </c>
    </row>
    <row r="2926" spans="1:29" ht="25.5">
      <c r="A2926" s="8" t="s">
        <v>7421</v>
      </c>
      <c r="B2926" s="17" t="s">
        <v>7760</v>
      </c>
      <c r="C2926" s="13">
        <v>42206</v>
      </c>
      <c r="D2926" s="13" t="s">
        <v>8465</v>
      </c>
      <c r="E2926" s="10" t="s">
        <v>7422</v>
      </c>
      <c r="F2926" s="10" t="s">
        <v>7413</v>
      </c>
      <c r="G2926" s="11" t="s">
        <v>7414</v>
      </c>
      <c r="H2926" s="2" t="s">
        <v>1059</v>
      </c>
      <c r="L2926" s="18">
        <v>1</v>
      </c>
      <c r="M2926" s="14" t="s">
        <v>8462</v>
      </c>
      <c r="N2926" s="13">
        <v>43996</v>
      </c>
      <c r="O2926" s="29">
        <v>21.69</v>
      </c>
      <c r="P2926" s="18" t="s">
        <v>14</v>
      </c>
      <c r="Q2926" s="18">
        <v>0</v>
      </c>
      <c r="U2926" s="22">
        <v>0.57999999999999996</v>
      </c>
      <c r="V2926" s="22">
        <f>3.74/5</f>
        <v>0.748</v>
      </c>
      <c r="X2926" s="3">
        <v>2</v>
      </c>
      <c r="Z2926" s="23">
        <v>6</v>
      </c>
      <c r="AB2926" s="18">
        <f t="shared" si="90"/>
        <v>2015</v>
      </c>
      <c r="AC2926" s="22">
        <f t="shared" si="91"/>
        <v>0.57599999999999996</v>
      </c>
    </row>
    <row r="2927" spans="1:29" ht="25.5">
      <c r="A2927" s="8" t="s">
        <v>4546</v>
      </c>
      <c r="B2927" s="17" t="s">
        <v>7800</v>
      </c>
      <c r="C2927" s="13">
        <v>42202</v>
      </c>
      <c r="D2927" s="13" t="s">
        <v>8465</v>
      </c>
      <c r="E2927" s="10" t="s">
        <v>3464</v>
      </c>
      <c r="F2927" s="10" t="s">
        <v>3464</v>
      </c>
      <c r="G2927" s="11" t="s">
        <v>4547</v>
      </c>
      <c r="H2927" s="2" t="s">
        <v>56</v>
      </c>
      <c r="L2927" s="18">
        <v>1</v>
      </c>
      <c r="N2927" s="13">
        <v>42202</v>
      </c>
      <c r="P2927" s="18" t="s">
        <v>1107</v>
      </c>
      <c r="Q2927" s="18">
        <v>0</v>
      </c>
      <c r="U2927" s="22">
        <v>0.73</v>
      </c>
      <c r="V2927" s="22">
        <f>3.02/5</f>
        <v>0.60399999999999998</v>
      </c>
      <c r="W2927" s="14" t="s">
        <v>7777</v>
      </c>
      <c r="X2927" s="3">
        <v>3</v>
      </c>
      <c r="Z2927" s="23">
        <v>2.5</v>
      </c>
      <c r="AB2927" s="18">
        <f t="shared" si="90"/>
        <v>2015</v>
      </c>
      <c r="AC2927" s="22">
        <f t="shared" si="91"/>
        <v>0.64466666666666672</v>
      </c>
    </row>
    <row r="2928" spans="1:29">
      <c r="A2928" s="8" t="s">
        <v>4573</v>
      </c>
      <c r="B2928" s="17" t="s">
        <v>7800</v>
      </c>
      <c r="C2928" s="13">
        <v>42200</v>
      </c>
      <c r="D2928" s="13" t="s">
        <v>8465</v>
      </c>
      <c r="E2928" s="10" t="s">
        <v>4574</v>
      </c>
      <c r="F2928" s="10" t="s">
        <v>4574</v>
      </c>
      <c r="H2928" s="2" t="s">
        <v>151</v>
      </c>
      <c r="L2928" s="18">
        <v>1</v>
      </c>
      <c r="N2928" s="13">
        <v>42672</v>
      </c>
      <c r="P2928" s="18" t="s">
        <v>1107</v>
      </c>
      <c r="Q2928" s="18">
        <v>0</v>
      </c>
      <c r="U2928" s="22">
        <v>0.9</v>
      </c>
      <c r="V2928" s="22">
        <f>4.02/5</f>
        <v>0.80399999999999994</v>
      </c>
      <c r="W2928" s="14" t="s">
        <v>7777</v>
      </c>
      <c r="X2928" s="3">
        <v>3</v>
      </c>
      <c r="Z2928" s="23">
        <v>5.5</v>
      </c>
      <c r="AB2928" s="18">
        <f t="shared" si="90"/>
        <v>2015</v>
      </c>
      <c r="AC2928" s="22">
        <f t="shared" si="91"/>
        <v>0.7679999999999999</v>
      </c>
    </row>
    <row r="2929" spans="1:29">
      <c r="A2929" s="8" t="s">
        <v>13789</v>
      </c>
      <c r="B2929" s="17" t="s">
        <v>7800</v>
      </c>
      <c r="C2929" s="13">
        <v>42200</v>
      </c>
      <c r="D2929" s="13" t="s">
        <v>8465</v>
      </c>
      <c r="E2929" s="10" t="s">
        <v>13790</v>
      </c>
      <c r="F2929" s="10" t="s">
        <v>13790</v>
      </c>
      <c r="H2929" s="2" t="s">
        <v>1054</v>
      </c>
      <c r="L2929" s="18">
        <v>1</v>
      </c>
      <c r="N2929" s="13">
        <v>45004</v>
      </c>
      <c r="O2929" s="29">
        <v>0.99</v>
      </c>
      <c r="P2929" s="18" t="s">
        <v>1107</v>
      </c>
      <c r="Q2929" s="18">
        <v>0</v>
      </c>
      <c r="V2929" s="22">
        <f>4.17/5</f>
        <v>0.83399999999999996</v>
      </c>
      <c r="W2929" s="14" t="s">
        <v>7777</v>
      </c>
      <c r="X2929" s="3">
        <v>2</v>
      </c>
      <c r="Z2929" s="23">
        <v>2</v>
      </c>
      <c r="AB2929" s="18">
        <f t="shared" si="90"/>
        <v>2015</v>
      </c>
      <c r="AC2929" s="22">
        <f t="shared" si="91"/>
        <v>0.61699999999999999</v>
      </c>
    </row>
    <row r="2930" spans="1:29" ht="25.5">
      <c r="A2930" s="8" t="s">
        <v>11339</v>
      </c>
      <c r="B2930" s="17" t="s">
        <v>7760</v>
      </c>
      <c r="C2930" s="13">
        <v>42199</v>
      </c>
      <c r="D2930" s="13" t="s">
        <v>8465</v>
      </c>
      <c r="E2930" s="10" t="s">
        <v>2335</v>
      </c>
      <c r="F2930" s="10" t="s">
        <v>2335</v>
      </c>
      <c r="G2930" s="11" t="s">
        <v>11335</v>
      </c>
      <c r="H2930" s="2" t="s">
        <v>75</v>
      </c>
      <c r="L2930" s="18">
        <v>1</v>
      </c>
      <c r="M2930" s="14" t="s">
        <v>8462</v>
      </c>
      <c r="N2930" s="13">
        <v>45054</v>
      </c>
      <c r="O2930" s="29">
        <v>59.73</v>
      </c>
      <c r="P2930" s="18" t="s">
        <v>14</v>
      </c>
      <c r="Q2930" s="18">
        <v>0</v>
      </c>
      <c r="U2930" s="22">
        <v>0.69</v>
      </c>
      <c r="V2930" s="22">
        <f>3.81/5</f>
        <v>0.76200000000000001</v>
      </c>
      <c r="X2930" s="3">
        <v>3</v>
      </c>
      <c r="AB2930" s="18">
        <f t="shared" si="90"/>
        <v>2015</v>
      </c>
      <c r="AC2930" s="22">
        <f t="shared" si="91"/>
        <v>0.68400000000000005</v>
      </c>
    </row>
    <row r="2931" spans="1:29" ht="25.5">
      <c r="A2931" s="8" t="s">
        <v>7027</v>
      </c>
      <c r="B2931" s="17" t="s">
        <v>7800</v>
      </c>
      <c r="C2931" s="13">
        <v>42199</v>
      </c>
      <c r="D2931" s="13" t="s">
        <v>8465</v>
      </c>
      <c r="E2931" s="10" t="s">
        <v>3212</v>
      </c>
      <c r="F2931" s="10" t="s">
        <v>7028</v>
      </c>
      <c r="H2931" s="2" t="s">
        <v>3411</v>
      </c>
      <c r="L2931" s="18">
        <v>1</v>
      </c>
      <c r="O2931" s="29">
        <v>0</v>
      </c>
      <c r="P2931" s="18" t="s">
        <v>1107</v>
      </c>
      <c r="Q2931" s="18">
        <v>0</v>
      </c>
      <c r="U2931" s="22">
        <v>0.71</v>
      </c>
      <c r="V2931" s="22">
        <f>3.26/5</f>
        <v>0.65199999999999991</v>
      </c>
      <c r="W2931" s="14" t="s">
        <v>7799</v>
      </c>
      <c r="X2931" s="3">
        <v>2</v>
      </c>
      <c r="Z2931" s="23">
        <v>12</v>
      </c>
      <c r="AB2931" s="18">
        <f t="shared" si="90"/>
        <v>2015</v>
      </c>
      <c r="AC2931" s="22">
        <f t="shared" si="91"/>
        <v>0.58733333333333337</v>
      </c>
    </row>
    <row r="2932" spans="1:29">
      <c r="A2932" s="8" t="s">
        <v>13083</v>
      </c>
      <c r="B2932" s="17" t="s">
        <v>7760</v>
      </c>
      <c r="C2932" s="13">
        <v>42199</v>
      </c>
      <c r="D2932" s="13" t="s">
        <v>8465</v>
      </c>
      <c r="E2932" s="10" t="s">
        <v>3568</v>
      </c>
      <c r="F2932" s="10" t="s">
        <v>7972</v>
      </c>
      <c r="G2932" s="11" t="s">
        <v>13083</v>
      </c>
      <c r="H2932" s="2" t="s">
        <v>459</v>
      </c>
      <c r="L2932" s="18">
        <v>0</v>
      </c>
      <c r="Q2932" s="18">
        <v>0</v>
      </c>
      <c r="U2932" s="22">
        <v>0.38</v>
      </c>
      <c r="V2932" s="22">
        <f>3.41/5</f>
        <v>0.68200000000000005</v>
      </c>
      <c r="X2932" s="3">
        <v>2</v>
      </c>
      <c r="Y2932" s="18">
        <v>1</v>
      </c>
      <c r="Z2932" s="23">
        <v>1.5</v>
      </c>
      <c r="AB2932" s="18">
        <f t="shared" si="90"/>
        <v>2015</v>
      </c>
      <c r="AC2932" s="22">
        <f t="shared" si="91"/>
        <v>0.4873333333333334</v>
      </c>
    </row>
    <row r="2933" spans="1:29" ht="25.5">
      <c r="A2933" s="8" t="s">
        <v>4127</v>
      </c>
      <c r="B2933" s="17" t="s">
        <v>7800</v>
      </c>
      <c r="C2933" s="13">
        <v>42198</v>
      </c>
      <c r="D2933" s="13" t="s">
        <v>8465</v>
      </c>
      <c r="E2933" s="10" t="s">
        <v>3072</v>
      </c>
      <c r="F2933" s="10" t="s">
        <v>4128</v>
      </c>
      <c r="G2933" s="11" t="s">
        <v>4129</v>
      </c>
      <c r="H2933" s="2" t="s">
        <v>1334</v>
      </c>
      <c r="L2933" s="18">
        <v>1</v>
      </c>
      <c r="N2933" s="13">
        <v>42507</v>
      </c>
      <c r="P2933" s="18" t="s">
        <v>1107</v>
      </c>
      <c r="Q2933" s="18">
        <v>0</v>
      </c>
      <c r="U2933" s="22">
        <v>0.49</v>
      </c>
      <c r="V2933" s="22">
        <f>3.5/5</f>
        <v>0.7</v>
      </c>
      <c r="W2933" s="14" t="s">
        <v>7777</v>
      </c>
      <c r="X2933" s="3">
        <v>2</v>
      </c>
      <c r="Z2933" s="23">
        <v>10</v>
      </c>
      <c r="AB2933" s="18">
        <f t="shared" si="90"/>
        <v>2015</v>
      </c>
      <c r="AC2933" s="22">
        <f t="shared" si="91"/>
        <v>0.52999999999999992</v>
      </c>
    </row>
    <row r="2934" spans="1:29" ht="38.25">
      <c r="A2934" s="8" t="s">
        <v>7611</v>
      </c>
      <c r="B2934" s="17" t="s">
        <v>7749</v>
      </c>
      <c r="C2934" s="13">
        <v>42194</v>
      </c>
      <c r="D2934" s="13" t="s">
        <v>8463</v>
      </c>
      <c r="E2934" s="10" t="s">
        <v>73</v>
      </c>
      <c r="F2934" s="10" t="s">
        <v>73</v>
      </c>
      <c r="G2934" s="11" t="s">
        <v>2323</v>
      </c>
      <c r="H2934" s="2" t="s">
        <v>67</v>
      </c>
      <c r="K2934" s="18">
        <v>2</v>
      </c>
      <c r="L2934" s="18">
        <v>0</v>
      </c>
      <c r="Q2934" s="18">
        <v>0</v>
      </c>
      <c r="V2934" s="22">
        <f>4.17/5</f>
        <v>0.83399999999999996</v>
      </c>
      <c r="X2934" s="3">
        <v>3</v>
      </c>
      <c r="Z2934" s="23">
        <v>30</v>
      </c>
      <c r="AB2934" s="18">
        <f t="shared" si="90"/>
        <v>2015</v>
      </c>
      <c r="AC2934" s="22">
        <f t="shared" si="91"/>
        <v>0.71699999999999997</v>
      </c>
    </row>
    <row r="2935" spans="1:29" ht="25.5">
      <c r="A2935" s="8" t="s">
        <v>893</v>
      </c>
      <c r="B2935" s="17" t="s">
        <v>7743</v>
      </c>
      <c r="C2935" s="13">
        <v>42187</v>
      </c>
      <c r="D2935" s="13" t="s">
        <v>8465</v>
      </c>
      <c r="E2935" s="10" t="s">
        <v>86</v>
      </c>
      <c r="F2935" s="10" t="s">
        <v>87</v>
      </c>
      <c r="G2935" s="11" t="s">
        <v>85</v>
      </c>
      <c r="H2935" s="2" t="s">
        <v>80</v>
      </c>
      <c r="L2935" s="18">
        <v>1</v>
      </c>
      <c r="N2935" s="13">
        <v>44635</v>
      </c>
      <c r="O2935" s="29">
        <v>9.99</v>
      </c>
      <c r="P2935" s="18" t="s">
        <v>1107</v>
      </c>
      <c r="Q2935" s="18">
        <v>0</v>
      </c>
      <c r="V2935" s="22">
        <f>4.59/5</f>
        <v>0.91799999999999993</v>
      </c>
      <c r="X2935" s="3">
        <v>3</v>
      </c>
      <c r="Z2935" s="23">
        <v>26.5</v>
      </c>
      <c r="AB2935" s="18">
        <f t="shared" si="90"/>
        <v>2015</v>
      </c>
      <c r="AC2935" s="22">
        <f t="shared" si="91"/>
        <v>0.7589999999999999</v>
      </c>
    </row>
    <row r="2936" spans="1:29">
      <c r="A2936" s="8" t="s">
        <v>12654</v>
      </c>
      <c r="B2936" s="17" t="s">
        <v>7800</v>
      </c>
      <c r="C2936" s="13">
        <v>42187</v>
      </c>
      <c r="D2936" s="13" t="s">
        <v>8465</v>
      </c>
      <c r="E2936" s="10" t="s">
        <v>3072</v>
      </c>
      <c r="F2936" s="10" t="s">
        <v>3072</v>
      </c>
      <c r="H2936" s="2" t="s">
        <v>67</v>
      </c>
      <c r="L2936" s="18">
        <v>1</v>
      </c>
      <c r="P2936" s="18" t="s">
        <v>1107</v>
      </c>
      <c r="Q2936" s="18">
        <v>0</v>
      </c>
      <c r="U2936" s="22">
        <v>0.74</v>
      </c>
      <c r="V2936" s="22">
        <f>3.94/5</f>
        <v>0.78800000000000003</v>
      </c>
      <c r="W2936" s="14" t="s">
        <v>7777</v>
      </c>
      <c r="X2936" s="3">
        <v>2</v>
      </c>
      <c r="Z2936" s="23">
        <v>9.5</v>
      </c>
      <c r="AB2936" s="18">
        <f t="shared" si="90"/>
        <v>2015</v>
      </c>
      <c r="AC2936" s="22">
        <f t="shared" si="91"/>
        <v>0.64266666666666661</v>
      </c>
    </row>
    <row r="2937" spans="1:29" ht="30">
      <c r="A2937" s="8" t="s">
        <v>3678</v>
      </c>
      <c r="B2937" s="17" t="s">
        <v>7800</v>
      </c>
      <c r="C2937" s="13">
        <v>42187</v>
      </c>
      <c r="D2937" s="13" t="s">
        <v>8465</v>
      </c>
      <c r="E2937" s="10" t="s">
        <v>3464</v>
      </c>
      <c r="F2937" s="10" t="s">
        <v>3679</v>
      </c>
      <c r="H2937" s="2" t="s">
        <v>78</v>
      </c>
      <c r="L2937" s="18">
        <v>1</v>
      </c>
      <c r="N2937" s="13">
        <v>43596</v>
      </c>
      <c r="O2937" s="29">
        <v>0</v>
      </c>
      <c r="P2937" s="18" t="s">
        <v>1107</v>
      </c>
      <c r="Q2937" s="18">
        <v>0</v>
      </c>
      <c r="U2937" s="22">
        <v>0.82</v>
      </c>
      <c r="V2937" s="22">
        <f>3.21/5</f>
        <v>0.64200000000000002</v>
      </c>
      <c r="W2937" s="14" t="s">
        <v>7777</v>
      </c>
      <c r="X2937" s="3">
        <v>2</v>
      </c>
      <c r="Z2937" s="23">
        <v>4</v>
      </c>
      <c r="AB2937" s="18">
        <f t="shared" si="90"/>
        <v>2015</v>
      </c>
      <c r="AC2937" s="22">
        <f t="shared" si="91"/>
        <v>0.6206666666666667</v>
      </c>
    </row>
    <row r="2938" spans="1:29" ht="25.5">
      <c r="A2938" s="8" t="s">
        <v>9873</v>
      </c>
      <c r="B2938" s="17" t="s">
        <v>7763</v>
      </c>
      <c r="C2938" s="13">
        <v>42185</v>
      </c>
      <c r="D2938" s="13" t="s">
        <v>8465</v>
      </c>
      <c r="E2938" s="10" t="s">
        <v>68</v>
      </c>
      <c r="F2938" s="10" t="s">
        <v>1471</v>
      </c>
      <c r="G2938" s="11" t="s">
        <v>2465</v>
      </c>
      <c r="H2938" s="2" t="s">
        <v>1059</v>
      </c>
      <c r="L2938" s="18">
        <v>1</v>
      </c>
      <c r="N2938" s="13">
        <v>44286</v>
      </c>
      <c r="O2938" s="29">
        <v>39.99</v>
      </c>
      <c r="P2938" s="18" t="s">
        <v>1107</v>
      </c>
      <c r="Q2938" s="18">
        <v>0</v>
      </c>
      <c r="U2938" s="22">
        <v>0.7</v>
      </c>
      <c r="V2938" s="22">
        <f>3.92/5</f>
        <v>0.78400000000000003</v>
      </c>
      <c r="X2938" s="3">
        <v>3</v>
      </c>
      <c r="Z2938" s="23">
        <v>22</v>
      </c>
      <c r="AB2938" s="18">
        <f t="shared" si="90"/>
        <v>2015</v>
      </c>
      <c r="AC2938" s="22">
        <f t="shared" si="91"/>
        <v>0.69466666666666665</v>
      </c>
    </row>
    <row r="2939" spans="1:29">
      <c r="A2939" s="8" t="s">
        <v>4871</v>
      </c>
      <c r="B2939" s="17" t="s">
        <v>7800</v>
      </c>
      <c r="C2939" s="13">
        <v>42185</v>
      </c>
      <c r="D2939" s="13" t="s">
        <v>8465</v>
      </c>
      <c r="E2939" s="10" t="s">
        <v>3063</v>
      </c>
      <c r="F2939" s="10" t="s">
        <v>4872</v>
      </c>
      <c r="H2939" s="2" t="s">
        <v>245</v>
      </c>
      <c r="L2939" s="18">
        <v>1</v>
      </c>
      <c r="N2939" s="13">
        <v>42485</v>
      </c>
      <c r="P2939" s="18" t="s">
        <v>1107</v>
      </c>
      <c r="Q2939" s="18">
        <v>0</v>
      </c>
      <c r="U2939" s="22">
        <v>0.71</v>
      </c>
      <c r="V2939" s="22">
        <f>3.17/5</f>
        <v>0.63400000000000001</v>
      </c>
      <c r="W2939" s="14" t="s">
        <v>7777</v>
      </c>
      <c r="X2939" s="3">
        <v>3</v>
      </c>
      <c r="Z2939" s="23">
        <v>5.5</v>
      </c>
      <c r="AB2939" s="18">
        <f t="shared" si="90"/>
        <v>2015</v>
      </c>
      <c r="AC2939" s="22">
        <f t="shared" si="91"/>
        <v>0.64800000000000002</v>
      </c>
    </row>
    <row r="2940" spans="1:29" ht="25.5">
      <c r="A2940" s="8" t="s">
        <v>2102</v>
      </c>
      <c r="B2940" s="17" t="s">
        <v>7743</v>
      </c>
      <c r="C2940" s="13">
        <v>42180</v>
      </c>
      <c r="D2940" s="13" t="s">
        <v>8465</v>
      </c>
      <c r="E2940" s="10" t="s">
        <v>86</v>
      </c>
      <c r="F2940" s="10" t="s">
        <v>1892</v>
      </c>
      <c r="G2940" s="11" t="s">
        <v>1893</v>
      </c>
      <c r="H2940" s="2" t="s">
        <v>149</v>
      </c>
      <c r="L2940" s="18">
        <v>1</v>
      </c>
      <c r="N2940" s="13">
        <v>44990</v>
      </c>
      <c r="O2940" s="29">
        <v>9.99</v>
      </c>
      <c r="P2940" s="18" t="s">
        <v>1107</v>
      </c>
      <c r="Q2940" s="18">
        <v>0</v>
      </c>
      <c r="V2940" s="22">
        <f>3.86/5</f>
        <v>0.77200000000000002</v>
      </c>
      <c r="X2940" s="3">
        <v>2</v>
      </c>
      <c r="Z2940" s="23">
        <v>18</v>
      </c>
      <c r="AB2940" s="18">
        <f t="shared" si="90"/>
        <v>2015</v>
      </c>
      <c r="AC2940" s="22">
        <f t="shared" si="91"/>
        <v>0.58600000000000008</v>
      </c>
    </row>
    <row r="2941" spans="1:29">
      <c r="A2941" s="8" t="s">
        <v>9778</v>
      </c>
      <c r="B2941" s="17" t="s">
        <v>7800</v>
      </c>
      <c r="C2941" s="13">
        <v>42180</v>
      </c>
      <c r="D2941" s="13" t="s">
        <v>8465</v>
      </c>
      <c r="E2941" s="10" t="s">
        <v>9779</v>
      </c>
      <c r="F2941" s="10" t="s">
        <v>9779</v>
      </c>
      <c r="G2941" s="11" t="s">
        <v>6382</v>
      </c>
      <c r="H2941" s="2" t="s">
        <v>153</v>
      </c>
      <c r="L2941" s="18">
        <v>1</v>
      </c>
      <c r="N2941" s="13">
        <v>44242</v>
      </c>
      <c r="O2941" s="29">
        <v>4.99</v>
      </c>
      <c r="P2941" s="18" t="s">
        <v>1107</v>
      </c>
      <c r="Q2941" s="18">
        <v>0</v>
      </c>
      <c r="V2941" s="22">
        <f>3.86/5</f>
        <v>0.77200000000000002</v>
      </c>
      <c r="W2941" s="14" t="s">
        <v>7777</v>
      </c>
      <c r="X2941" s="3">
        <v>2</v>
      </c>
      <c r="Z2941" s="23">
        <v>2</v>
      </c>
      <c r="AB2941" s="18">
        <f t="shared" si="90"/>
        <v>2015</v>
      </c>
      <c r="AC2941" s="22">
        <f t="shared" si="91"/>
        <v>0.58600000000000008</v>
      </c>
    </row>
    <row r="2942" spans="1:29">
      <c r="A2942" s="8" t="s">
        <v>450</v>
      </c>
      <c r="B2942" s="17" t="s">
        <v>7800</v>
      </c>
      <c r="C2942" s="13">
        <v>42180</v>
      </c>
      <c r="D2942" s="13" t="s">
        <v>8465</v>
      </c>
      <c r="E2942" s="10" t="s">
        <v>170</v>
      </c>
      <c r="F2942" s="10" t="s">
        <v>170</v>
      </c>
      <c r="G2942" s="11" t="s">
        <v>450</v>
      </c>
      <c r="H2942" s="2" t="s">
        <v>147</v>
      </c>
      <c r="L2942" s="18">
        <v>1</v>
      </c>
      <c r="N2942" s="13">
        <v>43866</v>
      </c>
      <c r="O2942" s="29">
        <v>0.75</v>
      </c>
      <c r="P2942" s="18" t="s">
        <v>1107</v>
      </c>
      <c r="Q2942" s="18">
        <v>0</v>
      </c>
      <c r="V2942" s="22">
        <f>3.73/5</f>
        <v>0.746</v>
      </c>
      <c r="W2942" s="14" t="s">
        <v>7777</v>
      </c>
      <c r="X2942" s="3">
        <v>2</v>
      </c>
      <c r="Z2942" s="23">
        <v>0.91666666666666663</v>
      </c>
      <c r="AB2942" s="18">
        <f t="shared" si="90"/>
        <v>2015</v>
      </c>
      <c r="AC2942" s="22">
        <f t="shared" si="91"/>
        <v>0.57299999999999995</v>
      </c>
    </row>
    <row r="2943" spans="1:29">
      <c r="A2943" s="8" t="s">
        <v>3654</v>
      </c>
      <c r="B2943" s="17" t="s">
        <v>7800</v>
      </c>
      <c r="C2943" s="13">
        <v>42178</v>
      </c>
      <c r="D2943" s="13" t="s">
        <v>8465</v>
      </c>
      <c r="E2943" s="10" t="s">
        <v>73</v>
      </c>
      <c r="F2943" s="10" t="s">
        <v>73</v>
      </c>
      <c r="G2943" s="11" t="s">
        <v>3655</v>
      </c>
      <c r="H2943" s="2" t="s">
        <v>1059</v>
      </c>
      <c r="L2943" s="18">
        <v>1</v>
      </c>
      <c r="N2943" s="13">
        <v>41787</v>
      </c>
      <c r="O2943" s="29">
        <v>3.7</v>
      </c>
      <c r="P2943" s="18" t="s">
        <v>1107</v>
      </c>
      <c r="Q2943" s="18">
        <v>0</v>
      </c>
      <c r="U2943" s="22">
        <v>0.8</v>
      </c>
      <c r="V2943" s="22">
        <f>4.06/5</f>
        <v>0.81199999999999994</v>
      </c>
      <c r="W2943" s="14" t="s">
        <v>7777</v>
      </c>
      <c r="X2943" s="3">
        <v>3</v>
      </c>
      <c r="Z2943" s="23">
        <v>11</v>
      </c>
      <c r="AB2943" s="18">
        <f t="shared" si="90"/>
        <v>2015</v>
      </c>
      <c r="AC2943" s="22">
        <f t="shared" si="91"/>
        <v>0.7373333333333334</v>
      </c>
    </row>
    <row r="2944" spans="1:29" ht="45">
      <c r="A2944" s="8" t="s">
        <v>3266</v>
      </c>
      <c r="B2944" s="17" t="s">
        <v>7800</v>
      </c>
      <c r="C2944" s="13">
        <v>42178</v>
      </c>
      <c r="D2944" s="13" t="s">
        <v>8465</v>
      </c>
      <c r="E2944" s="10" t="s">
        <v>1156</v>
      </c>
      <c r="F2944" s="10" t="s">
        <v>3263</v>
      </c>
      <c r="G2944" s="11" t="s">
        <v>3264</v>
      </c>
      <c r="H2944" s="2" t="s">
        <v>80</v>
      </c>
      <c r="L2944" s="18">
        <v>1</v>
      </c>
      <c r="N2944" s="13">
        <v>42729</v>
      </c>
      <c r="O2944" s="29">
        <v>6.79</v>
      </c>
      <c r="P2944" s="18" t="s">
        <v>1107</v>
      </c>
      <c r="Q2944" s="18">
        <v>0</v>
      </c>
      <c r="U2944" s="22">
        <v>0.71</v>
      </c>
      <c r="V2944" s="22">
        <f>3.74/5</f>
        <v>0.748</v>
      </c>
      <c r="W2944" s="14" t="s">
        <v>7777</v>
      </c>
      <c r="X2944" s="3">
        <v>3</v>
      </c>
      <c r="Z2944" s="23">
        <v>16</v>
      </c>
      <c r="AB2944" s="18">
        <f t="shared" si="90"/>
        <v>2015</v>
      </c>
      <c r="AC2944" s="22">
        <f t="shared" si="91"/>
        <v>0.68599999999999994</v>
      </c>
    </row>
    <row r="2945" spans="1:29">
      <c r="A2945" s="8" t="s">
        <v>5186</v>
      </c>
      <c r="B2945" s="17" t="s">
        <v>7800</v>
      </c>
      <c r="C2945" s="13">
        <v>42178</v>
      </c>
      <c r="D2945" s="13" t="s">
        <v>8465</v>
      </c>
      <c r="E2945" s="10" t="s">
        <v>5187</v>
      </c>
      <c r="F2945" s="10" t="s">
        <v>5188</v>
      </c>
      <c r="H2945" s="2" t="s">
        <v>1050</v>
      </c>
      <c r="L2945" s="18">
        <v>1</v>
      </c>
      <c r="N2945" s="13">
        <v>42359</v>
      </c>
      <c r="P2945" s="18" t="s">
        <v>1107</v>
      </c>
      <c r="Q2945" s="18">
        <v>0</v>
      </c>
      <c r="V2945" s="22">
        <f>3.99/5</f>
        <v>0.79800000000000004</v>
      </c>
      <c r="W2945" s="14" t="s">
        <v>7777</v>
      </c>
      <c r="X2945" s="3">
        <v>3</v>
      </c>
      <c r="Z2945" s="23">
        <v>5</v>
      </c>
      <c r="AB2945" s="18">
        <f t="shared" ref="AB2945:AB3008" si="92">IFERROR(YEAR(C2945), "Early Access")</f>
        <v>2015</v>
      </c>
      <c r="AC2945" s="22">
        <f t="shared" ref="AC2945:AC3008" si="93">AVERAGE(T2945, U2945, V2945, IF(ISBLANK(X2945), X2945, X2945/5))</f>
        <v>0.69900000000000007</v>
      </c>
    </row>
    <row r="2946" spans="1:29">
      <c r="A2946" s="8" t="s">
        <v>5209</v>
      </c>
      <c r="B2946" s="17" t="s">
        <v>7800</v>
      </c>
      <c r="C2946" s="13">
        <v>42177</v>
      </c>
      <c r="D2946" s="13" t="s">
        <v>8465</v>
      </c>
      <c r="E2946" s="10" t="s">
        <v>3361</v>
      </c>
      <c r="F2946" s="10" t="s">
        <v>3361</v>
      </c>
      <c r="H2946" s="2" t="s">
        <v>21</v>
      </c>
      <c r="L2946" s="18">
        <v>1</v>
      </c>
      <c r="N2946" s="13">
        <v>43340</v>
      </c>
      <c r="O2946" s="29">
        <v>0.44</v>
      </c>
      <c r="P2946" s="18" t="s">
        <v>1107</v>
      </c>
      <c r="Q2946" s="18">
        <v>0</v>
      </c>
      <c r="U2946" s="22">
        <v>0.9</v>
      </c>
      <c r="V2946" s="22">
        <f>4/5</f>
        <v>0.8</v>
      </c>
      <c r="W2946" s="14" t="s">
        <v>7777</v>
      </c>
      <c r="X2946" s="3">
        <v>2</v>
      </c>
      <c r="Z2946" s="23">
        <v>2</v>
      </c>
      <c r="AB2946" s="18">
        <f t="shared" si="92"/>
        <v>2015</v>
      </c>
      <c r="AC2946" s="22">
        <f t="shared" si="93"/>
        <v>0.70000000000000007</v>
      </c>
    </row>
    <row r="2947" spans="1:29">
      <c r="A2947" s="8" t="s">
        <v>14421</v>
      </c>
      <c r="B2947" s="17" t="s">
        <v>6317</v>
      </c>
      <c r="C2947" s="13">
        <v>42173</v>
      </c>
      <c r="D2947" s="13" t="s">
        <v>8465</v>
      </c>
      <c r="E2947" s="10" t="s">
        <v>73</v>
      </c>
      <c r="F2947" s="10" t="s">
        <v>73</v>
      </c>
      <c r="G2947" s="11" t="s">
        <v>908</v>
      </c>
      <c r="H2947" s="2" t="s">
        <v>1170</v>
      </c>
      <c r="L2947" s="18">
        <v>0</v>
      </c>
      <c r="Q2947" s="18">
        <v>0</v>
      </c>
      <c r="V2947" s="22">
        <f>3.75/5</f>
        <v>0.75</v>
      </c>
      <c r="X2947" s="3">
        <v>3</v>
      </c>
      <c r="Z2947" s="23">
        <f>43/60</f>
        <v>0.71666666666666667</v>
      </c>
      <c r="AB2947" s="18">
        <f t="shared" si="92"/>
        <v>2015</v>
      </c>
      <c r="AC2947" s="22">
        <f t="shared" si="93"/>
        <v>0.67500000000000004</v>
      </c>
    </row>
    <row r="2948" spans="1:29">
      <c r="A2948" s="8" t="s">
        <v>10378</v>
      </c>
      <c r="B2948" s="17" t="s">
        <v>7743</v>
      </c>
      <c r="C2948" s="13">
        <v>42169</v>
      </c>
      <c r="D2948" s="13" t="s">
        <v>8465</v>
      </c>
      <c r="E2948" s="10" t="s">
        <v>86</v>
      </c>
      <c r="F2948" s="10" t="s">
        <v>148</v>
      </c>
      <c r="G2948" s="11" t="s">
        <v>99</v>
      </c>
      <c r="H2948" s="2" t="s">
        <v>149</v>
      </c>
      <c r="L2948" s="18">
        <v>1</v>
      </c>
      <c r="N2948" s="13">
        <v>44408</v>
      </c>
      <c r="O2948" s="29">
        <v>6.99</v>
      </c>
      <c r="P2948" s="18" t="s">
        <v>1107</v>
      </c>
      <c r="Q2948" s="18">
        <v>0</v>
      </c>
      <c r="V2948" s="22">
        <f>3.84/5</f>
        <v>0.76800000000000002</v>
      </c>
      <c r="X2948" s="3">
        <v>3</v>
      </c>
      <c r="Z2948" s="23">
        <v>16.5</v>
      </c>
      <c r="AB2948" s="18">
        <f t="shared" si="92"/>
        <v>2015</v>
      </c>
      <c r="AC2948" s="22">
        <f t="shared" si="93"/>
        <v>0.68399999999999994</v>
      </c>
    </row>
    <row r="2949" spans="1:29" ht="45">
      <c r="A2949" s="8" t="s">
        <v>4303</v>
      </c>
      <c r="B2949" s="17" t="s">
        <v>7749</v>
      </c>
      <c r="C2949" s="13">
        <v>42167</v>
      </c>
      <c r="D2949" s="13" t="s">
        <v>8465</v>
      </c>
      <c r="E2949" s="10" t="s">
        <v>1156</v>
      </c>
      <c r="F2949" s="10" t="s">
        <v>4304</v>
      </c>
      <c r="G2949" s="11" t="s">
        <v>4305</v>
      </c>
      <c r="H2949" s="2" t="s">
        <v>80</v>
      </c>
      <c r="L2949" s="18">
        <v>1</v>
      </c>
      <c r="M2949" s="14" t="s">
        <v>8462</v>
      </c>
      <c r="N2949" s="13">
        <v>44075</v>
      </c>
      <c r="O2949" s="29">
        <v>17.670000000000002</v>
      </c>
      <c r="P2949" s="18" t="s">
        <v>14</v>
      </c>
      <c r="Q2949" s="18">
        <v>0</v>
      </c>
      <c r="V2949" s="22">
        <f>3.93/5</f>
        <v>0.78600000000000003</v>
      </c>
      <c r="X2949" s="3">
        <v>2</v>
      </c>
      <c r="Z2949" s="23">
        <v>10.5</v>
      </c>
      <c r="AB2949" s="18">
        <f t="shared" si="92"/>
        <v>2015</v>
      </c>
      <c r="AC2949" s="22">
        <f t="shared" si="93"/>
        <v>0.59299999999999997</v>
      </c>
    </row>
    <row r="2950" spans="1:29">
      <c r="A2950" s="8" t="s">
        <v>11234</v>
      </c>
      <c r="B2950" s="17" t="s">
        <v>7749</v>
      </c>
      <c r="C2950" s="13">
        <v>42166</v>
      </c>
      <c r="D2950" s="13" t="s">
        <v>8465</v>
      </c>
      <c r="E2950" s="10" t="s">
        <v>86</v>
      </c>
      <c r="F2950" s="10" t="s">
        <v>1046</v>
      </c>
      <c r="G2950" s="11" t="s">
        <v>6568</v>
      </c>
      <c r="H2950" s="2" t="s">
        <v>78</v>
      </c>
      <c r="L2950" s="18">
        <v>1</v>
      </c>
      <c r="N2950" s="13">
        <v>44626</v>
      </c>
      <c r="O2950" s="29">
        <v>8.99</v>
      </c>
      <c r="P2950" s="18" t="s">
        <v>1107</v>
      </c>
      <c r="Q2950" s="18">
        <v>0</v>
      </c>
      <c r="U2950" s="22">
        <v>0.69</v>
      </c>
      <c r="V2950" s="22">
        <f>3.66/5</f>
        <v>0.73199999999999998</v>
      </c>
      <c r="X2950" s="3">
        <v>2</v>
      </c>
      <c r="Z2950" s="23">
        <v>3</v>
      </c>
      <c r="AB2950" s="18">
        <f t="shared" si="92"/>
        <v>2015</v>
      </c>
      <c r="AC2950" s="22">
        <f t="shared" si="93"/>
        <v>0.60733333333333339</v>
      </c>
    </row>
    <row r="2951" spans="1:29">
      <c r="A2951" s="8" t="s">
        <v>9374</v>
      </c>
      <c r="B2951" s="17" t="s">
        <v>7800</v>
      </c>
      <c r="C2951" s="13">
        <v>42164</v>
      </c>
      <c r="D2951" s="13" t="s">
        <v>8465</v>
      </c>
      <c r="E2951" s="10" t="s">
        <v>4953</v>
      </c>
      <c r="F2951" s="10" t="s">
        <v>4953</v>
      </c>
      <c r="H2951" s="2" t="s">
        <v>1061</v>
      </c>
      <c r="L2951" s="18">
        <v>1</v>
      </c>
      <c r="N2951" s="13">
        <v>44119</v>
      </c>
      <c r="O2951" s="29">
        <v>0</v>
      </c>
      <c r="P2951" s="18" t="s">
        <v>1107</v>
      </c>
      <c r="Q2951" s="18">
        <v>0</v>
      </c>
      <c r="U2951" s="22">
        <v>0.64</v>
      </c>
      <c r="V2951" s="22">
        <f>2.86/5</f>
        <v>0.57199999999999995</v>
      </c>
      <c r="W2951" s="14" t="s">
        <v>7777</v>
      </c>
      <c r="X2951" s="3">
        <v>3</v>
      </c>
      <c r="Z2951" s="23">
        <v>4</v>
      </c>
      <c r="AB2951" s="18">
        <f t="shared" si="92"/>
        <v>2015</v>
      </c>
      <c r="AC2951" s="22">
        <f t="shared" si="93"/>
        <v>0.60399999999999998</v>
      </c>
    </row>
    <row r="2952" spans="1:29" ht="25.5">
      <c r="A2952" s="8" t="s">
        <v>3538</v>
      </c>
      <c r="B2952" s="17" t="s">
        <v>7800</v>
      </c>
      <c r="C2952" s="13">
        <v>42160</v>
      </c>
      <c r="D2952" s="13" t="s">
        <v>8465</v>
      </c>
      <c r="E2952" s="10" t="s">
        <v>3136</v>
      </c>
      <c r="F2952" s="10" t="s">
        <v>3539</v>
      </c>
      <c r="H2952" s="2" t="s">
        <v>67</v>
      </c>
      <c r="L2952" s="18">
        <v>1</v>
      </c>
      <c r="N2952" s="13">
        <v>43363</v>
      </c>
      <c r="O2952" s="29">
        <v>4.49</v>
      </c>
      <c r="P2952" s="18" t="s">
        <v>1107</v>
      </c>
      <c r="Q2952" s="18">
        <v>0</v>
      </c>
      <c r="U2952" s="22">
        <v>0.74</v>
      </c>
      <c r="V2952" s="22">
        <f>3.61/5</f>
        <v>0.72199999999999998</v>
      </c>
      <c r="W2952" s="14" t="s">
        <v>7777</v>
      </c>
      <c r="X2952" s="3">
        <v>3</v>
      </c>
      <c r="Z2952" s="23">
        <v>4.5</v>
      </c>
      <c r="AB2952" s="18">
        <f t="shared" si="92"/>
        <v>2015</v>
      </c>
      <c r="AC2952" s="22">
        <f t="shared" si="93"/>
        <v>0.68733333333333324</v>
      </c>
    </row>
    <row r="2953" spans="1:29">
      <c r="A2953" s="8" t="s">
        <v>12098</v>
      </c>
      <c r="B2953" s="17" t="s">
        <v>7800</v>
      </c>
      <c r="C2953" s="13">
        <v>42160</v>
      </c>
      <c r="D2953" s="13" t="s">
        <v>8465</v>
      </c>
      <c r="E2953" s="10" t="s">
        <v>12099</v>
      </c>
      <c r="F2953" s="10" t="s">
        <v>12099</v>
      </c>
      <c r="G2953" s="11" t="s">
        <v>12098</v>
      </c>
      <c r="H2953" s="2" t="s">
        <v>1061</v>
      </c>
      <c r="L2953" s="18">
        <v>1</v>
      </c>
      <c r="N2953" s="13">
        <v>44744</v>
      </c>
      <c r="O2953" s="29">
        <v>0</v>
      </c>
      <c r="P2953" s="18" t="s">
        <v>1107</v>
      </c>
      <c r="Q2953" s="18">
        <v>0</v>
      </c>
      <c r="U2953" s="22">
        <v>0.6</v>
      </c>
      <c r="V2953" s="22">
        <f>2.8/5</f>
        <v>0.55999999999999994</v>
      </c>
      <c r="W2953" s="14" t="s">
        <v>8765</v>
      </c>
      <c r="X2953" s="3">
        <v>3</v>
      </c>
      <c r="Z2953" s="23">
        <v>7.5</v>
      </c>
      <c r="AB2953" s="18">
        <f t="shared" si="92"/>
        <v>2015</v>
      </c>
      <c r="AC2953" s="22">
        <f t="shared" si="93"/>
        <v>0.58666666666666656</v>
      </c>
    </row>
    <row r="2954" spans="1:29" ht="30">
      <c r="A2954" s="8" t="s">
        <v>4448</v>
      </c>
      <c r="B2954" s="17" t="s">
        <v>7800</v>
      </c>
      <c r="C2954" s="13">
        <v>42159</v>
      </c>
      <c r="D2954" s="13" t="s">
        <v>8465</v>
      </c>
      <c r="E2954" s="10" t="s">
        <v>1084</v>
      </c>
      <c r="F2954" s="10" t="s">
        <v>1084</v>
      </c>
      <c r="G2954" s="11" t="s">
        <v>9995</v>
      </c>
      <c r="H2954" s="2" t="s">
        <v>78</v>
      </c>
      <c r="L2954" s="18">
        <v>1</v>
      </c>
      <c r="N2954" s="13">
        <v>42406</v>
      </c>
      <c r="O2954" s="29">
        <v>0.74</v>
      </c>
      <c r="P2954" s="18" t="s">
        <v>1107</v>
      </c>
      <c r="Q2954" s="18">
        <v>0</v>
      </c>
      <c r="V2954" s="22">
        <f>3.5/5</f>
        <v>0.7</v>
      </c>
      <c r="W2954" s="14" t="s">
        <v>7777</v>
      </c>
      <c r="X2954" s="3">
        <v>3</v>
      </c>
      <c r="Z2954" s="23">
        <v>1.5</v>
      </c>
      <c r="AB2954" s="18">
        <f t="shared" si="92"/>
        <v>2015</v>
      </c>
      <c r="AC2954" s="22">
        <f t="shared" si="93"/>
        <v>0.64999999999999991</v>
      </c>
    </row>
    <row r="2955" spans="1:29" ht="25.5">
      <c r="A2955" s="8" t="s">
        <v>9270</v>
      </c>
      <c r="B2955" s="17" t="s">
        <v>7749</v>
      </c>
      <c r="C2955" s="13">
        <v>42157</v>
      </c>
      <c r="D2955" s="13" t="s">
        <v>8465</v>
      </c>
      <c r="E2955" s="10" t="s">
        <v>1534</v>
      </c>
      <c r="F2955" s="10" t="s">
        <v>5025</v>
      </c>
      <c r="H2955" s="2" t="s">
        <v>75</v>
      </c>
      <c r="L2955" s="18">
        <v>1</v>
      </c>
      <c r="M2955" s="14" t="s">
        <v>8462</v>
      </c>
      <c r="N2955" s="13">
        <v>44075</v>
      </c>
      <c r="O2955" s="29">
        <v>17.670000000000002</v>
      </c>
      <c r="P2955" s="18" t="s">
        <v>14</v>
      </c>
      <c r="Q2955" s="18">
        <v>0</v>
      </c>
      <c r="U2955" s="22">
        <v>0.68</v>
      </c>
      <c r="V2955" s="22">
        <f>3.54/5</f>
        <v>0.70799999999999996</v>
      </c>
      <c r="X2955" s="3">
        <v>3</v>
      </c>
      <c r="Z2955" s="23">
        <v>20.5</v>
      </c>
      <c r="AB2955" s="18">
        <f t="shared" si="92"/>
        <v>2015</v>
      </c>
      <c r="AC2955" s="22">
        <f t="shared" si="93"/>
        <v>0.66266666666666663</v>
      </c>
    </row>
    <row r="2956" spans="1:29" ht="30">
      <c r="A2956" s="8" t="s">
        <v>4403</v>
      </c>
      <c r="B2956" s="17" t="s">
        <v>7800</v>
      </c>
      <c r="C2956" s="13">
        <v>42156</v>
      </c>
      <c r="D2956" s="13" t="s">
        <v>8465</v>
      </c>
      <c r="E2956" s="10" t="s">
        <v>3370</v>
      </c>
      <c r="F2956" s="10" t="s">
        <v>3370</v>
      </c>
      <c r="H2956" s="2" t="s">
        <v>69</v>
      </c>
      <c r="L2956" s="18">
        <v>1</v>
      </c>
      <c r="N2956" s="13">
        <v>42672</v>
      </c>
      <c r="P2956" s="18" t="s">
        <v>1107</v>
      </c>
      <c r="Q2956" s="18">
        <v>0</v>
      </c>
      <c r="U2956" s="22">
        <v>0.78</v>
      </c>
      <c r="V2956" s="22">
        <f>3.37/5</f>
        <v>0.67400000000000004</v>
      </c>
      <c r="W2956" s="14" t="s">
        <v>7777</v>
      </c>
      <c r="X2956" s="3">
        <v>3</v>
      </c>
      <c r="Z2956" s="23">
        <v>16</v>
      </c>
      <c r="AB2956" s="18">
        <f t="shared" si="92"/>
        <v>2015</v>
      </c>
      <c r="AC2956" s="22">
        <f t="shared" si="93"/>
        <v>0.68466666666666676</v>
      </c>
    </row>
    <row r="2957" spans="1:29">
      <c r="A2957" s="8" t="s">
        <v>1129</v>
      </c>
      <c r="B2957" s="17" t="s">
        <v>7743</v>
      </c>
      <c r="C2957" s="13">
        <v>42153</v>
      </c>
      <c r="D2957" s="13" t="s">
        <v>8465</v>
      </c>
      <c r="E2957" s="10" t="s">
        <v>86</v>
      </c>
      <c r="F2957" s="10" t="s">
        <v>87</v>
      </c>
      <c r="G2957" s="11" t="s">
        <v>1129</v>
      </c>
      <c r="H2957" s="2" t="s">
        <v>1168</v>
      </c>
      <c r="L2957" s="18">
        <v>1</v>
      </c>
      <c r="M2957" s="14" t="s">
        <v>8462</v>
      </c>
      <c r="N2957" s="13">
        <v>43509</v>
      </c>
      <c r="O2957" s="29">
        <v>15.99</v>
      </c>
      <c r="P2957" s="18" t="s">
        <v>14</v>
      </c>
      <c r="Q2957" s="18">
        <v>0</v>
      </c>
      <c r="U2957" s="22">
        <v>0.82</v>
      </c>
      <c r="V2957" s="22">
        <f>4.31/5</f>
        <v>0.86199999999999988</v>
      </c>
      <c r="X2957" s="3">
        <v>3</v>
      </c>
      <c r="Z2957" s="23">
        <v>5.5</v>
      </c>
      <c r="AB2957" s="18">
        <f t="shared" si="92"/>
        <v>2015</v>
      </c>
      <c r="AC2957" s="22">
        <f t="shared" si="93"/>
        <v>0.76066666666666671</v>
      </c>
    </row>
    <row r="2958" spans="1:29">
      <c r="A2958" s="8" t="s">
        <v>5349</v>
      </c>
      <c r="B2958" s="17" t="s">
        <v>7800</v>
      </c>
      <c r="C2958" s="13">
        <v>42153</v>
      </c>
      <c r="D2958" s="13" t="s">
        <v>8465</v>
      </c>
      <c r="E2958" s="10" t="s">
        <v>3808</v>
      </c>
      <c r="F2958" s="10" t="s">
        <v>5350</v>
      </c>
      <c r="H2958" s="2" t="s">
        <v>150</v>
      </c>
      <c r="L2958" s="18">
        <v>1</v>
      </c>
      <c r="N2958" s="13">
        <v>42362</v>
      </c>
      <c r="P2958" s="18" t="s">
        <v>1107</v>
      </c>
      <c r="Q2958" s="18">
        <v>0</v>
      </c>
      <c r="U2958" s="22">
        <v>0.9</v>
      </c>
      <c r="V2958" s="22">
        <f>3.5/5</f>
        <v>0.7</v>
      </c>
      <c r="W2958" s="14" t="s">
        <v>7777</v>
      </c>
      <c r="X2958" s="3">
        <v>3</v>
      </c>
      <c r="Z2958" s="23">
        <v>3</v>
      </c>
      <c r="AB2958" s="18">
        <f t="shared" si="92"/>
        <v>2015</v>
      </c>
      <c r="AC2958" s="22">
        <f t="shared" si="93"/>
        <v>0.73333333333333339</v>
      </c>
    </row>
    <row r="2959" spans="1:29" ht="38.25">
      <c r="A2959" s="8" t="s">
        <v>4152</v>
      </c>
      <c r="B2959" s="17" t="s">
        <v>7800</v>
      </c>
      <c r="C2959" s="13">
        <v>42153</v>
      </c>
      <c r="D2959" s="13" t="s">
        <v>8465</v>
      </c>
      <c r="E2959" s="10" t="s">
        <v>1680</v>
      </c>
      <c r="F2959" s="10" t="s">
        <v>3113</v>
      </c>
      <c r="G2959" s="11" t="s">
        <v>1682</v>
      </c>
      <c r="H2959" s="2" t="s">
        <v>149</v>
      </c>
      <c r="L2959" s="18">
        <v>1</v>
      </c>
      <c r="N2959" s="13">
        <v>43332</v>
      </c>
      <c r="P2959" s="18" t="s">
        <v>1107</v>
      </c>
      <c r="Q2959" s="18">
        <v>0</v>
      </c>
      <c r="U2959" s="22">
        <v>0.57999999999999996</v>
      </c>
      <c r="V2959" s="22">
        <f>3.88/5</f>
        <v>0.77600000000000002</v>
      </c>
      <c r="W2959" s="14" t="s">
        <v>7777</v>
      </c>
      <c r="X2959" s="3">
        <v>3</v>
      </c>
      <c r="Z2959" s="23">
        <v>20</v>
      </c>
      <c r="AB2959" s="18">
        <f t="shared" si="92"/>
        <v>2015</v>
      </c>
      <c r="AC2959" s="22">
        <f t="shared" si="93"/>
        <v>0.65200000000000002</v>
      </c>
    </row>
    <row r="2960" spans="1:29">
      <c r="A2960" s="8" t="s">
        <v>5362</v>
      </c>
      <c r="B2960" s="17" t="s">
        <v>7800</v>
      </c>
      <c r="C2960" s="13">
        <v>42153</v>
      </c>
      <c r="D2960" s="13" t="s">
        <v>8465</v>
      </c>
      <c r="E2960" s="10" t="s">
        <v>5363</v>
      </c>
      <c r="F2960" s="10" t="s">
        <v>5364</v>
      </c>
      <c r="H2960" s="2" t="s">
        <v>67</v>
      </c>
      <c r="L2960" s="18">
        <v>1</v>
      </c>
      <c r="N2960" s="13">
        <v>42728</v>
      </c>
      <c r="O2960" s="29">
        <v>0.99</v>
      </c>
      <c r="P2960" s="18" t="s">
        <v>1107</v>
      </c>
      <c r="Q2960" s="18">
        <v>0</v>
      </c>
      <c r="V2960" s="22">
        <f>3.61/5</f>
        <v>0.72199999999999998</v>
      </c>
      <c r="W2960" s="14" t="s">
        <v>7777</v>
      </c>
      <c r="X2960" s="3">
        <v>2</v>
      </c>
      <c r="Z2960" s="23">
        <v>3</v>
      </c>
      <c r="AB2960" s="18">
        <f t="shared" si="92"/>
        <v>2015</v>
      </c>
      <c r="AC2960" s="22">
        <f t="shared" si="93"/>
        <v>0.56099999999999994</v>
      </c>
    </row>
    <row r="2961" spans="1:29">
      <c r="A2961" s="8" t="s">
        <v>10401</v>
      </c>
      <c r="B2961" s="17" t="s">
        <v>7783</v>
      </c>
      <c r="C2961" s="13">
        <v>42152</v>
      </c>
      <c r="D2961" s="13" t="s">
        <v>8465</v>
      </c>
      <c r="E2961" s="10" t="s">
        <v>1082</v>
      </c>
      <c r="F2961" s="10" t="s">
        <v>6092</v>
      </c>
      <c r="G2961" s="11" t="s">
        <v>10381</v>
      </c>
      <c r="H2961" s="2" t="s">
        <v>149</v>
      </c>
      <c r="L2961" s="18">
        <v>1</v>
      </c>
      <c r="N2961" s="13">
        <v>44413</v>
      </c>
      <c r="O2961" s="29">
        <v>9.99</v>
      </c>
      <c r="P2961" s="18" t="s">
        <v>1107</v>
      </c>
      <c r="Q2961" s="18">
        <v>0</v>
      </c>
      <c r="U2961" s="22">
        <v>0.79</v>
      </c>
      <c r="V2961" s="22">
        <f>4.27/5</f>
        <v>0.85399999999999987</v>
      </c>
      <c r="X2961" s="3">
        <v>3</v>
      </c>
      <c r="Z2961" s="23">
        <v>63</v>
      </c>
      <c r="AB2961" s="18">
        <f t="shared" si="92"/>
        <v>2015</v>
      </c>
      <c r="AC2961" s="22">
        <f t="shared" si="93"/>
        <v>0.74799999999999989</v>
      </c>
    </row>
    <row r="2962" spans="1:29">
      <c r="A2962" s="8" t="s">
        <v>4267</v>
      </c>
      <c r="B2962" s="17" t="s">
        <v>7800</v>
      </c>
      <c r="C2962" s="13">
        <v>42152</v>
      </c>
      <c r="D2962" s="13" t="s">
        <v>8465</v>
      </c>
      <c r="E2962" s="10" t="s">
        <v>4268</v>
      </c>
      <c r="F2962" s="10" t="s">
        <v>4268</v>
      </c>
      <c r="G2962" s="11" t="s">
        <v>4269</v>
      </c>
      <c r="H2962" s="2" t="s">
        <v>153</v>
      </c>
      <c r="L2962" s="18">
        <v>1</v>
      </c>
      <c r="N2962" s="13">
        <v>43404</v>
      </c>
      <c r="O2962" s="29">
        <v>1.49</v>
      </c>
      <c r="P2962" s="18" t="s">
        <v>1107</v>
      </c>
      <c r="Q2962" s="18">
        <v>0</v>
      </c>
      <c r="U2962" s="22">
        <v>0.71</v>
      </c>
      <c r="V2962" s="22">
        <f>3.24/5</f>
        <v>0.64800000000000002</v>
      </c>
      <c r="W2962" s="14" t="s">
        <v>7777</v>
      </c>
      <c r="X2962" s="3">
        <v>3</v>
      </c>
      <c r="Z2962" s="23">
        <v>2.5</v>
      </c>
      <c r="AB2962" s="18">
        <f t="shared" si="92"/>
        <v>2015</v>
      </c>
      <c r="AC2962" s="22">
        <f t="shared" si="93"/>
        <v>0.65266666666666673</v>
      </c>
    </row>
    <row r="2963" spans="1:29">
      <c r="A2963" s="8" t="s">
        <v>3249</v>
      </c>
      <c r="B2963" s="17" t="s">
        <v>7800</v>
      </c>
      <c r="C2963" s="13">
        <v>42152</v>
      </c>
      <c r="D2963" s="13" t="s">
        <v>8465</v>
      </c>
      <c r="E2963" s="10" t="s">
        <v>3250</v>
      </c>
      <c r="F2963" s="10" t="s">
        <v>3250</v>
      </c>
      <c r="H2963" s="2" t="s">
        <v>67</v>
      </c>
      <c r="L2963" s="18">
        <v>1</v>
      </c>
      <c r="N2963" s="13">
        <v>42431</v>
      </c>
      <c r="P2963" s="18" t="s">
        <v>1107</v>
      </c>
      <c r="Q2963" s="18">
        <v>0</v>
      </c>
      <c r="U2963" s="22">
        <v>0.79</v>
      </c>
      <c r="V2963" s="22">
        <f>3.52/5</f>
        <v>0.70399999999999996</v>
      </c>
      <c r="W2963" s="14" t="s">
        <v>7777</v>
      </c>
      <c r="X2963" s="3">
        <v>2</v>
      </c>
      <c r="Z2963" s="23">
        <v>8</v>
      </c>
      <c r="AB2963" s="18">
        <f t="shared" si="92"/>
        <v>2015</v>
      </c>
      <c r="AC2963" s="22">
        <f t="shared" si="93"/>
        <v>0.63133333333333341</v>
      </c>
    </row>
    <row r="2964" spans="1:29" ht="25.5">
      <c r="A2964" s="8" t="s">
        <v>4048</v>
      </c>
      <c r="B2964" s="17" t="s">
        <v>7800</v>
      </c>
      <c r="C2964" s="13">
        <v>42150</v>
      </c>
      <c r="D2964" s="13" t="s">
        <v>8465</v>
      </c>
      <c r="E2964" s="10" t="s">
        <v>479</v>
      </c>
      <c r="F2964" s="10" t="s">
        <v>479</v>
      </c>
      <c r="G2964" s="11" t="s">
        <v>447</v>
      </c>
      <c r="H2964" s="2" t="s">
        <v>459</v>
      </c>
      <c r="L2964" s="18">
        <v>1</v>
      </c>
      <c r="N2964" s="13">
        <v>43158</v>
      </c>
      <c r="P2964" s="18" t="s">
        <v>1107</v>
      </c>
      <c r="Q2964" s="18">
        <v>0</v>
      </c>
      <c r="U2964" s="22">
        <v>0.73</v>
      </c>
      <c r="V2964" s="22">
        <f>4.18/5</f>
        <v>0.83599999999999997</v>
      </c>
      <c r="W2964" s="14" t="s">
        <v>7777</v>
      </c>
      <c r="X2964" s="3">
        <v>3</v>
      </c>
      <c r="Z2964" s="23">
        <v>4.5</v>
      </c>
      <c r="AB2964" s="18">
        <f t="shared" si="92"/>
        <v>2015</v>
      </c>
      <c r="AC2964" s="22">
        <f t="shared" si="93"/>
        <v>0.72199999999999998</v>
      </c>
    </row>
    <row r="2965" spans="1:29" ht="25.5">
      <c r="A2965" s="8" t="s">
        <v>8963</v>
      </c>
      <c r="B2965" s="17" t="s">
        <v>7800</v>
      </c>
      <c r="C2965" s="13">
        <v>42150</v>
      </c>
      <c r="D2965" s="13" t="s">
        <v>8465</v>
      </c>
      <c r="E2965" s="10" t="s">
        <v>1534</v>
      </c>
      <c r="F2965" s="10" t="s">
        <v>3029</v>
      </c>
      <c r="G2965" s="11" t="s">
        <v>8873</v>
      </c>
      <c r="H2965" s="2" t="s">
        <v>171</v>
      </c>
      <c r="L2965" s="18">
        <v>1</v>
      </c>
      <c r="N2965" s="13">
        <v>44007</v>
      </c>
      <c r="O2965" s="29">
        <v>9.99</v>
      </c>
      <c r="P2965" s="18" t="s">
        <v>1107</v>
      </c>
      <c r="Q2965" s="18">
        <v>0</v>
      </c>
      <c r="V2965" s="22">
        <f>3.55/5</f>
        <v>0.71</v>
      </c>
      <c r="W2965" s="14" t="s">
        <v>7777</v>
      </c>
      <c r="X2965" s="3">
        <v>3</v>
      </c>
      <c r="Z2965" s="23">
        <v>9</v>
      </c>
      <c r="AB2965" s="18">
        <f t="shared" si="92"/>
        <v>2015</v>
      </c>
      <c r="AC2965" s="22">
        <f t="shared" si="93"/>
        <v>0.65500000000000003</v>
      </c>
    </row>
    <row r="2966" spans="1:29">
      <c r="A2966" s="8" t="s">
        <v>4383</v>
      </c>
      <c r="B2966" s="17" t="s">
        <v>7800</v>
      </c>
      <c r="C2966" s="13">
        <v>42150</v>
      </c>
      <c r="D2966" s="13" t="s">
        <v>8465</v>
      </c>
      <c r="E2966" s="10" t="s">
        <v>3453</v>
      </c>
      <c r="F2966" s="10" t="s">
        <v>4384</v>
      </c>
      <c r="G2966" s="11" t="s">
        <v>4382</v>
      </c>
      <c r="H2966" s="2" t="s">
        <v>80</v>
      </c>
      <c r="L2966" s="18">
        <v>1</v>
      </c>
      <c r="N2966" s="13">
        <v>42437</v>
      </c>
      <c r="P2966" s="18" t="s">
        <v>1107</v>
      </c>
      <c r="Q2966" s="18">
        <v>0</v>
      </c>
      <c r="U2966" s="22">
        <v>0.72</v>
      </c>
      <c r="V2966" s="22">
        <f>3.35/5</f>
        <v>0.67</v>
      </c>
      <c r="W2966" s="14" t="s">
        <v>7777</v>
      </c>
      <c r="X2966" s="3">
        <v>3</v>
      </c>
      <c r="Z2966" s="23">
        <v>6</v>
      </c>
      <c r="AB2966" s="18">
        <f t="shared" si="92"/>
        <v>2015</v>
      </c>
      <c r="AC2966" s="22">
        <f t="shared" si="93"/>
        <v>0.66333333333333344</v>
      </c>
    </row>
    <row r="2967" spans="1:29" ht="30">
      <c r="A2967" s="8" t="s">
        <v>3801</v>
      </c>
      <c r="B2967" s="17" t="s">
        <v>7800</v>
      </c>
      <c r="C2967" s="13">
        <v>42146</v>
      </c>
      <c r="D2967" s="13" t="s">
        <v>8465</v>
      </c>
      <c r="E2967" s="10" t="s">
        <v>3802</v>
      </c>
      <c r="F2967" s="10" t="s">
        <v>3803</v>
      </c>
      <c r="H2967" s="2" t="s">
        <v>151</v>
      </c>
      <c r="L2967" s="18">
        <v>1</v>
      </c>
      <c r="N2967" s="13">
        <v>43642</v>
      </c>
      <c r="O2967" s="29">
        <v>2.42</v>
      </c>
      <c r="P2967" s="18" t="s">
        <v>1107</v>
      </c>
      <c r="Q2967" s="18">
        <v>0</v>
      </c>
      <c r="U2967" s="22">
        <v>0.7</v>
      </c>
      <c r="V2967" s="22">
        <f>3.92/5</f>
        <v>0.78400000000000003</v>
      </c>
      <c r="W2967" s="14" t="s">
        <v>7777</v>
      </c>
      <c r="X2967" s="3">
        <v>3</v>
      </c>
      <c r="Z2967" s="23">
        <v>9.5</v>
      </c>
      <c r="AB2967" s="18">
        <f t="shared" si="92"/>
        <v>2015</v>
      </c>
      <c r="AC2967" s="22">
        <f t="shared" si="93"/>
        <v>0.69466666666666665</v>
      </c>
    </row>
    <row r="2968" spans="1:29" ht="38.25">
      <c r="A2968" s="8" t="s">
        <v>2399</v>
      </c>
      <c r="B2968" s="17" t="s">
        <v>7749</v>
      </c>
      <c r="C2968" s="13">
        <v>42146</v>
      </c>
      <c r="D2968" s="13" t="s">
        <v>8465</v>
      </c>
      <c r="E2968" s="10" t="s">
        <v>86</v>
      </c>
      <c r="F2968" s="10" t="s">
        <v>2459</v>
      </c>
      <c r="G2968" s="11" t="s">
        <v>2460</v>
      </c>
      <c r="H2968" s="2" t="s">
        <v>78</v>
      </c>
      <c r="L2968" s="18">
        <v>1</v>
      </c>
      <c r="M2968" s="14" t="s">
        <v>8462</v>
      </c>
      <c r="N2968" s="13">
        <v>43632</v>
      </c>
      <c r="O2968" s="29">
        <v>15.99</v>
      </c>
      <c r="P2968" s="18" t="s">
        <v>14</v>
      </c>
      <c r="Q2968" s="18">
        <v>0</v>
      </c>
      <c r="U2968" s="22">
        <v>0.73</v>
      </c>
      <c r="V2968" s="22">
        <f>3.99/5</f>
        <v>0.79800000000000004</v>
      </c>
      <c r="X2968" s="3">
        <v>2</v>
      </c>
      <c r="Z2968" s="23">
        <v>45</v>
      </c>
      <c r="AB2968" s="18">
        <f t="shared" si="92"/>
        <v>2015</v>
      </c>
      <c r="AC2968" s="22">
        <f t="shared" si="93"/>
        <v>0.64266666666666661</v>
      </c>
    </row>
    <row r="2969" spans="1:29">
      <c r="A2969" s="8" t="s">
        <v>5246</v>
      </c>
      <c r="B2969" s="17" t="s">
        <v>7800</v>
      </c>
      <c r="C2969" s="13">
        <v>42145</v>
      </c>
      <c r="D2969" s="13" t="s">
        <v>8465</v>
      </c>
      <c r="E2969" s="10" t="s">
        <v>3066</v>
      </c>
      <c r="F2969" s="10" t="s">
        <v>5247</v>
      </c>
      <c r="H2969" s="2" t="s">
        <v>67</v>
      </c>
      <c r="L2969" s="18">
        <v>1</v>
      </c>
      <c r="N2969" s="13">
        <v>42672</v>
      </c>
      <c r="P2969" s="18" t="s">
        <v>1107</v>
      </c>
      <c r="Q2969" s="18">
        <v>0</v>
      </c>
      <c r="U2969" s="22">
        <v>0.81</v>
      </c>
      <c r="V2969" s="22">
        <f>3.7/5</f>
        <v>0.74</v>
      </c>
      <c r="W2969" s="14" t="s">
        <v>7777</v>
      </c>
      <c r="X2969" s="3">
        <v>3</v>
      </c>
      <c r="Z2969" s="23">
        <v>9</v>
      </c>
      <c r="AB2969" s="18">
        <f t="shared" si="92"/>
        <v>2015</v>
      </c>
      <c r="AC2969" s="22">
        <f t="shared" si="93"/>
        <v>0.71666666666666667</v>
      </c>
    </row>
    <row r="2970" spans="1:29">
      <c r="A2970" s="8" t="s">
        <v>8563</v>
      </c>
      <c r="B2970" s="17" t="s">
        <v>7800</v>
      </c>
      <c r="C2970" s="13">
        <v>42144</v>
      </c>
      <c r="D2970" s="13" t="s">
        <v>8465</v>
      </c>
      <c r="E2970" s="10" t="s">
        <v>8564</v>
      </c>
      <c r="F2970" s="10" t="s">
        <v>8565</v>
      </c>
      <c r="G2970" s="11" t="s">
        <v>8563</v>
      </c>
      <c r="H2970" s="2" t="s">
        <v>1061</v>
      </c>
      <c r="I2970" s="18">
        <v>1</v>
      </c>
      <c r="L2970" s="18">
        <v>1</v>
      </c>
      <c r="N2970" s="13">
        <v>42359</v>
      </c>
      <c r="P2970" s="18" t="s">
        <v>1107</v>
      </c>
      <c r="Q2970" s="18">
        <v>0</v>
      </c>
      <c r="V2970" s="22">
        <f>3.16/5</f>
        <v>0.63200000000000001</v>
      </c>
      <c r="W2970" s="14" t="s">
        <v>7777</v>
      </c>
      <c r="X2970" s="3">
        <v>3</v>
      </c>
      <c r="Z2970" s="23">
        <v>5</v>
      </c>
      <c r="AB2970" s="18">
        <f t="shared" si="92"/>
        <v>2015</v>
      </c>
      <c r="AC2970" s="22">
        <f t="shared" si="93"/>
        <v>0.61599999999999999</v>
      </c>
    </row>
    <row r="2971" spans="1:29">
      <c r="A2971" s="8" t="s">
        <v>8964</v>
      </c>
      <c r="B2971" s="17" t="s">
        <v>7800</v>
      </c>
      <c r="C2971" s="13">
        <v>42143</v>
      </c>
      <c r="D2971" s="13" t="s">
        <v>8465</v>
      </c>
      <c r="E2971" s="10" t="s">
        <v>3136</v>
      </c>
      <c r="F2971" s="10" t="s">
        <v>8970</v>
      </c>
      <c r="G2971" s="11" t="s">
        <v>8964</v>
      </c>
      <c r="H2971" s="2" t="s">
        <v>149</v>
      </c>
      <c r="L2971" s="18">
        <v>1</v>
      </c>
      <c r="N2971" s="13">
        <v>44007</v>
      </c>
      <c r="O2971" s="29">
        <v>1.88</v>
      </c>
      <c r="P2971" s="18" t="s">
        <v>1107</v>
      </c>
      <c r="Q2971" s="18">
        <v>0</v>
      </c>
      <c r="V2971" s="22">
        <f>4.18/5</f>
        <v>0.83599999999999997</v>
      </c>
      <c r="W2971" s="14" t="s">
        <v>7777</v>
      </c>
      <c r="X2971" s="3">
        <v>3</v>
      </c>
      <c r="AB2971" s="18">
        <f t="shared" si="92"/>
        <v>2015</v>
      </c>
      <c r="AC2971" s="22">
        <f t="shared" si="93"/>
        <v>0.71799999999999997</v>
      </c>
    </row>
    <row r="2972" spans="1:29">
      <c r="A2972" s="8" t="s">
        <v>1117</v>
      </c>
      <c r="B2972" s="17" t="s">
        <v>7800</v>
      </c>
      <c r="C2972" s="13">
        <v>42138</v>
      </c>
      <c r="D2972" s="13" t="s">
        <v>8465</v>
      </c>
      <c r="E2972" s="10" t="s">
        <v>1153</v>
      </c>
      <c r="F2972" s="10" t="s">
        <v>1153</v>
      </c>
      <c r="G2972" s="11" t="s">
        <v>1117</v>
      </c>
      <c r="H2972" s="2" t="s">
        <v>151</v>
      </c>
      <c r="L2972" s="18">
        <v>1</v>
      </c>
      <c r="N2972" s="13">
        <v>43503</v>
      </c>
      <c r="O2972" s="29">
        <v>0</v>
      </c>
      <c r="P2972" s="18" t="s">
        <v>1107</v>
      </c>
      <c r="Q2972" s="18">
        <v>0</v>
      </c>
      <c r="U2972" s="22">
        <v>0.8</v>
      </c>
      <c r="V2972" s="22">
        <f>3.92/5</f>
        <v>0.78400000000000003</v>
      </c>
      <c r="W2972" s="14" t="s">
        <v>7097</v>
      </c>
      <c r="X2972" s="3">
        <v>4</v>
      </c>
      <c r="Z2972" s="23">
        <v>10.5</v>
      </c>
      <c r="AB2972" s="18">
        <f t="shared" si="92"/>
        <v>2015</v>
      </c>
      <c r="AC2972" s="22">
        <f t="shared" si="93"/>
        <v>0.79466666666666674</v>
      </c>
    </row>
    <row r="2973" spans="1:29">
      <c r="A2973" s="8" t="s">
        <v>10269</v>
      </c>
      <c r="B2973" s="17" t="s">
        <v>7749</v>
      </c>
      <c r="C2973" s="13">
        <v>42138</v>
      </c>
      <c r="D2973" s="13" t="s">
        <v>8465</v>
      </c>
      <c r="E2973" s="10" t="s">
        <v>86</v>
      </c>
      <c r="F2973" s="10" t="s">
        <v>1069</v>
      </c>
      <c r="G2973" s="11" t="s">
        <v>1149</v>
      </c>
      <c r="H2973" s="2" t="s">
        <v>78</v>
      </c>
      <c r="L2973" s="18">
        <v>1</v>
      </c>
      <c r="N2973" s="13">
        <v>44611</v>
      </c>
      <c r="O2973" s="29">
        <v>9.99</v>
      </c>
      <c r="P2973" s="18" t="s">
        <v>1107</v>
      </c>
      <c r="Q2973" s="18">
        <v>0</v>
      </c>
      <c r="U2973" s="22">
        <v>0.83</v>
      </c>
      <c r="V2973" s="22">
        <f>3.71/5</f>
        <v>0.74199999999999999</v>
      </c>
      <c r="X2973" s="3">
        <v>3</v>
      </c>
      <c r="Z2973" s="23">
        <v>7</v>
      </c>
      <c r="AB2973" s="18">
        <f t="shared" si="92"/>
        <v>2015</v>
      </c>
      <c r="AC2973" s="22">
        <f t="shared" si="93"/>
        <v>0.72400000000000009</v>
      </c>
    </row>
    <row r="2974" spans="1:29">
      <c r="A2974" s="8" t="s">
        <v>4554</v>
      </c>
      <c r="B2974" s="17" t="s">
        <v>7800</v>
      </c>
      <c r="C2974" s="13">
        <v>42138</v>
      </c>
      <c r="D2974" s="13" t="s">
        <v>8465</v>
      </c>
      <c r="E2974" s="10" t="s">
        <v>3063</v>
      </c>
      <c r="F2974" s="10" t="s">
        <v>2478</v>
      </c>
      <c r="H2974" s="2" t="s">
        <v>2138</v>
      </c>
      <c r="L2974" s="18">
        <v>1</v>
      </c>
      <c r="N2974" s="13">
        <v>42485</v>
      </c>
      <c r="P2974" s="18" t="s">
        <v>1107</v>
      </c>
      <c r="Q2974" s="18">
        <v>0</v>
      </c>
      <c r="U2974" s="22">
        <v>0.75</v>
      </c>
      <c r="V2974" s="22">
        <f>3.49/5</f>
        <v>0.69800000000000006</v>
      </c>
      <c r="W2974" s="14" t="s">
        <v>7777</v>
      </c>
      <c r="X2974" s="3">
        <v>2</v>
      </c>
      <c r="Z2974" s="23">
        <v>5</v>
      </c>
      <c r="AB2974" s="18">
        <f t="shared" si="92"/>
        <v>2015</v>
      </c>
      <c r="AC2974" s="22">
        <f t="shared" si="93"/>
        <v>0.61599999999999999</v>
      </c>
    </row>
    <row r="2975" spans="1:29">
      <c r="A2975" s="8" t="s">
        <v>4190</v>
      </c>
      <c r="B2975" s="17" t="s">
        <v>7800</v>
      </c>
      <c r="C2975" s="13">
        <v>42136</v>
      </c>
      <c r="D2975" s="13" t="s">
        <v>8465</v>
      </c>
      <c r="E2975" s="10" t="s">
        <v>3521</v>
      </c>
      <c r="F2975" s="10" t="s">
        <v>3521</v>
      </c>
      <c r="H2975" s="2" t="s">
        <v>3937</v>
      </c>
      <c r="L2975" s="18">
        <v>1</v>
      </c>
      <c r="N2975" s="13">
        <v>42779</v>
      </c>
      <c r="O2975" s="29">
        <v>0</v>
      </c>
      <c r="P2975" s="18" t="s">
        <v>1107</v>
      </c>
      <c r="Q2975" s="18">
        <v>0</v>
      </c>
      <c r="U2975" s="22">
        <v>0.82</v>
      </c>
      <c r="V2975" s="22">
        <f>3.73/5</f>
        <v>0.746</v>
      </c>
      <c r="W2975" s="14" t="s">
        <v>7777</v>
      </c>
      <c r="X2975" s="3">
        <v>4</v>
      </c>
      <c r="Z2975" s="23">
        <v>7.5</v>
      </c>
      <c r="AB2975" s="18">
        <f t="shared" si="92"/>
        <v>2015</v>
      </c>
      <c r="AC2975" s="22">
        <f t="shared" si="93"/>
        <v>0.78866666666666652</v>
      </c>
    </row>
    <row r="2976" spans="1:29">
      <c r="A2976" s="8" t="s">
        <v>14257</v>
      </c>
      <c r="B2976" s="17" t="s">
        <v>7800</v>
      </c>
      <c r="C2976" s="13">
        <v>42136</v>
      </c>
      <c r="D2976" s="13" t="s">
        <v>8465</v>
      </c>
      <c r="E2976" s="10" t="s">
        <v>14202</v>
      </c>
      <c r="F2976" s="10" t="s">
        <v>14258</v>
      </c>
      <c r="G2976" s="11" t="s">
        <v>14259</v>
      </c>
      <c r="H2976" s="2" t="s">
        <v>143</v>
      </c>
      <c r="J2976" s="18">
        <v>1</v>
      </c>
      <c r="L2976" s="18">
        <v>1</v>
      </c>
      <c r="O2976" s="29">
        <v>0</v>
      </c>
      <c r="P2976" s="18" t="s">
        <v>1107</v>
      </c>
      <c r="Q2976" s="18">
        <v>0</v>
      </c>
      <c r="V2976" s="22">
        <f>4.5/5</f>
        <v>0.9</v>
      </c>
      <c r="W2976" s="14" t="s">
        <v>8765</v>
      </c>
      <c r="X2976" s="3">
        <v>3</v>
      </c>
      <c r="Z2976" s="23">
        <v>4</v>
      </c>
      <c r="AB2976" s="18">
        <f t="shared" si="92"/>
        <v>2015</v>
      </c>
      <c r="AC2976" s="22">
        <f t="shared" si="93"/>
        <v>0.75</v>
      </c>
    </row>
    <row r="2977" spans="1:29" ht="25.5">
      <c r="A2977" s="8" t="s">
        <v>9888</v>
      </c>
      <c r="B2977" s="17" t="s">
        <v>7749</v>
      </c>
      <c r="C2977" s="13">
        <v>42136</v>
      </c>
      <c r="D2977" s="13" t="s">
        <v>8465</v>
      </c>
      <c r="E2977" s="10" t="s">
        <v>2452</v>
      </c>
      <c r="F2977" s="10" t="s">
        <v>2452</v>
      </c>
      <c r="G2977" s="11" t="s">
        <v>9889</v>
      </c>
      <c r="H2977" s="2" t="s">
        <v>7245</v>
      </c>
      <c r="L2977" s="18">
        <v>0</v>
      </c>
      <c r="Q2977" s="18">
        <v>0</v>
      </c>
      <c r="U2977" s="22">
        <v>0.46</v>
      </c>
      <c r="V2977" s="22">
        <f>3.89/5</f>
        <v>0.77800000000000002</v>
      </c>
      <c r="W2977" s="14" t="s">
        <v>9890</v>
      </c>
      <c r="X2977" s="3">
        <v>2</v>
      </c>
      <c r="Z2977" s="23">
        <v>2</v>
      </c>
      <c r="AB2977" s="18">
        <f t="shared" si="92"/>
        <v>2015</v>
      </c>
      <c r="AC2977" s="22">
        <f t="shared" si="93"/>
        <v>0.54599999999999993</v>
      </c>
    </row>
    <row r="2978" spans="1:29">
      <c r="A2978" s="8" t="s">
        <v>5558</v>
      </c>
      <c r="B2978" s="17" t="s">
        <v>7800</v>
      </c>
      <c r="C2978" s="13">
        <v>42135</v>
      </c>
      <c r="D2978" s="13" t="s">
        <v>8465</v>
      </c>
      <c r="E2978" s="10" t="s">
        <v>5559</v>
      </c>
      <c r="F2978" s="10" t="s">
        <v>5559</v>
      </c>
      <c r="H2978" s="2" t="s">
        <v>67</v>
      </c>
      <c r="L2978" s="18">
        <v>1</v>
      </c>
      <c r="N2978" s="13">
        <v>43381</v>
      </c>
      <c r="O2978" s="29">
        <v>2.99</v>
      </c>
      <c r="P2978" s="18" t="s">
        <v>1107</v>
      </c>
      <c r="Q2978" s="18">
        <v>0</v>
      </c>
      <c r="U2978" s="22">
        <v>0.62</v>
      </c>
      <c r="V2978" s="22">
        <f>3.4/5</f>
        <v>0.67999999999999994</v>
      </c>
      <c r="W2978" s="14" t="s">
        <v>7777</v>
      </c>
      <c r="X2978" s="3">
        <v>3</v>
      </c>
      <c r="Z2978" s="23">
        <v>5</v>
      </c>
      <c r="AB2978" s="18">
        <f t="shared" si="92"/>
        <v>2015</v>
      </c>
      <c r="AC2978" s="22">
        <f t="shared" si="93"/>
        <v>0.6333333333333333</v>
      </c>
    </row>
    <row r="2979" spans="1:29">
      <c r="A2979" s="8" t="s">
        <v>5445</v>
      </c>
      <c r="B2979" s="17" t="s">
        <v>7800</v>
      </c>
      <c r="C2979" s="13">
        <v>42135</v>
      </c>
      <c r="D2979" s="13" t="s">
        <v>8465</v>
      </c>
      <c r="E2979" s="10" t="s">
        <v>3212</v>
      </c>
      <c r="F2979" s="10" t="s">
        <v>5446</v>
      </c>
      <c r="H2979" s="2" t="s">
        <v>80</v>
      </c>
      <c r="L2979" s="18">
        <v>1</v>
      </c>
      <c r="N2979" s="13">
        <v>43368</v>
      </c>
      <c r="O2979" s="29">
        <v>2.4900000000000002</v>
      </c>
      <c r="P2979" s="18" t="s">
        <v>1107</v>
      </c>
      <c r="Q2979" s="18">
        <v>0</v>
      </c>
      <c r="U2979" s="22">
        <v>0.63</v>
      </c>
      <c r="V2979" s="22">
        <f>2.88/5</f>
        <v>0.57599999999999996</v>
      </c>
      <c r="W2979" s="14" t="s">
        <v>7777</v>
      </c>
      <c r="X2979" s="3">
        <v>3</v>
      </c>
      <c r="Z2979" s="23">
        <v>2</v>
      </c>
      <c r="AB2979" s="18">
        <f t="shared" si="92"/>
        <v>2015</v>
      </c>
      <c r="AC2979" s="22">
        <f t="shared" si="93"/>
        <v>0.60199999999999998</v>
      </c>
    </row>
    <row r="2980" spans="1:29">
      <c r="A2980" s="8" t="s">
        <v>3656</v>
      </c>
      <c r="B2980" s="17" t="s">
        <v>7800</v>
      </c>
      <c r="C2980" s="13">
        <v>42131</v>
      </c>
      <c r="D2980" s="13" t="s">
        <v>8465</v>
      </c>
      <c r="E2980" s="10" t="s">
        <v>3657</v>
      </c>
      <c r="F2980" s="10" t="s">
        <v>3657</v>
      </c>
      <c r="H2980" s="2" t="s">
        <v>171</v>
      </c>
      <c r="L2980" s="18">
        <v>1</v>
      </c>
      <c r="N2980" s="13">
        <v>43339</v>
      </c>
      <c r="O2980" s="29">
        <v>2.99</v>
      </c>
      <c r="P2980" s="18" t="s">
        <v>1107</v>
      </c>
      <c r="Q2980" s="18">
        <v>0</v>
      </c>
      <c r="U2980" s="22">
        <v>0.63</v>
      </c>
      <c r="V2980" s="22">
        <f>3.63/5</f>
        <v>0.72599999999999998</v>
      </c>
      <c r="W2980" s="14" t="s">
        <v>7777</v>
      </c>
      <c r="X2980" s="3">
        <v>4</v>
      </c>
      <c r="Z2980" s="23">
        <v>11.5</v>
      </c>
      <c r="AB2980" s="18">
        <f t="shared" si="92"/>
        <v>2015</v>
      </c>
      <c r="AC2980" s="22">
        <f t="shared" si="93"/>
        <v>0.71866666666666656</v>
      </c>
    </row>
    <row r="2981" spans="1:29" ht="38.25">
      <c r="A2981" s="8" t="s">
        <v>10125</v>
      </c>
      <c r="B2981" s="17" t="s">
        <v>7749</v>
      </c>
      <c r="C2981" s="13">
        <v>42129</v>
      </c>
      <c r="D2981" s="13" t="s">
        <v>8465</v>
      </c>
      <c r="E2981" s="10" t="s">
        <v>2461</v>
      </c>
      <c r="F2981" s="10" t="s">
        <v>228</v>
      </c>
      <c r="G2981" s="11" t="s">
        <v>1171</v>
      </c>
      <c r="H2981" s="2" t="s">
        <v>75</v>
      </c>
      <c r="L2981" s="18">
        <v>1</v>
      </c>
      <c r="M2981" s="14" t="s">
        <v>8462</v>
      </c>
      <c r="N2981" s="13">
        <v>44300</v>
      </c>
      <c r="O2981" s="29">
        <v>68.97</v>
      </c>
      <c r="P2981" s="18" t="s">
        <v>14</v>
      </c>
      <c r="Q2981" s="18">
        <v>0</v>
      </c>
      <c r="U2981" s="22">
        <v>0.84</v>
      </c>
      <c r="V2981" s="22">
        <f>4.23/5</f>
        <v>0.84600000000000009</v>
      </c>
      <c r="X2981" s="3">
        <v>4</v>
      </c>
      <c r="Z2981" s="23">
        <v>40</v>
      </c>
      <c r="AB2981" s="18">
        <f t="shared" si="92"/>
        <v>2015</v>
      </c>
      <c r="AC2981" s="22">
        <f t="shared" si="93"/>
        <v>0.82866666666666655</v>
      </c>
    </row>
    <row r="2982" spans="1:29">
      <c r="A2982" s="8" t="s">
        <v>5028</v>
      </c>
      <c r="B2982" s="17" t="s">
        <v>7800</v>
      </c>
      <c r="C2982" s="13">
        <v>42124</v>
      </c>
      <c r="D2982" s="13" t="s">
        <v>8465</v>
      </c>
      <c r="E2982" s="10" t="s">
        <v>5029</v>
      </c>
      <c r="F2982" s="10" t="s">
        <v>5029</v>
      </c>
      <c r="G2982" s="11" t="s">
        <v>5030</v>
      </c>
      <c r="H2982" s="2" t="s">
        <v>21</v>
      </c>
      <c r="L2982" s="18">
        <v>1</v>
      </c>
      <c r="N2982" s="13">
        <v>43425</v>
      </c>
      <c r="O2982" s="29">
        <v>0.99</v>
      </c>
      <c r="P2982" s="18" t="s">
        <v>1107</v>
      </c>
      <c r="Q2982" s="18">
        <v>0</v>
      </c>
      <c r="U2982" s="22">
        <v>0.8</v>
      </c>
      <c r="V2982" s="22">
        <f>3.98/5</f>
        <v>0.79600000000000004</v>
      </c>
      <c r="W2982" s="14" t="s">
        <v>7777</v>
      </c>
      <c r="X2982" s="3">
        <v>3</v>
      </c>
      <c r="Z2982" s="23">
        <v>7.5</v>
      </c>
      <c r="AB2982" s="18">
        <f t="shared" si="92"/>
        <v>2015</v>
      </c>
      <c r="AC2982" s="22">
        <f t="shared" si="93"/>
        <v>0.7320000000000001</v>
      </c>
    </row>
    <row r="2983" spans="1:29">
      <c r="A2983" s="8" t="s">
        <v>3443</v>
      </c>
      <c r="B2983" s="17" t="s">
        <v>7800</v>
      </c>
      <c r="C2983" s="13">
        <v>42124</v>
      </c>
      <c r="D2983" s="13" t="s">
        <v>8465</v>
      </c>
      <c r="E2983" s="10" t="s">
        <v>3444</v>
      </c>
      <c r="F2983" s="10" t="s">
        <v>3444</v>
      </c>
      <c r="H2983" s="2" t="s">
        <v>75</v>
      </c>
      <c r="L2983" s="18">
        <v>1</v>
      </c>
      <c r="N2983" s="13">
        <v>42672</v>
      </c>
      <c r="P2983" s="18" t="s">
        <v>1107</v>
      </c>
      <c r="Q2983" s="18">
        <v>0</v>
      </c>
      <c r="U2983" s="22">
        <v>0.77</v>
      </c>
      <c r="V2983" s="22">
        <f>3.61/5</f>
        <v>0.72199999999999998</v>
      </c>
      <c r="W2983" s="14" t="s">
        <v>7777</v>
      </c>
      <c r="X2983" s="3">
        <v>3</v>
      </c>
      <c r="Z2983" s="23">
        <v>13</v>
      </c>
      <c r="AB2983" s="18">
        <f t="shared" si="92"/>
        <v>2015</v>
      </c>
      <c r="AC2983" s="22">
        <f t="shared" si="93"/>
        <v>0.69733333333333336</v>
      </c>
    </row>
    <row r="2984" spans="1:29" ht="25.5">
      <c r="A2984" s="8" t="s">
        <v>5615</v>
      </c>
      <c r="B2984" s="17" t="s">
        <v>7800</v>
      </c>
      <c r="C2984" s="13">
        <v>42122</v>
      </c>
      <c r="D2984" s="13" t="s">
        <v>8465</v>
      </c>
      <c r="E2984" s="10" t="s">
        <v>1534</v>
      </c>
      <c r="F2984" s="10" t="s">
        <v>1245</v>
      </c>
      <c r="G2984" s="11" t="s">
        <v>304</v>
      </c>
      <c r="H2984" s="2" t="s">
        <v>171</v>
      </c>
      <c r="L2984" s="18">
        <v>1</v>
      </c>
      <c r="N2984" s="13">
        <v>42360</v>
      </c>
      <c r="O2984" s="29">
        <v>5.99</v>
      </c>
      <c r="P2984" s="18" t="s">
        <v>1107</v>
      </c>
      <c r="Q2984" s="18">
        <v>0</v>
      </c>
      <c r="U2984" s="22">
        <v>0.8</v>
      </c>
      <c r="V2984" s="22">
        <f>3.96/5</f>
        <v>0.79200000000000004</v>
      </c>
      <c r="W2984" s="14" t="s">
        <v>7777</v>
      </c>
      <c r="X2984" s="3">
        <v>4</v>
      </c>
      <c r="Z2984" s="23">
        <v>13</v>
      </c>
      <c r="AB2984" s="18">
        <f t="shared" si="92"/>
        <v>2015</v>
      </c>
      <c r="AC2984" s="22">
        <f t="shared" si="93"/>
        <v>0.79733333333333345</v>
      </c>
    </row>
    <row r="2985" spans="1:29" ht="30">
      <c r="A2985" s="8" t="s">
        <v>3369</v>
      </c>
      <c r="B2985" s="17" t="s">
        <v>7800</v>
      </c>
      <c r="C2985" s="13">
        <v>42122</v>
      </c>
      <c r="D2985" s="13" t="s">
        <v>8465</v>
      </c>
      <c r="E2985" s="10" t="s">
        <v>3370</v>
      </c>
      <c r="F2985" s="10" t="s">
        <v>3370</v>
      </c>
      <c r="H2985" s="2" t="s">
        <v>67</v>
      </c>
      <c r="L2985" s="18">
        <v>1</v>
      </c>
      <c r="N2985" s="13">
        <v>42537</v>
      </c>
      <c r="P2985" s="18" t="s">
        <v>1107</v>
      </c>
      <c r="Q2985" s="18">
        <v>0</v>
      </c>
      <c r="U2985" s="22">
        <v>0.7</v>
      </c>
      <c r="V2985" s="22">
        <f>3.68/5</f>
        <v>0.73599999999999999</v>
      </c>
      <c r="W2985" s="14" t="s">
        <v>7777</v>
      </c>
      <c r="X2985" s="3">
        <v>3</v>
      </c>
      <c r="Z2985" s="23">
        <v>10</v>
      </c>
      <c r="AB2985" s="18">
        <f t="shared" si="92"/>
        <v>2015</v>
      </c>
      <c r="AC2985" s="22">
        <f t="shared" si="93"/>
        <v>0.67866666666666664</v>
      </c>
    </row>
    <row r="2986" spans="1:29">
      <c r="A2986" s="8" t="s">
        <v>8716</v>
      </c>
      <c r="B2986" s="17" t="s">
        <v>7800</v>
      </c>
      <c r="C2986" s="13">
        <v>42118</v>
      </c>
      <c r="D2986" s="13" t="s">
        <v>8465</v>
      </c>
      <c r="E2986" s="10" t="s">
        <v>3553</v>
      </c>
      <c r="F2986" s="10" t="s">
        <v>3554</v>
      </c>
      <c r="G2986" s="11" t="s">
        <v>3745</v>
      </c>
      <c r="H2986" s="2" t="s">
        <v>1334</v>
      </c>
      <c r="L2986" s="18">
        <v>1</v>
      </c>
      <c r="N2986" s="13">
        <v>43981</v>
      </c>
      <c r="O2986" s="29">
        <v>0</v>
      </c>
      <c r="P2986" s="18" t="s">
        <v>1107</v>
      </c>
      <c r="Q2986" s="18">
        <v>0</v>
      </c>
      <c r="U2986" s="22">
        <v>0.7</v>
      </c>
      <c r="V2986" s="22">
        <f>3.29/5</f>
        <v>0.65800000000000003</v>
      </c>
      <c r="W2986" s="14" t="s">
        <v>7777</v>
      </c>
      <c r="X2986" s="3">
        <v>3</v>
      </c>
      <c r="Z2986" s="23">
        <v>15</v>
      </c>
      <c r="AB2986" s="18">
        <f t="shared" si="92"/>
        <v>2015</v>
      </c>
      <c r="AC2986" s="22">
        <f t="shared" si="93"/>
        <v>0.65266666666666673</v>
      </c>
    </row>
    <row r="2987" spans="1:29" ht="25.5">
      <c r="A2987" s="8" t="s">
        <v>3520</v>
      </c>
      <c r="B2987" s="17" t="s">
        <v>7800</v>
      </c>
      <c r="C2987" s="13">
        <v>42117</v>
      </c>
      <c r="D2987" s="13" t="s">
        <v>8465</v>
      </c>
      <c r="E2987" s="10" t="s">
        <v>3521</v>
      </c>
      <c r="F2987" s="10" t="s">
        <v>1731</v>
      </c>
      <c r="H2987" s="2" t="s">
        <v>1220</v>
      </c>
      <c r="L2987" s="18">
        <v>1</v>
      </c>
      <c r="N2987" s="13">
        <v>42372</v>
      </c>
      <c r="O2987" s="29">
        <v>4.9400000000000004</v>
      </c>
      <c r="P2987" s="18" t="s">
        <v>1107</v>
      </c>
      <c r="Q2987" s="18">
        <v>0</v>
      </c>
      <c r="U2987" s="22">
        <v>0.88</v>
      </c>
      <c r="V2987" s="22">
        <f>3.96/5</f>
        <v>0.79200000000000004</v>
      </c>
      <c r="W2987" s="14" t="s">
        <v>7777</v>
      </c>
      <c r="X2987" s="3">
        <v>4</v>
      </c>
      <c r="Z2987" s="23">
        <v>15</v>
      </c>
      <c r="AB2987" s="18">
        <f t="shared" si="92"/>
        <v>2015</v>
      </c>
      <c r="AC2987" s="22">
        <f t="shared" si="93"/>
        <v>0.82400000000000018</v>
      </c>
    </row>
    <row r="2988" spans="1:29" ht="30">
      <c r="A2988" s="8" t="s">
        <v>1105</v>
      </c>
      <c r="B2988" s="17" t="s">
        <v>7800</v>
      </c>
      <c r="C2988" s="13">
        <v>42117</v>
      </c>
      <c r="D2988" s="13" t="s">
        <v>8465</v>
      </c>
      <c r="E2988" s="10" t="s">
        <v>1084</v>
      </c>
      <c r="F2988" s="10" t="s">
        <v>1084</v>
      </c>
      <c r="G2988" s="11" t="s">
        <v>1150</v>
      </c>
      <c r="H2988" s="2" t="s">
        <v>64</v>
      </c>
      <c r="L2988" s="18">
        <v>1</v>
      </c>
      <c r="N2988" s="13">
        <v>42747</v>
      </c>
      <c r="P2988" s="18" t="s">
        <v>1107</v>
      </c>
      <c r="Q2988" s="18">
        <v>0</v>
      </c>
      <c r="V2988" s="22">
        <f>3.98/5</f>
        <v>0.79600000000000004</v>
      </c>
      <c r="W2988" s="14" t="s">
        <v>7777</v>
      </c>
      <c r="X2988" s="3">
        <v>3</v>
      </c>
      <c r="Z2988" s="23">
        <v>8</v>
      </c>
      <c r="AB2988" s="18">
        <f t="shared" si="92"/>
        <v>2015</v>
      </c>
      <c r="AC2988" s="22">
        <f t="shared" si="93"/>
        <v>0.69799999999999995</v>
      </c>
    </row>
    <row r="2989" spans="1:29" ht="60">
      <c r="A2989" s="8" t="s">
        <v>5321</v>
      </c>
      <c r="B2989" s="17" t="s">
        <v>7800</v>
      </c>
      <c r="C2989" s="13">
        <v>42117</v>
      </c>
      <c r="D2989" s="13" t="s">
        <v>8465</v>
      </c>
      <c r="E2989" s="10" t="s">
        <v>5322</v>
      </c>
      <c r="F2989" s="10" t="s">
        <v>5323</v>
      </c>
      <c r="H2989" s="2" t="s">
        <v>6510</v>
      </c>
      <c r="L2989" s="18">
        <v>1</v>
      </c>
      <c r="N2989" s="13">
        <v>43587</v>
      </c>
      <c r="O2989" s="29">
        <v>0.97</v>
      </c>
      <c r="P2989" s="18" t="s">
        <v>1107</v>
      </c>
      <c r="Q2989" s="18">
        <v>0</v>
      </c>
      <c r="U2989" s="22">
        <v>0.7</v>
      </c>
      <c r="V2989" s="22">
        <f>2.83/5</f>
        <v>0.56600000000000006</v>
      </c>
      <c r="W2989" s="14" t="s">
        <v>7777</v>
      </c>
      <c r="X2989" s="3">
        <v>3</v>
      </c>
      <c r="Z2989" s="23">
        <v>1.5</v>
      </c>
      <c r="AB2989" s="18">
        <f t="shared" si="92"/>
        <v>2015</v>
      </c>
      <c r="AC2989" s="22">
        <f t="shared" si="93"/>
        <v>0.622</v>
      </c>
    </row>
    <row r="2990" spans="1:29">
      <c r="A2990" s="8" t="s">
        <v>4704</v>
      </c>
      <c r="B2990" s="17" t="s">
        <v>7800</v>
      </c>
      <c r="C2990" s="13">
        <v>42117</v>
      </c>
      <c r="D2990" s="13" t="s">
        <v>8465</v>
      </c>
      <c r="E2990" s="10" t="s">
        <v>4705</v>
      </c>
      <c r="F2990" s="10" t="s">
        <v>4705</v>
      </c>
      <c r="H2990" s="2" t="s">
        <v>80</v>
      </c>
      <c r="L2990" s="18">
        <v>1</v>
      </c>
      <c r="N2990" s="13">
        <v>41981</v>
      </c>
      <c r="P2990" s="18" t="s">
        <v>1107</v>
      </c>
      <c r="Q2990" s="18">
        <v>0</v>
      </c>
      <c r="V2990" s="22">
        <f>3.22/5</f>
        <v>0.64400000000000002</v>
      </c>
      <c r="W2990" s="14" t="s">
        <v>7777</v>
      </c>
      <c r="X2990" s="3">
        <v>2</v>
      </c>
      <c r="Z2990" s="23">
        <v>6</v>
      </c>
      <c r="AB2990" s="18">
        <f t="shared" si="92"/>
        <v>2015</v>
      </c>
      <c r="AC2990" s="22">
        <f t="shared" si="93"/>
        <v>0.52200000000000002</v>
      </c>
    </row>
    <row r="2991" spans="1:29" ht="30">
      <c r="A2991" s="8" t="s">
        <v>5985</v>
      </c>
      <c r="B2991" s="17" t="s">
        <v>7759</v>
      </c>
      <c r="C2991" s="13">
        <v>42115</v>
      </c>
      <c r="D2991" s="13" t="s">
        <v>8465</v>
      </c>
      <c r="E2991" s="10" t="s">
        <v>4577</v>
      </c>
      <c r="F2991" s="10" t="s">
        <v>5986</v>
      </c>
      <c r="G2991" s="11" t="s">
        <v>4578</v>
      </c>
      <c r="H2991" s="2" t="s">
        <v>64</v>
      </c>
      <c r="L2991" s="18">
        <v>1</v>
      </c>
      <c r="M2991" s="14" t="s">
        <v>8462</v>
      </c>
      <c r="N2991" s="13">
        <v>43683</v>
      </c>
      <c r="O2991" s="29">
        <v>37.950000000000003</v>
      </c>
      <c r="P2991" s="18" t="s">
        <v>14</v>
      </c>
      <c r="Q2991" s="18">
        <v>0</v>
      </c>
      <c r="V2991" s="22">
        <f>3.92/5</f>
        <v>0.78400000000000003</v>
      </c>
      <c r="W2991" s="14" t="s">
        <v>1134</v>
      </c>
      <c r="X2991" s="3">
        <v>3</v>
      </c>
      <c r="Z2991" s="23">
        <v>7</v>
      </c>
      <c r="AB2991" s="18">
        <f t="shared" si="92"/>
        <v>2015</v>
      </c>
      <c r="AC2991" s="22">
        <f t="shared" si="93"/>
        <v>0.69199999999999995</v>
      </c>
    </row>
    <row r="2992" spans="1:29">
      <c r="A2992" s="8" t="s">
        <v>4212</v>
      </c>
      <c r="B2992" s="17" t="s">
        <v>7800</v>
      </c>
      <c r="C2992" s="13">
        <v>42115</v>
      </c>
      <c r="D2992" s="13" t="s">
        <v>8465</v>
      </c>
      <c r="E2992" s="10" t="s">
        <v>4213</v>
      </c>
      <c r="F2992" s="10" t="s">
        <v>4213</v>
      </c>
      <c r="H2992" s="2" t="s">
        <v>64</v>
      </c>
      <c r="L2992" s="18">
        <v>1</v>
      </c>
      <c r="N2992" s="13">
        <v>42781</v>
      </c>
      <c r="P2992" s="18" t="s">
        <v>1107</v>
      </c>
      <c r="Q2992" s="18">
        <v>0</v>
      </c>
      <c r="U2992" s="22">
        <v>0.77</v>
      </c>
      <c r="V2992" s="22">
        <f>3.78/5</f>
        <v>0.75600000000000001</v>
      </c>
      <c r="W2992" s="14" t="s">
        <v>7777</v>
      </c>
      <c r="X2992" s="3">
        <v>2</v>
      </c>
      <c r="Z2992" s="23">
        <v>3</v>
      </c>
      <c r="AB2992" s="18">
        <f t="shared" si="92"/>
        <v>2015</v>
      </c>
      <c r="AC2992" s="22">
        <f t="shared" si="93"/>
        <v>0.64200000000000002</v>
      </c>
    </row>
    <row r="2993" spans="1:29">
      <c r="A2993" s="8" t="s">
        <v>11355</v>
      </c>
      <c r="B2993" s="17" t="s">
        <v>7800</v>
      </c>
      <c r="C2993" s="13">
        <v>42115</v>
      </c>
      <c r="D2993" s="13" t="s">
        <v>8465</v>
      </c>
      <c r="E2993" s="10" t="s">
        <v>10062</v>
      </c>
      <c r="F2993" s="10" t="s">
        <v>10062</v>
      </c>
      <c r="H2993" s="2" t="s">
        <v>1054</v>
      </c>
      <c r="L2993" s="18">
        <v>1</v>
      </c>
      <c r="N2993" s="13">
        <v>44627</v>
      </c>
      <c r="O2993" s="29">
        <v>0</v>
      </c>
      <c r="P2993" s="18" t="s">
        <v>1107</v>
      </c>
      <c r="Q2993" s="18">
        <v>0</v>
      </c>
      <c r="V2993" s="22">
        <f>2.17/5</f>
        <v>0.434</v>
      </c>
      <c r="W2993" s="14" t="s">
        <v>8765</v>
      </c>
      <c r="X2993" s="3">
        <v>2</v>
      </c>
      <c r="Z2993" s="23">
        <v>1.5</v>
      </c>
      <c r="AB2993" s="18">
        <f t="shared" si="92"/>
        <v>2015</v>
      </c>
      <c r="AC2993" s="22">
        <f t="shared" si="93"/>
        <v>0.41700000000000004</v>
      </c>
    </row>
    <row r="2994" spans="1:29" ht="25.5">
      <c r="A2994" s="8" t="s">
        <v>5549</v>
      </c>
      <c r="B2994" s="17" t="s">
        <v>7800</v>
      </c>
      <c r="C2994" s="13">
        <v>42110</v>
      </c>
      <c r="D2994" s="13" t="s">
        <v>8465</v>
      </c>
      <c r="E2994" s="10" t="s">
        <v>3272</v>
      </c>
      <c r="F2994" s="10" t="s">
        <v>5550</v>
      </c>
      <c r="G2994" s="11" t="s">
        <v>5551</v>
      </c>
      <c r="H2994" s="2" t="s">
        <v>80</v>
      </c>
      <c r="L2994" s="18">
        <v>1</v>
      </c>
      <c r="N2994" s="13">
        <v>42672</v>
      </c>
      <c r="P2994" s="18" t="s">
        <v>1107</v>
      </c>
      <c r="Q2994" s="18">
        <v>0</v>
      </c>
      <c r="U2994" s="22">
        <v>0.85</v>
      </c>
      <c r="V2994" s="22">
        <f>3.69/5</f>
        <v>0.73799999999999999</v>
      </c>
      <c r="W2994" s="14" t="s">
        <v>7777</v>
      </c>
      <c r="X2994" s="3">
        <v>3</v>
      </c>
      <c r="Z2994" s="23">
        <v>2</v>
      </c>
      <c r="AB2994" s="18">
        <f t="shared" si="92"/>
        <v>2015</v>
      </c>
      <c r="AC2994" s="22">
        <f t="shared" si="93"/>
        <v>0.72933333333333339</v>
      </c>
    </row>
    <row r="2995" spans="1:29">
      <c r="A2995" s="8" t="s">
        <v>8207</v>
      </c>
      <c r="B2995" s="17" t="s">
        <v>7800</v>
      </c>
      <c r="C2995" s="13">
        <v>42110</v>
      </c>
      <c r="D2995" s="13" t="s">
        <v>8465</v>
      </c>
      <c r="E2995" s="10" t="s">
        <v>3116</v>
      </c>
      <c r="F2995" s="10" t="s">
        <v>4078</v>
      </c>
      <c r="G2995" s="11" t="s">
        <v>4079</v>
      </c>
      <c r="H2995" s="2" t="s">
        <v>1054</v>
      </c>
      <c r="L2995" s="18">
        <v>1</v>
      </c>
      <c r="N2995" s="13">
        <v>43800</v>
      </c>
      <c r="O2995" s="29">
        <v>1.19</v>
      </c>
      <c r="P2995" s="18" t="s">
        <v>1107</v>
      </c>
      <c r="Q2995" s="18">
        <v>0</v>
      </c>
      <c r="U2995" s="22">
        <v>0.7</v>
      </c>
      <c r="V2995" s="22">
        <f>3.06/5</f>
        <v>0.61199999999999999</v>
      </c>
      <c r="W2995" s="14" t="s">
        <v>7777</v>
      </c>
      <c r="X2995" s="3">
        <v>3</v>
      </c>
      <c r="Z2995" s="23">
        <v>5.5</v>
      </c>
      <c r="AB2995" s="18">
        <f t="shared" si="92"/>
        <v>2015</v>
      </c>
      <c r="AC2995" s="22">
        <f t="shared" si="93"/>
        <v>0.63733333333333331</v>
      </c>
    </row>
    <row r="2996" spans="1:29">
      <c r="A2996" s="8" t="s">
        <v>5416</v>
      </c>
      <c r="B2996" s="17" t="s">
        <v>7800</v>
      </c>
      <c r="C2996" s="13">
        <v>42108</v>
      </c>
      <c r="D2996" s="13" t="s">
        <v>8465</v>
      </c>
      <c r="E2996" s="10" t="s">
        <v>3063</v>
      </c>
      <c r="F2996" s="10" t="s">
        <v>5417</v>
      </c>
      <c r="H2996" s="2" t="s">
        <v>80</v>
      </c>
      <c r="L2996" s="18">
        <v>1</v>
      </c>
      <c r="N2996" s="13">
        <v>42173</v>
      </c>
      <c r="O2996" s="29">
        <v>8.99</v>
      </c>
      <c r="P2996" s="18" t="s">
        <v>1107</v>
      </c>
      <c r="Q2996" s="18">
        <v>0</v>
      </c>
      <c r="U2996" s="22">
        <v>0.75</v>
      </c>
      <c r="V2996" s="22">
        <f>3.22/5</f>
        <v>0.64400000000000002</v>
      </c>
      <c r="W2996" s="14" t="s">
        <v>7777</v>
      </c>
      <c r="X2996" s="3">
        <v>3</v>
      </c>
      <c r="Z2996" s="23">
        <v>3</v>
      </c>
      <c r="AB2996" s="18">
        <f t="shared" si="92"/>
        <v>2015</v>
      </c>
      <c r="AC2996" s="22">
        <f t="shared" si="93"/>
        <v>0.66466666666666674</v>
      </c>
    </row>
    <row r="2997" spans="1:29" ht="45">
      <c r="A2997" s="8" t="s">
        <v>4485</v>
      </c>
      <c r="B2997" s="17" t="s">
        <v>7800</v>
      </c>
      <c r="C2997" s="13">
        <v>42107</v>
      </c>
      <c r="D2997" s="13" t="s">
        <v>8465</v>
      </c>
      <c r="E2997" s="10" t="s">
        <v>1156</v>
      </c>
      <c r="F2997" s="10" t="s">
        <v>1632</v>
      </c>
      <c r="G2997" s="11" t="s">
        <v>17</v>
      </c>
      <c r="H2997" s="2" t="s">
        <v>459</v>
      </c>
      <c r="L2997" s="18">
        <v>1</v>
      </c>
      <c r="N2997" s="13">
        <v>42219</v>
      </c>
      <c r="P2997" s="18" t="s">
        <v>1107</v>
      </c>
      <c r="Q2997" s="18">
        <v>0</v>
      </c>
      <c r="U2997" s="22">
        <v>0.75</v>
      </c>
      <c r="V2997" s="22">
        <f>3.66/5</f>
        <v>0.73199999999999998</v>
      </c>
      <c r="W2997" s="14" t="s">
        <v>7777</v>
      </c>
      <c r="X2997" s="3">
        <v>3</v>
      </c>
      <c r="Z2997" s="23">
        <v>5</v>
      </c>
      <c r="AB2997" s="18">
        <f t="shared" si="92"/>
        <v>2015</v>
      </c>
      <c r="AC2997" s="22">
        <f t="shared" si="93"/>
        <v>0.69399999999999995</v>
      </c>
    </row>
    <row r="2998" spans="1:29" ht="30">
      <c r="A2998" s="8" t="s">
        <v>8455</v>
      </c>
      <c r="B2998" s="17" t="s">
        <v>8456</v>
      </c>
      <c r="C2998" s="13">
        <v>42104</v>
      </c>
      <c r="D2998" s="13" t="s">
        <v>8465</v>
      </c>
      <c r="E2998" s="10" t="s">
        <v>86</v>
      </c>
      <c r="F2998" s="10" t="s">
        <v>1145</v>
      </c>
      <c r="G2998" s="11" t="s">
        <v>1146</v>
      </c>
      <c r="H2998" s="2" t="s">
        <v>171</v>
      </c>
      <c r="L2998" s="18">
        <v>1</v>
      </c>
      <c r="M2998" s="14" t="s">
        <v>8462</v>
      </c>
      <c r="N2998" s="13">
        <v>43891</v>
      </c>
      <c r="O2998" s="29">
        <v>14.92</v>
      </c>
      <c r="P2998" s="18" t="s">
        <v>14</v>
      </c>
      <c r="Q2998" s="18">
        <v>0</v>
      </c>
      <c r="U2998" s="22">
        <v>0.86</v>
      </c>
      <c r="V2998" s="22">
        <f>4.38/5</f>
        <v>0.876</v>
      </c>
      <c r="X2998" s="3">
        <v>3</v>
      </c>
      <c r="Z2998" s="23">
        <v>64.5</v>
      </c>
      <c r="AB2998" s="18">
        <f t="shared" si="92"/>
        <v>2015</v>
      </c>
      <c r="AC2998" s="22">
        <f t="shared" si="93"/>
        <v>0.77866666666666662</v>
      </c>
    </row>
    <row r="2999" spans="1:29" ht="38.25">
      <c r="A2999" s="8" t="s">
        <v>3595</v>
      </c>
      <c r="B2999" s="17" t="s">
        <v>7800</v>
      </c>
      <c r="C2999" s="13">
        <v>42104</v>
      </c>
      <c r="D2999" s="13" t="s">
        <v>8465</v>
      </c>
      <c r="E2999" s="10" t="s">
        <v>3072</v>
      </c>
      <c r="F2999" s="10" t="s">
        <v>3596</v>
      </c>
      <c r="H2999" s="2" t="s">
        <v>67</v>
      </c>
      <c r="L2999" s="18">
        <v>1</v>
      </c>
      <c r="N2999" s="13">
        <v>43374</v>
      </c>
      <c r="O2999" s="29">
        <v>2.4900000000000002</v>
      </c>
      <c r="P2999" s="18" t="s">
        <v>1107</v>
      </c>
      <c r="Q2999" s="18">
        <v>0</v>
      </c>
      <c r="U2999" s="22">
        <v>0.65</v>
      </c>
      <c r="V2999" s="22">
        <f>3.65/5</f>
        <v>0.73</v>
      </c>
      <c r="W2999" s="14" t="s">
        <v>7777</v>
      </c>
      <c r="X2999" s="3">
        <v>2</v>
      </c>
      <c r="Z2999" s="23">
        <v>5.5</v>
      </c>
      <c r="AB2999" s="18">
        <f t="shared" si="92"/>
        <v>2015</v>
      </c>
      <c r="AC2999" s="22">
        <f t="shared" si="93"/>
        <v>0.59333333333333327</v>
      </c>
    </row>
    <row r="3000" spans="1:29" ht="25.5">
      <c r="A3000" s="8" t="s">
        <v>1102</v>
      </c>
      <c r="B3000" s="17" t="s">
        <v>7743</v>
      </c>
      <c r="C3000" s="13">
        <v>42103</v>
      </c>
      <c r="D3000" s="13" t="s">
        <v>8465</v>
      </c>
      <c r="E3000" s="10" t="s">
        <v>1148</v>
      </c>
      <c r="F3000" s="10" t="s">
        <v>1148</v>
      </c>
      <c r="H3000" s="2" t="s">
        <v>78</v>
      </c>
      <c r="L3000" s="18">
        <v>1</v>
      </c>
      <c r="N3000" s="13">
        <v>42486</v>
      </c>
      <c r="O3000" s="29">
        <v>0</v>
      </c>
      <c r="P3000" s="18" t="s">
        <v>1107</v>
      </c>
      <c r="Q3000" s="18">
        <v>0</v>
      </c>
      <c r="U3000" s="22">
        <v>0.81</v>
      </c>
      <c r="V3000" s="22">
        <f>3.89/5</f>
        <v>0.77800000000000002</v>
      </c>
      <c r="X3000" s="3">
        <v>3</v>
      </c>
      <c r="Z3000" s="23">
        <v>5.5</v>
      </c>
      <c r="AB3000" s="18">
        <f t="shared" si="92"/>
        <v>2015</v>
      </c>
      <c r="AC3000" s="22">
        <f t="shared" si="93"/>
        <v>0.72933333333333339</v>
      </c>
    </row>
    <row r="3001" spans="1:29" ht="25.5">
      <c r="A3001" s="8" t="s">
        <v>3706</v>
      </c>
      <c r="B3001" s="17" t="s">
        <v>7800</v>
      </c>
      <c r="C3001" s="13">
        <v>42103</v>
      </c>
      <c r="D3001" s="13" t="s">
        <v>8465</v>
      </c>
      <c r="E3001" s="10" t="s">
        <v>3707</v>
      </c>
      <c r="F3001" s="10" t="s">
        <v>3707</v>
      </c>
      <c r="G3001" s="11" t="s">
        <v>3708</v>
      </c>
      <c r="H3001" s="2" t="s">
        <v>149</v>
      </c>
      <c r="L3001" s="18">
        <v>1</v>
      </c>
      <c r="N3001" s="13">
        <v>43418</v>
      </c>
      <c r="O3001" s="29">
        <v>0.99</v>
      </c>
      <c r="P3001" s="18" t="s">
        <v>1107</v>
      </c>
      <c r="Q3001" s="18">
        <v>0</v>
      </c>
      <c r="V3001" s="22">
        <f>3.95/5</f>
        <v>0.79</v>
      </c>
      <c r="W3001" s="14" t="s">
        <v>7777</v>
      </c>
      <c r="X3001" s="3">
        <v>3</v>
      </c>
      <c r="Z3001" s="23">
        <v>8.5</v>
      </c>
      <c r="AB3001" s="18">
        <f t="shared" si="92"/>
        <v>2015</v>
      </c>
      <c r="AC3001" s="22">
        <f t="shared" si="93"/>
        <v>0.69500000000000006</v>
      </c>
    </row>
    <row r="3002" spans="1:29" ht="25.5">
      <c r="A3002" s="8" t="s">
        <v>3567</v>
      </c>
      <c r="B3002" s="17" t="s">
        <v>7766</v>
      </c>
      <c r="C3002" s="13">
        <v>42101</v>
      </c>
      <c r="D3002" s="13" t="s">
        <v>8465</v>
      </c>
      <c r="E3002" s="10" t="s">
        <v>3568</v>
      </c>
      <c r="F3002" s="10" t="s">
        <v>1580</v>
      </c>
      <c r="G3002" s="11" t="s">
        <v>3566</v>
      </c>
      <c r="H3002" s="2" t="s">
        <v>171</v>
      </c>
      <c r="L3002" s="18">
        <v>1</v>
      </c>
      <c r="M3002" s="14" t="s">
        <v>8462</v>
      </c>
      <c r="N3002" s="13">
        <v>43491</v>
      </c>
      <c r="O3002" s="29">
        <v>0</v>
      </c>
      <c r="P3002" s="18" t="s">
        <v>14</v>
      </c>
      <c r="Q3002" s="18">
        <v>0</v>
      </c>
      <c r="U3002" s="22">
        <v>0.9</v>
      </c>
      <c r="V3002" s="22">
        <f>4.28/5</f>
        <v>0.85600000000000009</v>
      </c>
      <c r="W3002" s="14" t="s">
        <v>8844</v>
      </c>
      <c r="X3002" s="3">
        <v>3</v>
      </c>
      <c r="Z3002" s="23">
        <v>36</v>
      </c>
      <c r="AB3002" s="18">
        <f t="shared" si="92"/>
        <v>2015</v>
      </c>
      <c r="AC3002" s="22">
        <f t="shared" si="93"/>
        <v>0.78533333333333344</v>
      </c>
    </row>
    <row r="3003" spans="1:29" ht="25.5">
      <c r="A3003" s="8" t="s">
        <v>3567</v>
      </c>
      <c r="B3003" s="17" t="s">
        <v>7800</v>
      </c>
      <c r="C3003" s="13">
        <v>42101</v>
      </c>
      <c r="D3003" s="13" t="s">
        <v>8465</v>
      </c>
      <c r="E3003" s="10" t="s">
        <v>3568</v>
      </c>
      <c r="F3003" s="10" t="s">
        <v>1580</v>
      </c>
      <c r="G3003" s="11" t="s">
        <v>1581</v>
      </c>
      <c r="H3003" s="2" t="s">
        <v>171</v>
      </c>
      <c r="L3003" s="18">
        <v>1</v>
      </c>
      <c r="N3003" s="13">
        <v>42361</v>
      </c>
      <c r="O3003" s="29">
        <v>9.14</v>
      </c>
      <c r="P3003" s="18" t="s">
        <v>1107</v>
      </c>
      <c r="Q3003" s="18">
        <v>0</v>
      </c>
      <c r="U3003" s="22">
        <v>0.81</v>
      </c>
      <c r="V3003" s="22">
        <f>3.94/5</f>
        <v>0.78800000000000003</v>
      </c>
      <c r="W3003" s="14" t="s">
        <v>7777</v>
      </c>
      <c r="X3003" s="3">
        <v>3</v>
      </c>
      <c r="Z3003" s="23">
        <v>36</v>
      </c>
      <c r="AB3003" s="18">
        <f t="shared" si="92"/>
        <v>2015</v>
      </c>
      <c r="AC3003" s="22">
        <f t="shared" si="93"/>
        <v>0.73266666666666669</v>
      </c>
    </row>
    <row r="3004" spans="1:29" ht="25.5">
      <c r="A3004" s="8" t="s">
        <v>2369</v>
      </c>
      <c r="B3004" s="17" t="s">
        <v>7749</v>
      </c>
      <c r="C3004" s="13">
        <v>42101</v>
      </c>
      <c r="D3004" s="13" t="s">
        <v>8465</v>
      </c>
      <c r="E3004" s="10" t="s">
        <v>228</v>
      </c>
      <c r="F3004" s="10" t="s">
        <v>2452</v>
      </c>
      <c r="G3004" s="11" t="s">
        <v>2239</v>
      </c>
      <c r="H3004" s="2" t="s">
        <v>1377</v>
      </c>
      <c r="L3004" s="18">
        <v>1</v>
      </c>
      <c r="M3004" s="14" t="s">
        <v>8462</v>
      </c>
      <c r="N3004" s="13">
        <v>43584</v>
      </c>
      <c r="O3004" s="29">
        <v>12.99</v>
      </c>
      <c r="P3004" s="18" t="s">
        <v>14</v>
      </c>
      <c r="Q3004" s="18">
        <v>0</v>
      </c>
      <c r="U3004" s="22">
        <v>0.77</v>
      </c>
      <c r="V3004" s="22">
        <f>3.53/5</f>
        <v>0.70599999999999996</v>
      </c>
      <c r="X3004" s="3">
        <v>3</v>
      </c>
      <c r="Z3004" s="23">
        <v>34</v>
      </c>
      <c r="AB3004" s="18">
        <f t="shared" si="92"/>
        <v>2015</v>
      </c>
      <c r="AC3004" s="22">
        <f t="shared" si="93"/>
        <v>0.69200000000000006</v>
      </c>
    </row>
    <row r="3005" spans="1:29">
      <c r="A3005" s="8" t="s">
        <v>10282</v>
      </c>
      <c r="B3005" s="17" t="s">
        <v>7749</v>
      </c>
      <c r="C3005" s="13">
        <v>42096</v>
      </c>
      <c r="D3005" s="13" t="s">
        <v>8465</v>
      </c>
      <c r="E3005" s="10" t="s">
        <v>86</v>
      </c>
      <c r="F3005" s="10" t="s">
        <v>30</v>
      </c>
      <c r="G3005" s="11" t="s">
        <v>10282</v>
      </c>
      <c r="H3005" s="2" t="s">
        <v>27</v>
      </c>
      <c r="L3005" s="18">
        <v>1</v>
      </c>
      <c r="N3005" s="13">
        <v>44402</v>
      </c>
      <c r="O3005" s="29">
        <v>4.99</v>
      </c>
      <c r="P3005" s="18" t="s">
        <v>1107</v>
      </c>
      <c r="Q3005" s="18">
        <v>0</v>
      </c>
      <c r="U3005" s="22">
        <v>0.8</v>
      </c>
      <c r="V3005" s="22">
        <f>3.93/5</f>
        <v>0.78600000000000003</v>
      </c>
      <c r="X3005" s="3">
        <v>3</v>
      </c>
      <c r="Z3005" s="23">
        <v>5.5</v>
      </c>
      <c r="AB3005" s="18">
        <f t="shared" si="92"/>
        <v>2015</v>
      </c>
      <c r="AC3005" s="22">
        <f t="shared" si="93"/>
        <v>0.72866666666666668</v>
      </c>
    </row>
    <row r="3006" spans="1:29">
      <c r="A3006" s="8" t="s">
        <v>8858</v>
      </c>
      <c r="B3006" s="17" t="s">
        <v>7800</v>
      </c>
      <c r="C3006" s="13">
        <v>42096</v>
      </c>
      <c r="D3006" s="13" t="s">
        <v>8465</v>
      </c>
      <c r="E3006" s="10" t="s">
        <v>4352</v>
      </c>
      <c r="F3006" s="10" t="s">
        <v>4352</v>
      </c>
      <c r="G3006" s="11" t="s">
        <v>8859</v>
      </c>
      <c r="H3006" s="2" t="s">
        <v>7594</v>
      </c>
      <c r="I3006" s="18">
        <v>1</v>
      </c>
      <c r="L3006" s="18">
        <v>1</v>
      </c>
      <c r="N3006" s="13">
        <v>43998</v>
      </c>
      <c r="O3006" s="29">
        <v>0</v>
      </c>
      <c r="P3006" s="18" t="s">
        <v>1107</v>
      </c>
      <c r="Q3006" s="18">
        <v>0</v>
      </c>
      <c r="U3006" s="22">
        <v>0.8</v>
      </c>
      <c r="V3006" s="22">
        <f>3.89/5</f>
        <v>0.77800000000000002</v>
      </c>
      <c r="W3006" s="14" t="s">
        <v>7777</v>
      </c>
      <c r="X3006" s="3">
        <v>3</v>
      </c>
      <c r="Z3006" s="23">
        <v>90</v>
      </c>
      <c r="AB3006" s="18">
        <f t="shared" si="92"/>
        <v>2015</v>
      </c>
      <c r="AC3006" s="22">
        <f t="shared" si="93"/>
        <v>0.72599999999999998</v>
      </c>
    </row>
    <row r="3007" spans="1:29">
      <c r="A3007" s="8" t="s">
        <v>9169</v>
      </c>
      <c r="B3007" s="17" t="s">
        <v>7763</v>
      </c>
      <c r="C3007" s="13">
        <v>42094</v>
      </c>
      <c r="D3007" s="13" t="s">
        <v>8465</v>
      </c>
      <c r="E3007" s="10" t="s">
        <v>7416</v>
      </c>
      <c r="F3007" s="10" t="s">
        <v>1471</v>
      </c>
      <c r="G3007" s="11" t="s">
        <v>9098</v>
      </c>
      <c r="H3007" s="2" t="s">
        <v>171</v>
      </c>
      <c r="L3007" s="18">
        <v>1</v>
      </c>
      <c r="M3007" s="14" t="s">
        <v>8462</v>
      </c>
      <c r="N3007" s="13">
        <v>44049</v>
      </c>
      <c r="O3007" s="29">
        <v>27.13</v>
      </c>
      <c r="P3007" s="18" t="s">
        <v>14</v>
      </c>
      <c r="Q3007" s="18">
        <v>0</v>
      </c>
      <c r="U3007" s="22">
        <v>0.82</v>
      </c>
      <c r="V3007" s="22">
        <f>4.14/5</f>
        <v>0.82799999999999996</v>
      </c>
      <c r="X3007" s="3">
        <v>3</v>
      </c>
      <c r="Z3007" s="23">
        <v>48</v>
      </c>
      <c r="AB3007" s="18">
        <f t="shared" si="92"/>
        <v>2015</v>
      </c>
      <c r="AC3007" s="22">
        <f t="shared" si="93"/>
        <v>0.7493333333333333</v>
      </c>
    </row>
    <row r="3008" spans="1:29">
      <c r="A3008" s="8" t="s">
        <v>2463</v>
      </c>
      <c r="B3008" s="17" t="s">
        <v>7749</v>
      </c>
      <c r="C3008" s="13">
        <v>42094</v>
      </c>
      <c r="D3008" s="13" t="s">
        <v>8465</v>
      </c>
      <c r="E3008" s="10" t="s">
        <v>1534</v>
      </c>
      <c r="F3008" s="10" t="s">
        <v>4068</v>
      </c>
      <c r="G3008" s="11" t="s">
        <v>2463</v>
      </c>
      <c r="H3008" s="2" t="s">
        <v>1334</v>
      </c>
      <c r="L3008" s="18">
        <v>1</v>
      </c>
      <c r="M3008" s="14" t="s">
        <v>8462</v>
      </c>
      <c r="N3008" s="13">
        <v>44302</v>
      </c>
      <c r="O3008" s="29">
        <v>37.96</v>
      </c>
      <c r="P3008" s="18" t="s">
        <v>14</v>
      </c>
      <c r="Q3008" s="18">
        <v>0</v>
      </c>
      <c r="U3008" s="22">
        <v>0.76</v>
      </c>
      <c r="V3008" s="22">
        <f>4.3/5</f>
        <v>0.86</v>
      </c>
      <c r="X3008" s="3">
        <v>3</v>
      </c>
      <c r="Z3008" s="23">
        <v>71.5</v>
      </c>
      <c r="AB3008" s="18">
        <f t="shared" si="92"/>
        <v>2015</v>
      </c>
      <c r="AC3008" s="22">
        <f t="shared" si="93"/>
        <v>0.7400000000000001</v>
      </c>
    </row>
    <row r="3009" spans="1:29" ht="25.5">
      <c r="A3009" s="8" t="s">
        <v>4057</v>
      </c>
      <c r="B3009" s="17" t="s">
        <v>7800</v>
      </c>
      <c r="C3009" s="13">
        <v>42093</v>
      </c>
      <c r="D3009" s="13" t="s">
        <v>8465</v>
      </c>
      <c r="E3009" s="10" t="s">
        <v>2327</v>
      </c>
      <c r="F3009" s="10" t="s">
        <v>1245</v>
      </c>
      <c r="G3009" s="11" t="s">
        <v>4058</v>
      </c>
      <c r="H3009" s="2" t="s">
        <v>171</v>
      </c>
      <c r="L3009" s="18">
        <v>1</v>
      </c>
      <c r="N3009" s="13">
        <v>42327</v>
      </c>
      <c r="P3009" s="18" t="s">
        <v>1107</v>
      </c>
      <c r="Q3009" s="18">
        <v>0</v>
      </c>
      <c r="U3009" s="22">
        <v>0.85</v>
      </c>
      <c r="V3009" s="22">
        <f>3.76/5</f>
        <v>0.752</v>
      </c>
      <c r="W3009" s="14" t="s">
        <v>7777</v>
      </c>
      <c r="X3009" s="3">
        <v>3</v>
      </c>
      <c r="Z3009" s="23">
        <v>9.5</v>
      </c>
      <c r="AB3009" s="18">
        <f t="shared" ref="AB3009:AB3072" si="94">IFERROR(YEAR(C3009), "Early Access")</f>
        <v>2015</v>
      </c>
      <c r="AC3009" s="22">
        <f t="shared" ref="AC3009:AC3072" si="95">AVERAGE(T3009, U3009, V3009, IF(ISBLANK(X3009), X3009, X3009/5))</f>
        <v>0.73399999999999999</v>
      </c>
    </row>
    <row r="3010" spans="1:29" ht="38.25">
      <c r="A3010" s="8" t="s">
        <v>11097</v>
      </c>
      <c r="B3010" s="17" t="s">
        <v>7749</v>
      </c>
      <c r="C3010" s="13">
        <v>42090</v>
      </c>
      <c r="D3010" s="13" t="s">
        <v>8467</v>
      </c>
      <c r="E3010" s="10" t="s">
        <v>86</v>
      </c>
      <c r="F3010" s="10" t="s">
        <v>2129</v>
      </c>
      <c r="G3010" s="11" t="s">
        <v>2181</v>
      </c>
      <c r="H3010" s="2" t="s">
        <v>255</v>
      </c>
      <c r="L3010" s="18">
        <v>0</v>
      </c>
      <c r="Q3010" s="18">
        <v>0</v>
      </c>
      <c r="U3010" s="22">
        <v>0.77</v>
      </c>
      <c r="V3010" s="22">
        <f>4.31/5</f>
        <v>0.86199999999999988</v>
      </c>
      <c r="X3010" s="3">
        <v>3</v>
      </c>
      <c r="Z3010" s="23">
        <v>35</v>
      </c>
      <c r="AB3010" s="18">
        <f t="shared" si="94"/>
        <v>2015</v>
      </c>
      <c r="AC3010" s="22">
        <f t="shared" si="95"/>
        <v>0.74399999999999988</v>
      </c>
    </row>
    <row r="3011" spans="1:29">
      <c r="A3011" s="8" t="s">
        <v>4692</v>
      </c>
      <c r="B3011" s="17" t="s">
        <v>7800</v>
      </c>
      <c r="C3011" s="13">
        <v>42089</v>
      </c>
      <c r="D3011" s="13" t="s">
        <v>8465</v>
      </c>
      <c r="E3011" s="10" t="s">
        <v>3453</v>
      </c>
      <c r="F3011" s="10" t="s">
        <v>3166</v>
      </c>
      <c r="G3011" s="11" t="s">
        <v>4692</v>
      </c>
      <c r="H3011" s="2" t="s">
        <v>1720</v>
      </c>
      <c r="L3011" s="18">
        <v>1</v>
      </c>
      <c r="N3011" s="13">
        <v>42363</v>
      </c>
      <c r="O3011" s="29">
        <v>17.989999999999998</v>
      </c>
      <c r="P3011" s="18" t="s">
        <v>1107</v>
      </c>
      <c r="Q3011" s="18">
        <v>0</v>
      </c>
      <c r="U3011" s="22">
        <v>0.89</v>
      </c>
      <c r="V3011" s="22">
        <f>3.99/5</f>
        <v>0.79800000000000004</v>
      </c>
      <c r="W3011" s="14" t="s">
        <v>7777</v>
      </c>
      <c r="X3011" s="3">
        <v>4</v>
      </c>
      <c r="Z3011" s="23">
        <v>35</v>
      </c>
      <c r="AB3011" s="18">
        <f t="shared" si="94"/>
        <v>2015</v>
      </c>
      <c r="AC3011" s="22">
        <f t="shared" si="95"/>
        <v>0.82933333333333348</v>
      </c>
    </row>
    <row r="3012" spans="1:29" ht="25.5">
      <c r="A3012" s="8" t="s">
        <v>13053</v>
      </c>
      <c r="B3012" s="17" t="s">
        <v>7749</v>
      </c>
      <c r="C3012" s="13">
        <v>42089</v>
      </c>
      <c r="D3012" s="13" t="s">
        <v>8463</v>
      </c>
      <c r="E3012" s="10" t="s">
        <v>1082</v>
      </c>
      <c r="F3012" s="10" t="s">
        <v>1165</v>
      </c>
      <c r="G3012" s="11" t="s">
        <v>140</v>
      </c>
      <c r="H3012" s="2" t="s">
        <v>1220</v>
      </c>
      <c r="K3012" s="18">
        <v>1</v>
      </c>
      <c r="L3012" s="18">
        <v>0</v>
      </c>
      <c r="Q3012" s="18">
        <v>0</v>
      </c>
      <c r="V3012" s="22">
        <f>4.05/5</f>
        <v>0.80999999999999994</v>
      </c>
      <c r="X3012" s="3">
        <v>3</v>
      </c>
      <c r="Z3012" s="23">
        <v>6.5</v>
      </c>
      <c r="AB3012" s="18">
        <f t="shared" si="94"/>
        <v>2015</v>
      </c>
      <c r="AC3012" s="22">
        <f t="shared" si="95"/>
        <v>0.70499999999999996</v>
      </c>
    </row>
    <row r="3013" spans="1:29">
      <c r="A3013" s="8" t="s">
        <v>9453</v>
      </c>
      <c r="B3013" s="17" t="s">
        <v>7800</v>
      </c>
      <c r="C3013" s="13">
        <v>42089</v>
      </c>
      <c r="D3013" s="13" t="s">
        <v>8465</v>
      </c>
      <c r="E3013" s="10" t="s">
        <v>4253</v>
      </c>
      <c r="F3013" s="10" t="s">
        <v>9454</v>
      </c>
      <c r="H3013" s="2" t="s">
        <v>78</v>
      </c>
      <c r="L3013" s="18">
        <v>1</v>
      </c>
      <c r="N3013" s="13">
        <v>44154</v>
      </c>
      <c r="O3013" s="29">
        <v>0</v>
      </c>
      <c r="P3013" s="18" t="s">
        <v>1107</v>
      </c>
      <c r="Q3013" s="18">
        <v>0</v>
      </c>
      <c r="U3013" s="22">
        <v>0.75</v>
      </c>
      <c r="V3013" s="22">
        <f>3.56/5</f>
        <v>0.71199999999999997</v>
      </c>
      <c r="W3013" s="14" t="s">
        <v>7799</v>
      </c>
      <c r="X3013" s="3">
        <v>3</v>
      </c>
      <c r="Z3013" s="23">
        <v>6.5</v>
      </c>
      <c r="AB3013" s="18">
        <f t="shared" si="94"/>
        <v>2015</v>
      </c>
      <c r="AC3013" s="22">
        <f t="shared" si="95"/>
        <v>0.68733333333333324</v>
      </c>
    </row>
    <row r="3014" spans="1:29">
      <c r="A3014" s="8" t="s">
        <v>3759</v>
      </c>
      <c r="B3014" s="17" t="s">
        <v>7800</v>
      </c>
      <c r="C3014" s="13">
        <v>42088</v>
      </c>
      <c r="D3014" s="13" t="s">
        <v>8465</v>
      </c>
      <c r="E3014" s="10" t="s">
        <v>3760</v>
      </c>
      <c r="F3014" s="10" t="s">
        <v>3760</v>
      </c>
      <c r="H3014" s="2" t="s">
        <v>67</v>
      </c>
      <c r="L3014" s="18">
        <v>1</v>
      </c>
      <c r="N3014" s="13">
        <v>42362</v>
      </c>
      <c r="P3014" s="18" t="s">
        <v>1107</v>
      </c>
      <c r="Q3014" s="18">
        <v>0</v>
      </c>
      <c r="U3014" s="22">
        <v>0.73</v>
      </c>
      <c r="V3014" s="22">
        <f>3.5/5</f>
        <v>0.7</v>
      </c>
      <c r="W3014" s="14" t="s">
        <v>7777</v>
      </c>
      <c r="X3014" s="3">
        <v>3</v>
      </c>
      <c r="Z3014" s="23">
        <v>1</v>
      </c>
      <c r="AB3014" s="18">
        <f t="shared" si="94"/>
        <v>2015</v>
      </c>
      <c r="AC3014" s="22">
        <f t="shared" si="95"/>
        <v>0.67666666666666664</v>
      </c>
    </row>
    <row r="3015" spans="1:29" ht="25.5">
      <c r="A3015" s="8" t="s">
        <v>13234</v>
      </c>
      <c r="B3015" s="17" t="s">
        <v>7800</v>
      </c>
      <c r="C3015" s="13">
        <v>42088</v>
      </c>
      <c r="D3015" s="13" t="s">
        <v>8465</v>
      </c>
      <c r="E3015" s="10" t="s">
        <v>13235</v>
      </c>
      <c r="F3015" s="10" t="s">
        <v>13235</v>
      </c>
      <c r="G3015" s="11" t="s">
        <v>13236</v>
      </c>
      <c r="H3015" s="2" t="s">
        <v>27</v>
      </c>
      <c r="L3015" s="18">
        <v>1</v>
      </c>
      <c r="P3015" s="18" t="s">
        <v>1107</v>
      </c>
      <c r="Q3015" s="18">
        <v>0</v>
      </c>
      <c r="U3015" s="22">
        <v>0.7</v>
      </c>
      <c r="V3015" s="22">
        <f>3.42/5</f>
        <v>0.68399999999999994</v>
      </c>
      <c r="W3015" s="14" t="s">
        <v>7777</v>
      </c>
      <c r="X3015" s="3">
        <v>2</v>
      </c>
      <c r="Z3015" s="23">
        <v>9.5</v>
      </c>
      <c r="AB3015" s="18">
        <f t="shared" si="94"/>
        <v>2015</v>
      </c>
      <c r="AC3015" s="22">
        <f t="shared" si="95"/>
        <v>0.59466666666666657</v>
      </c>
    </row>
    <row r="3016" spans="1:29" ht="45">
      <c r="A3016" s="8" t="s">
        <v>15014</v>
      </c>
      <c r="B3016" s="17" t="s">
        <v>7749</v>
      </c>
      <c r="C3016" s="13">
        <v>42087</v>
      </c>
      <c r="D3016" s="13" t="s">
        <v>8465</v>
      </c>
      <c r="E3016" s="10" t="s">
        <v>1156</v>
      </c>
      <c r="F3016" s="10" t="s">
        <v>4304</v>
      </c>
      <c r="G3016" s="11" t="s">
        <v>4305</v>
      </c>
      <c r="H3016" s="2" t="s">
        <v>80</v>
      </c>
      <c r="L3016" s="18">
        <v>0</v>
      </c>
      <c r="Q3016" s="18">
        <v>0</v>
      </c>
      <c r="V3016" s="22">
        <f>3.91/5</f>
        <v>0.78200000000000003</v>
      </c>
      <c r="X3016" s="3">
        <v>2</v>
      </c>
      <c r="Z3016" s="23">
        <v>5</v>
      </c>
      <c r="AB3016" s="18">
        <f t="shared" si="94"/>
        <v>2015</v>
      </c>
      <c r="AC3016" s="22">
        <f t="shared" si="95"/>
        <v>0.59099999999999997</v>
      </c>
    </row>
    <row r="3017" spans="1:29" ht="25.5">
      <c r="A3017" s="8" t="s">
        <v>6514</v>
      </c>
      <c r="B3017" s="17" t="s">
        <v>7766</v>
      </c>
      <c r="C3017" s="13">
        <v>42087</v>
      </c>
      <c r="D3017" s="13" t="s">
        <v>8465</v>
      </c>
      <c r="E3017" s="10" t="s">
        <v>3310</v>
      </c>
      <c r="F3017" s="10" t="s">
        <v>3154</v>
      </c>
      <c r="G3017" s="11" t="s">
        <v>3356</v>
      </c>
      <c r="H3017" s="2" t="s">
        <v>1050</v>
      </c>
      <c r="L3017" s="18">
        <v>1</v>
      </c>
      <c r="M3017" s="14" t="s">
        <v>8462</v>
      </c>
      <c r="N3017" s="13">
        <v>43496</v>
      </c>
      <c r="O3017" s="29">
        <v>15</v>
      </c>
      <c r="P3017" s="18" t="s">
        <v>14</v>
      </c>
      <c r="Q3017" s="18">
        <v>0</v>
      </c>
      <c r="U3017" s="22">
        <v>0.81</v>
      </c>
      <c r="V3017" s="22">
        <f>4.31/5</f>
        <v>0.86199999999999988</v>
      </c>
      <c r="X3017" s="3">
        <v>2</v>
      </c>
      <c r="Z3017" s="23">
        <v>85.5</v>
      </c>
      <c r="AB3017" s="18">
        <f t="shared" si="94"/>
        <v>2015</v>
      </c>
      <c r="AC3017" s="22">
        <f t="shared" si="95"/>
        <v>0.69066666666666665</v>
      </c>
    </row>
    <row r="3018" spans="1:29" ht="25.5">
      <c r="A3018" s="8" t="s">
        <v>4814</v>
      </c>
      <c r="B3018" s="17" t="s">
        <v>7800</v>
      </c>
      <c r="C3018" s="13">
        <v>42083</v>
      </c>
      <c r="D3018" s="13" t="s">
        <v>8465</v>
      </c>
      <c r="E3018" s="10" t="s">
        <v>73</v>
      </c>
      <c r="F3018" s="10" t="s">
        <v>73</v>
      </c>
      <c r="G3018" s="11" t="s">
        <v>943</v>
      </c>
      <c r="H3018" s="2" t="s">
        <v>1061</v>
      </c>
      <c r="L3018" s="18">
        <v>1</v>
      </c>
      <c r="N3018" s="13">
        <v>42290</v>
      </c>
      <c r="P3018" s="18" t="s">
        <v>1107</v>
      </c>
      <c r="Q3018" s="18">
        <v>0</v>
      </c>
      <c r="U3018" s="22">
        <v>0.81</v>
      </c>
      <c r="V3018" s="22">
        <f>3.55/5</f>
        <v>0.71</v>
      </c>
      <c r="W3018" s="14" t="s">
        <v>7777</v>
      </c>
      <c r="X3018" s="3">
        <v>3</v>
      </c>
      <c r="Z3018" s="23">
        <v>10</v>
      </c>
      <c r="AB3018" s="18">
        <f t="shared" si="94"/>
        <v>2015</v>
      </c>
      <c r="AC3018" s="22">
        <f t="shared" si="95"/>
        <v>0.70666666666666667</v>
      </c>
    </row>
    <row r="3019" spans="1:29">
      <c r="A3019" s="8" t="s">
        <v>11211</v>
      </c>
      <c r="B3019" s="17" t="s">
        <v>7749</v>
      </c>
      <c r="C3019" s="13">
        <v>42083</v>
      </c>
      <c r="D3019" s="13" t="s">
        <v>8465</v>
      </c>
      <c r="E3019" s="10" t="s">
        <v>86</v>
      </c>
      <c r="F3019" s="10" t="s">
        <v>2452</v>
      </c>
      <c r="G3019" s="11" t="s">
        <v>2178</v>
      </c>
      <c r="H3019" s="2" t="s">
        <v>149</v>
      </c>
      <c r="L3019" s="18">
        <v>1</v>
      </c>
      <c r="M3019" s="14" t="s">
        <v>8462</v>
      </c>
      <c r="N3019" s="13">
        <v>44901</v>
      </c>
      <c r="O3019" s="29">
        <v>27.13</v>
      </c>
      <c r="P3019" s="18" t="s">
        <v>14</v>
      </c>
      <c r="Q3019" s="18">
        <v>0</v>
      </c>
      <c r="U3019" s="22">
        <v>0.56999999999999995</v>
      </c>
      <c r="V3019" s="22">
        <f>3.58/5</f>
        <v>0.71599999999999997</v>
      </c>
      <c r="X3019" s="3">
        <v>2</v>
      </c>
      <c r="Z3019" s="23">
        <v>27</v>
      </c>
      <c r="AB3019" s="18">
        <f t="shared" si="94"/>
        <v>2015</v>
      </c>
      <c r="AC3019" s="22">
        <f t="shared" si="95"/>
        <v>0.56199999999999994</v>
      </c>
    </row>
    <row r="3020" spans="1:29">
      <c r="A3020" s="8" t="s">
        <v>1122</v>
      </c>
      <c r="B3020" s="17" t="s">
        <v>7743</v>
      </c>
      <c r="C3020" s="13">
        <v>42083</v>
      </c>
      <c r="D3020" s="13" t="s">
        <v>8465</v>
      </c>
      <c r="E3020" s="10" t="s">
        <v>86</v>
      </c>
      <c r="F3020" s="10" t="s">
        <v>1159</v>
      </c>
      <c r="G3020" s="11" t="s">
        <v>860</v>
      </c>
      <c r="H3020" s="2" t="s">
        <v>1142</v>
      </c>
      <c r="L3020" s="18">
        <v>1</v>
      </c>
      <c r="M3020" s="14" t="s">
        <v>8462</v>
      </c>
      <c r="N3020" s="13">
        <v>43518</v>
      </c>
      <c r="O3020" s="29">
        <v>23.99</v>
      </c>
      <c r="P3020" s="18" t="s">
        <v>14</v>
      </c>
      <c r="Q3020" s="18">
        <v>0</v>
      </c>
      <c r="U3020" s="22">
        <v>0.64</v>
      </c>
      <c r="V3020" s="22">
        <f>3.19/5</f>
        <v>0.63800000000000001</v>
      </c>
      <c r="X3020" s="3">
        <v>2</v>
      </c>
      <c r="Z3020" s="23">
        <v>3</v>
      </c>
      <c r="AB3020" s="18">
        <f t="shared" si="94"/>
        <v>2015</v>
      </c>
      <c r="AC3020" s="22">
        <f t="shared" si="95"/>
        <v>0.55933333333333335</v>
      </c>
    </row>
    <row r="3021" spans="1:29">
      <c r="A3021" s="8" t="s">
        <v>8302</v>
      </c>
      <c r="B3021" s="17" t="s">
        <v>7800</v>
      </c>
      <c r="C3021" s="13">
        <v>42080</v>
      </c>
      <c r="D3021" s="13" t="s">
        <v>8465</v>
      </c>
      <c r="E3021" s="10" t="s">
        <v>231</v>
      </c>
      <c r="F3021" s="10" t="s">
        <v>1543</v>
      </c>
      <c r="G3021" s="11" t="s">
        <v>6350</v>
      </c>
      <c r="H3021" s="2" t="s">
        <v>1050</v>
      </c>
      <c r="L3021" s="18">
        <v>1</v>
      </c>
      <c r="N3021" s="13">
        <v>43833</v>
      </c>
      <c r="O3021" s="29">
        <v>4.99</v>
      </c>
      <c r="P3021" s="18" t="s">
        <v>1107</v>
      </c>
      <c r="Q3021" s="18">
        <v>0</v>
      </c>
      <c r="U3021" s="22">
        <v>0.71</v>
      </c>
      <c r="V3021" s="22">
        <f>2.97/5</f>
        <v>0.59400000000000008</v>
      </c>
      <c r="W3021" s="14" t="s">
        <v>7796</v>
      </c>
      <c r="X3021" s="3">
        <v>3</v>
      </c>
      <c r="Z3021" s="23">
        <v>7.5</v>
      </c>
      <c r="AB3021" s="18">
        <f t="shared" si="94"/>
        <v>2015</v>
      </c>
      <c r="AC3021" s="22">
        <f t="shared" si="95"/>
        <v>0.6346666666666666</v>
      </c>
    </row>
    <row r="3022" spans="1:29" ht="25.5">
      <c r="A3022" s="8" t="s">
        <v>4565</v>
      </c>
      <c r="B3022" s="17" t="s">
        <v>7800</v>
      </c>
      <c r="C3022" s="13">
        <v>42080</v>
      </c>
      <c r="D3022" s="13" t="s">
        <v>8465</v>
      </c>
      <c r="E3022" s="10" t="s">
        <v>4566</v>
      </c>
      <c r="F3022" s="10" t="s">
        <v>4567</v>
      </c>
      <c r="G3022" s="11" t="s">
        <v>4568</v>
      </c>
      <c r="H3022" s="2" t="s">
        <v>80</v>
      </c>
      <c r="L3022" s="18">
        <v>1</v>
      </c>
      <c r="N3022" s="13">
        <v>42437</v>
      </c>
      <c r="P3022" s="18" t="s">
        <v>1107</v>
      </c>
      <c r="Q3022" s="18">
        <v>0</v>
      </c>
      <c r="U3022" s="22">
        <v>0.82</v>
      </c>
      <c r="V3022" s="22">
        <f>3.7/5</f>
        <v>0.74</v>
      </c>
      <c r="W3022" s="14" t="s">
        <v>7777</v>
      </c>
      <c r="X3022" s="3">
        <v>3</v>
      </c>
      <c r="Z3022" s="23">
        <v>9.5</v>
      </c>
      <c r="AB3022" s="18">
        <f t="shared" si="94"/>
        <v>2015</v>
      </c>
      <c r="AC3022" s="22">
        <f t="shared" si="95"/>
        <v>0.72000000000000008</v>
      </c>
    </row>
    <row r="3023" spans="1:29" ht="30">
      <c r="A3023" s="8" t="s">
        <v>9042</v>
      </c>
      <c r="B3023" s="17" t="s">
        <v>7759</v>
      </c>
      <c r="C3023" s="13">
        <v>42080</v>
      </c>
      <c r="D3023" s="13" t="s">
        <v>8465</v>
      </c>
      <c r="E3023" s="10" t="s">
        <v>1062</v>
      </c>
      <c r="F3023" s="10" t="s">
        <v>2285</v>
      </c>
      <c r="G3023" s="11" t="s">
        <v>8801</v>
      </c>
      <c r="H3023" s="2" t="s">
        <v>75</v>
      </c>
      <c r="L3023" s="18">
        <v>1</v>
      </c>
      <c r="M3023" s="14" t="s">
        <v>8462</v>
      </c>
      <c r="N3023" s="13">
        <v>44382</v>
      </c>
      <c r="O3023" s="29">
        <v>42.47</v>
      </c>
      <c r="P3023" s="18" t="s">
        <v>14</v>
      </c>
      <c r="Q3023" s="18">
        <v>0</v>
      </c>
      <c r="U3023" s="22">
        <v>0.65</v>
      </c>
      <c r="V3023" s="22">
        <f>3.45/5</f>
        <v>0.69000000000000006</v>
      </c>
      <c r="X3023" s="3">
        <v>3</v>
      </c>
      <c r="Z3023" s="23">
        <v>16.5</v>
      </c>
      <c r="AB3023" s="18">
        <f t="shared" si="94"/>
        <v>2015</v>
      </c>
      <c r="AC3023" s="22">
        <f t="shared" si="95"/>
        <v>0.64666666666666661</v>
      </c>
    </row>
    <row r="3024" spans="1:29">
      <c r="A3024" s="8" t="s">
        <v>2365</v>
      </c>
      <c r="B3024" s="17" t="s">
        <v>7749</v>
      </c>
      <c r="C3024" s="13">
        <v>42076</v>
      </c>
      <c r="D3024" s="13" t="s">
        <v>8465</v>
      </c>
      <c r="E3024" s="10" t="s">
        <v>86</v>
      </c>
      <c r="F3024" s="10" t="s">
        <v>1069</v>
      </c>
      <c r="H3024" s="2" t="s">
        <v>75</v>
      </c>
      <c r="L3024" s="18">
        <v>1</v>
      </c>
      <c r="M3024" s="14" t="s">
        <v>8462</v>
      </c>
      <c r="N3024" s="13">
        <v>42190</v>
      </c>
      <c r="O3024" s="29">
        <v>28.11</v>
      </c>
      <c r="P3024" s="18" t="s">
        <v>14</v>
      </c>
      <c r="Q3024" s="18">
        <v>0</v>
      </c>
      <c r="U3024" s="22">
        <v>0.69</v>
      </c>
      <c r="V3024" s="22">
        <f>3.71/5</f>
        <v>0.74199999999999999</v>
      </c>
      <c r="X3024" s="3">
        <v>3</v>
      </c>
      <c r="Z3024" s="23">
        <v>21</v>
      </c>
      <c r="AB3024" s="18">
        <f t="shared" si="94"/>
        <v>2015</v>
      </c>
      <c r="AC3024" s="22">
        <f t="shared" si="95"/>
        <v>0.67733333333333334</v>
      </c>
    </row>
    <row r="3025" spans="1:29">
      <c r="A3025" s="8" t="s">
        <v>3714</v>
      </c>
      <c r="B3025" s="17" t="s">
        <v>7800</v>
      </c>
      <c r="C3025" s="13">
        <v>42075</v>
      </c>
      <c r="D3025" s="13" t="s">
        <v>8465</v>
      </c>
      <c r="E3025" s="10" t="s">
        <v>3715</v>
      </c>
      <c r="F3025" s="10" t="s">
        <v>3715</v>
      </c>
      <c r="H3025" s="2" t="s">
        <v>56</v>
      </c>
      <c r="L3025" s="18">
        <v>1</v>
      </c>
      <c r="N3025" s="13">
        <v>43101</v>
      </c>
      <c r="P3025" s="18" t="s">
        <v>1107</v>
      </c>
      <c r="Q3025" s="18">
        <v>0</v>
      </c>
      <c r="U3025" s="22">
        <v>0.7</v>
      </c>
      <c r="V3025" s="22">
        <f>3.18/5</f>
        <v>0.63600000000000001</v>
      </c>
      <c r="W3025" s="14" t="s">
        <v>7777</v>
      </c>
      <c r="X3025" s="3">
        <v>3</v>
      </c>
      <c r="Z3025" s="23">
        <v>2</v>
      </c>
      <c r="AB3025" s="18">
        <f t="shared" si="94"/>
        <v>2015</v>
      </c>
      <c r="AC3025" s="22">
        <f t="shared" si="95"/>
        <v>0.64533333333333331</v>
      </c>
    </row>
    <row r="3026" spans="1:29">
      <c r="A3026" s="8" t="s">
        <v>13740</v>
      </c>
      <c r="B3026" s="17" t="s">
        <v>7749</v>
      </c>
      <c r="C3026" s="13">
        <v>42075</v>
      </c>
      <c r="D3026" s="13" t="s">
        <v>8465</v>
      </c>
      <c r="E3026" s="10" t="s">
        <v>455</v>
      </c>
      <c r="F3026" s="10" t="s">
        <v>1081</v>
      </c>
      <c r="G3026" s="11" t="s">
        <v>13741</v>
      </c>
      <c r="H3026" s="2" t="s">
        <v>150</v>
      </c>
      <c r="L3026" s="18">
        <v>1</v>
      </c>
      <c r="N3026" s="13">
        <v>45003</v>
      </c>
      <c r="O3026" s="29">
        <v>5.99</v>
      </c>
      <c r="P3026" s="18" t="s">
        <v>1107</v>
      </c>
      <c r="Q3026" s="18">
        <v>0</v>
      </c>
      <c r="U3026" s="22">
        <v>0.87</v>
      </c>
      <c r="V3026" s="22">
        <f>4.11/5</f>
        <v>0.82200000000000006</v>
      </c>
      <c r="X3026" s="3">
        <v>2</v>
      </c>
      <c r="Z3026" s="23">
        <f>32/60</f>
        <v>0.53333333333333333</v>
      </c>
      <c r="AB3026" s="18">
        <f t="shared" si="94"/>
        <v>2015</v>
      </c>
      <c r="AC3026" s="22">
        <f t="shared" si="95"/>
        <v>0.69733333333333336</v>
      </c>
    </row>
    <row r="3027" spans="1:29">
      <c r="A3027" s="8" t="s">
        <v>12932</v>
      </c>
      <c r="B3027" s="17" t="s">
        <v>6317</v>
      </c>
      <c r="C3027" s="13">
        <v>42075</v>
      </c>
      <c r="D3027" s="13" t="s">
        <v>8465</v>
      </c>
      <c r="E3027" s="10" t="s">
        <v>3568</v>
      </c>
      <c r="F3027" s="10" t="s">
        <v>3568</v>
      </c>
      <c r="G3027" s="11" t="s">
        <v>10629</v>
      </c>
      <c r="H3027" s="2" t="s">
        <v>1170</v>
      </c>
      <c r="L3027" s="18">
        <v>0</v>
      </c>
      <c r="Q3027" s="18">
        <v>0</v>
      </c>
      <c r="V3027" s="22">
        <f>3.67/5</f>
        <v>0.73399999999999999</v>
      </c>
      <c r="X3027" s="3">
        <v>2</v>
      </c>
      <c r="Z3027" s="23">
        <f>33/60</f>
        <v>0.55000000000000004</v>
      </c>
      <c r="AB3027" s="18">
        <f t="shared" si="94"/>
        <v>2015</v>
      </c>
      <c r="AC3027" s="22">
        <f t="shared" si="95"/>
        <v>0.56699999999999995</v>
      </c>
    </row>
    <row r="3028" spans="1:29" ht="25.5">
      <c r="A3028" s="8" t="s">
        <v>4136</v>
      </c>
      <c r="B3028" s="17" t="s">
        <v>7800</v>
      </c>
      <c r="C3028" s="13">
        <v>42073</v>
      </c>
      <c r="D3028" s="13" t="s">
        <v>8465</v>
      </c>
      <c r="E3028" s="10" t="s">
        <v>3063</v>
      </c>
      <c r="F3028" s="10" t="s">
        <v>4135</v>
      </c>
      <c r="G3028" s="11" t="s">
        <v>4134</v>
      </c>
      <c r="H3028" s="2" t="s">
        <v>2138</v>
      </c>
      <c r="L3028" s="18">
        <v>1</v>
      </c>
      <c r="N3028" s="13">
        <v>42166</v>
      </c>
      <c r="O3028" s="29">
        <v>10.039999999999999</v>
      </c>
      <c r="P3028" s="18" t="s">
        <v>1107</v>
      </c>
      <c r="Q3028" s="18">
        <v>0</v>
      </c>
      <c r="U3028" s="22">
        <v>0.75</v>
      </c>
      <c r="V3028" s="22">
        <f>3.86/5</f>
        <v>0.77200000000000002</v>
      </c>
      <c r="W3028" s="14" t="s">
        <v>7777</v>
      </c>
      <c r="X3028" s="3">
        <v>4</v>
      </c>
      <c r="Z3028" s="23">
        <v>9</v>
      </c>
      <c r="AB3028" s="18">
        <f t="shared" si="94"/>
        <v>2015</v>
      </c>
      <c r="AC3028" s="22">
        <f t="shared" si="95"/>
        <v>0.77400000000000002</v>
      </c>
    </row>
    <row r="3029" spans="1:29">
      <c r="A3029" s="8" t="s">
        <v>3452</v>
      </c>
      <c r="B3029" s="17" t="s">
        <v>7800</v>
      </c>
      <c r="C3029" s="13">
        <v>42073</v>
      </c>
      <c r="D3029" s="13" t="s">
        <v>8465</v>
      </c>
      <c r="E3029" s="10" t="s">
        <v>3453</v>
      </c>
      <c r="F3029" s="10" t="s">
        <v>3454</v>
      </c>
      <c r="G3029" s="11" t="s">
        <v>3455</v>
      </c>
      <c r="H3029" s="2" t="s">
        <v>1334</v>
      </c>
      <c r="L3029" s="18">
        <v>1</v>
      </c>
      <c r="N3029" s="13">
        <v>43442</v>
      </c>
      <c r="P3029" s="18" t="s">
        <v>1107</v>
      </c>
      <c r="Q3029" s="18">
        <v>0</v>
      </c>
      <c r="U3029" s="22">
        <v>0.86</v>
      </c>
      <c r="V3029" s="22">
        <f>4/5</f>
        <v>0.8</v>
      </c>
      <c r="W3029" s="14" t="s">
        <v>7777</v>
      </c>
      <c r="X3029" s="3">
        <v>3</v>
      </c>
      <c r="Z3029" s="23">
        <v>23.5</v>
      </c>
      <c r="AB3029" s="18">
        <f t="shared" si="94"/>
        <v>2015</v>
      </c>
      <c r="AC3029" s="22">
        <f t="shared" si="95"/>
        <v>0.75333333333333341</v>
      </c>
    </row>
    <row r="3030" spans="1:29" ht="38.25">
      <c r="A3030" s="8" t="s">
        <v>5928</v>
      </c>
      <c r="B3030" s="17" t="s">
        <v>7759</v>
      </c>
      <c r="C3030" s="13">
        <v>42073</v>
      </c>
      <c r="D3030" s="13" t="s">
        <v>8465</v>
      </c>
      <c r="E3030" s="10" t="s">
        <v>1565</v>
      </c>
      <c r="F3030" s="10" t="s">
        <v>1566</v>
      </c>
      <c r="G3030" s="11" t="s">
        <v>1567</v>
      </c>
      <c r="H3030" s="2" t="s">
        <v>149</v>
      </c>
      <c r="L3030" s="18">
        <v>1</v>
      </c>
      <c r="M3030" s="14" t="s">
        <v>8462</v>
      </c>
      <c r="N3030" s="13">
        <v>43533</v>
      </c>
      <c r="O3030" s="29">
        <v>15.5</v>
      </c>
      <c r="P3030" s="18" t="s">
        <v>14</v>
      </c>
      <c r="Q3030" s="18">
        <v>0</v>
      </c>
      <c r="U3030" s="22">
        <v>0.8</v>
      </c>
      <c r="V3030" s="22">
        <f>3.95/5</f>
        <v>0.79</v>
      </c>
      <c r="X3030" s="3">
        <v>3</v>
      </c>
      <c r="Z3030" s="23">
        <v>28</v>
      </c>
      <c r="AB3030" s="18">
        <f t="shared" si="94"/>
        <v>2015</v>
      </c>
      <c r="AC3030" s="22">
        <f t="shared" si="95"/>
        <v>0.73</v>
      </c>
    </row>
    <row r="3031" spans="1:29" ht="25.5">
      <c r="A3031" s="8" t="s">
        <v>4494</v>
      </c>
      <c r="B3031" s="17" t="s">
        <v>7800</v>
      </c>
      <c r="C3031" s="13">
        <v>42073</v>
      </c>
      <c r="D3031" s="13" t="s">
        <v>8465</v>
      </c>
      <c r="E3031" s="10" t="s">
        <v>4495</v>
      </c>
      <c r="F3031" s="10" t="s">
        <v>4495</v>
      </c>
      <c r="G3031" s="11" t="s">
        <v>4496</v>
      </c>
      <c r="H3031" s="2" t="s">
        <v>56</v>
      </c>
      <c r="L3031" s="18">
        <v>1</v>
      </c>
      <c r="N3031" s="13">
        <v>42137</v>
      </c>
      <c r="P3031" s="18" t="s">
        <v>1107</v>
      </c>
      <c r="Q3031" s="18">
        <v>0</v>
      </c>
      <c r="U3031" s="22">
        <v>0.53</v>
      </c>
      <c r="W3031" s="14" t="s">
        <v>7777</v>
      </c>
      <c r="X3031" s="3">
        <v>3</v>
      </c>
      <c r="Z3031" s="23">
        <v>6</v>
      </c>
      <c r="AB3031" s="18">
        <f t="shared" si="94"/>
        <v>2015</v>
      </c>
      <c r="AC3031" s="22">
        <f t="shared" si="95"/>
        <v>0.56499999999999995</v>
      </c>
    </row>
    <row r="3032" spans="1:29">
      <c r="A3032" s="8" t="s">
        <v>4985</v>
      </c>
      <c r="B3032" s="17" t="s">
        <v>7800</v>
      </c>
      <c r="C3032" s="13">
        <v>42072</v>
      </c>
      <c r="D3032" s="13" t="s">
        <v>8465</v>
      </c>
      <c r="E3032" s="10" t="s">
        <v>4689</v>
      </c>
      <c r="F3032" s="10" t="s">
        <v>4689</v>
      </c>
      <c r="G3032" s="11" t="s">
        <v>4984</v>
      </c>
      <c r="H3032" s="2" t="s">
        <v>67</v>
      </c>
      <c r="L3032" s="18">
        <v>1</v>
      </c>
      <c r="N3032" s="13">
        <v>43363</v>
      </c>
      <c r="P3032" s="18" t="s">
        <v>1107</v>
      </c>
      <c r="Q3032" s="18">
        <v>0</v>
      </c>
      <c r="U3032" s="22">
        <v>0.53</v>
      </c>
      <c r="V3032" s="22">
        <f>3.74/5</f>
        <v>0.748</v>
      </c>
      <c r="W3032" s="14" t="s">
        <v>7777</v>
      </c>
      <c r="X3032" s="3">
        <v>3</v>
      </c>
      <c r="Z3032" s="23">
        <v>2</v>
      </c>
      <c r="AB3032" s="18">
        <f t="shared" si="94"/>
        <v>2015</v>
      </c>
      <c r="AC3032" s="22">
        <f t="shared" si="95"/>
        <v>0.626</v>
      </c>
    </row>
    <row r="3033" spans="1:29" ht="30">
      <c r="A3033" s="8" t="s">
        <v>5633</v>
      </c>
      <c r="B3033" s="17" t="s">
        <v>7800</v>
      </c>
      <c r="C3033" s="13">
        <v>42069</v>
      </c>
      <c r="D3033" s="13" t="s">
        <v>8465</v>
      </c>
      <c r="E3033" s="10" t="s">
        <v>3152</v>
      </c>
      <c r="F3033" s="10" t="s">
        <v>3152</v>
      </c>
      <c r="G3033" s="11" t="s">
        <v>5047</v>
      </c>
      <c r="H3033" s="2" t="s">
        <v>1061</v>
      </c>
      <c r="L3033" s="18">
        <v>1</v>
      </c>
      <c r="N3033" s="13">
        <v>43442</v>
      </c>
      <c r="P3033" s="18" t="s">
        <v>1107</v>
      </c>
      <c r="Q3033" s="18">
        <v>0</v>
      </c>
      <c r="U3033" s="22">
        <v>0.75</v>
      </c>
      <c r="V3033" s="22">
        <f>3.53/5</f>
        <v>0.70599999999999996</v>
      </c>
      <c r="W3033" s="14" t="s">
        <v>7777</v>
      </c>
      <c r="X3033" s="3">
        <v>3</v>
      </c>
      <c r="Z3033" s="23">
        <v>14.5</v>
      </c>
      <c r="AB3033" s="18">
        <f t="shared" si="94"/>
        <v>2015</v>
      </c>
      <c r="AC3033" s="22">
        <f t="shared" si="95"/>
        <v>0.68533333333333335</v>
      </c>
    </row>
    <row r="3034" spans="1:29" ht="30">
      <c r="A3034" s="8" t="s">
        <v>10278</v>
      </c>
      <c r="B3034" s="17" t="s">
        <v>7743</v>
      </c>
      <c r="C3034" s="13">
        <v>42068</v>
      </c>
      <c r="D3034" s="13" t="s">
        <v>8465</v>
      </c>
      <c r="E3034" s="10" t="s">
        <v>86</v>
      </c>
      <c r="F3034" s="10" t="s">
        <v>1506</v>
      </c>
      <c r="G3034" s="11" t="s">
        <v>1964</v>
      </c>
      <c r="H3034" s="2" t="s">
        <v>78</v>
      </c>
      <c r="L3034" s="18">
        <v>1</v>
      </c>
      <c r="N3034" s="13">
        <v>44413</v>
      </c>
      <c r="O3034" s="29">
        <v>19.989999999999998</v>
      </c>
      <c r="P3034" s="18" t="s">
        <v>1107</v>
      </c>
      <c r="Q3034" s="18">
        <v>0</v>
      </c>
      <c r="U3034" s="22">
        <v>0.7</v>
      </c>
      <c r="V3034" s="22">
        <f>3.81/5</f>
        <v>0.76200000000000001</v>
      </c>
      <c r="X3034" s="3">
        <v>3</v>
      </c>
      <c r="Z3034" s="23">
        <v>4</v>
      </c>
      <c r="AB3034" s="18">
        <f t="shared" si="94"/>
        <v>2015</v>
      </c>
      <c r="AC3034" s="22">
        <f t="shared" si="95"/>
        <v>0.68733333333333324</v>
      </c>
    </row>
    <row r="3035" spans="1:29">
      <c r="A3035" s="8" t="s">
        <v>2441</v>
      </c>
      <c r="B3035" s="17" t="s">
        <v>7749</v>
      </c>
      <c r="C3035" s="13">
        <v>42068</v>
      </c>
      <c r="D3035" s="13" t="s">
        <v>8465</v>
      </c>
      <c r="E3035" s="10" t="s">
        <v>1151</v>
      </c>
      <c r="F3035" s="10" t="s">
        <v>2478</v>
      </c>
      <c r="G3035" s="11" t="s">
        <v>2441</v>
      </c>
      <c r="H3035" s="2" t="s">
        <v>255</v>
      </c>
      <c r="L3035" s="18">
        <v>1</v>
      </c>
      <c r="N3035" s="13">
        <v>42197</v>
      </c>
      <c r="O3035" s="29">
        <v>0</v>
      </c>
      <c r="P3035" s="18" t="s">
        <v>1107</v>
      </c>
      <c r="Q3035" s="18">
        <v>0</v>
      </c>
      <c r="U3035" s="22">
        <v>0.73</v>
      </c>
      <c r="V3035" s="22">
        <f>3.61/5</f>
        <v>0.72199999999999998</v>
      </c>
      <c r="X3035" s="3">
        <v>2</v>
      </c>
      <c r="Z3035" s="23">
        <v>4</v>
      </c>
      <c r="AB3035" s="18">
        <f t="shared" si="94"/>
        <v>2015</v>
      </c>
      <c r="AC3035" s="22">
        <f t="shared" si="95"/>
        <v>0.61733333333333329</v>
      </c>
    </row>
    <row r="3036" spans="1:29" ht="25.5">
      <c r="A3036" s="8" t="s">
        <v>5448</v>
      </c>
      <c r="B3036" s="17" t="s">
        <v>7800</v>
      </c>
      <c r="C3036" s="13">
        <v>42067</v>
      </c>
      <c r="D3036" s="13" t="s">
        <v>8465</v>
      </c>
      <c r="E3036" s="10" t="s">
        <v>5449</v>
      </c>
      <c r="F3036" s="10" t="s">
        <v>5449</v>
      </c>
      <c r="H3036" s="2" t="s">
        <v>67</v>
      </c>
      <c r="L3036" s="18">
        <v>1</v>
      </c>
      <c r="N3036" s="13">
        <v>43454</v>
      </c>
      <c r="O3036" s="29">
        <v>4.07</v>
      </c>
      <c r="P3036" s="18" t="s">
        <v>1107</v>
      </c>
      <c r="Q3036" s="18">
        <v>0</v>
      </c>
      <c r="U3036" s="22">
        <v>0.7</v>
      </c>
      <c r="V3036" s="22">
        <f>3.61/5</f>
        <v>0.72199999999999998</v>
      </c>
      <c r="W3036" s="14" t="s">
        <v>7777</v>
      </c>
      <c r="X3036" s="3">
        <v>4</v>
      </c>
      <c r="Z3036" s="23">
        <v>3</v>
      </c>
      <c r="AB3036" s="18">
        <f t="shared" si="94"/>
        <v>2015</v>
      </c>
      <c r="AC3036" s="22">
        <f t="shared" si="95"/>
        <v>0.7406666666666667</v>
      </c>
    </row>
    <row r="3037" spans="1:29" ht="30">
      <c r="A3037" s="8" t="s">
        <v>8435</v>
      </c>
      <c r="B3037" s="17" t="s">
        <v>7763</v>
      </c>
      <c r="C3037" s="13">
        <v>42066</v>
      </c>
      <c r="D3037" s="13" t="s">
        <v>9335</v>
      </c>
      <c r="E3037" s="10" t="s">
        <v>2908</v>
      </c>
      <c r="F3037" s="10" t="s">
        <v>1375</v>
      </c>
      <c r="G3037" s="11" t="s">
        <v>8436</v>
      </c>
      <c r="H3037" s="2" t="s">
        <v>149</v>
      </c>
      <c r="K3037" s="18">
        <v>2</v>
      </c>
      <c r="L3037" s="18">
        <v>1</v>
      </c>
      <c r="M3037" s="14" t="s">
        <v>8462</v>
      </c>
      <c r="N3037" s="13">
        <v>44021</v>
      </c>
      <c r="O3037" s="29">
        <v>47.89</v>
      </c>
      <c r="P3037" s="18" t="s">
        <v>14</v>
      </c>
      <c r="Q3037" s="18">
        <v>0</v>
      </c>
      <c r="U3037" s="22">
        <v>0.78</v>
      </c>
      <c r="V3037" s="22">
        <f>4.07/5</f>
        <v>0.81400000000000006</v>
      </c>
      <c r="X3037" s="3">
        <v>3</v>
      </c>
      <c r="Z3037" s="23">
        <v>31</v>
      </c>
      <c r="AB3037" s="18">
        <f t="shared" si="94"/>
        <v>2015</v>
      </c>
      <c r="AC3037" s="22">
        <f t="shared" si="95"/>
        <v>0.73133333333333328</v>
      </c>
    </row>
    <row r="3038" spans="1:29">
      <c r="A3038" s="8" t="s">
        <v>8328</v>
      </c>
      <c r="B3038" s="17" t="s">
        <v>7800</v>
      </c>
      <c r="C3038" s="13">
        <v>42066</v>
      </c>
      <c r="D3038" s="13" t="s">
        <v>8465</v>
      </c>
      <c r="E3038" s="10" t="s">
        <v>3808</v>
      </c>
      <c r="F3038" s="10" t="s">
        <v>8329</v>
      </c>
      <c r="H3038" s="2" t="s">
        <v>1061</v>
      </c>
      <c r="L3038" s="18">
        <v>1</v>
      </c>
      <c r="N3038" s="13">
        <v>43864</v>
      </c>
      <c r="O3038" s="29">
        <v>0</v>
      </c>
      <c r="P3038" s="18" t="s">
        <v>1107</v>
      </c>
      <c r="Q3038" s="18">
        <v>0</v>
      </c>
      <c r="U3038" s="22">
        <v>0.68</v>
      </c>
      <c r="V3038" s="22">
        <f>2.92/5</f>
        <v>0.58399999999999996</v>
      </c>
      <c r="W3038" s="14" t="s">
        <v>7799</v>
      </c>
      <c r="X3038" s="3">
        <v>2</v>
      </c>
      <c r="Z3038" s="23">
        <v>6</v>
      </c>
      <c r="AB3038" s="18">
        <f t="shared" si="94"/>
        <v>2015</v>
      </c>
      <c r="AC3038" s="22">
        <f t="shared" si="95"/>
        <v>0.55466666666666675</v>
      </c>
    </row>
    <row r="3039" spans="1:29">
      <c r="A3039" s="8" t="s">
        <v>5296</v>
      </c>
      <c r="B3039" s="17" t="s">
        <v>7800</v>
      </c>
      <c r="C3039" s="13">
        <v>42062</v>
      </c>
      <c r="D3039" s="13" t="s">
        <v>8465</v>
      </c>
      <c r="E3039" s="10" t="s">
        <v>4785</v>
      </c>
      <c r="F3039" s="10" t="s">
        <v>4785</v>
      </c>
      <c r="H3039" s="2" t="s">
        <v>64</v>
      </c>
      <c r="L3039" s="18">
        <v>1</v>
      </c>
      <c r="N3039" s="13">
        <v>42431</v>
      </c>
      <c r="P3039" s="18" t="s">
        <v>1107</v>
      </c>
      <c r="Q3039" s="18">
        <v>0</v>
      </c>
      <c r="U3039" s="22">
        <v>0.62</v>
      </c>
      <c r="V3039" s="22">
        <f>2.58/5</f>
        <v>0.51600000000000001</v>
      </c>
      <c r="W3039" s="14" t="s">
        <v>7777</v>
      </c>
      <c r="X3039" s="3">
        <v>3</v>
      </c>
      <c r="Z3039" s="23">
        <v>3</v>
      </c>
      <c r="AB3039" s="18">
        <f t="shared" si="94"/>
        <v>2015</v>
      </c>
      <c r="AC3039" s="22">
        <f t="shared" si="95"/>
        <v>0.57866666666666677</v>
      </c>
    </row>
    <row r="3040" spans="1:29">
      <c r="A3040" s="8" t="s">
        <v>10257</v>
      </c>
      <c r="B3040" s="17" t="s">
        <v>7749</v>
      </c>
      <c r="C3040" s="13">
        <v>42061</v>
      </c>
      <c r="D3040" s="13" t="s">
        <v>8465</v>
      </c>
      <c r="E3040" s="10" t="s">
        <v>10285</v>
      </c>
      <c r="F3040" s="10" t="s">
        <v>10285</v>
      </c>
      <c r="H3040" s="2" t="s">
        <v>1168</v>
      </c>
      <c r="L3040" s="18">
        <v>1</v>
      </c>
      <c r="N3040" s="13">
        <v>44610</v>
      </c>
      <c r="O3040" s="29">
        <v>9.99</v>
      </c>
      <c r="P3040" s="18" t="s">
        <v>1107</v>
      </c>
      <c r="Q3040" s="18">
        <v>0</v>
      </c>
      <c r="U3040" s="22">
        <v>0.48</v>
      </c>
      <c r="V3040" s="22">
        <f>3.32/5</f>
        <v>0.66399999999999992</v>
      </c>
      <c r="X3040" s="3">
        <v>3</v>
      </c>
      <c r="Z3040" s="23">
        <v>5.5</v>
      </c>
      <c r="AB3040" s="18">
        <f t="shared" si="94"/>
        <v>2015</v>
      </c>
      <c r="AC3040" s="22">
        <f t="shared" si="95"/>
        <v>0.58133333333333326</v>
      </c>
    </row>
    <row r="3041" spans="1:29">
      <c r="A3041" s="8" t="s">
        <v>7055</v>
      </c>
      <c r="B3041" s="17" t="s">
        <v>7800</v>
      </c>
      <c r="C3041" s="13">
        <v>42061</v>
      </c>
      <c r="D3041" s="13" t="s">
        <v>8465</v>
      </c>
      <c r="E3041" s="10" t="s">
        <v>7056</v>
      </c>
      <c r="F3041" s="10" t="s">
        <v>7056</v>
      </c>
      <c r="H3041" s="2" t="s">
        <v>245</v>
      </c>
      <c r="L3041" s="18">
        <v>1</v>
      </c>
      <c r="N3041" s="13">
        <v>43860</v>
      </c>
      <c r="O3041" s="29">
        <v>0</v>
      </c>
      <c r="P3041" s="18" t="s">
        <v>1107</v>
      </c>
      <c r="Q3041" s="18">
        <v>0</v>
      </c>
      <c r="V3041" s="22">
        <f>3.14/5</f>
        <v>0.628</v>
      </c>
      <c r="W3041" s="14" t="s">
        <v>7777</v>
      </c>
      <c r="X3041" s="3">
        <v>3</v>
      </c>
      <c r="Z3041" s="23">
        <v>9.5</v>
      </c>
      <c r="AB3041" s="18">
        <f t="shared" si="94"/>
        <v>2015</v>
      </c>
      <c r="AC3041" s="22">
        <f t="shared" si="95"/>
        <v>0.61399999999999999</v>
      </c>
    </row>
    <row r="3042" spans="1:29" ht="25.5">
      <c r="A3042" s="8" t="s">
        <v>4132</v>
      </c>
      <c r="B3042" s="17" t="s">
        <v>7800</v>
      </c>
      <c r="C3042" s="13">
        <v>42060</v>
      </c>
      <c r="D3042" s="13" t="s">
        <v>8465</v>
      </c>
      <c r="E3042" s="10" t="s">
        <v>3154</v>
      </c>
      <c r="F3042" s="10" t="s">
        <v>3154</v>
      </c>
      <c r="G3042" s="11" t="s">
        <v>4133</v>
      </c>
      <c r="H3042" s="2" t="s">
        <v>1143</v>
      </c>
      <c r="L3042" s="18">
        <v>1</v>
      </c>
      <c r="N3042" s="13">
        <v>42752</v>
      </c>
      <c r="P3042" s="18" t="s">
        <v>1107</v>
      </c>
      <c r="Q3042" s="18">
        <v>0</v>
      </c>
      <c r="U3042" s="22">
        <v>0.88</v>
      </c>
      <c r="V3042" s="22">
        <f>3.88/5</f>
        <v>0.77600000000000002</v>
      </c>
      <c r="W3042" s="14" t="s">
        <v>7777</v>
      </c>
      <c r="X3042" s="3">
        <v>4</v>
      </c>
      <c r="Z3042" s="23">
        <v>23.5</v>
      </c>
      <c r="AB3042" s="18">
        <f t="shared" si="94"/>
        <v>2015</v>
      </c>
      <c r="AC3042" s="22">
        <f t="shared" si="95"/>
        <v>0.81866666666666676</v>
      </c>
    </row>
    <row r="3043" spans="1:29" ht="30">
      <c r="A3043" s="8" t="s">
        <v>6998</v>
      </c>
      <c r="B3043" s="17" t="s">
        <v>7800</v>
      </c>
      <c r="C3043" s="13">
        <v>42060</v>
      </c>
      <c r="D3043" s="13" t="s">
        <v>8465</v>
      </c>
      <c r="E3043" s="10" t="s">
        <v>6999</v>
      </c>
      <c r="F3043" s="10" t="s">
        <v>7000</v>
      </c>
      <c r="H3043" s="2" t="s">
        <v>78</v>
      </c>
      <c r="L3043" s="18">
        <v>1</v>
      </c>
      <c r="O3043" s="29">
        <v>0</v>
      </c>
      <c r="P3043" s="18" t="s">
        <v>1107</v>
      </c>
      <c r="Q3043" s="18">
        <v>0</v>
      </c>
      <c r="U3043" s="22">
        <v>0.8</v>
      </c>
      <c r="V3043" s="22">
        <f>3.8/5</f>
        <v>0.76</v>
      </c>
      <c r="W3043" s="14" t="s">
        <v>7799</v>
      </c>
      <c r="X3043" s="3">
        <v>2</v>
      </c>
      <c r="Z3043" s="23">
        <v>1.5</v>
      </c>
      <c r="AB3043" s="18">
        <f t="shared" si="94"/>
        <v>2015</v>
      </c>
      <c r="AC3043" s="22">
        <f t="shared" si="95"/>
        <v>0.65333333333333332</v>
      </c>
    </row>
    <row r="3044" spans="1:29" ht="25.5">
      <c r="A3044" s="8" t="s">
        <v>11448</v>
      </c>
      <c r="B3044" s="17" t="s">
        <v>7759</v>
      </c>
      <c r="C3044" s="13">
        <v>42059</v>
      </c>
      <c r="D3044" s="13" t="s">
        <v>8465</v>
      </c>
      <c r="E3044" s="10" t="s">
        <v>2335</v>
      </c>
      <c r="F3044" s="10" t="s">
        <v>1471</v>
      </c>
      <c r="G3044" s="11" t="s">
        <v>7935</v>
      </c>
      <c r="H3044" s="2" t="s">
        <v>1059</v>
      </c>
      <c r="L3044" s="18">
        <v>0</v>
      </c>
      <c r="Q3044" s="18">
        <v>0</v>
      </c>
      <c r="V3044" s="22">
        <f>4.07/5</f>
        <v>0.81400000000000006</v>
      </c>
      <c r="X3044" s="3">
        <v>2</v>
      </c>
      <c r="Y3044" s="18">
        <v>1</v>
      </c>
      <c r="Z3044" s="23">
        <v>12.5</v>
      </c>
      <c r="AB3044" s="18">
        <f t="shared" si="94"/>
        <v>2015</v>
      </c>
      <c r="AC3044" s="22">
        <f t="shared" si="95"/>
        <v>0.60699999999999998</v>
      </c>
    </row>
    <row r="3045" spans="1:29" ht="25.5">
      <c r="A3045" s="8" t="s">
        <v>10100</v>
      </c>
      <c r="B3045" s="17" t="s">
        <v>7759</v>
      </c>
      <c r="C3045" s="13">
        <v>42059</v>
      </c>
      <c r="D3045" s="13" t="s">
        <v>8465</v>
      </c>
      <c r="E3045" s="10" t="s">
        <v>479</v>
      </c>
      <c r="F3045" s="10" t="s">
        <v>479</v>
      </c>
      <c r="G3045" s="11" t="s">
        <v>10103</v>
      </c>
      <c r="H3045" s="2" t="s">
        <v>459</v>
      </c>
      <c r="L3045" s="18">
        <v>1</v>
      </c>
      <c r="N3045" s="13">
        <v>42823</v>
      </c>
      <c r="O3045" s="29">
        <v>0</v>
      </c>
      <c r="P3045" s="18" t="s">
        <v>1107</v>
      </c>
      <c r="Q3045" s="18">
        <v>0</v>
      </c>
      <c r="U3045" s="22">
        <v>0.8</v>
      </c>
      <c r="V3045" s="22">
        <f>4.11/5</f>
        <v>0.82200000000000006</v>
      </c>
      <c r="W3045" s="14" t="s">
        <v>6072</v>
      </c>
      <c r="X3045" s="3">
        <v>2</v>
      </c>
      <c r="Z3045" s="23">
        <v>2</v>
      </c>
      <c r="AB3045" s="18">
        <f t="shared" si="94"/>
        <v>2015</v>
      </c>
      <c r="AC3045" s="22">
        <f t="shared" si="95"/>
        <v>0.67400000000000004</v>
      </c>
    </row>
    <row r="3046" spans="1:29" ht="30">
      <c r="A3046" s="8" t="s">
        <v>4614</v>
      </c>
      <c r="B3046" s="17" t="s">
        <v>7800</v>
      </c>
      <c r="C3046" s="13">
        <v>42059</v>
      </c>
      <c r="D3046" s="13" t="s">
        <v>8465</v>
      </c>
      <c r="E3046" s="10" t="s">
        <v>4615</v>
      </c>
      <c r="F3046" s="10" t="s">
        <v>4616</v>
      </c>
      <c r="G3046" s="11" t="s">
        <v>4617</v>
      </c>
      <c r="H3046" s="2" t="s">
        <v>64</v>
      </c>
      <c r="L3046" s="18">
        <v>1</v>
      </c>
      <c r="N3046" s="13">
        <v>42131</v>
      </c>
      <c r="P3046" s="18" t="s">
        <v>1107</v>
      </c>
      <c r="Q3046" s="18">
        <v>0</v>
      </c>
      <c r="U3046" s="22">
        <v>0.66</v>
      </c>
      <c r="V3046" s="22">
        <f>2.5/5</f>
        <v>0.5</v>
      </c>
      <c r="W3046" s="14" t="s">
        <v>7777</v>
      </c>
      <c r="X3046" s="3">
        <v>3</v>
      </c>
      <c r="Z3046" s="23">
        <v>2.5</v>
      </c>
      <c r="AB3046" s="18">
        <f t="shared" si="94"/>
        <v>2015</v>
      </c>
      <c r="AC3046" s="22">
        <f t="shared" si="95"/>
        <v>0.58666666666666678</v>
      </c>
    </row>
    <row r="3047" spans="1:29" ht="25.5">
      <c r="A3047" s="8" t="s">
        <v>1121</v>
      </c>
      <c r="B3047" s="17" t="s">
        <v>7743</v>
      </c>
      <c r="C3047" s="13">
        <v>42055</v>
      </c>
      <c r="D3047" s="13" t="s">
        <v>8465</v>
      </c>
      <c r="E3047" s="10" t="s">
        <v>86</v>
      </c>
      <c r="F3047" s="10" t="s">
        <v>30</v>
      </c>
      <c r="G3047" s="11" t="s">
        <v>223</v>
      </c>
      <c r="H3047" s="2" t="s">
        <v>64</v>
      </c>
      <c r="L3047" s="18">
        <v>1</v>
      </c>
      <c r="M3047" s="14" t="s">
        <v>8462</v>
      </c>
      <c r="N3047" s="13">
        <v>43496</v>
      </c>
      <c r="O3047" s="29">
        <v>19.95</v>
      </c>
      <c r="P3047" s="18" t="s">
        <v>14</v>
      </c>
      <c r="Q3047" s="18">
        <v>0</v>
      </c>
      <c r="U3047" s="22">
        <v>0.75</v>
      </c>
      <c r="V3047" s="22">
        <f>3.61/5</f>
        <v>0.72199999999999998</v>
      </c>
      <c r="X3047" s="3">
        <v>3</v>
      </c>
      <c r="Z3047" s="23">
        <v>5.5</v>
      </c>
      <c r="AB3047" s="18">
        <f t="shared" si="94"/>
        <v>2015</v>
      </c>
      <c r="AC3047" s="22">
        <f t="shared" si="95"/>
        <v>0.69066666666666665</v>
      </c>
    </row>
    <row r="3048" spans="1:29" ht="30">
      <c r="A3048" s="8" t="s">
        <v>6171</v>
      </c>
      <c r="B3048" s="17" t="s">
        <v>7760</v>
      </c>
      <c r="C3048" s="13">
        <v>42055</v>
      </c>
      <c r="D3048" s="13" t="s">
        <v>8465</v>
      </c>
      <c r="E3048" s="10" t="s">
        <v>2908</v>
      </c>
      <c r="F3048" s="10" t="s">
        <v>1555</v>
      </c>
      <c r="H3048" s="2" t="s">
        <v>1168</v>
      </c>
      <c r="L3048" s="18">
        <v>1</v>
      </c>
      <c r="M3048" s="14" t="s">
        <v>8462</v>
      </c>
      <c r="N3048" s="13">
        <v>43497</v>
      </c>
      <c r="O3048" s="29">
        <v>13.9</v>
      </c>
      <c r="P3048" s="18" t="s">
        <v>14</v>
      </c>
      <c r="Q3048" s="18">
        <v>0</v>
      </c>
      <c r="U3048" s="22">
        <v>0.63</v>
      </c>
      <c r="V3048" s="22">
        <f>3.22/5</f>
        <v>0.64400000000000002</v>
      </c>
      <c r="X3048" s="3">
        <v>3</v>
      </c>
      <c r="Z3048" s="23">
        <v>7</v>
      </c>
      <c r="AB3048" s="18">
        <f t="shared" si="94"/>
        <v>2015</v>
      </c>
      <c r="AC3048" s="22">
        <f t="shared" si="95"/>
        <v>0.6246666666666667</v>
      </c>
    </row>
    <row r="3049" spans="1:29" ht="25.5">
      <c r="A3049" s="8" t="s">
        <v>8959</v>
      </c>
      <c r="B3049" s="17" t="s">
        <v>7800</v>
      </c>
      <c r="C3049" s="13">
        <v>42054</v>
      </c>
      <c r="D3049" s="13" t="s">
        <v>8465</v>
      </c>
      <c r="E3049" s="10" t="s">
        <v>3112</v>
      </c>
      <c r="F3049" s="10" t="s">
        <v>3113</v>
      </c>
      <c r="G3049" s="11" t="s">
        <v>3114</v>
      </c>
      <c r="H3049" s="2" t="s">
        <v>75</v>
      </c>
      <c r="L3049" s="18">
        <v>1</v>
      </c>
      <c r="N3049" s="13">
        <v>44007</v>
      </c>
      <c r="O3049" s="29">
        <v>1.99</v>
      </c>
      <c r="P3049" s="18" t="s">
        <v>1107</v>
      </c>
      <c r="Q3049" s="18">
        <v>0</v>
      </c>
      <c r="V3049" s="22">
        <f>3.95/5</f>
        <v>0.79</v>
      </c>
      <c r="W3049" s="14" t="s">
        <v>7777</v>
      </c>
      <c r="X3049" s="3">
        <v>3</v>
      </c>
      <c r="Z3049" s="23">
        <v>69.5</v>
      </c>
      <c r="AB3049" s="18">
        <f t="shared" si="94"/>
        <v>2015</v>
      </c>
      <c r="AC3049" s="22">
        <f t="shared" si="95"/>
        <v>0.69500000000000006</v>
      </c>
    </row>
    <row r="3050" spans="1:29" ht="25.5">
      <c r="A3050" s="8" t="s">
        <v>4857</v>
      </c>
      <c r="B3050" s="17" t="s">
        <v>7800</v>
      </c>
      <c r="C3050" s="13">
        <v>42054</v>
      </c>
      <c r="D3050" s="13" t="s">
        <v>8465</v>
      </c>
      <c r="E3050" s="10" t="s">
        <v>4858</v>
      </c>
      <c r="F3050" s="10" t="s">
        <v>4859</v>
      </c>
      <c r="H3050" s="2" t="s">
        <v>255</v>
      </c>
      <c r="L3050" s="18">
        <v>1</v>
      </c>
      <c r="N3050" s="13">
        <v>42779</v>
      </c>
      <c r="O3050" s="29">
        <v>0</v>
      </c>
      <c r="P3050" s="18" t="s">
        <v>1107</v>
      </c>
      <c r="Q3050" s="18">
        <v>0</v>
      </c>
      <c r="U3050" s="22">
        <v>0.74</v>
      </c>
      <c r="V3050" s="22">
        <f>3.5/5</f>
        <v>0.7</v>
      </c>
      <c r="W3050" s="14" t="s">
        <v>7777</v>
      </c>
      <c r="X3050" s="3">
        <v>2</v>
      </c>
      <c r="Z3050" s="23">
        <v>2.5</v>
      </c>
      <c r="AB3050" s="18">
        <f t="shared" si="94"/>
        <v>2015</v>
      </c>
      <c r="AC3050" s="22">
        <f t="shared" si="95"/>
        <v>0.61333333333333329</v>
      </c>
    </row>
    <row r="3051" spans="1:29">
      <c r="A3051" s="8" t="s">
        <v>11789</v>
      </c>
      <c r="B3051" s="17" t="s">
        <v>7749</v>
      </c>
      <c r="C3051" s="13">
        <v>42053</v>
      </c>
      <c r="D3051" s="13" t="s">
        <v>8465</v>
      </c>
      <c r="E3051" s="10" t="s">
        <v>10018</v>
      </c>
      <c r="F3051" s="10" t="s">
        <v>11790</v>
      </c>
      <c r="G3051" s="11" t="s">
        <v>11789</v>
      </c>
      <c r="H3051" s="2" t="s">
        <v>149</v>
      </c>
      <c r="L3051" s="18">
        <v>1</v>
      </c>
      <c r="N3051" s="13">
        <v>44759</v>
      </c>
      <c r="O3051" s="29">
        <v>5.99</v>
      </c>
      <c r="P3051" s="18" t="s">
        <v>1107</v>
      </c>
      <c r="Q3051" s="18">
        <v>0</v>
      </c>
      <c r="U3051" s="22">
        <v>0.69</v>
      </c>
      <c r="V3051" s="22">
        <f>3.71/5</f>
        <v>0.74199999999999999</v>
      </c>
      <c r="X3051" s="3">
        <v>2</v>
      </c>
      <c r="Z3051" s="23">
        <v>27.5</v>
      </c>
      <c r="AB3051" s="18">
        <f t="shared" si="94"/>
        <v>2015</v>
      </c>
      <c r="AC3051" s="22">
        <f t="shared" si="95"/>
        <v>0.61066666666666658</v>
      </c>
    </row>
    <row r="3052" spans="1:29">
      <c r="A3052" s="8" t="s">
        <v>4084</v>
      </c>
      <c r="B3052" s="17" t="s">
        <v>7800</v>
      </c>
      <c r="C3052" s="13">
        <v>42052</v>
      </c>
      <c r="D3052" s="13" t="s">
        <v>8465</v>
      </c>
      <c r="E3052" s="10" t="s">
        <v>4085</v>
      </c>
      <c r="F3052" s="10" t="s">
        <v>4085</v>
      </c>
      <c r="G3052" s="11" t="s">
        <v>4084</v>
      </c>
      <c r="H3052" s="2" t="s">
        <v>3411</v>
      </c>
      <c r="L3052" s="18">
        <v>1</v>
      </c>
      <c r="N3052" s="13">
        <v>42785</v>
      </c>
      <c r="P3052" s="18" t="s">
        <v>1107</v>
      </c>
      <c r="Q3052" s="18">
        <v>0</v>
      </c>
      <c r="U3052" s="22">
        <v>0.81</v>
      </c>
      <c r="V3052" s="22">
        <f>3.62/5</f>
        <v>0.72399999999999998</v>
      </c>
      <c r="W3052" s="14" t="s">
        <v>7777</v>
      </c>
      <c r="X3052" s="3">
        <v>3</v>
      </c>
      <c r="Z3052" s="23">
        <v>10.5</v>
      </c>
      <c r="AB3052" s="18">
        <f t="shared" si="94"/>
        <v>2015</v>
      </c>
      <c r="AC3052" s="22">
        <f t="shared" si="95"/>
        <v>0.71133333333333326</v>
      </c>
    </row>
    <row r="3053" spans="1:29">
      <c r="A3053" s="8" t="s">
        <v>13793</v>
      </c>
      <c r="B3053" s="17" t="s">
        <v>7800</v>
      </c>
      <c r="C3053" s="13">
        <v>42050</v>
      </c>
      <c r="D3053" s="13" t="s">
        <v>8465</v>
      </c>
      <c r="E3053" s="10" t="s">
        <v>13555</v>
      </c>
      <c r="F3053" s="10" t="s">
        <v>13555</v>
      </c>
      <c r="G3053" s="11" t="s">
        <v>13793</v>
      </c>
      <c r="H3053" s="2" t="s">
        <v>67</v>
      </c>
      <c r="L3053" s="18">
        <v>1</v>
      </c>
      <c r="N3053" s="13">
        <v>45004</v>
      </c>
      <c r="O3053" s="29">
        <v>0</v>
      </c>
      <c r="P3053" s="18" t="s">
        <v>1107</v>
      </c>
      <c r="Q3053" s="18">
        <v>0</v>
      </c>
      <c r="V3053" s="22">
        <f>3.46/5</f>
        <v>0.69199999999999995</v>
      </c>
      <c r="W3053" s="14" t="s">
        <v>7777</v>
      </c>
      <c r="X3053" s="3">
        <v>3</v>
      </c>
      <c r="Z3053" s="23">
        <f>33/60</f>
        <v>0.55000000000000004</v>
      </c>
      <c r="AB3053" s="18">
        <f t="shared" si="94"/>
        <v>2015</v>
      </c>
      <c r="AC3053" s="22">
        <f t="shared" si="95"/>
        <v>0.64599999999999991</v>
      </c>
    </row>
    <row r="3054" spans="1:29" ht="25.5">
      <c r="A3054" s="8" t="s">
        <v>9846</v>
      </c>
      <c r="B3054" s="17" t="s">
        <v>7749</v>
      </c>
      <c r="C3054" s="13">
        <v>42048</v>
      </c>
      <c r="D3054" s="13" t="s">
        <v>8465</v>
      </c>
      <c r="E3054" s="10" t="s">
        <v>73</v>
      </c>
      <c r="F3054" s="10" t="s">
        <v>73</v>
      </c>
      <c r="G3054" s="11" t="s">
        <v>1141</v>
      </c>
      <c r="H3054" s="2" t="s">
        <v>171</v>
      </c>
      <c r="L3054" s="18">
        <v>1</v>
      </c>
      <c r="N3054" s="13">
        <v>44273</v>
      </c>
      <c r="O3054" s="29">
        <v>8.99</v>
      </c>
      <c r="P3054" s="18" t="s">
        <v>1107</v>
      </c>
      <c r="Q3054" s="18">
        <v>0</v>
      </c>
      <c r="U3054" s="22">
        <v>0.86</v>
      </c>
      <c r="V3054" s="22">
        <f>4.56/5</f>
        <v>0.91199999999999992</v>
      </c>
      <c r="X3054" s="3">
        <v>3</v>
      </c>
      <c r="Z3054" s="23">
        <v>78</v>
      </c>
      <c r="AB3054" s="18">
        <f t="shared" si="94"/>
        <v>2015</v>
      </c>
      <c r="AC3054" s="22">
        <f t="shared" si="95"/>
        <v>0.79066666666666663</v>
      </c>
    </row>
    <row r="3055" spans="1:29">
      <c r="A3055" s="8" t="s">
        <v>7075</v>
      </c>
      <c r="B3055" s="17" t="s">
        <v>7800</v>
      </c>
      <c r="C3055" s="13">
        <v>42048</v>
      </c>
      <c r="D3055" s="13" t="s">
        <v>8465</v>
      </c>
      <c r="E3055" s="10" t="s">
        <v>1634</v>
      </c>
      <c r="F3055" s="10" t="s">
        <v>7076</v>
      </c>
      <c r="G3055" s="11" t="s">
        <v>7075</v>
      </c>
      <c r="H3055" s="2" t="s">
        <v>75</v>
      </c>
      <c r="L3055" s="18">
        <v>1</v>
      </c>
      <c r="N3055" s="13">
        <v>43648</v>
      </c>
      <c r="O3055" s="29">
        <v>0</v>
      </c>
      <c r="P3055" s="18" t="s">
        <v>1107</v>
      </c>
      <c r="Q3055" s="18">
        <v>0</v>
      </c>
      <c r="U3055" s="22">
        <v>0.78</v>
      </c>
      <c r="V3055" s="22">
        <f>3.49/5</f>
        <v>0.69800000000000006</v>
      </c>
      <c r="W3055" s="14" t="s">
        <v>7799</v>
      </c>
      <c r="X3055" s="3">
        <v>3</v>
      </c>
      <c r="Z3055" s="23">
        <v>21</v>
      </c>
      <c r="AB3055" s="18">
        <f t="shared" si="94"/>
        <v>2015</v>
      </c>
      <c r="AC3055" s="22">
        <f t="shared" si="95"/>
        <v>0.69266666666666676</v>
      </c>
    </row>
    <row r="3056" spans="1:29">
      <c r="A3056" s="8" t="s">
        <v>9373</v>
      </c>
      <c r="B3056" s="17" t="s">
        <v>7800</v>
      </c>
      <c r="C3056" s="13">
        <v>42048</v>
      </c>
      <c r="D3056" s="13" t="s">
        <v>8465</v>
      </c>
      <c r="E3056" s="10" t="s">
        <v>4361</v>
      </c>
      <c r="F3056" s="10" t="s">
        <v>4361</v>
      </c>
      <c r="G3056" s="11" t="s">
        <v>4360</v>
      </c>
      <c r="H3056" s="2" t="s">
        <v>1061</v>
      </c>
      <c r="L3056" s="18">
        <v>1</v>
      </c>
      <c r="N3056" s="13">
        <v>44119</v>
      </c>
      <c r="O3056" s="29">
        <v>2.99</v>
      </c>
      <c r="P3056" s="18" t="s">
        <v>1107</v>
      </c>
      <c r="Q3056" s="18">
        <v>0</v>
      </c>
      <c r="U3056" s="22">
        <v>0.48</v>
      </c>
      <c r="V3056" s="22">
        <f>2.43/5</f>
        <v>0.48600000000000004</v>
      </c>
      <c r="W3056" s="14" t="s">
        <v>7777</v>
      </c>
      <c r="X3056" s="3">
        <v>3</v>
      </c>
      <c r="Z3056" s="23">
        <v>6.5</v>
      </c>
      <c r="AB3056" s="18">
        <f t="shared" si="94"/>
        <v>2015</v>
      </c>
      <c r="AC3056" s="22">
        <f t="shared" si="95"/>
        <v>0.52199999999999991</v>
      </c>
    </row>
    <row r="3057" spans="1:29">
      <c r="A3057" s="8" t="s">
        <v>15025</v>
      </c>
      <c r="B3057" s="17" t="s">
        <v>7800</v>
      </c>
      <c r="C3057" s="13">
        <v>42048</v>
      </c>
      <c r="D3057" s="13" t="s">
        <v>8465</v>
      </c>
      <c r="E3057" s="10" t="s">
        <v>3072</v>
      </c>
      <c r="F3057" s="10" t="s">
        <v>6476</v>
      </c>
      <c r="G3057" s="11" t="s">
        <v>6477</v>
      </c>
      <c r="H3057" s="2" t="s">
        <v>1061</v>
      </c>
      <c r="L3057" s="18">
        <v>1</v>
      </c>
      <c r="N3057" s="13">
        <v>45079</v>
      </c>
      <c r="O3057" s="29">
        <v>0.64</v>
      </c>
      <c r="P3057" s="18" t="s">
        <v>1107</v>
      </c>
      <c r="Q3057" s="18">
        <v>0</v>
      </c>
      <c r="U3057" s="22">
        <v>0.6</v>
      </c>
      <c r="V3057" s="22">
        <f>3.13/5</f>
        <v>0.626</v>
      </c>
      <c r="W3057" s="14" t="s">
        <v>7777</v>
      </c>
      <c r="X3057" s="3">
        <v>2</v>
      </c>
      <c r="Z3057" s="23">
        <v>3</v>
      </c>
      <c r="AB3057" s="18">
        <f t="shared" si="94"/>
        <v>2015</v>
      </c>
      <c r="AC3057" s="22">
        <f t="shared" si="95"/>
        <v>0.54199999999999993</v>
      </c>
    </row>
    <row r="3058" spans="1:29">
      <c r="A3058" s="8" t="s">
        <v>5183</v>
      </c>
      <c r="B3058" s="17" t="s">
        <v>7800</v>
      </c>
      <c r="C3058" s="13">
        <v>42041</v>
      </c>
      <c r="D3058" s="13" t="s">
        <v>8465</v>
      </c>
      <c r="E3058" s="10" t="s">
        <v>5184</v>
      </c>
      <c r="F3058" s="10" t="s">
        <v>5184</v>
      </c>
      <c r="G3058" s="11" t="s">
        <v>5185</v>
      </c>
      <c r="H3058" s="2" t="s">
        <v>1699</v>
      </c>
      <c r="L3058" s="18">
        <v>1</v>
      </c>
      <c r="N3058" s="13">
        <v>42430</v>
      </c>
      <c r="P3058" s="18" t="s">
        <v>1107</v>
      </c>
      <c r="Q3058" s="18">
        <v>0</v>
      </c>
      <c r="U3058" s="22">
        <v>0.82</v>
      </c>
      <c r="V3058" s="22">
        <f>3.6/5</f>
        <v>0.72</v>
      </c>
      <c r="W3058" s="14" t="s">
        <v>7777</v>
      </c>
      <c r="X3058" s="3">
        <v>3</v>
      </c>
      <c r="Z3058" s="23">
        <v>12</v>
      </c>
      <c r="AB3058" s="18">
        <f t="shared" si="94"/>
        <v>2015</v>
      </c>
      <c r="AC3058" s="22">
        <f t="shared" si="95"/>
        <v>0.71333333333333337</v>
      </c>
    </row>
    <row r="3059" spans="1:29">
      <c r="A3059" s="8" t="s">
        <v>2439</v>
      </c>
      <c r="B3059" s="17" t="s">
        <v>7749</v>
      </c>
      <c r="C3059" s="13">
        <v>42040</v>
      </c>
      <c r="D3059" s="13" t="s">
        <v>8465</v>
      </c>
      <c r="E3059" s="10" t="s">
        <v>2300</v>
      </c>
      <c r="F3059" s="10" t="s">
        <v>2300</v>
      </c>
      <c r="G3059" s="11" t="s">
        <v>2254</v>
      </c>
      <c r="H3059" s="2" t="s">
        <v>1050</v>
      </c>
      <c r="L3059" s="18">
        <v>1</v>
      </c>
      <c r="N3059" s="13">
        <v>44759</v>
      </c>
      <c r="O3059" s="29">
        <v>19</v>
      </c>
      <c r="P3059" s="18" t="s">
        <v>1107</v>
      </c>
      <c r="Q3059" s="18">
        <v>0</v>
      </c>
      <c r="U3059" s="22">
        <v>0.72</v>
      </c>
      <c r="V3059" s="22">
        <f>3.65/5</f>
        <v>0.73</v>
      </c>
      <c r="X3059" s="3">
        <v>3</v>
      </c>
      <c r="Z3059" s="23">
        <v>1.5</v>
      </c>
      <c r="AB3059" s="18">
        <f t="shared" si="94"/>
        <v>2015</v>
      </c>
      <c r="AC3059" s="22">
        <f t="shared" si="95"/>
        <v>0.68333333333333324</v>
      </c>
    </row>
    <row r="3060" spans="1:29">
      <c r="A3060" s="8" t="s">
        <v>3927</v>
      </c>
      <c r="B3060" s="17" t="s">
        <v>7800</v>
      </c>
      <c r="C3060" s="13">
        <v>42040</v>
      </c>
      <c r="D3060" s="13" t="s">
        <v>8465</v>
      </c>
      <c r="E3060" s="10" t="s">
        <v>3928</v>
      </c>
      <c r="F3060" s="10" t="s">
        <v>3928</v>
      </c>
      <c r="H3060" s="2" t="s">
        <v>56</v>
      </c>
      <c r="L3060" s="18">
        <v>1</v>
      </c>
      <c r="N3060" s="13">
        <v>42054</v>
      </c>
      <c r="P3060" s="18" t="s">
        <v>1107</v>
      </c>
      <c r="Q3060" s="18">
        <v>0</v>
      </c>
      <c r="U3060" s="22">
        <v>0.78</v>
      </c>
      <c r="V3060" s="22">
        <f>3.78/5</f>
        <v>0.75600000000000001</v>
      </c>
      <c r="W3060" s="14" t="s">
        <v>7777</v>
      </c>
      <c r="X3060" s="3">
        <v>3</v>
      </c>
      <c r="Z3060" s="23">
        <v>3.5</v>
      </c>
      <c r="AB3060" s="18">
        <f t="shared" si="94"/>
        <v>2015</v>
      </c>
      <c r="AC3060" s="22">
        <f t="shared" si="95"/>
        <v>0.71200000000000008</v>
      </c>
    </row>
    <row r="3061" spans="1:29">
      <c r="A3061" s="9" t="s">
        <v>3416</v>
      </c>
      <c r="B3061" s="17" t="s">
        <v>7800</v>
      </c>
      <c r="C3061" s="13">
        <v>42040</v>
      </c>
      <c r="D3061" s="13" t="s">
        <v>8465</v>
      </c>
      <c r="E3061" s="10" t="s">
        <v>1578</v>
      </c>
      <c r="F3061" s="10" t="s">
        <v>3417</v>
      </c>
      <c r="G3061" s="11" t="s">
        <v>3416</v>
      </c>
      <c r="H3061" s="2" t="s">
        <v>151</v>
      </c>
      <c r="L3061" s="18">
        <v>1</v>
      </c>
      <c r="N3061" s="13">
        <v>42204</v>
      </c>
      <c r="O3061" s="29">
        <v>2.99</v>
      </c>
      <c r="P3061" s="18" t="s">
        <v>1107</v>
      </c>
      <c r="Q3061" s="18">
        <v>0</v>
      </c>
      <c r="U3061" s="22">
        <v>0.72</v>
      </c>
      <c r="V3061" s="22">
        <f>3.99/5</f>
        <v>0.79800000000000004</v>
      </c>
      <c r="W3061" s="14" t="s">
        <v>7777</v>
      </c>
      <c r="X3061" s="3">
        <v>2</v>
      </c>
      <c r="Z3061" s="23">
        <v>5.5</v>
      </c>
      <c r="AB3061" s="18">
        <f t="shared" si="94"/>
        <v>2015</v>
      </c>
      <c r="AC3061" s="22">
        <f t="shared" si="95"/>
        <v>0.63933333333333342</v>
      </c>
    </row>
    <row r="3062" spans="1:29">
      <c r="A3062" s="8" t="s">
        <v>3192</v>
      </c>
      <c r="B3062" s="17" t="s">
        <v>7800</v>
      </c>
      <c r="C3062" s="13">
        <v>42038</v>
      </c>
      <c r="D3062" s="13" t="s">
        <v>8465</v>
      </c>
      <c r="E3062" s="10" t="s">
        <v>3193</v>
      </c>
      <c r="F3062" s="10" t="s">
        <v>3193</v>
      </c>
      <c r="H3062" s="2" t="s">
        <v>151</v>
      </c>
      <c r="L3062" s="18">
        <v>1</v>
      </c>
      <c r="N3062" s="13">
        <v>42113</v>
      </c>
      <c r="O3062" s="29">
        <v>7.49</v>
      </c>
      <c r="P3062" s="18" t="s">
        <v>1107</v>
      </c>
      <c r="Q3062" s="18">
        <v>0</v>
      </c>
      <c r="U3062" s="22">
        <v>0.8</v>
      </c>
      <c r="V3062" s="22">
        <f>3.68/5</f>
        <v>0.73599999999999999</v>
      </c>
      <c r="W3062" s="14" t="s">
        <v>7777</v>
      </c>
      <c r="X3062" s="3">
        <v>4</v>
      </c>
      <c r="Z3062" s="23">
        <v>8.5</v>
      </c>
      <c r="AB3062" s="18">
        <f t="shared" si="94"/>
        <v>2015</v>
      </c>
      <c r="AC3062" s="22">
        <f t="shared" si="95"/>
        <v>0.77866666666666673</v>
      </c>
    </row>
    <row r="3063" spans="1:29" ht="25.5">
      <c r="A3063" s="8" t="s">
        <v>9139</v>
      </c>
      <c r="B3063" s="17" t="s">
        <v>7763</v>
      </c>
      <c r="C3063" s="13">
        <v>42038</v>
      </c>
      <c r="D3063" s="13" t="s">
        <v>8465</v>
      </c>
      <c r="E3063" s="10" t="s">
        <v>1062</v>
      </c>
      <c r="F3063" s="10" t="s">
        <v>6037</v>
      </c>
      <c r="G3063" s="11" t="s">
        <v>9140</v>
      </c>
      <c r="H3063" s="2" t="s">
        <v>149</v>
      </c>
      <c r="L3063" s="18">
        <v>1</v>
      </c>
      <c r="M3063" s="14" t="s">
        <v>8462</v>
      </c>
      <c r="N3063" s="13">
        <v>44046</v>
      </c>
      <c r="O3063" s="29">
        <v>41.78</v>
      </c>
      <c r="P3063" s="18" t="s">
        <v>14</v>
      </c>
      <c r="Q3063" s="18">
        <v>0</v>
      </c>
      <c r="U3063" s="22">
        <v>0.55000000000000004</v>
      </c>
      <c r="V3063" s="22">
        <f>3.71/5</f>
        <v>0.74199999999999999</v>
      </c>
      <c r="X3063" s="3">
        <v>3</v>
      </c>
      <c r="Z3063" s="23">
        <v>30.5</v>
      </c>
      <c r="AB3063" s="18">
        <f t="shared" si="94"/>
        <v>2015</v>
      </c>
      <c r="AC3063" s="22">
        <f t="shared" si="95"/>
        <v>0.6306666666666666</v>
      </c>
    </row>
    <row r="3064" spans="1:29">
      <c r="A3064" s="8" t="s">
        <v>1103</v>
      </c>
      <c r="B3064" s="17" t="s">
        <v>7743</v>
      </c>
      <c r="C3064" s="13">
        <v>42033</v>
      </c>
      <c r="D3064" s="13" t="s">
        <v>8465</v>
      </c>
      <c r="E3064" s="10" t="s">
        <v>86</v>
      </c>
      <c r="F3064" s="10" t="s">
        <v>1139</v>
      </c>
      <c r="G3064" s="11" t="s">
        <v>109</v>
      </c>
      <c r="H3064" s="2" t="s">
        <v>1050</v>
      </c>
      <c r="L3064" s="18">
        <v>1</v>
      </c>
      <c r="N3064" s="13">
        <v>42035</v>
      </c>
      <c r="O3064" s="29">
        <v>9.99</v>
      </c>
      <c r="P3064" s="18" t="s">
        <v>1107</v>
      </c>
      <c r="Q3064" s="18">
        <v>0</v>
      </c>
      <c r="V3064" s="22">
        <f>4.55/5</f>
        <v>0.90999999999999992</v>
      </c>
      <c r="W3064" s="14" t="s">
        <v>1068</v>
      </c>
      <c r="X3064" s="3">
        <v>3</v>
      </c>
      <c r="Z3064" s="23">
        <v>45.5</v>
      </c>
      <c r="AB3064" s="18">
        <f t="shared" si="94"/>
        <v>2015</v>
      </c>
      <c r="AC3064" s="22">
        <f t="shared" si="95"/>
        <v>0.75499999999999989</v>
      </c>
    </row>
    <row r="3065" spans="1:29">
      <c r="A3065" s="8" t="s">
        <v>4702</v>
      </c>
      <c r="B3065" s="17" t="s">
        <v>7800</v>
      </c>
      <c r="C3065" s="13">
        <v>42033</v>
      </c>
      <c r="D3065" s="13" t="s">
        <v>8465</v>
      </c>
      <c r="E3065" s="10" t="s">
        <v>3493</v>
      </c>
      <c r="F3065" s="10" t="s">
        <v>4703</v>
      </c>
      <c r="G3065" s="11" t="s">
        <v>4702</v>
      </c>
      <c r="H3065" s="2" t="s">
        <v>143</v>
      </c>
      <c r="L3065" s="18">
        <v>1</v>
      </c>
      <c r="N3065" s="13">
        <v>42338</v>
      </c>
      <c r="O3065" s="29">
        <v>2.4900000000000002</v>
      </c>
      <c r="P3065" s="18" t="s">
        <v>1107</v>
      </c>
      <c r="Q3065" s="18">
        <v>0</v>
      </c>
      <c r="U3065" s="22">
        <v>0.78</v>
      </c>
      <c r="V3065" s="22">
        <f>3.5/5</f>
        <v>0.7</v>
      </c>
      <c r="W3065" s="14" t="s">
        <v>7777</v>
      </c>
      <c r="X3065" s="3">
        <v>3</v>
      </c>
      <c r="Z3065" s="23">
        <v>3.5</v>
      </c>
      <c r="AB3065" s="18">
        <f t="shared" si="94"/>
        <v>2015</v>
      </c>
      <c r="AC3065" s="22">
        <f t="shared" si="95"/>
        <v>0.69333333333333336</v>
      </c>
    </row>
    <row r="3066" spans="1:29" ht="30">
      <c r="A3066" s="8" t="s">
        <v>4151</v>
      </c>
      <c r="B3066" s="17" t="s">
        <v>7800</v>
      </c>
      <c r="C3066" s="13">
        <v>42032</v>
      </c>
      <c r="D3066" s="13" t="s">
        <v>8465</v>
      </c>
      <c r="E3066" s="10" t="s">
        <v>1680</v>
      </c>
      <c r="F3066" s="10" t="s">
        <v>3113</v>
      </c>
      <c r="G3066" s="11" t="s">
        <v>1682</v>
      </c>
      <c r="H3066" s="2" t="s">
        <v>149</v>
      </c>
      <c r="L3066" s="18">
        <v>1</v>
      </c>
      <c r="N3066" s="13">
        <v>43332</v>
      </c>
      <c r="P3066" s="18" t="s">
        <v>1107</v>
      </c>
      <c r="Q3066" s="18">
        <v>0</v>
      </c>
      <c r="U3066" s="22">
        <v>0.62</v>
      </c>
      <c r="V3066" s="22">
        <f>3.92/5</f>
        <v>0.78400000000000003</v>
      </c>
      <c r="W3066" s="14" t="s">
        <v>7777</v>
      </c>
      <c r="X3066" s="3">
        <v>3</v>
      </c>
      <c r="Z3066" s="23">
        <v>28</v>
      </c>
      <c r="AB3066" s="18">
        <f t="shared" si="94"/>
        <v>2015</v>
      </c>
      <c r="AC3066" s="22">
        <f t="shared" si="95"/>
        <v>0.66800000000000004</v>
      </c>
    </row>
    <row r="3067" spans="1:29" ht="25.5">
      <c r="A3067" s="8" t="s">
        <v>3858</v>
      </c>
      <c r="B3067" s="17" t="s">
        <v>7800</v>
      </c>
      <c r="C3067" s="13">
        <v>42032</v>
      </c>
      <c r="D3067" s="13" t="s">
        <v>8465</v>
      </c>
      <c r="E3067" s="10" t="s">
        <v>3047</v>
      </c>
      <c r="F3067" s="10" t="s">
        <v>3047</v>
      </c>
      <c r="H3067" s="2" t="s">
        <v>67</v>
      </c>
      <c r="L3067" s="18">
        <v>1</v>
      </c>
      <c r="N3067" s="13">
        <v>42472</v>
      </c>
      <c r="P3067" s="18" t="s">
        <v>1107</v>
      </c>
      <c r="Q3067" s="18">
        <v>0</v>
      </c>
      <c r="U3067" s="22">
        <v>0.67</v>
      </c>
      <c r="V3067" s="22">
        <f>3.5/5</f>
        <v>0.7</v>
      </c>
      <c r="W3067" s="14" t="s">
        <v>7777</v>
      </c>
      <c r="X3067" s="3">
        <v>3</v>
      </c>
      <c r="Z3067" s="23">
        <v>8</v>
      </c>
      <c r="AB3067" s="18">
        <f t="shared" si="94"/>
        <v>2015</v>
      </c>
      <c r="AC3067" s="22">
        <f t="shared" si="95"/>
        <v>0.65666666666666673</v>
      </c>
    </row>
    <row r="3068" spans="1:29" ht="30">
      <c r="A3068" s="8" t="s">
        <v>4039</v>
      </c>
      <c r="B3068" s="17" t="s">
        <v>7800</v>
      </c>
      <c r="C3068" s="13">
        <v>42031</v>
      </c>
      <c r="D3068" s="13" t="s">
        <v>8465</v>
      </c>
      <c r="E3068" s="10" t="s">
        <v>3370</v>
      </c>
      <c r="F3068" s="10" t="s">
        <v>3370</v>
      </c>
      <c r="G3068" s="11" t="s">
        <v>4040</v>
      </c>
      <c r="H3068" s="2" t="s">
        <v>67</v>
      </c>
      <c r="L3068" s="18">
        <v>1</v>
      </c>
      <c r="N3068" s="13">
        <v>42672</v>
      </c>
      <c r="P3068" s="18" t="s">
        <v>1107</v>
      </c>
      <c r="Q3068" s="18">
        <v>0</v>
      </c>
      <c r="U3068" s="22">
        <v>0.85</v>
      </c>
      <c r="V3068" s="22">
        <f>4.05/5</f>
        <v>0.80999999999999994</v>
      </c>
      <c r="W3068" s="14" t="s">
        <v>7777</v>
      </c>
      <c r="X3068" s="3">
        <v>4</v>
      </c>
      <c r="Z3068" s="23">
        <v>11</v>
      </c>
      <c r="AB3068" s="18">
        <f t="shared" si="94"/>
        <v>2015</v>
      </c>
      <c r="AC3068" s="22">
        <f t="shared" si="95"/>
        <v>0.82</v>
      </c>
    </row>
    <row r="3069" spans="1:29">
      <c r="A3069" s="8" t="s">
        <v>4031</v>
      </c>
      <c r="B3069" s="17" t="s">
        <v>7800</v>
      </c>
      <c r="C3069" s="13">
        <v>42027</v>
      </c>
      <c r="D3069" s="13" t="s">
        <v>8465</v>
      </c>
      <c r="E3069" s="10" t="s">
        <v>4032</v>
      </c>
      <c r="F3069" s="10" t="s">
        <v>4033</v>
      </c>
      <c r="H3069" s="2" t="s">
        <v>1143</v>
      </c>
      <c r="L3069" s="18">
        <v>1</v>
      </c>
      <c r="N3069" s="13">
        <v>42363</v>
      </c>
      <c r="O3069" s="29">
        <v>19.989999999999998</v>
      </c>
      <c r="P3069" s="18" t="s">
        <v>1107</v>
      </c>
      <c r="Q3069" s="18">
        <v>0</v>
      </c>
      <c r="U3069" s="22">
        <v>0.78</v>
      </c>
      <c r="V3069" s="22">
        <f>3.5/5</f>
        <v>0.7</v>
      </c>
      <c r="W3069" s="14" t="s">
        <v>7777</v>
      </c>
      <c r="X3069" s="3">
        <v>4</v>
      </c>
      <c r="Z3069" s="23">
        <v>15</v>
      </c>
      <c r="AB3069" s="18">
        <f t="shared" si="94"/>
        <v>2015</v>
      </c>
      <c r="AC3069" s="22">
        <f t="shared" si="95"/>
        <v>0.76000000000000012</v>
      </c>
    </row>
    <row r="3070" spans="1:29" ht="25.5">
      <c r="A3070" s="8" t="s">
        <v>4686</v>
      </c>
      <c r="B3070" s="17" t="s">
        <v>7800</v>
      </c>
      <c r="C3070" s="13">
        <v>42027</v>
      </c>
      <c r="D3070" s="13" t="s">
        <v>8465</v>
      </c>
      <c r="E3070" s="10" t="s">
        <v>3467</v>
      </c>
      <c r="F3070" s="10" t="s">
        <v>4687</v>
      </c>
      <c r="G3070" s="11" t="s">
        <v>12976</v>
      </c>
      <c r="H3070" s="2" t="s">
        <v>153</v>
      </c>
      <c r="L3070" s="18">
        <v>1</v>
      </c>
      <c r="N3070" s="13">
        <v>42150</v>
      </c>
      <c r="O3070" s="29">
        <v>2.87</v>
      </c>
      <c r="P3070" s="18" t="s">
        <v>1107</v>
      </c>
      <c r="Q3070" s="18">
        <v>0</v>
      </c>
      <c r="U3070" s="22">
        <v>0.66</v>
      </c>
      <c r="V3070" s="22">
        <f>3.78/5</f>
        <v>0.75600000000000001</v>
      </c>
      <c r="W3070" s="14" t="s">
        <v>7777</v>
      </c>
      <c r="X3070" s="3">
        <v>3</v>
      </c>
      <c r="Z3070" s="23">
        <v>2.5</v>
      </c>
      <c r="AB3070" s="18">
        <f t="shared" si="94"/>
        <v>2015</v>
      </c>
      <c r="AC3070" s="22">
        <f t="shared" si="95"/>
        <v>0.67200000000000004</v>
      </c>
    </row>
    <row r="3071" spans="1:29">
      <c r="A3071" s="8" t="s">
        <v>3456</v>
      </c>
      <c r="B3071" s="17" t="s">
        <v>7800</v>
      </c>
      <c r="C3071" s="13">
        <v>42026</v>
      </c>
      <c r="D3071" s="13" t="s">
        <v>8465</v>
      </c>
      <c r="E3071" s="10" t="s">
        <v>228</v>
      </c>
      <c r="F3071" s="10" t="s">
        <v>3457</v>
      </c>
      <c r="G3071" s="11" t="s">
        <v>3456</v>
      </c>
      <c r="H3071" s="2" t="s">
        <v>149</v>
      </c>
      <c r="L3071" s="18">
        <v>1</v>
      </c>
      <c r="N3071" s="13">
        <v>42311</v>
      </c>
      <c r="P3071" s="18" t="s">
        <v>1107</v>
      </c>
      <c r="Q3071" s="18">
        <v>0</v>
      </c>
      <c r="U3071" s="22">
        <v>0.64</v>
      </c>
      <c r="V3071" s="22">
        <f>3.76/5</f>
        <v>0.752</v>
      </c>
      <c r="W3071" s="14" t="s">
        <v>7777</v>
      </c>
      <c r="X3071" s="3">
        <v>3</v>
      </c>
      <c r="Z3071" s="23">
        <v>14</v>
      </c>
      <c r="AB3071" s="18">
        <f t="shared" si="94"/>
        <v>2015</v>
      </c>
      <c r="AC3071" s="22">
        <f t="shared" si="95"/>
        <v>0.66400000000000003</v>
      </c>
    </row>
    <row r="3072" spans="1:29">
      <c r="A3072" s="8" t="s">
        <v>3327</v>
      </c>
      <c r="B3072" s="17" t="s">
        <v>7800</v>
      </c>
      <c r="C3072" s="13">
        <v>42024</v>
      </c>
      <c r="D3072" s="13" t="s">
        <v>8465</v>
      </c>
      <c r="E3072" s="10" t="s">
        <v>3072</v>
      </c>
      <c r="F3072" s="10" t="s">
        <v>3072</v>
      </c>
      <c r="G3072" s="11" t="s">
        <v>3326</v>
      </c>
      <c r="H3072" s="2" t="s">
        <v>1720</v>
      </c>
      <c r="L3072" s="18">
        <v>1</v>
      </c>
      <c r="N3072" s="13">
        <v>42311</v>
      </c>
      <c r="P3072" s="18" t="s">
        <v>1107</v>
      </c>
      <c r="Q3072" s="18">
        <v>0</v>
      </c>
      <c r="U3072" s="22">
        <v>0.74</v>
      </c>
      <c r="V3072" s="22">
        <f>3.33/5</f>
        <v>0.66600000000000004</v>
      </c>
      <c r="W3072" s="14" t="s">
        <v>7777</v>
      </c>
      <c r="X3072" s="3">
        <v>3</v>
      </c>
      <c r="Z3072" s="23">
        <v>9.5</v>
      </c>
      <c r="AB3072" s="18">
        <f t="shared" si="94"/>
        <v>2015</v>
      </c>
      <c r="AC3072" s="22">
        <f t="shared" si="95"/>
        <v>0.66866666666666674</v>
      </c>
    </row>
    <row r="3073" spans="1:29">
      <c r="A3073" s="8" t="s">
        <v>3425</v>
      </c>
      <c r="B3073" s="17" t="s">
        <v>7800</v>
      </c>
      <c r="C3073" s="13">
        <v>42023</v>
      </c>
      <c r="D3073" s="13" t="s">
        <v>8465</v>
      </c>
      <c r="E3073" s="10" t="s">
        <v>3426</v>
      </c>
      <c r="F3073" s="10" t="s">
        <v>3426</v>
      </c>
      <c r="H3073" s="2" t="s">
        <v>1334</v>
      </c>
      <c r="L3073" s="18">
        <v>1</v>
      </c>
      <c r="N3073" s="13">
        <v>42027</v>
      </c>
      <c r="P3073" s="18" t="s">
        <v>1107</v>
      </c>
      <c r="Q3073" s="18">
        <v>0</v>
      </c>
      <c r="V3073" s="22">
        <f>4.38/5</f>
        <v>0.876</v>
      </c>
      <c r="W3073" s="14" t="s">
        <v>7777</v>
      </c>
      <c r="X3073" s="3">
        <v>2</v>
      </c>
      <c r="Z3073" s="23">
        <v>10</v>
      </c>
      <c r="AB3073" s="18">
        <f t="shared" ref="AB3073:AB3136" si="96">IFERROR(YEAR(C3073), "Early Access")</f>
        <v>2015</v>
      </c>
      <c r="AC3073" s="22">
        <f t="shared" ref="AC3073:AC3136" si="97">AVERAGE(T3073, U3073, V3073, IF(ISBLANK(X3073), X3073, X3073/5))</f>
        <v>0.63800000000000001</v>
      </c>
    </row>
    <row r="3074" spans="1:29">
      <c r="A3074" s="8" t="s">
        <v>13737</v>
      </c>
      <c r="B3074" s="17" t="s">
        <v>7749</v>
      </c>
      <c r="C3074" s="13">
        <v>42019</v>
      </c>
      <c r="D3074" s="13" t="s">
        <v>8465</v>
      </c>
      <c r="E3074" s="10" t="s">
        <v>455</v>
      </c>
      <c r="F3074" s="10" t="s">
        <v>1081</v>
      </c>
      <c r="G3074" s="11" t="s">
        <v>357</v>
      </c>
      <c r="H3074" s="2" t="s">
        <v>1170</v>
      </c>
      <c r="L3074" s="18">
        <v>1</v>
      </c>
      <c r="N3074" s="13">
        <v>45003</v>
      </c>
      <c r="O3074" s="29">
        <v>5.99</v>
      </c>
      <c r="P3074" s="18" t="s">
        <v>1107</v>
      </c>
      <c r="Q3074" s="18">
        <v>0</v>
      </c>
      <c r="U3074" s="22">
        <v>0.81</v>
      </c>
      <c r="V3074" s="22">
        <f>3.91/5</f>
        <v>0.78200000000000003</v>
      </c>
      <c r="X3074" s="3">
        <v>3</v>
      </c>
      <c r="Z3074" s="23">
        <f>29/60</f>
        <v>0.48333333333333334</v>
      </c>
      <c r="AB3074" s="18">
        <f t="shared" si="96"/>
        <v>2015</v>
      </c>
      <c r="AC3074" s="22">
        <f t="shared" si="97"/>
        <v>0.73066666666666669</v>
      </c>
    </row>
    <row r="3075" spans="1:29">
      <c r="A3075" s="8" t="s">
        <v>5250</v>
      </c>
      <c r="B3075" s="17" t="s">
        <v>7800</v>
      </c>
      <c r="C3075" s="13">
        <v>42019</v>
      </c>
      <c r="D3075" s="13" t="s">
        <v>8465</v>
      </c>
      <c r="E3075" s="10" t="s">
        <v>5251</v>
      </c>
      <c r="F3075" s="10" t="s">
        <v>5251</v>
      </c>
      <c r="H3075" s="2" t="s">
        <v>67</v>
      </c>
      <c r="L3075" s="18">
        <v>1</v>
      </c>
      <c r="N3075" s="13">
        <v>42191</v>
      </c>
      <c r="P3075" s="18" t="s">
        <v>1107</v>
      </c>
      <c r="Q3075" s="18">
        <v>0</v>
      </c>
      <c r="U3075" s="22">
        <v>0.6</v>
      </c>
      <c r="V3075" s="22">
        <f>3.44/5</f>
        <v>0.68799999999999994</v>
      </c>
      <c r="W3075" s="14" t="s">
        <v>7777</v>
      </c>
      <c r="X3075" s="3">
        <v>3</v>
      </c>
      <c r="Z3075" s="23">
        <v>1.5</v>
      </c>
      <c r="AB3075" s="18">
        <f t="shared" si="96"/>
        <v>2015</v>
      </c>
      <c r="AC3075" s="22">
        <f t="shared" si="97"/>
        <v>0.6293333333333333</v>
      </c>
    </row>
    <row r="3076" spans="1:29">
      <c r="A3076" s="8" t="s">
        <v>971</v>
      </c>
      <c r="B3076" s="17" t="s">
        <v>7743</v>
      </c>
      <c r="C3076" s="13">
        <v>42018</v>
      </c>
      <c r="D3076" s="13" t="s">
        <v>8465</v>
      </c>
      <c r="E3076" s="10" t="s">
        <v>86</v>
      </c>
      <c r="F3076" s="10" t="s">
        <v>87</v>
      </c>
      <c r="G3076" s="11" t="s">
        <v>137</v>
      </c>
      <c r="H3076" s="2" t="s">
        <v>1040</v>
      </c>
      <c r="L3076" s="18">
        <v>1</v>
      </c>
      <c r="N3076" s="13">
        <v>44649</v>
      </c>
      <c r="O3076" s="29">
        <v>19.989999999999998</v>
      </c>
      <c r="P3076" s="18" t="s">
        <v>1107</v>
      </c>
      <c r="Q3076" s="18">
        <v>0</v>
      </c>
      <c r="V3076" s="22">
        <f>4.45/5</f>
        <v>0.89</v>
      </c>
      <c r="X3076" s="3">
        <v>3</v>
      </c>
      <c r="Z3076" s="23">
        <v>13</v>
      </c>
      <c r="AB3076" s="18">
        <f t="shared" si="96"/>
        <v>2015</v>
      </c>
      <c r="AC3076" s="22">
        <f t="shared" si="97"/>
        <v>0.745</v>
      </c>
    </row>
    <row r="3077" spans="1:29" ht="30">
      <c r="A3077" s="8" t="s">
        <v>11536</v>
      </c>
      <c r="B3077" s="17" t="s">
        <v>7762</v>
      </c>
      <c r="C3077" s="13">
        <v>42017</v>
      </c>
      <c r="D3077" s="13" t="s">
        <v>8465</v>
      </c>
      <c r="E3077" s="10" t="s">
        <v>1534</v>
      </c>
      <c r="F3077" s="10" t="s">
        <v>1245</v>
      </c>
      <c r="G3077" s="11" t="s">
        <v>8811</v>
      </c>
      <c r="H3077" s="2" t="s">
        <v>171</v>
      </c>
      <c r="L3077" s="18">
        <v>0</v>
      </c>
      <c r="Q3077" s="18">
        <v>0</v>
      </c>
      <c r="U3077" s="22">
        <v>0.78</v>
      </c>
      <c r="V3077" s="22">
        <f>3.99/5</f>
        <v>0.79800000000000004</v>
      </c>
      <c r="X3077" s="3">
        <v>3</v>
      </c>
      <c r="Z3077" s="23">
        <v>18</v>
      </c>
      <c r="AB3077" s="18">
        <f t="shared" si="96"/>
        <v>2015</v>
      </c>
      <c r="AC3077" s="22">
        <f t="shared" si="97"/>
        <v>0.72599999999999998</v>
      </c>
    </row>
    <row r="3078" spans="1:29">
      <c r="A3078" s="8" t="s">
        <v>12605</v>
      </c>
      <c r="B3078" s="17" t="s">
        <v>7800</v>
      </c>
      <c r="C3078" s="13">
        <v>42016</v>
      </c>
      <c r="D3078" s="13" t="s">
        <v>8465</v>
      </c>
      <c r="E3078" s="10" t="s">
        <v>12606</v>
      </c>
      <c r="F3078" s="10" t="s">
        <v>12606</v>
      </c>
      <c r="H3078" s="2" t="s">
        <v>78</v>
      </c>
      <c r="L3078" s="18">
        <v>1</v>
      </c>
      <c r="P3078" s="18" t="s">
        <v>1107</v>
      </c>
      <c r="Q3078" s="18">
        <v>0</v>
      </c>
      <c r="V3078" s="22">
        <f>4.1/5</f>
        <v>0.82</v>
      </c>
      <c r="W3078" s="14" t="s">
        <v>7777</v>
      </c>
      <c r="X3078" s="3">
        <v>2</v>
      </c>
      <c r="Z3078" s="23">
        <v>9</v>
      </c>
      <c r="AB3078" s="18">
        <f t="shared" si="96"/>
        <v>2015</v>
      </c>
      <c r="AC3078" s="22">
        <f t="shared" si="97"/>
        <v>0.61</v>
      </c>
    </row>
    <row r="3079" spans="1:29" ht="25.5">
      <c r="A3079" s="8" t="s">
        <v>14034</v>
      </c>
      <c r="B3079" s="17" t="s">
        <v>7800</v>
      </c>
      <c r="C3079" s="13">
        <v>42012</v>
      </c>
      <c r="D3079" s="13" t="s">
        <v>8463</v>
      </c>
      <c r="E3079" s="10" t="s">
        <v>3467</v>
      </c>
      <c r="F3079" s="10" t="s">
        <v>8933</v>
      </c>
      <c r="G3079" s="11" t="s">
        <v>14032</v>
      </c>
      <c r="H3079" s="2" t="s">
        <v>1720</v>
      </c>
      <c r="K3079" s="18">
        <v>2</v>
      </c>
      <c r="L3079" s="18">
        <v>0</v>
      </c>
      <c r="Q3079" s="18">
        <v>0</v>
      </c>
      <c r="V3079" s="22">
        <f>3.21/5</f>
        <v>0.64200000000000002</v>
      </c>
      <c r="X3079" s="3">
        <v>2</v>
      </c>
      <c r="Y3079" s="18">
        <v>1</v>
      </c>
      <c r="AB3079" s="18">
        <f t="shared" si="96"/>
        <v>2015</v>
      </c>
      <c r="AC3079" s="22">
        <f t="shared" si="97"/>
        <v>0.52100000000000002</v>
      </c>
    </row>
    <row r="3080" spans="1:29">
      <c r="A3080" s="8" t="s">
        <v>4700</v>
      </c>
      <c r="B3080" s="17" t="s">
        <v>7800</v>
      </c>
      <c r="C3080" s="13">
        <v>42007</v>
      </c>
      <c r="D3080" s="13" t="s">
        <v>8465</v>
      </c>
      <c r="E3080" s="10" t="s">
        <v>4701</v>
      </c>
      <c r="F3080" s="10" t="s">
        <v>4701</v>
      </c>
      <c r="H3080" s="2" t="s">
        <v>64</v>
      </c>
      <c r="L3080" s="18">
        <v>1</v>
      </c>
      <c r="N3080" s="13">
        <v>41954</v>
      </c>
      <c r="P3080" s="18" t="s">
        <v>1107</v>
      </c>
      <c r="Q3080" s="18">
        <v>0</v>
      </c>
      <c r="V3080" s="22">
        <f>3.17/5</f>
        <v>0.63400000000000001</v>
      </c>
      <c r="W3080" s="14" t="s">
        <v>7777</v>
      </c>
      <c r="X3080" s="3">
        <v>2</v>
      </c>
      <c r="Z3080" s="23">
        <v>1.5</v>
      </c>
      <c r="AB3080" s="18">
        <f t="shared" si="96"/>
        <v>2015</v>
      </c>
      <c r="AC3080" s="22">
        <f t="shared" si="97"/>
        <v>0.51700000000000002</v>
      </c>
    </row>
    <row r="3081" spans="1:29">
      <c r="A3081" s="8" t="s">
        <v>7117</v>
      </c>
      <c r="B3081" s="17" t="s">
        <v>7800</v>
      </c>
      <c r="C3081" s="13">
        <v>42006</v>
      </c>
      <c r="D3081" s="13" t="s">
        <v>8465</v>
      </c>
      <c r="E3081" s="10" t="s">
        <v>7205</v>
      </c>
      <c r="F3081" s="10" t="s">
        <v>7205</v>
      </c>
      <c r="H3081" s="2" t="s">
        <v>67</v>
      </c>
      <c r="L3081" s="18">
        <v>0</v>
      </c>
      <c r="Q3081" s="18">
        <v>0</v>
      </c>
      <c r="W3081" s="14" t="s">
        <v>5674</v>
      </c>
      <c r="X3081" s="3">
        <v>3</v>
      </c>
      <c r="Z3081" s="23">
        <f>27/60</f>
        <v>0.45</v>
      </c>
      <c r="AB3081" s="18">
        <f t="shared" si="96"/>
        <v>2015</v>
      </c>
      <c r="AC3081" s="22">
        <f t="shared" si="97"/>
        <v>0.6</v>
      </c>
    </row>
    <row r="3082" spans="1:29">
      <c r="A3082" s="9" t="s">
        <v>3700</v>
      </c>
      <c r="B3082" s="17" t="s">
        <v>7800</v>
      </c>
      <c r="C3082" s="13">
        <v>42006</v>
      </c>
      <c r="D3082" s="13" t="s">
        <v>8465</v>
      </c>
      <c r="E3082" s="10" t="s">
        <v>3701</v>
      </c>
      <c r="F3082" s="10" t="s">
        <v>3701</v>
      </c>
      <c r="H3082" s="2" t="s">
        <v>56</v>
      </c>
      <c r="L3082" s="18">
        <v>1</v>
      </c>
      <c r="N3082" s="13">
        <v>42175</v>
      </c>
      <c r="O3082" s="29">
        <v>0.74</v>
      </c>
      <c r="P3082" s="18" t="s">
        <v>1107</v>
      </c>
      <c r="Q3082" s="18">
        <v>0</v>
      </c>
      <c r="V3082" s="22">
        <f>2.14/5</f>
        <v>0.42800000000000005</v>
      </c>
      <c r="W3082" s="14" t="s">
        <v>7777</v>
      </c>
      <c r="X3082" s="3">
        <v>2</v>
      </c>
      <c r="AB3082" s="18">
        <f t="shared" si="96"/>
        <v>2015</v>
      </c>
      <c r="AC3082" s="22">
        <f t="shared" si="97"/>
        <v>0.41400000000000003</v>
      </c>
    </row>
    <row r="3083" spans="1:29" ht="30">
      <c r="A3083" s="8" t="s">
        <v>4324</v>
      </c>
      <c r="B3083" s="17" t="s">
        <v>7800</v>
      </c>
      <c r="C3083" s="13">
        <v>42348</v>
      </c>
      <c r="D3083" s="13" t="s">
        <v>8465</v>
      </c>
      <c r="E3083" s="10" t="s">
        <v>1082</v>
      </c>
      <c r="F3083" s="10" t="s">
        <v>3892</v>
      </c>
      <c r="G3083" s="11" t="s">
        <v>126</v>
      </c>
      <c r="H3083" s="2" t="s">
        <v>171</v>
      </c>
      <c r="L3083" s="18">
        <v>1</v>
      </c>
      <c r="N3083" s="13">
        <v>43454</v>
      </c>
      <c r="O3083" s="29">
        <v>9.99</v>
      </c>
      <c r="P3083" s="18" t="s">
        <v>1107</v>
      </c>
      <c r="Q3083" s="18">
        <v>1</v>
      </c>
      <c r="R3083" s="13">
        <v>44495</v>
      </c>
      <c r="S3083" s="21">
        <f>32+52/60</f>
        <v>32.866666666666667</v>
      </c>
      <c r="T3083" s="22">
        <v>0.85</v>
      </c>
      <c r="U3083" s="22">
        <v>0.6</v>
      </c>
      <c r="V3083" s="22">
        <f>3.72/5</f>
        <v>0.74399999999999999</v>
      </c>
      <c r="W3083" s="14" t="s">
        <v>7777</v>
      </c>
      <c r="AB3083" s="18">
        <f t="shared" si="96"/>
        <v>2015</v>
      </c>
      <c r="AC3083" s="22">
        <f t="shared" si="97"/>
        <v>0.73133333333333328</v>
      </c>
    </row>
    <row r="3084" spans="1:29" ht="25.5">
      <c r="A3084" s="9" t="s">
        <v>1100</v>
      </c>
      <c r="B3084" s="17" t="s">
        <v>7743</v>
      </c>
      <c r="C3084" s="13">
        <v>42342</v>
      </c>
      <c r="D3084" s="13" t="s">
        <v>8465</v>
      </c>
      <c r="E3084" s="10" t="s">
        <v>86</v>
      </c>
      <c r="F3084" s="10" t="s">
        <v>1145</v>
      </c>
      <c r="G3084" s="11" t="s">
        <v>1146</v>
      </c>
      <c r="H3084" s="2" t="s">
        <v>171</v>
      </c>
      <c r="L3084" s="18">
        <v>1</v>
      </c>
      <c r="M3084" s="14" t="s">
        <v>8462</v>
      </c>
      <c r="P3084" s="18" t="s">
        <v>14</v>
      </c>
      <c r="Q3084" s="18">
        <v>1</v>
      </c>
      <c r="R3084" s="13">
        <v>44102</v>
      </c>
      <c r="S3084" s="21">
        <f>49+56/60+40/3600</f>
        <v>49.944444444444443</v>
      </c>
      <c r="T3084" s="22">
        <v>0.9</v>
      </c>
      <c r="U3084" s="22">
        <v>0.84</v>
      </c>
      <c r="V3084" s="22">
        <f>4.34/5</f>
        <v>0.86799999999999999</v>
      </c>
      <c r="AB3084" s="18">
        <f t="shared" si="96"/>
        <v>2015</v>
      </c>
      <c r="AC3084" s="22">
        <f t="shared" si="97"/>
        <v>0.8693333333333334</v>
      </c>
    </row>
    <row r="3085" spans="1:29" ht="25.5">
      <c r="A3085" s="8" t="s">
        <v>3223</v>
      </c>
      <c r="B3085" s="17" t="s">
        <v>7800</v>
      </c>
      <c r="C3085" s="13">
        <v>42327</v>
      </c>
      <c r="D3085" s="13" t="s">
        <v>8465</v>
      </c>
      <c r="E3085" s="10" t="s">
        <v>1047</v>
      </c>
      <c r="F3085" s="10" t="s">
        <v>1538</v>
      </c>
      <c r="G3085" s="11" t="s">
        <v>1563</v>
      </c>
      <c r="H3085" s="2" t="s">
        <v>80</v>
      </c>
      <c r="L3085" s="18">
        <v>1</v>
      </c>
      <c r="N3085" s="13">
        <v>43442</v>
      </c>
      <c r="O3085" s="29">
        <v>15.99</v>
      </c>
      <c r="P3085" s="18" t="s">
        <v>1107</v>
      </c>
      <c r="Q3085" s="18">
        <v>1</v>
      </c>
      <c r="R3085" s="13">
        <v>43703</v>
      </c>
      <c r="S3085" s="21">
        <v>16.13</v>
      </c>
      <c r="T3085" s="22">
        <v>0.65</v>
      </c>
      <c r="U3085" s="22">
        <v>0.7</v>
      </c>
      <c r="V3085" s="22">
        <f>3.49/5</f>
        <v>0.69800000000000006</v>
      </c>
      <c r="W3085" s="14" t="s">
        <v>7777</v>
      </c>
      <c r="AB3085" s="18">
        <f t="shared" si="96"/>
        <v>2015</v>
      </c>
      <c r="AC3085" s="22">
        <f t="shared" si="97"/>
        <v>0.68266666666666664</v>
      </c>
    </row>
    <row r="3086" spans="1:29">
      <c r="A3086" s="8" t="s">
        <v>7355</v>
      </c>
      <c r="B3086" s="17" t="s">
        <v>7783</v>
      </c>
      <c r="C3086" s="13">
        <v>42312</v>
      </c>
      <c r="D3086" s="13" t="s">
        <v>8465</v>
      </c>
      <c r="E3086" s="10" t="s">
        <v>7354</v>
      </c>
      <c r="F3086" s="10" t="s">
        <v>7354</v>
      </c>
      <c r="G3086" s="11" t="s">
        <v>7353</v>
      </c>
      <c r="H3086" s="2" t="s">
        <v>78</v>
      </c>
      <c r="L3086" s="18">
        <v>1</v>
      </c>
      <c r="N3086" s="13">
        <v>42362</v>
      </c>
      <c r="O3086" s="29">
        <v>4.99</v>
      </c>
      <c r="P3086" s="18" t="s">
        <v>1107</v>
      </c>
      <c r="Q3086" s="18">
        <v>1</v>
      </c>
      <c r="R3086" s="13">
        <v>42360</v>
      </c>
      <c r="S3086" s="21">
        <v>3.87</v>
      </c>
      <c r="T3086" s="22">
        <v>0.6</v>
      </c>
      <c r="U3086" s="22">
        <v>0.91</v>
      </c>
      <c r="V3086" s="22">
        <f>4.39/5</f>
        <v>0.87799999999999989</v>
      </c>
      <c r="AB3086" s="18">
        <f t="shared" si="96"/>
        <v>2015</v>
      </c>
      <c r="AC3086" s="22">
        <f t="shared" si="97"/>
        <v>0.79599999999999993</v>
      </c>
    </row>
    <row r="3087" spans="1:29">
      <c r="A3087" s="8" t="s">
        <v>4695</v>
      </c>
      <c r="B3087" s="17" t="s">
        <v>7800</v>
      </c>
      <c r="C3087" s="13">
        <v>42312</v>
      </c>
      <c r="D3087" s="13" t="s">
        <v>8465</v>
      </c>
      <c r="E3087" s="10" t="s">
        <v>3136</v>
      </c>
      <c r="F3087" s="10" t="s">
        <v>4696</v>
      </c>
      <c r="G3087" s="11" t="s">
        <v>8472</v>
      </c>
      <c r="H3087" s="2" t="s">
        <v>56</v>
      </c>
      <c r="L3087" s="18">
        <v>1</v>
      </c>
      <c r="N3087" s="13">
        <v>42501</v>
      </c>
      <c r="P3087" s="18" t="s">
        <v>1107</v>
      </c>
      <c r="Q3087" s="18">
        <v>1</v>
      </c>
      <c r="R3087" s="13">
        <v>43895</v>
      </c>
      <c r="S3087" s="21">
        <f>11/60</f>
        <v>0.18333333333333332</v>
      </c>
      <c r="T3087" s="22">
        <v>0.7</v>
      </c>
      <c r="V3087" s="22">
        <f>3.38/5</f>
        <v>0.67599999999999993</v>
      </c>
      <c r="W3087" s="14" t="s">
        <v>7777</v>
      </c>
      <c r="AB3087" s="18">
        <f t="shared" si="96"/>
        <v>2015</v>
      </c>
      <c r="AC3087" s="22">
        <f t="shared" si="97"/>
        <v>0.68799999999999994</v>
      </c>
    </row>
    <row r="3088" spans="1:29">
      <c r="A3088" s="8" t="s">
        <v>4697</v>
      </c>
      <c r="B3088" s="17" t="s">
        <v>7800</v>
      </c>
      <c r="C3088" s="13">
        <v>42305</v>
      </c>
      <c r="D3088" s="13" t="s">
        <v>8465</v>
      </c>
      <c r="E3088" s="10" t="s">
        <v>3136</v>
      </c>
      <c r="F3088" s="10" t="s">
        <v>4696</v>
      </c>
      <c r="G3088" s="11" t="s">
        <v>8472</v>
      </c>
      <c r="H3088" s="2" t="s">
        <v>56</v>
      </c>
      <c r="L3088" s="18">
        <v>1</v>
      </c>
      <c r="N3088" s="13">
        <v>42501</v>
      </c>
      <c r="P3088" s="18" t="s">
        <v>1107</v>
      </c>
      <c r="Q3088" s="18">
        <v>1</v>
      </c>
      <c r="R3088" s="13">
        <v>43895</v>
      </c>
      <c r="S3088" s="21">
        <f>8/60</f>
        <v>0.13333333333333333</v>
      </c>
      <c r="T3088" s="22">
        <v>0.7</v>
      </c>
      <c r="V3088" s="22">
        <f>3.48/5</f>
        <v>0.69599999999999995</v>
      </c>
      <c r="W3088" s="14" t="s">
        <v>7777</v>
      </c>
      <c r="AB3088" s="18">
        <f t="shared" si="96"/>
        <v>2015</v>
      </c>
      <c r="AC3088" s="22">
        <f t="shared" si="97"/>
        <v>0.69799999999999995</v>
      </c>
    </row>
    <row r="3089" spans="1:29">
      <c r="A3089" s="8" t="s">
        <v>6522</v>
      </c>
      <c r="B3089" s="17" t="s">
        <v>7766</v>
      </c>
      <c r="C3089" s="13">
        <v>42304</v>
      </c>
      <c r="D3089" s="13" t="s">
        <v>8465</v>
      </c>
      <c r="E3089" s="10" t="s">
        <v>3116</v>
      </c>
      <c r="F3089" s="10" t="s">
        <v>4078</v>
      </c>
      <c r="G3089" s="11" t="s">
        <v>4079</v>
      </c>
      <c r="H3089" s="2" t="s">
        <v>1050</v>
      </c>
      <c r="L3089" s="18">
        <v>1</v>
      </c>
      <c r="M3089" s="14" t="s">
        <v>8462</v>
      </c>
      <c r="N3089" s="13">
        <v>43443</v>
      </c>
      <c r="O3089" s="29">
        <v>16.260000000000002</v>
      </c>
      <c r="P3089" s="18" t="s">
        <v>14</v>
      </c>
      <c r="Q3089" s="18">
        <v>1</v>
      </c>
      <c r="R3089" s="13">
        <v>44202</v>
      </c>
      <c r="S3089" s="21">
        <f>3+34/60+43/3600</f>
        <v>3.578611111111111</v>
      </c>
      <c r="T3089" s="22">
        <v>0.6</v>
      </c>
      <c r="U3089" s="22">
        <v>0.84</v>
      </c>
      <c r="V3089" s="22">
        <f>3.54/5</f>
        <v>0.70799999999999996</v>
      </c>
      <c r="AB3089" s="18">
        <f t="shared" si="96"/>
        <v>2015</v>
      </c>
      <c r="AC3089" s="22">
        <f t="shared" si="97"/>
        <v>0.71599999999999986</v>
      </c>
    </row>
    <row r="3090" spans="1:29" ht="25.5">
      <c r="A3090" s="8" t="s">
        <v>2417</v>
      </c>
      <c r="B3090" s="17" t="s">
        <v>7749</v>
      </c>
      <c r="C3090" s="13">
        <v>42300</v>
      </c>
      <c r="D3090" s="13" t="s">
        <v>8465</v>
      </c>
      <c r="E3090" s="10" t="s">
        <v>86</v>
      </c>
      <c r="F3090" s="10" t="s">
        <v>1138</v>
      </c>
      <c r="G3090" s="11" t="s">
        <v>85</v>
      </c>
      <c r="H3090" s="2" t="s">
        <v>80</v>
      </c>
      <c r="L3090" s="18">
        <v>1</v>
      </c>
      <c r="M3090" s="14" t="s">
        <v>8462</v>
      </c>
      <c r="P3090" s="18" t="s">
        <v>14</v>
      </c>
      <c r="Q3090" s="18">
        <v>1</v>
      </c>
      <c r="R3090" s="13">
        <v>42666</v>
      </c>
      <c r="S3090" s="21">
        <v>13.13</v>
      </c>
      <c r="T3090" s="22">
        <v>0.7</v>
      </c>
      <c r="U3090" s="22">
        <v>0.72</v>
      </c>
      <c r="V3090" s="22">
        <f>3.76/5</f>
        <v>0.752</v>
      </c>
      <c r="AB3090" s="18">
        <f t="shared" si="96"/>
        <v>2015</v>
      </c>
      <c r="AC3090" s="22">
        <f t="shared" si="97"/>
        <v>0.72399999999999987</v>
      </c>
    </row>
    <row r="3091" spans="1:29">
      <c r="A3091" s="8" t="s">
        <v>13228</v>
      </c>
      <c r="B3091" s="17" t="s">
        <v>7800</v>
      </c>
      <c r="C3091" s="13">
        <v>42293</v>
      </c>
      <c r="D3091" s="13" t="s">
        <v>8465</v>
      </c>
      <c r="E3091" s="10" t="s">
        <v>13229</v>
      </c>
      <c r="F3091" s="10" t="s">
        <v>13229</v>
      </c>
      <c r="H3091" s="2" t="s">
        <v>1040</v>
      </c>
      <c r="L3091" s="18">
        <v>1</v>
      </c>
      <c r="P3091" s="18" t="s">
        <v>1107</v>
      </c>
      <c r="Q3091" s="18">
        <v>1</v>
      </c>
      <c r="R3091" s="13">
        <v>45148</v>
      </c>
      <c r="S3091" s="21">
        <f>17/60</f>
        <v>0.28333333333333333</v>
      </c>
      <c r="T3091" s="22">
        <v>0.6</v>
      </c>
      <c r="V3091" s="22">
        <f>3.35/5</f>
        <v>0.67</v>
      </c>
      <c r="W3091" s="14" t="s">
        <v>7777</v>
      </c>
      <c r="AB3091" s="18">
        <f t="shared" si="96"/>
        <v>2015</v>
      </c>
      <c r="AC3091" s="22">
        <f t="shared" si="97"/>
        <v>0.63500000000000001</v>
      </c>
    </row>
    <row r="3092" spans="1:29" ht="25.5">
      <c r="A3092" s="8" t="s">
        <v>3052</v>
      </c>
      <c r="B3092" s="17" t="s">
        <v>7800</v>
      </c>
      <c r="C3092" s="13">
        <v>42283</v>
      </c>
      <c r="D3092" s="13" t="s">
        <v>8465</v>
      </c>
      <c r="E3092" s="10" t="s">
        <v>3053</v>
      </c>
      <c r="F3092" s="10" t="s">
        <v>3053</v>
      </c>
      <c r="G3092" s="11" t="s">
        <v>8510</v>
      </c>
      <c r="H3092" s="2" t="s">
        <v>67</v>
      </c>
      <c r="L3092" s="18">
        <v>1</v>
      </c>
      <c r="N3092" s="13">
        <v>42362</v>
      </c>
      <c r="P3092" s="18" t="s">
        <v>1107</v>
      </c>
      <c r="Q3092" s="18">
        <v>1</v>
      </c>
      <c r="R3092" s="13">
        <v>43299</v>
      </c>
      <c r="S3092" s="21">
        <v>9.0299999999999994</v>
      </c>
      <c r="T3092" s="22">
        <v>0.7</v>
      </c>
      <c r="U3092" s="22">
        <v>0.8</v>
      </c>
      <c r="V3092" s="22">
        <f>3.77/5</f>
        <v>0.754</v>
      </c>
      <c r="W3092" s="14" t="s">
        <v>7777</v>
      </c>
      <c r="AB3092" s="18">
        <f t="shared" si="96"/>
        <v>2015</v>
      </c>
      <c r="AC3092" s="22">
        <f t="shared" si="97"/>
        <v>0.7513333333333333</v>
      </c>
    </row>
    <row r="3093" spans="1:29">
      <c r="A3093" s="8" t="s">
        <v>5059</v>
      </c>
      <c r="B3093" s="17" t="s">
        <v>7800</v>
      </c>
      <c r="C3093" s="13">
        <v>42268</v>
      </c>
      <c r="D3093" s="13" t="s">
        <v>8465</v>
      </c>
      <c r="E3093" s="10" t="s">
        <v>3171</v>
      </c>
      <c r="F3093" s="10" t="s">
        <v>3171</v>
      </c>
      <c r="H3093" s="2" t="s">
        <v>1061</v>
      </c>
      <c r="L3093" s="18">
        <v>1</v>
      </c>
      <c r="N3093" s="13">
        <v>42550</v>
      </c>
      <c r="O3093" s="29">
        <v>14.99</v>
      </c>
      <c r="P3093" s="18" t="s">
        <v>1107</v>
      </c>
      <c r="Q3093" s="18">
        <v>1</v>
      </c>
      <c r="R3093" s="13">
        <v>44118</v>
      </c>
      <c r="S3093" s="21">
        <f>7+30/60</f>
        <v>7.5</v>
      </c>
      <c r="T3093" s="22">
        <v>0.9</v>
      </c>
      <c r="U3093" s="22">
        <v>0.84</v>
      </c>
      <c r="V3093" s="22">
        <f>3.96/5</f>
        <v>0.79200000000000004</v>
      </c>
      <c r="W3093" s="14" t="s">
        <v>7777</v>
      </c>
      <c r="AB3093" s="18">
        <f t="shared" si="96"/>
        <v>2015</v>
      </c>
      <c r="AC3093" s="22">
        <f t="shared" si="97"/>
        <v>0.84399999999999997</v>
      </c>
    </row>
    <row r="3094" spans="1:29">
      <c r="A3094" s="8" t="s">
        <v>1711</v>
      </c>
      <c r="B3094" s="17" t="s">
        <v>7800</v>
      </c>
      <c r="C3094" s="13">
        <v>42262</v>
      </c>
      <c r="D3094" s="13" t="s">
        <v>8465</v>
      </c>
      <c r="E3094" s="10" t="s">
        <v>1712</v>
      </c>
      <c r="F3094" s="10" t="s">
        <v>1712</v>
      </c>
      <c r="G3094" s="11" t="s">
        <v>1711</v>
      </c>
      <c r="H3094" s="2" t="s">
        <v>149</v>
      </c>
      <c r="L3094" s="18">
        <v>1</v>
      </c>
      <c r="N3094" s="13">
        <v>42360</v>
      </c>
      <c r="P3094" s="18" t="s">
        <v>1107</v>
      </c>
      <c r="Q3094" s="18">
        <v>1</v>
      </c>
      <c r="R3094" s="13">
        <v>42499</v>
      </c>
      <c r="S3094" s="21">
        <v>5.48</v>
      </c>
      <c r="T3094" s="22">
        <v>0.9</v>
      </c>
      <c r="U3094" s="22">
        <v>0.94</v>
      </c>
      <c r="V3094" s="22">
        <f>4.27/5</f>
        <v>0.85399999999999987</v>
      </c>
      <c r="W3094" s="14" t="s">
        <v>7777</v>
      </c>
      <c r="AB3094" s="18">
        <f t="shared" si="96"/>
        <v>2015</v>
      </c>
      <c r="AC3094" s="22">
        <f t="shared" si="97"/>
        <v>0.89800000000000002</v>
      </c>
    </row>
    <row r="3095" spans="1:29" ht="25.5">
      <c r="A3095" s="8" t="s">
        <v>6521</v>
      </c>
      <c r="B3095" s="17" t="s">
        <v>7766</v>
      </c>
      <c r="C3095" s="13">
        <v>42241</v>
      </c>
      <c r="D3095" s="13" t="s">
        <v>8465</v>
      </c>
      <c r="E3095" s="10" t="s">
        <v>3116</v>
      </c>
      <c r="F3095" s="10" t="s">
        <v>6520</v>
      </c>
      <c r="G3095" s="11" t="s">
        <v>6303</v>
      </c>
      <c r="H3095" s="2" t="s">
        <v>1168</v>
      </c>
      <c r="L3095" s="18">
        <v>1</v>
      </c>
      <c r="M3095" s="14" t="s">
        <v>8462</v>
      </c>
      <c r="N3095" s="13">
        <v>43369</v>
      </c>
      <c r="O3095" s="29">
        <v>14.18</v>
      </c>
      <c r="P3095" s="18" t="s">
        <v>14</v>
      </c>
      <c r="Q3095" s="18">
        <v>1</v>
      </c>
      <c r="R3095" s="13">
        <v>43376</v>
      </c>
      <c r="T3095" s="22">
        <v>0.8</v>
      </c>
      <c r="U3095" s="22">
        <v>0.84</v>
      </c>
      <c r="V3095" s="22">
        <f>3.96/5</f>
        <v>0.79200000000000004</v>
      </c>
      <c r="AB3095" s="18">
        <f t="shared" si="96"/>
        <v>2015</v>
      </c>
      <c r="AC3095" s="22">
        <f t="shared" si="97"/>
        <v>0.81066666666666676</v>
      </c>
    </row>
    <row r="3096" spans="1:29" ht="25.5">
      <c r="A3096" s="8" t="s">
        <v>5471</v>
      </c>
      <c r="B3096" s="17" t="s">
        <v>7800</v>
      </c>
      <c r="C3096" s="13">
        <v>42236</v>
      </c>
      <c r="D3096" s="13" t="s">
        <v>8465</v>
      </c>
      <c r="E3096" s="10" t="s">
        <v>4544</v>
      </c>
      <c r="F3096" s="10" t="s">
        <v>4544</v>
      </c>
      <c r="G3096" s="11" t="s">
        <v>5469</v>
      </c>
      <c r="H3096" s="2" t="s">
        <v>27</v>
      </c>
      <c r="L3096" s="18">
        <v>1</v>
      </c>
      <c r="N3096" s="13">
        <v>42430</v>
      </c>
      <c r="P3096" s="18" t="s">
        <v>1107</v>
      </c>
      <c r="Q3096" s="18">
        <v>1</v>
      </c>
      <c r="R3096" s="13">
        <v>45207</v>
      </c>
      <c r="S3096" s="21">
        <f>3+50/60</f>
        <v>3.8333333333333335</v>
      </c>
      <c r="T3096" s="22">
        <v>0.4</v>
      </c>
      <c r="U3096" s="22">
        <v>0.7</v>
      </c>
      <c r="V3096" s="22">
        <f>3.14/5</f>
        <v>0.628</v>
      </c>
      <c r="W3096" s="14" t="s">
        <v>7777</v>
      </c>
      <c r="AB3096" s="18">
        <f t="shared" si="96"/>
        <v>2015</v>
      </c>
      <c r="AC3096" s="22">
        <f t="shared" si="97"/>
        <v>0.57600000000000007</v>
      </c>
    </row>
    <row r="3097" spans="1:29">
      <c r="A3097" s="8" t="s">
        <v>10265</v>
      </c>
      <c r="B3097" s="17" t="s">
        <v>7749</v>
      </c>
      <c r="C3097" s="13">
        <v>42222</v>
      </c>
      <c r="D3097" s="13" t="s">
        <v>8465</v>
      </c>
      <c r="E3097" s="10" t="s">
        <v>1794</v>
      </c>
      <c r="F3097" s="10" t="s">
        <v>1794</v>
      </c>
      <c r="G3097" s="11" t="s">
        <v>10286</v>
      </c>
      <c r="H3097" s="2" t="s">
        <v>78</v>
      </c>
      <c r="L3097" s="18">
        <v>1</v>
      </c>
      <c r="N3097" s="13">
        <v>44625</v>
      </c>
      <c r="O3097" s="29">
        <v>5.99</v>
      </c>
      <c r="P3097" s="18" t="s">
        <v>1107</v>
      </c>
      <c r="Q3097" s="18">
        <v>1</v>
      </c>
      <c r="R3097" s="13">
        <v>44768</v>
      </c>
      <c r="S3097" s="21">
        <f>23+59/60</f>
        <v>23.983333333333334</v>
      </c>
      <c r="T3097" s="22">
        <v>0.6</v>
      </c>
      <c r="U3097" s="22">
        <v>0.72</v>
      </c>
      <c r="V3097" s="22">
        <f>3.92/5</f>
        <v>0.78400000000000003</v>
      </c>
      <c r="AB3097" s="18">
        <f t="shared" si="96"/>
        <v>2015</v>
      </c>
      <c r="AC3097" s="22">
        <f t="shared" si="97"/>
        <v>0.70133333333333336</v>
      </c>
    </row>
    <row r="3098" spans="1:29">
      <c r="A3098" s="8" t="s">
        <v>12500</v>
      </c>
      <c r="B3098" s="17" t="s">
        <v>7800</v>
      </c>
      <c r="C3098" s="13">
        <v>42214</v>
      </c>
      <c r="D3098" s="13" t="s">
        <v>8465</v>
      </c>
      <c r="E3098" s="10" t="s">
        <v>6438</v>
      </c>
      <c r="F3098" s="10" t="s">
        <v>6438</v>
      </c>
      <c r="G3098" s="11" t="s">
        <v>6438</v>
      </c>
      <c r="H3098" s="2" t="s">
        <v>1054</v>
      </c>
      <c r="L3098" s="18">
        <v>1</v>
      </c>
      <c r="N3098" s="13">
        <v>44817</v>
      </c>
      <c r="O3098" s="29">
        <v>2.4900000000000002</v>
      </c>
      <c r="P3098" s="18" t="s">
        <v>1107</v>
      </c>
      <c r="Q3098" s="18">
        <v>1</v>
      </c>
      <c r="R3098" s="13">
        <v>44822</v>
      </c>
      <c r="S3098" s="21">
        <f>3+57/60</f>
        <v>3.95</v>
      </c>
      <c r="T3098" s="22">
        <v>0.5</v>
      </c>
      <c r="W3098" s="14" t="s">
        <v>7777</v>
      </c>
      <c r="AB3098" s="18">
        <f t="shared" si="96"/>
        <v>2015</v>
      </c>
      <c r="AC3098" s="22">
        <f t="shared" si="97"/>
        <v>0.5</v>
      </c>
    </row>
    <row r="3099" spans="1:29">
      <c r="A3099" s="8" t="s">
        <v>1716</v>
      </c>
      <c r="B3099" s="17" t="s">
        <v>7800</v>
      </c>
      <c r="C3099" s="13">
        <v>42209</v>
      </c>
      <c r="D3099" s="13" t="s">
        <v>8465</v>
      </c>
      <c r="E3099" s="10" t="s">
        <v>5513</v>
      </c>
      <c r="F3099" s="10" t="s">
        <v>1715</v>
      </c>
      <c r="G3099" s="11" t="s">
        <v>1716</v>
      </c>
      <c r="H3099" s="2" t="s">
        <v>171</v>
      </c>
      <c r="L3099" s="18">
        <v>1</v>
      </c>
      <c r="N3099" s="13">
        <v>42467</v>
      </c>
      <c r="P3099" s="18" t="s">
        <v>1107</v>
      </c>
      <c r="Q3099" s="18">
        <v>1</v>
      </c>
      <c r="R3099" s="13">
        <v>43282</v>
      </c>
      <c r="S3099" s="21">
        <v>6.75</v>
      </c>
      <c r="T3099" s="22">
        <v>0.7</v>
      </c>
      <c r="U3099" s="22">
        <v>0.75</v>
      </c>
      <c r="V3099" s="22">
        <f>3.55/5</f>
        <v>0.71</v>
      </c>
      <c r="W3099" s="14" t="s">
        <v>7777</v>
      </c>
      <c r="AB3099" s="18">
        <f t="shared" si="96"/>
        <v>2015</v>
      </c>
      <c r="AC3099" s="22">
        <f t="shared" si="97"/>
        <v>0.72000000000000008</v>
      </c>
    </row>
    <row r="3100" spans="1:29">
      <c r="A3100" s="8" t="s">
        <v>11227</v>
      </c>
      <c r="B3100" s="17" t="s">
        <v>7749</v>
      </c>
      <c r="C3100" s="13">
        <v>42208</v>
      </c>
      <c r="D3100" s="13" t="s">
        <v>8465</v>
      </c>
      <c r="E3100" s="10" t="s">
        <v>455</v>
      </c>
      <c r="F3100" s="10" t="s">
        <v>455</v>
      </c>
      <c r="G3100" s="11" t="s">
        <v>2516</v>
      </c>
      <c r="H3100" s="2" t="s">
        <v>153</v>
      </c>
      <c r="L3100" s="18">
        <v>1</v>
      </c>
      <c r="N3100" s="13">
        <v>44652</v>
      </c>
      <c r="O3100" s="29">
        <v>2.99</v>
      </c>
      <c r="P3100" s="18" t="s">
        <v>1107</v>
      </c>
      <c r="Q3100" s="18">
        <v>1</v>
      </c>
      <c r="R3100" s="13">
        <v>44922</v>
      </c>
      <c r="S3100" s="21">
        <f>1+46/60</f>
        <v>1.7666666666666666</v>
      </c>
      <c r="T3100" s="22">
        <v>0.7</v>
      </c>
      <c r="U3100" s="22">
        <v>0.89</v>
      </c>
      <c r="V3100" s="22">
        <f>4.14/5</f>
        <v>0.82799999999999996</v>
      </c>
      <c r="AB3100" s="18">
        <f t="shared" si="96"/>
        <v>2015</v>
      </c>
      <c r="AC3100" s="22">
        <f t="shared" si="97"/>
        <v>0.80599999999999994</v>
      </c>
    </row>
    <row r="3101" spans="1:29" ht="30">
      <c r="A3101" s="8" t="s">
        <v>6186</v>
      </c>
      <c r="B3101" s="17" t="s">
        <v>7760</v>
      </c>
      <c r="C3101" s="13">
        <v>42199</v>
      </c>
      <c r="D3101" s="13" t="s">
        <v>8465</v>
      </c>
      <c r="E3101" s="10" t="s">
        <v>2908</v>
      </c>
      <c r="F3101" s="10" t="s">
        <v>5719</v>
      </c>
      <c r="G3101" s="11" t="s">
        <v>5718</v>
      </c>
      <c r="H3101" s="2" t="s">
        <v>1059</v>
      </c>
      <c r="L3101" s="18">
        <v>1</v>
      </c>
      <c r="N3101" s="13">
        <v>43348</v>
      </c>
      <c r="O3101" s="29">
        <v>0</v>
      </c>
      <c r="P3101" s="18" t="s">
        <v>1107</v>
      </c>
      <c r="Q3101" s="18">
        <v>1</v>
      </c>
      <c r="R3101" s="13">
        <v>45157</v>
      </c>
      <c r="S3101" s="21">
        <f>7+41/60</f>
        <v>7.6833333333333336</v>
      </c>
      <c r="T3101" s="22">
        <v>0.8</v>
      </c>
      <c r="U3101" s="22">
        <v>0.8</v>
      </c>
      <c r="V3101" s="22">
        <f>4.04/5</f>
        <v>0.80800000000000005</v>
      </c>
      <c r="W3101" s="14" t="s">
        <v>6072</v>
      </c>
      <c r="AB3101" s="18">
        <f t="shared" si="96"/>
        <v>2015</v>
      </c>
      <c r="AC3101" s="22">
        <f t="shared" si="97"/>
        <v>0.80266666666666675</v>
      </c>
    </row>
    <row r="3102" spans="1:29">
      <c r="A3102" s="8" t="s">
        <v>4107</v>
      </c>
      <c r="B3102" s="17" t="s">
        <v>7800</v>
      </c>
      <c r="C3102" s="13">
        <v>42179</v>
      </c>
      <c r="D3102" s="13" t="s">
        <v>8465</v>
      </c>
      <c r="E3102" s="10" t="s">
        <v>4108</v>
      </c>
      <c r="F3102" s="10" t="s">
        <v>4108</v>
      </c>
      <c r="H3102" s="2" t="s">
        <v>67</v>
      </c>
      <c r="L3102" s="18">
        <v>1</v>
      </c>
      <c r="N3102" s="13">
        <v>42338</v>
      </c>
      <c r="O3102" s="29">
        <v>3.59</v>
      </c>
      <c r="P3102" s="18" t="s">
        <v>1107</v>
      </c>
      <c r="Q3102" s="18">
        <v>1</v>
      </c>
      <c r="R3102" s="13">
        <v>42346</v>
      </c>
      <c r="S3102" s="21">
        <v>2.63</v>
      </c>
      <c r="T3102" s="22">
        <v>0.8</v>
      </c>
      <c r="U3102" s="22">
        <v>0.86</v>
      </c>
      <c r="V3102" s="22">
        <f>3.48/5</f>
        <v>0.69599999999999995</v>
      </c>
      <c r="W3102" s="14" t="s">
        <v>7777</v>
      </c>
      <c r="AB3102" s="18">
        <f t="shared" si="96"/>
        <v>2015</v>
      </c>
      <c r="AC3102" s="22">
        <f t="shared" si="97"/>
        <v>0.78533333333333333</v>
      </c>
    </row>
    <row r="3103" spans="1:29" ht="30">
      <c r="A3103" s="8" t="s">
        <v>9749</v>
      </c>
      <c r="B3103" s="17" t="s">
        <v>7800</v>
      </c>
      <c r="C3103" s="13">
        <v>42178</v>
      </c>
      <c r="D3103" s="13" t="s">
        <v>8465</v>
      </c>
      <c r="E3103" s="10" t="s">
        <v>1082</v>
      </c>
      <c r="F3103" s="10" t="s">
        <v>6119</v>
      </c>
      <c r="G3103" s="11" t="s">
        <v>126</v>
      </c>
      <c r="H3103" s="2" t="s">
        <v>9780</v>
      </c>
      <c r="J3103" s="18">
        <v>1</v>
      </c>
      <c r="L3103" s="18">
        <v>1</v>
      </c>
      <c r="N3103" s="13">
        <v>44235</v>
      </c>
      <c r="O3103" s="29">
        <v>0</v>
      </c>
      <c r="P3103" s="18" t="s">
        <v>1107</v>
      </c>
      <c r="Q3103" s="18">
        <v>1</v>
      </c>
      <c r="R3103" s="13">
        <v>44253</v>
      </c>
      <c r="S3103" s="21">
        <f>56+12/60</f>
        <v>56.2</v>
      </c>
      <c r="T3103" s="22">
        <v>0.9</v>
      </c>
      <c r="U3103" s="22">
        <v>0.86</v>
      </c>
      <c r="V3103" s="22">
        <f>4.23/5</f>
        <v>0.84600000000000009</v>
      </c>
      <c r="W3103" s="14" t="s">
        <v>1082</v>
      </c>
      <c r="AB3103" s="18">
        <f t="shared" si="96"/>
        <v>2015</v>
      </c>
      <c r="AC3103" s="22">
        <f t="shared" si="97"/>
        <v>0.86866666666666659</v>
      </c>
    </row>
    <row r="3104" spans="1:29" ht="45">
      <c r="A3104" s="8" t="s">
        <v>4303</v>
      </c>
      <c r="B3104" s="17" t="s">
        <v>7800</v>
      </c>
      <c r="C3104" s="13">
        <v>42167</v>
      </c>
      <c r="D3104" s="13" t="s">
        <v>8465</v>
      </c>
      <c r="E3104" s="10" t="s">
        <v>1156</v>
      </c>
      <c r="F3104" s="10" t="s">
        <v>4304</v>
      </c>
      <c r="G3104" s="11" t="s">
        <v>4305</v>
      </c>
      <c r="H3104" s="2" t="s">
        <v>80</v>
      </c>
      <c r="L3104" s="18">
        <v>1</v>
      </c>
      <c r="N3104" s="13">
        <v>43370</v>
      </c>
      <c r="O3104" s="29">
        <v>4.99</v>
      </c>
      <c r="P3104" s="18" t="s">
        <v>1107</v>
      </c>
      <c r="Q3104" s="18">
        <v>1</v>
      </c>
      <c r="R3104" s="13">
        <v>43758</v>
      </c>
      <c r="S3104" s="21">
        <f>8+58/60</f>
        <v>8.9666666666666668</v>
      </c>
      <c r="T3104" s="22">
        <v>0.6</v>
      </c>
      <c r="U3104" s="22">
        <v>0.76</v>
      </c>
      <c r="V3104" s="22">
        <f>3.86/5</f>
        <v>0.77200000000000002</v>
      </c>
      <c r="W3104" s="14" t="s">
        <v>7777</v>
      </c>
      <c r="AB3104" s="18">
        <f t="shared" si="96"/>
        <v>2015</v>
      </c>
      <c r="AC3104" s="22">
        <f t="shared" si="97"/>
        <v>0.71066666666666656</v>
      </c>
    </row>
    <row r="3105" spans="1:29" ht="25.5">
      <c r="A3105" s="8" t="s">
        <v>5212</v>
      </c>
      <c r="B3105" s="17" t="s">
        <v>7800</v>
      </c>
      <c r="C3105" s="13">
        <v>42159</v>
      </c>
      <c r="D3105" s="13" t="s">
        <v>8465</v>
      </c>
      <c r="E3105" s="10" t="s">
        <v>3159</v>
      </c>
      <c r="F3105" s="10" t="s">
        <v>3210</v>
      </c>
      <c r="H3105" s="2" t="s">
        <v>21</v>
      </c>
      <c r="L3105" s="18">
        <v>1</v>
      </c>
      <c r="N3105" s="13">
        <v>42217</v>
      </c>
      <c r="P3105" s="18" t="s">
        <v>1107</v>
      </c>
      <c r="Q3105" s="18">
        <v>1</v>
      </c>
      <c r="R3105" s="13">
        <v>45186</v>
      </c>
      <c r="S3105" s="21">
        <f>20/60</f>
        <v>0.33333333333333331</v>
      </c>
      <c r="T3105" s="22">
        <v>0.5</v>
      </c>
      <c r="U3105" s="22">
        <v>0.69</v>
      </c>
      <c r="V3105" s="22">
        <f>3.75/5</f>
        <v>0.75</v>
      </c>
      <c r="W3105" s="14" t="s">
        <v>7777</v>
      </c>
      <c r="AB3105" s="18">
        <f t="shared" si="96"/>
        <v>2015</v>
      </c>
      <c r="AC3105" s="22">
        <f t="shared" si="97"/>
        <v>0.64666666666666661</v>
      </c>
    </row>
    <row r="3106" spans="1:29">
      <c r="A3106" s="8" t="s">
        <v>7363</v>
      </c>
      <c r="B3106" s="17" t="s">
        <v>7783</v>
      </c>
      <c r="C3106" s="13">
        <v>42159</v>
      </c>
      <c r="D3106" s="13" t="s">
        <v>8465</v>
      </c>
      <c r="E3106" s="10" t="s">
        <v>7271</v>
      </c>
      <c r="F3106" s="10" t="s">
        <v>7271</v>
      </c>
      <c r="G3106" s="11">
        <v>10000000</v>
      </c>
      <c r="H3106" s="2" t="s">
        <v>78</v>
      </c>
      <c r="L3106" s="18">
        <v>1</v>
      </c>
      <c r="N3106" s="13">
        <v>42167</v>
      </c>
      <c r="O3106" s="29">
        <v>2.99</v>
      </c>
      <c r="P3106" s="18" t="s">
        <v>1107</v>
      </c>
      <c r="Q3106" s="18">
        <v>1</v>
      </c>
      <c r="R3106" s="13">
        <v>42182</v>
      </c>
      <c r="S3106" s="21">
        <v>8.0399999999999991</v>
      </c>
      <c r="T3106" s="22">
        <v>0.8</v>
      </c>
      <c r="U3106" s="22">
        <v>0.9</v>
      </c>
      <c r="V3106" s="22">
        <f>3.23/5</f>
        <v>0.64600000000000002</v>
      </c>
      <c r="AB3106" s="18">
        <f t="shared" si="96"/>
        <v>2015</v>
      </c>
      <c r="AC3106" s="22">
        <f t="shared" si="97"/>
        <v>0.78200000000000003</v>
      </c>
    </row>
    <row r="3107" spans="1:29" ht="45">
      <c r="A3107" s="8" t="s">
        <v>5320</v>
      </c>
      <c r="B3107" s="17" t="s">
        <v>7800</v>
      </c>
      <c r="C3107" s="13">
        <v>42146</v>
      </c>
      <c r="D3107" s="13" t="s">
        <v>8465</v>
      </c>
      <c r="E3107" s="10" t="s">
        <v>5318</v>
      </c>
      <c r="F3107" s="10" t="s">
        <v>5318</v>
      </c>
      <c r="G3107" s="11" t="s">
        <v>5317</v>
      </c>
      <c r="H3107" s="2" t="s">
        <v>171</v>
      </c>
      <c r="L3107" s="18">
        <v>1</v>
      </c>
      <c r="N3107" s="13">
        <v>42908</v>
      </c>
      <c r="O3107" s="29">
        <v>2.99</v>
      </c>
      <c r="P3107" s="18" t="s">
        <v>1107</v>
      </c>
      <c r="Q3107" s="18">
        <v>1</v>
      </c>
      <c r="R3107" s="13">
        <v>43288</v>
      </c>
      <c r="S3107" s="21">
        <v>5.45</v>
      </c>
      <c r="T3107" s="22">
        <v>0.7</v>
      </c>
      <c r="U3107" s="22">
        <v>0.66</v>
      </c>
      <c r="V3107" s="22">
        <f>3.13/5</f>
        <v>0.626</v>
      </c>
      <c r="W3107" s="14" t="s">
        <v>7777</v>
      </c>
      <c r="AB3107" s="18">
        <f t="shared" si="96"/>
        <v>2015</v>
      </c>
      <c r="AC3107" s="22">
        <f t="shared" si="97"/>
        <v>0.66199999999999992</v>
      </c>
    </row>
    <row r="3108" spans="1:29" ht="25.5">
      <c r="A3108" s="8" t="s">
        <v>7856</v>
      </c>
      <c r="B3108" s="17" t="s">
        <v>7800</v>
      </c>
      <c r="C3108" s="13">
        <v>42143</v>
      </c>
      <c r="D3108" s="13" t="s">
        <v>8465</v>
      </c>
      <c r="E3108" s="10" t="s">
        <v>3536</v>
      </c>
      <c r="F3108" s="10" t="s">
        <v>3537</v>
      </c>
      <c r="G3108" s="11" t="s">
        <v>5392</v>
      </c>
      <c r="H3108" s="2" t="s">
        <v>171</v>
      </c>
      <c r="L3108" s="18">
        <v>1</v>
      </c>
      <c r="N3108" s="13">
        <v>42076</v>
      </c>
      <c r="O3108" s="29">
        <v>0</v>
      </c>
      <c r="P3108" s="18" t="s">
        <v>1107</v>
      </c>
      <c r="Q3108" s="18">
        <v>1</v>
      </c>
      <c r="R3108" s="13">
        <v>42370</v>
      </c>
      <c r="S3108" s="21">
        <v>201.4</v>
      </c>
      <c r="T3108" s="22">
        <v>1</v>
      </c>
      <c r="U3108" s="22">
        <v>0.92</v>
      </c>
      <c r="V3108" s="22">
        <f>4.47/5</f>
        <v>0.89399999999999991</v>
      </c>
      <c r="W3108" s="14" t="s">
        <v>7778</v>
      </c>
      <c r="AB3108" s="18">
        <f t="shared" si="96"/>
        <v>2015</v>
      </c>
      <c r="AC3108" s="22">
        <f t="shared" si="97"/>
        <v>0.93800000000000006</v>
      </c>
    </row>
    <row r="3109" spans="1:29" ht="30">
      <c r="A3109" s="8" t="s">
        <v>6126</v>
      </c>
      <c r="B3109" s="17" t="s">
        <v>7760</v>
      </c>
      <c r="C3109" s="13">
        <v>42136</v>
      </c>
      <c r="D3109" s="13" t="s">
        <v>8465</v>
      </c>
      <c r="E3109" s="10" t="s">
        <v>1082</v>
      </c>
      <c r="F3109" s="10" t="s">
        <v>3892</v>
      </c>
      <c r="G3109" s="11" t="s">
        <v>126</v>
      </c>
      <c r="H3109" s="2" t="s">
        <v>149</v>
      </c>
      <c r="L3109" s="18">
        <v>1</v>
      </c>
      <c r="M3109" s="14" t="s">
        <v>8462</v>
      </c>
      <c r="N3109" s="13">
        <v>43415</v>
      </c>
      <c r="O3109" s="29">
        <v>8.67</v>
      </c>
      <c r="P3109" s="18" t="s">
        <v>14</v>
      </c>
      <c r="Q3109" s="18">
        <v>1</v>
      </c>
      <c r="R3109" s="13">
        <v>44089</v>
      </c>
      <c r="S3109" s="21">
        <f>34+50/60+15/3600+20+20/60+58/3600</f>
        <v>55.18694444444445</v>
      </c>
      <c r="T3109" s="22">
        <f>(85%+75%)/2</f>
        <v>0.8</v>
      </c>
      <c r="U3109" s="22">
        <v>0.83</v>
      </c>
      <c r="V3109" s="22">
        <f>4.32/5</f>
        <v>0.8640000000000001</v>
      </c>
      <c r="AB3109" s="18">
        <f t="shared" si="96"/>
        <v>2015</v>
      </c>
      <c r="AC3109" s="22">
        <f t="shared" si="97"/>
        <v>0.83133333333333326</v>
      </c>
    </row>
    <row r="3110" spans="1:29" ht="25.5">
      <c r="A3110" s="8" t="s">
        <v>4608</v>
      </c>
      <c r="B3110" s="17" t="s">
        <v>7800</v>
      </c>
      <c r="C3110" s="13">
        <v>42135</v>
      </c>
      <c r="D3110" s="13" t="s">
        <v>8465</v>
      </c>
      <c r="E3110" s="10" t="s">
        <v>3116</v>
      </c>
      <c r="F3110" s="10" t="s">
        <v>4609</v>
      </c>
      <c r="G3110" s="11" t="s">
        <v>8500</v>
      </c>
      <c r="H3110" s="2" t="s">
        <v>151</v>
      </c>
      <c r="L3110" s="18">
        <v>1</v>
      </c>
      <c r="N3110" s="13">
        <v>42173</v>
      </c>
      <c r="O3110" s="29">
        <v>11.99</v>
      </c>
      <c r="P3110" s="18" t="s">
        <v>1107</v>
      </c>
      <c r="Q3110" s="18">
        <v>1</v>
      </c>
      <c r="R3110" s="13">
        <v>42242</v>
      </c>
      <c r="S3110" s="21">
        <v>6.25</v>
      </c>
      <c r="T3110" s="22">
        <v>0.9</v>
      </c>
      <c r="U3110" s="22">
        <v>0.89</v>
      </c>
      <c r="V3110" s="22">
        <f>4.16/5</f>
        <v>0.83200000000000007</v>
      </c>
      <c r="W3110" s="14" t="s">
        <v>7777</v>
      </c>
      <c r="AB3110" s="18">
        <f t="shared" si="96"/>
        <v>2015</v>
      </c>
      <c r="AC3110" s="22">
        <f t="shared" si="97"/>
        <v>0.874</v>
      </c>
    </row>
    <row r="3111" spans="1:29" ht="25.5">
      <c r="A3111" s="8" t="s">
        <v>5572</v>
      </c>
      <c r="B3111" s="17" t="s">
        <v>7800</v>
      </c>
      <c r="C3111" s="13">
        <v>42128</v>
      </c>
      <c r="D3111" s="13" t="s">
        <v>8465</v>
      </c>
      <c r="E3111" s="10" t="s">
        <v>1690</v>
      </c>
      <c r="F3111" s="10" t="s">
        <v>1723</v>
      </c>
      <c r="G3111" s="11" t="s">
        <v>1724</v>
      </c>
      <c r="H3111" s="2" t="s">
        <v>1050</v>
      </c>
      <c r="L3111" s="18">
        <v>1</v>
      </c>
      <c r="N3111" s="13">
        <v>42167</v>
      </c>
      <c r="O3111" s="29">
        <v>9.99</v>
      </c>
      <c r="P3111" s="18" t="s">
        <v>1107</v>
      </c>
      <c r="Q3111" s="18">
        <v>1</v>
      </c>
      <c r="R3111" s="13">
        <v>42245</v>
      </c>
      <c r="S3111" s="21">
        <v>4.3899999999999997</v>
      </c>
      <c r="T3111" s="22">
        <v>0.8</v>
      </c>
      <c r="U3111" s="22">
        <v>0.78</v>
      </c>
      <c r="V3111" s="22">
        <f>3.65/5</f>
        <v>0.73</v>
      </c>
      <c r="W3111" s="14" t="s">
        <v>7777</v>
      </c>
      <c r="AB3111" s="18">
        <f t="shared" si="96"/>
        <v>2015</v>
      </c>
      <c r="AC3111" s="22">
        <f t="shared" si="97"/>
        <v>0.77</v>
      </c>
    </row>
    <row r="3112" spans="1:29" ht="25.5">
      <c r="A3112" s="8" t="s">
        <v>6985</v>
      </c>
      <c r="B3112" s="17" t="s">
        <v>7800</v>
      </c>
      <c r="C3112" s="13">
        <v>42115</v>
      </c>
      <c r="D3112" s="13" t="s">
        <v>8465</v>
      </c>
      <c r="E3112" s="10" t="s">
        <v>1047</v>
      </c>
      <c r="F3112" s="10" t="s">
        <v>1552</v>
      </c>
      <c r="G3112" s="11" t="s">
        <v>1563</v>
      </c>
      <c r="H3112" s="2" t="s">
        <v>245</v>
      </c>
      <c r="L3112" s="18">
        <v>1</v>
      </c>
      <c r="N3112" s="13">
        <v>42191</v>
      </c>
      <c r="O3112" s="29">
        <v>4.41</v>
      </c>
      <c r="P3112" s="18" t="s">
        <v>1107</v>
      </c>
      <c r="Q3112" s="18">
        <v>1</v>
      </c>
      <c r="R3112" s="13">
        <v>43693</v>
      </c>
      <c r="T3112" s="22">
        <v>0.5</v>
      </c>
      <c r="U3112" s="22">
        <v>0.7</v>
      </c>
      <c r="V3112" s="22">
        <f>2.89/5</f>
        <v>0.57800000000000007</v>
      </c>
      <c r="W3112" s="14" t="s">
        <v>7798</v>
      </c>
      <c r="AB3112" s="18">
        <f t="shared" si="96"/>
        <v>2015</v>
      </c>
      <c r="AC3112" s="22">
        <f t="shared" si="97"/>
        <v>0.59266666666666667</v>
      </c>
    </row>
    <row r="3113" spans="1:29">
      <c r="A3113" s="8" t="s">
        <v>4020</v>
      </c>
      <c r="B3113" s="17" t="s">
        <v>7800</v>
      </c>
      <c r="C3113" s="13">
        <v>42108</v>
      </c>
      <c r="D3113" s="13" t="s">
        <v>8465</v>
      </c>
      <c r="E3113" s="10" t="s">
        <v>1618</v>
      </c>
      <c r="F3113" s="10" t="s">
        <v>4019</v>
      </c>
      <c r="G3113" s="11" t="s">
        <v>2306</v>
      </c>
      <c r="H3113" s="2" t="s">
        <v>80</v>
      </c>
      <c r="L3113" s="18">
        <v>1</v>
      </c>
      <c r="N3113" s="13">
        <v>42360</v>
      </c>
      <c r="O3113" s="29">
        <v>35.99</v>
      </c>
      <c r="P3113" s="18" t="s">
        <v>1107</v>
      </c>
      <c r="Q3113" s="18">
        <v>1</v>
      </c>
      <c r="R3113" s="13">
        <v>42428</v>
      </c>
      <c r="S3113" s="21">
        <v>29.18</v>
      </c>
      <c r="T3113" s="22">
        <v>0.9</v>
      </c>
      <c r="U3113" s="22">
        <v>0.95</v>
      </c>
      <c r="V3113" s="22">
        <f>4.3/5</f>
        <v>0.86</v>
      </c>
      <c r="W3113" s="14" t="s">
        <v>7777</v>
      </c>
      <c r="AB3113" s="18">
        <f t="shared" si="96"/>
        <v>2015</v>
      </c>
      <c r="AC3113" s="22">
        <f t="shared" si="97"/>
        <v>0.90333333333333332</v>
      </c>
    </row>
    <row r="3114" spans="1:29" ht="25.5">
      <c r="A3114" s="8" t="s">
        <v>4717</v>
      </c>
      <c r="B3114" s="17" t="s">
        <v>7800</v>
      </c>
      <c r="C3114" s="13">
        <v>42089</v>
      </c>
      <c r="D3114" s="13" t="s">
        <v>8465</v>
      </c>
      <c r="E3114" s="10" t="s">
        <v>4718</v>
      </c>
      <c r="F3114" s="10" t="s">
        <v>4719</v>
      </c>
      <c r="H3114" s="2" t="s">
        <v>78</v>
      </c>
      <c r="L3114" s="18">
        <v>1</v>
      </c>
      <c r="N3114" s="13">
        <v>42370</v>
      </c>
      <c r="O3114" s="29">
        <v>0.2</v>
      </c>
      <c r="P3114" s="18" t="s">
        <v>1107</v>
      </c>
      <c r="Q3114" s="18">
        <v>1</v>
      </c>
      <c r="R3114" s="13">
        <v>42370</v>
      </c>
      <c r="S3114" s="21">
        <v>0.87</v>
      </c>
      <c r="T3114" s="22">
        <v>0.8</v>
      </c>
      <c r="U3114" s="22">
        <v>0.86</v>
      </c>
      <c r="V3114" s="22">
        <f>3.38/5</f>
        <v>0.67599999999999993</v>
      </c>
      <c r="W3114" s="14" t="s">
        <v>7777</v>
      </c>
      <c r="AB3114" s="18">
        <f t="shared" si="96"/>
        <v>2015</v>
      </c>
      <c r="AC3114" s="22">
        <f t="shared" si="97"/>
        <v>0.77866666666666673</v>
      </c>
    </row>
    <row r="3115" spans="1:29" ht="30">
      <c r="A3115" s="8" t="s">
        <v>6101</v>
      </c>
      <c r="B3115" s="17" t="s">
        <v>7760</v>
      </c>
      <c r="C3115" s="13">
        <v>42087</v>
      </c>
      <c r="D3115" s="13" t="s">
        <v>8465</v>
      </c>
      <c r="E3115" s="10" t="s">
        <v>2908</v>
      </c>
      <c r="F3115" s="10" t="s">
        <v>1580</v>
      </c>
      <c r="G3115" s="11" t="s">
        <v>3566</v>
      </c>
      <c r="H3115" s="2" t="s">
        <v>171</v>
      </c>
      <c r="L3115" s="18">
        <v>1</v>
      </c>
      <c r="M3115" s="14" t="s">
        <v>8462</v>
      </c>
      <c r="N3115" s="13">
        <v>42650</v>
      </c>
      <c r="O3115" s="29">
        <v>13.99</v>
      </c>
      <c r="P3115" s="18" t="s">
        <v>14</v>
      </c>
      <c r="Q3115" s="18">
        <v>1</v>
      </c>
      <c r="R3115" s="13">
        <v>43207</v>
      </c>
      <c r="S3115" s="21">
        <v>29</v>
      </c>
      <c r="T3115" s="22">
        <v>0.9</v>
      </c>
      <c r="U3115" s="22">
        <v>0.91</v>
      </c>
      <c r="V3115" s="22">
        <f>4.44/5</f>
        <v>0.88800000000000012</v>
      </c>
      <c r="AB3115" s="18">
        <f t="shared" si="96"/>
        <v>2015</v>
      </c>
      <c r="AC3115" s="22">
        <f t="shared" si="97"/>
        <v>0.89933333333333343</v>
      </c>
    </row>
    <row r="3116" spans="1:29" ht="25.5">
      <c r="A3116" s="8" t="s">
        <v>4814</v>
      </c>
      <c r="B3116" s="17" t="s">
        <v>7766</v>
      </c>
      <c r="C3116" s="13">
        <v>42083</v>
      </c>
      <c r="D3116" s="13" t="s">
        <v>8465</v>
      </c>
      <c r="E3116" s="10" t="s">
        <v>73</v>
      </c>
      <c r="F3116" s="10" t="s">
        <v>73</v>
      </c>
      <c r="G3116" s="11" t="s">
        <v>943</v>
      </c>
      <c r="H3116" s="2" t="s">
        <v>1168</v>
      </c>
      <c r="L3116" s="18">
        <v>1</v>
      </c>
      <c r="M3116" s="14" t="s">
        <v>8462</v>
      </c>
      <c r="N3116" s="13">
        <v>43496</v>
      </c>
      <c r="O3116" s="29">
        <v>15.98</v>
      </c>
      <c r="P3116" s="18" t="s">
        <v>14</v>
      </c>
      <c r="Q3116" s="18">
        <v>1</v>
      </c>
      <c r="R3116" s="13">
        <v>43653</v>
      </c>
      <c r="S3116" s="21">
        <v>5.86</v>
      </c>
      <c r="T3116" s="22">
        <v>0.8</v>
      </c>
      <c r="U3116" s="22">
        <v>0.75</v>
      </c>
      <c r="V3116" s="22">
        <f>3.9/5</f>
        <v>0.78</v>
      </c>
      <c r="AB3116" s="18">
        <f t="shared" si="96"/>
        <v>2015</v>
      </c>
      <c r="AC3116" s="22">
        <f t="shared" si="97"/>
        <v>0.77666666666666673</v>
      </c>
    </row>
    <row r="3117" spans="1:29" ht="30">
      <c r="A3117" s="8" t="s">
        <v>8332</v>
      </c>
      <c r="B3117" s="17" t="s">
        <v>7766</v>
      </c>
      <c r="C3117" s="13">
        <v>42080</v>
      </c>
      <c r="D3117" s="13" t="s">
        <v>8465</v>
      </c>
      <c r="E3117" s="10" t="s">
        <v>1082</v>
      </c>
      <c r="F3117" s="10" t="s">
        <v>3895</v>
      </c>
      <c r="G3117" s="11" t="s">
        <v>126</v>
      </c>
      <c r="H3117" s="2" t="s">
        <v>171</v>
      </c>
      <c r="L3117" s="18">
        <v>1</v>
      </c>
      <c r="M3117" s="14" t="s">
        <v>8462</v>
      </c>
      <c r="N3117" s="13">
        <v>43869</v>
      </c>
      <c r="O3117" s="29">
        <v>11.16</v>
      </c>
      <c r="P3117" s="18" t="s">
        <v>14</v>
      </c>
      <c r="Q3117" s="18">
        <v>1</v>
      </c>
      <c r="R3117" s="13">
        <v>44532</v>
      </c>
      <c r="S3117" s="21">
        <f>21+19/60+15/3600</f>
        <v>21.320833333333333</v>
      </c>
      <c r="T3117" s="22">
        <v>0.7</v>
      </c>
      <c r="U3117" s="22">
        <v>0.72</v>
      </c>
      <c r="V3117" s="22">
        <f>3.66/5</f>
        <v>0.73199999999999998</v>
      </c>
      <c r="AB3117" s="18">
        <f t="shared" si="96"/>
        <v>2015</v>
      </c>
      <c r="AC3117" s="22">
        <f t="shared" si="97"/>
        <v>0.71733333333333338</v>
      </c>
    </row>
    <row r="3118" spans="1:29">
      <c r="A3118" s="8" t="s">
        <v>3222</v>
      </c>
      <c r="B3118" s="17" t="s">
        <v>7800</v>
      </c>
      <c r="C3118" s="13">
        <v>42073</v>
      </c>
      <c r="D3118" s="13" t="s">
        <v>8465</v>
      </c>
      <c r="E3118" s="10" t="s">
        <v>1047</v>
      </c>
      <c r="F3118" s="10" t="s">
        <v>2473</v>
      </c>
      <c r="G3118" s="11" t="s">
        <v>1563</v>
      </c>
      <c r="H3118" s="2" t="s">
        <v>80</v>
      </c>
      <c r="L3118" s="18">
        <v>1</v>
      </c>
      <c r="N3118" s="13">
        <v>42364</v>
      </c>
      <c r="O3118" s="29">
        <v>11.99</v>
      </c>
      <c r="P3118" s="18" t="s">
        <v>1107</v>
      </c>
      <c r="Q3118" s="18">
        <v>1</v>
      </c>
      <c r="R3118" s="13">
        <v>43677</v>
      </c>
      <c r="S3118" s="21">
        <v>8.6</v>
      </c>
      <c r="T3118" s="22">
        <v>0.7</v>
      </c>
      <c r="U3118" s="22">
        <v>0.7</v>
      </c>
      <c r="V3118" s="22">
        <f>3.49/5</f>
        <v>0.69800000000000006</v>
      </c>
      <c r="W3118" s="14" t="s">
        <v>7777</v>
      </c>
      <c r="AB3118" s="18">
        <f t="shared" si="96"/>
        <v>2015</v>
      </c>
      <c r="AC3118" s="22">
        <f t="shared" si="97"/>
        <v>0.69933333333333325</v>
      </c>
    </row>
    <row r="3119" spans="1:29">
      <c r="A3119" s="8" t="s">
        <v>3209</v>
      </c>
      <c r="B3119" s="17" t="s">
        <v>7800</v>
      </c>
      <c r="C3119" s="13">
        <v>42069</v>
      </c>
      <c r="D3119" s="13" t="s">
        <v>8465</v>
      </c>
      <c r="E3119" s="10" t="s">
        <v>3159</v>
      </c>
      <c r="F3119" s="10" t="s">
        <v>3210</v>
      </c>
      <c r="H3119" s="2" t="s">
        <v>21</v>
      </c>
      <c r="L3119" s="18">
        <v>1</v>
      </c>
      <c r="N3119" s="13">
        <v>42098</v>
      </c>
      <c r="P3119" s="18" t="s">
        <v>1107</v>
      </c>
      <c r="Q3119" s="18">
        <v>1</v>
      </c>
      <c r="R3119" s="13">
        <v>45080</v>
      </c>
      <c r="S3119" s="21">
        <f>32/60</f>
        <v>0.53333333333333333</v>
      </c>
      <c r="T3119" s="22">
        <v>0.5</v>
      </c>
      <c r="U3119" s="22">
        <v>0.71</v>
      </c>
      <c r="V3119" s="22">
        <f>3.9/5</f>
        <v>0.78</v>
      </c>
      <c r="W3119" s="14" t="s">
        <v>7777</v>
      </c>
      <c r="AB3119" s="18">
        <f t="shared" si="96"/>
        <v>2015</v>
      </c>
      <c r="AC3119" s="22">
        <f t="shared" si="97"/>
        <v>0.66333333333333333</v>
      </c>
    </row>
    <row r="3120" spans="1:29" ht="30">
      <c r="A3120" s="8" t="s">
        <v>4720</v>
      </c>
      <c r="B3120" s="17" t="s">
        <v>7800</v>
      </c>
      <c r="C3120" s="13">
        <v>42068</v>
      </c>
      <c r="D3120" s="13" t="s">
        <v>8465</v>
      </c>
      <c r="E3120" s="10" t="s">
        <v>4721</v>
      </c>
      <c r="F3120" s="10" t="s">
        <v>4722</v>
      </c>
      <c r="H3120" s="2" t="s">
        <v>2820</v>
      </c>
      <c r="L3120" s="18">
        <v>1</v>
      </c>
      <c r="N3120" s="13">
        <v>42362</v>
      </c>
      <c r="P3120" s="18" t="s">
        <v>1107</v>
      </c>
      <c r="Q3120" s="18">
        <v>1</v>
      </c>
      <c r="R3120" s="13">
        <v>42365</v>
      </c>
      <c r="S3120" s="21">
        <v>0.22</v>
      </c>
      <c r="T3120" s="22">
        <v>0.5</v>
      </c>
      <c r="U3120" s="22">
        <v>0.7</v>
      </c>
      <c r="V3120" s="22">
        <f>3.04/5</f>
        <v>0.60799999999999998</v>
      </c>
      <c r="W3120" s="14" t="s">
        <v>7777</v>
      </c>
      <c r="AB3120" s="18">
        <f t="shared" si="96"/>
        <v>2015</v>
      </c>
      <c r="AC3120" s="22">
        <f t="shared" si="97"/>
        <v>0.60266666666666657</v>
      </c>
    </row>
    <row r="3121" spans="1:29" ht="25.5">
      <c r="A3121" s="8" t="s">
        <v>2415</v>
      </c>
      <c r="B3121" s="17" t="s">
        <v>7749</v>
      </c>
      <c r="C3121" s="13">
        <v>42048</v>
      </c>
      <c r="D3121" s="13" t="s">
        <v>8465</v>
      </c>
      <c r="E3121" s="10" t="s">
        <v>86</v>
      </c>
      <c r="F3121" s="10" t="s">
        <v>2453</v>
      </c>
      <c r="G3121" s="11" t="s">
        <v>85</v>
      </c>
      <c r="H3121" s="2" t="s">
        <v>80</v>
      </c>
      <c r="L3121" s="18">
        <v>1</v>
      </c>
      <c r="M3121" s="14" t="s">
        <v>8462</v>
      </c>
      <c r="N3121" s="13">
        <v>42054</v>
      </c>
      <c r="O3121" s="29">
        <v>42.96</v>
      </c>
      <c r="P3121" s="18" t="s">
        <v>14</v>
      </c>
      <c r="Q3121" s="18">
        <v>1</v>
      </c>
      <c r="R3121" s="13">
        <v>42098</v>
      </c>
      <c r="S3121" s="21">
        <v>27.5</v>
      </c>
      <c r="T3121" s="22">
        <v>0.8</v>
      </c>
      <c r="U3121" s="22">
        <v>0.9</v>
      </c>
      <c r="V3121" s="22">
        <f>4.44/5</f>
        <v>0.88800000000000012</v>
      </c>
      <c r="AB3121" s="18">
        <f t="shared" si="96"/>
        <v>2015</v>
      </c>
      <c r="AC3121" s="22">
        <f t="shared" si="97"/>
        <v>0.86266666666666669</v>
      </c>
    </row>
    <row r="3122" spans="1:29">
      <c r="A3122" s="8" t="s">
        <v>4041</v>
      </c>
      <c r="B3122" s="17" t="s">
        <v>7800</v>
      </c>
      <c r="C3122" s="13">
        <v>42039</v>
      </c>
      <c r="D3122" s="13" t="s">
        <v>8465</v>
      </c>
      <c r="E3122" s="10" t="s">
        <v>1047</v>
      </c>
      <c r="F3122" s="10" t="s">
        <v>4042</v>
      </c>
      <c r="G3122" s="11" t="s">
        <v>4041</v>
      </c>
      <c r="H3122" s="2" t="s">
        <v>1040</v>
      </c>
      <c r="L3122" s="18">
        <v>1</v>
      </c>
      <c r="N3122" s="13">
        <v>42171</v>
      </c>
      <c r="O3122" s="29">
        <v>3.99</v>
      </c>
      <c r="P3122" s="18" t="s">
        <v>1107</v>
      </c>
      <c r="Q3122" s="18">
        <v>1</v>
      </c>
      <c r="R3122" s="13">
        <v>44991</v>
      </c>
      <c r="S3122" s="21">
        <f>95/60</f>
        <v>1.5833333333333333</v>
      </c>
      <c r="T3122" s="22">
        <v>0.6</v>
      </c>
      <c r="U3122" s="22">
        <v>0.75</v>
      </c>
      <c r="V3122" s="22">
        <f>3.54/5</f>
        <v>0.70799999999999996</v>
      </c>
      <c r="W3122" s="14" t="s">
        <v>7777</v>
      </c>
      <c r="AB3122" s="18">
        <f t="shared" si="96"/>
        <v>2015</v>
      </c>
      <c r="AC3122" s="22">
        <f t="shared" si="97"/>
        <v>0.68599999999999994</v>
      </c>
    </row>
    <row r="3123" spans="1:29" ht="30">
      <c r="A3123" s="8" t="s">
        <v>4320</v>
      </c>
      <c r="B3123" s="17" t="s">
        <v>7800</v>
      </c>
      <c r="C3123" s="13">
        <v>42033</v>
      </c>
      <c r="D3123" s="13" t="s">
        <v>8465</v>
      </c>
      <c r="E3123" s="10" t="s">
        <v>1082</v>
      </c>
      <c r="F3123" s="10" t="s">
        <v>4321</v>
      </c>
      <c r="G3123" s="11" t="s">
        <v>4320</v>
      </c>
      <c r="H3123" s="2" t="s">
        <v>67</v>
      </c>
      <c r="L3123" s="18">
        <v>1</v>
      </c>
      <c r="N3123" s="13">
        <v>42059</v>
      </c>
      <c r="P3123" s="18" t="s">
        <v>1107</v>
      </c>
      <c r="Q3123" s="18">
        <v>1</v>
      </c>
      <c r="R3123" s="13">
        <v>42301</v>
      </c>
      <c r="S3123" s="21">
        <v>12.52</v>
      </c>
      <c r="T3123" s="22">
        <v>0.9</v>
      </c>
      <c r="U3123" s="22">
        <v>0.82</v>
      </c>
      <c r="V3123" s="22">
        <f>3.98/5</f>
        <v>0.79600000000000004</v>
      </c>
      <c r="W3123" s="14" t="s">
        <v>7777</v>
      </c>
      <c r="AB3123" s="18">
        <f t="shared" si="96"/>
        <v>2015</v>
      </c>
      <c r="AC3123" s="22">
        <f t="shared" si="97"/>
        <v>0.83866666666666667</v>
      </c>
    </row>
    <row r="3124" spans="1:29">
      <c r="A3124" s="8" t="s">
        <v>3755</v>
      </c>
      <c r="B3124" s="17" t="s">
        <v>7800</v>
      </c>
      <c r="C3124" s="13">
        <v>42030</v>
      </c>
      <c r="D3124" s="13" t="s">
        <v>8465</v>
      </c>
      <c r="E3124" s="10" t="s">
        <v>3756</v>
      </c>
      <c r="F3124" s="10" t="s">
        <v>3405</v>
      </c>
      <c r="G3124" s="11" t="s">
        <v>3755</v>
      </c>
      <c r="H3124" s="2" t="s">
        <v>80</v>
      </c>
      <c r="L3124" s="18">
        <v>1</v>
      </c>
      <c r="N3124" s="13">
        <v>43642</v>
      </c>
      <c r="O3124" s="29">
        <v>13.59</v>
      </c>
      <c r="P3124" s="18" t="s">
        <v>1107</v>
      </c>
      <c r="Q3124" s="18">
        <v>1</v>
      </c>
      <c r="R3124" s="13">
        <v>44749</v>
      </c>
      <c r="S3124" s="21">
        <f>11+31/60</f>
        <v>11.516666666666667</v>
      </c>
      <c r="T3124" s="22">
        <v>0.6</v>
      </c>
      <c r="U3124" s="22">
        <v>0.73</v>
      </c>
      <c r="V3124" s="22">
        <f>3.78/5</f>
        <v>0.75600000000000001</v>
      </c>
      <c r="W3124" s="14" t="s">
        <v>7777</v>
      </c>
      <c r="AB3124" s="18">
        <f t="shared" si="96"/>
        <v>2015</v>
      </c>
      <c r="AC3124" s="22">
        <f t="shared" si="97"/>
        <v>0.69533333333333347</v>
      </c>
    </row>
    <row r="3125" spans="1:29">
      <c r="A3125" s="8" t="s">
        <v>943</v>
      </c>
      <c r="B3125" s="17" t="s">
        <v>7800</v>
      </c>
      <c r="C3125" s="13">
        <v>42024</v>
      </c>
      <c r="D3125" s="13" t="s">
        <v>8465</v>
      </c>
      <c r="E3125" s="10" t="s">
        <v>73</v>
      </c>
      <c r="F3125" s="10" t="s">
        <v>73</v>
      </c>
      <c r="G3125" s="11" t="s">
        <v>943</v>
      </c>
      <c r="H3125" s="2" t="s">
        <v>1061</v>
      </c>
      <c r="L3125" s="18">
        <v>1</v>
      </c>
      <c r="N3125" s="13">
        <v>43455</v>
      </c>
      <c r="O3125" s="29">
        <v>7.99</v>
      </c>
      <c r="P3125" s="18" t="s">
        <v>1107</v>
      </c>
      <c r="Q3125" s="18">
        <v>1</v>
      </c>
      <c r="R3125" s="13">
        <v>45075</v>
      </c>
      <c r="S3125" s="21">
        <f>8+51/60+54/3600</f>
        <v>8.8650000000000002</v>
      </c>
      <c r="T3125" s="22">
        <v>0.8</v>
      </c>
      <c r="U3125" s="22">
        <v>0.83</v>
      </c>
      <c r="V3125" s="22">
        <f>4.22/5</f>
        <v>0.84399999999999997</v>
      </c>
      <c r="W3125" s="14" t="s">
        <v>7777</v>
      </c>
      <c r="AB3125" s="18">
        <f t="shared" si="96"/>
        <v>2015</v>
      </c>
      <c r="AC3125" s="22">
        <f t="shared" si="97"/>
        <v>0.82466666666666655</v>
      </c>
    </row>
    <row r="3126" spans="1:29" ht="25.5">
      <c r="A3126" s="8" t="s">
        <v>4902</v>
      </c>
      <c r="B3126" s="17" t="s">
        <v>7800</v>
      </c>
      <c r="C3126" s="13">
        <v>42024</v>
      </c>
      <c r="D3126" s="13" t="s">
        <v>8465</v>
      </c>
      <c r="E3126" s="10" t="s">
        <v>1163</v>
      </c>
      <c r="F3126" s="10" t="s">
        <v>1055</v>
      </c>
      <c r="G3126" s="11" t="s">
        <v>1656</v>
      </c>
      <c r="H3126" s="2" t="s">
        <v>1168</v>
      </c>
      <c r="L3126" s="18">
        <v>1</v>
      </c>
      <c r="N3126" s="13">
        <v>42024</v>
      </c>
      <c r="O3126" s="29">
        <v>19.989999999999998</v>
      </c>
      <c r="P3126" s="18" t="s">
        <v>1107</v>
      </c>
      <c r="Q3126" s="18">
        <v>1</v>
      </c>
      <c r="R3126" s="13">
        <v>42100</v>
      </c>
      <c r="S3126" s="21">
        <v>3.8</v>
      </c>
      <c r="T3126" s="22">
        <v>0.6</v>
      </c>
      <c r="U3126" s="22">
        <v>0.68</v>
      </c>
      <c r="V3126" s="22">
        <f>3.17/5</f>
        <v>0.63400000000000001</v>
      </c>
      <c r="W3126" s="14" t="s">
        <v>7777</v>
      </c>
      <c r="AB3126" s="18">
        <f t="shared" si="96"/>
        <v>2015</v>
      </c>
      <c r="AC3126" s="22">
        <f t="shared" si="97"/>
        <v>0.63800000000000001</v>
      </c>
    </row>
    <row r="3127" spans="1:29" ht="30">
      <c r="A3127" s="8" t="s">
        <v>1105</v>
      </c>
      <c r="B3127" s="17" t="s">
        <v>7743</v>
      </c>
      <c r="C3127" s="13">
        <v>41998</v>
      </c>
      <c r="D3127" s="13" t="s">
        <v>8465</v>
      </c>
      <c r="E3127" s="10" t="s">
        <v>1084</v>
      </c>
      <c r="F3127" s="10" t="s">
        <v>1084</v>
      </c>
      <c r="G3127" s="11" t="s">
        <v>1150</v>
      </c>
      <c r="H3127" s="2" t="s">
        <v>64</v>
      </c>
      <c r="L3127" s="18">
        <v>1</v>
      </c>
      <c r="N3127" s="13">
        <v>42486</v>
      </c>
      <c r="O3127" s="29">
        <v>1</v>
      </c>
      <c r="P3127" s="18" t="s">
        <v>1107</v>
      </c>
      <c r="Q3127" s="18">
        <v>0</v>
      </c>
      <c r="U3127" s="22">
        <v>0.84</v>
      </c>
      <c r="V3127" s="22">
        <f>4.15/5</f>
        <v>0.83000000000000007</v>
      </c>
      <c r="X3127" s="3">
        <v>4</v>
      </c>
      <c r="Z3127" s="23">
        <v>8</v>
      </c>
      <c r="AB3127" s="18">
        <f t="shared" si="96"/>
        <v>2014</v>
      </c>
      <c r="AC3127" s="22">
        <f t="shared" si="97"/>
        <v>0.82333333333333325</v>
      </c>
    </row>
    <row r="3128" spans="1:29">
      <c r="A3128" s="8" t="s">
        <v>4330</v>
      </c>
      <c r="B3128" s="17" t="s">
        <v>7800</v>
      </c>
      <c r="C3128" s="13">
        <v>41988</v>
      </c>
      <c r="D3128" s="13" t="s">
        <v>8465</v>
      </c>
      <c r="E3128" s="10" t="s">
        <v>4331</v>
      </c>
      <c r="F3128" s="10" t="s">
        <v>4331</v>
      </c>
      <c r="H3128" s="2" t="s">
        <v>149</v>
      </c>
      <c r="L3128" s="18">
        <v>1</v>
      </c>
      <c r="N3128" s="13">
        <v>42170</v>
      </c>
      <c r="O3128" s="29">
        <v>2.88</v>
      </c>
      <c r="P3128" s="18" t="s">
        <v>1107</v>
      </c>
      <c r="Q3128" s="18">
        <v>0</v>
      </c>
      <c r="U3128" s="22">
        <v>0.73</v>
      </c>
      <c r="V3128" s="22">
        <f>4.12/5</f>
        <v>0.82400000000000007</v>
      </c>
      <c r="W3128" s="14" t="s">
        <v>7777</v>
      </c>
      <c r="X3128" s="3">
        <v>4</v>
      </c>
      <c r="Z3128" s="23">
        <v>10.5</v>
      </c>
      <c r="AB3128" s="18">
        <f t="shared" si="96"/>
        <v>2014</v>
      </c>
      <c r="AC3128" s="22">
        <f t="shared" si="97"/>
        <v>0.78466666666666673</v>
      </c>
    </row>
    <row r="3129" spans="1:29">
      <c r="A3129" s="8" t="s">
        <v>4521</v>
      </c>
      <c r="B3129" s="17" t="s">
        <v>7800</v>
      </c>
      <c r="C3129" s="13">
        <v>41988</v>
      </c>
      <c r="D3129" s="13" t="s">
        <v>8465</v>
      </c>
      <c r="E3129" s="10" t="s">
        <v>4522</v>
      </c>
      <c r="F3129" s="10" t="s">
        <v>4522</v>
      </c>
      <c r="H3129" s="2" t="s">
        <v>1699</v>
      </c>
      <c r="L3129" s="18">
        <v>1</v>
      </c>
      <c r="N3129" s="13">
        <v>41634</v>
      </c>
      <c r="P3129" s="18" t="s">
        <v>1107</v>
      </c>
      <c r="Q3129" s="18">
        <v>0</v>
      </c>
      <c r="U3129" s="22">
        <v>0.74</v>
      </c>
      <c r="V3129" s="22">
        <f>3.73/5</f>
        <v>0.746</v>
      </c>
      <c r="W3129" s="14" t="s">
        <v>7777</v>
      </c>
      <c r="X3129" s="3">
        <v>3</v>
      </c>
      <c r="Z3129" s="23">
        <v>12</v>
      </c>
      <c r="AB3129" s="18">
        <f t="shared" si="96"/>
        <v>2014</v>
      </c>
      <c r="AC3129" s="22">
        <f t="shared" si="97"/>
        <v>0.69533333333333325</v>
      </c>
    </row>
    <row r="3130" spans="1:29">
      <c r="A3130" s="8" t="s">
        <v>5372</v>
      </c>
      <c r="B3130" s="17" t="s">
        <v>7800</v>
      </c>
      <c r="C3130" s="13">
        <v>41984</v>
      </c>
      <c r="D3130" s="13" t="s">
        <v>8465</v>
      </c>
      <c r="E3130" s="10" t="s">
        <v>3063</v>
      </c>
      <c r="F3130" s="10" t="s">
        <v>4942</v>
      </c>
      <c r="H3130" s="2" t="s">
        <v>67</v>
      </c>
      <c r="L3130" s="18">
        <v>1</v>
      </c>
      <c r="N3130" s="13">
        <v>42358</v>
      </c>
      <c r="O3130" s="29">
        <v>4.6100000000000003</v>
      </c>
      <c r="P3130" s="18" t="s">
        <v>1107</v>
      </c>
      <c r="Q3130" s="18">
        <v>0</v>
      </c>
      <c r="U3130" s="22">
        <v>0.87</v>
      </c>
      <c r="V3130" s="22">
        <f>4.08/5</f>
        <v>0.81600000000000006</v>
      </c>
      <c r="W3130" s="14" t="s">
        <v>7777</v>
      </c>
      <c r="X3130" s="3">
        <v>4</v>
      </c>
      <c r="Z3130" s="23">
        <v>15.5</v>
      </c>
      <c r="AB3130" s="18">
        <f t="shared" si="96"/>
        <v>2014</v>
      </c>
      <c r="AC3130" s="22">
        <f t="shared" si="97"/>
        <v>0.82866666666666655</v>
      </c>
    </row>
    <row r="3131" spans="1:29" ht="25.5">
      <c r="A3131" s="8" t="s">
        <v>3341</v>
      </c>
      <c r="B3131" s="17" t="s">
        <v>7800</v>
      </c>
      <c r="C3131" s="13">
        <v>41984</v>
      </c>
      <c r="D3131" s="13" t="s">
        <v>8465</v>
      </c>
      <c r="E3131" s="10" t="s">
        <v>3339</v>
      </c>
      <c r="F3131" s="10" t="s">
        <v>479</v>
      </c>
      <c r="G3131" s="11" t="s">
        <v>3340</v>
      </c>
      <c r="H3131" s="2" t="s">
        <v>459</v>
      </c>
      <c r="L3131" s="18">
        <v>1</v>
      </c>
      <c r="N3131" s="13">
        <v>43158</v>
      </c>
      <c r="P3131" s="18" t="s">
        <v>1107</v>
      </c>
      <c r="Q3131" s="18">
        <v>0</v>
      </c>
      <c r="V3131" s="22">
        <f>4.06/5</f>
        <v>0.81199999999999994</v>
      </c>
      <c r="W3131" s="14" t="s">
        <v>7777</v>
      </c>
      <c r="X3131" s="3">
        <v>3</v>
      </c>
      <c r="Z3131" s="23">
        <v>8</v>
      </c>
      <c r="AB3131" s="18">
        <f t="shared" si="96"/>
        <v>2014</v>
      </c>
      <c r="AC3131" s="22">
        <f t="shared" si="97"/>
        <v>0.70599999999999996</v>
      </c>
    </row>
    <row r="3132" spans="1:29" ht="30">
      <c r="A3132" s="8" t="s">
        <v>5597</v>
      </c>
      <c r="B3132" s="17" t="s">
        <v>7800</v>
      </c>
      <c r="C3132" s="13">
        <v>41984</v>
      </c>
      <c r="D3132" s="13" t="s">
        <v>8465</v>
      </c>
      <c r="E3132" s="10" t="s">
        <v>4498</v>
      </c>
      <c r="F3132" s="10" t="s">
        <v>2300</v>
      </c>
      <c r="H3132" s="2" t="s">
        <v>151</v>
      </c>
      <c r="L3132" s="18">
        <v>1</v>
      </c>
      <c r="N3132" s="13">
        <v>42352</v>
      </c>
      <c r="O3132" s="29">
        <v>2.2400000000000002</v>
      </c>
      <c r="P3132" s="18" t="s">
        <v>1107</v>
      </c>
      <c r="Q3132" s="18">
        <v>0</v>
      </c>
      <c r="U3132" s="22">
        <v>0.8</v>
      </c>
      <c r="V3132" s="22">
        <f>3.98/5</f>
        <v>0.79600000000000004</v>
      </c>
      <c r="W3132" s="14" t="s">
        <v>7777</v>
      </c>
      <c r="X3132" s="3">
        <v>3</v>
      </c>
      <c r="Z3132" s="23">
        <v>3</v>
      </c>
      <c r="AB3132" s="18">
        <f t="shared" si="96"/>
        <v>2014</v>
      </c>
      <c r="AC3132" s="22">
        <f t="shared" si="97"/>
        <v>0.7320000000000001</v>
      </c>
    </row>
    <row r="3133" spans="1:29">
      <c r="A3133" s="8" t="s">
        <v>3158</v>
      </c>
      <c r="B3133" s="17" t="s">
        <v>7800</v>
      </c>
      <c r="C3133" s="13">
        <v>41984</v>
      </c>
      <c r="D3133" s="13" t="s">
        <v>8465</v>
      </c>
      <c r="E3133" s="10" t="s">
        <v>3159</v>
      </c>
      <c r="F3133" s="10" t="s">
        <v>3160</v>
      </c>
      <c r="G3133" s="11" t="s">
        <v>3161</v>
      </c>
      <c r="H3133" s="2" t="s">
        <v>21</v>
      </c>
      <c r="L3133" s="18">
        <v>1</v>
      </c>
      <c r="N3133" s="13">
        <v>42061</v>
      </c>
      <c r="P3133" s="18" t="s">
        <v>1107</v>
      </c>
      <c r="Q3133" s="18">
        <v>0</v>
      </c>
      <c r="U3133" s="22">
        <v>0.9</v>
      </c>
      <c r="V3133" s="22">
        <f>3.69/5</f>
        <v>0.73799999999999999</v>
      </c>
      <c r="W3133" s="14" t="s">
        <v>7777</v>
      </c>
      <c r="X3133" s="3">
        <v>2</v>
      </c>
      <c r="Z3133" s="23">
        <v>3.5</v>
      </c>
      <c r="AB3133" s="18">
        <f t="shared" si="96"/>
        <v>2014</v>
      </c>
      <c r="AC3133" s="22">
        <f t="shared" si="97"/>
        <v>0.67933333333333323</v>
      </c>
    </row>
    <row r="3134" spans="1:29">
      <c r="A3134" s="8" t="s">
        <v>4219</v>
      </c>
      <c r="B3134" s="17" t="s">
        <v>7800</v>
      </c>
      <c r="C3134" s="13">
        <v>41984</v>
      </c>
      <c r="D3134" s="13" t="s">
        <v>8465</v>
      </c>
      <c r="E3134" s="10" t="s">
        <v>3159</v>
      </c>
      <c r="F3134" s="10" t="s">
        <v>3160</v>
      </c>
      <c r="G3134" s="11" t="s">
        <v>3161</v>
      </c>
      <c r="H3134" s="2" t="s">
        <v>21</v>
      </c>
      <c r="L3134" s="18">
        <v>1</v>
      </c>
      <c r="N3134" s="13">
        <v>41985</v>
      </c>
      <c r="P3134" s="18" t="s">
        <v>1107</v>
      </c>
      <c r="Q3134" s="18">
        <v>0</v>
      </c>
      <c r="U3134" s="22">
        <v>0.9</v>
      </c>
      <c r="V3134" s="22">
        <f>3.69/5</f>
        <v>0.73799999999999999</v>
      </c>
      <c r="W3134" s="14" t="s">
        <v>7777</v>
      </c>
      <c r="X3134" s="3">
        <v>2</v>
      </c>
      <c r="Z3134" s="23">
        <v>0.65</v>
      </c>
      <c r="AB3134" s="18">
        <f t="shared" si="96"/>
        <v>2014</v>
      </c>
      <c r="AC3134" s="22">
        <f t="shared" si="97"/>
        <v>0.67933333333333323</v>
      </c>
    </row>
    <row r="3135" spans="1:29" ht="25.5">
      <c r="A3135" s="8" t="s">
        <v>13067</v>
      </c>
      <c r="B3135" s="17" t="s">
        <v>7749</v>
      </c>
      <c r="C3135" s="13">
        <v>41982</v>
      </c>
      <c r="D3135" s="13" t="s">
        <v>8465</v>
      </c>
      <c r="E3135" s="10" t="s">
        <v>73</v>
      </c>
      <c r="F3135" s="10" t="s">
        <v>73</v>
      </c>
      <c r="G3135" s="11" t="s">
        <v>2323</v>
      </c>
      <c r="H3135" s="2" t="s">
        <v>1057</v>
      </c>
      <c r="L3135" s="18">
        <v>1</v>
      </c>
      <c r="N3135" s="13">
        <v>44923</v>
      </c>
      <c r="O3135" s="29">
        <v>4.99</v>
      </c>
      <c r="P3135" s="18" t="s">
        <v>1107</v>
      </c>
      <c r="Q3135" s="18">
        <v>0</v>
      </c>
      <c r="U3135" s="22">
        <v>0.81</v>
      </c>
      <c r="V3135" s="22">
        <f>4.38/5</f>
        <v>0.876</v>
      </c>
      <c r="X3135" s="3">
        <v>4</v>
      </c>
      <c r="Z3135" s="23">
        <v>66</v>
      </c>
      <c r="AB3135" s="18">
        <f t="shared" si="96"/>
        <v>2014</v>
      </c>
      <c r="AC3135" s="22">
        <f t="shared" si="97"/>
        <v>0.82866666666666655</v>
      </c>
    </row>
    <row r="3136" spans="1:29" ht="25.5">
      <c r="A3136" s="8" t="s">
        <v>4273</v>
      </c>
      <c r="B3136" s="17" t="s">
        <v>7800</v>
      </c>
      <c r="C3136" s="13">
        <v>41982</v>
      </c>
      <c r="D3136" s="13" t="s">
        <v>8465</v>
      </c>
      <c r="E3136" s="10" t="s">
        <v>1082</v>
      </c>
      <c r="F3136" s="10" t="s">
        <v>1198</v>
      </c>
      <c r="G3136" s="11" t="s">
        <v>1853</v>
      </c>
      <c r="H3136" s="2" t="s">
        <v>80</v>
      </c>
      <c r="L3136" s="18">
        <v>1</v>
      </c>
      <c r="N3136" s="13">
        <v>43325</v>
      </c>
      <c r="O3136" s="29">
        <v>2.99</v>
      </c>
      <c r="P3136" s="18" t="s">
        <v>1107</v>
      </c>
      <c r="Q3136" s="18">
        <v>0</v>
      </c>
      <c r="U3136" s="22">
        <v>0.7</v>
      </c>
      <c r="V3136" s="22">
        <f>2.99/5</f>
        <v>0.59800000000000009</v>
      </c>
      <c r="W3136" s="14" t="s">
        <v>7777</v>
      </c>
      <c r="X3136" s="3">
        <v>4</v>
      </c>
      <c r="Z3136" s="23">
        <v>5</v>
      </c>
      <c r="AB3136" s="18">
        <f t="shared" si="96"/>
        <v>2014</v>
      </c>
      <c r="AC3136" s="22">
        <f t="shared" si="97"/>
        <v>0.69933333333333325</v>
      </c>
    </row>
    <row r="3137" spans="1:29" ht="30">
      <c r="A3137" s="8" t="s">
        <v>9756</v>
      </c>
      <c r="B3137" s="17" t="s">
        <v>7800</v>
      </c>
      <c r="C3137" s="13">
        <v>41981</v>
      </c>
      <c r="D3137" s="13" t="s">
        <v>8465</v>
      </c>
      <c r="E3137" s="10" t="s">
        <v>2459</v>
      </c>
      <c r="F3137" s="10" t="s">
        <v>1512</v>
      </c>
      <c r="H3137" s="2" t="s">
        <v>27</v>
      </c>
      <c r="L3137" s="18">
        <v>1</v>
      </c>
      <c r="N3137" s="13">
        <v>44238</v>
      </c>
      <c r="O3137" s="29">
        <v>0.99</v>
      </c>
      <c r="P3137" s="18" t="s">
        <v>1107</v>
      </c>
      <c r="Q3137" s="18">
        <v>0</v>
      </c>
      <c r="U3137" s="22">
        <v>0.59</v>
      </c>
      <c r="V3137" s="22">
        <f>3.22/5</f>
        <v>0.64400000000000002</v>
      </c>
      <c r="W3137" s="14" t="s">
        <v>7777</v>
      </c>
      <c r="X3137" s="3">
        <v>3</v>
      </c>
      <c r="Z3137" s="23">
        <v>17.5</v>
      </c>
      <c r="AB3137" s="18">
        <f t="shared" ref="AB3137:AB3200" si="98">IFERROR(YEAR(C3137), "Early Access")</f>
        <v>2014</v>
      </c>
      <c r="AC3137" s="22">
        <f t="shared" ref="AC3137:AC3200" si="99">AVERAGE(T3137, U3137, V3137, IF(ISBLANK(X3137), X3137, X3137/5))</f>
        <v>0.6113333333333334</v>
      </c>
    </row>
    <row r="3138" spans="1:29">
      <c r="A3138" s="8" t="s">
        <v>1126</v>
      </c>
      <c r="B3138" s="17" t="s">
        <v>7743</v>
      </c>
      <c r="C3138" s="13">
        <v>41978</v>
      </c>
      <c r="D3138" s="13" t="s">
        <v>8465</v>
      </c>
      <c r="E3138" s="10" t="s">
        <v>86</v>
      </c>
      <c r="F3138" s="10" t="s">
        <v>1165</v>
      </c>
      <c r="G3138" s="11" t="s">
        <v>1166</v>
      </c>
      <c r="H3138" s="2" t="s">
        <v>143</v>
      </c>
      <c r="L3138" s="18">
        <v>1</v>
      </c>
      <c r="M3138" s="14" t="s">
        <v>8462</v>
      </c>
      <c r="N3138" s="13">
        <v>43518</v>
      </c>
      <c r="O3138" s="29">
        <v>21.99</v>
      </c>
      <c r="P3138" s="18" t="s">
        <v>14</v>
      </c>
      <c r="Q3138" s="18">
        <v>0</v>
      </c>
      <c r="U3138" s="22">
        <v>0.7</v>
      </c>
      <c r="V3138" s="22">
        <f>3.97/5</f>
        <v>0.79400000000000004</v>
      </c>
      <c r="X3138" s="3">
        <v>3</v>
      </c>
      <c r="Z3138" s="23">
        <v>15</v>
      </c>
      <c r="AB3138" s="18">
        <f t="shared" si="98"/>
        <v>2014</v>
      </c>
      <c r="AC3138" s="22">
        <f t="shared" si="99"/>
        <v>0.69799999999999995</v>
      </c>
    </row>
    <row r="3139" spans="1:29">
      <c r="A3139" s="8" t="s">
        <v>2420</v>
      </c>
      <c r="B3139" s="17" t="s">
        <v>7749</v>
      </c>
      <c r="C3139" s="13">
        <v>41978</v>
      </c>
      <c r="D3139" s="13" t="s">
        <v>8465</v>
      </c>
      <c r="E3139" s="10" t="s">
        <v>86</v>
      </c>
      <c r="F3139" s="10" t="s">
        <v>1165</v>
      </c>
      <c r="G3139" s="11" t="s">
        <v>1166</v>
      </c>
      <c r="H3139" s="2" t="s">
        <v>143</v>
      </c>
      <c r="L3139" s="18">
        <v>1</v>
      </c>
      <c r="M3139" s="14" t="s">
        <v>8462</v>
      </c>
      <c r="N3139" s="13">
        <v>43516</v>
      </c>
      <c r="O3139" s="29">
        <v>14.75</v>
      </c>
      <c r="P3139" s="18" t="s">
        <v>14</v>
      </c>
      <c r="Q3139" s="18">
        <v>0</v>
      </c>
      <c r="U3139" s="22">
        <v>0.72</v>
      </c>
      <c r="V3139" s="22">
        <f>3.8/5</f>
        <v>0.76</v>
      </c>
      <c r="X3139" s="3">
        <v>3</v>
      </c>
      <c r="Z3139" s="23">
        <v>8.5</v>
      </c>
      <c r="AB3139" s="18">
        <f t="shared" si="98"/>
        <v>2014</v>
      </c>
      <c r="AC3139" s="22">
        <f t="shared" si="99"/>
        <v>0.69333333333333336</v>
      </c>
    </row>
    <row r="3140" spans="1:29" ht="25.5">
      <c r="A3140" s="8" t="s">
        <v>4739</v>
      </c>
      <c r="B3140" s="17" t="s">
        <v>7800</v>
      </c>
      <c r="C3140" s="13">
        <v>41976</v>
      </c>
      <c r="D3140" s="13" t="s">
        <v>8465</v>
      </c>
      <c r="E3140" s="10" t="s">
        <v>4740</v>
      </c>
      <c r="F3140" s="10" t="s">
        <v>4740</v>
      </c>
      <c r="H3140" s="2" t="s">
        <v>64</v>
      </c>
      <c r="L3140" s="18">
        <v>1</v>
      </c>
      <c r="N3140" s="13">
        <v>41980</v>
      </c>
      <c r="P3140" s="18" t="s">
        <v>1107</v>
      </c>
      <c r="Q3140" s="18">
        <v>1</v>
      </c>
      <c r="R3140" s="13">
        <v>45236</v>
      </c>
      <c r="S3140" s="21">
        <f>41/60</f>
        <v>0.68333333333333335</v>
      </c>
      <c r="T3140" s="22">
        <v>0.4</v>
      </c>
      <c r="V3140" s="22">
        <f>3.33/5</f>
        <v>0.66600000000000004</v>
      </c>
      <c r="W3140" s="14" t="s">
        <v>7777</v>
      </c>
      <c r="AB3140" s="18">
        <f t="shared" si="98"/>
        <v>2014</v>
      </c>
      <c r="AC3140" s="22">
        <f t="shared" si="99"/>
        <v>0.53300000000000003</v>
      </c>
    </row>
    <row r="3141" spans="1:29">
      <c r="A3141" s="8" t="s">
        <v>8248</v>
      </c>
      <c r="B3141" s="17" t="s">
        <v>7800</v>
      </c>
      <c r="C3141" s="13">
        <v>41975</v>
      </c>
      <c r="D3141" s="13" t="s">
        <v>8465</v>
      </c>
      <c r="E3141" s="10" t="s">
        <v>1047</v>
      </c>
      <c r="F3141" s="10" t="s">
        <v>8253</v>
      </c>
      <c r="G3141" s="11" t="s">
        <v>8248</v>
      </c>
      <c r="H3141" s="2" t="s">
        <v>150</v>
      </c>
      <c r="L3141" s="18">
        <v>1</v>
      </c>
      <c r="N3141" s="13">
        <v>43822</v>
      </c>
      <c r="O3141" s="29">
        <v>9</v>
      </c>
      <c r="P3141" s="18" t="s">
        <v>1107</v>
      </c>
      <c r="Q3141" s="18">
        <v>0</v>
      </c>
      <c r="U3141" s="22">
        <v>0.71</v>
      </c>
      <c r="V3141" s="22">
        <f>3.42/5</f>
        <v>0.68399999999999994</v>
      </c>
      <c r="W3141" s="14" t="s">
        <v>7798</v>
      </c>
      <c r="X3141" s="3">
        <v>3</v>
      </c>
      <c r="Z3141" s="23">
        <v>19</v>
      </c>
      <c r="AB3141" s="18">
        <f t="shared" si="98"/>
        <v>2014</v>
      </c>
      <c r="AC3141" s="22">
        <f t="shared" si="99"/>
        <v>0.66466666666666663</v>
      </c>
    </row>
    <row r="3142" spans="1:29">
      <c r="A3142" s="8" t="s">
        <v>4371</v>
      </c>
      <c r="B3142" s="17" t="s">
        <v>7800</v>
      </c>
      <c r="C3142" s="13">
        <v>41975</v>
      </c>
      <c r="D3142" s="13" t="s">
        <v>8465</v>
      </c>
      <c r="E3142" s="10" t="s">
        <v>4369</v>
      </c>
      <c r="F3142" s="10" t="s">
        <v>4369</v>
      </c>
      <c r="G3142" s="11" t="s">
        <v>4368</v>
      </c>
      <c r="H3142" s="2" t="s">
        <v>67</v>
      </c>
      <c r="L3142" s="18">
        <v>1</v>
      </c>
      <c r="N3142" s="13">
        <v>42191</v>
      </c>
      <c r="P3142" s="18" t="s">
        <v>1107</v>
      </c>
      <c r="Q3142" s="18">
        <v>0</v>
      </c>
      <c r="U3142" s="22">
        <v>0.71</v>
      </c>
      <c r="V3142" s="22">
        <f>3.8/5</f>
        <v>0.76</v>
      </c>
      <c r="W3142" s="14" t="s">
        <v>7777</v>
      </c>
      <c r="X3142" s="3">
        <v>2</v>
      </c>
      <c r="Z3142" s="23">
        <v>4.5</v>
      </c>
      <c r="AB3142" s="18">
        <f t="shared" si="98"/>
        <v>2014</v>
      </c>
      <c r="AC3142" s="22">
        <f t="shared" si="99"/>
        <v>0.62333333333333341</v>
      </c>
    </row>
    <row r="3143" spans="1:29" ht="25.5">
      <c r="A3143" s="8" t="s">
        <v>4747</v>
      </c>
      <c r="B3143" s="17" t="s">
        <v>7800</v>
      </c>
      <c r="C3143" s="13">
        <v>41974</v>
      </c>
      <c r="D3143" s="13" t="s">
        <v>8465</v>
      </c>
      <c r="E3143" s="10" t="s">
        <v>3410</v>
      </c>
      <c r="F3143" s="10" t="s">
        <v>3410</v>
      </c>
      <c r="G3143" s="11" t="s">
        <v>4746</v>
      </c>
      <c r="H3143" s="2" t="s">
        <v>80</v>
      </c>
      <c r="L3143" s="18">
        <v>1</v>
      </c>
      <c r="N3143" s="13">
        <v>43276</v>
      </c>
      <c r="O3143" s="29">
        <v>0</v>
      </c>
      <c r="P3143" s="18" t="s">
        <v>1107</v>
      </c>
      <c r="Q3143" s="18">
        <v>0</v>
      </c>
      <c r="V3143" s="22">
        <f>3.75/5</f>
        <v>0.75</v>
      </c>
      <c r="W3143" s="14" t="s">
        <v>7777</v>
      </c>
      <c r="X3143" s="3">
        <v>3</v>
      </c>
      <c r="Z3143" s="23">
        <v>0.82</v>
      </c>
      <c r="AB3143" s="18">
        <f t="shared" si="98"/>
        <v>2014</v>
      </c>
      <c r="AC3143" s="22">
        <f t="shared" si="99"/>
        <v>0.67500000000000004</v>
      </c>
    </row>
    <row r="3144" spans="1:29">
      <c r="A3144" s="8" t="s">
        <v>5560</v>
      </c>
      <c r="B3144" s="17" t="s">
        <v>7800</v>
      </c>
      <c r="C3144" s="13">
        <v>41971</v>
      </c>
      <c r="D3144" s="13" t="s">
        <v>8465</v>
      </c>
      <c r="E3144" s="10" t="s">
        <v>5561</v>
      </c>
      <c r="F3144" s="10" t="s">
        <v>5561</v>
      </c>
      <c r="H3144" s="2" t="s">
        <v>64</v>
      </c>
      <c r="L3144" s="18">
        <v>1</v>
      </c>
      <c r="N3144" s="13">
        <v>43635</v>
      </c>
      <c r="O3144" s="29">
        <v>4.99</v>
      </c>
      <c r="P3144" s="18" t="s">
        <v>1107</v>
      </c>
      <c r="Q3144" s="18">
        <v>0</v>
      </c>
      <c r="U3144" s="22">
        <v>0.7</v>
      </c>
      <c r="V3144" s="22">
        <f>3.73/5</f>
        <v>0.746</v>
      </c>
      <c r="W3144" s="14" t="s">
        <v>7777</v>
      </c>
      <c r="X3144" s="3">
        <v>3</v>
      </c>
      <c r="Z3144" s="23">
        <v>23</v>
      </c>
      <c r="AB3144" s="18">
        <f t="shared" si="98"/>
        <v>2014</v>
      </c>
      <c r="AC3144" s="22">
        <f t="shared" si="99"/>
        <v>0.68199999999999994</v>
      </c>
    </row>
    <row r="3145" spans="1:29">
      <c r="A3145" s="8" t="s">
        <v>10799</v>
      </c>
      <c r="B3145" s="17" t="s">
        <v>7763</v>
      </c>
      <c r="C3145" s="13">
        <v>41970</v>
      </c>
      <c r="D3145" s="13" t="s">
        <v>8463</v>
      </c>
      <c r="E3145" s="10" t="s">
        <v>455</v>
      </c>
      <c r="F3145" s="10" t="s">
        <v>1423</v>
      </c>
      <c r="G3145" s="11" t="s">
        <v>1936</v>
      </c>
      <c r="H3145" s="2" t="s">
        <v>171</v>
      </c>
      <c r="K3145" s="18">
        <v>1</v>
      </c>
      <c r="L3145" s="18">
        <v>0</v>
      </c>
      <c r="Q3145" s="18">
        <v>0</v>
      </c>
      <c r="V3145" s="22">
        <f>4.03/5</f>
        <v>0.80600000000000005</v>
      </c>
      <c r="X3145" s="3">
        <v>3</v>
      </c>
      <c r="Y3145" s="18">
        <v>1</v>
      </c>
      <c r="Z3145" s="23">
        <v>29</v>
      </c>
      <c r="AB3145" s="18">
        <f t="shared" si="98"/>
        <v>2014</v>
      </c>
      <c r="AC3145" s="22">
        <f t="shared" si="99"/>
        <v>0.70300000000000007</v>
      </c>
    </row>
    <row r="3146" spans="1:29" ht="25.5">
      <c r="A3146" s="8" t="s">
        <v>8278</v>
      </c>
      <c r="B3146" s="17" t="s">
        <v>7800</v>
      </c>
      <c r="C3146" s="13">
        <v>41970</v>
      </c>
      <c r="D3146" s="13" t="s">
        <v>8465</v>
      </c>
      <c r="E3146" s="10" t="s">
        <v>3536</v>
      </c>
      <c r="F3146" s="10" t="s">
        <v>3537</v>
      </c>
      <c r="G3146" s="11" t="s">
        <v>5392</v>
      </c>
      <c r="H3146" s="2" t="s">
        <v>1469</v>
      </c>
      <c r="L3146" s="18">
        <v>1</v>
      </c>
      <c r="N3146" s="13">
        <v>43829</v>
      </c>
      <c r="O3146" s="29">
        <v>0.99</v>
      </c>
      <c r="P3146" s="18" t="s">
        <v>1107</v>
      </c>
      <c r="Q3146" s="18">
        <v>0</v>
      </c>
      <c r="U3146" s="22">
        <v>0.68</v>
      </c>
      <c r="V3146" s="22">
        <f>3.3/5</f>
        <v>0.65999999999999992</v>
      </c>
      <c r="W3146" s="14" t="s">
        <v>7778</v>
      </c>
      <c r="X3146" s="3">
        <v>3</v>
      </c>
      <c r="Z3146" s="23">
        <v>6.5</v>
      </c>
      <c r="AB3146" s="18">
        <f t="shared" si="98"/>
        <v>2014</v>
      </c>
      <c r="AC3146" s="22">
        <f t="shared" si="99"/>
        <v>0.64666666666666661</v>
      </c>
    </row>
    <row r="3147" spans="1:29" ht="25.5">
      <c r="A3147" s="8" t="s">
        <v>7821</v>
      </c>
      <c r="B3147" s="17" t="s">
        <v>7749</v>
      </c>
      <c r="C3147" s="13">
        <v>41968</v>
      </c>
      <c r="D3147" s="13" t="s">
        <v>8465</v>
      </c>
      <c r="E3147" s="10" t="s">
        <v>228</v>
      </c>
      <c r="F3147" s="10" t="s">
        <v>228</v>
      </c>
      <c r="G3147" s="11" t="s">
        <v>1171</v>
      </c>
      <c r="H3147" s="2" t="s">
        <v>149</v>
      </c>
      <c r="L3147" s="18">
        <v>1</v>
      </c>
      <c r="N3147" s="13">
        <v>43992</v>
      </c>
      <c r="O3147" s="29">
        <v>9.99</v>
      </c>
      <c r="P3147" s="18" t="s">
        <v>1107</v>
      </c>
      <c r="Q3147" s="18">
        <v>0</v>
      </c>
      <c r="U3147" s="22">
        <v>0.83679999999999999</v>
      </c>
      <c r="V3147" s="22">
        <f>4.1/5</f>
        <v>0.82</v>
      </c>
      <c r="X3147" s="3">
        <v>4</v>
      </c>
      <c r="Z3147" s="23">
        <v>62.5</v>
      </c>
      <c r="AB3147" s="18">
        <f t="shared" si="98"/>
        <v>2014</v>
      </c>
      <c r="AC3147" s="22">
        <f t="shared" si="99"/>
        <v>0.8189333333333334</v>
      </c>
    </row>
    <row r="3148" spans="1:29">
      <c r="A3148" s="8" t="s">
        <v>4162</v>
      </c>
      <c r="B3148" s="17" t="s">
        <v>7800</v>
      </c>
      <c r="C3148" s="13">
        <v>41968</v>
      </c>
      <c r="D3148" s="13" t="s">
        <v>8465</v>
      </c>
      <c r="E3148" s="10" t="s">
        <v>4163</v>
      </c>
      <c r="F3148" s="10" t="s">
        <v>4164</v>
      </c>
      <c r="H3148" s="2" t="s">
        <v>67</v>
      </c>
      <c r="L3148" s="18">
        <v>1</v>
      </c>
      <c r="N3148" s="13">
        <v>41981</v>
      </c>
      <c r="P3148" s="18" t="s">
        <v>1107</v>
      </c>
      <c r="Q3148" s="18">
        <v>0</v>
      </c>
      <c r="V3148" s="22">
        <f>3.25/5</f>
        <v>0.65</v>
      </c>
      <c r="W3148" s="14" t="s">
        <v>7777</v>
      </c>
      <c r="X3148" s="3">
        <v>2</v>
      </c>
      <c r="AB3148" s="18">
        <f t="shared" si="98"/>
        <v>2014</v>
      </c>
      <c r="AC3148" s="22">
        <f t="shared" si="99"/>
        <v>0.52500000000000002</v>
      </c>
    </row>
    <row r="3149" spans="1:29" ht="25.5">
      <c r="A3149" s="8" t="s">
        <v>1098</v>
      </c>
      <c r="B3149" s="17" t="s">
        <v>7743</v>
      </c>
      <c r="C3149" s="13">
        <v>41964</v>
      </c>
      <c r="D3149" s="13" t="s">
        <v>8465</v>
      </c>
      <c r="E3149" s="10" t="s">
        <v>86</v>
      </c>
      <c r="F3149" s="10" t="s">
        <v>1144</v>
      </c>
      <c r="G3149" s="11" t="s">
        <v>892</v>
      </c>
      <c r="H3149" s="2" t="s">
        <v>459</v>
      </c>
      <c r="L3149" s="18">
        <v>1</v>
      </c>
      <c r="M3149" s="14" t="s">
        <v>8462</v>
      </c>
      <c r="N3149" s="13">
        <v>41964</v>
      </c>
      <c r="O3149" s="29">
        <v>59.96</v>
      </c>
      <c r="P3149" s="18" t="s">
        <v>14</v>
      </c>
      <c r="Q3149" s="18">
        <v>0</v>
      </c>
      <c r="U3149" s="22">
        <v>0.92</v>
      </c>
      <c r="V3149" s="22">
        <f>4.39/5</f>
        <v>0.87799999999999989</v>
      </c>
      <c r="X3149" s="3">
        <v>4</v>
      </c>
      <c r="Z3149" s="23">
        <v>4.5</v>
      </c>
      <c r="AB3149" s="18">
        <f t="shared" si="98"/>
        <v>2014</v>
      </c>
      <c r="AC3149" s="22">
        <f t="shared" si="99"/>
        <v>0.86599999999999999</v>
      </c>
    </row>
    <row r="3150" spans="1:29" ht="25.5">
      <c r="A3150" s="8" t="s">
        <v>8726</v>
      </c>
      <c r="B3150" s="17" t="s">
        <v>7800</v>
      </c>
      <c r="C3150" s="13">
        <v>41963</v>
      </c>
      <c r="D3150" s="13" t="s">
        <v>8465</v>
      </c>
      <c r="E3150" s="10" t="s">
        <v>3553</v>
      </c>
      <c r="F3150" s="10" t="s">
        <v>8211</v>
      </c>
      <c r="G3150" s="11" t="s">
        <v>4263</v>
      </c>
      <c r="H3150" s="2" t="s">
        <v>171</v>
      </c>
      <c r="L3150" s="18">
        <v>1</v>
      </c>
      <c r="N3150" s="13">
        <v>43984</v>
      </c>
      <c r="O3150" s="29">
        <v>7.99</v>
      </c>
      <c r="P3150" s="18" t="s">
        <v>1107</v>
      </c>
      <c r="Q3150" s="18">
        <v>0</v>
      </c>
      <c r="U3150" s="22">
        <v>0.74</v>
      </c>
      <c r="V3150" s="22">
        <f>3.25/5</f>
        <v>0.65</v>
      </c>
      <c r="W3150" s="14" t="s">
        <v>7777</v>
      </c>
      <c r="X3150" s="3">
        <v>4</v>
      </c>
      <c r="Z3150" s="23">
        <v>8</v>
      </c>
      <c r="AB3150" s="18">
        <f t="shared" si="98"/>
        <v>2014</v>
      </c>
      <c r="AC3150" s="22">
        <f t="shared" si="99"/>
        <v>0.73000000000000009</v>
      </c>
    </row>
    <row r="3151" spans="1:29" ht="25.5">
      <c r="A3151" s="8" t="s">
        <v>3439</v>
      </c>
      <c r="B3151" s="17" t="s">
        <v>7800</v>
      </c>
      <c r="C3151" s="13">
        <v>41963</v>
      </c>
      <c r="D3151" s="13" t="s">
        <v>8465</v>
      </c>
      <c r="E3151" s="10" t="s">
        <v>3159</v>
      </c>
      <c r="F3151" s="10">
        <v>773</v>
      </c>
      <c r="G3151" s="11" t="s">
        <v>3438</v>
      </c>
      <c r="H3151" s="2" t="s">
        <v>67</v>
      </c>
      <c r="L3151" s="18">
        <v>1</v>
      </c>
      <c r="N3151" s="13">
        <v>42061</v>
      </c>
      <c r="P3151" s="18" t="s">
        <v>1107</v>
      </c>
      <c r="Q3151" s="18">
        <v>0</v>
      </c>
      <c r="V3151" s="22">
        <f>2.82/5</f>
        <v>0.56399999999999995</v>
      </c>
      <c r="W3151" s="14" t="s">
        <v>7777</v>
      </c>
      <c r="X3151" s="3">
        <v>3</v>
      </c>
      <c r="Z3151" s="23">
        <v>2</v>
      </c>
      <c r="AB3151" s="18">
        <f t="shared" si="98"/>
        <v>2014</v>
      </c>
      <c r="AC3151" s="22">
        <f t="shared" si="99"/>
        <v>0.58199999999999996</v>
      </c>
    </row>
    <row r="3152" spans="1:29" ht="25.5">
      <c r="A3152" s="8" t="s">
        <v>5344</v>
      </c>
      <c r="B3152" s="17" t="s">
        <v>7800</v>
      </c>
      <c r="C3152" s="13">
        <v>41963</v>
      </c>
      <c r="D3152" s="13" t="s">
        <v>8465</v>
      </c>
      <c r="E3152" s="10" t="s">
        <v>1601</v>
      </c>
      <c r="F3152" s="10" t="s">
        <v>5345</v>
      </c>
      <c r="H3152" s="2" t="s">
        <v>245</v>
      </c>
      <c r="L3152" s="18">
        <v>1</v>
      </c>
      <c r="N3152" s="13">
        <v>42191</v>
      </c>
      <c r="P3152" s="18" t="s">
        <v>1107</v>
      </c>
      <c r="Q3152" s="18">
        <v>0</v>
      </c>
      <c r="U3152" s="22">
        <v>0.72</v>
      </c>
      <c r="V3152" s="22">
        <f>3.36/5</f>
        <v>0.67199999999999993</v>
      </c>
      <c r="W3152" s="14" t="s">
        <v>7777</v>
      </c>
      <c r="X3152" s="3">
        <v>2</v>
      </c>
      <c r="Z3152" s="23">
        <v>6.5</v>
      </c>
      <c r="AB3152" s="18">
        <f t="shared" si="98"/>
        <v>2014</v>
      </c>
      <c r="AC3152" s="22">
        <f t="shared" si="99"/>
        <v>0.59733333333333327</v>
      </c>
    </row>
    <row r="3153" spans="1:29">
      <c r="A3153" s="8" t="s">
        <v>7726</v>
      </c>
      <c r="B3153" s="17" t="s">
        <v>7800</v>
      </c>
      <c r="C3153" s="13">
        <v>41961</v>
      </c>
      <c r="D3153" s="13" t="s">
        <v>8465</v>
      </c>
      <c r="E3153" s="10" t="s">
        <v>231</v>
      </c>
      <c r="F3153" s="10" t="s">
        <v>1161</v>
      </c>
      <c r="G3153" s="11" t="s">
        <v>3705</v>
      </c>
      <c r="H3153" s="2" t="s">
        <v>171</v>
      </c>
      <c r="L3153" s="18">
        <v>1</v>
      </c>
      <c r="N3153" s="13">
        <v>43329</v>
      </c>
      <c r="O3153" s="29">
        <v>4.99</v>
      </c>
      <c r="P3153" s="18" t="s">
        <v>1107</v>
      </c>
      <c r="Q3153" s="18">
        <v>0</v>
      </c>
      <c r="U3153" s="22">
        <v>0.87</v>
      </c>
      <c r="V3153" s="22">
        <f>3.84/5</f>
        <v>0.76800000000000002</v>
      </c>
      <c r="W3153" s="14" t="s">
        <v>7796</v>
      </c>
      <c r="X3153" s="3">
        <v>4</v>
      </c>
      <c r="Z3153" s="23">
        <v>46</v>
      </c>
      <c r="AB3153" s="18">
        <f t="shared" si="98"/>
        <v>2014</v>
      </c>
      <c r="AC3153" s="22">
        <f t="shared" si="99"/>
        <v>0.81266666666666654</v>
      </c>
    </row>
    <row r="3154" spans="1:29" ht="30">
      <c r="A3154" s="8" t="s">
        <v>6189</v>
      </c>
      <c r="B3154" s="17" t="s">
        <v>7760</v>
      </c>
      <c r="C3154" s="13">
        <v>41961</v>
      </c>
      <c r="D3154" s="13" t="s">
        <v>8465</v>
      </c>
      <c r="E3154" s="10" t="s">
        <v>2908</v>
      </c>
      <c r="F3154" s="10" t="s">
        <v>1687</v>
      </c>
      <c r="G3154" s="11" t="s">
        <v>5962</v>
      </c>
      <c r="H3154" s="2" t="s">
        <v>27</v>
      </c>
      <c r="L3154" s="18">
        <v>1</v>
      </c>
      <c r="N3154" s="13">
        <v>42778</v>
      </c>
      <c r="O3154" s="29">
        <v>0</v>
      </c>
      <c r="P3154" s="18" t="s">
        <v>1107</v>
      </c>
      <c r="Q3154" s="18">
        <v>0</v>
      </c>
      <c r="U3154" s="22">
        <v>0.81</v>
      </c>
      <c r="V3154" s="22">
        <f>3.55/5</f>
        <v>0.71</v>
      </c>
      <c r="W3154" s="14" t="s">
        <v>6072</v>
      </c>
      <c r="X3154" s="3">
        <v>3</v>
      </c>
      <c r="Z3154" s="23">
        <v>5.5</v>
      </c>
      <c r="AB3154" s="18">
        <f t="shared" si="98"/>
        <v>2014</v>
      </c>
      <c r="AC3154" s="22">
        <f t="shared" si="99"/>
        <v>0.70666666666666667</v>
      </c>
    </row>
    <row r="3155" spans="1:29">
      <c r="A3155" s="8" t="s">
        <v>4529</v>
      </c>
      <c r="B3155" s="17" t="s">
        <v>7800</v>
      </c>
      <c r="C3155" s="13">
        <v>41961</v>
      </c>
      <c r="D3155" s="13" t="s">
        <v>8465</v>
      </c>
      <c r="E3155" s="10" t="s">
        <v>4530</v>
      </c>
      <c r="F3155" s="10" t="s">
        <v>4531</v>
      </c>
      <c r="H3155" s="2" t="s">
        <v>64</v>
      </c>
      <c r="L3155" s="18">
        <v>1</v>
      </c>
      <c r="N3155" s="13">
        <v>42191</v>
      </c>
      <c r="O3155" s="29">
        <v>4.41</v>
      </c>
      <c r="P3155" s="18" t="s">
        <v>1107</v>
      </c>
      <c r="Q3155" s="18">
        <v>0</v>
      </c>
      <c r="U3155" s="22">
        <v>0.75</v>
      </c>
      <c r="V3155" s="22">
        <f>3.19/5</f>
        <v>0.63800000000000001</v>
      </c>
      <c r="W3155" s="14" t="s">
        <v>7777</v>
      </c>
      <c r="X3155" s="3">
        <v>3</v>
      </c>
      <c r="Z3155" s="23">
        <v>3</v>
      </c>
      <c r="AB3155" s="18">
        <f t="shared" si="98"/>
        <v>2014</v>
      </c>
      <c r="AC3155" s="22">
        <f t="shared" si="99"/>
        <v>0.66266666666666663</v>
      </c>
    </row>
    <row r="3156" spans="1:29" ht="38.25">
      <c r="A3156" s="8" t="s">
        <v>11512</v>
      </c>
      <c r="B3156" s="17" t="s">
        <v>7749</v>
      </c>
      <c r="C3156" s="13">
        <v>41961</v>
      </c>
      <c r="D3156" s="13" t="s">
        <v>8465</v>
      </c>
      <c r="E3156" s="10" t="s">
        <v>11513</v>
      </c>
      <c r="F3156" s="10" t="s">
        <v>1084</v>
      </c>
      <c r="G3156" s="11" t="s">
        <v>11510</v>
      </c>
      <c r="H3156" s="2" t="s">
        <v>80</v>
      </c>
      <c r="L3156" s="18">
        <v>0</v>
      </c>
      <c r="Q3156" s="18">
        <v>0</v>
      </c>
      <c r="U3156" s="22">
        <v>0.65</v>
      </c>
      <c r="V3156" s="22">
        <f>3.37/5</f>
        <v>0.67400000000000004</v>
      </c>
      <c r="X3156" s="3">
        <v>2</v>
      </c>
      <c r="Y3156" s="18">
        <v>1</v>
      </c>
      <c r="Z3156" s="23">
        <v>11</v>
      </c>
      <c r="AB3156" s="18">
        <f t="shared" si="98"/>
        <v>2014</v>
      </c>
      <c r="AC3156" s="22">
        <f t="shared" si="99"/>
        <v>0.57466666666666677</v>
      </c>
    </row>
    <row r="3157" spans="1:29">
      <c r="A3157" s="8" t="s">
        <v>5284</v>
      </c>
      <c r="B3157" s="17" t="s">
        <v>7800</v>
      </c>
      <c r="C3157" s="13">
        <v>41961</v>
      </c>
      <c r="D3157" s="13" t="s">
        <v>8465</v>
      </c>
      <c r="E3157" s="10" t="s">
        <v>4689</v>
      </c>
      <c r="F3157" s="10" t="s">
        <v>4689</v>
      </c>
      <c r="H3157" s="2" t="s">
        <v>21</v>
      </c>
      <c r="L3157" s="18">
        <v>1</v>
      </c>
      <c r="N3157" s="13">
        <v>42005</v>
      </c>
      <c r="P3157" s="18" t="s">
        <v>1107</v>
      </c>
      <c r="Q3157" s="18">
        <v>0</v>
      </c>
      <c r="U3157" s="22">
        <v>0.45</v>
      </c>
      <c r="V3157" s="22">
        <f>3/5</f>
        <v>0.6</v>
      </c>
      <c r="W3157" s="14" t="s">
        <v>7777</v>
      </c>
      <c r="X3157" s="3">
        <v>2</v>
      </c>
      <c r="Z3157" s="23">
        <v>1</v>
      </c>
      <c r="AB3157" s="18">
        <f t="shared" si="98"/>
        <v>2014</v>
      </c>
      <c r="AC3157" s="22">
        <f t="shared" si="99"/>
        <v>0.48333333333333339</v>
      </c>
    </row>
    <row r="3158" spans="1:29">
      <c r="A3158" s="8" t="s">
        <v>5406</v>
      </c>
      <c r="B3158" s="17" t="s">
        <v>7800</v>
      </c>
      <c r="C3158" s="13">
        <v>41957</v>
      </c>
      <c r="D3158" s="13" t="s">
        <v>8465</v>
      </c>
      <c r="E3158" s="10" t="s">
        <v>1698</v>
      </c>
      <c r="F3158" s="10" t="s">
        <v>1698</v>
      </c>
      <c r="H3158" s="2" t="s">
        <v>1699</v>
      </c>
      <c r="L3158" s="18">
        <v>1</v>
      </c>
      <c r="N3158" s="13">
        <v>42372</v>
      </c>
      <c r="O3158" s="29">
        <v>6.79</v>
      </c>
      <c r="P3158" s="18" t="s">
        <v>1107</v>
      </c>
      <c r="Q3158" s="18">
        <v>0</v>
      </c>
      <c r="U3158" s="22">
        <v>0.84</v>
      </c>
      <c r="V3158" s="22">
        <f>3.77/5</f>
        <v>0.754</v>
      </c>
      <c r="W3158" s="14" t="s">
        <v>7777</v>
      </c>
      <c r="X3158" s="3">
        <v>4</v>
      </c>
      <c r="Z3158" s="23">
        <v>10.5</v>
      </c>
      <c r="AB3158" s="18">
        <f t="shared" si="98"/>
        <v>2014</v>
      </c>
      <c r="AC3158" s="22">
        <f t="shared" si="99"/>
        <v>0.79800000000000004</v>
      </c>
    </row>
    <row r="3159" spans="1:29" ht="25.5">
      <c r="A3159" s="8" t="s">
        <v>4768</v>
      </c>
      <c r="B3159" s="17" t="s">
        <v>7800</v>
      </c>
      <c r="C3159" s="13">
        <v>41957</v>
      </c>
      <c r="D3159" s="13" t="s">
        <v>8465</v>
      </c>
      <c r="E3159" s="10" t="s">
        <v>4769</v>
      </c>
      <c r="F3159" s="10" t="s">
        <v>3097</v>
      </c>
      <c r="G3159" s="11" t="s">
        <v>5713</v>
      </c>
      <c r="H3159" s="2" t="s">
        <v>21</v>
      </c>
      <c r="L3159" s="18">
        <v>1</v>
      </c>
      <c r="N3159" s="13">
        <v>42018</v>
      </c>
      <c r="P3159" s="18" t="s">
        <v>1107</v>
      </c>
      <c r="Q3159" s="18">
        <v>0</v>
      </c>
      <c r="U3159" s="22">
        <v>0.8</v>
      </c>
      <c r="V3159" s="22">
        <f>4.07/5</f>
        <v>0.81400000000000006</v>
      </c>
      <c r="W3159" s="14" t="s">
        <v>7777</v>
      </c>
      <c r="X3159" s="3">
        <v>2</v>
      </c>
      <c r="Z3159" s="23">
        <v>14.5</v>
      </c>
      <c r="AB3159" s="18">
        <f t="shared" si="98"/>
        <v>2014</v>
      </c>
      <c r="AC3159" s="22">
        <f t="shared" si="99"/>
        <v>0.67133333333333345</v>
      </c>
    </row>
    <row r="3160" spans="1:29">
      <c r="A3160" s="8" t="s">
        <v>14864</v>
      </c>
      <c r="B3160" s="17" t="s">
        <v>7800</v>
      </c>
      <c r="C3160" s="13">
        <v>41955</v>
      </c>
      <c r="D3160" s="13" t="s">
        <v>8465</v>
      </c>
      <c r="E3160" s="10" t="s">
        <v>6292</v>
      </c>
      <c r="F3160" s="10" t="s">
        <v>6292</v>
      </c>
      <c r="G3160" s="11" t="s">
        <v>5534</v>
      </c>
      <c r="H3160" s="2" t="s">
        <v>3937</v>
      </c>
      <c r="L3160" s="18">
        <v>0</v>
      </c>
      <c r="Q3160" s="18">
        <v>0</v>
      </c>
      <c r="U3160" s="22">
        <v>0.72</v>
      </c>
      <c r="V3160" s="22">
        <f>2.93/5</f>
        <v>0.58600000000000008</v>
      </c>
      <c r="X3160" s="3">
        <v>2</v>
      </c>
      <c r="Z3160" s="23">
        <v>21</v>
      </c>
      <c r="AB3160" s="18">
        <f t="shared" si="98"/>
        <v>2014</v>
      </c>
      <c r="AC3160" s="22">
        <f t="shared" si="99"/>
        <v>0.56866666666666665</v>
      </c>
    </row>
    <row r="3161" spans="1:29">
      <c r="A3161" s="8" t="s">
        <v>5494</v>
      </c>
      <c r="B3161" s="17" t="s">
        <v>7800</v>
      </c>
      <c r="C3161" s="13">
        <v>41954</v>
      </c>
      <c r="D3161" s="13" t="s">
        <v>8465</v>
      </c>
      <c r="E3161" s="10" t="s">
        <v>455</v>
      </c>
      <c r="F3161" s="10" t="s">
        <v>455</v>
      </c>
      <c r="G3161" s="11" t="s">
        <v>5494</v>
      </c>
      <c r="H3161" s="2" t="s">
        <v>75</v>
      </c>
      <c r="L3161" s="18">
        <v>1</v>
      </c>
      <c r="N3161" s="13">
        <v>42028</v>
      </c>
      <c r="O3161" s="29">
        <v>9.99</v>
      </c>
      <c r="P3161" s="18" t="s">
        <v>1107</v>
      </c>
      <c r="Q3161" s="18">
        <v>0</v>
      </c>
      <c r="U3161" s="22">
        <v>0.84</v>
      </c>
      <c r="V3161" s="22">
        <f>4.14/5</f>
        <v>0.82799999999999996</v>
      </c>
      <c r="W3161" s="14" t="s">
        <v>7777</v>
      </c>
      <c r="X3161" s="3">
        <v>4</v>
      </c>
      <c r="Z3161" s="23">
        <v>31</v>
      </c>
      <c r="AB3161" s="18">
        <f t="shared" si="98"/>
        <v>2014</v>
      </c>
      <c r="AC3161" s="22">
        <f t="shared" si="99"/>
        <v>0.82266666666666666</v>
      </c>
    </row>
    <row r="3162" spans="1:29">
      <c r="A3162" s="8" t="s">
        <v>4817</v>
      </c>
      <c r="B3162" s="17" t="s">
        <v>7763</v>
      </c>
      <c r="C3162" s="13">
        <v>41954</v>
      </c>
      <c r="D3162" s="13" t="s">
        <v>8465</v>
      </c>
      <c r="E3162" s="10" t="s">
        <v>4818</v>
      </c>
      <c r="F3162" s="10" t="s">
        <v>4818</v>
      </c>
      <c r="G3162" s="11" t="s">
        <v>4819</v>
      </c>
      <c r="H3162" s="2" t="s">
        <v>80</v>
      </c>
      <c r="L3162" s="18">
        <v>1</v>
      </c>
      <c r="M3162" s="14" t="s">
        <v>8462</v>
      </c>
      <c r="N3162" s="13">
        <v>43579</v>
      </c>
      <c r="O3162" s="29">
        <v>33.83</v>
      </c>
      <c r="P3162" s="18" t="s">
        <v>14</v>
      </c>
      <c r="Q3162" s="18">
        <v>0</v>
      </c>
      <c r="U3162" s="22">
        <v>0.87</v>
      </c>
      <c r="V3162" s="22">
        <f>3.71/5</f>
        <v>0.74199999999999999</v>
      </c>
      <c r="X3162" s="3">
        <v>3</v>
      </c>
      <c r="Z3162" s="23">
        <v>5.5</v>
      </c>
      <c r="AB3162" s="18">
        <f t="shared" si="98"/>
        <v>2014</v>
      </c>
      <c r="AC3162" s="22">
        <f t="shared" si="99"/>
        <v>0.7373333333333334</v>
      </c>
    </row>
    <row r="3163" spans="1:29">
      <c r="A3163" s="8" t="s">
        <v>8934</v>
      </c>
      <c r="B3163" s="17" t="s">
        <v>7763</v>
      </c>
      <c r="C3163" s="13">
        <v>41954</v>
      </c>
      <c r="D3163" s="13" t="s">
        <v>8465</v>
      </c>
      <c r="E3163" s="10" t="s">
        <v>3568</v>
      </c>
      <c r="F3163" s="10" t="s">
        <v>8935</v>
      </c>
      <c r="G3163" s="11" t="s">
        <v>1422</v>
      </c>
      <c r="H3163" s="2" t="s">
        <v>171</v>
      </c>
      <c r="L3163" s="18">
        <v>1</v>
      </c>
      <c r="M3163" s="14" t="s">
        <v>8462</v>
      </c>
      <c r="N3163" s="13">
        <v>43999</v>
      </c>
      <c r="O3163" s="29">
        <v>35.81</v>
      </c>
      <c r="P3163" s="18" t="s">
        <v>14</v>
      </c>
      <c r="Q3163" s="18">
        <v>0</v>
      </c>
      <c r="U3163" s="22">
        <v>0.76</v>
      </c>
      <c r="V3163" s="22">
        <f>4.14/5</f>
        <v>0.82799999999999996</v>
      </c>
      <c r="X3163" s="3">
        <v>3</v>
      </c>
      <c r="Z3163" s="23">
        <v>34.5</v>
      </c>
      <c r="AB3163" s="18">
        <f t="shared" si="98"/>
        <v>2014</v>
      </c>
      <c r="AC3163" s="22">
        <f t="shared" si="99"/>
        <v>0.72933333333333339</v>
      </c>
    </row>
    <row r="3164" spans="1:29" ht="45">
      <c r="A3164" s="8" t="s">
        <v>4295</v>
      </c>
      <c r="B3164" s="17" t="s">
        <v>7800</v>
      </c>
      <c r="C3164" s="13">
        <v>41954</v>
      </c>
      <c r="D3164" s="13" t="s">
        <v>8465</v>
      </c>
      <c r="E3164" s="10" t="s">
        <v>1156</v>
      </c>
      <c r="F3164" s="10" t="s">
        <v>1309</v>
      </c>
      <c r="G3164" s="11" t="s">
        <v>4294</v>
      </c>
      <c r="H3164" s="2" t="s">
        <v>80</v>
      </c>
      <c r="L3164" s="18">
        <v>1</v>
      </c>
      <c r="N3164" s="13">
        <v>43326</v>
      </c>
      <c r="O3164" s="29">
        <v>4.99</v>
      </c>
      <c r="P3164" s="18" t="s">
        <v>1107</v>
      </c>
      <c r="Q3164" s="18">
        <v>0</v>
      </c>
      <c r="U3164" s="22">
        <v>0.73</v>
      </c>
      <c r="V3164" s="22">
        <f>3.73/5</f>
        <v>0.746</v>
      </c>
      <c r="W3164" s="14" t="s">
        <v>7777</v>
      </c>
      <c r="X3164" s="3">
        <v>3</v>
      </c>
      <c r="Z3164" s="23">
        <v>10.5</v>
      </c>
      <c r="AB3164" s="18">
        <f t="shared" si="98"/>
        <v>2014</v>
      </c>
      <c r="AC3164" s="22">
        <f t="shared" si="99"/>
        <v>0.69200000000000006</v>
      </c>
    </row>
    <row r="3165" spans="1:29">
      <c r="A3165" s="8" t="s">
        <v>4817</v>
      </c>
      <c r="B3165" s="17" t="s">
        <v>7800</v>
      </c>
      <c r="C3165" s="13">
        <v>41954</v>
      </c>
      <c r="D3165" s="13" t="s">
        <v>8465</v>
      </c>
      <c r="E3165" s="10" t="s">
        <v>4818</v>
      </c>
      <c r="F3165" s="10" t="s">
        <v>4818</v>
      </c>
      <c r="G3165" s="11" t="s">
        <v>4819</v>
      </c>
      <c r="H3165" s="2" t="s">
        <v>80</v>
      </c>
      <c r="L3165" s="18">
        <v>1</v>
      </c>
      <c r="N3165" s="13">
        <v>41954</v>
      </c>
      <c r="O3165" s="29">
        <v>4.99</v>
      </c>
      <c r="P3165" s="18" t="s">
        <v>1107</v>
      </c>
      <c r="Q3165" s="18">
        <v>0</v>
      </c>
      <c r="U3165" s="22">
        <v>0.73</v>
      </c>
      <c r="V3165" s="22">
        <f>3.69/5</f>
        <v>0.73799999999999999</v>
      </c>
      <c r="W3165" s="14" t="s">
        <v>7777</v>
      </c>
      <c r="X3165" s="3">
        <v>3</v>
      </c>
      <c r="Z3165" s="23">
        <v>5.5</v>
      </c>
      <c r="AB3165" s="18">
        <f t="shared" si="98"/>
        <v>2014</v>
      </c>
      <c r="AC3165" s="22">
        <f t="shared" si="99"/>
        <v>0.68933333333333335</v>
      </c>
    </row>
    <row r="3166" spans="1:29" ht="25.5">
      <c r="A3166" s="8" t="s">
        <v>3911</v>
      </c>
      <c r="B3166" s="17" t="s">
        <v>7800</v>
      </c>
      <c r="C3166" s="13">
        <v>41954</v>
      </c>
      <c r="D3166" s="13" t="s">
        <v>8465</v>
      </c>
      <c r="E3166" s="10" t="s">
        <v>3910</v>
      </c>
      <c r="F3166" s="10" t="s">
        <v>3910</v>
      </c>
      <c r="G3166" s="11" t="s">
        <v>3909</v>
      </c>
      <c r="H3166" s="2" t="s">
        <v>1061</v>
      </c>
      <c r="L3166" s="18">
        <v>1</v>
      </c>
      <c r="N3166" s="13">
        <v>42016</v>
      </c>
      <c r="P3166" s="18" t="s">
        <v>1107</v>
      </c>
      <c r="Q3166" s="18">
        <v>0</v>
      </c>
      <c r="U3166" s="22">
        <v>0.66</v>
      </c>
      <c r="V3166" s="22">
        <f>3.56/5</f>
        <v>0.71199999999999997</v>
      </c>
      <c r="W3166" s="14" t="s">
        <v>7777</v>
      </c>
      <c r="X3166" s="3">
        <v>3</v>
      </c>
      <c r="Z3166" s="23">
        <v>2.5</v>
      </c>
      <c r="AB3166" s="18">
        <f t="shared" si="98"/>
        <v>2014</v>
      </c>
      <c r="AC3166" s="22">
        <f t="shared" si="99"/>
        <v>0.65733333333333333</v>
      </c>
    </row>
    <row r="3167" spans="1:29" ht="25.5">
      <c r="A3167" s="8" t="s">
        <v>11271</v>
      </c>
      <c r="B3167" s="17" t="s">
        <v>7749</v>
      </c>
      <c r="C3167" s="13">
        <v>41954</v>
      </c>
      <c r="D3167" s="13" t="s">
        <v>8465</v>
      </c>
      <c r="E3167" s="10" t="s">
        <v>455</v>
      </c>
      <c r="F3167" s="10" t="s">
        <v>5885</v>
      </c>
      <c r="G3167" s="11" t="s">
        <v>1688</v>
      </c>
      <c r="H3167" s="2" t="s">
        <v>64</v>
      </c>
      <c r="L3167" s="18">
        <v>1</v>
      </c>
      <c r="N3167" s="13">
        <v>44652</v>
      </c>
      <c r="O3167" s="29">
        <v>9.99</v>
      </c>
      <c r="P3167" s="18" t="s">
        <v>1107</v>
      </c>
      <c r="Q3167" s="18">
        <v>0</v>
      </c>
      <c r="U3167" s="22">
        <v>0.47</v>
      </c>
      <c r="V3167" s="22">
        <f>2.78/5</f>
        <v>0.55599999999999994</v>
      </c>
      <c r="X3167" s="3">
        <v>2</v>
      </c>
      <c r="Z3167" s="23">
        <v>8.5</v>
      </c>
      <c r="AB3167" s="18">
        <f t="shared" si="98"/>
        <v>2014</v>
      </c>
      <c r="AC3167" s="22">
        <f t="shared" si="99"/>
        <v>0.47533333333333322</v>
      </c>
    </row>
    <row r="3168" spans="1:29" ht="25.5">
      <c r="A3168" s="8" t="s">
        <v>11273</v>
      </c>
      <c r="B3168" s="17" t="s">
        <v>7743</v>
      </c>
      <c r="C3168" s="13">
        <v>41954</v>
      </c>
      <c r="D3168" s="13" t="s">
        <v>8465</v>
      </c>
      <c r="E3168" s="10" t="s">
        <v>455</v>
      </c>
      <c r="F3168" s="10" t="s">
        <v>11274</v>
      </c>
      <c r="G3168" s="11" t="s">
        <v>1688</v>
      </c>
      <c r="H3168" s="2" t="s">
        <v>1040</v>
      </c>
      <c r="L3168" s="18">
        <v>1</v>
      </c>
      <c r="M3168" s="14" t="s">
        <v>8462</v>
      </c>
      <c r="N3168" s="13">
        <v>44885</v>
      </c>
      <c r="O3168" s="29">
        <v>31.53</v>
      </c>
      <c r="P3168" s="18" t="s">
        <v>14</v>
      </c>
      <c r="Q3168" s="18">
        <v>0</v>
      </c>
      <c r="U3168" s="22">
        <v>0.32</v>
      </c>
      <c r="V3168" s="22">
        <f>1.58/5</f>
        <v>0.316</v>
      </c>
      <c r="X3168" s="3">
        <v>2</v>
      </c>
      <c r="Z3168" s="23">
        <v>8</v>
      </c>
      <c r="AB3168" s="18">
        <f t="shared" si="98"/>
        <v>2014</v>
      </c>
      <c r="AC3168" s="22">
        <f t="shared" si="99"/>
        <v>0.34533333333333333</v>
      </c>
    </row>
    <row r="3169" spans="1:29">
      <c r="A3169" s="8" t="s">
        <v>3785</v>
      </c>
      <c r="B3169" s="17" t="s">
        <v>7800</v>
      </c>
      <c r="C3169" s="13">
        <v>41953</v>
      </c>
      <c r="D3169" s="13" t="s">
        <v>8465</v>
      </c>
      <c r="E3169" s="10" t="s">
        <v>3786</v>
      </c>
      <c r="F3169" s="10" t="s">
        <v>3787</v>
      </c>
      <c r="H3169" s="2" t="s">
        <v>151</v>
      </c>
      <c r="L3169" s="18">
        <v>1</v>
      </c>
      <c r="N3169" s="13">
        <v>41954</v>
      </c>
      <c r="P3169" s="18" t="s">
        <v>1107</v>
      </c>
      <c r="Q3169" s="18">
        <v>0</v>
      </c>
      <c r="U3169" s="22">
        <v>0.68</v>
      </c>
      <c r="V3169" s="22">
        <f>4.19/5</f>
        <v>0.83800000000000008</v>
      </c>
      <c r="W3169" s="14" t="s">
        <v>7777</v>
      </c>
      <c r="X3169" s="3">
        <v>3</v>
      </c>
      <c r="Z3169" s="23">
        <v>13.5</v>
      </c>
      <c r="AB3169" s="18">
        <f t="shared" si="98"/>
        <v>2014</v>
      </c>
      <c r="AC3169" s="22">
        <f t="shared" si="99"/>
        <v>0.70600000000000007</v>
      </c>
    </row>
    <row r="3170" spans="1:29">
      <c r="A3170" s="8" t="s">
        <v>4385</v>
      </c>
      <c r="B3170" s="17" t="s">
        <v>7800</v>
      </c>
      <c r="C3170" s="13">
        <v>41953</v>
      </c>
      <c r="D3170" s="13" t="s">
        <v>8465</v>
      </c>
      <c r="E3170" s="10" t="s">
        <v>4386</v>
      </c>
      <c r="F3170" s="10" t="s">
        <v>4386</v>
      </c>
      <c r="H3170" s="2" t="s">
        <v>64</v>
      </c>
      <c r="L3170" s="18">
        <v>1</v>
      </c>
      <c r="N3170" s="13">
        <v>42023</v>
      </c>
      <c r="P3170" s="18" t="s">
        <v>1107</v>
      </c>
      <c r="Q3170" s="18">
        <v>0</v>
      </c>
      <c r="W3170" s="14" t="s">
        <v>7777</v>
      </c>
      <c r="X3170" s="3">
        <v>2</v>
      </c>
      <c r="Z3170" s="23">
        <v>2</v>
      </c>
      <c r="AB3170" s="18">
        <f t="shared" si="98"/>
        <v>2014</v>
      </c>
      <c r="AC3170" s="22">
        <f t="shared" si="99"/>
        <v>0.4</v>
      </c>
    </row>
    <row r="3171" spans="1:29" ht="38.25">
      <c r="A3171" s="8" t="s">
        <v>4453</v>
      </c>
      <c r="B3171" s="17" t="s">
        <v>7800</v>
      </c>
      <c r="C3171" s="13">
        <v>41950</v>
      </c>
      <c r="D3171" s="13" t="s">
        <v>8465</v>
      </c>
      <c r="E3171" s="10" t="s">
        <v>4450</v>
      </c>
      <c r="F3171" s="10" t="s">
        <v>4450</v>
      </c>
      <c r="G3171" s="11" t="s">
        <v>4451</v>
      </c>
      <c r="H3171" s="2" t="s">
        <v>149</v>
      </c>
      <c r="L3171" s="18">
        <v>1</v>
      </c>
      <c r="N3171" s="13">
        <v>42027</v>
      </c>
      <c r="P3171" s="18" t="s">
        <v>1107</v>
      </c>
      <c r="Q3171" s="18">
        <v>0</v>
      </c>
      <c r="V3171" s="22">
        <f>3.88/5</f>
        <v>0.77600000000000002</v>
      </c>
      <c r="W3171" s="14" t="s">
        <v>7777</v>
      </c>
      <c r="X3171" s="3">
        <v>2</v>
      </c>
      <c r="AB3171" s="18">
        <f t="shared" si="98"/>
        <v>2014</v>
      </c>
      <c r="AC3171" s="22">
        <f t="shared" si="99"/>
        <v>0.58800000000000008</v>
      </c>
    </row>
    <row r="3172" spans="1:29" ht="25.5">
      <c r="A3172" s="8" t="s">
        <v>8515</v>
      </c>
      <c r="B3172" s="17" t="s">
        <v>7800</v>
      </c>
      <c r="C3172" s="13">
        <v>41947</v>
      </c>
      <c r="D3172" s="13" t="s">
        <v>8465</v>
      </c>
      <c r="E3172" s="10" t="s">
        <v>1578</v>
      </c>
      <c r="F3172" s="10" t="s">
        <v>1578</v>
      </c>
      <c r="G3172" s="11" t="s">
        <v>5279</v>
      </c>
      <c r="H3172" s="2" t="s">
        <v>1518</v>
      </c>
      <c r="L3172" s="18">
        <v>1</v>
      </c>
      <c r="N3172" s="13">
        <v>43910</v>
      </c>
      <c r="O3172" s="29">
        <v>2.25</v>
      </c>
      <c r="P3172" s="18" t="s">
        <v>1107</v>
      </c>
      <c r="Q3172" s="18">
        <v>0</v>
      </c>
      <c r="U3172" s="22">
        <v>0.86</v>
      </c>
      <c r="V3172" s="22">
        <f>4.21/5</f>
        <v>0.84199999999999997</v>
      </c>
      <c r="W3172" s="14" t="s">
        <v>7777</v>
      </c>
      <c r="X3172" s="3">
        <v>4</v>
      </c>
      <c r="Z3172" s="23">
        <v>5</v>
      </c>
      <c r="AB3172" s="18">
        <f t="shared" si="98"/>
        <v>2014</v>
      </c>
      <c r="AC3172" s="22">
        <f t="shared" si="99"/>
        <v>0.83399999999999996</v>
      </c>
    </row>
    <row r="3173" spans="1:29" ht="25.5">
      <c r="A3173" s="8" t="s">
        <v>8589</v>
      </c>
      <c r="B3173" s="17" t="s">
        <v>7800</v>
      </c>
      <c r="C3173" s="13">
        <v>41947</v>
      </c>
      <c r="D3173" s="13" t="s">
        <v>8465</v>
      </c>
      <c r="E3173" s="10" t="s">
        <v>1273</v>
      </c>
      <c r="F3173" s="10" t="s">
        <v>7892</v>
      </c>
      <c r="G3173" s="11" t="s">
        <v>3401</v>
      </c>
      <c r="H3173" s="2" t="s">
        <v>1050</v>
      </c>
      <c r="L3173" s="18">
        <v>1</v>
      </c>
      <c r="N3173" s="13">
        <v>43940</v>
      </c>
      <c r="O3173" s="29">
        <v>11.99</v>
      </c>
      <c r="P3173" s="18" t="s">
        <v>1107</v>
      </c>
      <c r="Q3173" s="18">
        <v>0</v>
      </c>
      <c r="U3173" s="22">
        <v>0.78</v>
      </c>
      <c r="V3173" s="22">
        <f>3.16/5</f>
        <v>0.63200000000000001</v>
      </c>
      <c r="W3173" s="14" t="s">
        <v>7777</v>
      </c>
      <c r="X3173" s="3">
        <v>4</v>
      </c>
      <c r="Z3173" s="23">
        <v>7</v>
      </c>
      <c r="AB3173" s="18">
        <f t="shared" si="98"/>
        <v>2014</v>
      </c>
      <c r="AC3173" s="22">
        <f t="shared" si="99"/>
        <v>0.73733333333333329</v>
      </c>
    </row>
    <row r="3174" spans="1:29" ht="25.5">
      <c r="A3174" s="8" t="s">
        <v>4160</v>
      </c>
      <c r="B3174" s="17" t="s">
        <v>7800</v>
      </c>
      <c r="C3174" s="13">
        <v>41942</v>
      </c>
      <c r="D3174" s="13" t="s">
        <v>8465</v>
      </c>
      <c r="E3174" s="10" t="s">
        <v>3252</v>
      </c>
      <c r="F3174" s="10" t="s">
        <v>3252</v>
      </c>
      <c r="G3174" s="11" t="s">
        <v>4161</v>
      </c>
      <c r="H3174" s="2" t="s">
        <v>1720</v>
      </c>
      <c r="L3174" s="18">
        <v>1</v>
      </c>
      <c r="N3174" s="13">
        <v>43603</v>
      </c>
      <c r="O3174" s="29">
        <v>3.49</v>
      </c>
      <c r="P3174" s="18" t="s">
        <v>1107</v>
      </c>
      <c r="Q3174" s="18">
        <v>0</v>
      </c>
      <c r="U3174" s="22">
        <v>0.83</v>
      </c>
      <c r="V3174" s="22">
        <f>3.97/5</f>
        <v>0.79400000000000004</v>
      </c>
      <c r="W3174" s="14" t="s">
        <v>7777</v>
      </c>
      <c r="X3174" s="3">
        <v>5</v>
      </c>
      <c r="Z3174" s="23">
        <v>33</v>
      </c>
      <c r="AB3174" s="18">
        <f t="shared" si="98"/>
        <v>2014</v>
      </c>
      <c r="AC3174" s="22">
        <f t="shared" si="99"/>
        <v>0.8746666666666667</v>
      </c>
    </row>
    <row r="3175" spans="1:29" ht="25.5">
      <c r="A3175" s="8" t="s">
        <v>1106</v>
      </c>
      <c r="B3175" s="17" t="s">
        <v>7743</v>
      </c>
      <c r="C3175" s="13">
        <v>41942</v>
      </c>
      <c r="D3175" s="13" t="s">
        <v>8465</v>
      </c>
      <c r="E3175" s="10" t="s">
        <v>1151</v>
      </c>
      <c r="F3175" s="10" t="s">
        <v>1151</v>
      </c>
      <c r="G3175" s="11" t="s">
        <v>1152</v>
      </c>
      <c r="H3175" s="2" t="s">
        <v>245</v>
      </c>
      <c r="L3175" s="18">
        <v>1</v>
      </c>
      <c r="N3175" s="13">
        <v>42163</v>
      </c>
      <c r="O3175" s="29">
        <v>0</v>
      </c>
      <c r="P3175" s="18" t="s">
        <v>1107</v>
      </c>
      <c r="Q3175" s="18">
        <v>0</v>
      </c>
      <c r="U3175" s="22">
        <v>0.84</v>
      </c>
      <c r="V3175" s="22">
        <f>3.88/5</f>
        <v>0.77600000000000002</v>
      </c>
      <c r="X3175" s="3">
        <v>3</v>
      </c>
      <c r="Z3175" s="23">
        <v>9</v>
      </c>
      <c r="AB3175" s="18">
        <f t="shared" si="98"/>
        <v>2014</v>
      </c>
      <c r="AC3175" s="22">
        <f t="shared" si="99"/>
        <v>0.73866666666666669</v>
      </c>
    </row>
    <row r="3176" spans="1:29">
      <c r="A3176" s="8" t="s">
        <v>2447</v>
      </c>
      <c r="B3176" s="17" t="s">
        <v>7749</v>
      </c>
      <c r="C3176" s="13">
        <v>41942</v>
      </c>
      <c r="D3176" s="13" t="s">
        <v>8465</v>
      </c>
      <c r="E3176" s="10" t="s">
        <v>2484</v>
      </c>
      <c r="F3176" s="10" t="s">
        <v>2484</v>
      </c>
      <c r="H3176" s="2" t="s">
        <v>64</v>
      </c>
      <c r="L3176" s="18">
        <v>1</v>
      </c>
      <c r="N3176" s="13">
        <v>42197</v>
      </c>
      <c r="O3176" s="29">
        <v>0</v>
      </c>
      <c r="P3176" s="18" t="s">
        <v>1107</v>
      </c>
      <c r="Q3176" s="18">
        <v>0</v>
      </c>
      <c r="U3176" s="22">
        <v>0.78</v>
      </c>
      <c r="V3176" s="22">
        <f>3.49/5</f>
        <v>0.69800000000000006</v>
      </c>
      <c r="X3176" s="3">
        <v>2</v>
      </c>
      <c r="Z3176" s="23">
        <v>0.87</v>
      </c>
      <c r="AB3176" s="18">
        <f t="shared" si="98"/>
        <v>2014</v>
      </c>
      <c r="AC3176" s="22">
        <f t="shared" si="99"/>
        <v>0.626</v>
      </c>
    </row>
    <row r="3177" spans="1:29">
      <c r="A3177" s="8" t="s">
        <v>3342</v>
      </c>
      <c r="B3177" s="17" t="s">
        <v>7800</v>
      </c>
      <c r="C3177" s="13">
        <v>41941</v>
      </c>
      <c r="D3177" s="13" t="s">
        <v>8465</v>
      </c>
      <c r="E3177" s="10" t="s">
        <v>3343</v>
      </c>
      <c r="F3177" s="10" t="s">
        <v>3343</v>
      </c>
      <c r="H3177" s="2" t="s">
        <v>150</v>
      </c>
      <c r="I3177" s="18">
        <v>1</v>
      </c>
      <c r="L3177" s="18">
        <v>1</v>
      </c>
      <c r="N3177" s="13">
        <v>42023</v>
      </c>
      <c r="P3177" s="18" t="s">
        <v>1107</v>
      </c>
      <c r="Q3177" s="18">
        <v>0</v>
      </c>
      <c r="U3177" s="22">
        <v>0.75</v>
      </c>
      <c r="V3177" s="22">
        <f>4.07/5</f>
        <v>0.81400000000000006</v>
      </c>
      <c r="W3177" s="14" t="s">
        <v>7777</v>
      </c>
      <c r="X3177" s="3">
        <v>2</v>
      </c>
      <c r="Z3177" s="23">
        <v>6.5</v>
      </c>
      <c r="AB3177" s="18">
        <f t="shared" si="98"/>
        <v>2014</v>
      </c>
      <c r="AC3177" s="22">
        <f t="shared" si="99"/>
        <v>0.65466666666666662</v>
      </c>
    </row>
    <row r="3178" spans="1:29">
      <c r="A3178" s="8" t="s">
        <v>6526</v>
      </c>
      <c r="B3178" s="17" t="s">
        <v>7766</v>
      </c>
      <c r="C3178" s="13">
        <v>41940</v>
      </c>
      <c r="D3178" s="13" t="s">
        <v>8465</v>
      </c>
      <c r="E3178" s="10" t="s">
        <v>6517</v>
      </c>
      <c r="F3178" s="10" t="s">
        <v>3039</v>
      </c>
      <c r="H3178" s="2" t="s">
        <v>80</v>
      </c>
      <c r="L3178" s="18">
        <v>1</v>
      </c>
      <c r="M3178" s="14" t="s">
        <v>8462</v>
      </c>
      <c r="N3178" s="13">
        <v>43355</v>
      </c>
      <c r="O3178" s="29">
        <v>3.24</v>
      </c>
      <c r="P3178" s="18" t="s">
        <v>14</v>
      </c>
      <c r="Q3178" s="18">
        <v>0</v>
      </c>
      <c r="U3178" s="22">
        <v>0.83</v>
      </c>
      <c r="V3178" s="22">
        <f>3.91/5</f>
        <v>0.78200000000000003</v>
      </c>
      <c r="X3178" s="3">
        <v>4</v>
      </c>
      <c r="Z3178" s="23">
        <v>10</v>
      </c>
      <c r="AB3178" s="18">
        <f t="shared" si="98"/>
        <v>2014</v>
      </c>
      <c r="AC3178" s="22">
        <f t="shared" si="99"/>
        <v>0.80399999999999994</v>
      </c>
    </row>
    <row r="3179" spans="1:29">
      <c r="A3179" s="8" t="s">
        <v>4345</v>
      </c>
      <c r="B3179" s="17" t="s">
        <v>7800</v>
      </c>
      <c r="C3179" s="13">
        <v>41940</v>
      </c>
      <c r="D3179" s="13" t="s">
        <v>8465</v>
      </c>
      <c r="E3179" s="10" t="s">
        <v>3568</v>
      </c>
      <c r="F3179" s="10" t="s">
        <v>4346</v>
      </c>
      <c r="G3179" s="11" t="s">
        <v>4345</v>
      </c>
      <c r="H3179" s="2" t="s">
        <v>171</v>
      </c>
      <c r="L3179" s="18">
        <v>1</v>
      </c>
      <c r="N3179" s="13">
        <v>41997</v>
      </c>
      <c r="O3179" s="29">
        <v>19.63</v>
      </c>
      <c r="P3179" s="18" t="s">
        <v>1107</v>
      </c>
      <c r="Q3179" s="18">
        <v>0</v>
      </c>
      <c r="U3179" s="22">
        <v>0.69</v>
      </c>
      <c r="V3179" s="22">
        <f>3.15/5</f>
        <v>0.63</v>
      </c>
      <c r="W3179" s="14" t="s">
        <v>7777</v>
      </c>
      <c r="X3179" s="3">
        <v>4</v>
      </c>
      <c r="Z3179" s="23">
        <v>14.5</v>
      </c>
      <c r="AB3179" s="18">
        <f t="shared" si="98"/>
        <v>2014</v>
      </c>
      <c r="AC3179" s="22">
        <f t="shared" si="99"/>
        <v>0.70666666666666667</v>
      </c>
    </row>
    <row r="3180" spans="1:29" ht="30">
      <c r="A3180" s="8" t="s">
        <v>6277</v>
      </c>
      <c r="B3180" s="17" t="s">
        <v>7763</v>
      </c>
      <c r="C3180" s="13">
        <v>41940</v>
      </c>
      <c r="D3180" s="13" t="s">
        <v>8465</v>
      </c>
      <c r="E3180" s="10" t="s">
        <v>2908</v>
      </c>
      <c r="F3180" s="10" t="s">
        <v>5862</v>
      </c>
      <c r="H3180" s="2" t="s">
        <v>171</v>
      </c>
      <c r="L3180" s="18">
        <v>1</v>
      </c>
      <c r="M3180" s="14" t="s">
        <v>8462</v>
      </c>
      <c r="N3180" s="13">
        <v>43600</v>
      </c>
      <c r="O3180" s="29">
        <v>7.95</v>
      </c>
      <c r="P3180" s="18" t="s">
        <v>14</v>
      </c>
      <c r="Q3180" s="18">
        <v>0</v>
      </c>
      <c r="U3180" s="22">
        <v>0.74</v>
      </c>
      <c r="V3180" s="22">
        <f>4.07/5</f>
        <v>0.81400000000000006</v>
      </c>
      <c r="X3180" s="3">
        <v>3</v>
      </c>
      <c r="Z3180" s="23">
        <v>30</v>
      </c>
      <c r="AB3180" s="18">
        <f t="shared" si="98"/>
        <v>2014</v>
      </c>
      <c r="AC3180" s="22">
        <f t="shared" si="99"/>
        <v>0.71799999999999997</v>
      </c>
    </row>
    <row r="3181" spans="1:29" ht="30">
      <c r="A3181" s="8" t="s">
        <v>9371</v>
      </c>
      <c r="B3181" s="17" t="s">
        <v>7760</v>
      </c>
      <c r="C3181" s="13">
        <v>41940</v>
      </c>
      <c r="D3181" s="13" t="s">
        <v>8465</v>
      </c>
      <c r="E3181" s="10" t="s">
        <v>2908</v>
      </c>
      <c r="F3181" s="10" t="s">
        <v>9372</v>
      </c>
      <c r="H3181" s="2" t="s">
        <v>67</v>
      </c>
      <c r="L3181" s="18">
        <v>1</v>
      </c>
      <c r="N3181" s="13">
        <v>44118</v>
      </c>
      <c r="O3181" s="29">
        <v>4.9400000000000004</v>
      </c>
      <c r="P3181" s="18" t="s">
        <v>1107</v>
      </c>
      <c r="Q3181" s="18">
        <v>0</v>
      </c>
      <c r="U3181" s="22">
        <v>0.83</v>
      </c>
      <c r="V3181" s="22">
        <f>3.45/5</f>
        <v>0.69000000000000006</v>
      </c>
      <c r="X3181" s="3">
        <v>3</v>
      </c>
      <c r="Z3181" s="23">
        <v>2.5</v>
      </c>
      <c r="AB3181" s="18">
        <f t="shared" si="98"/>
        <v>2014</v>
      </c>
      <c r="AC3181" s="22">
        <f t="shared" si="99"/>
        <v>0.70666666666666667</v>
      </c>
    </row>
    <row r="3182" spans="1:29">
      <c r="A3182" s="8" t="s">
        <v>5297</v>
      </c>
      <c r="B3182" s="17" t="s">
        <v>7800</v>
      </c>
      <c r="C3182" s="13">
        <v>41940</v>
      </c>
      <c r="D3182" s="13" t="s">
        <v>8465</v>
      </c>
      <c r="E3182" s="10" t="s">
        <v>5298</v>
      </c>
      <c r="F3182" s="10" t="s">
        <v>5298</v>
      </c>
      <c r="H3182" s="2" t="s">
        <v>67</v>
      </c>
      <c r="L3182" s="18">
        <v>1</v>
      </c>
      <c r="N3182" s="13">
        <v>42023</v>
      </c>
      <c r="P3182" s="18" t="s">
        <v>1107</v>
      </c>
      <c r="Q3182" s="18">
        <v>0</v>
      </c>
      <c r="U3182" s="22">
        <v>0.68</v>
      </c>
      <c r="V3182" s="22">
        <f>2.58/5</f>
        <v>0.51600000000000001</v>
      </c>
      <c r="W3182" s="14" t="s">
        <v>7777</v>
      </c>
      <c r="X3182" s="3">
        <v>3</v>
      </c>
      <c r="Z3182" s="23">
        <v>4</v>
      </c>
      <c r="AB3182" s="18">
        <f t="shared" si="98"/>
        <v>2014</v>
      </c>
      <c r="AC3182" s="22">
        <f t="shared" si="99"/>
        <v>0.59866666666666679</v>
      </c>
    </row>
    <row r="3183" spans="1:29" ht="25.5">
      <c r="A3183" s="8" t="s">
        <v>2413</v>
      </c>
      <c r="B3183" s="17" t="s">
        <v>7749</v>
      </c>
      <c r="C3183" s="13">
        <v>41940</v>
      </c>
      <c r="D3183" s="13" t="s">
        <v>8465</v>
      </c>
      <c r="E3183" s="10" t="s">
        <v>1273</v>
      </c>
      <c r="F3183" s="10" t="s">
        <v>2466</v>
      </c>
      <c r="G3183" s="11" t="s">
        <v>2467</v>
      </c>
      <c r="H3183" s="2" t="s">
        <v>75</v>
      </c>
      <c r="L3183" s="18">
        <v>1</v>
      </c>
      <c r="M3183" s="14" t="s">
        <v>8462</v>
      </c>
      <c r="N3183" s="13">
        <v>43559</v>
      </c>
      <c r="O3183" s="29">
        <v>3.95</v>
      </c>
      <c r="P3183" s="18" t="s">
        <v>14</v>
      </c>
      <c r="Q3183" s="18">
        <v>0</v>
      </c>
      <c r="V3183" s="22">
        <f>2.67/5</f>
        <v>0.53400000000000003</v>
      </c>
      <c r="X3183" s="3">
        <v>3</v>
      </c>
      <c r="Z3183" s="23">
        <v>9.5</v>
      </c>
      <c r="AB3183" s="18">
        <f t="shared" si="98"/>
        <v>2014</v>
      </c>
      <c r="AC3183" s="22">
        <f t="shared" si="99"/>
        <v>0.56699999999999995</v>
      </c>
    </row>
    <row r="3184" spans="1:29">
      <c r="A3184" s="8" t="s">
        <v>16033</v>
      </c>
      <c r="B3184" s="17" t="s">
        <v>7800</v>
      </c>
      <c r="C3184" s="13">
        <v>41940</v>
      </c>
      <c r="D3184" s="13" t="s">
        <v>8465</v>
      </c>
      <c r="E3184" s="10" t="s">
        <v>11323</v>
      </c>
      <c r="F3184" s="10" t="s">
        <v>11323</v>
      </c>
      <c r="H3184" s="2" t="s">
        <v>67</v>
      </c>
      <c r="L3184" s="18">
        <v>1</v>
      </c>
      <c r="P3184" s="18" t="s">
        <v>1107</v>
      </c>
      <c r="Q3184" s="18">
        <v>0</v>
      </c>
      <c r="V3184" s="22">
        <f>3.33/5</f>
        <v>0.66600000000000004</v>
      </c>
      <c r="W3184" s="14" t="s">
        <v>7777</v>
      </c>
      <c r="X3184" s="3">
        <v>2</v>
      </c>
      <c r="Z3184" s="23">
        <f>43/60</f>
        <v>0.71666666666666667</v>
      </c>
      <c r="AB3184" s="18">
        <f t="shared" si="98"/>
        <v>2014</v>
      </c>
      <c r="AC3184" s="22">
        <f t="shared" si="99"/>
        <v>0.53300000000000003</v>
      </c>
    </row>
    <row r="3185" spans="1:29">
      <c r="A3185" s="8" t="s">
        <v>3733</v>
      </c>
      <c r="B3185" s="17" t="s">
        <v>7800</v>
      </c>
      <c r="C3185" s="13">
        <v>41939</v>
      </c>
      <c r="D3185" s="13" t="s">
        <v>8465</v>
      </c>
      <c r="E3185" s="10" t="s">
        <v>3734</v>
      </c>
      <c r="F3185" s="10" t="s">
        <v>3734</v>
      </c>
      <c r="G3185" s="11" t="s">
        <v>3735</v>
      </c>
      <c r="H3185" s="2" t="s">
        <v>1518</v>
      </c>
      <c r="L3185" s="18">
        <v>1</v>
      </c>
      <c r="N3185" s="13">
        <v>41990</v>
      </c>
      <c r="O3185" s="29">
        <v>6.39</v>
      </c>
      <c r="P3185" s="18" t="s">
        <v>1107</v>
      </c>
      <c r="Q3185" s="18">
        <v>0</v>
      </c>
      <c r="U3185" s="22">
        <v>0.79</v>
      </c>
      <c r="V3185" s="22">
        <f>3.81/5</f>
        <v>0.76200000000000001</v>
      </c>
      <c r="W3185" s="14" t="s">
        <v>7777</v>
      </c>
      <c r="X3185" s="3">
        <v>3</v>
      </c>
      <c r="Z3185" s="23">
        <v>7</v>
      </c>
      <c r="AB3185" s="18">
        <f t="shared" si="98"/>
        <v>2014</v>
      </c>
      <c r="AC3185" s="22">
        <f t="shared" si="99"/>
        <v>0.71733333333333338</v>
      </c>
    </row>
    <row r="3186" spans="1:29" ht="30">
      <c r="A3186" s="8" t="s">
        <v>5083</v>
      </c>
      <c r="B3186" s="17" t="s">
        <v>7800</v>
      </c>
      <c r="C3186" s="13">
        <v>41939</v>
      </c>
      <c r="D3186" s="13" t="s">
        <v>8465</v>
      </c>
      <c r="E3186" s="10" t="s">
        <v>3370</v>
      </c>
      <c r="F3186" s="10" t="s">
        <v>3370</v>
      </c>
      <c r="H3186" s="2" t="s">
        <v>1334</v>
      </c>
      <c r="L3186" s="18">
        <v>1</v>
      </c>
      <c r="N3186" s="13">
        <v>41992</v>
      </c>
      <c r="P3186" s="18" t="s">
        <v>1107</v>
      </c>
      <c r="Q3186" s="18">
        <v>0</v>
      </c>
      <c r="U3186" s="22">
        <v>0.68</v>
      </c>
      <c r="V3186" s="22">
        <f>2.15/5</f>
        <v>0.43</v>
      </c>
      <c r="W3186" s="14" t="s">
        <v>7777</v>
      </c>
      <c r="X3186" s="3">
        <v>3</v>
      </c>
      <c r="Z3186" s="23">
        <v>2</v>
      </c>
      <c r="AB3186" s="18">
        <f t="shared" si="98"/>
        <v>2014</v>
      </c>
      <c r="AC3186" s="22">
        <f t="shared" si="99"/>
        <v>0.56999999999999995</v>
      </c>
    </row>
    <row r="3187" spans="1:29">
      <c r="A3187" s="8" t="s">
        <v>8457</v>
      </c>
      <c r="B3187" s="17" t="s">
        <v>7749</v>
      </c>
      <c r="C3187" s="13">
        <v>41936</v>
      </c>
      <c r="D3187" s="13" t="s">
        <v>8465</v>
      </c>
      <c r="E3187" s="10" t="s">
        <v>86</v>
      </c>
      <c r="F3187" s="10" t="s">
        <v>2129</v>
      </c>
      <c r="H3187" s="2" t="s">
        <v>1334</v>
      </c>
      <c r="L3187" s="18">
        <v>1</v>
      </c>
      <c r="M3187" s="14" t="s">
        <v>10622</v>
      </c>
      <c r="N3187" s="13">
        <v>43891</v>
      </c>
      <c r="O3187" s="29">
        <v>14.92</v>
      </c>
      <c r="P3187" s="18" t="s">
        <v>14</v>
      </c>
      <c r="Q3187" s="18">
        <v>0</v>
      </c>
      <c r="U3187" s="22">
        <v>0.73</v>
      </c>
      <c r="V3187" s="22">
        <f>4.4/5</f>
        <v>0.88000000000000012</v>
      </c>
      <c r="X3187" s="3">
        <v>4</v>
      </c>
      <c r="Z3187" s="23">
        <v>31</v>
      </c>
      <c r="AB3187" s="18">
        <f t="shared" si="98"/>
        <v>2014</v>
      </c>
      <c r="AC3187" s="22">
        <f t="shared" si="99"/>
        <v>0.80333333333333334</v>
      </c>
    </row>
    <row r="3188" spans="1:29">
      <c r="A3188" s="8" t="s">
        <v>5099</v>
      </c>
      <c r="B3188" s="17" t="s">
        <v>7800</v>
      </c>
      <c r="C3188" s="13">
        <v>41936</v>
      </c>
      <c r="D3188" s="13" t="s">
        <v>8465</v>
      </c>
      <c r="E3188" s="10" t="s">
        <v>5100</v>
      </c>
      <c r="F3188" s="10" t="s">
        <v>5100</v>
      </c>
      <c r="H3188" s="2" t="s">
        <v>1518</v>
      </c>
      <c r="L3188" s="18">
        <v>1</v>
      </c>
      <c r="N3188" s="13">
        <v>42779</v>
      </c>
      <c r="O3188" s="29">
        <v>0</v>
      </c>
      <c r="P3188" s="18" t="s">
        <v>1107</v>
      </c>
      <c r="Q3188" s="18">
        <v>0</v>
      </c>
      <c r="U3188" s="22">
        <v>0.9</v>
      </c>
      <c r="V3188" s="22">
        <f>3.14/5</f>
        <v>0.628</v>
      </c>
      <c r="W3188" s="14" t="s">
        <v>7777</v>
      </c>
      <c r="X3188" s="3">
        <v>3</v>
      </c>
      <c r="Z3188" s="23">
        <v>8</v>
      </c>
      <c r="AB3188" s="18">
        <f t="shared" si="98"/>
        <v>2014</v>
      </c>
      <c r="AC3188" s="22">
        <f t="shared" si="99"/>
        <v>0.70933333333333337</v>
      </c>
    </row>
    <row r="3189" spans="1:29" ht="38.25">
      <c r="A3189" s="8" t="s">
        <v>4999</v>
      </c>
      <c r="B3189" s="17" t="s">
        <v>7800</v>
      </c>
      <c r="C3189" s="13">
        <v>41936</v>
      </c>
      <c r="D3189" s="13" t="s">
        <v>8465</v>
      </c>
      <c r="E3189" s="10" t="s">
        <v>3310</v>
      </c>
      <c r="F3189" s="10" t="s">
        <v>4993</v>
      </c>
      <c r="G3189" s="11" t="s">
        <v>4994</v>
      </c>
      <c r="H3189" s="2" t="s">
        <v>3123</v>
      </c>
      <c r="L3189" s="18">
        <v>1</v>
      </c>
      <c r="N3189" s="13">
        <v>43514</v>
      </c>
      <c r="P3189" s="18" t="s">
        <v>1107</v>
      </c>
      <c r="Q3189" s="18">
        <v>0</v>
      </c>
      <c r="U3189" s="22">
        <v>0.8</v>
      </c>
      <c r="V3189" s="22">
        <f>3.57/5</f>
        <v>0.71399999999999997</v>
      </c>
      <c r="W3189" s="14" t="s">
        <v>7777</v>
      </c>
      <c r="X3189" s="3">
        <v>3</v>
      </c>
      <c r="Z3189" s="23">
        <v>14</v>
      </c>
      <c r="AB3189" s="18">
        <f t="shared" si="98"/>
        <v>2014</v>
      </c>
      <c r="AC3189" s="22">
        <f t="shared" si="99"/>
        <v>0.70466666666666666</v>
      </c>
    </row>
    <row r="3190" spans="1:29" ht="25.5">
      <c r="A3190" s="8" t="s">
        <v>4833</v>
      </c>
      <c r="B3190" s="17" t="s">
        <v>7800</v>
      </c>
      <c r="C3190" s="13">
        <v>41936</v>
      </c>
      <c r="D3190" s="13" t="s">
        <v>8465</v>
      </c>
      <c r="E3190" s="10" t="s">
        <v>3136</v>
      </c>
      <c r="F3190" s="10" t="s">
        <v>4834</v>
      </c>
      <c r="G3190" s="11" t="s">
        <v>6417</v>
      </c>
      <c r="H3190" s="2" t="s">
        <v>21</v>
      </c>
      <c r="L3190" s="18">
        <v>1</v>
      </c>
      <c r="N3190" s="13">
        <v>42061</v>
      </c>
      <c r="P3190" s="18" t="s">
        <v>1107</v>
      </c>
      <c r="Q3190" s="18">
        <v>0</v>
      </c>
      <c r="V3190" s="22">
        <f>3.38/5</f>
        <v>0.67599999999999993</v>
      </c>
      <c r="W3190" s="14" t="s">
        <v>7777</v>
      </c>
      <c r="X3190" s="3">
        <v>3</v>
      </c>
      <c r="Z3190" s="23">
        <v>2</v>
      </c>
      <c r="AB3190" s="18">
        <f t="shared" si="98"/>
        <v>2014</v>
      </c>
      <c r="AC3190" s="22">
        <f t="shared" si="99"/>
        <v>0.6379999999999999</v>
      </c>
    </row>
    <row r="3191" spans="1:29">
      <c r="A3191" s="8" t="s">
        <v>5632</v>
      </c>
      <c r="B3191" s="17" t="s">
        <v>7800</v>
      </c>
      <c r="C3191" s="13">
        <v>41935</v>
      </c>
      <c r="D3191" s="13" t="s">
        <v>8465</v>
      </c>
      <c r="E3191" s="10" t="s">
        <v>5556</v>
      </c>
      <c r="F3191" s="10" t="s">
        <v>5556</v>
      </c>
      <c r="H3191" s="2" t="s">
        <v>1518</v>
      </c>
      <c r="L3191" s="18">
        <v>1</v>
      </c>
      <c r="N3191" s="13">
        <v>42166</v>
      </c>
      <c r="O3191" s="29">
        <v>4.49</v>
      </c>
      <c r="P3191" s="18" t="s">
        <v>1107</v>
      </c>
      <c r="Q3191" s="18">
        <v>0</v>
      </c>
      <c r="U3191" s="22">
        <v>0.68</v>
      </c>
      <c r="V3191" s="22">
        <f>3.43/5</f>
        <v>0.68600000000000005</v>
      </c>
      <c r="W3191" s="14" t="s">
        <v>7777</v>
      </c>
      <c r="X3191" s="3">
        <v>3</v>
      </c>
      <c r="Z3191" s="23">
        <v>3.5</v>
      </c>
      <c r="AB3191" s="18">
        <f t="shared" si="98"/>
        <v>2014</v>
      </c>
      <c r="AC3191" s="22">
        <f t="shared" si="99"/>
        <v>0.65533333333333343</v>
      </c>
    </row>
    <row r="3192" spans="1:29" ht="25.5">
      <c r="A3192" s="8" t="s">
        <v>13073</v>
      </c>
      <c r="B3192" s="17" t="s">
        <v>7749</v>
      </c>
      <c r="C3192" s="13">
        <v>41935</v>
      </c>
      <c r="D3192" s="13" t="s">
        <v>8463</v>
      </c>
      <c r="E3192" s="10" t="s">
        <v>3568</v>
      </c>
      <c r="F3192" s="10" t="s">
        <v>3568</v>
      </c>
      <c r="G3192" s="11" t="s">
        <v>1422</v>
      </c>
      <c r="H3192" s="2" t="s">
        <v>75</v>
      </c>
      <c r="K3192" s="18">
        <v>1</v>
      </c>
      <c r="L3192" s="18">
        <v>0</v>
      </c>
      <c r="Q3192" s="18">
        <v>0</v>
      </c>
      <c r="V3192" s="22">
        <f>4.07/5</f>
        <v>0.81400000000000006</v>
      </c>
      <c r="X3192" s="3">
        <v>2</v>
      </c>
      <c r="AB3192" s="18">
        <f t="shared" si="98"/>
        <v>2014</v>
      </c>
      <c r="AC3192" s="22">
        <f t="shared" si="99"/>
        <v>0.60699999999999998</v>
      </c>
    </row>
    <row r="3193" spans="1:29" ht="30">
      <c r="A3193" s="8" t="s">
        <v>5105</v>
      </c>
      <c r="B3193" s="17" t="s">
        <v>7800</v>
      </c>
      <c r="C3193" s="13">
        <v>41935</v>
      </c>
      <c r="D3193" s="13" t="s">
        <v>8465</v>
      </c>
      <c r="E3193" s="10" t="s">
        <v>4110</v>
      </c>
      <c r="F3193" s="10" t="s">
        <v>5106</v>
      </c>
      <c r="H3193" s="2" t="s">
        <v>56</v>
      </c>
      <c r="L3193" s="18">
        <v>1</v>
      </c>
      <c r="N3193" s="13">
        <v>42006</v>
      </c>
      <c r="O3193" s="29">
        <v>0.74</v>
      </c>
      <c r="P3193" s="18" t="s">
        <v>1107</v>
      </c>
      <c r="Q3193" s="18">
        <v>0</v>
      </c>
      <c r="V3193" s="22">
        <f>2.45/5</f>
        <v>0.49000000000000005</v>
      </c>
      <c r="W3193" s="14" t="s">
        <v>7777</v>
      </c>
      <c r="X3193" s="3">
        <v>2</v>
      </c>
      <c r="Z3193" s="23">
        <v>8</v>
      </c>
      <c r="AB3193" s="18">
        <f t="shared" si="98"/>
        <v>2014</v>
      </c>
      <c r="AC3193" s="22">
        <f t="shared" si="99"/>
        <v>0.44500000000000006</v>
      </c>
    </row>
    <row r="3194" spans="1:29">
      <c r="A3194" s="8" t="s">
        <v>2467</v>
      </c>
      <c r="B3194" s="17" t="s">
        <v>7800</v>
      </c>
      <c r="C3194" s="13">
        <v>41933</v>
      </c>
      <c r="D3194" s="13" t="s">
        <v>8465</v>
      </c>
      <c r="E3194" s="10" t="s">
        <v>1273</v>
      </c>
      <c r="F3194" s="10" t="s">
        <v>1058</v>
      </c>
      <c r="G3194" s="11" t="s">
        <v>2467</v>
      </c>
      <c r="H3194" s="2" t="s">
        <v>153</v>
      </c>
      <c r="L3194" s="18">
        <v>1</v>
      </c>
      <c r="N3194" s="13">
        <v>42169</v>
      </c>
      <c r="O3194" s="29">
        <v>3.47</v>
      </c>
      <c r="P3194" s="18" t="s">
        <v>1107</v>
      </c>
      <c r="Q3194" s="18">
        <v>0</v>
      </c>
      <c r="U3194" s="22">
        <v>0.63</v>
      </c>
      <c r="V3194" s="22">
        <f>3.19/5</f>
        <v>0.63800000000000001</v>
      </c>
      <c r="W3194" s="14" t="s">
        <v>7777</v>
      </c>
      <c r="X3194" s="3">
        <v>3</v>
      </c>
      <c r="Z3194" s="23">
        <v>4.5</v>
      </c>
      <c r="AB3194" s="18">
        <f t="shared" si="98"/>
        <v>2014</v>
      </c>
      <c r="AC3194" s="22">
        <f t="shared" si="99"/>
        <v>0.62266666666666659</v>
      </c>
    </row>
    <row r="3195" spans="1:29">
      <c r="A3195" s="8" t="s">
        <v>7956</v>
      </c>
      <c r="B3195" s="17" t="s">
        <v>7760</v>
      </c>
      <c r="C3195" s="13">
        <v>41933</v>
      </c>
      <c r="D3195" s="13" t="s">
        <v>8465</v>
      </c>
      <c r="E3195" s="10" t="s">
        <v>2335</v>
      </c>
      <c r="F3195" s="10" t="s">
        <v>1471</v>
      </c>
      <c r="G3195" s="11" t="s">
        <v>2465</v>
      </c>
      <c r="H3195" s="2" t="s">
        <v>1059</v>
      </c>
      <c r="L3195" s="18">
        <v>1</v>
      </c>
      <c r="M3195" s="14" t="s">
        <v>8462</v>
      </c>
      <c r="N3195" s="13">
        <v>45028</v>
      </c>
      <c r="O3195" s="29">
        <v>26.15</v>
      </c>
      <c r="P3195" s="18" t="s">
        <v>14</v>
      </c>
      <c r="Q3195" s="18">
        <v>0</v>
      </c>
      <c r="V3195" s="22">
        <f>4.12/5</f>
        <v>0.82400000000000007</v>
      </c>
      <c r="X3195" s="3">
        <v>2</v>
      </c>
      <c r="Z3195" s="23">
        <v>28</v>
      </c>
      <c r="AB3195" s="18">
        <f t="shared" si="98"/>
        <v>2014</v>
      </c>
      <c r="AC3195" s="22">
        <f t="shared" si="99"/>
        <v>0.6120000000000001</v>
      </c>
    </row>
    <row r="3196" spans="1:29">
      <c r="A3196" s="8" t="s">
        <v>3697</v>
      </c>
      <c r="B3196" s="17" t="s">
        <v>7800</v>
      </c>
      <c r="C3196" s="13">
        <v>41932</v>
      </c>
      <c r="D3196" s="13" t="s">
        <v>8465</v>
      </c>
      <c r="E3196" s="10" t="s">
        <v>3698</v>
      </c>
      <c r="F3196" s="10" t="s">
        <v>3698</v>
      </c>
      <c r="G3196" s="11" t="s">
        <v>3697</v>
      </c>
      <c r="H3196" s="2" t="s">
        <v>1143</v>
      </c>
      <c r="L3196" s="18">
        <v>1</v>
      </c>
      <c r="N3196" s="13">
        <v>42430</v>
      </c>
      <c r="P3196" s="18" t="s">
        <v>1107</v>
      </c>
      <c r="Q3196" s="18">
        <v>0</v>
      </c>
      <c r="U3196" s="22">
        <v>0.84</v>
      </c>
      <c r="V3196" s="22">
        <f>3.61/5</f>
        <v>0.72199999999999998</v>
      </c>
      <c r="W3196" s="14" t="s">
        <v>7777</v>
      </c>
      <c r="X3196" s="3">
        <v>2</v>
      </c>
      <c r="Z3196" s="23">
        <v>5</v>
      </c>
      <c r="AB3196" s="18">
        <f t="shared" si="98"/>
        <v>2014</v>
      </c>
      <c r="AC3196" s="22">
        <f t="shared" si="99"/>
        <v>0.65399999999999991</v>
      </c>
    </row>
    <row r="3197" spans="1:29" ht="30">
      <c r="A3197" s="8" t="s">
        <v>12716</v>
      </c>
      <c r="B3197" s="17" t="s">
        <v>7800</v>
      </c>
      <c r="C3197" s="13">
        <v>41929</v>
      </c>
      <c r="D3197" s="13" t="s">
        <v>8465</v>
      </c>
      <c r="E3197" s="10" t="s">
        <v>1604</v>
      </c>
      <c r="F3197" s="10" t="s">
        <v>12720</v>
      </c>
      <c r="H3197" s="2" t="s">
        <v>27</v>
      </c>
      <c r="L3197" s="18">
        <v>1</v>
      </c>
      <c r="N3197" s="13">
        <v>44837</v>
      </c>
      <c r="O3197" s="29">
        <v>2.4900000000000002</v>
      </c>
      <c r="P3197" s="18" t="s">
        <v>1107</v>
      </c>
      <c r="Q3197" s="18">
        <v>0</v>
      </c>
      <c r="U3197" s="22">
        <v>0.78</v>
      </c>
      <c r="V3197" s="22">
        <f>3.23/5</f>
        <v>0.64600000000000002</v>
      </c>
      <c r="W3197" s="14" t="s">
        <v>7777</v>
      </c>
      <c r="X3197" s="3">
        <v>2</v>
      </c>
      <c r="Z3197" s="23">
        <v>4</v>
      </c>
      <c r="AB3197" s="18">
        <f t="shared" si="98"/>
        <v>2014</v>
      </c>
      <c r="AC3197" s="22">
        <f t="shared" si="99"/>
        <v>0.60866666666666669</v>
      </c>
    </row>
    <row r="3198" spans="1:29">
      <c r="A3198" s="8" t="s">
        <v>3904</v>
      </c>
      <c r="B3198" s="17" t="s">
        <v>7800</v>
      </c>
      <c r="C3198" s="13">
        <v>41929</v>
      </c>
      <c r="D3198" s="13" t="s">
        <v>8465</v>
      </c>
      <c r="E3198" s="10" t="s">
        <v>3905</v>
      </c>
      <c r="F3198" s="10" t="s">
        <v>3906</v>
      </c>
      <c r="H3198" s="2" t="s">
        <v>153</v>
      </c>
      <c r="L3198" s="18">
        <v>1</v>
      </c>
      <c r="N3198" s="13">
        <v>42019</v>
      </c>
      <c r="P3198" s="18" t="s">
        <v>1107</v>
      </c>
      <c r="Q3198" s="18">
        <v>0</v>
      </c>
      <c r="U3198" s="22">
        <v>0.62</v>
      </c>
      <c r="V3198" s="22">
        <f>2.77/5</f>
        <v>0.55400000000000005</v>
      </c>
      <c r="W3198" s="14" t="s">
        <v>7777</v>
      </c>
      <c r="X3198" s="3">
        <v>2</v>
      </c>
      <c r="Z3198" s="23">
        <v>5</v>
      </c>
      <c r="AB3198" s="18">
        <f t="shared" si="98"/>
        <v>2014</v>
      </c>
      <c r="AC3198" s="22">
        <f t="shared" si="99"/>
        <v>0.52466666666666661</v>
      </c>
    </row>
    <row r="3199" spans="1:29" ht="25.5">
      <c r="A3199" s="8" t="s">
        <v>12192</v>
      </c>
      <c r="B3199" s="17" t="s">
        <v>7763</v>
      </c>
      <c r="C3199" s="13">
        <v>41928</v>
      </c>
      <c r="D3199" s="13" t="s">
        <v>8463</v>
      </c>
      <c r="E3199" s="10" t="s">
        <v>1082</v>
      </c>
      <c r="F3199" s="10" t="s">
        <v>6092</v>
      </c>
      <c r="G3199" s="11" t="s">
        <v>10381</v>
      </c>
      <c r="H3199" s="2" t="s">
        <v>6510</v>
      </c>
      <c r="K3199" s="18">
        <v>1</v>
      </c>
      <c r="L3199" s="18">
        <v>0</v>
      </c>
      <c r="Q3199" s="18">
        <v>0</v>
      </c>
      <c r="V3199" s="22">
        <f>4.32/5</f>
        <v>0.8640000000000001</v>
      </c>
      <c r="X3199" s="3">
        <v>4</v>
      </c>
      <c r="Z3199" s="23">
        <f>11+21.5+10</f>
        <v>42.5</v>
      </c>
      <c r="AB3199" s="18">
        <f t="shared" si="98"/>
        <v>2014</v>
      </c>
      <c r="AC3199" s="22">
        <f t="shared" si="99"/>
        <v>0.83200000000000007</v>
      </c>
    </row>
    <row r="3200" spans="1:29">
      <c r="A3200" s="8" t="s">
        <v>5305</v>
      </c>
      <c r="B3200" s="17" t="s">
        <v>7800</v>
      </c>
      <c r="C3200" s="13">
        <v>41926</v>
      </c>
      <c r="D3200" s="13" t="s">
        <v>8465</v>
      </c>
      <c r="E3200" s="10" t="s">
        <v>1690</v>
      </c>
      <c r="F3200" s="10" t="s">
        <v>5306</v>
      </c>
      <c r="G3200" s="11" t="s">
        <v>5305</v>
      </c>
      <c r="H3200" s="2" t="s">
        <v>1061</v>
      </c>
      <c r="L3200" s="18">
        <v>1</v>
      </c>
      <c r="N3200" s="13">
        <v>43319</v>
      </c>
      <c r="O3200" s="29">
        <v>4.99</v>
      </c>
      <c r="P3200" s="18" t="s">
        <v>1107</v>
      </c>
      <c r="Q3200" s="18">
        <v>0</v>
      </c>
      <c r="U3200" s="22">
        <v>0.63</v>
      </c>
      <c r="V3200" s="22">
        <f>3.56/5</f>
        <v>0.71199999999999997</v>
      </c>
      <c r="W3200" s="14" t="s">
        <v>7777</v>
      </c>
      <c r="X3200" s="3">
        <v>4</v>
      </c>
      <c r="Z3200" s="23">
        <v>16</v>
      </c>
      <c r="AB3200" s="18">
        <f t="shared" si="98"/>
        <v>2014</v>
      </c>
      <c r="AC3200" s="22">
        <f t="shared" si="99"/>
        <v>0.71400000000000008</v>
      </c>
    </row>
    <row r="3201" spans="1:29" ht="25.5">
      <c r="A3201" s="8" t="s">
        <v>10221</v>
      </c>
      <c r="B3201" s="17" t="s">
        <v>7759</v>
      </c>
      <c r="C3201" s="13">
        <v>41926</v>
      </c>
      <c r="D3201" s="13" t="s">
        <v>8465</v>
      </c>
      <c r="E3201" s="10" t="s">
        <v>2461</v>
      </c>
      <c r="F3201" s="10" t="s">
        <v>8708</v>
      </c>
      <c r="G3201" s="11" t="s">
        <v>10081</v>
      </c>
      <c r="H3201" s="2" t="s">
        <v>1057</v>
      </c>
      <c r="L3201" s="18">
        <v>0</v>
      </c>
      <c r="Q3201" s="18">
        <v>0</v>
      </c>
      <c r="U3201" s="22">
        <v>0.65</v>
      </c>
      <c r="V3201" s="22">
        <f>4.18/5</f>
        <v>0.83599999999999997</v>
      </c>
      <c r="X3201" s="3">
        <v>3</v>
      </c>
      <c r="Y3201" s="18">
        <v>1</v>
      </c>
      <c r="Z3201" s="23">
        <v>54</v>
      </c>
      <c r="AB3201" s="18">
        <f t="shared" ref="AB3201:AB3264" si="100">IFERROR(YEAR(C3201), "Early Access")</f>
        <v>2014</v>
      </c>
      <c r="AC3201" s="22">
        <f t="shared" ref="AC3201:AC3264" si="101">AVERAGE(T3201, U3201, V3201, IF(ISBLANK(X3201), X3201, X3201/5))</f>
        <v>0.69533333333333325</v>
      </c>
    </row>
    <row r="3202" spans="1:29" ht="25.5">
      <c r="A3202" s="8" t="s">
        <v>11892</v>
      </c>
      <c r="B3202" s="17" t="s">
        <v>7743</v>
      </c>
      <c r="C3202" s="13">
        <v>41926</v>
      </c>
      <c r="D3202" s="13" t="s">
        <v>8465</v>
      </c>
      <c r="E3202" s="10" t="s">
        <v>1509</v>
      </c>
      <c r="F3202" s="10" t="s">
        <v>11891</v>
      </c>
      <c r="G3202" s="11" t="s">
        <v>4639</v>
      </c>
      <c r="H3202" s="2" t="s">
        <v>1040</v>
      </c>
      <c r="L3202" s="18">
        <v>1</v>
      </c>
      <c r="M3202" s="14" t="s">
        <v>8462</v>
      </c>
      <c r="N3202" s="13">
        <v>44954</v>
      </c>
      <c r="O3202" s="29">
        <v>16.29</v>
      </c>
      <c r="P3202" s="18" t="s">
        <v>14</v>
      </c>
      <c r="Q3202" s="18">
        <v>0</v>
      </c>
      <c r="V3202" s="22">
        <f>3.7/5</f>
        <v>0.74</v>
      </c>
      <c r="X3202" s="3">
        <v>3</v>
      </c>
      <c r="Z3202" s="23">
        <v>9</v>
      </c>
      <c r="AB3202" s="18">
        <f t="shared" si="100"/>
        <v>2014</v>
      </c>
      <c r="AC3202" s="22">
        <f t="shared" si="101"/>
        <v>0.66999999999999993</v>
      </c>
    </row>
    <row r="3203" spans="1:29" ht="30">
      <c r="A3203" s="8" t="s">
        <v>3823</v>
      </c>
      <c r="B3203" s="17" t="s">
        <v>7800</v>
      </c>
      <c r="C3203" s="13">
        <v>41926</v>
      </c>
      <c r="D3203" s="13" t="s">
        <v>8465</v>
      </c>
      <c r="E3203" s="10" t="s">
        <v>3824</v>
      </c>
      <c r="F3203" s="10" t="s">
        <v>3825</v>
      </c>
      <c r="G3203" s="11" t="s">
        <v>3826</v>
      </c>
      <c r="H3203" s="2" t="s">
        <v>78</v>
      </c>
      <c r="L3203" s="18">
        <v>1</v>
      </c>
      <c r="N3203" s="13">
        <v>41926</v>
      </c>
      <c r="O3203" s="29">
        <v>0.83</v>
      </c>
      <c r="P3203" s="18" t="s">
        <v>1107</v>
      </c>
      <c r="Q3203" s="18">
        <v>0</v>
      </c>
      <c r="U3203" s="22">
        <v>0.65</v>
      </c>
      <c r="V3203" s="22">
        <f>3.55/5</f>
        <v>0.71</v>
      </c>
      <c r="W3203" s="14" t="s">
        <v>7777</v>
      </c>
      <c r="X3203" s="3">
        <v>2</v>
      </c>
      <c r="Z3203" s="23">
        <v>12</v>
      </c>
      <c r="AB3203" s="18">
        <f t="shared" si="100"/>
        <v>2014</v>
      </c>
      <c r="AC3203" s="22">
        <f t="shared" si="101"/>
        <v>0.58666666666666656</v>
      </c>
    </row>
    <row r="3204" spans="1:29" ht="25.5">
      <c r="A3204" s="8" t="s">
        <v>3614</v>
      </c>
      <c r="B3204" s="17" t="s">
        <v>7800</v>
      </c>
      <c r="C3204" s="13">
        <v>41926</v>
      </c>
      <c r="D3204" s="13" t="s">
        <v>8465</v>
      </c>
      <c r="E3204" s="10" t="s">
        <v>3615</v>
      </c>
      <c r="F3204" s="10" t="s">
        <v>3615</v>
      </c>
      <c r="H3204" s="2" t="s">
        <v>1377</v>
      </c>
      <c r="L3204" s="18">
        <v>1</v>
      </c>
      <c r="N3204" s="13">
        <v>42027</v>
      </c>
      <c r="P3204" s="18" t="s">
        <v>1107</v>
      </c>
      <c r="Q3204" s="18">
        <v>0</v>
      </c>
      <c r="V3204" s="22">
        <f>3.31/5</f>
        <v>0.66200000000000003</v>
      </c>
      <c r="W3204" s="14" t="s">
        <v>7777</v>
      </c>
      <c r="X3204" s="3">
        <v>2</v>
      </c>
      <c r="Z3204" s="23">
        <v>6</v>
      </c>
      <c r="AB3204" s="18">
        <f t="shared" si="100"/>
        <v>2014</v>
      </c>
      <c r="AC3204" s="22">
        <f t="shared" si="101"/>
        <v>0.53100000000000003</v>
      </c>
    </row>
    <row r="3205" spans="1:29" ht="30">
      <c r="A3205" s="8" t="s">
        <v>10314</v>
      </c>
      <c r="B3205" s="17" t="s">
        <v>7800</v>
      </c>
      <c r="C3205" s="13">
        <v>41922</v>
      </c>
      <c r="D3205" s="13" t="s">
        <v>8465</v>
      </c>
      <c r="E3205" s="10" t="s">
        <v>10315</v>
      </c>
      <c r="F3205" s="10" t="s">
        <v>10315</v>
      </c>
      <c r="G3205" s="11" t="s">
        <v>10314</v>
      </c>
      <c r="H3205" s="2" t="s">
        <v>149</v>
      </c>
      <c r="L3205" s="18">
        <v>1</v>
      </c>
      <c r="N3205" s="13">
        <v>44378</v>
      </c>
      <c r="O3205" s="29">
        <v>2.2400000000000002</v>
      </c>
      <c r="P3205" s="18" t="s">
        <v>1107</v>
      </c>
      <c r="Q3205" s="18">
        <v>0</v>
      </c>
      <c r="V3205" s="22">
        <f>3.4/5</f>
        <v>0.67999999999999994</v>
      </c>
      <c r="W3205" s="14" t="s">
        <v>7777</v>
      </c>
      <c r="X3205" s="3">
        <v>3</v>
      </c>
      <c r="Z3205" s="23">
        <v>13.5</v>
      </c>
      <c r="AB3205" s="18">
        <f t="shared" si="100"/>
        <v>2014</v>
      </c>
      <c r="AC3205" s="22">
        <f t="shared" si="101"/>
        <v>0.6399999999999999</v>
      </c>
    </row>
    <row r="3206" spans="1:29">
      <c r="A3206" s="8" t="s">
        <v>4887</v>
      </c>
      <c r="B3206" s="17" t="s">
        <v>7800</v>
      </c>
      <c r="C3206" s="13">
        <v>41922</v>
      </c>
      <c r="D3206" s="13" t="s">
        <v>8465</v>
      </c>
      <c r="E3206" s="10" t="s">
        <v>3523</v>
      </c>
      <c r="F3206" s="10" t="s">
        <v>3523</v>
      </c>
      <c r="H3206" s="2" t="s">
        <v>80</v>
      </c>
      <c r="L3206" s="18">
        <v>1</v>
      </c>
      <c r="N3206" s="13">
        <v>42372</v>
      </c>
      <c r="O3206" s="29">
        <v>6.79</v>
      </c>
      <c r="P3206" s="18" t="s">
        <v>1107</v>
      </c>
      <c r="Q3206" s="18">
        <v>0</v>
      </c>
      <c r="U3206" s="22">
        <v>0.63</v>
      </c>
      <c r="V3206" s="22">
        <f>3.29/5</f>
        <v>0.65800000000000003</v>
      </c>
      <c r="W3206" s="14" t="s">
        <v>7777</v>
      </c>
      <c r="X3206" s="3">
        <v>3</v>
      </c>
      <c r="Z3206" s="23">
        <v>6.5</v>
      </c>
      <c r="AB3206" s="18">
        <f t="shared" si="100"/>
        <v>2014</v>
      </c>
      <c r="AC3206" s="22">
        <f t="shared" si="101"/>
        <v>0.6293333333333333</v>
      </c>
    </row>
    <row r="3207" spans="1:29">
      <c r="A3207" s="8" t="s">
        <v>3065</v>
      </c>
      <c r="B3207" s="17" t="s">
        <v>7800</v>
      </c>
      <c r="C3207" s="13">
        <v>41921</v>
      </c>
      <c r="D3207" s="13" t="s">
        <v>8465</v>
      </c>
      <c r="E3207" s="10" t="s">
        <v>3066</v>
      </c>
      <c r="F3207" s="10" t="s">
        <v>3067</v>
      </c>
      <c r="H3207" s="2" t="s">
        <v>67</v>
      </c>
      <c r="L3207" s="18">
        <v>1</v>
      </c>
      <c r="N3207" s="13">
        <v>42040</v>
      </c>
      <c r="P3207" s="18" t="s">
        <v>1107</v>
      </c>
      <c r="Q3207" s="18">
        <v>0</v>
      </c>
      <c r="U3207" s="22">
        <v>0.74</v>
      </c>
      <c r="V3207" s="22">
        <f>3.55/5</f>
        <v>0.71</v>
      </c>
      <c r="W3207" s="14" t="s">
        <v>7777</v>
      </c>
      <c r="X3207" s="3">
        <v>2</v>
      </c>
      <c r="Z3207" s="23">
        <v>5</v>
      </c>
      <c r="AB3207" s="18">
        <f t="shared" si="100"/>
        <v>2014</v>
      </c>
      <c r="AC3207" s="22">
        <f t="shared" si="101"/>
        <v>0.6166666666666667</v>
      </c>
    </row>
    <row r="3208" spans="1:29" ht="30">
      <c r="A3208" s="8" t="s">
        <v>3501</v>
      </c>
      <c r="B3208" s="17" t="s">
        <v>7800</v>
      </c>
      <c r="C3208" s="13">
        <v>41919</v>
      </c>
      <c r="D3208" s="13" t="s">
        <v>8465</v>
      </c>
      <c r="E3208" s="10" t="s">
        <v>3352</v>
      </c>
      <c r="F3208" s="10" t="s">
        <v>3370</v>
      </c>
      <c r="G3208" s="11" t="s">
        <v>3500</v>
      </c>
      <c r="H3208" s="2" t="s">
        <v>149</v>
      </c>
      <c r="L3208" s="18">
        <v>1</v>
      </c>
      <c r="N3208" s="13">
        <v>42338</v>
      </c>
      <c r="O3208" s="29">
        <v>3.74</v>
      </c>
      <c r="P3208" s="18" t="s">
        <v>1107</v>
      </c>
      <c r="Q3208" s="18">
        <v>0</v>
      </c>
      <c r="U3208" s="22">
        <v>0.71</v>
      </c>
      <c r="V3208" s="22">
        <f>3.52/5</f>
        <v>0.70399999999999996</v>
      </c>
      <c r="W3208" s="14" t="s">
        <v>7777</v>
      </c>
      <c r="X3208" s="3">
        <v>3</v>
      </c>
      <c r="Z3208" s="23">
        <v>6.5</v>
      </c>
      <c r="AB3208" s="18">
        <f t="shared" si="100"/>
        <v>2014</v>
      </c>
      <c r="AC3208" s="22">
        <f t="shared" si="101"/>
        <v>0.67133333333333323</v>
      </c>
    </row>
    <row r="3209" spans="1:29" ht="25.5">
      <c r="A3209" s="8" t="s">
        <v>5172</v>
      </c>
      <c r="B3209" s="17" t="s">
        <v>7800</v>
      </c>
      <c r="C3209" s="13">
        <v>41919</v>
      </c>
      <c r="D3209" s="13" t="s">
        <v>8465</v>
      </c>
      <c r="E3209" s="10" t="s">
        <v>3493</v>
      </c>
      <c r="F3209" s="10" t="s">
        <v>3959</v>
      </c>
      <c r="G3209" s="11" t="s">
        <v>4582</v>
      </c>
      <c r="H3209" s="2" t="s">
        <v>245</v>
      </c>
      <c r="L3209" s="18">
        <v>1</v>
      </c>
      <c r="N3209" s="13">
        <v>43363</v>
      </c>
      <c r="P3209" s="18" t="s">
        <v>1107</v>
      </c>
      <c r="Q3209" s="18">
        <v>0</v>
      </c>
      <c r="U3209" s="22">
        <v>0.71</v>
      </c>
      <c r="V3209" s="22">
        <f>3.46/5</f>
        <v>0.69199999999999995</v>
      </c>
      <c r="W3209" s="14" t="s">
        <v>7777</v>
      </c>
      <c r="X3209" s="3">
        <v>3</v>
      </c>
      <c r="Z3209" s="23">
        <v>17</v>
      </c>
      <c r="AB3209" s="18">
        <f t="shared" si="100"/>
        <v>2014</v>
      </c>
      <c r="AC3209" s="22">
        <f t="shared" si="101"/>
        <v>0.66733333333333322</v>
      </c>
    </row>
    <row r="3210" spans="1:29" ht="30">
      <c r="A3210" s="8" t="s">
        <v>4702</v>
      </c>
      <c r="B3210" s="17" t="s">
        <v>7763</v>
      </c>
      <c r="C3210" s="13">
        <v>41919</v>
      </c>
      <c r="D3210" s="13" t="s">
        <v>8465</v>
      </c>
      <c r="E3210" s="10" t="s">
        <v>4703</v>
      </c>
      <c r="F3210" s="10" t="s">
        <v>4703</v>
      </c>
      <c r="G3210" s="11" t="s">
        <v>4702</v>
      </c>
      <c r="H3210" s="2" t="s">
        <v>78</v>
      </c>
      <c r="L3210" s="18">
        <v>1</v>
      </c>
      <c r="M3210" s="14" t="s">
        <v>8462</v>
      </c>
      <c r="N3210" s="13">
        <v>43647</v>
      </c>
      <c r="O3210" s="29">
        <v>32.590000000000003</v>
      </c>
      <c r="P3210" s="18" t="s">
        <v>14</v>
      </c>
      <c r="Q3210" s="18">
        <v>0</v>
      </c>
      <c r="U3210" s="22">
        <v>0.73</v>
      </c>
      <c r="V3210" s="22">
        <f>2.76/5</f>
        <v>0.55199999999999994</v>
      </c>
      <c r="W3210" s="14" t="s">
        <v>1134</v>
      </c>
      <c r="X3210" s="3">
        <v>2</v>
      </c>
      <c r="Z3210" s="23">
        <v>3.5</v>
      </c>
      <c r="AB3210" s="18">
        <f t="shared" si="100"/>
        <v>2014</v>
      </c>
      <c r="AC3210" s="22">
        <f t="shared" si="101"/>
        <v>0.56066666666666665</v>
      </c>
    </row>
    <row r="3211" spans="1:29">
      <c r="A3211" s="8" t="s">
        <v>4433</v>
      </c>
      <c r="B3211" s="17" t="s">
        <v>7800</v>
      </c>
      <c r="C3211" s="13">
        <v>41918</v>
      </c>
      <c r="D3211" s="13" t="s">
        <v>8465</v>
      </c>
      <c r="E3211" s="10" t="s">
        <v>4434</v>
      </c>
      <c r="F3211" s="10" t="s">
        <v>4434</v>
      </c>
      <c r="H3211" s="2" t="s">
        <v>67</v>
      </c>
      <c r="L3211" s="18">
        <v>1</v>
      </c>
      <c r="N3211" s="13">
        <v>42026</v>
      </c>
      <c r="P3211" s="18" t="s">
        <v>1107</v>
      </c>
      <c r="Q3211" s="18">
        <v>0</v>
      </c>
      <c r="U3211" s="22">
        <v>0.75</v>
      </c>
      <c r="V3211" s="22">
        <f>3.61/5</f>
        <v>0.72199999999999998</v>
      </c>
      <c r="W3211" s="14" t="s">
        <v>7777</v>
      </c>
      <c r="X3211" s="3">
        <v>2</v>
      </c>
      <c r="Z3211" s="23">
        <v>3.5</v>
      </c>
      <c r="AB3211" s="18">
        <f t="shared" si="100"/>
        <v>2014</v>
      </c>
      <c r="AC3211" s="22">
        <f t="shared" si="101"/>
        <v>0.624</v>
      </c>
    </row>
    <row r="3212" spans="1:29">
      <c r="A3212" s="8" t="s">
        <v>3513</v>
      </c>
      <c r="B3212" s="17" t="s">
        <v>7800</v>
      </c>
      <c r="C3212" s="13">
        <v>41918</v>
      </c>
      <c r="D3212" s="13" t="s">
        <v>8465</v>
      </c>
      <c r="E3212" s="10" t="s">
        <v>3514</v>
      </c>
      <c r="F3212" s="10" t="s">
        <v>3514</v>
      </c>
      <c r="H3212" s="2" t="s">
        <v>67</v>
      </c>
      <c r="L3212" s="18">
        <v>1</v>
      </c>
      <c r="N3212" s="13">
        <v>42039</v>
      </c>
      <c r="P3212" s="18" t="s">
        <v>1107</v>
      </c>
      <c r="Q3212" s="18">
        <v>0</v>
      </c>
      <c r="U3212" s="22">
        <v>0.6</v>
      </c>
      <c r="V3212" s="22">
        <f>3.14/5</f>
        <v>0.628</v>
      </c>
      <c r="W3212" s="14" t="s">
        <v>7777</v>
      </c>
      <c r="X3212" s="3">
        <v>2</v>
      </c>
      <c r="Z3212" s="23">
        <v>1.5</v>
      </c>
      <c r="AB3212" s="18">
        <f t="shared" si="100"/>
        <v>2014</v>
      </c>
      <c r="AC3212" s="22">
        <f t="shared" si="101"/>
        <v>0.54266666666666674</v>
      </c>
    </row>
    <row r="3213" spans="1:29" ht="25.5">
      <c r="A3213" s="8" t="s">
        <v>8833</v>
      </c>
      <c r="B3213" s="17" t="s">
        <v>7749</v>
      </c>
      <c r="C3213" s="13">
        <v>41915</v>
      </c>
      <c r="D3213" s="13" t="s">
        <v>8465</v>
      </c>
      <c r="E3213" s="10" t="s">
        <v>86</v>
      </c>
      <c r="F3213" s="10" t="s">
        <v>1144</v>
      </c>
      <c r="G3213" s="11" t="s">
        <v>8832</v>
      </c>
      <c r="H3213" s="2" t="s">
        <v>459</v>
      </c>
      <c r="L3213" s="18">
        <v>1</v>
      </c>
      <c r="M3213" s="14" t="s">
        <v>10622</v>
      </c>
      <c r="N3213" s="13">
        <v>43988</v>
      </c>
      <c r="O3213" s="29">
        <v>13.01</v>
      </c>
      <c r="P3213" s="18" t="s">
        <v>14</v>
      </c>
      <c r="Q3213" s="18">
        <v>0</v>
      </c>
      <c r="U3213" s="22">
        <v>0.85</v>
      </c>
      <c r="V3213" s="22">
        <f>4.32/5</f>
        <v>0.8640000000000001</v>
      </c>
      <c r="X3213" s="3">
        <v>3</v>
      </c>
      <c r="Z3213" s="23">
        <v>5</v>
      </c>
      <c r="AB3213" s="18">
        <f t="shared" si="100"/>
        <v>2014</v>
      </c>
      <c r="AC3213" s="22">
        <f t="shared" si="101"/>
        <v>0.77133333333333332</v>
      </c>
    </row>
    <row r="3214" spans="1:29" ht="25.5">
      <c r="A3214" s="8" t="s">
        <v>4278</v>
      </c>
      <c r="B3214" s="17" t="s">
        <v>7800</v>
      </c>
      <c r="C3214" s="13">
        <v>41915</v>
      </c>
      <c r="D3214" s="13" t="s">
        <v>8465</v>
      </c>
      <c r="E3214" s="10" t="s">
        <v>4279</v>
      </c>
      <c r="F3214" s="10" t="s">
        <v>4279</v>
      </c>
      <c r="H3214" s="2" t="s">
        <v>143</v>
      </c>
      <c r="L3214" s="18">
        <v>1</v>
      </c>
      <c r="N3214" s="13">
        <v>41728</v>
      </c>
      <c r="P3214" s="18" t="s">
        <v>1107</v>
      </c>
      <c r="Q3214" s="18">
        <v>0</v>
      </c>
      <c r="V3214" s="22">
        <f>2.67/5</f>
        <v>0.53400000000000003</v>
      </c>
      <c r="W3214" s="14" t="s">
        <v>7777</v>
      </c>
      <c r="X3214" s="3">
        <v>2</v>
      </c>
      <c r="Z3214" s="23">
        <v>1.5</v>
      </c>
      <c r="AB3214" s="18">
        <f t="shared" si="100"/>
        <v>2014</v>
      </c>
      <c r="AC3214" s="22">
        <f t="shared" si="101"/>
        <v>0.46700000000000003</v>
      </c>
    </row>
    <row r="3215" spans="1:29">
      <c r="A3215" s="8" t="s">
        <v>490</v>
      </c>
      <c r="B3215" s="17" t="s">
        <v>7800</v>
      </c>
      <c r="C3215" s="13">
        <v>41914</v>
      </c>
      <c r="D3215" s="13" t="s">
        <v>8465</v>
      </c>
      <c r="E3215" s="10" t="s">
        <v>170</v>
      </c>
      <c r="F3215" s="10" t="s">
        <v>170</v>
      </c>
      <c r="G3215" s="11" t="s">
        <v>450</v>
      </c>
      <c r="H3215" s="2" t="s">
        <v>2138</v>
      </c>
      <c r="L3215" s="18">
        <v>1</v>
      </c>
      <c r="N3215" s="13">
        <v>43439</v>
      </c>
      <c r="P3215" s="18" t="s">
        <v>1107</v>
      </c>
      <c r="Q3215" s="18">
        <v>0</v>
      </c>
      <c r="V3215" s="22">
        <f>3.96/5</f>
        <v>0.79200000000000004</v>
      </c>
      <c r="W3215" s="14" t="s">
        <v>7777</v>
      </c>
      <c r="X3215" s="3">
        <v>3</v>
      </c>
      <c r="Z3215" s="23">
        <v>1</v>
      </c>
      <c r="AB3215" s="18">
        <f t="shared" si="100"/>
        <v>2014</v>
      </c>
      <c r="AC3215" s="22">
        <f t="shared" si="101"/>
        <v>0.69599999999999995</v>
      </c>
    </row>
    <row r="3216" spans="1:29" ht="25.5">
      <c r="A3216" s="8" t="s">
        <v>11362</v>
      </c>
      <c r="B3216" s="17" t="s">
        <v>7749</v>
      </c>
      <c r="C3216" s="13">
        <v>41913</v>
      </c>
      <c r="D3216" s="13" t="s">
        <v>8463</v>
      </c>
      <c r="E3216" s="10" t="s">
        <v>86</v>
      </c>
      <c r="F3216" s="10" t="s">
        <v>1794</v>
      </c>
      <c r="G3216" s="11" t="s">
        <v>10286</v>
      </c>
      <c r="H3216" s="2" t="s">
        <v>78</v>
      </c>
      <c r="K3216" s="18">
        <v>2</v>
      </c>
      <c r="L3216" s="18">
        <v>0</v>
      </c>
      <c r="Q3216" s="18">
        <v>0</v>
      </c>
      <c r="V3216" s="22">
        <f>4.09/5</f>
        <v>0.81799999999999995</v>
      </c>
      <c r="X3216" s="3">
        <v>3</v>
      </c>
      <c r="Z3216" s="23">
        <v>20.5</v>
      </c>
      <c r="AB3216" s="18">
        <f t="shared" si="100"/>
        <v>2014</v>
      </c>
      <c r="AC3216" s="22">
        <f t="shared" si="101"/>
        <v>0.70899999999999996</v>
      </c>
    </row>
    <row r="3217" spans="1:29" ht="30">
      <c r="A3217" s="8" t="s">
        <v>8826</v>
      </c>
      <c r="B3217" s="17" t="s">
        <v>7800</v>
      </c>
      <c r="C3217" s="13">
        <v>41913</v>
      </c>
      <c r="D3217" s="13" t="s">
        <v>8465</v>
      </c>
      <c r="E3217" s="10" t="s">
        <v>3780</v>
      </c>
      <c r="F3217" s="10" t="s">
        <v>3780</v>
      </c>
      <c r="G3217" s="11" t="s">
        <v>5612</v>
      </c>
      <c r="H3217" s="2" t="s">
        <v>151</v>
      </c>
      <c r="L3217" s="18">
        <v>1</v>
      </c>
      <c r="N3217" s="13">
        <v>43987</v>
      </c>
      <c r="O3217" s="29">
        <v>0.62</v>
      </c>
      <c r="P3217" s="18" t="s">
        <v>1107</v>
      </c>
      <c r="Q3217" s="18">
        <v>0</v>
      </c>
      <c r="V3217" s="22">
        <f>3.89/5</f>
        <v>0.77800000000000002</v>
      </c>
      <c r="W3217" s="14" t="s">
        <v>8765</v>
      </c>
      <c r="X3217" s="3">
        <v>3</v>
      </c>
      <c r="Z3217" s="23">
        <v>3.5</v>
      </c>
      <c r="AB3217" s="18">
        <f t="shared" si="100"/>
        <v>2014</v>
      </c>
      <c r="AC3217" s="22">
        <f t="shared" si="101"/>
        <v>0.68900000000000006</v>
      </c>
    </row>
    <row r="3218" spans="1:29">
      <c r="A3218" s="8" t="s">
        <v>5005</v>
      </c>
      <c r="B3218" s="17" t="s">
        <v>7800</v>
      </c>
      <c r="C3218" s="13">
        <v>41913</v>
      </c>
      <c r="D3218" s="13" t="s">
        <v>8465</v>
      </c>
      <c r="E3218" s="10" t="s">
        <v>5006</v>
      </c>
      <c r="F3218" s="10" t="s">
        <v>5006</v>
      </c>
      <c r="H3218" s="2" t="s">
        <v>1061</v>
      </c>
      <c r="L3218" s="18">
        <v>1</v>
      </c>
      <c r="N3218" s="13">
        <v>42023</v>
      </c>
      <c r="P3218" s="18" t="s">
        <v>1107</v>
      </c>
      <c r="Q3218" s="18">
        <v>0</v>
      </c>
      <c r="U3218" s="22">
        <v>0.64</v>
      </c>
      <c r="V3218" s="22">
        <f>3.59/5</f>
        <v>0.71799999999999997</v>
      </c>
      <c r="W3218" s="14" t="s">
        <v>7777</v>
      </c>
      <c r="X3218" s="3">
        <v>3</v>
      </c>
      <c r="Z3218" s="23">
        <v>6.5</v>
      </c>
      <c r="AB3218" s="18">
        <f t="shared" si="100"/>
        <v>2014</v>
      </c>
      <c r="AC3218" s="22">
        <f t="shared" si="101"/>
        <v>0.65266666666666673</v>
      </c>
    </row>
    <row r="3219" spans="1:29">
      <c r="A3219" s="8" t="s">
        <v>12903</v>
      </c>
      <c r="B3219" s="17" t="s">
        <v>7766</v>
      </c>
      <c r="C3219" s="13">
        <v>41912</v>
      </c>
      <c r="D3219" s="13" t="s">
        <v>8465</v>
      </c>
      <c r="E3219" s="10" t="s">
        <v>3116</v>
      </c>
      <c r="F3219" s="10" t="s">
        <v>10641</v>
      </c>
      <c r="G3219" s="11" t="s">
        <v>10642</v>
      </c>
      <c r="H3219" s="2" t="s">
        <v>150</v>
      </c>
      <c r="L3219" s="18">
        <v>0</v>
      </c>
      <c r="Q3219" s="18">
        <v>0</v>
      </c>
      <c r="U3219" s="22">
        <v>0.86</v>
      </c>
      <c r="V3219" s="22">
        <f>4.24/5</f>
        <v>0.84800000000000009</v>
      </c>
      <c r="X3219" s="3">
        <v>3</v>
      </c>
      <c r="Y3219" s="18">
        <v>1</v>
      </c>
      <c r="Z3219" s="23">
        <v>18</v>
      </c>
      <c r="AB3219" s="18">
        <f t="shared" si="100"/>
        <v>2014</v>
      </c>
      <c r="AC3219" s="22">
        <f t="shared" si="101"/>
        <v>0.76933333333333342</v>
      </c>
    </row>
    <row r="3220" spans="1:29" ht="25.5">
      <c r="A3220" s="8" t="s">
        <v>5988</v>
      </c>
      <c r="B3220" s="17" t="s">
        <v>7759</v>
      </c>
      <c r="C3220" s="13">
        <v>41912</v>
      </c>
      <c r="D3220" s="13" t="s">
        <v>8465</v>
      </c>
      <c r="E3220" s="10" t="s">
        <v>2461</v>
      </c>
      <c r="F3220" s="10" t="s">
        <v>479</v>
      </c>
      <c r="G3220" s="11" t="s">
        <v>1171</v>
      </c>
      <c r="H3220" s="2" t="s">
        <v>459</v>
      </c>
      <c r="L3220" s="18">
        <v>1</v>
      </c>
      <c r="M3220" s="14" t="s">
        <v>8462</v>
      </c>
      <c r="N3220" s="13">
        <v>43606</v>
      </c>
      <c r="O3220" s="29">
        <v>20</v>
      </c>
      <c r="P3220" s="18" t="s">
        <v>14</v>
      </c>
      <c r="Q3220" s="18">
        <v>0</v>
      </c>
      <c r="U3220" s="22">
        <v>0.85</v>
      </c>
      <c r="V3220" s="22">
        <f>4.04/5</f>
        <v>0.80800000000000005</v>
      </c>
      <c r="X3220" s="3">
        <v>3</v>
      </c>
      <c r="Z3220" s="23">
        <v>10</v>
      </c>
      <c r="AB3220" s="18">
        <f t="shared" si="100"/>
        <v>2014</v>
      </c>
      <c r="AC3220" s="22">
        <f t="shared" si="101"/>
        <v>0.75266666666666671</v>
      </c>
    </row>
    <row r="3221" spans="1:29">
      <c r="A3221" s="8" t="s">
        <v>8631</v>
      </c>
      <c r="B3221" s="17" t="s">
        <v>7800</v>
      </c>
      <c r="C3221" s="13">
        <v>41912</v>
      </c>
      <c r="D3221" s="13" t="s">
        <v>8465</v>
      </c>
      <c r="E3221" s="10" t="s">
        <v>8634</v>
      </c>
      <c r="F3221" s="10" t="s">
        <v>8634</v>
      </c>
      <c r="H3221" s="2" t="s">
        <v>27</v>
      </c>
      <c r="L3221" s="18">
        <v>1</v>
      </c>
      <c r="N3221" s="13">
        <v>43955</v>
      </c>
      <c r="O3221" s="29">
        <v>1.49</v>
      </c>
      <c r="P3221" s="18" t="s">
        <v>1107</v>
      </c>
      <c r="Q3221" s="18">
        <v>0</v>
      </c>
      <c r="U3221" s="22">
        <v>0.76</v>
      </c>
      <c r="V3221" s="22">
        <f>4.05/5</f>
        <v>0.80999999999999994</v>
      </c>
      <c r="W3221" s="14" t="s">
        <v>7777</v>
      </c>
      <c r="X3221" s="3">
        <v>3</v>
      </c>
      <c r="Z3221" s="23">
        <v>13</v>
      </c>
      <c r="AB3221" s="18">
        <f t="shared" si="100"/>
        <v>2014</v>
      </c>
      <c r="AC3221" s="22">
        <f t="shared" si="101"/>
        <v>0.72333333333333327</v>
      </c>
    </row>
    <row r="3222" spans="1:29" ht="25.5">
      <c r="A3222" s="8" t="s">
        <v>15020</v>
      </c>
      <c r="B3222" s="17" t="s">
        <v>7800</v>
      </c>
      <c r="C3222" s="13">
        <v>41912</v>
      </c>
      <c r="D3222" s="13" t="s">
        <v>8465</v>
      </c>
      <c r="E3222" s="10" t="s">
        <v>6174</v>
      </c>
      <c r="F3222" s="10" t="s">
        <v>6174</v>
      </c>
      <c r="G3222" s="11" t="s">
        <v>8255</v>
      </c>
      <c r="H3222" s="2" t="s">
        <v>67</v>
      </c>
      <c r="L3222" s="18">
        <v>1</v>
      </c>
      <c r="N3222" s="13">
        <v>43930</v>
      </c>
      <c r="O3222" s="29">
        <v>0</v>
      </c>
      <c r="P3222" s="18" t="s">
        <v>1107</v>
      </c>
      <c r="Q3222" s="18">
        <v>0</v>
      </c>
      <c r="U3222" s="22">
        <v>0.77</v>
      </c>
      <c r="V3222" s="22">
        <f>3.78/5</f>
        <v>0.75600000000000001</v>
      </c>
      <c r="W3222" s="14" t="s">
        <v>7097</v>
      </c>
      <c r="X3222" s="3">
        <v>3</v>
      </c>
      <c r="Z3222" s="23">
        <v>12.5</v>
      </c>
      <c r="AB3222" s="18">
        <f t="shared" si="100"/>
        <v>2014</v>
      </c>
      <c r="AC3222" s="22">
        <f t="shared" si="101"/>
        <v>0.70866666666666667</v>
      </c>
    </row>
    <row r="3223" spans="1:29" ht="25.5">
      <c r="A3223" s="8" t="s">
        <v>4690</v>
      </c>
      <c r="B3223" s="17" t="s">
        <v>7800</v>
      </c>
      <c r="C3223" s="13">
        <v>41912</v>
      </c>
      <c r="D3223" s="13" t="s">
        <v>8465</v>
      </c>
      <c r="E3223" s="10" t="s">
        <v>4691</v>
      </c>
      <c r="F3223" s="10" t="s">
        <v>4691</v>
      </c>
      <c r="H3223" s="2" t="s">
        <v>149</v>
      </c>
      <c r="L3223" s="18">
        <v>1</v>
      </c>
      <c r="N3223" s="13">
        <v>42161</v>
      </c>
      <c r="P3223" s="18" t="s">
        <v>1107</v>
      </c>
      <c r="Q3223" s="18">
        <v>0</v>
      </c>
      <c r="U3223" s="22">
        <v>0.65</v>
      </c>
      <c r="V3223" s="22">
        <f>3.52/5</f>
        <v>0.70399999999999996</v>
      </c>
      <c r="W3223" s="14" t="s">
        <v>7777</v>
      </c>
      <c r="X3223" s="3">
        <v>3</v>
      </c>
      <c r="Z3223" s="23">
        <v>27</v>
      </c>
      <c r="AB3223" s="18">
        <f t="shared" si="100"/>
        <v>2014</v>
      </c>
      <c r="AC3223" s="22">
        <f t="shared" si="101"/>
        <v>0.65133333333333343</v>
      </c>
    </row>
    <row r="3224" spans="1:29" ht="38.25">
      <c r="A3224" s="8" t="s">
        <v>10666</v>
      </c>
      <c r="B3224" s="17" t="s">
        <v>7759</v>
      </c>
      <c r="C3224" s="13">
        <v>41912</v>
      </c>
      <c r="D3224" s="13" t="s">
        <v>8465</v>
      </c>
      <c r="E3224" s="10" t="s">
        <v>3568</v>
      </c>
      <c r="F3224" s="10" t="s">
        <v>6066</v>
      </c>
      <c r="H3224" s="2" t="s">
        <v>64</v>
      </c>
      <c r="L3224" s="18">
        <v>0</v>
      </c>
      <c r="Q3224" s="18">
        <v>0</v>
      </c>
      <c r="U3224" s="22">
        <v>0.56000000000000005</v>
      </c>
      <c r="V3224" s="22">
        <f>3.32/5</f>
        <v>0.66399999999999992</v>
      </c>
      <c r="X3224" s="3">
        <v>3</v>
      </c>
      <c r="Y3224" s="18">
        <v>1</v>
      </c>
      <c r="Z3224" s="23">
        <v>1</v>
      </c>
      <c r="AB3224" s="18">
        <f t="shared" si="100"/>
        <v>2014</v>
      </c>
      <c r="AC3224" s="22">
        <f t="shared" si="101"/>
        <v>0.60799999999999998</v>
      </c>
    </row>
    <row r="3225" spans="1:29">
      <c r="A3225" s="8" t="s">
        <v>9842</v>
      </c>
      <c r="B3225" s="17" t="s">
        <v>7760</v>
      </c>
      <c r="C3225" s="13">
        <v>41912</v>
      </c>
      <c r="D3225" s="13" t="s">
        <v>8465</v>
      </c>
      <c r="E3225" s="10" t="s">
        <v>1062</v>
      </c>
      <c r="F3225" s="10" t="s">
        <v>1167</v>
      </c>
      <c r="H3225" s="2" t="s">
        <v>75</v>
      </c>
      <c r="L3225" s="18">
        <v>1</v>
      </c>
      <c r="N3225" s="13">
        <v>44272</v>
      </c>
      <c r="O3225" s="29">
        <v>2.99</v>
      </c>
      <c r="P3225" s="18" t="s">
        <v>1107</v>
      </c>
      <c r="Q3225" s="18">
        <v>0</v>
      </c>
      <c r="U3225" s="22">
        <v>0.53</v>
      </c>
      <c r="V3225" s="22">
        <f>3.25/5</f>
        <v>0.65</v>
      </c>
      <c r="X3225" s="3">
        <v>2</v>
      </c>
      <c r="Z3225" s="23">
        <v>41</v>
      </c>
      <c r="AB3225" s="18">
        <f t="shared" si="100"/>
        <v>2014</v>
      </c>
      <c r="AC3225" s="22">
        <f t="shared" si="101"/>
        <v>0.52666666666666673</v>
      </c>
    </row>
    <row r="3226" spans="1:29" ht="30">
      <c r="A3226" s="8" t="s">
        <v>5579</v>
      </c>
      <c r="B3226" s="17" t="s">
        <v>7800</v>
      </c>
      <c r="C3226" s="13">
        <v>41912</v>
      </c>
      <c r="D3226" s="13" t="s">
        <v>8465</v>
      </c>
      <c r="E3226" s="10" t="s">
        <v>5580</v>
      </c>
      <c r="F3226" s="10" t="s">
        <v>5580</v>
      </c>
      <c r="H3226" s="2" t="s">
        <v>1050</v>
      </c>
      <c r="L3226" s="18">
        <v>1</v>
      </c>
      <c r="N3226" s="13">
        <v>42023</v>
      </c>
      <c r="P3226" s="18" t="s">
        <v>1107</v>
      </c>
      <c r="Q3226" s="18">
        <v>0</v>
      </c>
      <c r="U3226" s="22">
        <v>0.69</v>
      </c>
      <c r="V3226" s="22">
        <f>2.69/5</f>
        <v>0.53800000000000003</v>
      </c>
      <c r="W3226" s="14" t="s">
        <v>7777</v>
      </c>
      <c r="X3226" s="3">
        <v>3</v>
      </c>
      <c r="Z3226" s="23">
        <v>3.5</v>
      </c>
      <c r="AB3226" s="18">
        <f t="shared" si="100"/>
        <v>2014</v>
      </c>
      <c r="AC3226" s="22">
        <f t="shared" si="101"/>
        <v>0.60933333333333328</v>
      </c>
    </row>
    <row r="3227" spans="1:29">
      <c r="A3227" s="8" t="s">
        <v>4625</v>
      </c>
      <c r="B3227" s="17" t="s">
        <v>7800</v>
      </c>
      <c r="C3227" s="13">
        <v>41911</v>
      </c>
      <c r="D3227" s="13" t="s">
        <v>8465</v>
      </c>
      <c r="E3227" s="10" t="s">
        <v>1047</v>
      </c>
      <c r="F3227" s="10" t="s">
        <v>4535</v>
      </c>
      <c r="H3227" s="2" t="s">
        <v>151</v>
      </c>
      <c r="L3227" s="18">
        <v>1</v>
      </c>
      <c r="N3227" s="13">
        <v>42045</v>
      </c>
      <c r="O3227" s="29">
        <v>2.4900000000000002</v>
      </c>
      <c r="P3227" s="18" t="s">
        <v>1107</v>
      </c>
      <c r="Q3227" s="18">
        <v>0</v>
      </c>
      <c r="U3227" s="22">
        <v>0.73</v>
      </c>
      <c r="V3227" s="22">
        <f>3.5/5</f>
        <v>0.7</v>
      </c>
      <c r="W3227" s="14" t="s">
        <v>7777</v>
      </c>
      <c r="X3227" s="3">
        <v>3</v>
      </c>
      <c r="Z3227" s="23">
        <v>7</v>
      </c>
      <c r="AB3227" s="18">
        <f t="shared" si="100"/>
        <v>2014</v>
      </c>
      <c r="AC3227" s="22">
        <f t="shared" si="101"/>
        <v>0.67666666666666664</v>
      </c>
    </row>
    <row r="3228" spans="1:29" ht="25.5">
      <c r="A3228" s="8" t="s">
        <v>8960</v>
      </c>
      <c r="B3228" s="17" t="s">
        <v>7800</v>
      </c>
      <c r="C3228" s="13">
        <v>41907</v>
      </c>
      <c r="D3228" s="13" t="s">
        <v>8465</v>
      </c>
      <c r="E3228" s="10" t="s">
        <v>3159</v>
      </c>
      <c r="F3228" s="10" t="s">
        <v>8961</v>
      </c>
      <c r="H3228" s="2" t="s">
        <v>149</v>
      </c>
      <c r="L3228" s="18">
        <v>1</v>
      </c>
      <c r="N3228" s="13">
        <v>44007</v>
      </c>
      <c r="O3228" s="29">
        <v>0.99</v>
      </c>
      <c r="P3228" s="18" t="s">
        <v>1107</v>
      </c>
      <c r="Q3228" s="18">
        <v>0</v>
      </c>
      <c r="V3228" s="22">
        <f>4.22/5</f>
        <v>0.84399999999999997</v>
      </c>
      <c r="W3228" s="14" t="s">
        <v>7777</v>
      </c>
      <c r="X3228" s="3">
        <v>3</v>
      </c>
      <c r="Z3228" s="23">
        <v>34</v>
      </c>
      <c r="AB3228" s="18">
        <f t="shared" si="100"/>
        <v>2014</v>
      </c>
      <c r="AC3228" s="22">
        <f t="shared" si="101"/>
        <v>0.72199999999999998</v>
      </c>
    </row>
    <row r="3229" spans="1:29">
      <c r="A3229" s="8" t="s">
        <v>4779</v>
      </c>
      <c r="B3229" s="17" t="s">
        <v>7800</v>
      </c>
      <c r="C3229" s="13">
        <v>41907</v>
      </c>
      <c r="D3229" s="13" t="s">
        <v>8465</v>
      </c>
      <c r="E3229" s="10" t="s">
        <v>3339</v>
      </c>
      <c r="F3229" s="10" t="s">
        <v>4780</v>
      </c>
      <c r="G3229" s="11" t="s">
        <v>397</v>
      </c>
      <c r="H3229" s="2" t="s">
        <v>21</v>
      </c>
      <c r="L3229" s="18">
        <v>1</v>
      </c>
      <c r="N3229" s="13">
        <v>43363</v>
      </c>
      <c r="O3229" s="29">
        <v>1.49</v>
      </c>
      <c r="P3229" s="18" t="s">
        <v>1107</v>
      </c>
      <c r="Q3229" s="18">
        <v>0</v>
      </c>
      <c r="V3229" s="22">
        <f>3.73/5</f>
        <v>0.746</v>
      </c>
      <c r="W3229" s="14" t="s">
        <v>7777</v>
      </c>
      <c r="X3229" s="3">
        <v>3</v>
      </c>
      <c r="Z3229" s="23">
        <v>0.42</v>
      </c>
      <c r="AB3229" s="18">
        <f t="shared" si="100"/>
        <v>2014</v>
      </c>
      <c r="AC3229" s="22">
        <f t="shared" si="101"/>
        <v>0.67300000000000004</v>
      </c>
    </row>
    <row r="3230" spans="1:29" ht="45">
      <c r="A3230" s="8" t="s">
        <v>3967</v>
      </c>
      <c r="B3230" s="17" t="s">
        <v>7800</v>
      </c>
      <c r="C3230" s="13">
        <v>41905</v>
      </c>
      <c r="D3230" s="13" t="s">
        <v>8465</v>
      </c>
      <c r="E3230" s="10" t="s">
        <v>1156</v>
      </c>
      <c r="F3230" s="10" t="s">
        <v>3968</v>
      </c>
      <c r="G3230" s="11" t="s">
        <v>3967</v>
      </c>
      <c r="H3230" s="2" t="s">
        <v>1059</v>
      </c>
      <c r="L3230" s="18">
        <v>1</v>
      </c>
      <c r="N3230" s="13">
        <v>43150</v>
      </c>
      <c r="O3230" s="29">
        <v>4.99</v>
      </c>
      <c r="P3230" s="18" t="s">
        <v>1107</v>
      </c>
      <c r="Q3230" s="18">
        <v>0</v>
      </c>
      <c r="V3230" s="22">
        <f>3.37/5</f>
        <v>0.67400000000000004</v>
      </c>
      <c r="W3230" s="14" t="s">
        <v>7777</v>
      </c>
      <c r="X3230" s="3">
        <v>3</v>
      </c>
      <c r="Z3230" s="23">
        <v>6</v>
      </c>
      <c r="AB3230" s="18">
        <f t="shared" si="100"/>
        <v>2014</v>
      </c>
      <c r="AC3230" s="22">
        <f t="shared" si="101"/>
        <v>0.63700000000000001</v>
      </c>
    </row>
    <row r="3231" spans="1:29" ht="25.5">
      <c r="A3231" s="8" t="s">
        <v>5912</v>
      </c>
      <c r="B3231" s="17" t="s">
        <v>7759</v>
      </c>
      <c r="C3231" s="13">
        <v>41905</v>
      </c>
      <c r="D3231" s="13" t="s">
        <v>8465</v>
      </c>
      <c r="E3231" s="10" t="s">
        <v>2335</v>
      </c>
      <c r="F3231" s="10" t="s">
        <v>1566</v>
      </c>
      <c r="G3231" s="11" t="s">
        <v>5863</v>
      </c>
      <c r="H3231" s="2" t="s">
        <v>149</v>
      </c>
      <c r="L3231" s="18">
        <v>1</v>
      </c>
      <c r="M3231" s="14" t="s">
        <v>8462</v>
      </c>
      <c r="N3231" s="13">
        <v>43559</v>
      </c>
      <c r="O3231" s="29">
        <v>19.98</v>
      </c>
      <c r="P3231" s="18" t="s">
        <v>14</v>
      </c>
      <c r="Q3231" s="18">
        <v>0</v>
      </c>
      <c r="U3231" s="22">
        <v>0.7</v>
      </c>
      <c r="V3231" s="22">
        <f>3.97/5</f>
        <v>0.79400000000000004</v>
      </c>
      <c r="X3231" s="3">
        <v>2</v>
      </c>
      <c r="Z3231" s="23">
        <v>39</v>
      </c>
      <c r="AB3231" s="18">
        <f t="shared" si="100"/>
        <v>2014</v>
      </c>
      <c r="AC3231" s="22">
        <f t="shared" si="101"/>
        <v>0.63133333333333341</v>
      </c>
    </row>
    <row r="3232" spans="1:29">
      <c r="A3232" s="8" t="s">
        <v>5170</v>
      </c>
      <c r="B3232" s="17" t="s">
        <v>7800</v>
      </c>
      <c r="C3232" s="13">
        <v>41905</v>
      </c>
      <c r="D3232" s="13" t="s">
        <v>8465</v>
      </c>
      <c r="E3232" s="10" t="s">
        <v>5167</v>
      </c>
      <c r="F3232" s="10" t="s">
        <v>5167</v>
      </c>
      <c r="G3232" s="11" t="s">
        <v>5166</v>
      </c>
      <c r="H3232" s="2" t="s">
        <v>1143</v>
      </c>
      <c r="L3232" s="18">
        <v>1</v>
      </c>
      <c r="N3232" s="13">
        <v>42752</v>
      </c>
      <c r="P3232" s="18" t="s">
        <v>1107</v>
      </c>
      <c r="Q3232" s="18">
        <v>0</v>
      </c>
      <c r="U3232" s="22">
        <v>0.7</v>
      </c>
      <c r="V3232" s="22">
        <f>3.32/5</f>
        <v>0.66399999999999992</v>
      </c>
      <c r="W3232" s="14" t="s">
        <v>7777</v>
      </c>
      <c r="X3232" s="3">
        <v>2</v>
      </c>
      <c r="Z3232" s="23">
        <v>9</v>
      </c>
      <c r="AB3232" s="18">
        <f t="shared" si="100"/>
        <v>2014</v>
      </c>
      <c r="AC3232" s="22">
        <f t="shared" si="101"/>
        <v>0.58799999999999997</v>
      </c>
    </row>
    <row r="3233" spans="1:29" ht="30">
      <c r="A3233" s="8" t="s">
        <v>12974</v>
      </c>
      <c r="B3233" s="17" t="s">
        <v>7743</v>
      </c>
      <c r="C3233" s="13">
        <v>41905</v>
      </c>
      <c r="D3233" s="13" t="s">
        <v>8465</v>
      </c>
      <c r="E3233" s="10" t="s">
        <v>2317</v>
      </c>
      <c r="F3233" s="10" t="s">
        <v>11989</v>
      </c>
      <c r="G3233" s="11" t="s">
        <v>12964</v>
      </c>
      <c r="H3233" s="2" t="s">
        <v>80</v>
      </c>
      <c r="L3233" s="18">
        <v>1</v>
      </c>
      <c r="M3233" s="14" t="s">
        <v>11021</v>
      </c>
      <c r="N3233" s="13">
        <v>44885</v>
      </c>
      <c r="O3233" s="29">
        <v>0</v>
      </c>
      <c r="P3233" s="18" t="s">
        <v>14</v>
      </c>
      <c r="Q3233" s="18">
        <v>0</v>
      </c>
      <c r="U3233" s="22">
        <v>0.73</v>
      </c>
      <c r="V3233" s="22">
        <f>3.72/5</f>
        <v>0.74399999999999999</v>
      </c>
      <c r="W3233" s="14" t="s">
        <v>12975</v>
      </c>
      <c r="X3233" s="3">
        <v>1</v>
      </c>
      <c r="Z3233" s="23">
        <v>7</v>
      </c>
      <c r="AB3233" s="18">
        <f t="shared" si="100"/>
        <v>2014</v>
      </c>
      <c r="AC3233" s="22">
        <f t="shared" si="101"/>
        <v>0.55799999999999994</v>
      </c>
    </row>
    <row r="3234" spans="1:29">
      <c r="A3234" s="8" t="s">
        <v>5544</v>
      </c>
      <c r="B3234" s="17" t="s">
        <v>7800</v>
      </c>
      <c r="C3234" s="13">
        <v>41901</v>
      </c>
      <c r="D3234" s="13" t="s">
        <v>8465</v>
      </c>
      <c r="E3234" s="10" t="s">
        <v>1163</v>
      </c>
      <c r="F3234" s="10" t="s">
        <v>1718</v>
      </c>
      <c r="G3234" s="11" t="s">
        <v>1719</v>
      </c>
      <c r="H3234" s="2" t="s">
        <v>1720</v>
      </c>
      <c r="L3234" s="18">
        <v>1</v>
      </c>
      <c r="N3234" s="13">
        <v>43152</v>
      </c>
      <c r="P3234" s="18" t="s">
        <v>1107</v>
      </c>
      <c r="Q3234" s="18">
        <v>0</v>
      </c>
      <c r="U3234" s="22">
        <v>0.8</v>
      </c>
      <c r="V3234" s="22">
        <f>3.92/5</f>
        <v>0.78400000000000003</v>
      </c>
      <c r="W3234" s="14" t="s">
        <v>7777</v>
      </c>
      <c r="X3234" s="3">
        <v>3</v>
      </c>
      <c r="Z3234" s="23">
        <v>39.5</v>
      </c>
      <c r="AB3234" s="18">
        <f t="shared" si="100"/>
        <v>2014</v>
      </c>
      <c r="AC3234" s="22">
        <f t="shared" si="101"/>
        <v>0.72800000000000009</v>
      </c>
    </row>
    <row r="3235" spans="1:29">
      <c r="A3235" s="8" t="s">
        <v>4967</v>
      </c>
      <c r="B3235" s="17" t="s">
        <v>7800</v>
      </c>
      <c r="C3235" s="13">
        <v>41900</v>
      </c>
      <c r="D3235" s="13" t="s">
        <v>8465</v>
      </c>
      <c r="E3235" s="10" t="s">
        <v>3453</v>
      </c>
      <c r="F3235" s="10" t="s">
        <v>4966</v>
      </c>
      <c r="G3235" s="11" t="s">
        <v>606</v>
      </c>
      <c r="H3235" s="2" t="s">
        <v>1720</v>
      </c>
      <c r="L3235" s="18">
        <v>1</v>
      </c>
      <c r="N3235" s="13">
        <v>42498</v>
      </c>
      <c r="P3235" s="18" t="s">
        <v>1107</v>
      </c>
      <c r="Q3235" s="18">
        <v>0</v>
      </c>
      <c r="U3235" s="22">
        <v>0.83</v>
      </c>
      <c r="V3235" s="22">
        <f>4.01/5</f>
        <v>0.80199999999999994</v>
      </c>
      <c r="W3235" s="14" t="s">
        <v>7777</v>
      </c>
      <c r="X3235" s="3">
        <v>3</v>
      </c>
      <c r="Z3235" s="23">
        <v>21</v>
      </c>
      <c r="AB3235" s="18">
        <f t="shared" si="100"/>
        <v>2014</v>
      </c>
      <c r="AC3235" s="22">
        <f t="shared" si="101"/>
        <v>0.74399999999999988</v>
      </c>
    </row>
    <row r="3236" spans="1:29">
      <c r="A3236" s="8" t="s">
        <v>7029</v>
      </c>
      <c r="B3236" s="17" t="s">
        <v>7800</v>
      </c>
      <c r="C3236" s="13">
        <v>41900</v>
      </c>
      <c r="D3236" s="13" t="s">
        <v>8465</v>
      </c>
      <c r="E3236" s="10" t="s">
        <v>3063</v>
      </c>
      <c r="F3236" s="10" t="s">
        <v>7030</v>
      </c>
      <c r="H3236" s="2" t="s">
        <v>1518</v>
      </c>
      <c r="L3236" s="18">
        <v>1</v>
      </c>
      <c r="O3236" s="29">
        <v>0</v>
      </c>
      <c r="P3236" s="18" t="s">
        <v>1107</v>
      </c>
      <c r="Q3236" s="18">
        <v>0</v>
      </c>
      <c r="U3236" s="22">
        <v>0.74</v>
      </c>
      <c r="V3236" s="22">
        <f>3.18/5</f>
        <v>0.63600000000000001</v>
      </c>
      <c r="W3236" s="14" t="s">
        <v>7799</v>
      </c>
      <c r="X3236" s="3">
        <v>2</v>
      </c>
      <c r="Z3236" s="23">
        <v>6</v>
      </c>
      <c r="AB3236" s="18">
        <f t="shared" si="100"/>
        <v>2014</v>
      </c>
      <c r="AC3236" s="22">
        <f t="shared" si="101"/>
        <v>0.59199999999999997</v>
      </c>
    </row>
    <row r="3237" spans="1:29" ht="25.5">
      <c r="A3237" s="8" t="s">
        <v>2419</v>
      </c>
      <c r="B3237" s="17" t="s">
        <v>7749</v>
      </c>
      <c r="C3237" s="13">
        <v>41898</v>
      </c>
      <c r="D3237" s="13" t="s">
        <v>8465</v>
      </c>
      <c r="E3237" s="10" t="s">
        <v>1082</v>
      </c>
      <c r="F3237" s="10" t="s">
        <v>1165</v>
      </c>
      <c r="G3237" s="11" t="s">
        <v>126</v>
      </c>
      <c r="H3237" s="2" t="s">
        <v>1220</v>
      </c>
      <c r="L3237" s="18">
        <v>1</v>
      </c>
      <c r="M3237" s="14" t="s">
        <v>8462</v>
      </c>
      <c r="N3237" s="13">
        <v>43518</v>
      </c>
      <c r="O3237" s="29">
        <v>8.9499999999999993</v>
      </c>
      <c r="P3237" s="18" t="s">
        <v>14</v>
      </c>
      <c r="Q3237" s="18">
        <v>0</v>
      </c>
      <c r="U3237" s="22">
        <v>0.84</v>
      </c>
      <c r="V3237" s="22">
        <f>4.34/5</f>
        <v>0.86799999999999999</v>
      </c>
      <c r="X3237" s="3">
        <v>3</v>
      </c>
      <c r="Z3237" s="23">
        <v>12</v>
      </c>
      <c r="AB3237" s="18">
        <f t="shared" si="100"/>
        <v>2014</v>
      </c>
      <c r="AC3237" s="22">
        <f t="shared" si="101"/>
        <v>0.76933333333333331</v>
      </c>
    </row>
    <row r="3238" spans="1:29" ht="30">
      <c r="A3238" s="8" t="s">
        <v>9341</v>
      </c>
      <c r="B3238" s="17" t="s">
        <v>7763</v>
      </c>
      <c r="C3238" s="13">
        <v>41898</v>
      </c>
      <c r="D3238" s="13" t="s">
        <v>8465</v>
      </c>
      <c r="E3238" s="10" t="s">
        <v>2908</v>
      </c>
      <c r="F3238" s="10" t="s">
        <v>9344</v>
      </c>
      <c r="H3238" s="2" t="s">
        <v>78</v>
      </c>
      <c r="L3238" s="18">
        <v>1</v>
      </c>
      <c r="N3238" s="13">
        <v>44101</v>
      </c>
      <c r="O3238" s="29">
        <v>14.99</v>
      </c>
      <c r="P3238" s="18" t="s">
        <v>1107</v>
      </c>
      <c r="Q3238" s="18">
        <v>0</v>
      </c>
      <c r="U3238" s="22">
        <v>0.69</v>
      </c>
      <c r="V3238" s="22">
        <f>3.42/5</f>
        <v>0.68399999999999994</v>
      </c>
      <c r="X3238" s="3">
        <v>3</v>
      </c>
      <c r="Z3238" s="23">
        <v>2.5</v>
      </c>
      <c r="AB3238" s="18">
        <f t="shared" si="100"/>
        <v>2014</v>
      </c>
      <c r="AC3238" s="22">
        <f t="shared" si="101"/>
        <v>0.65799999999999992</v>
      </c>
    </row>
    <row r="3239" spans="1:29">
      <c r="A3239" s="8" t="s">
        <v>4807</v>
      </c>
      <c r="B3239" s="17" t="s">
        <v>7800</v>
      </c>
      <c r="C3239" s="13">
        <v>41897</v>
      </c>
      <c r="D3239" s="13" t="s">
        <v>8465</v>
      </c>
      <c r="E3239" s="10" t="s">
        <v>4808</v>
      </c>
      <c r="F3239" s="10" t="s">
        <v>4808</v>
      </c>
      <c r="G3239" s="11" t="s">
        <v>4809</v>
      </c>
      <c r="H3239" s="2" t="s">
        <v>1334</v>
      </c>
      <c r="L3239" s="18">
        <v>1</v>
      </c>
      <c r="N3239" s="13">
        <v>41981</v>
      </c>
      <c r="P3239" s="18" t="s">
        <v>1107</v>
      </c>
      <c r="Q3239" s="18">
        <v>0</v>
      </c>
      <c r="U3239" s="22">
        <v>0.77</v>
      </c>
      <c r="V3239" s="22">
        <f>2.67/5</f>
        <v>0.53400000000000003</v>
      </c>
      <c r="W3239" s="14" t="s">
        <v>7777</v>
      </c>
      <c r="X3239" s="3">
        <v>2</v>
      </c>
      <c r="AB3239" s="18">
        <f t="shared" si="100"/>
        <v>2014</v>
      </c>
      <c r="AC3239" s="22">
        <f t="shared" si="101"/>
        <v>0.56800000000000006</v>
      </c>
    </row>
    <row r="3240" spans="1:29">
      <c r="A3240" s="8" t="s">
        <v>11415</v>
      </c>
      <c r="B3240" s="17" t="s">
        <v>7800</v>
      </c>
      <c r="C3240" s="13">
        <v>41894</v>
      </c>
      <c r="D3240" s="13" t="s">
        <v>8465</v>
      </c>
      <c r="E3240" s="10" t="s">
        <v>6517</v>
      </c>
      <c r="F3240" s="10" t="s">
        <v>3856</v>
      </c>
      <c r="G3240" s="11" t="s">
        <v>3857</v>
      </c>
      <c r="H3240" s="2" t="s">
        <v>171</v>
      </c>
      <c r="L3240" s="18">
        <v>1</v>
      </c>
      <c r="N3240" s="13">
        <v>44638</v>
      </c>
      <c r="O3240" s="29">
        <v>0</v>
      </c>
      <c r="P3240" s="18" t="s">
        <v>1107</v>
      </c>
      <c r="Q3240" s="18">
        <v>0</v>
      </c>
      <c r="V3240" s="22">
        <f>3.8/5</f>
        <v>0.76</v>
      </c>
      <c r="W3240" s="14" t="s">
        <v>7777</v>
      </c>
      <c r="X3240" s="3">
        <v>4</v>
      </c>
      <c r="Z3240" s="23">
        <v>13.5</v>
      </c>
      <c r="AB3240" s="18">
        <f t="shared" si="100"/>
        <v>2014</v>
      </c>
      <c r="AC3240" s="22">
        <f t="shared" si="101"/>
        <v>0.78</v>
      </c>
    </row>
    <row r="3241" spans="1:29" ht="25.5">
      <c r="A3241" s="8" t="s">
        <v>12122</v>
      </c>
      <c r="B3241" s="17" t="s">
        <v>7800</v>
      </c>
      <c r="C3241" s="13">
        <v>41894</v>
      </c>
      <c r="D3241" s="13" t="s">
        <v>8465</v>
      </c>
      <c r="E3241" s="10" t="s">
        <v>12123</v>
      </c>
      <c r="F3241" s="10" t="s">
        <v>12123</v>
      </c>
      <c r="H3241" s="2" t="s">
        <v>67</v>
      </c>
      <c r="L3241" s="18">
        <v>1</v>
      </c>
      <c r="O3241" s="29">
        <v>0</v>
      </c>
      <c r="P3241" s="18" t="s">
        <v>1107</v>
      </c>
      <c r="Q3241" s="18">
        <v>0</v>
      </c>
      <c r="U3241" s="22">
        <v>0.71</v>
      </c>
      <c r="V3241" s="22">
        <f>3.55/5</f>
        <v>0.71</v>
      </c>
      <c r="W3241" s="14" t="s">
        <v>8765</v>
      </c>
      <c r="X3241" s="3">
        <v>2</v>
      </c>
      <c r="Z3241" s="23">
        <v>7.5</v>
      </c>
      <c r="AB3241" s="18">
        <f t="shared" si="100"/>
        <v>2014</v>
      </c>
      <c r="AC3241" s="22">
        <f t="shared" si="101"/>
        <v>0.60666666666666658</v>
      </c>
    </row>
    <row r="3242" spans="1:29" ht="30">
      <c r="A3242" s="8" t="s">
        <v>4059</v>
      </c>
      <c r="B3242" s="17" t="s">
        <v>7800</v>
      </c>
      <c r="C3242" s="13">
        <v>41891</v>
      </c>
      <c r="D3242" s="13" t="s">
        <v>8465</v>
      </c>
      <c r="E3242" s="10" t="s">
        <v>3370</v>
      </c>
      <c r="F3242" s="10" t="s">
        <v>3370</v>
      </c>
      <c r="H3242" s="2" t="s">
        <v>80</v>
      </c>
      <c r="L3242" s="18">
        <v>1</v>
      </c>
      <c r="N3242" s="13">
        <v>41992</v>
      </c>
      <c r="O3242" s="29">
        <v>4.54</v>
      </c>
      <c r="P3242" s="18" t="s">
        <v>1107</v>
      </c>
      <c r="Q3242" s="18">
        <v>0</v>
      </c>
      <c r="U3242" s="22">
        <v>0.71</v>
      </c>
      <c r="V3242" s="22">
        <f>3.35/5</f>
        <v>0.67</v>
      </c>
      <c r="W3242" s="14" t="s">
        <v>7777</v>
      </c>
      <c r="X3242" s="3">
        <v>2</v>
      </c>
      <c r="Z3242" s="23">
        <v>4.5</v>
      </c>
      <c r="AB3242" s="18">
        <f t="shared" si="100"/>
        <v>2014</v>
      </c>
      <c r="AC3242" s="22">
        <f t="shared" si="101"/>
        <v>0.59333333333333327</v>
      </c>
    </row>
    <row r="3243" spans="1:29">
      <c r="A3243" s="8" t="s">
        <v>4413</v>
      </c>
      <c r="B3243" s="17" t="s">
        <v>7800</v>
      </c>
      <c r="C3243" s="13">
        <v>41887</v>
      </c>
      <c r="D3243" s="13" t="s">
        <v>8465</v>
      </c>
      <c r="E3243" s="10" t="s">
        <v>4414</v>
      </c>
      <c r="F3243" s="10" t="s">
        <v>4414</v>
      </c>
      <c r="H3243" s="2" t="s">
        <v>1169</v>
      </c>
      <c r="L3243" s="18">
        <v>1</v>
      </c>
      <c r="N3243" s="13">
        <v>41916</v>
      </c>
      <c r="P3243" s="18" t="s">
        <v>1107</v>
      </c>
      <c r="Q3243" s="18">
        <v>0</v>
      </c>
      <c r="U3243" s="22">
        <v>0.66</v>
      </c>
      <c r="V3243" s="22">
        <f>4.42/5</f>
        <v>0.88400000000000001</v>
      </c>
      <c r="W3243" s="14" t="s">
        <v>7777</v>
      </c>
      <c r="X3243" s="3">
        <v>3</v>
      </c>
      <c r="Z3243" s="23">
        <v>7.5</v>
      </c>
      <c r="AB3243" s="18">
        <f t="shared" si="100"/>
        <v>2014</v>
      </c>
      <c r="AC3243" s="22">
        <f t="shared" si="101"/>
        <v>0.71466666666666667</v>
      </c>
    </row>
    <row r="3244" spans="1:29" ht="30">
      <c r="A3244" s="8" t="s">
        <v>12293</v>
      </c>
      <c r="B3244" s="17" t="s">
        <v>7800</v>
      </c>
      <c r="C3244" s="13">
        <v>41887</v>
      </c>
      <c r="D3244" s="13" t="s">
        <v>8465</v>
      </c>
      <c r="E3244" s="10" t="s">
        <v>73</v>
      </c>
      <c r="F3244" s="10" t="s">
        <v>12294</v>
      </c>
      <c r="G3244" s="11" t="s">
        <v>3589</v>
      </c>
      <c r="H3244" s="2" t="s">
        <v>1168</v>
      </c>
      <c r="L3244" s="18">
        <v>1</v>
      </c>
      <c r="N3244" s="13">
        <v>44787</v>
      </c>
      <c r="O3244" s="29">
        <v>6.99</v>
      </c>
      <c r="P3244" s="18" t="s">
        <v>1107</v>
      </c>
      <c r="Q3244" s="18">
        <v>0</v>
      </c>
      <c r="U3244" s="22">
        <v>0.7</v>
      </c>
      <c r="V3244" s="22">
        <f>3.44/5</f>
        <v>0.68799999999999994</v>
      </c>
      <c r="W3244" s="14" t="s">
        <v>7777</v>
      </c>
      <c r="X3244" s="3">
        <v>3</v>
      </c>
      <c r="Z3244" s="23">
        <v>14</v>
      </c>
      <c r="AB3244" s="18">
        <f t="shared" si="100"/>
        <v>2014</v>
      </c>
      <c r="AC3244" s="22">
        <f t="shared" si="101"/>
        <v>0.66266666666666663</v>
      </c>
    </row>
    <row r="3245" spans="1:29" ht="30">
      <c r="A3245" s="8" t="s">
        <v>4714</v>
      </c>
      <c r="B3245" s="17" t="s">
        <v>7800</v>
      </c>
      <c r="C3245" s="13">
        <v>41887</v>
      </c>
      <c r="D3245" s="13" t="s">
        <v>8465</v>
      </c>
      <c r="E3245" s="10" t="s">
        <v>4715</v>
      </c>
      <c r="F3245" s="10" t="s">
        <v>4715</v>
      </c>
      <c r="G3245" s="11" t="s">
        <v>4714</v>
      </c>
      <c r="H3245" s="2" t="s">
        <v>1143</v>
      </c>
      <c r="L3245" s="18">
        <v>1</v>
      </c>
      <c r="N3245" s="13">
        <v>42129</v>
      </c>
      <c r="P3245" s="18" t="s">
        <v>1107</v>
      </c>
      <c r="Q3245" s="18">
        <v>0</v>
      </c>
      <c r="U3245" s="22">
        <v>0.57999999999999996</v>
      </c>
      <c r="V3245" s="22">
        <f>3.15/5</f>
        <v>0.63</v>
      </c>
      <c r="W3245" s="14" t="s">
        <v>7777</v>
      </c>
      <c r="X3245" s="3">
        <v>3</v>
      </c>
      <c r="Z3245" s="23">
        <v>6</v>
      </c>
      <c r="AB3245" s="18">
        <f t="shared" si="100"/>
        <v>2014</v>
      </c>
      <c r="AC3245" s="22">
        <f t="shared" si="101"/>
        <v>0.60333333333333339</v>
      </c>
    </row>
    <row r="3246" spans="1:29">
      <c r="A3246" s="8" t="s">
        <v>4094</v>
      </c>
      <c r="B3246" s="17" t="s">
        <v>7800</v>
      </c>
      <c r="C3246" s="13">
        <v>41886</v>
      </c>
      <c r="D3246" s="13" t="s">
        <v>8465</v>
      </c>
      <c r="E3246" s="10" t="s">
        <v>3063</v>
      </c>
      <c r="F3246" s="10" t="s">
        <v>4095</v>
      </c>
      <c r="G3246" s="11" t="s">
        <v>4094</v>
      </c>
      <c r="H3246" s="2" t="s">
        <v>1057</v>
      </c>
      <c r="L3246" s="18">
        <v>1</v>
      </c>
      <c r="N3246" s="13">
        <v>42175</v>
      </c>
      <c r="O3246" s="29">
        <v>1.49</v>
      </c>
      <c r="P3246" s="18" t="s">
        <v>1107</v>
      </c>
      <c r="Q3246" s="18">
        <v>0</v>
      </c>
      <c r="U3246" s="22">
        <v>0.66</v>
      </c>
      <c r="V3246" s="22">
        <f>3.67/5</f>
        <v>0.73399999999999999</v>
      </c>
      <c r="W3246" s="14" t="s">
        <v>7777</v>
      </c>
      <c r="X3246" s="3">
        <v>3</v>
      </c>
      <c r="Z3246" s="23">
        <v>1.5</v>
      </c>
      <c r="AB3246" s="18">
        <f t="shared" si="100"/>
        <v>2014</v>
      </c>
      <c r="AC3246" s="22">
        <f t="shared" si="101"/>
        <v>0.66466666666666674</v>
      </c>
    </row>
    <row r="3247" spans="1:29">
      <c r="A3247" s="9" t="s">
        <v>11125</v>
      </c>
      <c r="B3247" s="17" t="s">
        <v>7749</v>
      </c>
      <c r="C3247" s="13">
        <v>41886</v>
      </c>
      <c r="D3247" s="13" t="s">
        <v>8463</v>
      </c>
      <c r="E3247" s="10" t="s">
        <v>73</v>
      </c>
      <c r="F3247" s="10" t="s">
        <v>1474</v>
      </c>
      <c r="G3247" s="11" t="s">
        <v>11124</v>
      </c>
      <c r="H3247" s="2" t="s">
        <v>1059</v>
      </c>
      <c r="K3247" s="18">
        <v>0</v>
      </c>
      <c r="L3247" s="18">
        <v>0</v>
      </c>
      <c r="Q3247" s="18">
        <v>0</v>
      </c>
      <c r="V3247" s="22">
        <f>3.97/5</f>
        <v>0.79400000000000004</v>
      </c>
      <c r="X3247" s="3">
        <v>2</v>
      </c>
      <c r="AB3247" s="18">
        <f t="shared" si="100"/>
        <v>2014</v>
      </c>
      <c r="AC3247" s="22">
        <f t="shared" si="101"/>
        <v>0.59699999999999998</v>
      </c>
    </row>
    <row r="3248" spans="1:29">
      <c r="A3248" s="8" t="s">
        <v>12584</v>
      </c>
      <c r="B3248" s="17" t="s">
        <v>7800</v>
      </c>
      <c r="C3248" s="13">
        <v>41883</v>
      </c>
      <c r="D3248" s="13" t="s">
        <v>8465</v>
      </c>
      <c r="E3248" s="10" t="s">
        <v>12583</v>
      </c>
      <c r="F3248" s="10" t="s">
        <v>12583</v>
      </c>
      <c r="G3248" s="11" t="s">
        <v>12582</v>
      </c>
      <c r="H3248" s="2" t="s">
        <v>78</v>
      </c>
      <c r="L3248" s="18">
        <v>1</v>
      </c>
      <c r="P3248" s="18" t="s">
        <v>1107</v>
      </c>
      <c r="Q3248" s="18">
        <v>0</v>
      </c>
      <c r="V3248" s="22">
        <f>4.18/5</f>
        <v>0.83599999999999997</v>
      </c>
      <c r="W3248" s="14" t="s">
        <v>7777</v>
      </c>
      <c r="X3248" s="3">
        <v>2</v>
      </c>
      <c r="Z3248" s="23">
        <v>5.5</v>
      </c>
      <c r="AB3248" s="18">
        <f t="shared" si="100"/>
        <v>2014</v>
      </c>
      <c r="AC3248" s="22">
        <f t="shared" si="101"/>
        <v>0.61799999999999999</v>
      </c>
    </row>
    <row r="3249" spans="1:29" ht="38.25">
      <c r="A3249" s="8" t="s">
        <v>9296</v>
      </c>
      <c r="B3249" s="17" t="s">
        <v>7749</v>
      </c>
      <c r="C3249" s="13">
        <v>41880</v>
      </c>
      <c r="D3249" s="13" t="s">
        <v>8465</v>
      </c>
      <c r="E3249" s="10" t="s">
        <v>86</v>
      </c>
      <c r="F3249" s="10" t="s">
        <v>2129</v>
      </c>
      <c r="G3249" s="11" t="s">
        <v>2130</v>
      </c>
      <c r="H3249" s="2" t="s">
        <v>67</v>
      </c>
      <c r="L3249" s="18">
        <v>1</v>
      </c>
      <c r="M3249" s="14" t="s">
        <v>8462</v>
      </c>
      <c r="N3249" s="13">
        <v>44078</v>
      </c>
      <c r="O3249" s="29">
        <v>36.36</v>
      </c>
      <c r="P3249" s="18" t="s">
        <v>14</v>
      </c>
      <c r="Q3249" s="18">
        <v>0</v>
      </c>
      <c r="U3249" s="22">
        <v>0.79</v>
      </c>
      <c r="V3249" s="22">
        <f>4.18/5</f>
        <v>0.83599999999999997</v>
      </c>
      <c r="X3249" s="3">
        <v>4</v>
      </c>
      <c r="Z3249" s="23">
        <v>24</v>
      </c>
      <c r="AB3249" s="18">
        <f t="shared" si="100"/>
        <v>2014</v>
      </c>
      <c r="AC3249" s="22">
        <f t="shared" si="101"/>
        <v>0.80866666666666676</v>
      </c>
    </row>
    <row r="3250" spans="1:29">
      <c r="A3250" s="8" t="s">
        <v>4452</v>
      </c>
      <c r="B3250" s="17" t="s">
        <v>7800</v>
      </c>
      <c r="C3250" s="13">
        <v>41880</v>
      </c>
      <c r="D3250" s="13" t="s">
        <v>8465</v>
      </c>
      <c r="E3250" s="10" t="s">
        <v>4450</v>
      </c>
      <c r="F3250" s="10" t="s">
        <v>4450</v>
      </c>
      <c r="G3250" s="11" t="s">
        <v>4451</v>
      </c>
      <c r="H3250" s="2" t="s">
        <v>149</v>
      </c>
      <c r="L3250" s="18">
        <v>1</v>
      </c>
      <c r="N3250" s="13">
        <v>41916</v>
      </c>
      <c r="P3250" s="18" t="s">
        <v>1107</v>
      </c>
      <c r="Q3250" s="18">
        <v>0</v>
      </c>
      <c r="V3250" s="22">
        <f>4.3/5</f>
        <v>0.86</v>
      </c>
      <c r="W3250" s="14" t="s">
        <v>7777</v>
      </c>
      <c r="X3250" s="3">
        <v>2</v>
      </c>
      <c r="Z3250" s="23">
        <v>14.5</v>
      </c>
      <c r="AB3250" s="18">
        <f t="shared" si="100"/>
        <v>2014</v>
      </c>
      <c r="AC3250" s="22">
        <f t="shared" si="101"/>
        <v>0.63</v>
      </c>
    </row>
    <row r="3251" spans="1:29" ht="25.5">
      <c r="A3251" s="8" t="s">
        <v>11229</v>
      </c>
      <c r="B3251" s="17" t="s">
        <v>7749</v>
      </c>
      <c r="C3251" s="13">
        <v>41880</v>
      </c>
      <c r="D3251" s="13" t="s">
        <v>8465</v>
      </c>
      <c r="E3251" s="10" t="s">
        <v>86</v>
      </c>
      <c r="F3251" s="10" t="s">
        <v>30</v>
      </c>
      <c r="G3251" s="11" t="s">
        <v>223</v>
      </c>
      <c r="H3251" s="2" t="s">
        <v>1220</v>
      </c>
      <c r="L3251" s="18">
        <v>1</v>
      </c>
      <c r="N3251" s="13">
        <v>44618</v>
      </c>
      <c r="O3251" s="29">
        <v>6.99</v>
      </c>
      <c r="P3251" s="18" t="s">
        <v>1107</v>
      </c>
      <c r="Q3251" s="18">
        <v>0</v>
      </c>
      <c r="U3251" s="22">
        <v>0.65</v>
      </c>
      <c r="V3251" s="22">
        <f>3.91/5</f>
        <v>0.78200000000000003</v>
      </c>
      <c r="X3251" s="3">
        <v>2</v>
      </c>
      <c r="Z3251" s="23">
        <f>30/60</f>
        <v>0.5</v>
      </c>
      <c r="AB3251" s="18">
        <f t="shared" si="100"/>
        <v>2014</v>
      </c>
      <c r="AC3251" s="22">
        <f t="shared" si="101"/>
        <v>0.61066666666666658</v>
      </c>
    </row>
    <row r="3252" spans="1:29">
      <c r="A3252" s="8" t="s">
        <v>11237</v>
      </c>
      <c r="B3252" s="17" t="s">
        <v>7749</v>
      </c>
      <c r="C3252" s="13">
        <v>41880</v>
      </c>
      <c r="D3252" s="13" t="s">
        <v>8465</v>
      </c>
      <c r="E3252" s="10" t="s">
        <v>86</v>
      </c>
      <c r="F3252" s="10" t="s">
        <v>30</v>
      </c>
      <c r="G3252" s="11" t="s">
        <v>223</v>
      </c>
      <c r="H3252" s="2" t="s">
        <v>459</v>
      </c>
      <c r="L3252" s="18">
        <v>1</v>
      </c>
      <c r="N3252" s="13">
        <v>44618</v>
      </c>
      <c r="O3252" s="29">
        <v>6.99</v>
      </c>
      <c r="P3252" s="18" t="s">
        <v>1107</v>
      </c>
      <c r="Q3252" s="18">
        <v>0</v>
      </c>
      <c r="U3252" s="22">
        <v>0.66</v>
      </c>
      <c r="V3252" s="22">
        <f>3.7/5</f>
        <v>0.74</v>
      </c>
      <c r="X3252" s="3">
        <v>2</v>
      </c>
      <c r="Z3252" s="23">
        <f>26/60</f>
        <v>0.43333333333333335</v>
      </c>
      <c r="AB3252" s="18">
        <f t="shared" si="100"/>
        <v>2014</v>
      </c>
      <c r="AC3252" s="22">
        <f t="shared" si="101"/>
        <v>0.6</v>
      </c>
    </row>
    <row r="3253" spans="1:29">
      <c r="A3253" s="8" t="s">
        <v>4315</v>
      </c>
      <c r="B3253" s="17" t="s">
        <v>7800</v>
      </c>
      <c r="C3253" s="13">
        <v>41878</v>
      </c>
      <c r="D3253" s="13" t="s">
        <v>8465</v>
      </c>
      <c r="E3253" s="10" t="s">
        <v>4316</v>
      </c>
      <c r="F3253" s="10" t="s">
        <v>4316</v>
      </c>
      <c r="G3253" s="11" t="s">
        <v>4315</v>
      </c>
      <c r="H3253" s="2" t="s">
        <v>459</v>
      </c>
      <c r="L3253" s="18">
        <v>1</v>
      </c>
      <c r="N3253" s="13">
        <v>41951</v>
      </c>
      <c r="O3253" s="29">
        <v>6.99</v>
      </c>
      <c r="P3253" s="18" t="s">
        <v>1107</v>
      </c>
      <c r="Q3253" s="18">
        <v>0</v>
      </c>
      <c r="U3253" s="22">
        <v>0.78</v>
      </c>
      <c r="V3253" s="22">
        <f>3.63/5</f>
        <v>0.72599999999999998</v>
      </c>
      <c r="W3253" s="14" t="s">
        <v>7777</v>
      </c>
      <c r="X3253" s="3">
        <v>4</v>
      </c>
      <c r="Z3253" s="23">
        <v>8</v>
      </c>
      <c r="AB3253" s="18">
        <f t="shared" si="100"/>
        <v>2014</v>
      </c>
      <c r="AC3253" s="22">
        <f t="shared" si="101"/>
        <v>0.76866666666666672</v>
      </c>
    </row>
    <row r="3254" spans="1:29" ht="30">
      <c r="A3254" s="8" t="s">
        <v>6207</v>
      </c>
      <c r="B3254" s="17" t="s">
        <v>7760</v>
      </c>
      <c r="C3254" s="13">
        <v>41877</v>
      </c>
      <c r="D3254" s="13" t="s">
        <v>8465</v>
      </c>
      <c r="E3254" s="10" t="s">
        <v>2908</v>
      </c>
      <c r="F3254" s="10" t="s">
        <v>5954</v>
      </c>
      <c r="G3254" s="11" t="s">
        <v>5953</v>
      </c>
      <c r="H3254" s="2" t="s">
        <v>80</v>
      </c>
      <c r="J3254" s="18">
        <v>1</v>
      </c>
      <c r="L3254" s="18">
        <v>1</v>
      </c>
      <c r="N3254" s="13">
        <v>43329</v>
      </c>
      <c r="O3254" s="29">
        <v>5.99</v>
      </c>
      <c r="P3254" s="18" t="s">
        <v>1107</v>
      </c>
      <c r="Q3254" s="18">
        <v>0</v>
      </c>
      <c r="U3254" s="22">
        <v>0.75</v>
      </c>
      <c r="V3254" s="22">
        <f>3.64/5</f>
        <v>0.72799999999999998</v>
      </c>
      <c r="X3254" s="3">
        <v>4</v>
      </c>
      <c r="Z3254" s="23">
        <v>4</v>
      </c>
      <c r="AB3254" s="18">
        <f t="shared" si="100"/>
        <v>2014</v>
      </c>
      <c r="AC3254" s="22">
        <f t="shared" si="101"/>
        <v>0.7593333333333333</v>
      </c>
    </row>
    <row r="3255" spans="1:29">
      <c r="A3255" s="8" t="s">
        <v>4317</v>
      </c>
      <c r="B3255" s="17" t="s">
        <v>7800</v>
      </c>
      <c r="C3255" s="13">
        <v>41877</v>
      </c>
      <c r="D3255" s="13" t="s">
        <v>8465</v>
      </c>
      <c r="E3255" s="10" t="s">
        <v>4318</v>
      </c>
      <c r="F3255" s="10" t="s">
        <v>4318</v>
      </c>
      <c r="H3255" s="2" t="s">
        <v>171</v>
      </c>
      <c r="L3255" s="18">
        <v>1</v>
      </c>
      <c r="N3255" s="13">
        <v>42359</v>
      </c>
      <c r="P3255" s="18" t="s">
        <v>1107</v>
      </c>
      <c r="Q3255" s="18">
        <v>0</v>
      </c>
      <c r="U3255" s="22">
        <v>0.72</v>
      </c>
      <c r="V3255" s="22">
        <f>2.88/5</f>
        <v>0.57599999999999996</v>
      </c>
      <c r="W3255" s="14" t="s">
        <v>7777</v>
      </c>
      <c r="X3255" s="3">
        <v>3</v>
      </c>
      <c r="Z3255" s="23">
        <v>14.5</v>
      </c>
      <c r="AB3255" s="18">
        <f t="shared" si="100"/>
        <v>2014</v>
      </c>
      <c r="AC3255" s="22">
        <f t="shared" si="101"/>
        <v>0.63200000000000001</v>
      </c>
    </row>
    <row r="3256" spans="1:29" ht="25.5">
      <c r="A3256" s="8" t="s">
        <v>5328</v>
      </c>
      <c r="B3256" s="17" t="s">
        <v>7800</v>
      </c>
      <c r="C3256" s="13">
        <v>41876</v>
      </c>
      <c r="D3256" s="13" t="s">
        <v>8465</v>
      </c>
      <c r="E3256" s="10" t="s">
        <v>5325</v>
      </c>
      <c r="F3256" s="10" t="s">
        <v>5325</v>
      </c>
      <c r="G3256" s="11" t="s">
        <v>5326</v>
      </c>
      <c r="H3256" s="2" t="s">
        <v>67</v>
      </c>
      <c r="L3256" s="18">
        <v>1</v>
      </c>
      <c r="N3256" s="13">
        <v>42137</v>
      </c>
      <c r="P3256" s="18" t="s">
        <v>1107</v>
      </c>
      <c r="Q3256" s="18">
        <v>0</v>
      </c>
      <c r="U3256" s="22">
        <v>0.84</v>
      </c>
      <c r="V3256" s="22">
        <f>3.5/5</f>
        <v>0.7</v>
      </c>
      <c r="W3256" s="14" t="s">
        <v>7777</v>
      </c>
      <c r="X3256" s="3">
        <v>3</v>
      </c>
      <c r="Z3256" s="23">
        <v>4</v>
      </c>
      <c r="AB3256" s="18">
        <f t="shared" si="100"/>
        <v>2014</v>
      </c>
      <c r="AC3256" s="22">
        <f t="shared" si="101"/>
        <v>0.71333333333333337</v>
      </c>
    </row>
    <row r="3257" spans="1:29">
      <c r="A3257" s="8" t="s">
        <v>7876</v>
      </c>
      <c r="B3257" s="17" t="s">
        <v>7800</v>
      </c>
      <c r="C3257" s="13">
        <v>41876</v>
      </c>
      <c r="D3257" s="13" t="s">
        <v>8465</v>
      </c>
      <c r="E3257" s="10" t="s">
        <v>1163</v>
      </c>
      <c r="F3257" s="10" t="s">
        <v>4439</v>
      </c>
      <c r="G3257" s="11" t="s">
        <v>4440</v>
      </c>
      <c r="H3257" s="2" t="s">
        <v>1050</v>
      </c>
      <c r="L3257" s="18">
        <v>1</v>
      </c>
      <c r="N3257" s="13">
        <v>43734</v>
      </c>
      <c r="O3257" s="29">
        <v>0</v>
      </c>
      <c r="P3257" s="18" t="s">
        <v>1107</v>
      </c>
      <c r="Q3257" s="18">
        <v>0</v>
      </c>
      <c r="U3257" s="22">
        <v>0.90200000000000002</v>
      </c>
      <c r="V3257" s="22">
        <f>3.75/5</f>
        <v>0.75</v>
      </c>
      <c r="W3257" s="14" t="s">
        <v>7097</v>
      </c>
      <c r="X3257" s="3">
        <v>4</v>
      </c>
      <c r="Z3257" s="23">
        <v>9</v>
      </c>
      <c r="AB3257" s="18">
        <f t="shared" si="100"/>
        <v>2014</v>
      </c>
      <c r="AC3257" s="22">
        <f t="shared" si="101"/>
        <v>0.81733333333333336</v>
      </c>
    </row>
    <row r="3258" spans="1:29">
      <c r="A3258" s="8" t="s">
        <v>4197</v>
      </c>
      <c r="B3258" s="17" t="s">
        <v>7800</v>
      </c>
      <c r="C3258" s="13">
        <v>41875</v>
      </c>
      <c r="D3258" s="13" t="s">
        <v>8465</v>
      </c>
      <c r="E3258" s="10" t="s">
        <v>4198</v>
      </c>
      <c r="F3258" s="10" t="s">
        <v>4198</v>
      </c>
      <c r="H3258" s="2" t="s">
        <v>459</v>
      </c>
      <c r="L3258" s="18">
        <v>1</v>
      </c>
      <c r="N3258" s="13">
        <v>41916</v>
      </c>
      <c r="P3258" s="18" t="s">
        <v>1107</v>
      </c>
      <c r="Q3258" s="18">
        <v>0</v>
      </c>
      <c r="W3258" s="14" t="s">
        <v>7777</v>
      </c>
      <c r="X3258" s="3">
        <v>2</v>
      </c>
      <c r="AB3258" s="18">
        <f t="shared" si="100"/>
        <v>2014</v>
      </c>
      <c r="AC3258" s="22">
        <f t="shared" si="101"/>
        <v>0.4</v>
      </c>
    </row>
    <row r="3259" spans="1:29">
      <c r="A3259" s="8" t="s">
        <v>18</v>
      </c>
      <c r="B3259" s="17" t="s">
        <v>7800</v>
      </c>
      <c r="C3259" s="13">
        <v>41872</v>
      </c>
      <c r="D3259" s="13" t="s">
        <v>8465</v>
      </c>
      <c r="E3259" s="10" t="s">
        <v>4962</v>
      </c>
      <c r="F3259" s="10" t="s">
        <v>4962</v>
      </c>
      <c r="G3259" s="11" t="s">
        <v>18</v>
      </c>
      <c r="H3259" s="2" t="s">
        <v>67</v>
      </c>
      <c r="L3259" s="18">
        <v>1</v>
      </c>
      <c r="N3259" s="13">
        <v>42100</v>
      </c>
      <c r="O3259" s="29">
        <v>4.99</v>
      </c>
      <c r="P3259" s="18" t="s">
        <v>1107</v>
      </c>
      <c r="Q3259" s="18">
        <v>0</v>
      </c>
      <c r="U3259" s="22">
        <v>0.69</v>
      </c>
      <c r="V3259" s="22">
        <f>3.98/5</f>
        <v>0.79600000000000004</v>
      </c>
      <c r="W3259" s="14" t="s">
        <v>7777</v>
      </c>
      <c r="X3259" s="3">
        <v>3</v>
      </c>
      <c r="Z3259" s="23">
        <v>2</v>
      </c>
      <c r="AB3259" s="18">
        <f t="shared" si="100"/>
        <v>2014</v>
      </c>
      <c r="AC3259" s="22">
        <f t="shared" si="101"/>
        <v>0.69533333333333325</v>
      </c>
    </row>
    <row r="3260" spans="1:29">
      <c r="A3260" s="8" t="s">
        <v>11084</v>
      </c>
      <c r="B3260" s="17" t="s">
        <v>7763</v>
      </c>
      <c r="C3260" s="13">
        <v>41872</v>
      </c>
      <c r="D3260" s="13" t="s">
        <v>8463</v>
      </c>
      <c r="E3260" s="10" t="s">
        <v>2298</v>
      </c>
      <c r="F3260" s="10" t="s">
        <v>1085</v>
      </c>
      <c r="G3260" s="11" t="s">
        <v>11084</v>
      </c>
      <c r="H3260" s="2" t="s">
        <v>1168</v>
      </c>
      <c r="K3260" s="18">
        <v>0</v>
      </c>
      <c r="L3260" s="18">
        <v>0</v>
      </c>
      <c r="Q3260" s="18">
        <v>0</v>
      </c>
      <c r="V3260" s="22">
        <f>3.47/5</f>
        <v>0.69400000000000006</v>
      </c>
      <c r="X3260" s="3">
        <v>2</v>
      </c>
      <c r="Z3260" s="23">
        <v>8.5</v>
      </c>
      <c r="AB3260" s="18">
        <f t="shared" si="100"/>
        <v>2014</v>
      </c>
      <c r="AC3260" s="22">
        <f t="shared" si="101"/>
        <v>0.54700000000000004</v>
      </c>
    </row>
    <row r="3261" spans="1:29" ht="25.5">
      <c r="A3261" s="8" t="s">
        <v>10695</v>
      </c>
      <c r="B3261" s="17" t="s">
        <v>7749</v>
      </c>
      <c r="C3261" s="13">
        <v>41872</v>
      </c>
      <c r="D3261" s="13" t="s">
        <v>8465</v>
      </c>
      <c r="E3261" s="10" t="s">
        <v>479</v>
      </c>
      <c r="F3261" s="10" t="s">
        <v>479</v>
      </c>
      <c r="G3261" s="11" t="s">
        <v>3340</v>
      </c>
      <c r="H3261" s="2" t="s">
        <v>459</v>
      </c>
      <c r="L3261" s="18">
        <v>1</v>
      </c>
      <c r="N3261" s="13">
        <v>44607</v>
      </c>
      <c r="O3261" s="29">
        <v>5.99</v>
      </c>
      <c r="P3261" s="18" t="s">
        <v>1107</v>
      </c>
      <c r="Q3261" s="18">
        <v>0</v>
      </c>
      <c r="U3261" s="22">
        <v>0.42</v>
      </c>
      <c r="V3261" s="22">
        <f>3.08/5</f>
        <v>0.61599999999999999</v>
      </c>
      <c r="X3261" s="3">
        <v>2</v>
      </c>
      <c r="AB3261" s="18">
        <f t="shared" si="100"/>
        <v>2014</v>
      </c>
      <c r="AC3261" s="22">
        <f t="shared" si="101"/>
        <v>0.47866666666666663</v>
      </c>
    </row>
    <row r="3262" spans="1:29">
      <c r="A3262" s="8" t="s">
        <v>6029</v>
      </c>
      <c r="B3262" s="17" t="s">
        <v>7759</v>
      </c>
      <c r="C3262" s="13">
        <v>41870</v>
      </c>
      <c r="D3262" s="13" t="s">
        <v>8465</v>
      </c>
      <c r="E3262" s="10" t="s">
        <v>3568</v>
      </c>
      <c r="F3262" s="10" t="s">
        <v>3568</v>
      </c>
      <c r="G3262" s="11" t="s">
        <v>1422</v>
      </c>
      <c r="H3262" s="2" t="s">
        <v>171</v>
      </c>
      <c r="L3262" s="18">
        <v>1</v>
      </c>
      <c r="M3262" s="14" t="s">
        <v>8462</v>
      </c>
      <c r="N3262" s="13">
        <v>43483</v>
      </c>
      <c r="O3262" s="29">
        <v>14.48</v>
      </c>
      <c r="P3262" s="18" t="s">
        <v>14</v>
      </c>
      <c r="Q3262" s="18">
        <v>0</v>
      </c>
      <c r="U3262" s="22">
        <v>0.71</v>
      </c>
      <c r="V3262" s="22">
        <f>4.16/5</f>
        <v>0.83200000000000007</v>
      </c>
      <c r="X3262" s="3">
        <v>4</v>
      </c>
      <c r="Z3262" s="23">
        <v>34.5</v>
      </c>
      <c r="AB3262" s="18">
        <f t="shared" si="100"/>
        <v>2014</v>
      </c>
      <c r="AC3262" s="22">
        <f t="shared" si="101"/>
        <v>0.78066666666666673</v>
      </c>
    </row>
    <row r="3263" spans="1:29" ht="25.5">
      <c r="A3263" s="8" t="s">
        <v>15673</v>
      </c>
      <c r="B3263" s="17" t="s">
        <v>7800</v>
      </c>
      <c r="C3263" s="13">
        <v>41870</v>
      </c>
      <c r="D3263" s="13" t="s">
        <v>8465</v>
      </c>
      <c r="E3263" s="10" t="s">
        <v>12460</v>
      </c>
      <c r="F3263" s="10" t="s">
        <v>12460</v>
      </c>
      <c r="G3263" s="11" t="s">
        <v>2571</v>
      </c>
      <c r="H3263" s="2" t="s">
        <v>3937</v>
      </c>
      <c r="L3263" s="18">
        <v>1</v>
      </c>
      <c r="N3263" s="13">
        <v>45167</v>
      </c>
      <c r="O3263" s="29">
        <v>2.59</v>
      </c>
      <c r="P3263" s="18" t="s">
        <v>1107</v>
      </c>
      <c r="Q3263" s="18">
        <v>0</v>
      </c>
      <c r="U3263" s="22">
        <v>0.73</v>
      </c>
      <c r="V3263" s="22">
        <f>3.51/5</f>
        <v>0.70199999999999996</v>
      </c>
      <c r="W3263" s="14" t="s">
        <v>7777</v>
      </c>
      <c r="X3263" s="3">
        <v>2</v>
      </c>
      <c r="Z3263" s="23">
        <v>50</v>
      </c>
      <c r="AB3263" s="18">
        <f t="shared" si="100"/>
        <v>2014</v>
      </c>
      <c r="AC3263" s="22">
        <f t="shared" si="101"/>
        <v>0.61066666666666658</v>
      </c>
    </row>
    <row r="3264" spans="1:29" ht="30">
      <c r="A3264" s="8" t="s">
        <v>12589</v>
      </c>
      <c r="B3264" s="17" t="s">
        <v>7800</v>
      </c>
      <c r="C3264" s="13">
        <v>41866</v>
      </c>
      <c r="D3264" s="13" t="s">
        <v>8465</v>
      </c>
      <c r="E3264" s="10" t="s">
        <v>12590</v>
      </c>
      <c r="F3264" s="10" t="s">
        <v>12591</v>
      </c>
      <c r="G3264" s="11" t="s">
        <v>12592</v>
      </c>
      <c r="H3264" s="2" t="s">
        <v>153</v>
      </c>
      <c r="L3264" s="18">
        <v>1</v>
      </c>
      <c r="P3264" s="18" t="s">
        <v>1107</v>
      </c>
      <c r="Q3264" s="18">
        <v>0</v>
      </c>
      <c r="V3264" s="22">
        <f>1.83/5</f>
        <v>0.36599999999999999</v>
      </c>
      <c r="W3264" s="14" t="s">
        <v>7777</v>
      </c>
      <c r="X3264" s="3">
        <v>2</v>
      </c>
      <c r="Z3264" s="23">
        <v>3</v>
      </c>
      <c r="AB3264" s="18">
        <f t="shared" si="100"/>
        <v>2014</v>
      </c>
      <c r="AC3264" s="22">
        <f t="shared" si="101"/>
        <v>0.38300000000000001</v>
      </c>
    </row>
    <row r="3265" spans="1:29" ht="30">
      <c r="A3265" s="8" t="s">
        <v>14473</v>
      </c>
      <c r="B3265" s="17" t="s">
        <v>7743</v>
      </c>
      <c r="C3265" s="13">
        <v>41865</v>
      </c>
      <c r="D3265" s="13" t="s">
        <v>8465</v>
      </c>
      <c r="E3265" s="10" t="s">
        <v>14474</v>
      </c>
      <c r="F3265" s="10" t="s">
        <v>14474</v>
      </c>
      <c r="H3265" s="2" t="s">
        <v>21</v>
      </c>
      <c r="L3265" s="18">
        <v>0</v>
      </c>
      <c r="Q3265" s="18">
        <v>0</v>
      </c>
      <c r="U3265" s="22">
        <v>0.38</v>
      </c>
      <c r="V3265" s="22">
        <f>3/5</f>
        <v>0.6</v>
      </c>
      <c r="X3265" s="3">
        <v>2</v>
      </c>
      <c r="AB3265" s="18">
        <f t="shared" ref="AB3265:AB3328" si="102">IFERROR(YEAR(C3265), "Early Access")</f>
        <v>2014</v>
      </c>
      <c r="AC3265" s="22">
        <f t="shared" ref="AC3265:AC3328" si="103">AVERAGE(T3265, U3265, V3265, IF(ISBLANK(X3265), X3265, X3265/5))</f>
        <v>0.45999999999999996</v>
      </c>
    </row>
    <row r="3266" spans="1:29">
      <c r="A3266" s="8" t="s">
        <v>12295</v>
      </c>
      <c r="B3266" s="17" t="s">
        <v>7760</v>
      </c>
      <c r="C3266" s="13">
        <v>41863</v>
      </c>
      <c r="D3266" s="13" t="s">
        <v>8465</v>
      </c>
      <c r="E3266" s="10" t="s">
        <v>72</v>
      </c>
      <c r="F3266" s="10" t="s">
        <v>1940</v>
      </c>
      <c r="H3266" s="2" t="s">
        <v>1061</v>
      </c>
      <c r="L3266" s="18">
        <v>0</v>
      </c>
      <c r="Q3266" s="18">
        <v>0</v>
      </c>
      <c r="W3266" s="14" t="s">
        <v>9890</v>
      </c>
      <c r="X3266" s="3">
        <v>4</v>
      </c>
      <c r="Z3266" s="23">
        <v>1.5</v>
      </c>
      <c r="AB3266" s="18">
        <f t="shared" si="102"/>
        <v>2014</v>
      </c>
      <c r="AC3266" s="22">
        <f t="shared" si="103"/>
        <v>0.8</v>
      </c>
    </row>
    <row r="3267" spans="1:29" ht="30">
      <c r="A3267" s="8" t="s">
        <v>10110</v>
      </c>
      <c r="B3267" s="17" t="s">
        <v>7763</v>
      </c>
      <c r="C3267" s="13">
        <v>41863</v>
      </c>
      <c r="D3267" s="13" t="s">
        <v>8465</v>
      </c>
      <c r="E3267" s="10" t="s">
        <v>2908</v>
      </c>
      <c r="F3267" s="10" t="s">
        <v>5986</v>
      </c>
      <c r="H3267" s="2" t="s">
        <v>1054</v>
      </c>
      <c r="L3267" s="18">
        <v>1</v>
      </c>
      <c r="N3267" s="13">
        <v>44302</v>
      </c>
      <c r="O3267" s="29">
        <v>3.49</v>
      </c>
      <c r="P3267" s="18" t="s">
        <v>1107</v>
      </c>
      <c r="Q3267" s="18">
        <v>0</v>
      </c>
      <c r="U3267" s="22">
        <v>0.75</v>
      </c>
      <c r="V3267" s="22">
        <f>3.5/5</f>
        <v>0.7</v>
      </c>
      <c r="X3267" s="3">
        <v>3</v>
      </c>
      <c r="AB3267" s="18">
        <f t="shared" si="102"/>
        <v>2014</v>
      </c>
      <c r="AC3267" s="22">
        <f t="shared" si="103"/>
        <v>0.68333333333333324</v>
      </c>
    </row>
    <row r="3268" spans="1:29">
      <c r="A3268" s="8" t="s">
        <v>6063</v>
      </c>
      <c r="B3268" s="17" t="s">
        <v>7800</v>
      </c>
      <c r="C3268" s="13">
        <v>41863</v>
      </c>
      <c r="D3268" s="13" t="s">
        <v>8465</v>
      </c>
      <c r="E3268" s="10" t="s">
        <v>1163</v>
      </c>
      <c r="F3268" s="10" t="s">
        <v>4847</v>
      </c>
      <c r="G3268" s="11" t="s">
        <v>4846</v>
      </c>
      <c r="H3268" s="2" t="s">
        <v>171</v>
      </c>
      <c r="L3268" s="18">
        <v>1</v>
      </c>
      <c r="N3268" s="13">
        <v>43827</v>
      </c>
      <c r="O3268" s="29">
        <v>3.74</v>
      </c>
      <c r="P3268" s="18" t="s">
        <v>1107</v>
      </c>
      <c r="Q3268" s="18">
        <v>0</v>
      </c>
      <c r="U3268" s="22">
        <v>0.65</v>
      </c>
      <c r="V3268" s="22">
        <f>3.27/5</f>
        <v>0.65400000000000003</v>
      </c>
      <c r="W3268" s="14" t="s">
        <v>7777</v>
      </c>
      <c r="X3268" s="3">
        <v>3</v>
      </c>
      <c r="Z3268" s="23">
        <v>25.5</v>
      </c>
      <c r="AB3268" s="18">
        <f t="shared" si="102"/>
        <v>2014</v>
      </c>
      <c r="AC3268" s="22">
        <f t="shared" si="103"/>
        <v>0.6346666666666666</v>
      </c>
    </row>
    <row r="3269" spans="1:29">
      <c r="A3269" s="8" t="s">
        <v>3909</v>
      </c>
      <c r="B3269" s="17" t="s">
        <v>7800</v>
      </c>
      <c r="C3269" s="13">
        <v>41859</v>
      </c>
      <c r="D3269" s="13" t="s">
        <v>8465</v>
      </c>
      <c r="E3269" s="10" t="s">
        <v>3910</v>
      </c>
      <c r="F3269" s="10" t="s">
        <v>3910</v>
      </c>
      <c r="G3269" s="11" t="s">
        <v>3909</v>
      </c>
      <c r="H3269" s="2" t="s">
        <v>1061</v>
      </c>
      <c r="L3269" s="18">
        <v>1</v>
      </c>
      <c r="N3269" s="13">
        <v>41942</v>
      </c>
      <c r="P3269" s="18" t="s">
        <v>1107</v>
      </c>
      <c r="Q3269" s="18">
        <v>0</v>
      </c>
      <c r="U3269" s="22">
        <v>0.85</v>
      </c>
      <c r="V3269" s="22">
        <f>3.5/5</f>
        <v>0.7</v>
      </c>
      <c r="W3269" s="14" t="s">
        <v>7777</v>
      </c>
      <c r="X3269" s="3">
        <v>3</v>
      </c>
      <c r="Z3269" s="23">
        <v>2</v>
      </c>
      <c r="AB3269" s="18">
        <f t="shared" si="102"/>
        <v>2014</v>
      </c>
      <c r="AC3269" s="22">
        <f t="shared" si="103"/>
        <v>0.71666666666666667</v>
      </c>
    </row>
    <row r="3270" spans="1:29" ht="25.5">
      <c r="A3270" s="8" t="s">
        <v>5584</v>
      </c>
      <c r="B3270" s="17" t="s">
        <v>7800</v>
      </c>
      <c r="C3270" s="13">
        <v>41859</v>
      </c>
      <c r="D3270" s="13" t="s">
        <v>8465</v>
      </c>
      <c r="E3270" s="10" t="s">
        <v>5585</v>
      </c>
      <c r="F3270" s="10" t="s">
        <v>5585</v>
      </c>
      <c r="H3270" s="2" t="s">
        <v>64</v>
      </c>
      <c r="L3270" s="18">
        <v>1</v>
      </c>
      <c r="N3270" s="13">
        <v>41862</v>
      </c>
      <c r="P3270" s="18" t="s">
        <v>1107</v>
      </c>
      <c r="Q3270" s="18">
        <v>0</v>
      </c>
      <c r="U3270" s="22">
        <v>0.8</v>
      </c>
      <c r="V3270" s="22">
        <f>2.83/5</f>
        <v>0.56600000000000006</v>
      </c>
      <c r="W3270" s="14" t="s">
        <v>7777</v>
      </c>
      <c r="X3270" s="3">
        <v>2</v>
      </c>
      <c r="Z3270" s="23">
        <v>4</v>
      </c>
      <c r="AB3270" s="18">
        <f t="shared" si="102"/>
        <v>2014</v>
      </c>
      <c r="AC3270" s="22">
        <f t="shared" si="103"/>
        <v>0.58866666666666667</v>
      </c>
    </row>
    <row r="3271" spans="1:29" ht="30">
      <c r="A3271" s="8" t="s">
        <v>4111</v>
      </c>
      <c r="B3271" s="17" t="s">
        <v>7800</v>
      </c>
      <c r="C3271" s="13">
        <v>41858</v>
      </c>
      <c r="D3271" s="13" t="s">
        <v>8465</v>
      </c>
      <c r="E3271" s="10" t="s">
        <v>4112</v>
      </c>
      <c r="F3271" s="10" t="s">
        <v>4112</v>
      </c>
      <c r="G3271" s="11" t="s">
        <v>4111</v>
      </c>
      <c r="H3271" s="2" t="s">
        <v>1377</v>
      </c>
      <c r="L3271" s="18">
        <v>1</v>
      </c>
      <c r="N3271" s="13">
        <v>41981</v>
      </c>
      <c r="P3271" s="18" t="s">
        <v>1107</v>
      </c>
      <c r="Q3271" s="18">
        <v>0</v>
      </c>
      <c r="U3271" s="22">
        <v>0.8</v>
      </c>
      <c r="V3271" s="22">
        <f>3.82/5</f>
        <v>0.76400000000000001</v>
      </c>
      <c r="W3271" s="14" t="s">
        <v>7777</v>
      </c>
      <c r="X3271" s="3">
        <v>2</v>
      </c>
      <c r="Z3271" s="23">
        <v>89</v>
      </c>
      <c r="AB3271" s="18">
        <f t="shared" si="102"/>
        <v>2014</v>
      </c>
      <c r="AC3271" s="22">
        <f t="shared" si="103"/>
        <v>0.65466666666666662</v>
      </c>
    </row>
    <row r="3272" spans="1:29">
      <c r="A3272" s="8" t="s">
        <v>15473</v>
      </c>
      <c r="B3272" s="17" t="s">
        <v>7800</v>
      </c>
      <c r="C3272" s="13">
        <v>41858</v>
      </c>
      <c r="D3272" s="13" t="s">
        <v>8465</v>
      </c>
      <c r="E3272" s="10" t="s">
        <v>73</v>
      </c>
      <c r="F3272" s="10" t="s">
        <v>15474</v>
      </c>
      <c r="G3272" s="11" t="s">
        <v>227</v>
      </c>
      <c r="H3272" s="2" t="s">
        <v>459</v>
      </c>
      <c r="L3272" s="18">
        <v>1</v>
      </c>
      <c r="N3272" s="13">
        <v>45138</v>
      </c>
      <c r="O3272" s="29">
        <v>3.89</v>
      </c>
      <c r="P3272" s="18" t="s">
        <v>1107</v>
      </c>
      <c r="Q3272" s="18">
        <v>0</v>
      </c>
      <c r="U3272" s="22">
        <v>0.82</v>
      </c>
      <c r="V3272" s="22">
        <f>4.15/5</f>
        <v>0.83000000000000007</v>
      </c>
      <c r="W3272" s="14" t="s">
        <v>7777</v>
      </c>
      <c r="X3272" s="3">
        <v>3</v>
      </c>
      <c r="Z3272" s="23">
        <v>2.5</v>
      </c>
      <c r="AB3272" s="18">
        <f t="shared" si="102"/>
        <v>2014</v>
      </c>
      <c r="AC3272" s="22">
        <f t="shared" si="103"/>
        <v>0.75</v>
      </c>
    </row>
    <row r="3273" spans="1:29" ht="25.5">
      <c r="A3273" s="8" t="s">
        <v>11238</v>
      </c>
      <c r="B3273" s="17" t="s">
        <v>7749</v>
      </c>
      <c r="C3273" s="13">
        <v>41857</v>
      </c>
      <c r="D3273" s="13" t="s">
        <v>8465</v>
      </c>
      <c r="E3273" s="10" t="s">
        <v>86</v>
      </c>
      <c r="F3273" s="10" t="s">
        <v>87</v>
      </c>
      <c r="H3273" s="2" t="s">
        <v>80</v>
      </c>
      <c r="L3273" s="18">
        <v>1</v>
      </c>
      <c r="N3273" s="13">
        <v>44626</v>
      </c>
      <c r="O3273" s="29">
        <v>4.99</v>
      </c>
      <c r="P3273" s="18" t="s">
        <v>1107</v>
      </c>
      <c r="Q3273" s="18">
        <v>0</v>
      </c>
      <c r="V3273" s="22">
        <f>3.78/5</f>
        <v>0.75600000000000001</v>
      </c>
      <c r="X3273" s="3">
        <v>2</v>
      </c>
      <c r="Z3273" s="23">
        <v>3</v>
      </c>
      <c r="AB3273" s="18">
        <f t="shared" si="102"/>
        <v>2014</v>
      </c>
      <c r="AC3273" s="22">
        <f t="shared" si="103"/>
        <v>0.57800000000000007</v>
      </c>
    </row>
    <row r="3274" spans="1:29">
      <c r="A3274" s="8" t="s">
        <v>12561</v>
      </c>
      <c r="B3274" s="17" t="s">
        <v>7800</v>
      </c>
      <c r="C3274" s="13">
        <v>41857</v>
      </c>
      <c r="D3274" s="13" t="s">
        <v>8465</v>
      </c>
      <c r="E3274" s="10" t="s">
        <v>3890</v>
      </c>
      <c r="F3274" s="10" t="s">
        <v>3890</v>
      </c>
      <c r="H3274" s="2" t="s">
        <v>78</v>
      </c>
      <c r="L3274" s="18">
        <v>1</v>
      </c>
      <c r="P3274" s="18" t="s">
        <v>1107</v>
      </c>
      <c r="Q3274" s="18">
        <v>0</v>
      </c>
      <c r="U3274" s="22">
        <v>0.56999999999999995</v>
      </c>
      <c r="V3274" s="22">
        <f>2.73/5</f>
        <v>0.54600000000000004</v>
      </c>
      <c r="W3274" s="14" t="s">
        <v>7777</v>
      </c>
      <c r="X3274" s="3">
        <v>2</v>
      </c>
      <c r="Z3274" s="23">
        <v>1.5</v>
      </c>
      <c r="AB3274" s="18">
        <f t="shared" si="102"/>
        <v>2014</v>
      </c>
      <c r="AC3274" s="22">
        <f t="shared" si="103"/>
        <v>0.5053333333333333</v>
      </c>
    </row>
    <row r="3275" spans="1:29">
      <c r="A3275" s="8" t="s">
        <v>4835</v>
      </c>
      <c r="B3275" s="17" t="s">
        <v>7800</v>
      </c>
      <c r="C3275" s="13">
        <v>41856</v>
      </c>
      <c r="D3275" s="13" t="s">
        <v>8465</v>
      </c>
      <c r="E3275" s="10" t="s">
        <v>4836</v>
      </c>
      <c r="F3275" s="10" t="s">
        <v>4836</v>
      </c>
      <c r="H3275" s="2" t="s">
        <v>56</v>
      </c>
      <c r="L3275" s="18">
        <v>1</v>
      </c>
      <c r="N3275" s="13">
        <v>42058</v>
      </c>
      <c r="P3275" s="18" t="s">
        <v>1107</v>
      </c>
      <c r="Q3275" s="18">
        <v>0</v>
      </c>
      <c r="V3275" s="22">
        <f>3.7/5</f>
        <v>0.74</v>
      </c>
      <c r="W3275" s="14" t="s">
        <v>7777</v>
      </c>
      <c r="X3275" s="3">
        <v>2</v>
      </c>
      <c r="Z3275" s="23">
        <v>4</v>
      </c>
      <c r="AB3275" s="18">
        <f t="shared" si="102"/>
        <v>2014</v>
      </c>
      <c r="AC3275" s="22">
        <f t="shared" si="103"/>
        <v>0.57000000000000006</v>
      </c>
    </row>
    <row r="3276" spans="1:29">
      <c r="A3276" s="8" t="s">
        <v>5367</v>
      </c>
      <c r="B3276" s="17" t="s">
        <v>7800</v>
      </c>
      <c r="C3276" s="13">
        <v>41852</v>
      </c>
      <c r="D3276" s="13" t="s">
        <v>8465</v>
      </c>
      <c r="E3276" s="10" t="s">
        <v>5368</v>
      </c>
      <c r="F3276" s="10" t="s">
        <v>5368</v>
      </c>
      <c r="H3276" s="2" t="s">
        <v>64</v>
      </c>
      <c r="L3276" s="18">
        <v>1</v>
      </c>
      <c r="N3276" s="13">
        <v>41852</v>
      </c>
      <c r="P3276" s="18" t="s">
        <v>1107</v>
      </c>
      <c r="Q3276" s="18">
        <v>0</v>
      </c>
      <c r="U3276" s="22">
        <v>0.53</v>
      </c>
      <c r="V3276" s="22">
        <f>3.94/5</f>
        <v>0.78800000000000003</v>
      </c>
      <c r="W3276" s="14" t="s">
        <v>7777</v>
      </c>
      <c r="X3276" s="3">
        <v>2</v>
      </c>
      <c r="AB3276" s="18">
        <f t="shared" si="102"/>
        <v>2014</v>
      </c>
      <c r="AC3276" s="22">
        <f t="shared" si="103"/>
        <v>0.57266666666666666</v>
      </c>
    </row>
    <row r="3277" spans="1:29">
      <c r="A3277" s="8" t="s">
        <v>4356</v>
      </c>
      <c r="B3277" s="17" t="s">
        <v>7800</v>
      </c>
      <c r="C3277" s="13">
        <v>41851</v>
      </c>
      <c r="D3277" s="13" t="s">
        <v>8465</v>
      </c>
      <c r="E3277" s="10" t="s">
        <v>3464</v>
      </c>
      <c r="F3277" s="10" t="s">
        <v>4357</v>
      </c>
      <c r="G3277" s="11" t="s">
        <v>4356</v>
      </c>
      <c r="H3277" s="2" t="s">
        <v>1050</v>
      </c>
      <c r="L3277" s="18">
        <v>1</v>
      </c>
      <c r="N3277" s="13">
        <v>42005</v>
      </c>
      <c r="P3277" s="18" t="s">
        <v>1107</v>
      </c>
      <c r="Q3277" s="18">
        <v>0</v>
      </c>
      <c r="U3277" s="22">
        <v>0.57999999999999996</v>
      </c>
      <c r="V3277" s="22">
        <f>3.5/5</f>
        <v>0.7</v>
      </c>
      <c r="W3277" s="14" t="s">
        <v>7777</v>
      </c>
      <c r="X3277" s="3">
        <v>2</v>
      </c>
      <c r="Z3277" s="23">
        <v>4</v>
      </c>
      <c r="AB3277" s="18">
        <f t="shared" si="102"/>
        <v>2014</v>
      </c>
      <c r="AC3277" s="22">
        <f t="shared" si="103"/>
        <v>0.55999999999999994</v>
      </c>
    </row>
    <row r="3278" spans="1:29" ht="45">
      <c r="A3278" s="8" t="s">
        <v>15013</v>
      </c>
      <c r="B3278" s="17" t="s">
        <v>7749</v>
      </c>
      <c r="C3278" s="13">
        <v>41849</v>
      </c>
      <c r="D3278" s="13" t="s">
        <v>8465</v>
      </c>
      <c r="E3278" s="10" t="s">
        <v>1156</v>
      </c>
      <c r="F3278" s="10" t="s">
        <v>9379</v>
      </c>
      <c r="G3278" s="11" t="s">
        <v>4305</v>
      </c>
      <c r="H3278" s="2" t="s">
        <v>80</v>
      </c>
      <c r="L3278" s="18">
        <v>0</v>
      </c>
      <c r="Q3278" s="18">
        <v>0</v>
      </c>
      <c r="V3278" s="22">
        <f>4.02/5</f>
        <v>0.80399999999999994</v>
      </c>
      <c r="X3278" s="3">
        <v>2</v>
      </c>
      <c r="Z3278" s="23">
        <v>8</v>
      </c>
      <c r="AB3278" s="18">
        <f t="shared" si="102"/>
        <v>2014</v>
      </c>
      <c r="AC3278" s="22">
        <f t="shared" si="103"/>
        <v>0.60199999999999998</v>
      </c>
    </row>
    <row r="3279" spans="1:29" ht="25.5">
      <c r="A3279" s="8" t="s">
        <v>5508</v>
      </c>
      <c r="B3279" s="17" t="s">
        <v>7800</v>
      </c>
      <c r="C3279" s="13">
        <v>41845</v>
      </c>
      <c r="D3279" s="13" t="s">
        <v>8465</v>
      </c>
      <c r="E3279" s="10" t="s">
        <v>4664</v>
      </c>
      <c r="F3279" s="10" t="s">
        <v>5509</v>
      </c>
      <c r="H3279" s="2" t="s">
        <v>1518</v>
      </c>
      <c r="L3279" s="18">
        <v>1</v>
      </c>
      <c r="N3279" s="13">
        <v>41942</v>
      </c>
      <c r="P3279" s="18" t="s">
        <v>1107</v>
      </c>
      <c r="Q3279" s="18">
        <v>0</v>
      </c>
      <c r="U3279" s="22">
        <v>0.7</v>
      </c>
      <c r="V3279" s="22">
        <f>3.82/5</f>
        <v>0.76400000000000001</v>
      </c>
      <c r="W3279" s="14" t="s">
        <v>7777</v>
      </c>
      <c r="X3279" s="3">
        <v>2</v>
      </c>
      <c r="Z3279" s="23">
        <v>5.5</v>
      </c>
      <c r="AB3279" s="18">
        <f t="shared" si="102"/>
        <v>2014</v>
      </c>
      <c r="AC3279" s="22">
        <f t="shared" si="103"/>
        <v>0.62133333333333329</v>
      </c>
    </row>
    <row r="3280" spans="1:29">
      <c r="A3280" s="8" t="s">
        <v>4001</v>
      </c>
      <c r="B3280" s="17" t="s">
        <v>7800</v>
      </c>
      <c r="C3280" s="13">
        <v>41844</v>
      </c>
      <c r="D3280" s="13" t="s">
        <v>8465</v>
      </c>
      <c r="E3280" s="10" t="s">
        <v>3063</v>
      </c>
      <c r="F3280" s="10" t="s">
        <v>4002</v>
      </c>
      <c r="H3280" s="2" t="s">
        <v>67</v>
      </c>
      <c r="L3280" s="18">
        <v>1</v>
      </c>
      <c r="N3280" s="13">
        <v>42485</v>
      </c>
      <c r="P3280" s="18" t="s">
        <v>1107</v>
      </c>
      <c r="Q3280" s="18">
        <v>0</v>
      </c>
      <c r="U3280" s="22">
        <v>0.63</v>
      </c>
      <c r="V3280" s="22">
        <f>3.58/5</f>
        <v>0.71599999999999997</v>
      </c>
      <c r="W3280" s="14" t="s">
        <v>7777</v>
      </c>
      <c r="X3280" s="3">
        <v>3</v>
      </c>
      <c r="Z3280" s="23">
        <v>7</v>
      </c>
      <c r="AB3280" s="18">
        <f t="shared" si="102"/>
        <v>2014</v>
      </c>
      <c r="AC3280" s="22">
        <f t="shared" si="103"/>
        <v>0.64866666666666672</v>
      </c>
    </row>
    <row r="3281" spans="1:29">
      <c r="A3281" s="8" t="s">
        <v>2441</v>
      </c>
      <c r="B3281" s="17" t="s">
        <v>7800</v>
      </c>
      <c r="C3281" s="13">
        <v>41842</v>
      </c>
      <c r="D3281" s="13" t="s">
        <v>8465</v>
      </c>
      <c r="E3281" s="10" t="s">
        <v>3063</v>
      </c>
      <c r="F3281" s="10" t="s">
        <v>2478</v>
      </c>
      <c r="G3281" s="11" t="s">
        <v>2441</v>
      </c>
      <c r="H3281" s="2" t="s">
        <v>255</v>
      </c>
      <c r="L3281" s="18">
        <v>1</v>
      </c>
      <c r="N3281" s="13">
        <v>41940</v>
      </c>
      <c r="P3281" s="18" t="s">
        <v>1107</v>
      </c>
      <c r="Q3281" s="18">
        <v>0</v>
      </c>
      <c r="U3281" s="22">
        <v>0.79</v>
      </c>
      <c r="V3281" s="22">
        <f>3.65/5</f>
        <v>0.73</v>
      </c>
      <c r="W3281" s="14" t="s">
        <v>7777</v>
      </c>
      <c r="X3281" s="3">
        <v>3</v>
      </c>
      <c r="Z3281" s="23">
        <v>4</v>
      </c>
      <c r="AB3281" s="18">
        <f t="shared" si="102"/>
        <v>2014</v>
      </c>
      <c r="AC3281" s="22">
        <f t="shared" si="103"/>
        <v>0.70666666666666667</v>
      </c>
    </row>
    <row r="3282" spans="1:29">
      <c r="A3282" s="8" t="s">
        <v>3933</v>
      </c>
      <c r="B3282" s="17" t="s">
        <v>7800</v>
      </c>
      <c r="C3282" s="13">
        <v>41841</v>
      </c>
      <c r="D3282" s="13" t="s">
        <v>8465</v>
      </c>
      <c r="E3282" s="10" t="s">
        <v>3934</v>
      </c>
      <c r="F3282" s="10" t="s">
        <v>3934</v>
      </c>
      <c r="G3282" s="11" t="s">
        <v>3933</v>
      </c>
      <c r="H3282" s="2" t="s">
        <v>56</v>
      </c>
      <c r="L3282" s="18">
        <v>1</v>
      </c>
      <c r="N3282" s="13">
        <v>42217</v>
      </c>
      <c r="P3282" s="18" t="s">
        <v>1107</v>
      </c>
      <c r="Q3282" s="18">
        <v>0</v>
      </c>
      <c r="U3282" s="22">
        <v>0.85</v>
      </c>
      <c r="V3282" s="22">
        <f>4.12/5</f>
        <v>0.82400000000000007</v>
      </c>
      <c r="W3282" s="14" t="s">
        <v>7777</v>
      </c>
      <c r="X3282" s="3">
        <v>3</v>
      </c>
      <c r="Z3282" s="23">
        <v>4.5</v>
      </c>
      <c r="AB3282" s="18">
        <f t="shared" si="102"/>
        <v>2014</v>
      </c>
      <c r="AC3282" s="22">
        <f t="shared" si="103"/>
        <v>0.75800000000000001</v>
      </c>
    </row>
    <row r="3283" spans="1:29" ht="30">
      <c r="A3283" s="8" t="s">
        <v>7063</v>
      </c>
      <c r="B3283" s="17" t="s">
        <v>7800</v>
      </c>
      <c r="C3283" s="13">
        <v>41841</v>
      </c>
      <c r="D3283" s="13" t="s">
        <v>8465</v>
      </c>
      <c r="E3283" s="10" t="s">
        <v>6999</v>
      </c>
      <c r="F3283" s="10" t="s">
        <v>7064</v>
      </c>
      <c r="H3283" s="2" t="s">
        <v>78</v>
      </c>
      <c r="L3283" s="18">
        <v>1</v>
      </c>
      <c r="O3283" s="29">
        <v>0</v>
      </c>
      <c r="P3283" s="18" t="s">
        <v>1107</v>
      </c>
      <c r="Q3283" s="18">
        <v>0</v>
      </c>
      <c r="U3283" s="22">
        <v>0.77</v>
      </c>
      <c r="V3283" s="22">
        <f>4.06/5</f>
        <v>0.81199999999999994</v>
      </c>
      <c r="W3283" s="14" t="s">
        <v>7799</v>
      </c>
      <c r="X3283" s="3">
        <v>2</v>
      </c>
      <c r="Z3283" s="23">
        <v>7</v>
      </c>
      <c r="AB3283" s="18">
        <f t="shared" si="102"/>
        <v>2014</v>
      </c>
      <c r="AC3283" s="22">
        <f t="shared" si="103"/>
        <v>0.66066666666666662</v>
      </c>
    </row>
    <row r="3284" spans="1:29">
      <c r="A3284" s="8" t="s">
        <v>12556</v>
      </c>
      <c r="B3284" s="17" t="s">
        <v>7800</v>
      </c>
      <c r="C3284" s="13">
        <v>41841</v>
      </c>
      <c r="D3284" s="13" t="s">
        <v>8465</v>
      </c>
      <c r="E3284" s="10" t="s">
        <v>12557</v>
      </c>
      <c r="F3284" s="10" t="s">
        <v>12557</v>
      </c>
      <c r="H3284" s="2" t="s">
        <v>67</v>
      </c>
      <c r="L3284" s="18">
        <v>1</v>
      </c>
      <c r="P3284" s="18" t="s">
        <v>1107</v>
      </c>
      <c r="Q3284" s="18">
        <v>0</v>
      </c>
      <c r="V3284" s="22">
        <f>3.13/5</f>
        <v>0.626</v>
      </c>
      <c r="W3284" s="14" t="s">
        <v>7777</v>
      </c>
      <c r="X3284" s="3">
        <v>2</v>
      </c>
      <c r="Z3284" s="23">
        <v>4.5</v>
      </c>
      <c r="AB3284" s="18">
        <f t="shared" si="102"/>
        <v>2014</v>
      </c>
      <c r="AC3284" s="22">
        <f t="shared" si="103"/>
        <v>0.51300000000000001</v>
      </c>
    </row>
    <row r="3285" spans="1:29" ht="38.25">
      <c r="A3285" s="8" t="s">
        <v>3638</v>
      </c>
      <c r="B3285" s="17" t="s">
        <v>7800</v>
      </c>
      <c r="C3285" s="13">
        <v>41837</v>
      </c>
      <c r="D3285" s="13" t="s">
        <v>8465</v>
      </c>
      <c r="E3285" s="10" t="s">
        <v>3639</v>
      </c>
      <c r="F3285" s="10" t="s">
        <v>3639</v>
      </c>
      <c r="H3285" s="2" t="s">
        <v>67</v>
      </c>
      <c r="L3285" s="18">
        <v>1</v>
      </c>
      <c r="N3285" s="13">
        <v>41836</v>
      </c>
      <c r="P3285" s="18" t="s">
        <v>1107</v>
      </c>
      <c r="Q3285" s="18">
        <v>0</v>
      </c>
      <c r="U3285" s="22">
        <v>0.5</v>
      </c>
      <c r="V3285" s="22">
        <f>3.88/5</f>
        <v>0.77600000000000002</v>
      </c>
      <c r="W3285" s="14" t="s">
        <v>7777</v>
      </c>
      <c r="X3285" s="3">
        <v>2</v>
      </c>
      <c r="Z3285" s="23">
        <v>3</v>
      </c>
      <c r="AB3285" s="18">
        <f t="shared" si="102"/>
        <v>2014</v>
      </c>
      <c r="AC3285" s="22">
        <f t="shared" si="103"/>
        <v>0.55866666666666676</v>
      </c>
    </row>
    <row r="3286" spans="1:29" ht="30">
      <c r="A3286" s="8" t="s">
        <v>4976</v>
      </c>
      <c r="B3286" s="17" t="s">
        <v>7800</v>
      </c>
      <c r="C3286" s="13">
        <v>41835</v>
      </c>
      <c r="D3286" s="13" t="s">
        <v>8465</v>
      </c>
      <c r="E3286" s="10" t="s">
        <v>1084</v>
      </c>
      <c r="F3286" s="10" t="s">
        <v>1084</v>
      </c>
      <c r="G3286" s="11" t="s">
        <v>1150</v>
      </c>
      <c r="H3286" s="2" t="s">
        <v>64</v>
      </c>
      <c r="L3286" s="18">
        <v>1</v>
      </c>
      <c r="N3286" s="13">
        <v>42008</v>
      </c>
      <c r="P3286" s="18" t="s">
        <v>1107</v>
      </c>
      <c r="Q3286" s="18">
        <v>0</v>
      </c>
      <c r="V3286" s="22">
        <f>3.85/5</f>
        <v>0.77</v>
      </c>
      <c r="W3286" s="14" t="s">
        <v>7777</v>
      </c>
      <c r="X3286" s="3">
        <v>3</v>
      </c>
      <c r="Z3286" s="23">
        <v>5</v>
      </c>
      <c r="AB3286" s="18">
        <f t="shared" si="102"/>
        <v>2014</v>
      </c>
      <c r="AC3286" s="22">
        <f t="shared" si="103"/>
        <v>0.68500000000000005</v>
      </c>
    </row>
    <row r="3287" spans="1:29">
      <c r="A3287" s="8" t="s">
        <v>3093</v>
      </c>
      <c r="B3287" s="17" t="s">
        <v>7800</v>
      </c>
      <c r="C3287" s="13">
        <v>41835</v>
      </c>
      <c r="D3287" s="13" t="s">
        <v>8465</v>
      </c>
      <c r="E3287" s="10" t="s">
        <v>228</v>
      </c>
      <c r="F3287" s="10" t="s">
        <v>3094</v>
      </c>
      <c r="H3287" s="2" t="s">
        <v>80</v>
      </c>
      <c r="L3287" s="18">
        <v>1</v>
      </c>
      <c r="N3287" s="13">
        <v>42000</v>
      </c>
      <c r="O3287" s="29">
        <v>7.49</v>
      </c>
      <c r="P3287" s="18" t="s">
        <v>1107</v>
      </c>
      <c r="Q3287" s="18">
        <v>0</v>
      </c>
      <c r="U3287" s="22">
        <v>0.72</v>
      </c>
      <c r="V3287" s="22">
        <f>3.16/5</f>
        <v>0.63200000000000001</v>
      </c>
      <c r="W3287" s="14" t="s">
        <v>7777</v>
      </c>
      <c r="X3287" s="3">
        <v>3</v>
      </c>
      <c r="Z3287" s="23">
        <v>4</v>
      </c>
      <c r="AB3287" s="18">
        <f t="shared" si="102"/>
        <v>2014</v>
      </c>
      <c r="AC3287" s="22">
        <f t="shared" si="103"/>
        <v>0.65066666666666662</v>
      </c>
    </row>
    <row r="3288" spans="1:29" ht="75">
      <c r="A3288" s="8" t="s">
        <v>11228</v>
      </c>
      <c r="B3288" s="17" t="s">
        <v>7743</v>
      </c>
      <c r="C3288" s="13">
        <v>41831</v>
      </c>
      <c r="D3288" s="13" t="s">
        <v>8465</v>
      </c>
      <c r="E3288" s="10" t="s">
        <v>86</v>
      </c>
      <c r="F3288" s="10" t="s">
        <v>87</v>
      </c>
      <c r="G3288" s="11" t="s">
        <v>966</v>
      </c>
      <c r="H3288" s="2" t="s">
        <v>255</v>
      </c>
      <c r="L3288" s="18">
        <v>1</v>
      </c>
      <c r="M3288" s="14" t="s">
        <v>8462</v>
      </c>
      <c r="N3288" s="13">
        <v>44644</v>
      </c>
      <c r="O3288" s="29">
        <v>38.020000000000003</v>
      </c>
      <c r="P3288" s="18" t="s">
        <v>14</v>
      </c>
      <c r="Q3288" s="18">
        <v>0</v>
      </c>
      <c r="U3288" s="22">
        <v>0.68</v>
      </c>
      <c r="V3288" s="22">
        <f>3.54/5</f>
        <v>0.70799999999999996</v>
      </c>
      <c r="W3288" s="14" t="s">
        <v>11524</v>
      </c>
      <c r="X3288" s="3">
        <v>2</v>
      </c>
      <c r="Z3288" s="23">
        <v>3</v>
      </c>
      <c r="AB3288" s="18">
        <f t="shared" si="102"/>
        <v>2014</v>
      </c>
      <c r="AC3288" s="22">
        <f t="shared" si="103"/>
        <v>0.59599999999999997</v>
      </c>
    </row>
    <row r="3289" spans="1:29" ht="25.5">
      <c r="A3289" s="8" t="s">
        <v>4449</v>
      </c>
      <c r="B3289" s="17" t="s">
        <v>7800</v>
      </c>
      <c r="C3289" s="13">
        <v>41830</v>
      </c>
      <c r="D3289" s="13" t="s">
        <v>8465</v>
      </c>
      <c r="E3289" s="10" t="s">
        <v>4450</v>
      </c>
      <c r="F3289" s="10" t="s">
        <v>4450</v>
      </c>
      <c r="G3289" s="11" t="s">
        <v>4451</v>
      </c>
      <c r="H3289" s="2" t="s">
        <v>149</v>
      </c>
      <c r="L3289" s="18">
        <v>1</v>
      </c>
      <c r="N3289" s="13">
        <v>41836</v>
      </c>
      <c r="P3289" s="18" t="s">
        <v>1107</v>
      </c>
      <c r="Q3289" s="18">
        <v>0</v>
      </c>
      <c r="V3289" s="22">
        <f>4.18/5</f>
        <v>0.83599999999999997</v>
      </c>
      <c r="W3289" s="14" t="s">
        <v>7777</v>
      </c>
      <c r="X3289" s="3">
        <v>2</v>
      </c>
      <c r="Z3289" s="23">
        <v>11.5</v>
      </c>
      <c r="AB3289" s="18">
        <f t="shared" si="102"/>
        <v>2014</v>
      </c>
      <c r="AC3289" s="22">
        <f t="shared" si="103"/>
        <v>0.61799999999999999</v>
      </c>
    </row>
    <row r="3290" spans="1:29">
      <c r="A3290" s="8" t="s">
        <v>7083</v>
      </c>
      <c r="B3290" s="17" t="s">
        <v>7800</v>
      </c>
      <c r="C3290" s="13">
        <v>41829</v>
      </c>
      <c r="D3290" s="13" t="s">
        <v>8465</v>
      </c>
      <c r="E3290" s="10" t="s">
        <v>6112</v>
      </c>
      <c r="F3290" s="10" t="s">
        <v>7084</v>
      </c>
      <c r="H3290" s="2" t="s">
        <v>67</v>
      </c>
      <c r="L3290" s="18">
        <v>1</v>
      </c>
      <c r="O3290" s="29">
        <v>0</v>
      </c>
      <c r="P3290" s="18" t="s">
        <v>1107</v>
      </c>
      <c r="Q3290" s="18">
        <v>0</v>
      </c>
      <c r="U3290" s="22">
        <v>0.63</v>
      </c>
      <c r="V3290" s="22">
        <f>3.52/5</f>
        <v>0.70399999999999996</v>
      </c>
      <c r="W3290" s="14" t="s">
        <v>7799</v>
      </c>
      <c r="X3290" s="3">
        <v>3</v>
      </c>
      <c r="Z3290" s="23">
        <v>2.5</v>
      </c>
      <c r="AB3290" s="18">
        <f t="shared" si="102"/>
        <v>2014</v>
      </c>
      <c r="AC3290" s="22">
        <f t="shared" si="103"/>
        <v>0.64466666666666672</v>
      </c>
    </row>
    <row r="3291" spans="1:29" ht="25.5">
      <c r="A3291" s="8" t="s">
        <v>10137</v>
      </c>
      <c r="B3291" s="17" t="s">
        <v>7763</v>
      </c>
      <c r="C3291" s="13">
        <v>41828</v>
      </c>
      <c r="D3291" s="13" t="s">
        <v>8465</v>
      </c>
      <c r="E3291" s="10" t="s">
        <v>3568</v>
      </c>
      <c r="F3291" s="10" t="s">
        <v>1546</v>
      </c>
      <c r="G3291" s="11" t="s">
        <v>9669</v>
      </c>
      <c r="H3291" s="2" t="s">
        <v>80</v>
      </c>
      <c r="L3291" s="18">
        <v>1</v>
      </c>
      <c r="M3291" s="14" t="s">
        <v>8462</v>
      </c>
      <c r="N3291" s="13">
        <v>44305</v>
      </c>
      <c r="O3291" s="29">
        <v>21.42</v>
      </c>
      <c r="P3291" s="18" t="s">
        <v>14</v>
      </c>
      <c r="Q3291" s="18">
        <v>0</v>
      </c>
      <c r="U3291" s="22">
        <v>0.67</v>
      </c>
      <c r="V3291" s="22">
        <f>3.82/5</f>
        <v>0.76400000000000001</v>
      </c>
      <c r="X3291" s="3">
        <v>2</v>
      </c>
      <c r="Z3291" s="23">
        <v>9.5</v>
      </c>
      <c r="AB3291" s="18">
        <f t="shared" si="102"/>
        <v>2014</v>
      </c>
      <c r="AC3291" s="22">
        <f t="shared" si="103"/>
        <v>0.6113333333333334</v>
      </c>
    </row>
    <row r="3292" spans="1:29">
      <c r="A3292" s="8" t="s">
        <v>3458</v>
      </c>
      <c r="B3292" s="17" t="s">
        <v>7800</v>
      </c>
      <c r="C3292" s="13">
        <v>41827</v>
      </c>
      <c r="D3292" s="13" t="s">
        <v>8465</v>
      </c>
      <c r="E3292" s="10" t="s">
        <v>3459</v>
      </c>
      <c r="F3292" s="10" t="s">
        <v>3459</v>
      </c>
      <c r="H3292" s="2" t="s">
        <v>67</v>
      </c>
      <c r="L3292" s="18">
        <v>1</v>
      </c>
      <c r="N3292" s="13">
        <v>42037</v>
      </c>
      <c r="P3292" s="18" t="s">
        <v>1107</v>
      </c>
      <c r="Q3292" s="18">
        <v>0</v>
      </c>
      <c r="V3292" s="22">
        <f>3.72/5</f>
        <v>0.74399999999999999</v>
      </c>
      <c r="W3292" s="14" t="s">
        <v>7777</v>
      </c>
      <c r="X3292" s="3">
        <v>3</v>
      </c>
      <c r="Z3292" s="23">
        <v>3</v>
      </c>
      <c r="AB3292" s="18">
        <f t="shared" si="102"/>
        <v>2014</v>
      </c>
      <c r="AC3292" s="22">
        <f t="shared" si="103"/>
        <v>0.67199999999999993</v>
      </c>
    </row>
    <row r="3293" spans="1:29">
      <c r="A3293" s="8" t="s">
        <v>3489</v>
      </c>
      <c r="B3293" s="17" t="s">
        <v>7800</v>
      </c>
      <c r="C3293" s="13">
        <v>41827</v>
      </c>
      <c r="D3293" s="13" t="s">
        <v>8465</v>
      </c>
      <c r="E3293" s="10" t="s">
        <v>3490</v>
      </c>
      <c r="F3293" s="10" t="s">
        <v>3491</v>
      </c>
      <c r="H3293" s="2" t="s">
        <v>1334</v>
      </c>
      <c r="L3293" s="18">
        <v>1</v>
      </c>
      <c r="N3293" s="13">
        <v>42547</v>
      </c>
      <c r="P3293" s="18" t="s">
        <v>1107</v>
      </c>
      <c r="Q3293" s="18">
        <v>0</v>
      </c>
      <c r="V3293" s="22">
        <f>3.83/5</f>
        <v>0.76600000000000001</v>
      </c>
      <c r="W3293" s="14" t="s">
        <v>7777</v>
      </c>
      <c r="X3293" s="3">
        <v>2</v>
      </c>
      <c r="Z3293" s="23">
        <v>12.5</v>
      </c>
      <c r="AB3293" s="18">
        <f t="shared" si="102"/>
        <v>2014</v>
      </c>
      <c r="AC3293" s="22">
        <f t="shared" si="103"/>
        <v>0.58299999999999996</v>
      </c>
    </row>
    <row r="3294" spans="1:29">
      <c r="A3294" s="8" t="s">
        <v>4980</v>
      </c>
      <c r="B3294" s="17" t="s">
        <v>7800</v>
      </c>
      <c r="C3294" s="13">
        <v>41823</v>
      </c>
      <c r="D3294" s="13" t="s">
        <v>8465</v>
      </c>
      <c r="E3294" s="10" t="s">
        <v>4478</v>
      </c>
      <c r="F3294" s="10" t="s">
        <v>4478</v>
      </c>
      <c r="H3294" s="2" t="s">
        <v>1518</v>
      </c>
      <c r="L3294" s="18">
        <v>1</v>
      </c>
      <c r="N3294" s="13">
        <v>42110</v>
      </c>
      <c r="P3294" s="18" t="s">
        <v>1107</v>
      </c>
      <c r="Q3294" s="18">
        <v>0</v>
      </c>
      <c r="U3294" s="22">
        <v>0.63</v>
      </c>
      <c r="V3294" s="22">
        <f>3.43/5</f>
        <v>0.68600000000000005</v>
      </c>
      <c r="W3294" s="14" t="s">
        <v>7777</v>
      </c>
      <c r="X3294" s="3">
        <v>3</v>
      </c>
      <c r="Z3294" s="23">
        <v>8.5</v>
      </c>
      <c r="AB3294" s="18">
        <f t="shared" si="102"/>
        <v>2014</v>
      </c>
      <c r="AC3294" s="22">
        <f t="shared" si="103"/>
        <v>0.6386666666666666</v>
      </c>
    </row>
    <row r="3295" spans="1:29">
      <c r="A3295" s="8" t="s">
        <v>3902</v>
      </c>
      <c r="B3295" s="17" t="s">
        <v>7800</v>
      </c>
      <c r="C3295" s="13">
        <v>41823</v>
      </c>
      <c r="D3295" s="13" t="s">
        <v>8465</v>
      </c>
      <c r="E3295" s="10" t="s">
        <v>3903</v>
      </c>
      <c r="F3295" s="10" t="s">
        <v>3903</v>
      </c>
      <c r="H3295" s="2" t="s">
        <v>153</v>
      </c>
      <c r="L3295" s="18">
        <v>1</v>
      </c>
      <c r="N3295" s="13">
        <v>42019</v>
      </c>
      <c r="P3295" s="18" t="s">
        <v>1107</v>
      </c>
      <c r="Q3295" s="18">
        <v>0</v>
      </c>
      <c r="V3295" s="22">
        <f>2.83/5</f>
        <v>0.56600000000000006</v>
      </c>
      <c r="W3295" s="14" t="s">
        <v>7777</v>
      </c>
      <c r="X3295" s="3">
        <v>2</v>
      </c>
      <c r="Z3295" s="23">
        <v>1.5</v>
      </c>
      <c r="AB3295" s="18">
        <f t="shared" si="102"/>
        <v>2014</v>
      </c>
      <c r="AC3295" s="22">
        <f t="shared" si="103"/>
        <v>0.48300000000000004</v>
      </c>
    </row>
    <row r="3296" spans="1:29">
      <c r="A3296" s="8" t="s">
        <v>4787</v>
      </c>
      <c r="B3296" s="17" t="s">
        <v>7800</v>
      </c>
      <c r="C3296" s="13">
        <v>41822</v>
      </c>
      <c r="D3296" s="13" t="s">
        <v>8465</v>
      </c>
      <c r="E3296" s="10" t="s">
        <v>4788</v>
      </c>
      <c r="F3296" s="10" t="s">
        <v>4788</v>
      </c>
      <c r="H3296" s="2" t="s">
        <v>255</v>
      </c>
      <c r="L3296" s="18">
        <v>1</v>
      </c>
      <c r="N3296" s="13">
        <v>41981</v>
      </c>
      <c r="P3296" s="18" t="s">
        <v>1107</v>
      </c>
      <c r="Q3296" s="18">
        <v>0</v>
      </c>
      <c r="V3296" s="22">
        <f>3.5/5</f>
        <v>0.7</v>
      </c>
      <c r="W3296" s="14" t="s">
        <v>7777</v>
      </c>
      <c r="X3296" s="3">
        <v>2</v>
      </c>
      <c r="Z3296" s="23">
        <v>4</v>
      </c>
      <c r="AB3296" s="18">
        <f t="shared" si="102"/>
        <v>2014</v>
      </c>
      <c r="AC3296" s="22">
        <f t="shared" si="103"/>
        <v>0.55000000000000004</v>
      </c>
    </row>
    <row r="3297" spans="1:29" ht="25.5">
      <c r="A3297" s="8" t="s">
        <v>3095</v>
      </c>
      <c r="B3297" s="17" t="s">
        <v>7800</v>
      </c>
      <c r="C3297" s="13">
        <v>41821</v>
      </c>
      <c r="D3297" s="13" t="s">
        <v>8465</v>
      </c>
      <c r="E3297" s="10" t="s">
        <v>3096</v>
      </c>
      <c r="F3297" s="10" t="s">
        <v>3097</v>
      </c>
      <c r="G3297" s="11" t="s">
        <v>3098</v>
      </c>
      <c r="H3297" s="2" t="s">
        <v>21</v>
      </c>
      <c r="L3297" s="18">
        <v>1</v>
      </c>
      <c r="N3297" s="13">
        <v>41836</v>
      </c>
      <c r="P3297" s="18" t="s">
        <v>1107</v>
      </c>
      <c r="Q3297" s="18">
        <v>0</v>
      </c>
      <c r="U3297" s="22">
        <v>0.69</v>
      </c>
      <c r="V3297" s="22">
        <f>4.03/5</f>
        <v>0.80600000000000005</v>
      </c>
      <c r="W3297" s="14" t="s">
        <v>7777</v>
      </c>
      <c r="X3297" s="3">
        <v>3</v>
      </c>
      <c r="Z3297" s="23">
        <f>57/60</f>
        <v>0.95</v>
      </c>
      <c r="AB3297" s="18">
        <f t="shared" si="102"/>
        <v>2014</v>
      </c>
      <c r="AC3297" s="22">
        <f t="shared" si="103"/>
        <v>0.69866666666666666</v>
      </c>
    </row>
    <row r="3298" spans="1:29" ht="25.5">
      <c r="A3298" s="8" t="s">
        <v>10225</v>
      </c>
      <c r="B3298" s="17" t="s">
        <v>7759</v>
      </c>
      <c r="C3298" s="13">
        <v>41821</v>
      </c>
      <c r="D3298" s="13" t="s">
        <v>8465</v>
      </c>
      <c r="E3298" s="10" t="s">
        <v>3568</v>
      </c>
      <c r="F3298" s="10" t="s">
        <v>3568</v>
      </c>
      <c r="G3298" s="11" t="s">
        <v>7950</v>
      </c>
      <c r="H3298" s="2" t="s">
        <v>1059</v>
      </c>
      <c r="L3298" s="18">
        <v>0</v>
      </c>
      <c r="Q3298" s="18">
        <v>0</v>
      </c>
      <c r="U3298" s="22">
        <v>0.64</v>
      </c>
      <c r="V3298" s="22">
        <f>4.18/5</f>
        <v>0.83599999999999997</v>
      </c>
      <c r="X3298" s="3">
        <v>3</v>
      </c>
      <c r="Y3298" s="18">
        <v>1</v>
      </c>
      <c r="Z3298" s="23">
        <v>14.5</v>
      </c>
      <c r="AB3298" s="18">
        <f t="shared" si="102"/>
        <v>2014</v>
      </c>
      <c r="AC3298" s="22">
        <f t="shared" si="103"/>
        <v>0.69200000000000006</v>
      </c>
    </row>
    <row r="3299" spans="1:29">
      <c r="A3299" s="8" t="s">
        <v>4464</v>
      </c>
      <c r="B3299" s="17" t="s">
        <v>7800</v>
      </c>
      <c r="C3299" s="13">
        <v>41821</v>
      </c>
      <c r="D3299" s="13" t="s">
        <v>8465</v>
      </c>
      <c r="E3299" s="10" t="s">
        <v>4465</v>
      </c>
      <c r="F3299" s="10" t="s">
        <v>4465</v>
      </c>
      <c r="G3299" s="11" t="s">
        <v>4466</v>
      </c>
      <c r="H3299" s="2" t="s">
        <v>56</v>
      </c>
      <c r="L3299" s="18">
        <v>1</v>
      </c>
      <c r="N3299" s="13">
        <v>42175</v>
      </c>
      <c r="O3299" s="29">
        <v>1.99</v>
      </c>
      <c r="P3299" s="18" t="s">
        <v>1107</v>
      </c>
      <c r="Q3299" s="18">
        <v>0</v>
      </c>
      <c r="V3299" s="22">
        <f>3.65/5</f>
        <v>0.73</v>
      </c>
      <c r="W3299" s="14" t="s">
        <v>7777</v>
      </c>
      <c r="X3299" s="3">
        <v>3</v>
      </c>
      <c r="Z3299" s="23">
        <v>1.5</v>
      </c>
      <c r="AB3299" s="18">
        <f t="shared" si="102"/>
        <v>2014</v>
      </c>
      <c r="AC3299" s="22">
        <f t="shared" si="103"/>
        <v>0.66500000000000004</v>
      </c>
    </row>
    <row r="3300" spans="1:29" ht="30">
      <c r="A3300" s="8" t="s">
        <v>5050</v>
      </c>
      <c r="B3300" s="17" t="s">
        <v>7800</v>
      </c>
      <c r="C3300" s="13">
        <v>41821</v>
      </c>
      <c r="D3300" s="13" t="s">
        <v>8465</v>
      </c>
      <c r="E3300" s="10" t="s">
        <v>3152</v>
      </c>
      <c r="F3300" s="10" t="s">
        <v>3152</v>
      </c>
      <c r="G3300" s="11" t="s">
        <v>5047</v>
      </c>
      <c r="H3300" s="2" t="s">
        <v>245</v>
      </c>
      <c r="L3300" s="18">
        <v>1</v>
      </c>
      <c r="N3300" s="13">
        <v>43514</v>
      </c>
      <c r="P3300" s="18" t="s">
        <v>1107</v>
      </c>
      <c r="Q3300" s="18">
        <v>0</v>
      </c>
      <c r="U3300" s="22">
        <v>0.72</v>
      </c>
      <c r="V3300" s="22">
        <f>3.37/5</f>
        <v>0.67400000000000004</v>
      </c>
      <c r="W3300" s="14" t="s">
        <v>7777</v>
      </c>
      <c r="X3300" s="3">
        <v>3</v>
      </c>
      <c r="Z3300" s="23">
        <v>9</v>
      </c>
      <c r="AB3300" s="18">
        <f t="shared" si="102"/>
        <v>2014</v>
      </c>
      <c r="AC3300" s="22">
        <f t="shared" si="103"/>
        <v>0.66466666666666674</v>
      </c>
    </row>
    <row r="3301" spans="1:29">
      <c r="A3301" s="8" t="s">
        <v>3098</v>
      </c>
      <c r="B3301" s="17" t="s">
        <v>7800</v>
      </c>
      <c r="C3301" s="13">
        <v>41821</v>
      </c>
      <c r="D3301" s="13" t="s">
        <v>8465</v>
      </c>
      <c r="E3301" s="10" t="s">
        <v>3096</v>
      </c>
      <c r="F3301" s="10" t="s">
        <v>3097</v>
      </c>
      <c r="G3301" s="11" t="s">
        <v>3098</v>
      </c>
      <c r="H3301" s="2" t="s">
        <v>21</v>
      </c>
      <c r="L3301" s="18">
        <v>1</v>
      </c>
      <c r="N3301" s="13">
        <v>41836</v>
      </c>
      <c r="P3301" s="18" t="s">
        <v>1107</v>
      </c>
      <c r="Q3301" s="18">
        <v>0</v>
      </c>
      <c r="V3301" s="22">
        <f>3.77/5</f>
        <v>0.754</v>
      </c>
      <c r="W3301" s="14" t="s">
        <v>7777</v>
      </c>
      <c r="X3301" s="3">
        <v>2</v>
      </c>
      <c r="Z3301" s="23">
        <v>4.5</v>
      </c>
      <c r="AB3301" s="18">
        <f t="shared" si="102"/>
        <v>2014</v>
      </c>
      <c r="AC3301" s="22">
        <f t="shared" si="103"/>
        <v>0.57699999999999996</v>
      </c>
    </row>
    <row r="3302" spans="1:29">
      <c r="A3302" s="8" t="s">
        <v>3683</v>
      </c>
      <c r="B3302" s="17" t="s">
        <v>7800</v>
      </c>
      <c r="C3302" s="13">
        <v>41820</v>
      </c>
      <c r="D3302" s="13" t="s">
        <v>8465</v>
      </c>
      <c r="E3302" s="10" t="s">
        <v>3298</v>
      </c>
      <c r="F3302" s="10" t="s">
        <v>3298</v>
      </c>
      <c r="G3302" s="11" t="s">
        <v>3299</v>
      </c>
      <c r="H3302" s="2" t="s">
        <v>171</v>
      </c>
      <c r="L3302" s="18">
        <v>1</v>
      </c>
      <c r="N3302" s="13">
        <v>42363</v>
      </c>
      <c r="O3302" s="29">
        <v>26.79</v>
      </c>
      <c r="P3302" s="18" t="s">
        <v>1107</v>
      </c>
      <c r="Q3302" s="18">
        <v>0</v>
      </c>
      <c r="U3302" s="22">
        <v>0.85</v>
      </c>
      <c r="V3302" s="22">
        <f>4.09/5</f>
        <v>0.81799999999999995</v>
      </c>
      <c r="W3302" s="14" t="s">
        <v>7777</v>
      </c>
      <c r="X3302" s="3">
        <v>4</v>
      </c>
      <c r="Z3302" s="23">
        <v>52.5</v>
      </c>
      <c r="AB3302" s="18">
        <f t="shared" si="102"/>
        <v>2014</v>
      </c>
      <c r="AC3302" s="22">
        <f t="shared" si="103"/>
        <v>0.82266666666666666</v>
      </c>
    </row>
    <row r="3303" spans="1:29" ht="38.25">
      <c r="A3303" s="8" t="s">
        <v>13774</v>
      </c>
      <c r="B3303" s="17" t="s">
        <v>8754</v>
      </c>
      <c r="C3303" s="13">
        <v>41816</v>
      </c>
      <c r="D3303" s="13" t="s">
        <v>8465</v>
      </c>
      <c r="E3303" s="10" t="s">
        <v>8418</v>
      </c>
      <c r="F3303" s="10" t="s">
        <v>8418</v>
      </c>
      <c r="G3303" s="11" t="s">
        <v>8417</v>
      </c>
      <c r="H3303" s="2" t="s">
        <v>171</v>
      </c>
      <c r="L3303" s="18">
        <v>0</v>
      </c>
      <c r="Q3303" s="18">
        <v>0</v>
      </c>
      <c r="V3303" s="22">
        <f>3.93/5</f>
        <v>0.78600000000000003</v>
      </c>
      <c r="W3303" s="14" t="s">
        <v>9890</v>
      </c>
      <c r="X3303" s="3">
        <v>2</v>
      </c>
      <c r="Z3303" s="23">
        <f>36/60</f>
        <v>0.6</v>
      </c>
      <c r="AB3303" s="18">
        <f t="shared" si="102"/>
        <v>2014</v>
      </c>
      <c r="AC3303" s="22">
        <f t="shared" si="103"/>
        <v>0.59299999999999997</v>
      </c>
    </row>
    <row r="3304" spans="1:29" ht="25.5">
      <c r="A3304" s="8" t="s">
        <v>5493</v>
      </c>
      <c r="B3304" s="17" t="s">
        <v>7800</v>
      </c>
      <c r="C3304" s="13">
        <v>41815</v>
      </c>
      <c r="D3304" s="13" t="s">
        <v>8465</v>
      </c>
      <c r="E3304" s="10" t="s">
        <v>1047</v>
      </c>
      <c r="F3304" s="10" t="s">
        <v>1147</v>
      </c>
      <c r="G3304" s="11" t="s">
        <v>14633</v>
      </c>
      <c r="H3304" s="2" t="s">
        <v>67</v>
      </c>
      <c r="L3304" s="18">
        <v>1</v>
      </c>
      <c r="N3304" s="13">
        <v>42076</v>
      </c>
      <c r="O3304" s="29">
        <v>2.5099999999999998</v>
      </c>
      <c r="P3304" s="18" t="s">
        <v>1107</v>
      </c>
      <c r="Q3304" s="18">
        <v>0</v>
      </c>
      <c r="U3304" s="22">
        <v>0.79</v>
      </c>
      <c r="V3304" s="22">
        <f>3.99/5</f>
        <v>0.79800000000000004</v>
      </c>
      <c r="W3304" s="14" t="s">
        <v>7777</v>
      </c>
      <c r="X3304" s="3">
        <v>4</v>
      </c>
      <c r="Z3304" s="23">
        <v>6.5</v>
      </c>
      <c r="AB3304" s="18">
        <f t="shared" si="102"/>
        <v>2014</v>
      </c>
      <c r="AC3304" s="22">
        <f t="shared" si="103"/>
        <v>0.79599999999999993</v>
      </c>
    </row>
    <row r="3305" spans="1:29" ht="25.5">
      <c r="A3305" s="8" t="s">
        <v>8938</v>
      </c>
      <c r="B3305" s="17" t="s">
        <v>7743</v>
      </c>
      <c r="C3305" s="13">
        <v>41814</v>
      </c>
      <c r="D3305" s="13" t="s">
        <v>8465</v>
      </c>
      <c r="E3305" s="10" t="s">
        <v>1273</v>
      </c>
      <c r="F3305" s="10" t="s">
        <v>8939</v>
      </c>
      <c r="G3305" s="11" t="s">
        <v>6198</v>
      </c>
      <c r="H3305" s="2" t="s">
        <v>1168</v>
      </c>
      <c r="L3305" s="18">
        <v>1</v>
      </c>
      <c r="M3305" s="14" t="s">
        <v>8462</v>
      </c>
      <c r="N3305" s="13">
        <v>44299</v>
      </c>
      <c r="O3305" s="29">
        <v>14.83</v>
      </c>
      <c r="P3305" s="18" t="s">
        <v>14</v>
      </c>
      <c r="Q3305" s="18">
        <v>0</v>
      </c>
      <c r="U3305" s="22">
        <v>0.38</v>
      </c>
      <c r="V3305" s="22">
        <f>3.6/5</f>
        <v>0.72</v>
      </c>
      <c r="X3305" s="3">
        <v>2</v>
      </c>
      <c r="Z3305" s="23">
        <v>6</v>
      </c>
      <c r="AB3305" s="18">
        <f t="shared" si="102"/>
        <v>2014</v>
      </c>
      <c r="AC3305" s="22">
        <f t="shared" si="103"/>
        <v>0.5</v>
      </c>
    </row>
    <row r="3306" spans="1:29">
      <c r="A3306" s="8" t="s">
        <v>1104</v>
      </c>
      <c r="B3306" s="17" t="s">
        <v>7743</v>
      </c>
      <c r="C3306" s="13">
        <v>41809</v>
      </c>
      <c r="D3306" s="13" t="s">
        <v>8465</v>
      </c>
      <c r="E3306" s="10" t="s">
        <v>86</v>
      </c>
      <c r="F3306" s="10" t="s">
        <v>1069</v>
      </c>
      <c r="G3306" s="11" t="s">
        <v>1149</v>
      </c>
      <c r="H3306" s="2" t="s">
        <v>78</v>
      </c>
      <c r="L3306" s="18">
        <v>1</v>
      </c>
      <c r="N3306" s="13">
        <v>41816</v>
      </c>
      <c r="O3306" s="29">
        <v>9.99</v>
      </c>
      <c r="P3306" s="18" t="s">
        <v>1107</v>
      </c>
      <c r="Q3306" s="18">
        <v>0</v>
      </c>
      <c r="U3306" s="22">
        <v>0.8</v>
      </c>
      <c r="V3306" s="22">
        <f>3.84/5</f>
        <v>0.76800000000000002</v>
      </c>
      <c r="X3306" s="3">
        <v>3</v>
      </c>
      <c r="Z3306" s="23">
        <v>9.5</v>
      </c>
      <c r="AB3306" s="18">
        <f t="shared" si="102"/>
        <v>2014</v>
      </c>
      <c r="AC3306" s="22">
        <f t="shared" si="103"/>
        <v>0.72266666666666668</v>
      </c>
    </row>
    <row r="3307" spans="1:29" ht="25.5">
      <c r="A3307" s="8" t="s">
        <v>10230</v>
      </c>
      <c r="B3307" s="17" t="s">
        <v>7759</v>
      </c>
      <c r="C3307" s="13">
        <v>41807</v>
      </c>
      <c r="D3307" s="13" t="s">
        <v>8465</v>
      </c>
      <c r="E3307" s="10" t="s">
        <v>1062</v>
      </c>
      <c r="F3307" s="10" t="s">
        <v>10246</v>
      </c>
      <c r="H3307" s="2" t="s">
        <v>171</v>
      </c>
      <c r="L3307" s="18">
        <v>0</v>
      </c>
      <c r="Q3307" s="18">
        <v>0</v>
      </c>
      <c r="U3307" s="22">
        <v>0.69</v>
      </c>
      <c r="V3307" s="22">
        <f>3.71/5</f>
        <v>0.74199999999999999</v>
      </c>
      <c r="X3307" s="3">
        <v>2</v>
      </c>
      <c r="Y3307" s="18">
        <v>1</v>
      </c>
      <c r="Z3307" s="23">
        <v>11</v>
      </c>
      <c r="AB3307" s="18">
        <f t="shared" si="102"/>
        <v>2014</v>
      </c>
      <c r="AC3307" s="22">
        <f t="shared" si="103"/>
        <v>0.61066666666666658</v>
      </c>
    </row>
    <row r="3308" spans="1:29">
      <c r="A3308" s="8" t="s">
        <v>12133</v>
      </c>
      <c r="B3308" s="17" t="s">
        <v>7800</v>
      </c>
      <c r="C3308" s="13">
        <v>41806</v>
      </c>
      <c r="D3308" s="13" t="s">
        <v>8465</v>
      </c>
      <c r="E3308" s="10" t="s">
        <v>12134</v>
      </c>
      <c r="F3308" s="10" t="s">
        <v>12134</v>
      </c>
      <c r="H3308" s="2" t="s">
        <v>143</v>
      </c>
      <c r="L3308" s="18">
        <v>1</v>
      </c>
      <c r="O3308" s="29">
        <v>0</v>
      </c>
      <c r="P3308" s="18" t="s">
        <v>1107</v>
      </c>
      <c r="Q3308" s="18">
        <v>0</v>
      </c>
      <c r="V3308" s="22">
        <f>4.16/5</f>
        <v>0.83200000000000007</v>
      </c>
      <c r="W3308" s="14" t="s">
        <v>8765</v>
      </c>
      <c r="X3308" s="3">
        <v>3</v>
      </c>
      <c r="Z3308" s="23">
        <v>2.5</v>
      </c>
      <c r="AB3308" s="18">
        <f t="shared" si="102"/>
        <v>2014</v>
      </c>
      <c r="AC3308" s="22">
        <f t="shared" si="103"/>
        <v>0.71599999999999997</v>
      </c>
    </row>
    <row r="3309" spans="1:29">
      <c r="A3309" s="8" t="s">
        <v>5595</v>
      </c>
      <c r="B3309" s="17" t="s">
        <v>7800</v>
      </c>
      <c r="C3309" s="13">
        <v>41806</v>
      </c>
      <c r="D3309" s="13" t="s">
        <v>8465</v>
      </c>
      <c r="E3309" s="10" t="s">
        <v>5596</v>
      </c>
      <c r="F3309" s="10" t="s">
        <v>5596</v>
      </c>
      <c r="H3309" s="2" t="s">
        <v>69</v>
      </c>
      <c r="L3309" s="18">
        <v>1</v>
      </c>
      <c r="N3309" s="13">
        <v>42284</v>
      </c>
      <c r="P3309" s="18" t="s">
        <v>1107</v>
      </c>
      <c r="Q3309" s="18">
        <v>0</v>
      </c>
      <c r="U3309" s="22">
        <v>0.82</v>
      </c>
      <c r="V3309" s="22">
        <f>3.59/5</f>
        <v>0.71799999999999997</v>
      </c>
      <c r="W3309" s="14" t="s">
        <v>7777</v>
      </c>
      <c r="X3309" s="3">
        <v>3</v>
      </c>
      <c r="Z3309" s="23">
        <v>31</v>
      </c>
      <c r="AB3309" s="18">
        <f t="shared" si="102"/>
        <v>2014</v>
      </c>
      <c r="AC3309" s="22">
        <f t="shared" si="103"/>
        <v>0.71266666666666667</v>
      </c>
    </row>
    <row r="3310" spans="1:29" ht="25.5">
      <c r="A3310" s="8" t="s">
        <v>11093</v>
      </c>
      <c r="B3310" s="17" t="s">
        <v>7749</v>
      </c>
      <c r="C3310" s="13">
        <v>41803</v>
      </c>
      <c r="D3310" s="13" t="s">
        <v>8467</v>
      </c>
      <c r="E3310" s="10" t="s">
        <v>86</v>
      </c>
      <c r="F3310" s="10" t="s">
        <v>2129</v>
      </c>
      <c r="G3310" s="11" t="s">
        <v>2181</v>
      </c>
      <c r="H3310" s="2" t="s">
        <v>255</v>
      </c>
      <c r="L3310" s="18">
        <v>0</v>
      </c>
      <c r="Q3310" s="18">
        <v>0</v>
      </c>
      <c r="U3310" s="22">
        <v>0.74</v>
      </c>
      <c r="V3310" s="22">
        <f>4.23/5</f>
        <v>0.84600000000000009</v>
      </c>
      <c r="X3310" s="3">
        <v>3</v>
      </c>
      <c r="Z3310" s="23">
        <v>23.5</v>
      </c>
      <c r="AB3310" s="18">
        <f t="shared" si="102"/>
        <v>2014</v>
      </c>
      <c r="AC3310" s="22">
        <f t="shared" si="103"/>
        <v>0.72866666666666668</v>
      </c>
    </row>
    <row r="3311" spans="1:29" ht="25.5">
      <c r="A3311" s="8" t="s">
        <v>8282</v>
      </c>
      <c r="B3311" s="17" t="s">
        <v>7800</v>
      </c>
      <c r="C3311" s="13">
        <v>41802</v>
      </c>
      <c r="D3311" s="13" t="s">
        <v>8465</v>
      </c>
      <c r="E3311" s="10" t="s">
        <v>6517</v>
      </c>
      <c r="F3311" s="10" t="s">
        <v>8283</v>
      </c>
      <c r="G3311" s="11" t="s">
        <v>8284</v>
      </c>
      <c r="H3311" s="2" t="s">
        <v>1143</v>
      </c>
      <c r="L3311" s="18">
        <v>1</v>
      </c>
      <c r="N3311" s="13">
        <v>43832</v>
      </c>
      <c r="O3311" s="29">
        <v>0</v>
      </c>
      <c r="P3311" s="18" t="s">
        <v>1107</v>
      </c>
      <c r="Q3311" s="18">
        <v>0</v>
      </c>
      <c r="V3311" s="22">
        <f>4.04/5</f>
        <v>0.80800000000000005</v>
      </c>
      <c r="W3311" s="14" t="s">
        <v>7777</v>
      </c>
      <c r="X3311" s="3">
        <v>3</v>
      </c>
      <c r="Z3311" s="23">
        <v>15.5</v>
      </c>
      <c r="AB3311" s="18">
        <f t="shared" si="102"/>
        <v>2014</v>
      </c>
      <c r="AC3311" s="22">
        <f t="shared" si="103"/>
        <v>0.70399999999999996</v>
      </c>
    </row>
    <row r="3312" spans="1:29" ht="25.5">
      <c r="A3312" s="8" t="s">
        <v>5101</v>
      </c>
      <c r="B3312" s="17" t="s">
        <v>7800</v>
      </c>
      <c r="C3312" s="13">
        <v>41801</v>
      </c>
      <c r="D3312" s="13" t="s">
        <v>8465</v>
      </c>
      <c r="E3312" s="10" t="s">
        <v>5102</v>
      </c>
      <c r="F3312" s="10" t="s">
        <v>5102</v>
      </c>
      <c r="H3312" s="2" t="s">
        <v>245</v>
      </c>
      <c r="L3312" s="18">
        <v>1</v>
      </c>
      <c r="N3312" s="13">
        <v>42038</v>
      </c>
      <c r="P3312" s="18" t="s">
        <v>1107</v>
      </c>
      <c r="Q3312" s="18">
        <v>0</v>
      </c>
      <c r="V3312" s="22">
        <f>3.41/5</f>
        <v>0.68200000000000005</v>
      </c>
      <c r="W3312" s="14" t="s">
        <v>7777</v>
      </c>
      <c r="X3312" s="3">
        <v>2</v>
      </c>
      <c r="Z3312" s="23">
        <v>2</v>
      </c>
      <c r="AB3312" s="18">
        <f t="shared" si="102"/>
        <v>2014</v>
      </c>
      <c r="AC3312" s="22">
        <f t="shared" si="103"/>
        <v>0.54100000000000004</v>
      </c>
    </row>
    <row r="3313" spans="1:29">
      <c r="A3313" s="8" t="s">
        <v>518</v>
      </c>
      <c r="B3313" s="17" t="s">
        <v>7800</v>
      </c>
      <c r="C3313" s="13">
        <v>41801</v>
      </c>
      <c r="D3313" s="13" t="s">
        <v>8465</v>
      </c>
      <c r="E3313" s="10" t="s">
        <v>7053</v>
      </c>
      <c r="F3313" s="10" t="s">
        <v>7054</v>
      </c>
      <c r="H3313" s="2" t="s">
        <v>1054</v>
      </c>
      <c r="L3313" s="18">
        <v>1</v>
      </c>
      <c r="O3313" s="29">
        <v>0</v>
      </c>
      <c r="P3313" s="18" t="s">
        <v>1107</v>
      </c>
      <c r="Q3313" s="18">
        <v>0</v>
      </c>
      <c r="U3313" s="22">
        <v>0.37</v>
      </c>
      <c r="V3313" s="22">
        <f>2.83/5</f>
        <v>0.56600000000000006</v>
      </c>
      <c r="W3313" s="14" t="s">
        <v>7799</v>
      </c>
      <c r="X3313" s="3">
        <v>2</v>
      </c>
      <c r="Z3313" s="23">
        <v>1.5</v>
      </c>
      <c r="AB3313" s="18">
        <f t="shared" si="102"/>
        <v>2014</v>
      </c>
      <c r="AC3313" s="22">
        <f t="shared" si="103"/>
        <v>0.44533333333333336</v>
      </c>
    </row>
    <row r="3314" spans="1:29" ht="30">
      <c r="A3314" s="8" t="s">
        <v>4969</v>
      </c>
      <c r="B3314" s="17" t="s">
        <v>7800</v>
      </c>
      <c r="C3314" s="13">
        <v>41800</v>
      </c>
      <c r="D3314" s="13" t="s">
        <v>8465</v>
      </c>
      <c r="E3314" s="10" t="s">
        <v>4970</v>
      </c>
      <c r="F3314" s="10" t="s">
        <v>4971</v>
      </c>
      <c r="G3314" s="11" t="s">
        <v>4972</v>
      </c>
      <c r="H3314" s="2" t="s">
        <v>67</v>
      </c>
      <c r="L3314" s="18">
        <v>1</v>
      </c>
      <c r="N3314" s="13">
        <v>41804</v>
      </c>
      <c r="P3314" s="18" t="s">
        <v>1107</v>
      </c>
      <c r="Q3314" s="18">
        <v>0</v>
      </c>
      <c r="U3314" s="22">
        <v>0.5</v>
      </c>
      <c r="V3314" s="22">
        <f>2.71/5</f>
        <v>0.54200000000000004</v>
      </c>
      <c r="W3314" s="14" t="s">
        <v>7777</v>
      </c>
      <c r="X3314" s="3">
        <v>2</v>
      </c>
      <c r="Z3314" s="23">
        <v>2.5</v>
      </c>
      <c r="AB3314" s="18">
        <f t="shared" si="102"/>
        <v>2014</v>
      </c>
      <c r="AC3314" s="22">
        <f t="shared" si="103"/>
        <v>0.48066666666666674</v>
      </c>
    </row>
    <row r="3315" spans="1:29" ht="30">
      <c r="A3315" s="8" t="s">
        <v>14079</v>
      </c>
      <c r="B3315" s="17" t="s">
        <v>7760</v>
      </c>
      <c r="C3315" s="13">
        <v>41799</v>
      </c>
      <c r="D3315" s="13" t="s">
        <v>8465</v>
      </c>
      <c r="E3315" s="10" t="s">
        <v>2908</v>
      </c>
      <c r="F3315" s="10" t="s">
        <v>9739</v>
      </c>
      <c r="H3315" s="2" t="s">
        <v>1220</v>
      </c>
      <c r="L3315" s="18">
        <v>0</v>
      </c>
      <c r="Q3315" s="18">
        <v>0</v>
      </c>
      <c r="U3315" s="22">
        <v>0.59</v>
      </c>
      <c r="V3315" s="22">
        <f>3.18/5</f>
        <v>0.63600000000000001</v>
      </c>
      <c r="X3315" s="3">
        <v>2</v>
      </c>
      <c r="Y3315" s="18">
        <v>1</v>
      </c>
      <c r="Z3315" s="23">
        <v>1.5</v>
      </c>
      <c r="AB3315" s="18">
        <f t="shared" si="102"/>
        <v>2014</v>
      </c>
      <c r="AC3315" s="22">
        <f t="shared" si="103"/>
        <v>0.54199999999999993</v>
      </c>
    </row>
    <row r="3316" spans="1:29">
      <c r="A3316" s="8" t="s">
        <v>9015</v>
      </c>
      <c r="B3316" s="17" t="s">
        <v>7800</v>
      </c>
      <c r="C3316" s="13">
        <v>41796</v>
      </c>
      <c r="D3316" s="13" t="s">
        <v>8465</v>
      </c>
      <c r="E3316" s="10" t="s">
        <v>8774</v>
      </c>
      <c r="F3316" s="10" t="s">
        <v>9016</v>
      </c>
      <c r="H3316" s="2" t="s">
        <v>27</v>
      </c>
      <c r="L3316" s="18">
        <v>1</v>
      </c>
      <c r="N3316" s="13">
        <v>44021</v>
      </c>
      <c r="O3316" s="29">
        <v>0</v>
      </c>
      <c r="P3316" s="18" t="s">
        <v>1107</v>
      </c>
      <c r="Q3316" s="18">
        <v>0</v>
      </c>
      <c r="U3316" s="22">
        <v>0.59</v>
      </c>
      <c r="V3316" s="22">
        <f>3.48/5</f>
        <v>0.69599999999999995</v>
      </c>
      <c r="W3316" s="14" t="s">
        <v>7097</v>
      </c>
      <c r="X3316" s="3">
        <v>3</v>
      </c>
      <c r="Z3316" s="23">
        <v>5</v>
      </c>
      <c r="AB3316" s="18">
        <f t="shared" si="102"/>
        <v>2014</v>
      </c>
      <c r="AC3316" s="22">
        <f t="shared" si="103"/>
        <v>0.62866666666666671</v>
      </c>
    </row>
    <row r="3317" spans="1:29">
      <c r="A3317" s="8" t="s">
        <v>3796</v>
      </c>
      <c r="B3317" s="17" t="s">
        <v>7800</v>
      </c>
      <c r="C3317" s="13">
        <v>41796</v>
      </c>
      <c r="D3317" s="13" t="s">
        <v>8465</v>
      </c>
      <c r="E3317" s="10" t="s">
        <v>3797</v>
      </c>
      <c r="F3317" s="10" t="s">
        <v>3797</v>
      </c>
      <c r="H3317" s="2" t="s">
        <v>21</v>
      </c>
      <c r="L3317" s="18">
        <v>1</v>
      </c>
      <c r="N3317" s="13">
        <v>41872</v>
      </c>
      <c r="P3317" s="18" t="s">
        <v>1107</v>
      </c>
      <c r="Q3317" s="18">
        <v>0</v>
      </c>
      <c r="V3317" s="22">
        <f>3.89/5</f>
        <v>0.77800000000000002</v>
      </c>
      <c r="W3317" s="14" t="s">
        <v>7777</v>
      </c>
      <c r="X3317" s="3">
        <v>2</v>
      </c>
      <c r="Z3317" s="23">
        <v>4</v>
      </c>
      <c r="AB3317" s="18">
        <f t="shared" si="102"/>
        <v>2014</v>
      </c>
      <c r="AC3317" s="22">
        <f t="shared" si="103"/>
        <v>0.58899999999999997</v>
      </c>
    </row>
    <row r="3318" spans="1:29">
      <c r="A3318" s="8" t="s">
        <v>11223</v>
      </c>
      <c r="B3318" s="17" t="s">
        <v>7749</v>
      </c>
      <c r="C3318" s="13">
        <v>41796</v>
      </c>
      <c r="D3318" s="13" t="s">
        <v>8465</v>
      </c>
      <c r="E3318" s="10" t="s">
        <v>86</v>
      </c>
      <c r="F3318" s="10" t="s">
        <v>1515</v>
      </c>
      <c r="G3318" s="11" t="s">
        <v>11224</v>
      </c>
      <c r="H3318" s="2" t="s">
        <v>1334</v>
      </c>
      <c r="L3318" s="18">
        <v>1</v>
      </c>
      <c r="M3318" s="14" t="s">
        <v>8462</v>
      </c>
      <c r="N3318" s="13">
        <v>45077</v>
      </c>
      <c r="O3318" s="29">
        <v>39</v>
      </c>
      <c r="P3318" s="18" t="s">
        <v>14</v>
      </c>
      <c r="Q3318" s="18">
        <v>0</v>
      </c>
      <c r="U3318" s="22">
        <v>0.71</v>
      </c>
      <c r="V3318" s="22">
        <f>4.02/5</f>
        <v>0.80399999999999994</v>
      </c>
      <c r="X3318" s="3">
        <v>2</v>
      </c>
      <c r="Z3318" s="23">
        <v>20.5</v>
      </c>
      <c r="AB3318" s="18">
        <f t="shared" si="102"/>
        <v>2014</v>
      </c>
      <c r="AC3318" s="22">
        <f t="shared" si="103"/>
        <v>0.6379999999999999</v>
      </c>
    </row>
    <row r="3319" spans="1:29" ht="25.5">
      <c r="A3319" s="8" t="s">
        <v>1909</v>
      </c>
      <c r="B3319" s="17" t="s">
        <v>7743</v>
      </c>
      <c r="C3319" s="13">
        <v>41795</v>
      </c>
      <c r="D3319" s="13" t="s">
        <v>8465</v>
      </c>
      <c r="E3319" s="10" t="s">
        <v>86</v>
      </c>
      <c r="F3319" s="10" t="s">
        <v>73</v>
      </c>
      <c r="G3319" s="11" t="s">
        <v>85</v>
      </c>
      <c r="H3319" s="2" t="s">
        <v>80</v>
      </c>
      <c r="L3319" s="18">
        <v>1</v>
      </c>
      <c r="N3319" s="13">
        <v>44607</v>
      </c>
      <c r="O3319" s="29">
        <v>7.99</v>
      </c>
      <c r="P3319" s="18" t="s">
        <v>1107</v>
      </c>
      <c r="Q3319" s="18">
        <v>0</v>
      </c>
      <c r="V3319" s="22">
        <f>4.19/5</f>
        <v>0.83800000000000008</v>
      </c>
      <c r="X3319" s="3">
        <v>3</v>
      </c>
      <c r="Z3319" s="23">
        <v>15.5</v>
      </c>
      <c r="AB3319" s="18">
        <f t="shared" si="102"/>
        <v>2014</v>
      </c>
      <c r="AC3319" s="22">
        <f t="shared" si="103"/>
        <v>0.71900000000000008</v>
      </c>
    </row>
    <row r="3320" spans="1:29">
      <c r="A3320" s="8" t="s">
        <v>3319</v>
      </c>
      <c r="B3320" s="17" t="s">
        <v>7800</v>
      </c>
      <c r="C3320" s="13">
        <v>41795</v>
      </c>
      <c r="D3320" s="13" t="s">
        <v>8465</v>
      </c>
      <c r="E3320" s="10" t="s">
        <v>2471</v>
      </c>
      <c r="F3320" s="10" t="s">
        <v>2471</v>
      </c>
      <c r="G3320" s="11" t="s">
        <v>1653</v>
      </c>
      <c r="H3320" s="2" t="s">
        <v>1220</v>
      </c>
      <c r="L3320" s="18">
        <v>1</v>
      </c>
      <c r="N3320" s="13">
        <v>41974</v>
      </c>
      <c r="O3320" s="29">
        <v>0.99</v>
      </c>
      <c r="P3320" s="18" t="s">
        <v>1107</v>
      </c>
      <c r="Q3320" s="18">
        <v>0</v>
      </c>
      <c r="V3320" s="22">
        <f>3.33/5</f>
        <v>0.66600000000000004</v>
      </c>
      <c r="W3320" s="14" t="s">
        <v>7777</v>
      </c>
      <c r="X3320" s="3">
        <v>2</v>
      </c>
      <c r="Z3320" s="23">
        <v>1.5</v>
      </c>
      <c r="AB3320" s="18">
        <f t="shared" si="102"/>
        <v>2014</v>
      </c>
      <c r="AC3320" s="22">
        <f t="shared" si="103"/>
        <v>0.53300000000000003</v>
      </c>
    </row>
    <row r="3321" spans="1:29">
      <c r="A3321" s="8" t="s">
        <v>4422</v>
      </c>
      <c r="B3321" s="17" t="s">
        <v>7800</v>
      </c>
      <c r="C3321" s="13">
        <v>41795</v>
      </c>
      <c r="D3321" s="13" t="s">
        <v>8465</v>
      </c>
      <c r="E3321" s="10" t="s">
        <v>4423</v>
      </c>
      <c r="F3321" s="10" t="s">
        <v>4423</v>
      </c>
      <c r="H3321" s="2" t="s">
        <v>2138</v>
      </c>
      <c r="I3321" s="18">
        <v>1</v>
      </c>
      <c r="L3321" s="18">
        <v>1</v>
      </c>
      <c r="N3321" s="13">
        <v>41870</v>
      </c>
      <c r="P3321" s="18" t="s">
        <v>1107</v>
      </c>
      <c r="Q3321" s="18">
        <v>0</v>
      </c>
      <c r="U3321" s="22">
        <v>0.55000000000000004</v>
      </c>
      <c r="V3321" s="22">
        <f>3.75/5</f>
        <v>0.75</v>
      </c>
      <c r="W3321" s="14" t="s">
        <v>7777</v>
      </c>
      <c r="X3321" s="3">
        <v>2</v>
      </c>
      <c r="Z3321" s="23">
        <v>3</v>
      </c>
      <c r="AB3321" s="18">
        <f t="shared" si="102"/>
        <v>2014</v>
      </c>
      <c r="AC3321" s="22">
        <f t="shared" si="103"/>
        <v>0.56666666666666676</v>
      </c>
    </row>
    <row r="3322" spans="1:29">
      <c r="A3322" s="8" t="s">
        <v>3049</v>
      </c>
      <c r="B3322" s="17" t="s">
        <v>7800</v>
      </c>
      <c r="C3322" s="13">
        <v>41793</v>
      </c>
      <c r="D3322" s="13" t="s">
        <v>8465</v>
      </c>
      <c r="E3322" s="10" t="s">
        <v>1578</v>
      </c>
      <c r="F3322" s="10" t="s">
        <v>3050</v>
      </c>
      <c r="G3322" s="11" t="s">
        <v>3051</v>
      </c>
      <c r="H3322" s="2" t="s">
        <v>64</v>
      </c>
      <c r="L3322" s="18">
        <v>1</v>
      </c>
      <c r="N3322" s="13">
        <v>42006</v>
      </c>
      <c r="O3322" s="29">
        <v>5.04</v>
      </c>
      <c r="P3322" s="18" t="s">
        <v>1107</v>
      </c>
      <c r="Q3322" s="18">
        <v>0</v>
      </c>
      <c r="U3322" s="22">
        <v>0.78</v>
      </c>
      <c r="V3322" s="22">
        <f>3.85/5</f>
        <v>0.77</v>
      </c>
      <c r="W3322" s="14" t="s">
        <v>7777</v>
      </c>
      <c r="X3322" s="3">
        <v>3</v>
      </c>
      <c r="Z3322" s="23">
        <v>7</v>
      </c>
      <c r="AB3322" s="18">
        <f t="shared" si="102"/>
        <v>2014</v>
      </c>
      <c r="AC3322" s="22">
        <f t="shared" si="103"/>
        <v>0.71666666666666667</v>
      </c>
    </row>
    <row r="3323" spans="1:29" ht="25.5">
      <c r="A3323" s="8" t="s">
        <v>4490</v>
      </c>
      <c r="B3323" s="17" t="s">
        <v>7800</v>
      </c>
      <c r="C3323" s="13">
        <v>41793</v>
      </c>
      <c r="D3323" s="13" t="s">
        <v>8465</v>
      </c>
      <c r="E3323" s="10" t="s">
        <v>1082</v>
      </c>
      <c r="F3323" s="10" t="s">
        <v>3572</v>
      </c>
      <c r="H3323" s="2" t="s">
        <v>80</v>
      </c>
      <c r="L3323" s="18">
        <v>1</v>
      </c>
      <c r="N3323" s="13">
        <v>42360</v>
      </c>
      <c r="P3323" s="18" t="s">
        <v>1107</v>
      </c>
      <c r="Q3323" s="18">
        <v>0</v>
      </c>
      <c r="U3323" s="22">
        <v>0.57999999999999996</v>
      </c>
      <c r="V3323" s="22">
        <f>3.25/5</f>
        <v>0.65</v>
      </c>
      <c r="W3323" s="14" t="s">
        <v>7777</v>
      </c>
      <c r="X3323" s="3">
        <v>3</v>
      </c>
      <c r="Z3323" s="23">
        <v>6.5</v>
      </c>
      <c r="AB3323" s="18">
        <f t="shared" si="102"/>
        <v>2014</v>
      </c>
      <c r="AC3323" s="22">
        <f t="shared" si="103"/>
        <v>0.61</v>
      </c>
    </row>
    <row r="3324" spans="1:29" ht="38.25">
      <c r="A3324" s="8" t="s">
        <v>9286</v>
      </c>
      <c r="B3324" s="17" t="s">
        <v>7763</v>
      </c>
      <c r="C3324" s="13">
        <v>41793</v>
      </c>
      <c r="D3324" s="13" t="s">
        <v>8465</v>
      </c>
      <c r="E3324" s="10" t="s">
        <v>1062</v>
      </c>
      <c r="F3324" s="10" t="s">
        <v>3861</v>
      </c>
      <c r="G3324" s="11" t="s">
        <v>1682</v>
      </c>
      <c r="H3324" s="2" t="s">
        <v>1334</v>
      </c>
      <c r="L3324" s="18">
        <v>1</v>
      </c>
      <c r="M3324" s="14" t="s">
        <v>8462</v>
      </c>
      <c r="N3324" s="13">
        <v>44080</v>
      </c>
      <c r="O3324" s="29">
        <v>43.4</v>
      </c>
      <c r="P3324" s="18" t="s">
        <v>14</v>
      </c>
      <c r="Q3324" s="18">
        <v>0</v>
      </c>
      <c r="U3324" s="22">
        <v>0.54</v>
      </c>
      <c r="V3324" s="22">
        <f>3.41/5</f>
        <v>0.68200000000000005</v>
      </c>
      <c r="X3324" s="3">
        <v>3</v>
      </c>
      <c r="Z3324" s="23">
        <v>4</v>
      </c>
      <c r="AB3324" s="18">
        <f t="shared" si="102"/>
        <v>2014</v>
      </c>
      <c r="AC3324" s="22">
        <f t="shared" si="103"/>
        <v>0.60733333333333339</v>
      </c>
    </row>
    <row r="3325" spans="1:29">
      <c r="A3325" s="8" t="s">
        <v>5307</v>
      </c>
      <c r="B3325" s="17" t="s">
        <v>7800</v>
      </c>
      <c r="C3325" s="13">
        <v>41789</v>
      </c>
      <c r="D3325" s="13" t="s">
        <v>8465</v>
      </c>
      <c r="E3325" s="10" t="s">
        <v>5308</v>
      </c>
      <c r="F3325" s="10" t="s">
        <v>5308</v>
      </c>
      <c r="G3325" s="11" t="s">
        <v>5307</v>
      </c>
      <c r="H3325" s="2" t="s">
        <v>80</v>
      </c>
      <c r="L3325" s="18">
        <v>1</v>
      </c>
      <c r="N3325" s="13">
        <v>42004</v>
      </c>
      <c r="O3325" s="29">
        <v>4.9400000000000004</v>
      </c>
      <c r="P3325" s="18" t="s">
        <v>1107</v>
      </c>
      <c r="Q3325" s="18">
        <v>0</v>
      </c>
      <c r="U3325" s="22">
        <v>0.75</v>
      </c>
      <c r="V3325" s="22">
        <f>3.68/5</f>
        <v>0.73599999999999999</v>
      </c>
      <c r="W3325" s="14" t="s">
        <v>7777</v>
      </c>
      <c r="X3325" s="3">
        <v>3</v>
      </c>
      <c r="Z3325" s="23">
        <v>3.5</v>
      </c>
      <c r="AB3325" s="18">
        <f t="shared" si="102"/>
        <v>2014</v>
      </c>
      <c r="AC3325" s="22">
        <f t="shared" si="103"/>
        <v>0.69533333333333325</v>
      </c>
    </row>
    <row r="3326" spans="1:29">
      <c r="A3326" s="8" t="s">
        <v>3229</v>
      </c>
      <c r="B3326" s="17" t="s">
        <v>7800</v>
      </c>
      <c r="C3326" s="13">
        <v>41789</v>
      </c>
      <c r="D3326" s="13" t="s">
        <v>8465</v>
      </c>
      <c r="E3326" s="10" t="s">
        <v>3136</v>
      </c>
      <c r="F3326" s="10" t="s">
        <v>3230</v>
      </c>
      <c r="H3326" s="2" t="s">
        <v>21</v>
      </c>
      <c r="L3326" s="18">
        <v>1</v>
      </c>
      <c r="N3326" s="13">
        <v>42137</v>
      </c>
      <c r="O3326" s="29">
        <v>5.0999999999999996</v>
      </c>
      <c r="P3326" s="18" t="s">
        <v>1107</v>
      </c>
      <c r="Q3326" s="18">
        <v>0</v>
      </c>
      <c r="U3326" s="22">
        <v>0.91</v>
      </c>
      <c r="V3326" s="22">
        <f>3.69/5</f>
        <v>0.73799999999999999</v>
      </c>
      <c r="W3326" s="14" t="s">
        <v>7777</v>
      </c>
      <c r="X3326" s="3">
        <v>2</v>
      </c>
      <c r="Z3326" s="23">
        <v>2</v>
      </c>
      <c r="AB3326" s="18">
        <f t="shared" si="102"/>
        <v>2014</v>
      </c>
      <c r="AC3326" s="22">
        <f t="shared" si="103"/>
        <v>0.68266666666666664</v>
      </c>
    </row>
    <row r="3327" spans="1:29">
      <c r="A3327" s="8" t="s">
        <v>5313</v>
      </c>
      <c r="B3327" s="17" t="s">
        <v>7800</v>
      </c>
      <c r="C3327" s="13">
        <v>41789</v>
      </c>
      <c r="D3327" s="13" t="s">
        <v>8465</v>
      </c>
      <c r="E3327" s="10" t="s">
        <v>5314</v>
      </c>
      <c r="F3327" s="10" t="s">
        <v>5314</v>
      </c>
      <c r="H3327" s="2" t="s">
        <v>27</v>
      </c>
      <c r="L3327" s="18">
        <v>1</v>
      </c>
      <c r="N3327" s="13">
        <v>43404</v>
      </c>
      <c r="O3327" s="29">
        <v>0.99</v>
      </c>
      <c r="P3327" s="18" t="s">
        <v>1107</v>
      </c>
      <c r="Q3327" s="18">
        <v>0</v>
      </c>
      <c r="U3327" s="22">
        <v>0.75</v>
      </c>
      <c r="V3327" s="22">
        <f>4.09/5</f>
        <v>0.81799999999999995</v>
      </c>
      <c r="W3327" s="14" t="s">
        <v>7777</v>
      </c>
      <c r="X3327" s="3">
        <v>2</v>
      </c>
      <c r="Z3327" s="23">
        <v>2</v>
      </c>
      <c r="AB3327" s="18">
        <f t="shared" si="102"/>
        <v>2014</v>
      </c>
      <c r="AC3327" s="22">
        <f t="shared" si="103"/>
        <v>0.65600000000000003</v>
      </c>
    </row>
    <row r="3328" spans="1:29">
      <c r="A3328" s="8" t="s">
        <v>5552</v>
      </c>
      <c r="B3328" s="17" t="s">
        <v>7800</v>
      </c>
      <c r="C3328" s="13">
        <v>41788</v>
      </c>
      <c r="D3328" s="13" t="s">
        <v>8465</v>
      </c>
      <c r="E3328" s="10" t="s">
        <v>5553</v>
      </c>
      <c r="F3328" s="10" t="s">
        <v>5554</v>
      </c>
      <c r="H3328" s="2" t="s">
        <v>27</v>
      </c>
      <c r="L3328" s="18">
        <v>1</v>
      </c>
      <c r="N3328" s="13">
        <v>42191</v>
      </c>
      <c r="P3328" s="18" t="s">
        <v>1107</v>
      </c>
      <c r="Q3328" s="18">
        <v>0</v>
      </c>
      <c r="U3328" s="22">
        <v>0.73</v>
      </c>
      <c r="V3328" s="22">
        <f>3.67/5</f>
        <v>0.73399999999999999</v>
      </c>
      <c r="W3328" s="14" t="s">
        <v>7777</v>
      </c>
      <c r="X3328" s="3">
        <v>2</v>
      </c>
      <c r="Z3328" s="23">
        <v>2</v>
      </c>
      <c r="AB3328" s="18">
        <f t="shared" si="102"/>
        <v>2014</v>
      </c>
      <c r="AC3328" s="22">
        <f t="shared" si="103"/>
        <v>0.62133333333333329</v>
      </c>
    </row>
    <row r="3329" spans="1:29">
      <c r="A3329" s="8" t="s">
        <v>3185</v>
      </c>
      <c r="B3329" s="17" t="s">
        <v>7800</v>
      </c>
      <c r="C3329" s="13">
        <v>41788</v>
      </c>
      <c r="D3329" s="13" t="s">
        <v>8465</v>
      </c>
      <c r="E3329" s="10" t="s">
        <v>1698</v>
      </c>
      <c r="F3329" s="10" t="s">
        <v>1698</v>
      </c>
      <c r="G3329" s="11" t="s">
        <v>3184</v>
      </c>
      <c r="H3329" s="2" t="s">
        <v>1169</v>
      </c>
      <c r="L3329" s="18">
        <v>1</v>
      </c>
      <c r="N3329" s="13">
        <v>42338</v>
      </c>
      <c r="O3329" s="29">
        <v>0.99</v>
      </c>
      <c r="P3329" s="18" t="s">
        <v>1107</v>
      </c>
      <c r="Q3329" s="18">
        <v>0</v>
      </c>
      <c r="U3329" s="22">
        <v>0.69</v>
      </c>
      <c r="V3329" s="22">
        <f>3.66/5</f>
        <v>0.73199999999999998</v>
      </c>
      <c r="W3329" s="14" t="s">
        <v>7777</v>
      </c>
      <c r="X3329" s="3">
        <v>2</v>
      </c>
      <c r="Z3329" s="23">
        <v>9.5</v>
      </c>
      <c r="AB3329" s="18">
        <f t="shared" ref="AB3329:AB3392" si="104">IFERROR(YEAR(C3329), "Early Access")</f>
        <v>2014</v>
      </c>
      <c r="AC3329" s="22">
        <f t="shared" ref="AC3329:AC3392" si="105">AVERAGE(T3329, U3329, V3329, IF(ISBLANK(X3329), X3329, X3329/5))</f>
        <v>0.60733333333333339</v>
      </c>
    </row>
    <row r="3330" spans="1:29">
      <c r="A3330" s="8" t="s">
        <v>3076</v>
      </c>
      <c r="B3330" s="17" t="s">
        <v>7800</v>
      </c>
      <c r="C3330" s="13">
        <v>41787</v>
      </c>
      <c r="D3330" s="13" t="s">
        <v>8465</v>
      </c>
      <c r="E3330" s="10" t="s">
        <v>3077</v>
      </c>
      <c r="F3330" s="10" t="s">
        <v>3078</v>
      </c>
      <c r="H3330" s="2" t="s">
        <v>3079</v>
      </c>
      <c r="L3330" s="18">
        <v>1</v>
      </c>
      <c r="N3330" s="13">
        <v>42170</v>
      </c>
      <c r="O3330" s="29">
        <v>2.59</v>
      </c>
      <c r="P3330" s="18" t="s">
        <v>1107</v>
      </c>
      <c r="Q3330" s="18">
        <v>0</v>
      </c>
      <c r="U3330" s="22">
        <v>0.74</v>
      </c>
      <c r="V3330" s="22">
        <f>3.2/5</f>
        <v>0.64</v>
      </c>
      <c r="W3330" s="14" t="s">
        <v>7777</v>
      </c>
      <c r="X3330" s="3">
        <v>3</v>
      </c>
      <c r="Z3330" s="23">
        <v>3</v>
      </c>
      <c r="AB3330" s="18">
        <f t="shared" si="104"/>
        <v>2014</v>
      </c>
      <c r="AC3330" s="22">
        <f t="shared" si="105"/>
        <v>0.66</v>
      </c>
    </row>
    <row r="3331" spans="1:29">
      <c r="A3331" s="8" t="s">
        <v>4158</v>
      </c>
      <c r="B3331" s="17" t="s">
        <v>7800</v>
      </c>
      <c r="C3331" s="13">
        <v>41785</v>
      </c>
      <c r="D3331" s="13" t="s">
        <v>8465</v>
      </c>
      <c r="E3331" s="10" t="s">
        <v>4159</v>
      </c>
      <c r="F3331" s="10" t="s">
        <v>4159</v>
      </c>
      <c r="H3331" s="2" t="s">
        <v>27</v>
      </c>
      <c r="L3331" s="18">
        <v>1</v>
      </c>
      <c r="N3331" s="13">
        <v>42054</v>
      </c>
      <c r="P3331" s="18" t="s">
        <v>1107</v>
      </c>
      <c r="Q3331" s="18">
        <v>0</v>
      </c>
      <c r="U3331" s="22">
        <v>0.9</v>
      </c>
      <c r="V3331" s="22">
        <f>3.71/5</f>
        <v>0.74199999999999999</v>
      </c>
      <c r="W3331" s="14" t="s">
        <v>7777</v>
      </c>
      <c r="X3331" s="3">
        <v>2</v>
      </c>
      <c r="Z3331" s="23">
        <v>6</v>
      </c>
      <c r="AB3331" s="18">
        <f t="shared" si="104"/>
        <v>2014</v>
      </c>
      <c r="AC3331" s="22">
        <f t="shared" si="105"/>
        <v>0.68066666666666664</v>
      </c>
    </row>
    <row r="3332" spans="1:29">
      <c r="A3332" s="8" t="s">
        <v>5474</v>
      </c>
      <c r="B3332" s="17" t="s">
        <v>7800</v>
      </c>
      <c r="C3332" s="13">
        <v>41782</v>
      </c>
      <c r="D3332" s="13" t="s">
        <v>8465</v>
      </c>
      <c r="E3332" s="10" t="s">
        <v>3553</v>
      </c>
      <c r="F3332" s="10" t="s">
        <v>1715</v>
      </c>
      <c r="G3332" s="11" t="s">
        <v>5473</v>
      </c>
      <c r="H3332" s="2" t="s">
        <v>1334</v>
      </c>
      <c r="L3332" s="18">
        <v>1</v>
      </c>
      <c r="N3332" s="13">
        <v>42467</v>
      </c>
      <c r="P3332" s="18" t="s">
        <v>1107</v>
      </c>
      <c r="Q3332" s="18">
        <v>0</v>
      </c>
      <c r="U3332" s="22">
        <v>0.75</v>
      </c>
      <c r="V3332" s="22">
        <f>3.66/5</f>
        <v>0.73199999999999998</v>
      </c>
      <c r="W3332" s="14" t="s">
        <v>7777</v>
      </c>
      <c r="X3332" s="3">
        <v>3</v>
      </c>
      <c r="Z3332" s="23">
        <v>20.5</v>
      </c>
      <c r="AB3332" s="18">
        <f t="shared" si="104"/>
        <v>2014</v>
      </c>
      <c r="AC3332" s="22">
        <f t="shared" si="105"/>
        <v>0.69399999999999995</v>
      </c>
    </row>
    <row r="3333" spans="1:29" ht="30">
      <c r="A3333" s="8" t="s">
        <v>4232</v>
      </c>
      <c r="B3333" s="17" t="s">
        <v>7800</v>
      </c>
      <c r="C3333" s="13">
        <v>41782</v>
      </c>
      <c r="D3333" s="13" t="s">
        <v>8465</v>
      </c>
      <c r="E3333" s="10" t="s">
        <v>1163</v>
      </c>
      <c r="F3333" s="10" t="s">
        <v>1505</v>
      </c>
      <c r="H3333" s="2" t="s">
        <v>143</v>
      </c>
      <c r="L3333" s="18">
        <v>1</v>
      </c>
      <c r="N3333" s="13">
        <v>42110</v>
      </c>
      <c r="O3333" s="29">
        <v>3.95</v>
      </c>
      <c r="P3333" s="18" t="s">
        <v>1107</v>
      </c>
      <c r="Q3333" s="18">
        <v>0</v>
      </c>
      <c r="U3333" s="22">
        <v>0.67</v>
      </c>
      <c r="V3333" s="22">
        <f>3.55/5</f>
        <v>0.71</v>
      </c>
      <c r="W3333" s="14" t="s">
        <v>7777</v>
      </c>
      <c r="X3333" s="3">
        <v>3</v>
      </c>
      <c r="Z3333" s="23">
        <v>7</v>
      </c>
      <c r="AB3333" s="18">
        <f t="shared" si="104"/>
        <v>2014</v>
      </c>
      <c r="AC3333" s="22">
        <f t="shared" si="105"/>
        <v>0.66</v>
      </c>
    </row>
    <row r="3334" spans="1:29">
      <c r="A3334" s="8" t="s">
        <v>5399</v>
      </c>
      <c r="B3334" s="17" t="s">
        <v>7800</v>
      </c>
      <c r="C3334" s="13">
        <v>41782</v>
      </c>
      <c r="D3334" s="13" t="s">
        <v>8465</v>
      </c>
      <c r="E3334" s="10" t="s">
        <v>5400</v>
      </c>
      <c r="F3334" s="10" t="s">
        <v>5400</v>
      </c>
      <c r="H3334" s="2" t="s">
        <v>143</v>
      </c>
      <c r="L3334" s="18">
        <v>1</v>
      </c>
      <c r="N3334" s="13">
        <v>41803</v>
      </c>
      <c r="P3334" s="18" t="s">
        <v>1107</v>
      </c>
      <c r="Q3334" s="18">
        <v>1</v>
      </c>
      <c r="R3334" s="13">
        <v>45236</v>
      </c>
      <c r="S3334" s="21">
        <f>27/60</f>
        <v>0.45</v>
      </c>
      <c r="T3334" s="22">
        <v>0.2</v>
      </c>
      <c r="U3334" s="22">
        <v>0.7</v>
      </c>
      <c r="V3334" s="22">
        <f>2.7/5</f>
        <v>0.54</v>
      </c>
      <c r="W3334" s="14" t="s">
        <v>7777</v>
      </c>
      <c r="AB3334" s="18">
        <f t="shared" si="104"/>
        <v>2014</v>
      </c>
      <c r="AC3334" s="22">
        <f t="shared" si="105"/>
        <v>0.48</v>
      </c>
    </row>
    <row r="3335" spans="1:29">
      <c r="A3335" s="8" t="s">
        <v>9755</v>
      </c>
      <c r="B3335" s="17" t="s">
        <v>7800</v>
      </c>
      <c r="C3335" s="13">
        <v>41781</v>
      </c>
      <c r="D3335" s="13" t="s">
        <v>8465</v>
      </c>
      <c r="E3335" s="10" t="s">
        <v>5556</v>
      </c>
      <c r="F3335" s="10" t="s">
        <v>5556</v>
      </c>
      <c r="G3335" s="11" t="s">
        <v>5557</v>
      </c>
      <c r="H3335" s="2" t="s">
        <v>1061</v>
      </c>
      <c r="L3335" s="18">
        <v>1</v>
      </c>
      <c r="N3335" s="13">
        <v>44238</v>
      </c>
      <c r="O3335" s="29">
        <v>0.99</v>
      </c>
      <c r="P3335" s="18" t="s">
        <v>1107</v>
      </c>
      <c r="Q3335" s="18">
        <v>0</v>
      </c>
      <c r="V3335" s="22">
        <f>3.75/5</f>
        <v>0.75</v>
      </c>
      <c r="W3335" s="14" t="s">
        <v>7777</v>
      </c>
      <c r="X3335" s="3">
        <v>2</v>
      </c>
      <c r="AB3335" s="18">
        <f t="shared" si="104"/>
        <v>2014</v>
      </c>
      <c r="AC3335" s="22">
        <f t="shared" si="105"/>
        <v>0.57499999999999996</v>
      </c>
    </row>
    <row r="3336" spans="1:29">
      <c r="A3336" s="8" t="s">
        <v>4171</v>
      </c>
      <c r="B3336" s="17" t="s">
        <v>7800</v>
      </c>
      <c r="C3336" s="13">
        <v>41781</v>
      </c>
      <c r="D3336" s="13" t="s">
        <v>8465</v>
      </c>
      <c r="E3336" s="10" t="s">
        <v>4172</v>
      </c>
      <c r="F3336" s="10" t="s">
        <v>4172</v>
      </c>
      <c r="H3336" s="2" t="s">
        <v>151</v>
      </c>
      <c r="L3336" s="18">
        <v>1</v>
      </c>
      <c r="N3336" s="13">
        <v>41803</v>
      </c>
      <c r="P3336" s="18" t="s">
        <v>1107</v>
      </c>
      <c r="Q3336" s="18">
        <v>0</v>
      </c>
      <c r="V3336" s="22">
        <f>2.45/5</f>
        <v>0.49000000000000005</v>
      </c>
      <c r="W3336" s="14" t="s">
        <v>7777</v>
      </c>
      <c r="X3336" s="3">
        <v>2</v>
      </c>
      <c r="Z3336" s="23">
        <v>3</v>
      </c>
      <c r="AB3336" s="18">
        <f t="shared" si="104"/>
        <v>2014</v>
      </c>
      <c r="AC3336" s="22">
        <f t="shared" si="105"/>
        <v>0.44500000000000006</v>
      </c>
    </row>
    <row r="3337" spans="1:29" ht="30">
      <c r="A3337" s="8" t="s">
        <v>4410</v>
      </c>
      <c r="B3337" s="17" t="s">
        <v>7800</v>
      </c>
      <c r="C3337" s="13">
        <v>41780</v>
      </c>
      <c r="D3337" s="13" t="s">
        <v>8465</v>
      </c>
      <c r="E3337" s="10" t="s">
        <v>3116</v>
      </c>
      <c r="F3337" s="10" t="s">
        <v>4411</v>
      </c>
      <c r="G3337" s="11" t="s">
        <v>4412</v>
      </c>
      <c r="H3337" s="2" t="s">
        <v>64</v>
      </c>
      <c r="L3337" s="18">
        <v>1</v>
      </c>
      <c r="N3337" s="13">
        <v>41879</v>
      </c>
      <c r="O3337" s="29">
        <v>3.74</v>
      </c>
      <c r="P3337" s="18" t="s">
        <v>1107</v>
      </c>
      <c r="Q3337" s="18">
        <v>0</v>
      </c>
      <c r="U3337" s="22">
        <v>0.7</v>
      </c>
      <c r="V3337" s="22">
        <f>3.81/5</f>
        <v>0.76200000000000001</v>
      </c>
      <c r="W3337" s="14" t="s">
        <v>7777</v>
      </c>
      <c r="X3337" s="3">
        <v>3</v>
      </c>
      <c r="Z3337" s="23">
        <v>6</v>
      </c>
      <c r="AB3337" s="18">
        <f t="shared" si="104"/>
        <v>2014</v>
      </c>
      <c r="AC3337" s="22">
        <f t="shared" si="105"/>
        <v>0.68733333333333324</v>
      </c>
    </row>
    <row r="3338" spans="1:29">
      <c r="A3338" s="8" t="s">
        <v>4767</v>
      </c>
      <c r="B3338" s="17" t="s">
        <v>7800</v>
      </c>
      <c r="C3338" s="13">
        <v>41780</v>
      </c>
      <c r="D3338" s="13" t="s">
        <v>8465</v>
      </c>
      <c r="E3338" s="10" t="s">
        <v>4765</v>
      </c>
      <c r="F3338" s="10" t="s">
        <v>4765</v>
      </c>
      <c r="G3338" s="11" t="s">
        <v>4766</v>
      </c>
      <c r="H3338" s="2" t="s">
        <v>78</v>
      </c>
      <c r="I3338" s="18">
        <v>1</v>
      </c>
      <c r="L3338" s="18">
        <v>1</v>
      </c>
      <c r="N3338" s="13">
        <v>41780</v>
      </c>
      <c r="P3338" s="18" t="s">
        <v>1107</v>
      </c>
      <c r="Q3338" s="18">
        <v>0</v>
      </c>
      <c r="U3338" s="22">
        <v>0.68</v>
      </c>
      <c r="V3338" s="22">
        <f>3.54/5</f>
        <v>0.70799999999999996</v>
      </c>
      <c r="W3338" s="14" t="s">
        <v>7777</v>
      </c>
      <c r="X3338" s="3">
        <v>3</v>
      </c>
      <c r="Z3338" s="23">
        <v>3</v>
      </c>
      <c r="AB3338" s="18">
        <f t="shared" si="104"/>
        <v>2014</v>
      </c>
      <c r="AC3338" s="22">
        <f t="shared" si="105"/>
        <v>0.66266666666666663</v>
      </c>
    </row>
    <row r="3339" spans="1:29" ht="30">
      <c r="A3339" s="8" t="s">
        <v>12650</v>
      </c>
      <c r="B3339" s="17" t="s">
        <v>7800</v>
      </c>
      <c r="C3339" s="13">
        <v>41780</v>
      </c>
      <c r="D3339" s="13" t="s">
        <v>8465</v>
      </c>
      <c r="E3339" s="10" t="s">
        <v>12651</v>
      </c>
      <c r="F3339" s="10" t="s">
        <v>12651</v>
      </c>
      <c r="G3339" s="11" t="s">
        <v>12650</v>
      </c>
      <c r="H3339" s="2" t="s">
        <v>67</v>
      </c>
      <c r="L3339" s="18">
        <v>1</v>
      </c>
      <c r="P3339" s="18" t="s">
        <v>1107</v>
      </c>
      <c r="Q3339" s="18">
        <v>0</v>
      </c>
      <c r="U3339" s="22">
        <v>0.73</v>
      </c>
      <c r="V3339" s="22">
        <f>3.24/5</f>
        <v>0.64800000000000002</v>
      </c>
      <c r="W3339" s="14" t="s">
        <v>7777</v>
      </c>
      <c r="X3339" s="3">
        <v>2</v>
      </c>
      <c r="Z3339" s="23">
        <v>9</v>
      </c>
      <c r="AB3339" s="18">
        <f t="shared" si="104"/>
        <v>2014</v>
      </c>
      <c r="AC3339" s="22">
        <f t="shared" si="105"/>
        <v>0.59266666666666667</v>
      </c>
    </row>
    <row r="3340" spans="1:29">
      <c r="A3340" s="8" t="s">
        <v>5938</v>
      </c>
      <c r="B3340" s="17" t="s">
        <v>7759</v>
      </c>
      <c r="C3340" s="13">
        <v>41779</v>
      </c>
      <c r="D3340" s="13" t="s">
        <v>8465</v>
      </c>
      <c r="E3340" s="10" t="s">
        <v>1082</v>
      </c>
      <c r="F3340" s="10" t="s">
        <v>3539</v>
      </c>
      <c r="G3340" s="11" t="s">
        <v>4538</v>
      </c>
      <c r="H3340" s="2" t="s">
        <v>171</v>
      </c>
      <c r="L3340" s="18">
        <v>1</v>
      </c>
      <c r="M3340" s="14" t="s">
        <v>8462</v>
      </c>
      <c r="N3340" s="13">
        <v>43353</v>
      </c>
      <c r="O3340" s="29">
        <v>18.489999999999998</v>
      </c>
      <c r="P3340" s="18" t="s">
        <v>14</v>
      </c>
      <c r="Q3340" s="18">
        <v>0</v>
      </c>
      <c r="U3340" s="22">
        <v>0.59</v>
      </c>
      <c r="V3340" s="22">
        <f>3.72/5</f>
        <v>0.74399999999999999</v>
      </c>
      <c r="X3340" s="3">
        <v>4</v>
      </c>
      <c r="Z3340" s="23">
        <v>18</v>
      </c>
      <c r="AB3340" s="18">
        <f t="shared" si="104"/>
        <v>2014</v>
      </c>
      <c r="AC3340" s="22">
        <f t="shared" si="105"/>
        <v>0.71133333333333348</v>
      </c>
    </row>
    <row r="3341" spans="1:29" ht="30">
      <c r="A3341" s="8" t="s">
        <v>5330</v>
      </c>
      <c r="B3341" s="17" t="s">
        <v>7800</v>
      </c>
      <c r="C3341" s="13">
        <v>41779</v>
      </c>
      <c r="D3341" s="13" t="s">
        <v>8465</v>
      </c>
      <c r="E3341" s="10" t="s">
        <v>3469</v>
      </c>
      <c r="F3341" s="10" t="s">
        <v>5331</v>
      </c>
      <c r="G3341" s="11" t="s">
        <v>5332</v>
      </c>
      <c r="H3341" s="2" t="s">
        <v>67</v>
      </c>
      <c r="L3341" s="18">
        <v>1</v>
      </c>
      <c r="N3341" s="13">
        <v>41941</v>
      </c>
      <c r="P3341" s="18" t="s">
        <v>1107</v>
      </c>
      <c r="Q3341" s="18">
        <v>0</v>
      </c>
      <c r="U3341" s="22">
        <v>0.76</v>
      </c>
      <c r="V3341" s="22">
        <f>3.93/5</f>
        <v>0.78600000000000003</v>
      </c>
      <c r="W3341" s="14" t="s">
        <v>7777</v>
      </c>
      <c r="X3341" s="3">
        <v>3</v>
      </c>
      <c r="Z3341" s="23">
        <v>4</v>
      </c>
      <c r="AB3341" s="18">
        <f t="shared" si="104"/>
        <v>2014</v>
      </c>
      <c r="AC3341" s="22">
        <f t="shared" si="105"/>
        <v>0.71533333333333327</v>
      </c>
    </row>
    <row r="3342" spans="1:29">
      <c r="A3342" s="8" t="s">
        <v>10101</v>
      </c>
      <c r="B3342" s="17" t="s">
        <v>7759</v>
      </c>
      <c r="C3342" s="13">
        <v>41779</v>
      </c>
      <c r="D3342" s="13" t="s">
        <v>8465</v>
      </c>
      <c r="E3342" s="10" t="s">
        <v>1062</v>
      </c>
      <c r="F3342" s="10" t="s">
        <v>3861</v>
      </c>
      <c r="G3342" s="11" t="s">
        <v>10104</v>
      </c>
      <c r="H3342" s="2" t="s">
        <v>75</v>
      </c>
      <c r="L3342" s="18">
        <v>1</v>
      </c>
      <c r="N3342" s="13">
        <v>43149</v>
      </c>
      <c r="O3342" s="29">
        <v>0</v>
      </c>
      <c r="P3342" s="18" t="s">
        <v>1107</v>
      </c>
      <c r="Q3342" s="18">
        <v>0</v>
      </c>
      <c r="U3342" s="22">
        <v>0.56999999999999995</v>
      </c>
      <c r="V3342" s="22">
        <f>3.82/5</f>
        <v>0.76400000000000001</v>
      </c>
      <c r="W3342" s="14" t="s">
        <v>6072</v>
      </c>
      <c r="X3342" s="3">
        <v>2</v>
      </c>
      <c r="Z3342" s="23">
        <v>21</v>
      </c>
      <c r="AB3342" s="18">
        <f t="shared" si="104"/>
        <v>2014</v>
      </c>
      <c r="AC3342" s="22">
        <f t="shared" si="105"/>
        <v>0.57799999999999996</v>
      </c>
    </row>
    <row r="3343" spans="1:29">
      <c r="A3343" s="8" t="s">
        <v>4820</v>
      </c>
      <c r="B3343" s="17" t="s">
        <v>7800</v>
      </c>
      <c r="C3343" s="13">
        <v>41778</v>
      </c>
      <c r="D3343" s="13" t="s">
        <v>8465</v>
      </c>
      <c r="E3343" s="10" t="s">
        <v>4820</v>
      </c>
      <c r="F3343" s="10" t="s">
        <v>4820</v>
      </c>
      <c r="H3343" s="2" t="s">
        <v>6510</v>
      </c>
      <c r="L3343" s="18">
        <v>1</v>
      </c>
      <c r="N3343" s="13">
        <v>42352</v>
      </c>
      <c r="O3343" s="29">
        <v>0.99</v>
      </c>
      <c r="P3343" s="18" t="s">
        <v>1107</v>
      </c>
      <c r="Q3343" s="18">
        <v>0</v>
      </c>
      <c r="V3343" s="22">
        <f>3.68/5</f>
        <v>0.73599999999999999</v>
      </c>
      <c r="W3343" s="14" t="s">
        <v>7777</v>
      </c>
      <c r="X3343" s="3">
        <v>3</v>
      </c>
      <c r="Z3343" s="23">
        <v>5.5</v>
      </c>
      <c r="AB3343" s="18">
        <f t="shared" si="104"/>
        <v>2014</v>
      </c>
      <c r="AC3343" s="22">
        <f t="shared" si="105"/>
        <v>0.66799999999999993</v>
      </c>
    </row>
    <row r="3344" spans="1:29">
      <c r="A3344" s="8" t="s">
        <v>3876</v>
      </c>
      <c r="B3344" s="17" t="s">
        <v>7800</v>
      </c>
      <c r="C3344" s="13">
        <v>41774</v>
      </c>
      <c r="D3344" s="13" t="s">
        <v>8465</v>
      </c>
      <c r="E3344" s="10" t="s">
        <v>3464</v>
      </c>
      <c r="F3344" s="10" t="s">
        <v>3877</v>
      </c>
      <c r="H3344" s="2" t="s">
        <v>149</v>
      </c>
      <c r="L3344" s="18">
        <v>1</v>
      </c>
      <c r="N3344" s="13">
        <v>41981</v>
      </c>
      <c r="P3344" s="18" t="s">
        <v>1107</v>
      </c>
      <c r="Q3344" s="18">
        <v>0</v>
      </c>
      <c r="U3344" s="22">
        <v>0.71</v>
      </c>
      <c r="V3344" s="22">
        <f>3.34/5</f>
        <v>0.66799999999999993</v>
      </c>
      <c r="W3344" s="14" t="s">
        <v>7777</v>
      </c>
      <c r="X3344" s="3">
        <v>3</v>
      </c>
      <c r="Z3344" s="23">
        <v>3</v>
      </c>
      <c r="AB3344" s="18">
        <f t="shared" si="104"/>
        <v>2014</v>
      </c>
      <c r="AC3344" s="22">
        <f t="shared" si="105"/>
        <v>0.65933333333333322</v>
      </c>
    </row>
    <row r="3345" spans="1:29">
      <c r="A3345" s="8" t="s">
        <v>3274</v>
      </c>
      <c r="B3345" s="17" t="s">
        <v>7800</v>
      </c>
      <c r="C3345" s="13">
        <v>41774</v>
      </c>
      <c r="D3345" s="13" t="s">
        <v>8465</v>
      </c>
      <c r="E3345" s="10" t="s">
        <v>3275</v>
      </c>
      <c r="F3345" s="10" t="s">
        <v>3275</v>
      </c>
      <c r="H3345" s="2" t="s">
        <v>64</v>
      </c>
      <c r="L3345" s="18">
        <v>1</v>
      </c>
      <c r="N3345" s="13">
        <v>42173</v>
      </c>
      <c r="O3345" s="29">
        <v>1.49</v>
      </c>
      <c r="P3345" s="18" t="s">
        <v>1107</v>
      </c>
      <c r="Q3345" s="18">
        <v>0</v>
      </c>
      <c r="U3345" s="22">
        <v>0.86</v>
      </c>
      <c r="V3345" s="22">
        <f>3.86/5</f>
        <v>0.77200000000000002</v>
      </c>
      <c r="W3345" s="14" t="s">
        <v>7777</v>
      </c>
      <c r="X3345" s="3">
        <v>2</v>
      </c>
      <c r="Z3345" s="23">
        <v>9.5</v>
      </c>
      <c r="AB3345" s="18">
        <f t="shared" si="104"/>
        <v>2014</v>
      </c>
      <c r="AC3345" s="22">
        <f t="shared" si="105"/>
        <v>0.67733333333333334</v>
      </c>
    </row>
    <row r="3346" spans="1:29" ht="30">
      <c r="A3346" s="8" t="s">
        <v>9841</v>
      </c>
      <c r="B3346" s="17" t="s">
        <v>7763</v>
      </c>
      <c r="C3346" s="13">
        <v>41772</v>
      </c>
      <c r="D3346" s="13" t="s">
        <v>9335</v>
      </c>
      <c r="E3346" s="10" t="s">
        <v>2908</v>
      </c>
      <c r="F3346" s="10" t="s">
        <v>5025</v>
      </c>
      <c r="G3346" s="11" t="s">
        <v>6286</v>
      </c>
      <c r="H3346" s="2" t="s">
        <v>171</v>
      </c>
      <c r="K3346" s="18">
        <v>2</v>
      </c>
      <c r="L3346" s="18">
        <v>1</v>
      </c>
      <c r="M3346" s="14" t="s">
        <v>8462</v>
      </c>
      <c r="N3346" s="13">
        <v>44231</v>
      </c>
      <c r="O3346" s="29">
        <v>43.89</v>
      </c>
      <c r="P3346" s="18" t="s">
        <v>14</v>
      </c>
      <c r="Q3346" s="18">
        <v>0</v>
      </c>
      <c r="U3346" s="22">
        <v>0.82</v>
      </c>
      <c r="V3346" s="22">
        <f>4.37/5</f>
        <v>0.874</v>
      </c>
      <c r="X3346" s="3">
        <v>3</v>
      </c>
      <c r="Z3346" s="23">
        <v>31</v>
      </c>
      <c r="AB3346" s="18">
        <f t="shared" si="104"/>
        <v>2014</v>
      </c>
      <c r="AC3346" s="22">
        <f t="shared" si="105"/>
        <v>0.76466666666666672</v>
      </c>
    </row>
    <row r="3347" spans="1:29">
      <c r="A3347" s="8" t="s">
        <v>3357</v>
      </c>
      <c r="B3347" s="17" t="s">
        <v>7763</v>
      </c>
      <c r="C3347" s="13">
        <v>41772</v>
      </c>
      <c r="D3347" s="13" t="s">
        <v>8465</v>
      </c>
      <c r="E3347" s="10" t="s">
        <v>3310</v>
      </c>
      <c r="F3347" s="10" t="s">
        <v>3743</v>
      </c>
      <c r="G3347" s="11" t="s">
        <v>3356</v>
      </c>
      <c r="H3347" s="2" t="s">
        <v>1050</v>
      </c>
      <c r="L3347" s="18">
        <v>1</v>
      </c>
      <c r="M3347" s="14" t="s">
        <v>10622</v>
      </c>
      <c r="N3347" s="13">
        <v>43889</v>
      </c>
      <c r="O3347" s="29">
        <v>10.84</v>
      </c>
      <c r="P3347" s="18" t="s">
        <v>14</v>
      </c>
      <c r="Q3347" s="18">
        <v>0</v>
      </c>
      <c r="U3347" s="22">
        <v>0.64</v>
      </c>
      <c r="V3347" s="22">
        <f>3.8/5</f>
        <v>0.76</v>
      </c>
      <c r="X3347" s="3">
        <v>3</v>
      </c>
      <c r="Z3347" s="23">
        <v>30.5</v>
      </c>
      <c r="AB3347" s="18">
        <f t="shared" si="104"/>
        <v>2014</v>
      </c>
      <c r="AC3347" s="22">
        <f t="shared" si="105"/>
        <v>0.66666666666666663</v>
      </c>
    </row>
    <row r="3348" spans="1:29" ht="25.5">
      <c r="A3348" s="8" t="s">
        <v>5335</v>
      </c>
      <c r="B3348" s="17" t="s">
        <v>7800</v>
      </c>
      <c r="C3348" s="13">
        <v>41771</v>
      </c>
      <c r="D3348" s="13" t="s">
        <v>8465</v>
      </c>
      <c r="E3348" s="10" t="s">
        <v>3072</v>
      </c>
      <c r="F3348" s="10" t="s">
        <v>4959</v>
      </c>
      <c r="H3348" s="2" t="s">
        <v>80</v>
      </c>
      <c r="L3348" s="18">
        <v>1</v>
      </c>
      <c r="N3348" s="13">
        <v>42121</v>
      </c>
      <c r="O3348" s="29">
        <v>5.39</v>
      </c>
      <c r="P3348" s="18" t="s">
        <v>1107</v>
      </c>
      <c r="Q3348" s="18">
        <v>0</v>
      </c>
      <c r="U3348" s="22">
        <v>0.76</v>
      </c>
      <c r="V3348" s="22">
        <f>3.9/5</f>
        <v>0.78</v>
      </c>
      <c r="W3348" s="14" t="s">
        <v>7777</v>
      </c>
      <c r="X3348" s="3">
        <v>3</v>
      </c>
      <c r="Z3348" s="23">
        <v>6.5</v>
      </c>
      <c r="AB3348" s="18">
        <f t="shared" si="104"/>
        <v>2014</v>
      </c>
      <c r="AC3348" s="22">
        <f t="shared" si="105"/>
        <v>0.71333333333333337</v>
      </c>
    </row>
    <row r="3349" spans="1:29">
      <c r="A3349" s="8" t="s">
        <v>8472</v>
      </c>
      <c r="B3349" s="17" t="s">
        <v>7800</v>
      </c>
      <c r="C3349" s="13">
        <v>41770</v>
      </c>
      <c r="D3349" s="13" t="s">
        <v>8465</v>
      </c>
      <c r="E3349" s="10" t="s">
        <v>3136</v>
      </c>
      <c r="F3349" s="10" t="s">
        <v>4696</v>
      </c>
      <c r="G3349" s="11" t="s">
        <v>8472</v>
      </c>
      <c r="H3349" s="2" t="s">
        <v>151</v>
      </c>
      <c r="L3349" s="18">
        <v>1</v>
      </c>
      <c r="N3349" s="13">
        <v>43906</v>
      </c>
      <c r="O3349" s="29">
        <v>4.99</v>
      </c>
      <c r="P3349" s="18" t="s">
        <v>1107</v>
      </c>
      <c r="Q3349" s="18">
        <v>0</v>
      </c>
      <c r="U3349" s="22">
        <v>0.82</v>
      </c>
      <c r="V3349" s="22">
        <f>4.11/5</f>
        <v>0.82200000000000006</v>
      </c>
      <c r="W3349" s="14" t="s">
        <v>7777</v>
      </c>
      <c r="X3349" s="3">
        <v>3</v>
      </c>
      <c r="Z3349" s="23">
        <v>3.5</v>
      </c>
      <c r="AB3349" s="18">
        <f t="shared" si="104"/>
        <v>2014</v>
      </c>
      <c r="AC3349" s="22">
        <f t="shared" si="105"/>
        <v>0.74733333333333329</v>
      </c>
    </row>
    <row r="3350" spans="1:29" ht="25.5">
      <c r="A3350" s="8" t="s">
        <v>5252</v>
      </c>
      <c r="B3350" s="17" t="s">
        <v>7800</v>
      </c>
      <c r="C3350" s="13">
        <v>41767</v>
      </c>
      <c r="D3350" s="13" t="s">
        <v>8465</v>
      </c>
      <c r="E3350" s="10" t="s">
        <v>455</v>
      </c>
      <c r="F3350" s="10" t="s">
        <v>5253</v>
      </c>
      <c r="G3350" s="11" t="s">
        <v>5254</v>
      </c>
      <c r="H3350" s="2" t="s">
        <v>67</v>
      </c>
      <c r="L3350" s="18">
        <v>1</v>
      </c>
      <c r="N3350" s="13">
        <v>41954</v>
      </c>
      <c r="P3350" s="18" t="s">
        <v>1107</v>
      </c>
      <c r="Q3350" s="18">
        <v>0</v>
      </c>
      <c r="U3350" s="22">
        <v>0.69</v>
      </c>
      <c r="V3350" s="22">
        <f>3.55/5</f>
        <v>0.71</v>
      </c>
      <c r="W3350" s="14" t="s">
        <v>7777</v>
      </c>
      <c r="X3350" s="3">
        <v>3</v>
      </c>
      <c r="Z3350" s="23">
        <v>10.5</v>
      </c>
      <c r="AB3350" s="18">
        <f t="shared" si="104"/>
        <v>2014</v>
      </c>
      <c r="AC3350" s="22">
        <f t="shared" si="105"/>
        <v>0.66666666666666663</v>
      </c>
    </row>
    <row r="3351" spans="1:29" ht="25.5">
      <c r="A3351" s="8" t="s">
        <v>11233</v>
      </c>
      <c r="B3351" s="17" t="s">
        <v>7749</v>
      </c>
      <c r="C3351" s="13">
        <v>41766</v>
      </c>
      <c r="D3351" s="13" t="s">
        <v>8465</v>
      </c>
      <c r="E3351" s="10" t="s">
        <v>1490</v>
      </c>
      <c r="F3351" s="10" t="s">
        <v>1490</v>
      </c>
      <c r="G3351" s="11" t="s">
        <v>11231</v>
      </c>
      <c r="H3351" s="2" t="s">
        <v>149</v>
      </c>
      <c r="L3351" s="18">
        <v>1</v>
      </c>
      <c r="N3351" s="13">
        <v>44624</v>
      </c>
      <c r="O3351" s="29">
        <v>9.99</v>
      </c>
      <c r="P3351" s="18" t="s">
        <v>1107</v>
      </c>
      <c r="Q3351" s="18">
        <v>0</v>
      </c>
      <c r="U3351" s="22">
        <v>0.75</v>
      </c>
      <c r="V3351" s="22">
        <f>4.33/5</f>
        <v>0.86599999999999999</v>
      </c>
      <c r="X3351" s="3">
        <v>3</v>
      </c>
      <c r="Z3351" s="23">
        <v>31.5</v>
      </c>
      <c r="AB3351" s="18">
        <f t="shared" si="104"/>
        <v>2014</v>
      </c>
      <c r="AC3351" s="22">
        <f t="shared" si="105"/>
        <v>0.73866666666666669</v>
      </c>
    </row>
    <row r="3352" spans="1:29">
      <c r="A3352" s="8" t="s">
        <v>3940</v>
      </c>
      <c r="B3352" s="17" t="s">
        <v>7800</v>
      </c>
      <c r="C3352" s="13">
        <v>41765</v>
      </c>
      <c r="D3352" s="13" t="s">
        <v>8465</v>
      </c>
      <c r="E3352" s="10" t="s">
        <v>3446</v>
      </c>
      <c r="F3352" s="10" t="s">
        <v>3941</v>
      </c>
      <c r="H3352" s="2" t="s">
        <v>56</v>
      </c>
      <c r="L3352" s="18">
        <v>1</v>
      </c>
      <c r="N3352" s="13">
        <v>41769</v>
      </c>
      <c r="P3352" s="18" t="s">
        <v>1107</v>
      </c>
      <c r="Q3352" s="18">
        <v>0</v>
      </c>
      <c r="U3352" s="22">
        <v>0.74</v>
      </c>
      <c r="V3352" s="22">
        <f>4.05/5</f>
        <v>0.80999999999999994</v>
      </c>
      <c r="W3352" s="14" t="s">
        <v>7777</v>
      </c>
      <c r="X3352" s="3">
        <v>3</v>
      </c>
      <c r="Z3352" s="23">
        <v>14.5</v>
      </c>
      <c r="AB3352" s="18">
        <f t="shared" si="104"/>
        <v>2014</v>
      </c>
      <c r="AC3352" s="22">
        <f t="shared" si="105"/>
        <v>0.71666666666666667</v>
      </c>
    </row>
    <row r="3353" spans="1:29">
      <c r="A3353" s="8" t="s">
        <v>15533</v>
      </c>
      <c r="B3353" s="17" t="s">
        <v>7759</v>
      </c>
      <c r="C3353" s="13">
        <v>41765</v>
      </c>
      <c r="D3353" s="13" t="s">
        <v>8465</v>
      </c>
      <c r="E3353" s="10" t="s">
        <v>3493</v>
      </c>
      <c r="F3353" s="10" t="s">
        <v>4401</v>
      </c>
      <c r="H3353" s="2" t="s">
        <v>171</v>
      </c>
      <c r="L3353" s="18">
        <v>1</v>
      </c>
      <c r="N3353" s="13">
        <v>43321</v>
      </c>
      <c r="O3353" s="29">
        <v>0</v>
      </c>
      <c r="P3353" s="18" t="s">
        <v>1107</v>
      </c>
      <c r="Q3353" s="18">
        <v>0</v>
      </c>
      <c r="V3353" s="22">
        <f>2.89/5</f>
        <v>0.57800000000000007</v>
      </c>
      <c r="W3353" s="14" t="s">
        <v>6072</v>
      </c>
      <c r="X3353" s="3">
        <v>2</v>
      </c>
      <c r="Z3353" s="23">
        <v>13</v>
      </c>
      <c r="AB3353" s="18">
        <f t="shared" si="104"/>
        <v>2014</v>
      </c>
      <c r="AC3353" s="22">
        <f t="shared" si="105"/>
        <v>0.48900000000000005</v>
      </c>
    </row>
    <row r="3354" spans="1:29">
      <c r="A3354" s="8" t="s">
        <v>12570</v>
      </c>
      <c r="B3354" s="17" t="s">
        <v>7800</v>
      </c>
      <c r="C3354" s="13">
        <v>41764</v>
      </c>
      <c r="D3354" s="13" t="s">
        <v>8465</v>
      </c>
      <c r="E3354" s="10" t="s">
        <v>12578</v>
      </c>
      <c r="F3354" s="10" t="s">
        <v>12578</v>
      </c>
      <c r="H3354" s="2" t="s">
        <v>1518</v>
      </c>
      <c r="L3354" s="18">
        <v>1</v>
      </c>
      <c r="P3354" s="18" t="s">
        <v>1107</v>
      </c>
      <c r="Q3354" s="18">
        <v>0</v>
      </c>
      <c r="V3354" s="22">
        <f>3.62/5</f>
        <v>0.72399999999999998</v>
      </c>
      <c r="W3354" s="14" t="s">
        <v>7777</v>
      </c>
      <c r="X3354" s="3">
        <v>2</v>
      </c>
      <c r="Z3354" s="23">
        <f>39/60</f>
        <v>0.65</v>
      </c>
      <c r="AB3354" s="18">
        <f t="shared" si="104"/>
        <v>2014</v>
      </c>
      <c r="AC3354" s="22">
        <f t="shared" si="105"/>
        <v>0.56200000000000006</v>
      </c>
    </row>
    <row r="3355" spans="1:29" ht="38.25">
      <c r="A3355" s="8" t="s">
        <v>5573</v>
      </c>
      <c r="B3355" s="17" t="s">
        <v>7800</v>
      </c>
      <c r="C3355" s="13">
        <v>41764</v>
      </c>
      <c r="D3355" s="13" t="s">
        <v>8465</v>
      </c>
      <c r="E3355" s="10" t="s">
        <v>5574</v>
      </c>
      <c r="F3355" s="10" t="s">
        <v>5575</v>
      </c>
      <c r="G3355" s="11" t="s">
        <v>5576</v>
      </c>
      <c r="H3355" s="2" t="s">
        <v>1057</v>
      </c>
      <c r="L3355" s="18">
        <v>1</v>
      </c>
      <c r="N3355" s="13">
        <v>42047</v>
      </c>
      <c r="P3355" s="18" t="s">
        <v>1107</v>
      </c>
      <c r="Q3355" s="18">
        <v>0</v>
      </c>
      <c r="U3355" s="22">
        <v>0.4</v>
      </c>
      <c r="V3355" s="22">
        <f>4/5</f>
        <v>0.8</v>
      </c>
      <c r="W3355" s="14" t="s">
        <v>7777</v>
      </c>
      <c r="X3355" s="3">
        <v>2</v>
      </c>
      <c r="Z3355" s="23">
        <v>8.5</v>
      </c>
      <c r="AB3355" s="18">
        <f t="shared" si="104"/>
        <v>2014</v>
      </c>
      <c r="AC3355" s="22">
        <f t="shared" si="105"/>
        <v>0.53333333333333333</v>
      </c>
    </row>
    <row r="3356" spans="1:29">
      <c r="A3356" s="8" t="s">
        <v>2377</v>
      </c>
      <c r="B3356" s="17" t="s">
        <v>7749</v>
      </c>
      <c r="C3356" s="13">
        <v>41761</v>
      </c>
      <c r="D3356" s="13" t="s">
        <v>8465</v>
      </c>
      <c r="E3356" s="10" t="s">
        <v>86</v>
      </c>
      <c r="F3356" s="10" t="s">
        <v>30</v>
      </c>
      <c r="G3356" s="11" t="s">
        <v>223</v>
      </c>
      <c r="H3356" s="2" t="s">
        <v>64</v>
      </c>
      <c r="L3356" s="18">
        <v>1</v>
      </c>
      <c r="M3356" s="14" t="s">
        <v>8462</v>
      </c>
      <c r="N3356" s="13">
        <v>43611</v>
      </c>
      <c r="O3356" s="29">
        <v>10.85</v>
      </c>
      <c r="P3356" s="18" t="s">
        <v>14</v>
      </c>
      <c r="Q3356" s="18">
        <v>0</v>
      </c>
      <c r="U3356" s="22">
        <v>0.81</v>
      </c>
      <c r="V3356" s="22">
        <f>4.11/5</f>
        <v>0.82200000000000006</v>
      </c>
      <c r="X3356" s="3">
        <v>3</v>
      </c>
      <c r="Z3356" s="23">
        <v>7</v>
      </c>
      <c r="AB3356" s="18">
        <f t="shared" si="104"/>
        <v>2014</v>
      </c>
      <c r="AC3356" s="22">
        <f t="shared" si="105"/>
        <v>0.74400000000000011</v>
      </c>
    </row>
    <row r="3357" spans="1:29" ht="30">
      <c r="A3357" s="8" t="s">
        <v>9765</v>
      </c>
      <c r="B3357" s="17" t="s">
        <v>7749</v>
      </c>
      <c r="C3357" s="13">
        <v>41761</v>
      </c>
      <c r="D3357" s="13" t="s">
        <v>8465</v>
      </c>
      <c r="E3357" s="10" t="s">
        <v>86</v>
      </c>
      <c r="F3357" s="10" t="s">
        <v>1160</v>
      </c>
      <c r="G3357" s="11" t="s">
        <v>875</v>
      </c>
      <c r="H3357" s="2" t="s">
        <v>255</v>
      </c>
      <c r="L3357" s="18">
        <v>1</v>
      </c>
      <c r="M3357" s="14" t="s">
        <v>8462</v>
      </c>
      <c r="N3357" s="13">
        <v>44235</v>
      </c>
      <c r="O3357" s="29">
        <v>23.86</v>
      </c>
      <c r="P3357" s="18" t="s">
        <v>14</v>
      </c>
      <c r="Q3357" s="18">
        <v>0</v>
      </c>
      <c r="U3357" s="22">
        <v>0.78</v>
      </c>
      <c r="V3357" s="22">
        <f>3.85/5</f>
        <v>0.77</v>
      </c>
      <c r="X3357" s="3">
        <v>3</v>
      </c>
      <c r="Z3357" s="23">
        <v>9</v>
      </c>
      <c r="AB3357" s="18">
        <f t="shared" si="104"/>
        <v>2014</v>
      </c>
      <c r="AC3357" s="22">
        <f t="shared" si="105"/>
        <v>0.71666666666666667</v>
      </c>
    </row>
    <row r="3358" spans="1:29" ht="30">
      <c r="A3358" s="8" t="s">
        <v>3127</v>
      </c>
      <c r="B3358" s="17" t="s">
        <v>7800</v>
      </c>
      <c r="C3358" s="13">
        <v>41761</v>
      </c>
      <c r="D3358" s="13" t="s">
        <v>8465</v>
      </c>
      <c r="E3358" s="10" t="s">
        <v>3128</v>
      </c>
      <c r="F3358" s="10" t="s">
        <v>3128</v>
      </c>
      <c r="H3358" s="2" t="s">
        <v>64</v>
      </c>
      <c r="L3358" s="18">
        <v>1</v>
      </c>
      <c r="N3358" s="13">
        <v>41942</v>
      </c>
      <c r="P3358" s="18" t="s">
        <v>1107</v>
      </c>
      <c r="Q3358" s="18">
        <v>0</v>
      </c>
      <c r="V3358" s="22">
        <f>2.41/5</f>
        <v>0.48200000000000004</v>
      </c>
      <c r="W3358" s="14" t="s">
        <v>7777</v>
      </c>
      <c r="X3358" s="3">
        <v>2</v>
      </c>
      <c r="Z3358" s="23">
        <v>2</v>
      </c>
      <c r="AB3358" s="18">
        <f t="shared" si="104"/>
        <v>2014</v>
      </c>
      <c r="AC3358" s="22">
        <f t="shared" si="105"/>
        <v>0.44100000000000006</v>
      </c>
    </row>
    <row r="3359" spans="1:29" ht="38.25">
      <c r="A3359" s="8" t="s">
        <v>11265</v>
      </c>
      <c r="B3359" s="17" t="s">
        <v>7749</v>
      </c>
      <c r="C3359" s="13">
        <v>41760</v>
      </c>
      <c r="D3359" s="13" t="s">
        <v>8463</v>
      </c>
      <c r="E3359" s="10" t="s">
        <v>8169</v>
      </c>
      <c r="F3359" s="10" t="s">
        <v>2320</v>
      </c>
      <c r="G3359" s="11" t="s">
        <v>2224</v>
      </c>
      <c r="H3359" s="2" t="s">
        <v>67</v>
      </c>
      <c r="K3359" s="18">
        <v>2</v>
      </c>
      <c r="L3359" s="18">
        <v>0</v>
      </c>
      <c r="Q3359" s="18">
        <v>0</v>
      </c>
      <c r="V3359" s="22">
        <f>4.35/5</f>
        <v>0.86999999999999988</v>
      </c>
      <c r="X3359" s="3">
        <v>2</v>
      </c>
      <c r="Z3359" s="23">
        <v>6</v>
      </c>
      <c r="AB3359" s="18">
        <f t="shared" si="104"/>
        <v>2014</v>
      </c>
      <c r="AC3359" s="22">
        <f t="shared" si="105"/>
        <v>0.63500000000000001</v>
      </c>
    </row>
    <row r="3360" spans="1:29" ht="25.5">
      <c r="A3360" s="8" t="s">
        <v>3214</v>
      </c>
      <c r="B3360" s="17" t="s">
        <v>7800</v>
      </c>
      <c r="C3360" s="13">
        <v>41760</v>
      </c>
      <c r="D3360" s="13" t="s">
        <v>8465</v>
      </c>
      <c r="E3360" s="10" t="s">
        <v>3136</v>
      </c>
      <c r="F3360" s="10" t="s">
        <v>3215</v>
      </c>
      <c r="G3360" s="11" t="s">
        <v>3216</v>
      </c>
      <c r="H3360" s="2" t="s">
        <v>143</v>
      </c>
      <c r="L3360" s="18">
        <v>1</v>
      </c>
      <c r="N3360" s="13">
        <v>42137</v>
      </c>
      <c r="O3360" s="29">
        <v>3</v>
      </c>
      <c r="P3360" s="18" t="s">
        <v>1107</v>
      </c>
      <c r="Q3360" s="18">
        <v>0</v>
      </c>
      <c r="U3360" s="22">
        <v>0.8</v>
      </c>
      <c r="V3360" s="22">
        <f>3.5/5</f>
        <v>0.7</v>
      </c>
      <c r="W3360" s="14" t="s">
        <v>7777</v>
      </c>
      <c r="X3360" s="3">
        <v>2</v>
      </c>
      <c r="Z3360" s="23">
        <v>2.5</v>
      </c>
      <c r="AB3360" s="18">
        <f t="shared" si="104"/>
        <v>2014</v>
      </c>
      <c r="AC3360" s="22">
        <f t="shared" si="105"/>
        <v>0.6333333333333333</v>
      </c>
    </row>
    <row r="3361" spans="1:29" ht="30">
      <c r="A3361" s="8" t="s">
        <v>3351</v>
      </c>
      <c r="B3361" s="17" t="s">
        <v>7800</v>
      </c>
      <c r="C3361" s="13">
        <v>41759</v>
      </c>
      <c r="D3361" s="13" t="s">
        <v>8465</v>
      </c>
      <c r="E3361" s="10" t="s">
        <v>3352</v>
      </c>
      <c r="F3361" s="10" t="s">
        <v>1084</v>
      </c>
      <c r="G3361" s="11" t="s">
        <v>3353</v>
      </c>
      <c r="H3361" s="2" t="s">
        <v>56</v>
      </c>
      <c r="L3361" s="18">
        <v>1</v>
      </c>
      <c r="N3361" s="13">
        <v>41961</v>
      </c>
      <c r="P3361" s="18" t="s">
        <v>1107</v>
      </c>
      <c r="Q3361" s="18">
        <v>0</v>
      </c>
      <c r="V3361" s="22">
        <f>2.68/5</f>
        <v>0.53600000000000003</v>
      </c>
      <c r="W3361" s="14" t="s">
        <v>7777</v>
      </c>
      <c r="X3361" s="3">
        <v>3</v>
      </c>
      <c r="Z3361" s="23">
        <v>4.5</v>
      </c>
      <c r="AB3361" s="18">
        <f t="shared" si="104"/>
        <v>2014</v>
      </c>
      <c r="AC3361" s="22">
        <f t="shared" si="105"/>
        <v>0.56800000000000006</v>
      </c>
    </row>
    <row r="3362" spans="1:29">
      <c r="A3362" s="8" t="s">
        <v>3508</v>
      </c>
      <c r="B3362" s="17" t="s">
        <v>7800</v>
      </c>
      <c r="C3362" s="13">
        <v>41759</v>
      </c>
      <c r="D3362" s="13" t="s">
        <v>8465</v>
      </c>
      <c r="E3362" s="10" t="s">
        <v>3159</v>
      </c>
      <c r="F3362" s="10" t="s">
        <v>3509</v>
      </c>
      <c r="H3362" s="2" t="s">
        <v>1059</v>
      </c>
      <c r="L3362" s="18">
        <v>1</v>
      </c>
      <c r="N3362" s="13">
        <v>41769</v>
      </c>
      <c r="P3362" s="18" t="s">
        <v>1107</v>
      </c>
      <c r="Q3362" s="18">
        <v>0</v>
      </c>
      <c r="U3362" s="22">
        <v>0.55000000000000004</v>
      </c>
      <c r="V3362" s="22">
        <f>2.85/5</f>
        <v>0.57000000000000006</v>
      </c>
      <c r="W3362" s="14" t="s">
        <v>7777</v>
      </c>
      <c r="X3362" s="3">
        <v>2</v>
      </c>
      <c r="Z3362" s="23">
        <v>0.98</v>
      </c>
      <c r="AB3362" s="18">
        <f t="shared" si="104"/>
        <v>2014</v>
      </c>
      <c r="AC3362" s="22">
        <f t="shared" si="105"/>
        <v>0.50666666666666671</v>
      </c>
    </row>
    <row r="3363" spans="1:29" ht="25.5">
      <c r="A3363" s="8" t="s">
        <v>7623</v>
      </c>
      <c r="B3363" s="17" t="s">
        <v>7743</v>
      </c>
      <c r="C3363" s="13">
        <v>41758</v>
      </c>
      <c r="D3363" s="13" t="s">
        <v>8465</v>
      </c>
      <c r="E3363" s="10" t="s">
        <v>1273</v>
      </c>
      <c r="F3363" s="10" t="s">
        <v>6103</v>
      </c>
      <c r="G3363" s="11" t="s">
        <v>1264</v>
      </c>
      <c r="H3363" s="2" t="s">
        <v>80</v>
      </c>
      <c r="L3363" s="18">
        <v>1</v>
      </c>
      <c r="M3363" s="14" t="s">
        <v>8462</v>
      </c>
      <c r="N3363" s="13">
        <v>45223</v>
      </c>
      <c r="O3363" s="29">
        <v>16.29</v>
      </c>
      <c r="P3363" s="18" t="s">
        <v>14</v>
      </c>
      <c r="Q3363" s="18">
        <v>0</v>
      </c>
      <c r="U3363" s="22">
        <v>0.57999999999999996</v>
      </c>
      <c r="V3363" s="22">
        <f>3.57/5</f>
        <v>0.71399999999999997</v>
      </c>
      <c r="X3363" s="3">
        <v>2</v>
      </c>
      <c r="Z3363" s="23">
        <v>7</v>
      </c>
      <c r="AB3363" s="18">
        <f t="shared" si="104"/>
        <v>2014</v>
      </c>
      <c r="AC3363" s="22">
        <f t="shared" si="105"/>
        <v>0.56466666666666665</v>
      </c>
    </row>
    <row r="3364" spans="1:29" ht="25.5">
      <c r="A3364" s="8" t="s">
        <v>15501</v>
      </c>
      <c r="B3364" s="17" t="s">
        <v>7759</v>
      </c>
      <c r="C3364" s="13">
        <v>41758</v>
      </c>
      <c r="D3364" s="13" t="s">
        <v>8465</v>
      </c>
      <c r="E3364" s="10" t="s">
        <v>15443</v>
      </c>
      <c r="F3364" s="10" t="s">
        <v>13732</v>
      </c>
      <c r="G3364" s="11" t="s">
        <v>14424</v>
      </c>
      <c r="H3364" s="2" t="s">
        <v>1170</v>
      </c>
      <c r="L3364" s="18">
        <v>0</v>
      </c>
      <c r="Q3364" s="18">
        <v>0</v>
      </c>
      <c r="U3364" s="22">
        <v>0.23</v>
      </c>
      <c r="V3364" s="22">
        <f>1.82/5</f>
        <v>0.36399999999999999</v>
      </c>
      <c r="X3364" s="3">
        <v>2</v>
      </c>
      <c r="Z3364" s="23">
        <v>4</v>
      </c>
      <c r="AB3364" s="18">
        <f t="shared" si="104"/>
        <v>2014</v>
      </c>
      <c r="AC3364" s="22">
        <f t="shared" si="105"/>
        <v>0.33133333333333331</v>
      </c>
    </row>
    <row r="3365" spans="1:29" ht="25.5">
      <c r="A3365" s="8" t="s">
        <v>4454</v>
      </c>
      <c r="B3365" s="17" t="s">
        <v>7800</v>
      </c>
      <c r="C3365" s="13">
        <v>41754</v>
      </c>
      <c r="D3365" s="13" t="s">
        <v>8465</v>
      </c>
      <c r="E3365" s="10" t="s">
        <v>4450</v>
      </c>
      <c r="F3365" s="10" t="s">
        <v>4450</v>
      </c>
      <c r="G3365" s="11" t="s">
        <v>4451</v>
      </c>
      <c r="H3365" s="2" t="s">
        <v>149</v>
      </c>
      <c r="L3365" s="18">
        <v>1</v>
      </c>
      <c r="N3365" s="13">
        <v>41769</v>
      </c>
      <c r="P3365" s="18" t="s">
        <v>1107</v>
      </c>
      <c r="Q3365" s="18">
        <v>0</v>
      </c>
      <c r="U3365" s="22">
        <v>0.75</v>
      </c>
      <c r="V3365" s="22">
        <f>3.95/5</f>
        <v>0.79</v>
      </c>
      <c r="W3365" s="14" t="s">
        <v>7777</v>
      </c>
      <c r="X3365" s="3">
        <v>2</v>
      </c>
      <c r="Z3365" s="23">
        <v>7</v>
      </c>
      <c r="AB3365" s="18">
        <f t="shared" si="104"/>
        <v>2014</v>
      </c>
      <c r="AC3365" s="22">
        <f t="shared" si="105"/>
        <v>0.64666666666666661</v>
      </c>
    </row>
    <row r="3366" spans="1:29" ht="25.5">
      <c r="A3366" s="8" t="s">
        <v>5282</v>
      </c>
      <c r="B3366" s="17" t="s">
        <v>7800</v>
      </c>
      <c r="C3366" s="13">
        <v>41753</v>
      </c>
      <c r="D3366" s="13" t="s">
        <v>8465</v>
      </c>
      <c r="E3366" s="10" t="s">
        <v>3066</v>
      </c>
      <c r="F3366" s="10" t="s">
        <v>3066</v>
      </c>
      <c r="G3366" s="11" t="s">
        <v>3329</v>
      </c>
      <c r="H3366" s="2" t="s">
        <v>67</v>
      </c>
      <c r="L3366" s="18">
        <v>1</v>
      </c>
      <c r="N3366" s="13">
        <v>43404</v>
      </c>
      <c r="O3366" s="29">
        <v>1.99</v>
      </c>
      <c r="P3366" s="18" t="s">
        <v>1107</v>
      </c>
      <c r="Q3366" s="18">
        <v>0</v>
      </c>
      <c r="U3366" s="22">
        <v>0.84</v>
      </c>
      <c r="V3366" s="22">
        <f>3.98/5</f>
        <v>0.79600000000000004</v>
      </c>
      <c r="W3366" s="14" t="s">
        <v>7777</v>
      </c>
      <c r="X3366" s="3">
        <v>3</v>
      </c>
      <c r="Z3366" s="23">
        <v>6</v>
      </c>
      <c r="AB3366" s="18">
        <f t="shared" si="104"/>
        <v>2014</v>
      </c>
      <c r="AC3366" s="22">
        <f t="shared" si="105"/>
        <v>0.7453333333333334</v>
      </c>
    </row>
    <row r="3367" spans="1:29">
      <c r="A3367" s="8" t="s">
        <v>5466</v>
      </c>
      <c r="B3367" s="17" t="s">
        <v>7800</v>
      </c>
      <c r="C3367" s="13">
        <v>41753</v>
      </c>
      <c r="D3367" s="13" t="s">
        <v>8465</v>
      </c>
      <c r="E3367" s="10" t="s">
        <v>1047</v>
      </c>
      <c r="F3367" s="10" t="s">
        <v>5467</v>
      </c>
      <c r="G3367" s="11" t="s">
        <v>5468</v>
      </c>
      <c r="H3367" s="2" t="s">
        <v>150</v>
      </c>
      <c r="L3367" s="18">
        <v>1</v>
      </c>
      <c r="N3367" s="13">
        <v>42123</v>
      </c>
      <c r="O3367" s="29">
        <v>6.79</v>
      </c>
      <c r="P3367" s="18" t="s">
        <v>1107</v>
      </c>
      <c r="Q3367" s="18">
        <v>0</v>
      </c>
      <c r="U3367" s="22">
        <v>0.8</v>
      </c>
      <c r="V3367" s="22">
        <f>3.67/5</f>
        <v>0.73399999999999999</v>
      </c>
      <c r="W3367" s="14" t="s">
        <v>7777</v>
      </c>
      <c r="X3367" s="3">
        <v>3</v>
      </c>
      <c r="Z3367" s="23">
        <v>6.5</v>
      </c>
      <c r="AB3367" s="18">
        <f t="shared" si="104"/>
        <v>2014</v>
      </c>
      <c r="AC3367" s="22">
        <f t="shared" si="105"/>
        <v>0.71133333333333326</v>
      </c>
    </row>
    <row r="3368" spans="1:29">
      <c r="A3368" s="8" t="s">
        <v>9190</v>
      </c>
      <c r="B3368" s="17" t="s">
        <v>7763</v>
      </c>
      <c r="C3368" s="13">
        <v>41751</v>
      </c>
      <c r="D3368" s="13" t="s">
        <v>8465</v>
      </c>
      <c r="E3368" s="10" t="s">
        <v>1062</v>
      </c>
      <c r="F3368" s="10" t="s">
        <v>8972</v>
      </c>
      <c r="G3368" s="11" t="s">
        <v>9190</v>
      </c>
      <c r="H3368" s="2" t="s">
        <v>1377</v>
      </c>
      <c r="L3368" s="18">
        <v>1</v>
      </c>
      <c r="M3368" s="14" t="s">
        <v>8462</v>
      </c>
      <c r="N3368" s="13">
        <v>44050</v>
      </c>
      <c r="O3368" s="29">
        <v>21.78</v>
      </c>
      <c r="P3368" s="18" t="s">
        <v>14</v>
      </c>
      <c r="Q3368" s="18">
        <v>0</v>
      </c>
      <c r="U3368" s="22">
        <v>0.7</v>
      </c>
      <c r="V3368" s="22">
        <f>3.92/5</f>
        <v>0.78400000000000003</v>
      </c>
      <c r="X3368" s="3">
        <v>3</v>
      </c>
      <c r="Z3368" s="23">
        <v>36</v>
      </c>
      <c r="AB3368" s="18">
        <f t="shared" si="104"/>
        <v>2014</v>
      </c>
      <c r="AC3368" s="22">
        <f t="shared" si="105"/>
        <v>0.69466666666666665</v>
      </c>
    </row>
    <row r="3369" spans="1:29" ht="25.5">
      <c r="A3369" s="8" t="s">
        <v>8958</v>
      </c>
      <c r="B3369" s="17" t="s">
        <v>7800</v>
      </c>
      <c r="C3369" s="13">
        <v>41746</v>
      </c>
      <c r="D3369" s="13" t="s">
        <v>8465</v>
      </c>
      <c r="E3369" s="10" t="s">
        <v>3112</v>
      </c>
      <c r="F3369" s="10" t="s">
        <v>3113</v>
      </c>
      <c r="G3369" s="11" t="s">
        <v>3114</v>
      </c>
      <c r="H3369" s="2" t="s">
        <v>75</v>
      </c>
      <c r="L3369" s="18">
        <v>1</v>
      </c>
      <c r="N3369" s="13">
        <v>44007</v>
      </c>
      <c r="O3369" s="29">
        <v>1.99</v>
      </c>
      <c r="P3369" s="18" t="s">
        <v>1107</v>
      </c>
      <c r="Q3369" s="18">
        <v>0</v>
      </c>
      <c r="V3369" s="22">
        <f>3.75/5</f>
        <v>0.75</v>
      </c>
      <c r="W3369" s="14" t="s">
        <v>7777</v>
      </c>
      <c r="X3369" s="3">
        <v>3</v>
      </c>
      <c r="Z3369" s="23">
        <v>47.5</v>
      </c>
      <c r="AB3369" s="18">
        <f t="shared" si="104"/>
        <v>2014</v>
      </c>
      <c r="AC3369" s="22">
        <f t="shared" si="105"/>
        <v>0.67500000000000004</v>
      </c>
    </row>
    <row r="3370" spans="1:29" ht="25.5">
      <c r="A3370" s="8" t="s">
        <v>3371</v>
      </c>
      <c r="B3370" s="17" t="s">
        <v>7800</v>
      </c>
      <c r="C3370" s="13">
        <v>41746</v>
      </c>
      <c r="D3370" s="13" t="s">
        <v>8465</v>
      </c>
      <c r="E3370" s="10" t="s">
        <v>3372</v>
      </c>
      <c r="F3370" s="10" t="s">
        <v>3372</v>
      </c>
      <c r="G3370" s="11" t="s">
        <v>3373</v>
      </c>
      <c r="H3370" s="2" t="s">
        <v>67</v>
      </c>
      <c r="L3370" s="18">
        <v>1</v>
      </c>
      <c r="N3370" s="13">
        <v>43152</v>
      </c>
      <c r="P3370" s="18" t="s">
        <v>1107</v>
      </c>
      <c r="Q3370" s="18">
        <v>0</v>
      </c>
      <c r="U3370" s="22">
        <v>0.74</v>
      </c>
      <c r="V3370" s="22">
        <f>3.73/5</f>
        <v>0.746</v>
      </c>
      <c r="W3370" s="14" t="s">
        <v>7777</v>
      </c>
      <c r="X3370" s="3">
        <v>3</v>
      </c>
      <c r="Z3370" s="23">
        <v>11</v>
      </c>
      <c r="AB3370" s="18">
        <f t="shared" si="104"/>
        <v>2014</v>
      </c>
      <c r="AC3370" s="22">
        <f t="shared" si="105"/>
        <v>0.69533333333333325</v>
      </c>
    </row>
    <row r="3371" spans="1:29" ht="25.5">
      <c r="A3371" s="8" t="s">
        <v>11504</v>
      </c>
      <c r="B3371" s="17" t="s">
        <v>7749</v>
      </c>
      <c r="C3371" s="13">
        <v>41746</v>
      </c>
      <c r="D3371" s="13" t="s">
        <v>8467</v>
      </c>
      <c r="E3371" s="10" t="s">
        <v>86</v>
      </c>
      <c r="F3371" s="10" t="s">
        <v>11505</v>
      </c>
      <c r="H3371" s="2" t="s">
        <v>255</v>
      </c>
      <c r="L3371" s="18">
        <v>0</v>
      </c>
      <c r="Q3371" s="18">
        <v>0</v>
      </c>
      <c r="U3371" s="22">
        <v>0.65</v>
      </c>
      <c r="V3371" s="22">
        <f>4.01/5</f>
        <v>0.80199999999999994</v>
      </c>
      <c r="X3371" s="3">
        <v>2</v>
      </c>
      <c r="Z3371" s="23">
        <v>58</v>
      </c>
      <c r="AB3371" s="18">
        <f t="shared" si="104"/>
        <v>2014</v>
      </c>
      <c r="AC3371" s="22">
        <f t="shared" si="105"/>
        <v>0.61733333333333329</v>
      </c>
    </row>
    <row r="3372" spans="1:29" ht="45">
      <c r="A3372" s="8" t="s">
        <v>4313</v>
      </c>
      <c r="B3372" s="17" t="s">
        <v>7800</v>
      </c>
      <c r="C3372" s="13">
        <v>41737</v>
      </c>
      <c r="D3372" s="13" t="s">
        <v>8465</v>
      </c>
      <c r="E3372" s="10" t="s">
        <v>1156</v>
      </c>
      <c r="F3372" s="10" t="s">
        <v>1309</v>
      </c>
      <c r="G3372" s="11" t="s">
        <v>4314</v>
      </c>
      <c r="H3372" s="2" t="s">
        <v>80</v>
      </c>
      <c r="L3372" s="18">
        <v>1</v>
      </c>
      <c r="N3372" s="13">
        <v>42000</v>
      </c>
      <c r="O3372" s="29">
        <v>3.46</v>
      </c>
      <c r="P3372" s="18" t="s">
        <v>1107</v>
      </c>
      <c r="Q3372" s="18">
        <v>0</v>
      </c>
      <c r="U3372" s="22">
        <v>0.6</v>
      </c>
      <c r="V3372" s="22">
        <f>3.61/5</f>
        <v>0.72199999999999998</v>
      </c>
      <c r="W3372" s="14" t="s">
        <v>7777</v>
      </c>
      <c r="X3372" s="3">
        <v>3</v>
      </c>
      <c r="Z3372" s="23">
        <v>9</v>
      </c>
      <c r="AB3372" s="18">
        <f t="shared" si="104"/>
        <v>2014</v>
      </c>
      <c r="AC3372" s="22">
        <f t="shared" si="105"/>
        <v>0.64066666666666672</v>
      </c>
    </row>
    <row r="3373" spans="1:29" ht="25.5">
      <c r="A3373" s="8" t="s">
        <v>4067</v>
      </c>
      <c r="B3373" s="17" t="s">
        <v>7800</v>
      </c>
      <c r="C3373" s="13">
        <v>41733</v>
      </c>
      <c r="D3373" s="13" t="s">
        <v>8465</v>
      </c>
      <c r="E3373" s="10" t="s">
        <v>4068</v>
      </c>
      <c r="F3373" s="10" t="s">
        <v>1640</v>
      </c>
      <c r="G3373" s="11" t="s">
        <v>4066</v>
      </c>
      <c r="H3373" s="2" t="s">
        <v>171</v>
      </c>
      <c r="L3373" s="18">
        <v>1</v>
      </c>
      <c r="N3373" s="13">
        <v>42338</v>
      </c>
      <c r="O3373" s="29">
        <v>2.4900000000000002</v>
      </c>
      <c r="P3373" s="18" t="s">
        <v>1107</v>
      </c>
      <c r="Q3373" s="18">
        <v>0</v>
      </c>
      <c r="U3373" s="22">
        <v>0.78</v>
      </c>
      <c r="V3373" s="22">
        <f>4.1/5</f>
        <v>0.82</v>
      </c>
      <c r="W3373" s="14" t="s">
        <v>7777</v>
      </c>
      <c r="X3373" s="3">
        <v>3</v>
      </c>
      <c r="Z3373" s="23">
        <v>17.5</v>
      </c>
      <c r="AB3373" s="18">
        <f t="shared" si="104"/>
        <v>2014</v>
      </c>
      <c r="AC3373" s="22">
        <f t="shared" si="105"/>
        <v>0.73333333333333339</v>
      </c>
    </row>
    <row r="3374" spans="1:29" ht="25.5">
      <c r="A3374" s="8" t="s">
        <v>8566</v>
      </c>
      <c r="B3374" s="17" t="s">
        <v>7800</v>
      </c>
      <c r="C3374" s="13">
        <v>41733</v>
      </c>
      <c r="D3374" s="13" t="s">
        <v>8465</v>
      </c>
      <c r="E3374" s="10" t="s">
        <v>1690</v>
      </c>
      <c r="F3374" s="10" t="s">
        <v>8567</v>
      </c>
      <c r="G3374" s="11" t="s">
        <v>1207</v>
      </c>
      <c r="H3374" s="2" t="s">
        <v>9780</v>
      </c>
      <c r="L3374" s="18">
        <v>1</v>
      </c>
      <c r="N3374" s="13">
        <v>42130</v>
      </c>
      <c r="O3374" s="29">
        <v>51.99</v>
      </c>
      <c r="P3374" s="18" t="s">
        <v>1107</v>
      </c>
      <c r="Q3374" s="18">
        <v>0</v>
      </c>
      <c r="U3374" s="22">
        <v>0.71</v>
      </c>
      <c r="V3374" s="22">
        <f>3.4/5</f>
        <v>0.67999999999999994</v>
      </c>
      <c r="W3374" s="14" t="s">
        <v>7777</v>
      </c>
      <c r="X3374" s="3">
        <v>3</v>
      </c>
      <c r="Z3374" s="23">
        <v>86</v>
      </c>
      <c r="AB3374" s="18">
        <f t="shared" si="104"/>
        <v>2014</v>
      </c>
      <c r="AC3374" s="22">
        <f t="shared" si="105"/>
        <v>0.66333333333333322</v>
      </c>
    </row>
    <row r="3375" spans="1:29">
      <c r="A3375" s="8" t="s">
        <v>4077</v>
      </c>
      <c r="B3375" s="17" t="s">
        <v>7800</v>
      </c>
      <c r="C3375" s="13">
        <v>41733</v>
      </c>
      <c r="D3375" s="13" t="s">
        <v>8465</v>
      </c>
      <c r="E3375" s="10" t="s">
        <v>3116</v>
      </c>
      <c r="F3375" s="10" t="s">
        <v>4078</v>
      </c>
      <c r="G3375" s="11" t="s">
        <v>4079</v>
      </c>
      <c r="H3375" s="2" t="s">
        <v>1054</v>
      </c>
      <c r="L3375" s="18">
        <v>1</v>
      </c>
      <c r="N3375" s="13">
        <v>41863</v>
      </c>
      <c r="O3375" s="29">
        <v>1.24</v>
      </c>
      <c r="P3375" s="18" t="s">
        <v>1107</v>
      </c>
      <c r="Q3375" s="18">
        <v>0</v>
      </c>
      <c r="U3375" s="22">
        <v>0.69</v>
      </c>
      <c r="V3375" s="22">
        <f>2.94/5</f>
        <v>0.58799999999999997</v>
      </c>
      <c r="W3375" s="14" t="s">
        <v>7777</v>
      </c>
      <c r="X3375" s="3">
        <v>3</v>
      </c>
      <c r="Z3375" s="23">
        <v>4</v>
      </c>
      <c r="AB3375" s="18">
        <f t="shared" si="104"/>
        <v>2014</v>
      </c>
      <c r="AC3375" s="22">
        <f t="shared" si="105"/>
        <v>0.626</v>
      </c>
    </row>
    <row r="3376" spans="1:29">
      <c r="A3376" s="8" t="s">
        <v>1907</v>
      </c>
      <c r="B3376" s="17" t="s">
        <v>7743</v>
      </c>
      <c r="C3376" s="13">
        <v>41732</v>
      </c>
      <c r="D3376" s="13" t="s">
        <v>8465</v>
      </c>
      <c r="E3376" s="10" t="s">
        <v>86</v>
      </c>
      <c r="F3376" s="10" t="s">
        <v>142</v>
      </c>
      <c r="G3376" s="11" t="s">
        <v>109</v>
      </c>
      <c r="H3376" s="2" t="s">
        <v>151</v>
      </c>
      <c r="L3376" s="18">
        <v>1</v>
      </c>
      <c r="N3376" s="13">
        <v>44639</v>
      </c>
      <c r="O3376" s="29">
        <v>7.99</v>
      </c>
      <c r="P3376" s="18" t="s">
        <v>1107</v>
      </c>
      <c r="Q3376" s="18">
        <v>0</v>
      </c>
      <c r="V3376" s="22">
        <f>4.22/5</f>
        <v>0.84399999999999997</v>
      </c>
      <c r="X3376" s="3">
        <v>3</v>
      </c>
      <c r="Z3376" s="23">
        <v>5</v>
      </c>
      <c r="AB3376" s="18">
        <f t="shared" si="104"/>
        <v>2014</v>
      </c>
      <c r="AC3376" s="22">
        <f t="shared" si="105"/>
        <v>0.72199999999999998</v>
      </c>
    </row>
    <row r="3377" spans="1:29">
      <c r="A3377" s="8" t="s">
        <v>4930</v>
      </c>
      <c r="B3377" s="17" t="s">
        <v>7800</v>
      </c>
      <c r="C3377" s="13">
        <v>41731</v>
      </c>
      <c r="D3377" s="13" t="s">
        <v>8465</v>
      </c>
      <c r="E3377" s="10" t="s">
        <v>4931</v>
      </c>
      <c r="F3377" s="10" t="s">
        <v>4932</v>
      </c>
      <c r="H3377" s="2" t="s">
        <v>1168</v>
      </c>
      <c r="L3377" s="18">
        <v>1</v>
      </c>
      <c r="N3377" s="13">
        <v>41981</v>
      </c>
      <c r="P3377" s="18" t="s">
        <v>1107</v>
      </c>
      <c r="Q3377" s="18">
        <v>0</v>
      </c>
      <c r="V3377" s="22">
        <f>2.91/5</f>
        <v>0.58200000000000007</v>
      </c>
      <c r="W3377" s="14" t="s">
        <v>7777</v>
      </c>
      <c r="X3377" s="3">
        <v>2</v>
      </c>
      <c r="Z3377" s="23">
        <v>6</v>
      </c>
      <c r="AB3377" s="18">
        <f t="shared" si="104"/>
        <v>2014</v>
      </c>
      <c r="AC3377" s="22">
        <f t="shared" si="105"/>
        <v>0.49100000000000005</v>
      </c>
    </row>
    <row r="3378" spans="1:29" ht="30">
      <c r="A3378" s="8" t="s">
        <v>7996</v>
      </c>
      <c r="B3378" s="17" t="s">
        <v>7760</v>
      </c>
      <c r="C3378" s="13">
        <v>41730</v>
      </c>
      <c r="D3378" s="13" t="s">
        <v>8465</v>
      </c>
      <c r="E3378" s="10" t="s">
        <v>4432</v>
      </c>
      <c r="F3378" s="10" t="s">
        <v>4432</v>
      </c>
      <c r="H3378" s="2" t="s">
        <v>147</v>
      </c>
      <c r="L3378" s="18">
        <v>1</v>
      </c>
      <c r="M3378" s="14" t="s">
        <v>8462</v>
      </c>
      <c r="N3378" s="13">
        <v>43766</v>
      </c>
      <c r="O3378" s="29">
        <v>35.43</v>
      </c>
      <c r="P3378" s="18" t="s">
        <v>14</v>
      </c>
      <c r="Q3378" s="18">
        <v>0</v>
      </c>
      <c r="U3378" s="22">
        <v>0.74280000000000002</v>
      </c>
      <c r="V3378" s="22">
        <f>3.5/5</f>
        <v>0.7</v>
      </c>
      <c r="W3378" s="14" t="s">
        <v>1134</v>
      </c>
      <c r="X3378" s="3">
        <v>3</v>
      </c>
      <c r="Z3378" s="23">
        <v>19</v>
      </c>
      <c r="AB3378" s="18">
        <f t="shared" si="104"/>
        <v>2014</v>
      </c>
      <c r="AC3378" s="22">
        <f t="shared" si="105"/>
        <v>0.68093333333333339</v>
      </c>
    </row>
    <row r="3379" spans="1:29">
      <c r="A3379" s="8" t="s">
        <v>4000</v>
      </c>
      <c r="B3379" s="17" t="s">
        <v>7800</v>
      </c>
      <c r="C3379" s="13">
        <v>41730</v>
      </c>
      <c r="D3379" s="13" t="s">
        <v>8465</v>
      </c>
      <c r="E3379" s="10" t="s">
        <v>3077</v>
      </c>
      <c r="F3379" s="10" t="s">
        <v>3077</v>
      </c>
      <c r="G3379" s="11" t="s">
        <v>4000</v>
      </c>
      <c r="H3379" s="2" t="s">
        <v>80</v>
      </c>
      <c r="L3379" s="18">
        <v>1</v>
      </c>
      <c r="N3379" s="13">
        <v>41986</v>
      </c>
      <c r="O3379" s="29">
        <v>4.99</v>
      </c>
      <c r="P3379" s="18" t="s">
        <v>1107</v>
      </c>
      <c r="Q3379" s="18">
        <v>0</v>
      </c>
      <c r="U3379" s="22">
        <v>0.62</v>
      </c>
      <c r="V3379" s="22">
        <f>3.56/5</f>
        <v>0.71199999999999997</v>
      </c>
      <c r="W3379" s="14" t="s">
        <v>7777</v>
      </c>
      <c r="X3379" s="3">
        <v>3</v>
      </c>
      <c r="Z3379" s="23">
        <v>1.5</v>
      </c>
      <c r="AB3379" s="18">
        <f t="shared" si="104"/>
        <v>2014</v>
      </c>
      <c r="AC3379" s="22">
        <f t="shared" si="105"/>
        <v>0.64400000000000002</v>
      </c>
    </row>
    <row r="3380" spans="1:29" ht="45">
      <c r="A3380" s="8" t="s">
        <v>3269</v>
      </c>
      <c r="B3380" s="17" t="s">
        <v>7800</v>
      </c>
      <c r="C3380" s="13">
        <v>41730</v>
      </c>
      <c r="D3380" s="13" t="s">
        <v>8465</v>
      </c>
      <c r="E3380" s="10" t="s">
        <v>1156</v>
      </c>
      <c r="F3380" s="10" t="s">
        <v>3270</v>
      </c>
      <c r="G3380" s="11" t="s">
        <v>3264</v>
      </c>
      <c r="H3380" s="2" t="s">
        <v>80</v>
      </c>
      <c r="L3380" s="18">
        <v>1</v>
      </c>
      <c r="N3380" s="13">
        <v>42048</v>
      </c>
      <c r="O3380" s="29">
        <v>1.81</v>
      </c>
      <c r="P3380" s="18" t="s">
        <v>1107</v>
      </c>
      <c r="Q3380" s="18">
        <v>0</v>
      </c>
      <c r="U3380" s="22">
        <v>0.65</v>
      </c>
      <c r="V3380" s="22">
        <f>3.06/5</f>
        <v>0.61199999999999999</v>
      </c>
      <c r="W3380" s="14" t="s">
        <v>7777</v>
      </c>
      <c r="X3380" s="3">
        <v>3</v>
      </c>
      <c r="Z3380" s="23">
        <v>7</v>
      </c>
      <c r="AB3380" s="18">
        <f t="shared" si="104"/>
        <v>2014</v>
      </c>
      <c r="AC3380" s="22">
        <f t="shared" si="105"/>
        <v>0.6206666666666667</v>
      </c>
    </row>
    <row r="3381" spans="1:29">
      <c r="A3381" s="8" t="s">
        <v>3122</v>
      </c>
      <c r="B3381" s="17" t="s">
        <v>7800</v>
      </c>
      <c r="C3381" s="13">
        <v>41729</v>
      </c>
      <c r="D3381" s="13" t="s">
        <v>8465</v>
      </c>
      <c r="E3381" s="10" t="s">
        <v>3121</v>
      </c>
      <c r="F3381" s="10" t="s">
        <v>3121</v>
      </c>
      <c r="G3381" s="11" t="s">
        <v>3119</v>
      </c>
      <c r="H3381" s="2" t="s">
        <v>3123</v>
      </c>
      <c r="L3381" s="18">
        <v>1</v>
      </c>
      <c r="N3381" s="13">
        <v>43152</v>
      </c>
      <c r="P3381" s="18" t="s">
        <v>1107</v>
      </c>
      <c r="Q3381" s="18">
        <v>0</v>
      </c>
      <c r="U3381" s="22">
        <v>0.81</v>
      </c>
      <c r="V3381" s="22">
        <f>3.74/5</f>
        <v>0.748</v>
      </c>
      <c r="W3381" s="14" t="s">
        <v>7777</v>
      </c>
      <c r="X3381" s="3">
        <v>3</v>
      </c>
      <c r="Z3381" s="23">
        <v>25</v>
      </c>
      <c r="AB3381" s="18">
        <f t="shared" si="104"/>
        <v>2014</v>
      </c>
      <c r="AC3381" s="22">
        <f t="shared" si="105"/>
        <v>0.71933333333333327</v>
      </c>
    </row>
    <row r="3382" spans="1:29">
      <c r="A3382" s="8" t="s">
        <v>4800</v>
      </c>
      <c r="B3382" s="17" t="s">
        <v>7800</v>
      </c>
      <c r="C3382" s="13">
        <v>41725</v>
      </c>
      <c r="D3382" s="13" t="s">
        <v>8465</v>
      </c>
      <c r="E3382" s="10" t="s">
        <v>3159</v>
      </c>
      <c r="F3382" s="10" t="s">
        <v>3160</v>
      </c>
      <c r="G3382" s="11" t="s">
        <v>3161</v>
      </c>
      <c r="H3382" s="2" t="s">
        <v>21</v>
      </c>
      <c r="L3382" s="18">
        <v>1</v>
      </c>
      <c r="N3382" s="13">
        <v>41789</v>
      </c>
      <c r="P3382" s="18" t="s">
        <v>1107</v>
      </c>
      <c r="Q3382" s="18">
        <v>0</v>
      </c>
      <c r="V3382" s="22">
        <f>3.38/5</f>
        <v>0.67599999999999993</v>
      </c>
      <c r="W3382" s="14" t="s">
        <v>7777</v>
      </c>
      <c r="X3382" s="3">
        <v>2</v>
      </c>
      <c r="Z3382" s="23">
        <v>1</v>
      </c>
      <c r="AB3382" s="18">
        <f t="shared" si="104"/>
        <v>2014</v>
      </c>
      <c r="AC3382" s="22">
        <f t="shared" si="105"/>
        <v>0.53800000000000003</v>
      </c>
    </row>
    <row r="3383" spans="1:29" ht="30">
      <c r="A3383" s="8" t="s">
        <v>4653</v>
      </c>
      <c r="B3383" s="17" t="s">
        <v>7800</v>
      </c>
      <c r="C3383" s="13">
        <v>41724</v>
      </c>
      <c r="D3383" s="13" t="s">
        <v>8465</v>
      </c>
      <c r="E3383" s="10" t="s">
        <v>4654</v>
      </c>
      <c r="F3383" s="10" t="s">
        <v>4655</v>
      </c>
      <c r="H3383" s="2" t="s">
        <v>1377</v>
      </c>
      <c r="L3383" s="18">
        <v>1</v>
      </c>
      <c r="N3383" s="13">
        <v>41728</v>
      </c>
      <c r="P3383" s="18" t="s">
        <v>1107</v>
      </c>
      <c r="Q3383" s="18">
        <v>0</v>
      </c>
      <c r="W3383" s="14" t="s">
        <v>7777</v>
      </c>
      <c r="X3383" s="3">
        <v>2</v>
      </c>
      <c r="AB3383" s="18">
        <f t="shared" si="104"/>
        <v>2014</v>
      </c>
      <c r="AC3383" s="22">
        <f t="shared" si="105"/>
        <v>0.4</v>
      </c>
    </row>
    <row r="3384" spans="1:29" ht="38.25">
      <c r="A3384" s="8" t="s">
        <v>9311</v>
      </c>
      <c r="B3384" s="17" t="s">
        <v>7763</v>
      </c>
      <c r="C3384" s="13">
        <v>41723</v>
      </c>
      <c r="D3384" s="13" t="s">
        <v>8465</v>
      </c>
      <c r="E3384" s="10" t="s">
        <v>2335</v>
      </c>
      <c r="F3384" s="10" t="s">
        <v>1471</v>
      </c>
      <c r="G3384" s="11" t="s">
        <v>7935</v>
      </c>
      <c r="H3384" s="2" t="s">
        <v>1059</v>
      </c>
      <c r="L3384" s="18">
        <v>0</v>
      </c>
      <c r="M3384" s="14" t="s">
        <v>8462</v>
      </c>
      <c r="N3384" s="13">
        <v>44093</v>
      </c>
      <c r="O3384" s="29">
        <v>20.32</v>
      </c>
      <c r="P3384" s="18" t="s">
        <v>14</v>
      </c>
      <c r="Q3384" s="18">
        <v>0</v>
      </c>
      <c r="U3384" s="22">
        <v>0.65</v>
      </c>
      <c r="V3384" s="22">
        <f>4.02/5</f>
        <v>0.80399999999999994</v>
      </c>
      <c r="X3384" s="3">
        <v>3</v>
      </c>
      <c r="Z3384" s="23">
        <v>15</v>
      </c>
      <c r="AB3384" s="18">
        <f t="shared" si="104"/>
        <v>2014</v>
      </c>
      <c r="AC3384" s="22">
        <f t="shared" si="105"/>
        <v>0.68466666666666665</v>
      </c>
    </row>
    <row r="3385" spans="1:29">
      <c r="A3385" s="8" t="s">
        <v>3814</v>
      </c>
      <c r="B3385" s="17" t="s">
        <v>7800</v>
      </c>
      <c r="C3385" s="13">
        <v>41722</v>
      </c>
      <c r="D3385" s="13" t="s">
        <v>8465</v>
      </c>
      <c r="E3385" s="10" t="s">
        <v>3815</v>
      </c>
      <c r="F3385" s="10" t="s">
        <v>3813</v>
      </c>
      <c r="G3385" s="11" t="s">
        <v>3812</v>
      </c>
      <c r="H3385" s="2" t="s">
        <v>27</v>
      </c>
      <c r="L3385" s="18">
        <v>1</v>
      </c>
      <c r="N3385" s="13">
        <v>42338</v>
      </c>
      <c r="O3385" s="29">
        <v>3.99</v>
      </c>
      <c r="P3385" s="18" t="s">
        <v>1107</v>
      </c>
      <c r="Q3385" s="18">
        <v>0</v>
      </c>
      <c r="U3385" s="22">
        <v>0.79</v>
      </c>
      <c r="V3385" s="22">
        <f>3.69/5</f>
        <v>0.73799999999999999</v>
      </c>
      <c r="W3385" s="14" t="s">
        <v>7777</v>
      </c>
      <c r="X3385" s="3">
        <v>3</v>
      </c>
      <c r="Z3385" s="23">
        <v>4</v>
      </c>
      <c r="AB3385" s="18">
        <f t="shared" si="104"/>
        <v>2014</v>
      </c>
      <c r="AC3385" s="22">
        <f t="shared" si="105"/>
        <v>0.70933333333333337</v>
      </c>
    </row>
    <row r="3386" spans="1:29">
      <c r="A3386" s="8" t="s">
        <v>3294</v>
      </c>
      <c r="B3386" s="17" t="s">
        <v>7800</v>
      </c>
      <c r="C3386" s="13">
        <v>41722</v>
      </c>
      <c r="D3386" s="13" t="s">
        <v>8465</v>
      </c>
      <c r="E3386" s="10" t="s">
        <v>3295</v>
      </c>
      <c r="F3386" s="10" t="s">
        <v>3295</v>
      </c>
      <c r="H3386" s="2" t="s">
        <v>80</v>
      </c>
      <c r="L3386" s="18">
        <v>1</v>
      </c>
      <c r="N3386" s="13">
        <v>41812</v>
      </c>
      <c r="O3386" s="29">
        <v>3.99</v>
      </c>
      <c r="P3386" s="18" t="s">
        <v>1107</v>
      </c>
      <c r="Q3386" s="18">
        <v>0</v>
      </c>
      <c r="U3386" s="22">
        <v>0.61</v>
      </c>
      <c r="V3386" s="22">
        <f>3.14/5</f>
        <v>0.628</v>
      </c>
      <c r="W3386" s="14" t="s">
        <v>7777</v>
      </c>
      <c r="X3386" s="3">
        <v>3</v>
      </c>
      <c r="Z3386" s="23">
        <v>6.5</v>
      </c>
      <c r="AB3386" s="18">
        <f t="shared" si="104"/>
        <v>2014</v>
      </c>
      <c r="AC3386" s="22">
        <f t="shared" si="105"/>
        <v>0.61266666666666669</v>
      </c>
    </row>
    <row r="3387" spans="1:29" ht="30">
      <c r="A3387" s="8" t="s">
        <v>6135</v>
      </c>
      <c r="B3387" s="17" t="s">
        <v>7760</v>
      </c>
      <c r="C3387" s="13">
        <v>41719</v>
      </c>
      <c r="D3387" s="13" t="s">
        <v>8465</v>
      </c>
      <c r="E3387" s="10" t="s">
        <v>2908</v>
      </c>
      <c r="F3387" s="10" t="s">
        <v>5954</v>
      </c>
      <c r="G3387" s="11" t="s">
        <v>5953</v>
      </c>
      <c r="H3387" s="2" t="s">
        <v>80</v>
      </c>
      <c r="L3387" s="18">
        <v>1</v>
      </c>
      <c r="M3387" s="14" t="s">
        <v>8462</v>
      </c>
      <c r="N3387" s="13">
        <v>43329</v>
      </c>
      <c r="O3387" s="29">
        <v>6.99</v>
      </c>
      <c r="P3387" s="18" t="s">
        <v>8461</v>
      </c>
      <c r="Q3387" s="18">
        <v>0</v>
      </c>
      <c r="U3387" s="22">
        <v>0.81</v>
      </c>
      <c r="V3387" s="22">
        <f>3.98/5</f>
        <v>0.79600000000000004</v>
      </c>
      <c r="X3387" s="3">
        <v>4</v>
      </c>
      <c r="Z3387" s="23">
        <v>10</v>
      </c>
      <c r="AB3387" s="18">
        <f t="shared" si="104"/>
        <v>2014</v>
      </c>
      <c r="AC3387" s="22">
        <f t="shared" si="105"/>
        <v>0.80200000000000005</v>
      </c>
    </row>
    <row r="3388" spans="1:29">
      <c r="A3388" s="8" t="s">
        <v>10135</v>
      </c>
      <c r="B3388" s="17" t="s">
        <v>7800</v>
      </c>
      <c r="C3388" s="13">
        <v>41719</v>
      </c>
      <c r="D3388" s="13" t="s">
        <v>8465</v>
      </c>
      <c r="E3388" s="10" t="s">
        <v>2335</v>
      </c>
      <c r="F3388" s="10" t="s">
        <v>4292</v>
      </c>
      <c r="G3388" s="11" t="s">
        <v>139</v>
      </c>
      <c r="H3388" s="2" t="s">
        <v>1059</v>
      </c>
      <c r="L3388" s="18">
        <v>1</v>
      </c>
      <c r="N3388" s="13">
        <v>44309</v>
      </c>
      <c r="O3388" s="29">
        <v>0.99</v>
      </c>
      <c r="P3388" s="18" t="s">
        <v>1107</v>
      </c>
      <c r="Q3388" s="18">
        <v>0</v>
      </c>
      <c r="U3388" s="22">
        <v>0.49</v>
      </c>
      <c r="V3388" s="22">
        <f>2.86/5</f>
        <v>0.57199999999999995</v>
      </c>
      <c r="W3388" s="14" t="s">
        <v>7777</v>
      </c>
      <c r="X3388" s="3">
        <v>2</v>
      </c>
      <c r="Z3388" s="23">
        <v>6</v>
      </c>
      <c r="AB3388" s="18">
        <f t="shared" si="104"/>
        <v>2014</v>
      </c>
      <c r="AC3388" s="22">
        <f t="shared" si="105"/>
        <v>0.48733333333333323</v>
      </c>
    </row>
    <row r="3389" spans="1:29" ht="30">
      <c r="A3389" s="8" t="s">
        <v>8962</v>
      </c>
      <c r="B3389" s="17" t="s">
        <v>7800</v>
      </c>
      <c r="C3389" s="13">
        <v>41718</v>
      </c>
      <c r="D3389" s="13" t="s">
        <v>8465</v>
      </c>
      <c r="E3389" s="10" t="s">
        <v>8968</v>
      </c>
      <c r="F3389" s="10" t="s">
        <v>8968</v>
      </c>
      <c r="H3389" s="2" t="s">
        <v>149</v>
      </c>
      <c r="L3389" s="18">
        <v>1</v>
      </c>
      <c r="N3389" s="13">
        <v>44007</v>
      </c>
      <c r="O3389" s="29">
        <v>0.74</v>
      </c>
      <c r="P3389" s="18" t="s">
        <v>1107</v>
      </c>
      <c r="Q3389" s="18">
        <v>0</v>
      </c>
      <c r="V3389" s="22">
        <f>4.29/5</f>
        <v>0.85799999999999998</v>
      </c>
      <c r="W3389" s="14" t="s">
        <v>7777</v>
      </c>
      <c r="X3389" s="3">
        <v>3</v>
      </c>
      <c r="AB3389" s="18">
        <f t="shared" si="104"/>
        <v>2014</v>
      </c>
      <c r="AC3389" s="22">
        <f t="shared" si="105"/>
        <v>0.72899999999999998</v>
      </c>
    </row>
    <row r="3390" spans="1:29">
      <c r="A3390" s="8" t="s">
        <v>11195</v>
      </c>
      <c r="B3390" s="17" t="s">
        <v>7749</v>
      </c>
      <c r="C3390" s="13">
        <v>41718</v>
      </c>
      <c r="D3390" s="13" t="s">
        <v>8465</v>
      </c>
      <c r="E3390" s="10" t="s">
        <v>7684</v>
      </c>
      <c r="F3390" s="10" t="s">
        <v>1490</v>
      </c>
      <c r="G3390" s="11" t="s">
        <v>1470</v>
      </c>
      <c r="H3390" s="2" t="s">
        <v>78</v>
      </c>
      <c r="L3390" s="18">
        <v>1</v>
      </c>
      <c r="N3390" s="13">
        <v>44613</v>
      </c>
      <c r="O3390" s="29">
        <v>7.99</v>
      </c>
      <c r="P3390" s="18" t="s">
        <v>1107</v>
      </c>
      <c r="Q3390" s="18">
        <v>0</v>
      </c>
      <c r="U3390" s="22">
        <v>0.7</v>
      </c>
      <c r="V3390" s="22">
        <f>3.63/5</f>
        <v>0.72599999999999998</v>
      </c>
      <c r="X3390" s="3">
        <v>3</v>
      </c>
      <c r="Z3390" s="23">
        <v>9.5</v>
      </c>
      <c r="AB3390" s="18">
        <f t="shared" si="104"/>
        <v>2014</v>
      </c>
      <c r="AC3390" s="22">
        <f t="shared" si="105"/>
        <v>0.67533333333333323</v>
      </c>
    </row>
    <row r="3391" spans="1:29" ht="25.5">
      <c r="A3391" s="8" t="s">
        <v>4113</v>
      </c>
      <c r="B3391" s="17" t="s">
        <v>7800</v>
      </c>
      <c r="C3391" s="13">
        <v>41718</v>
      </c>
      <c r="D3391" s="13" t="s">
        <v>8465</v>
      </c>
      <c r="E3391" s="10" t="s">
        <v>4114</v>
      </c>
      <c r="F3391" s="10" t="s">
        <v>4114</v>
      </c>
      <c r="H3391" s="2" t="s">
        <v>67</v>
      </c>
      <c r="L3391" s="18">
        <v>1</v>
      </c>
      <c r="N3391" s="13">
        <v>43318</v>
      </c>
      <c r="P3391" s="18" t="s">
        <v>1107</v>
      </c>
      <c r="Q3391" s="18">
        <v>0</v>
      </c>
      <c r="V3391" s="22">
        <f>3.83/5</f>
        <v>0.76600000000000001</v>
      </c>
      <c r="W3391" s="14" t="s">
        <v>7777</v>
      </c>
      <c r="X3391" s="3">
        <v>2</v>
      </c>
      <c r="Z3391" s="23">
        <v>16</v>
      </c>
      <c r="AB3391" s="18">
        <f t="shared" si="104"/>
        <v>2014</v>
      </c>
      <c r="AC3391" s="22">
        <f t="shared" si="105"/>
        <v>0.58299999999999996</v>
      </c>
    </row>
    <row r="3392" spans="1:29">
      <c r="A3392" s="8" t="s">
        <v>16034</v>
      </c>
      <c r="B3392" s="17" t="s">
        <v>7800</v>
      </c>
      <c r="C3392" s="13">
        <v>41718</v>
      </c>
      <c r="D3392" s="13" t="s">
        <v>8465</v>
      </c>
      <c r="E3392" s="10" t="s">
        <v>11323</v>
      </c>
      <c r="F3392" s="10" t="s">
        <v>11323</v>
      </c>
      <c r="H3392" s="2" t="s">
        <v>1061</v>
      </c>
      <c r="L3392" s="18">
        <v>1</v>
      </c>
      <c r="N3392" s="13">
        <v>45216</v>
      </c>
      <c r="O3392" s="29">
        <v>0</v>
      </c>
      <c r="P3392" s="18" t="s">
        <v>1107</v>
      </c>
      <c r="Q3392" s="18">
        <v>0</v>
      </c>
      <c r="V3392" s="22">
        <f>2.25/5</f>
        <v>0.45</v>
      </c>
      <c r="W3392" s="14" t="s">
        <v>7777</v>
      </c>
      <c r="X3392" s="3">
        <v>2</v>
      </c>
      <c r="Z3392" s="23">
        <f>18/60</f>
        <v>0.3</v>
      </c>
      <c r="AB3392" s="18">
        <f t="shared" si="104"/>
        <v>2014</v>
      </c>
      <c r="AC3392" s="22">
        <f t="shared" si="105"/>
        <v>0.42500000000000004</v>
      </c>
    </row>
    <row r="3393" spans="1:29">
      <c r="A3393" s="8" t="s">
        <v>14982</v>
      </c>
      <c r="B3393" s="17" t="s">
        <v>8754</v>
      </c>
      <c r="C3393" s="13">
        <v>41717</v>
      </c>
      <c r="D3393" s="13" t="s">
        <v>8463</v>
      </c>
      <c r="E3393" s="10" t="s">
        <v>14983</v>
      </c>
      <c r="F3393" s="10" t="s">
        <v>14983</v>
      </c>
      <c r="H3393" s="2" t="s">
        <v>78</v>
      </c>
      <c r="K3393" s="18">
        <v>0</v>
      </c>
      <c r="L3393" s="18">
        <v>0</v>
      </c>
      <c r="Q3393" s="18">
        <v>0</v>
      </c>
      <c r="V3393" s="22">
        <f>3.79/5</f>
        <v>0.75800000000000001</v>
      </c>
      <c r="X3393" s="3">
        <v>2</v>
      </c>
      <c r="AB3393" s="18">
        <f t="shared" ref="AB3393:AB3456" si="106">IFERROR(YEAR(C3393), "Early Access")</f>
        <v>2014</v>
      </c>
      <c r="AC3393" s="22">
        <f t="shared" ref="AC3393:AC3456" si="107">AVERAGE(T3393, U3393, V3393, IF(ISBLANK(X3393), X3393, X3393/5))</f>
        <v>0.57899999999999996</v>
      </c>
    </row>
    <row r="3394" spans="1:29">
      <c r="A3394" s="8" t="s">
        <v>3549</v>
      </c>
      <c r="B3394" s="17" t="s">
        <v>7800</v>
      </c>
      <c r="C3394" s="13">
        <v>41716</v>
      </c>
      <c r="D3394" s="13" t="s">
        <v>8465</v>
      </c>
      <c r="E3394" s="10" t="s">
        <v>3550</v>
      </c>
      <c r="F3394" s="10" t="s">
        <v>3550</v>
      </c>
      <c r="G3394" s="11" t="s">
        <v>3551</v>
      </c>
      <c r="H3394" s="2" t="s">
        <v>21</v>
      </c>
      <c r="L3394" s="18">
        <v>1</v>
      </c>
      <c r="N3394" s="13">
        <v>41942</v>
      </c>
      <c r="P3394" s="18" t="s">
        <v>1107</v>
      </c>
      <c r="Q3394" s="18">
        <v>0</v>
      </c>
      <c r="U3394" s="22">
        <v>0.8</v>
      </c>
      <c r="V3394" s="22">
        <f>3.87/5</f>
        <v>0.77400000000000002</v>
      </c>
      <c r="W3394" s="14" t="s">
        <v>7777</v>
      </c>
      <c r="X3394" s="3">
        <v>3</v>
      </c>
      <c r="Z3394" s="23">
        <v>1.5</v>
      </c>
      <c r="AB3394" s="18">
        <f t="shared" si="106"/>
        <v>2014</v>
      </c>
      <c r="AC3394" s="22">
        <f t="shared" si="107"/>
        <v>0.72466666666666668</v>
      </c>
    </row>
    <row r="3395" spans="1:29">
      <c r="A3395" s="8" t="s">
        <v>4363</v>
      </c>
      <c r="B3395" s="17" t="s">
        <v>7800</v>
      </c>
      <c r="C3395" s="13">
        <v>41716</v>
      </c>
      <c r="D3395" s="13" t="s">
        <v>8465</v>
      </c>
      <c r="E3395" s="10" t="s">
        <v>3063</v>
      </c>
      <c r="F3395" s="10" t="s">
        <v>4364</v>
      </c>
      <c r="H3395" s="2" t="s">
        <v>2138</v>
      </c>
      <c r="L3395" s="18">
        <v>1</v>
      </c>
      <c r="N3395" s="13">
        <v>42338</v>
      </c>
      <c r="O3395" s="29">
        <v>1.99</v>
      </c>
      <c r="P3395" s="18" t="s">
        <v>1107</v>
      </c>
      <c r="Q3395" s="18">
        <v>0</v>
      </c>
      <c r="U3395" s="22">
        <v>0.81</v>
      </c>
      <c r="V3395" s="22">
        <f>3.53/5</f>
        <v>0.70599999999999996</v>
      </c>
      <c r="W3395" s="14" t="s">
        <v>7777</v>
      </c>
      <c r="X3395" s="3">
        <v>3</v>
      </c>
      <c r="Z3395" s="23">
        <v>4</v>
      </c>
      <c r="AB3395" s="18">
        <f t="shared" si="106"/>
        <v>2014</v>
      </c>
      <c r="AC3395" s="22">
        <f t="shared" si="107"/>
        <v>0.70533333333333337</v>
      </c>
    </row>
    <row r="3396" spans="1:29">
      <c r="A3396" s="8" t="s">
        <v>3650</v>
      </c>
      <c r="B3396" s="17" t="s">
        <v>7800</v>
      </c>
      <c r="C3396" s="13">
        <v>41716</v>
      </c>
      <c r="D3396" s="13" t="s">
        <v>8465</v>
      </c>
      <c r="E3396" s="10" t="s">
        <v>1082</v>
      </c>
      <c r="F3396" s="10" t="s">
        <v>3651</v>
      </c>
      <c r="G3396" s="11" t="s">
        <v>3645</v>
      </c>
      <c r="H3396" s="2" t="s">
        <v>1050</v>
      </c>
      <c r="L3396" s="18">
        <v>1</v>
      </c>
      <c r="N3396" s="13">
        <v>41842</v>
      </c>
      <c r="P3396" s="18" t="s">
        <v>1107</v>
      </c>
      <c r="Q3396" s="18">
        <v>0</v>
      </c>
      <c r="U3396" s="22">
        <v>0.44</v>
      </c>
      <c r="V3396" s="22">
        <f>2.65/5</f>
        <v>0.53</v>
      </c>
      <c r="W3396" s="14" t="s">
        <v>7777</v>
      </c>
      <c r="X3396" s="3">
        <v>3</v>
      </c>
      <c r="Z3396" s="23">
        <v>4.5</v>
      </c>
      <c r="AB3396" s="18">
        <f t="shared" si="106"/>
        <v>2014</v>
      </c>
      <c r="AC3396" s="22">
        <f t="shared" si="107"/>
        <v>0.52333333333333332</v>
      </c>
    </row>
    <row r="3397" spans="1:29">
      <c r="A3397" s="8" t="s">
        <v>13232</v>
      </c>
      <c r="B3397" s="17" t="s">
        <v>7800</v>
      </c>
      <c r="C3397" s="13">
        <v>41715</v>
      </c>
      <c r="D3397" s="13" t="s">
        <v>8465</v>
      </c>
      <c r="E3397" s="10" t="s">
        <v>13233</v>
      </c>
      <c r="F3397" s="10" t="s">
        <v>13233</v>
      </c>
      <c r="H3397" s="2" t="s">
        <v>78</v>
      </c>
      <c r="L3397" s="18">
        <v>1</v>
      </c>
      <c r="P3397" s="18" t="s">
        <v>1107</v>
      </c>
      <c r="Q3397" s="18">
        <v>0</v>
      </c>
      <c r="V3397" s="22">
        <f>3.66/5</f>
        <v>0.73199999999999998</v>
      </c>
      <c r="W3397" s="14" t="s">
        <v>7777</v>
      </c>
      <c r="X3397" s="3">
        <v>2</v>
      </c>
      <c r="Z3397" s="23">
        <v>16</v>
      </c>
      <c r="AB3397" s="18">
        <f t="shared" si="106"/>
        <v>2014</v>
      </c>
      <c r="AC3397" s="22">
        <f t="shared" si="107"/>
        <v>0.56600000000000006</v>
      </c>
    </row>
    <row r="3398" spans="1:29">
      <c r="A3398" s="8" t="s">
        <v>3163</v>
      </c>
      <c r="B3398" s="17" t="s">
        <v>7800</v>
      </c>
      <c r="C3398" s="13">
        <v>41715</v>
      </c>
      <c r="D3398" s="13" t="s">
        <v>8465</v>
      </c>
      <c r="E3398" s="10" t="s">
        <v>3164</v>
      </c>
      <c r="F3398" s="10" t="s">
        <v>3164</v>
      </c>
      <c r="G3398" s="11" t="s">
        <v>3163</v>
      </c>
      <c r="H3398" s="2" t="s">
        <v>149</v>
      </c>
      <c r="L3398" s="18">
        <v>1</v>
      </c>
      <c r="N3398" s="13">
        <v>41793</v>
      </c>
      <c r="P3398" s="18" t="s">
        <v>1107</v>
      </c>
      <c r="Q3398" s="18">
        <v>0</v>
      </c>
      <c r="U3398" s="22">
        <v>0.75</v>
      </c>
      <c r="V3398" s="22">
        <f>3.33/5</f>
        <v>0.66600000000000004</v>
      </c>
      <c r="W3398" s="14" t="s">
        <v>7777</v>
      </c>
      <c r="X3398" s="3">
        <v>2</v>
      </c>
      <c r="Z3398" s="23">
        <v>6</v>
      </c>
      <c r="AB3398" s="18">
        <f t="shared" si="106"/>
        <v>2014</v>
      </c>
      <c r="AC3398" s="22">
        <f t="shared" si="107"/>
        <v>0.60533333333333328</v>
      </c>
    </row>
    <row r="3399" spans="1:29">
      <c r="A3399" s="8" t="s">
        <v>2422</v>
      </c>
      <c r="B3399" s="17" t="s">
        <v>7749</v>
      </c>
      <c r="C3399" s="13">
        <v>41712</v>
      </c>
      <c r="D3399" s="13" t="s">
        <v>8465</v>
      </c>
      <c r="E3399" s="10" t="s">
        <v>86</v>
      </c>
      <c r="F3399" s="10" t="s">
        <v>2455</v>
      </c>
      <c r="G3399" s="11" t="s">
        <v>1173</v>
      </c>
      <c r="H3399" s="2" t="s">
        <v>64</v>
      </c>
      <c r="L3399" s="18">
        <v>1</v>
      </c>
      <c r="M3399" s="14" t="s">
        <v>8462</v>
      </c>
      <c r="N3399" s="13">
        <v>42439</v>
      </c>
      <c r="O3399" s="29">
        <v>19.989999999999998</v>
      </c>
      <c r="P3399" s="18" t="s">
        <v>14</v>
      </c>
      <c r="Q3399" s="18">
        <v>0</v>
      </c>
      <c r="U3399" s="22">
        <v>0.66</v>
      </c>
      <c r="V3399" s="22">
        <f>3.35/5</f>
        <v>0.67</v>
      </c>
      <c r="X3399" s="3">
        <v>3</v>
      </c>
      <c r="Z3399" s="23">
        <v>7</v>
      </c>
      <c r="AB3399" s="18">
        <f t="shared" si="106"/>
        <v>2014</v>
      </c>
      <c r="AC3399" s="22">
        <f t="shared" si="107"/>
        <v>0.64333333333333342</v>
      </c>
    </row>
    <row r="3400" spans="1:29" ht="38.25">
      <c r="A3400" s="8" t="s">
        <v>12531</v>
      </c>
      <c r="B3400" s="17" t="s">
        <v>7800</v>
      </c>
      <c r="C3400" s="13">
        <v>41712</v>
      </c>
      <c r="D3400" s="13" t="s">
        <v>8465</v>
      </c>
      <c r="E3400" s="10" t="s">
        <v>12532</v>
      </c>
      <c r="F3400" s="10" t="s">
        <v>6438</v>
      </c>
      <c r="G3400" s="11" t="s">
        <v>12533</v>
      </c>
      <c r="H3400" s="2" t="s">
        <v>151</v>
      </c>
      <c r="L3400" s="18">
        <v>0</v>
      </c>
      <c r="Q3400" s="18">
        <v>0</v>
      </c>
      <c r="V3400" s="22">
        <f>3.33/5</f>
        <v>0.66600000000000004</v>
      </c>
      <c r="W3400" s="14" t="s">
        <v>9890</v>
      </c>
      <c r="X3400" s="3">
        <v>2</v>
      </c>
      <c r="Z3400" s="23">
        <v>3</v>
      </c>
      <c r="AB3400" s="18">
        <f t="shared" si="106"/>
        <v>2014</v>
      </c>
      <c r="AC3400" s="22">
        <f t="shared" si="107"/>
        <v>0.53300000000000003</v>
      </c>
    </row>
    <row r="3401" spans="1:29" ht="30">
      <c r="A3401" s="8" t="s">
        <v>4276</v>
      </c>
      <c r="B3401" s="17" t="s">
        <v>7800</v>
      </c>
      <c r="C3401" s="13">
        <v>41711</v>
      </c>
      <c r="D3401" s="13" t="s">
        <v>8465</v>
      </c>
      <c r="E3401" s="10" t="s">
        <v>4277</v>
      </c>
      <c r="F3401" s="10" t="s">
        <v>4277</v>
      </c>
      <c r="G3401" s="11" t="s">
        <v>4276</v>
      </c>
      <c r="H3401" s="2" t="s">
        <v>149</v>
      </c>
      <c r="L3401" s="18">
        <v>1</v>
      </c>
      <c r="N3401" s="13">
        <v>41974</v>
      </c>
      <c r="O3401" s="29">
        <v>3.99</v>
      </c>
      <c r="P3401" s="18" t="s">
        <v>1107</v>
      </c>
      <c r="Q3401" s="18">
        <v>0</v>
      </c>
      <c r="V3401" s="22">
        <f>4.15/5</f>
        <v>0.83000000000000007</v>
      </c>
      <c r="W3401" s="14" t="s">
        <v>7777</v>
      </c>
      <c r="X3401" s="3">
        <v>3</v>
      </c>
      <c r="Z3401" s="23">
        <v>42</v>
      </c>
      <c r="AB3401" s="18">
        <f t="shared" si="106"/>
        <v>2014</v>
      </c>
      <c r="AC3401" s="22">
        <f t="shared" si="107"/>
        <v>0.71500000000000008</v>
      </c>
    </row>
    <row r="3402" spans="1:29">
      <c r="A3402" s="8" t="s">
        <v>5457</v>
      </c>
      <c r="B3402" s="17" t="s">
        <v>7800</v>
      </c>
      <c r="C3402" s="13">
        <v>41709</v>
      </c>
      <c r="D3402" s="13" t="s">
        <v>8465</v>
      </c>
      <c r="E3402" s="10" t="s">
        <v>5458</v>
      </c>
      <c r="F3402" s="10" t="s">
        <v>5458</v>
      </c>
      <c r="G3402" s="11" t="s">
        <v>14259</v>
      </c>
      <c r="H3402" s="2" t="s">
        <v>143</v>
      </c>
      <c r="L3402" s="18">
        <v>1</v>
      </c>
      <c r="N3402" s="13">
        <v>42136</v>
      </c>
      <c r="O3402" s="29">
        <v>5.09</v>
      </c>
      <c r="P3402" s="18" t="s">
        <v>1107</v>
      </c>
      <c r="Q3402" s="18">
        <v>0</v>
      </c>
      <c r="U3402" s="22">
        <v>0.86</v>
      </c>
      <c r="V3402" s="22">
        <f>4.07/5</f>
        <v>0.81400000000000006</v>
      </c>
      <c r="W3402" s="14" t="s">
        <v>7777</v>
      </c>
      <c r="X3402" s="3">
        <v>3</v>
      </c>
      <c r="Z3402" s="23">
        <v>3</v>
      </c>
      <c r="AB3402" s="18">
        <f t="shared" si="106"/>
        <v>2014</v>
      </c>
      <c r="AC3402" s="22">
        <f t="shared" si="107"/>
        <v>0.75800000000000001</v>
      </c>
    </row>
    <row r="3403" spans="1:29" ht="38.25">
      <c r="A3403" s="8" t="s">
        <v>5925</v>
      </c>
      <c r="B3403" s="17" t="s">
        <v>7759</v>
      </c>
      <c r="C3403" s="13">
        <v>41709</v>
      </c>
      <c r="D3403" s="13" t="s">
        <v>8465</v>
      </c>
      <c r="E3403" s="10" t="s">
        <v>1565</v>
      </c>
      <c r="F3403" s="10" t="s">
        <v>1566</v>
      </c>
      <c r="G3403" s="11" t="s">
        <v>1567</v>
      </c>
      <c r="H3403" s="2" t="s">
        <v>149</v>
      </c>
      <c r="L3403" s="18">
        <v>1</v>
      </c>
      <c r="M3403" s="14" t="s">
        <v>8462</v>
      </c>
      <c r="N3403" s="13">
        <v>43533</v>
      </c>
      <c r="O3403" s="29">
        <v>15.5</v>
      </c>
      <c r="P3403" s="18" t="s">
        <v>14</v>
      </c>
      <c r="Q3403" s="18">
        <v>0</v>
      </c>
      <c r="U3403" s="22">
        <v>0.82</v>
      </c>
      <c r="V3403" s="22">
        <f>4.1/5</f>
        <v>0.82</v>
      </c>
      <c r="X3403" s="3">
        <v>3</v>
      </c>
      <c r="Z3403" s="23">
        <v>31.5</v>
      </c>
      <c r="AB3403" s="18">
        <f t="shared" si="106"/>
        <v>2014</v>
      </c>
      <c r="AC3403" s="22">
        <f t="shared" si="107"/>
        <v>0.74666666666666659</v>
      </c>
    </row>
    <row r="3404" spans="1:29">
      <c r="A3404" s="8" t="s">
        <v>4462</v>
      </c>
      <c r="B3404" s="17" t="s">
        <v>7800</v>
      </c>
      <c r="C3404" s="13">
        <v>41708</v>
      </c>
      <c r="D3404" s="13" t="s">
        <v>8465</v>
      </c>
      <c r="E3404" s="10" t="s">
        <v>3136</v>
      </c>
      <c r="F3404" s="10" t="s">
        <v>4463</v>
      </c>
      <c r="H3404" s="2" t="s">
        <v>1059</v>
      </c>
      <c r="L3404" s="18">
        <v>1</v>
      </c>
      <c r="N3404" s="13">
        <v>41858</v>
      </c>
      <c r="P3404" s="18" t="s">
        <v>1107</v>
      </c>
      <c r="Q3404" s="18">
        <v>0</v>
      </c>
      <c r="U3404" s="22">
        <v>0.8</v>
      </c>
      <c r="V3404" s="22">
        <f>3.29/5</f>
        <v>0.65800000000000003</v>
      </c>
      <c r="W3404" s="14" t="s">
        <v>7777</v>
      </c>
      <c r="X3404" s="3">
        <v>2</v>
      </c>
      <c r="Z3404" s="23">
        <v>2</v>
      </c>
      <c r="AB3404" s="18">
        <f t="shared" si="106"/>
        <v>2014</v>
      </c>
      <c r="AC3404" s="22">
        <f t="shared" si="107"/>
        <v>0.6193333333333334</v>
      </c>
    </row>
    <row r="3405" spans="1:29">
      <c r="A3405" s="8" t="s">
        <v>5604</v>
      </c>
      <c r="B3405" s="17" t="s">
        <v>7800</v>
      </c>
      <c r="C3405" s="13">
        <v>41704</v>
      </c>
      <c r="D3405" s="13" t="s">
        <v>8465</v>
      </c>
      <c r="E3405" s="10" t="s">
        <v>5605</v>
      </c>
      <c r="F3405" s="10" t="s">
        <v>5605</v>
      </c>
      <c r="G3405" s="11" t="s">
        <v>5604</v>
      </c>
      <c r="H3405" s="2" t="s">
        <v>67</v>
      </c>
      <c r="L3405" s="18">
        <v>1</v>
      </c>
      <c r="N3405" s="13">
        <v>41981</v>
      </c>
      <c r="P3405" s="18" t="s">
        <v>1107</v>
      </c>
      <c r="Q3405" s="18">
        <v>0</v>
      </c>
      <c r="U3405" s="22">
        <v>0.87</v>
      </c>
      <c r="V3405" s="22">
        <f>3.8/5</f>
        <v>0.76</v>
      </c>
      <c r="W3405" s="14" t="s">
        <v>7777</v>
      </c>
      <c r="X3405" s="3">
        <v>3</v>
      </c>
      <c r="Z3405" s="23">
        <v>1.5</v>
      </c>
      <c r="AB3405" s="18">
        <f t="shared" si="106"/>
        <v>2014</v>
      </c>
      <c r="AC3405" s="22">
        <f t="shared" si="107"/>
        <v>0.74333333333333329</v>
      </c>
    </row>
    <row r="3406" spans="1:29">
      <c r="A3406" s="8" t="s">
        <v>3987</v>
      </c>
      <c r="B3406" s="17" t="s">
        <v>7800</v>
      </c>
      <c r="C3406" s="13">
        <v>41704</v>
      </c>
      <c r="D3406" s="13" t="s">
        <v>8465</v>
      </c>
      <c r="E3406" s="10" t="s">
        <v>3159</v>
      </c>
      <c r="F3406" s="10" t="s">
        <v>3210</v>
      </c>
      <c r="H3406" s="2" t="s">
        <v>2138</v>
      </c>
      <c r="L3406" s="18">
        <v>1</v>
      </c>
      <c r="N3406" s="13">
        <v>41858</v>
      </c>
      <c r="P3406" s="18" t="s">
        <v>1107</v>
      </c>
      <c r="Q3406" s="18">
        <v>0</v>
      </c>
      <c r="U3406" s="22">
        <v>0.72</v>
      </c>
      <c r="V3406" s="22">
        <f>3.5/5</f>
        <v>0.7</v>
      </c>
      <c r="W3406" s="14" t="s">
        <v>7777</v>
      </c>
      <c r="X3406" s="3">
        <v>2</v>
      </c>
      <c r="Z3406" s="23">
        <v>1</v>
      </c>
      <c r="AB3406" s="18">
        <f t="shared" si="106"/>
        <v>2014</v>
      </c>
      <c r="AC3406" s="22">
        <f t="shared" si="107"/>
        <v>0.60666666666666658</v>
      </c>
    </row>
    <row r="3407" spans="1:29" ht="25.5">
      <c r="A3407" s="8" t="s">
        <v>6997</v>
      </c>
      <c r="B3407" s="17" t="s">
        <v>7800</v>
      </c>
      <c r="C3407" s="13">
        <v>41702</v>
      </c>
      <c r="D3407" s="13" t="s">
        <v>8465</v>
      </c>
      <c r="E3407" s="10" t="s">
        <v>1047</v>
      </c>
      <c r="F3407" s="10" t="s">
        <v>3166</v>
      </c>
      <c r="G3407" s="11" t="s">
        <v>6996</v>
      </c>
      <c r="H3407" s="2" t="s">
        <v>149</v>
      </c>
      <c r="L3407" s="18">
        <v>1</v>
      </c>
      <c r="N3407" s="13">
        <v>43627</v>
      </c>
      <c r="O3407" s="29">
        <v>5.99</v>
      </c>
      <c r="P3407" s="18" t="s">
        <v>1107</v>
      </c>
      <c r="Q3407" s="18">
        <v>0</v>
      </c>
      <c r="U3407" s="22">
        <v>0.87</v>
      </c>
      <c r="V3407" s="22">
        <f>4.12/5</f>
        <v>0.82400000000000007</v>
      </c>
      <c r="W3407" s="14" t="s">
        <v>7798</v>
      </c>
      <c r="X3407" s="3">
        <v>4</v>
      </c>
      <c r="Z3407" s="23">
        <v>11.5</v>
      </c>
      <c r="AB3407" s="18">
        <f t="shared" si="106"/>
        <v>2014</v>
      </c>
      <c r="AC3407" s="22">
        <f t="shared" si="107"/>
        <v>0.83133333333333326</v>
      </c>
    </row>
    <row r="3408" spans="1:29" ht="30">
      <c r="A3408" s="8" t="s">
        <v>8256</v>
      </c>
      <c r="B3408" s="17" t="s">
        <v>7760</v>
      </c>
      <c r="C3408" s="13">
        <v>41702</v>
      </c>
      <c r="D3408" s="13" t="s">
        <v>8465</v>
      </c>
      <c r="E3408" s="10" t="s">
        <v>2908</v>
      </c>
      <c r="F3408" s="10" t="s">
        <v>4535</v>
      </c>
      <c r="H3408" s="2" t="s">
        <v>1054</v>
      </c>
      <c r="L3408" s="18">
        <v>1</v>
      </c>
      <c r="N3408" s="13">
        <v>43821</v>
      </c>
      <c r="O3408" s="29">
        <v>4.49</v>
      </c>
      <c r="P3408" s="18" t="s">
        <v>1107</v>
      </c>
      <c r="Q3408" s="18">
        <v>0</v>
      </c>
      <c r="U3408" s="22">
        <v>0.74</v>
      </c>
      <c r="V3408" s="22">
        <f>3.3/5</f>
        <v>0.65999999999999992</v>
      </c>
      <c r="X3408" s="3">
        <v>3</v>
      </c>
      <c r="Z3408" s="23">
        <v>6</v>
      </c>
      <c r="AB3408" s="18">
        <f t="shared" si="106"/>
        <v>2014</v>
      </c>
      <c r="AC3408" s="22">
        <f t="shared" si="107"/>
        <v>0.66666666666666663</v>
      </c>
    </row>
    <row r="3409" spans="1:29">
      <c r="A3409" s="8" t="s">
        <v>5453</v>
      </c>
      <c r="B3409" s="17" t="s">
        <v>7800</v>
      </c>
      <c r="C3409" s="13">
        <v>41702</v>
      </c>
      <c r="D3409" s="13" t="s">
        <v>8465</v>
      </c>
      <c r="E3409" s="10" t="s">
        <v>5454</v>
      </c>
      <c r="F3409" s="10" t="s">
        <v>5454</v>
      </c>
      <c r="H3409" s="2" t="s">
        <v>1518</v>
      </c>
      <c r="L3409" s="18">
        <v>1</v>
      </c>
      <c r="N3409" s="13">
        <v>41940</v>
      </c>
      <c r="P3409" s="18" t="s">
        <v>1107</v>
      </c>
      <c r="Q3409" s="18">
        <v>0</v>
      </c>
      <c r="U3409" s="22">
        <v>0.77</v>
      </c>
      <c r="V3409" s="22">
        <f>3.45/5</f>
        <v>0.69000000000000006</v>
      </c>
      <c r="W3409" s="14" t="s">
        <v>7777</v>
      </c>
      <c r="X3409" s="3">
        <v>2</v>
      </c>
      <c r="Z3409" s="23">
        <v>3</v>
      </c>
      <c r="AB3409" s="18">
        <f t="shared" si="106"/>
        <v>2014</v>
      </c>
      <c r="AC3409" s="22">
        <f t="shared" si="107"/>
        <v>0.62</v>
      </c>
    </row>
    <row r="3410" spans="1:29" ht="25.5">
      <c r="A3410" s="8" t="s">
        <v>4593</v>
      </c>
      <c r="B3410" s="17" t="s">
        <v>7800</v>
      </c>
      <c r="C3410" s="13">
        <v>41701</v>
      </c>
      <c r="D3410" s="13" t="s">
        <v>8465</v>
      </c>
      <c r="E3410" s="10" t="s">
        <v>4594</v>
      </c>
      <c r="F3410" s="10" t="s">
        <v>4594</v>
      </c>
      <c r="G3410" s="11" t="s">
        <v>4593</v>
      </c>
      <c r="H3410" s="2" t="s">
        <v>153</v>
      </c>
      <c r="L3410" s="18">
        <v>1</v>
      </c>
      <c r="N3410" s="13">
        <v>41703</v>
      </c>
      <c r="P3410" s="18" t="s">
        <v>1107</v>
      </c>
      <c r="Q3410" s="18">
        <v>0</v>
      </c>
      <c r="U3410" s="22">
        <v>0.75</v>
      </c>
      <c r="V3410" s="22">
        <f>3.84/5</f>
        <v>0.76800000000000002</v>
      </c>
      <c r="W3410" s="14" t="s">
        <v>7777</v>
      </c>
      <c r="X3410" s="3">
        <v>3</v>
      </c>
      <c r="Z3410" s="23">
        <v>6.5</v>
      </c>
      <c r="AB3410" s="18">
        <f t="shared" si="106"/>
        <v>2014</v>
      </c>
      <c r="AC3410" s="22">
        <f t="shared" si="107"/>
        <v>0.70599999999999996</v>
      </c>
    </row>
    <row r="3411" spans="1:29">
      <c r="A3411" s="8" t="s">
        <v>5498</v>
      </c>
      <c r="B3411" s="17" t="s">
        <v>7800</v>
      </c>
      <c r="C3411" s="13">
        <v>41701</v>
      </c>
      <c r="D3411" s="13" t="s">
        <v>8465</v>
      </c>
      <c r="E3411" s="10" t="s">
        <v>5499</v>
      </c>
      <c r="F3411" s="10" t="s">
        <v>5500</v>
      </c>
      <c r="H3411" s="2" t="s">
        <v>459</v>
      </c>
      <c r="L3411" s="18">
        <v>1</v>
      </c>
      <c r="N3411" s="13">
        <v>41763</v>
      </c>
      <c r="P3411" s="18" t="s">
        <v>1107</v>
      </c>
      <c r="Q3411" s="18">
        <v>0</v>
      </c>
      <c r="V3411" s="22">
        <f>3.45/5</f>
        <v>0.69000000000000006</v>
      </c>
      <c r="W3411" s="14" t="s">
        <v>7777</v>
      </c>
      <c r="X3411" s="3">
        <v>2</v>
      </c>
      <c r="Z3411" s="23">
        <v>0.47</v>
      </c>
      <c r="AB3411" s="18">
        <f t="shared" si="106"/>
        <v>2014</v>
      </c>
      <c r="AC3411" s="22">
        <f t="shared" si="107"/>
        <v>0.54500000000000004</v>
      </c>
    </row>
    <row r="3412" spans="1:29" ht="25.5">
      <c r="A3412" s="8" t="s">
        <v>10139</v>
      </c>
      <c r="B3412" s="17" t="s">
        <v>7749</v>
      </c>
      <c r="C3412" s="13">
        <v>41698</v>
      </c>
      <c r="D3412" s="13" t="s">
        <v>8465</v>
      </c>
      <c r="E3412" s="10" t="s">
        <v>86</v>
      </c>
      <c r="F3412" s="10" t="s">
        <v>2129</v>
      </c>
      <c r="G3412" s="11" t="s">
        <v>2130</v>
      </c>
      <c r="H3412" s="2" t="s">
        <v>78</v>
      </c>
      <c r="L3412" s="18">
        <v>1</v>
      </c>
      <c r="M3412" s="14" t="s">
        <v>8462</v>
      </c>
      <c r="N3412" s="13">
        <v>44304</v>
      </c>
      <c r="O3412" s="29">
        <v>94.62</v>
      </c>
      <c r="P3412" s="18" t="s">
        <v>14</v>
      </c>
      <c r="Q3412" s="18">
        <v>0</v>
      </c>
      <c r="U3412" s="22">
        <v>0.81</v>
      </c>
      <c r="V3412" s="22">
        <f>4.21/5</f>
        <v>0.84199999999999997</v>
      </c>
      <c r="X3412" s="3">
        <v>4</v>
      </c>
      <c r="Z3412" s="23">
        <v>16</v>
      </c>
      <c r="AB3412" s="18">
        <f t="shared" si="106"/>
        <v>2014</v>
      </c>
      <c r="AC3412" s="22">
        <f t="shared" si="107"/>
        <v>0.81733333333333336</v>
      </c>
    </row>
    <row r="3413" spans="1:29">
      <c r="A3413" s="8" t="s">
        <v>4595</v>
      </c>
      <c r="B3413" s="17" t="s">
        <v>7800</v>
      </c>
      <c r="C3413" s="13">
        <v>41698</v>
      </c>
      <c r="D3413" s="13" t="s">
        <v>8465</v>
      </c>
      <c r="E3413" s="10" t="s">
        <v>3136</v>
      </c>
      <c r="F3413" s="10" t="s">
        <v>4596</v>
      </c>
      <c r="G3413" s="11" t="s">
        <v>4595</v>
      </c>
      <c r="H3413" s="2" t="s">
        <v>1518</v>
      </c>
      <c r="L3413" s="18">
        <v>1</v>
      </c>
      <c r="N3413" s="13">
        <v>41763</v>
      </c>
      <c r="P3413" s="18" t="s">
        <v>1107</v>
      </c>
      <c r="Q3413" s="18">
        <v>0</v>
      </c>
      <c r="U3413" s="22">
        <v>0.78</v>
      </c>
      <c r="V3413" s="22">
        <f>3.85/5</f>
        <v>0.77</v>
      </c>
      <c r="W3413" s="14" t="s">
        <v>7777</v>
      </c>
      <c r="X3413" s="3">
        <v>3</v>
      </c>
      <c r="Z3413" s="23">
        <v>2</v>
      </c>
      <c r="AB3413" s="18">
        <f t="shared" si="106"/>
        <v>2014</v>
      </c>
      <c r="AC3413" s="22">
        <f t="shared" si="107"/>
        <v>0.71666666666666667</v>
      </c>
    </row>
    <row r="3414" spans="1:29">
      <c r="A3414" s="8" t="s">
        <v>3445</v>
      </c>
      <c r="B3414" s="17" t="s">
        <v>7800</v>
      </c>
      <c r="C3414" s="13">
        <v>41698</v>
      </c>
      <c r="D3414" s="13" t="s">
        <v>8465</v>
      </c>
      <c r="E3414" s="10" t="s">
        <v>3446</v>
      </c>
      <c r="F3414" s="10" t="s">
        <v>3447</v>
      </c>
      <c r="G3414" s="11" t="s">
        <v>5709</v>
      </c>
      <c r="H3414" s="2" t="s">
        <v>78</v>
      </c>
      <c r="L3414" s="18">
        <v>1</v>
      </c>
      <c r="N3414" s="13">
        <v>42006</v>
      </c>
      <c r="O3414" s="29">
        <v>0.99</v>
      </c>
      <c r="P3414" s="18" t="s">
        <v>1107</v>
      </c>
      <c r="Q3414" s="18">
        <v>0</v>
      </c>
      <c r="U3414" s="22">
        <v>0.67</v>
      </c>
      <c r="V3414" s="22">
        <f>4/5</f>
        <v>0.8</v>
      </c>
      <c r="W3414" s="14" t="s">
        <v>7777</v>
      </c>
      <c r="X3414" s="3">
        <v>2</v>
      </c>
      <c r="Z3414" s="23">
        <v>9.5</v>
      </c>
      <c r="AB3414" s="18">
        <f t="shared" si="106"/>
        <v>2014</v>
      </c>
      <c r="AC3414" s="22">
        <f t="shared" si="107"/>
        <v>0.62333333333333341</v>
      </c>
    </row>
    <row r="3415" spans="1:29">
      <c r="A3415" s="8" t="s">
        <v>3804</v>
      </c>
      <c r="B3415" s="17" t="s">
        <v>7800</v>
      </c>
      <c r="C3415" s="13">
        <v>41695</v>
      </c>
      <c r="D3415" s="13" t="s">
        <v>8465</v>
      </c>
      <c r="E3415" s="10" t="s">
        <v>3805</v>
      </c>
      <c r="F3415" s="10" t="s">
        <v>3805</v>
      </c>
      <c r="G3415" s="11" t="s">
        <v>3806</v>
      </c>
      <c r="H3415" s="2" t="s">
        <v>149</v>
      </c>
      <c r="L3415" s="18">
        <v>1</v>
      </c>
      <c r="N3415" s="13">
        <v>42747</v>
      </c>
      <c r="P3415" s="18" t="s">
        <v>1107</v>
      </c>
      <c r="Q3415" s="18">
        <v>0</v>
      </c>
      <c r="V3415" s="22">
        <f>4.26/5</f>
        <v>0.85199999999999998</v>
      </c>
      <c r="W3415" s="14" t="s">
        <v>7777</v>
      </c>
      <c r="X3415" s="3">
        <v>3</v>
      </c>
      <c r="Z3415" s="23">
        <v>19.5</v>
      </c>
      <c r="AB3415" s="18">
        <f t="shared" si="106"/>
        <v>2014</v>
      </c>
      <c r="AC3415" s="22">
        <f t="shared" si="107"/>
        <v>0.72599999999999998</v>
      </c>
    </row>
    <row r="3416" spans="1:29">
      <c r="A3416" s="8" t="s">
        <v>4986</v>
      </c>
      <c r="B3416" s="17" t="s">
        <v>7800</v>
      </c>
      <c r="C3416" s="13">
        <v>41695</v>
      </c>
      <c r="D3416" s="13" t="s">
        <v>8465</v>
      </c>
      <c r="E3416" s="10" t="s">
        <v>4987</v>
      </c>
      <c r="F3416" s="10" t="s">
        <v>4987</v>
      </c>
      <c r="H3416" s="2" t="s">
        <v>80</v>
      </c>
      <c r="L3416" s="18">
        <v>1</v>
      </c>
      <c r="N3416" s="13">
        <v>42338</v>
      </c>
      <c r="O3416" s="29">
        <v>1.49</v>
      </c>
      <c r="P3416" s="18" t="s">
        <v>1107</v>
      </c>
      <c r="Q3416" s="18">
        <v>0</v>
      </c>
      <c r="V3416" s="22">
        <f>3.92/5</f>
        <v>0.78400000000000003</v>
      </c>
      <c r="W3416" s="14" t="s">
        <v>7777</v>
      </c>
      <c r="X3416" s="3">
        <v>3</v>
      </c>
      <c r="Z3416" s="23">
        <v>2.5</v>
      </c>
      <c r="AB3416" s="18">
        <f t="shared" si="106"/>
        <v>2014</v>
      </c>
      <c r="AC3416" s="22">
        <f t="shared" si="107"/>
        <v>0.69199999999999995</v>
      </c>
    </row>
    <row r="3417" spans="1:29">
      <c r="A3417" s="8" t="s">
        <v>5401</v>
      </c>
      <c r="B3417" s="17" t="s">
        <v>7800</v>
      </c>
      <c r="C3417" s="13">
        <v>41695</v>
      </c>
      <c r="D3417" s="13" t="s">
        <v>8465</v>
      </c>
      <c r="E3417" s="10" t="s">
        <v>1082</v>
      </c>
      <c r="F3417" s="10" t="s">
        <v>3647</v>
      </c>
      <c r="G3417" s="11" t="s">
        <v>5401</v>
      </c>
      <c r="H3417" s="2" t="s">
        <v>245</v>
      </c>
      <c r="L3417" s="18">
        <v>1</v>
      </c>
      <c r="N3417" s="13">
        <v>41992</v>
      </c>
      <c r="P3417" s="18" t="s">
        <v>1107</v>
      </c>
      <c r="Q3417" s="18">
        <v>0</v>
      </c>
      <c r="U3417" s="22">
        <v>0.69</v>
      </c>
      <c r="V3417" s="22">
        <f>3.24/5</f>
        <v>0.64800000000000002</v>
      </c>
      <c r="W3417" s="14" t="s">
        <v>7777</v>
      </c>
      <c r="X3417" s="3">
        <v>3</v>
      </c>
      <c r="Z3417" s="23">
        <v>10.5</v>
      </c>
      <c r="AB3417" s="18">
        <f t="shared" si="106"/>
        <v>2014</v>
      </c>
      <c r="AC3417" s="22">
        <f t="shared" si="107"/>
        <v>0.64600000000000002</v>
      </c>
    </row>
    <row r="3418" spans="1:29" ht="25.5">
      <c r="A3418" s="8" t="s">
        <v>3424</v>
      </c>
      <c r="B3418" s="17" t="s">
        <v>7800</v>
      </c>
      <c r="C3418" s="13">
        <v>41695</v>
      </c>
      <c r="D3418" s="13" t="s">
        <v>8465</v>
      </c>
      <c r="E3418" s="10" t="s">
        <v>72</v>
      </c>
      <c r="F3418" s="10" t="s">
        <v>2456</v>
      </c>
      <c r="G3418" s="11" t="s">
        <v>113</v>
      </c>
      <c r="H3418" s="2" t="s">
        <v>80</v>
      </c>
      <c r="L3418" s="18">
        <v>1</v>
      </c>
      <c r="N3418" s="13">
        <v>41996</v>
      </c>
      <c r="O3418" s="29">
        <v>5.31</v>
      </c>
      <c r="P3418" s="18" t="s">
        <v>1107</v>
      </c>
      <c r="Q3418" s="18">
        <v>0</v>
      </c>
      <c r="U3418" s="22">
        <v>0.57999999999999996</v>
      </c>
      <c r="V3418" s="22">
        <f>3.58/5</f>
        <v>0.71599999999999997</v>
      </c>
      <c r="W3418" s="14" t="s">
        <v>7777</v>
      </c>
      <c r="X3418" s="3">
        <v>3</v>
      </c>
      <c r="Z3418" s="23">
        <v>15</v>
      </c>
      <c r="AB3418" s="18">
        <f t="shared" si="106"/>
        <v>2014</v>
      </c>
      <c r="AC3418" s="22">
        <f t="shared" si="107"/>
        <v>0.63200000000000001</v>
      </c>
    </row>
    <row r="3419" spans="1:29" ht="25.5">
      <c r="A3419" s="8" t="s">
        <v>3497</v>
      </c>
      <c r="B3419" s="17" t="s">
        <v>7800</v>
      </c>
      <c r="C3419" s="13">
        <v>41695</v>
      </c>
      <c r="D3419" s="13" t="s">
        <v>8465</v>
      </c>
      <c r="E3419" s="10" t="s">
        <v>3498</v>
      </c>
      <c r="F3419" s="10" t="s">
        <v>3498</v>
      </c>
      <c r="H3419" s="2" t="s">
        <v>143</v>
      </c>
      <c r="L3419" s="18">
        <v>1</v>
      </c>
      <c r="N3419" s="13">
        <v>41710</v>
      </c>
      <c r="P3419" s="18" t="s">
        <v>1107</v>
      </c>
      <c r="Q3419" s="18">
        <v>0</v>
      </c>
      <c r="V3419" s="22">
        <f>3.06/5</f>
        <v>0.61199999999999999</v>
      </c>
      <c r="W3419" s="14" t="s">
        <v>7777</v>
      </c>
      <c r="X3419" s="3">
        <v>2</v>
      </c>
      <c r="Z3419" s="23">
        <v>2</v>
      </c>
      <c r="AB3419" s="18">
        <f t="shared" si="106"/>
        <v>2014</v>
      </c>
      <c r="AC3419" s="22">
        <f t="shared" si="107"/>
        <v>0.50600000000000001</v>
      </c>
    </row>
    <row r="3420" spans="1:29">
      <c r="A3420" s="8" t="s">
        <v>12811</v>
      </c>
      <c r="B3420" s="17" t="s">
        <v>7759</v>
      </c>
      <c r="C3420" s="13">
        <v>41695</v>
      </c>
      <c r="D3420" s="13" t="s">
        <v>8465</v>
      </c>
      <c r="E3420" s="10" t="s">
        <v>1519</v>
      </c>
      <c r="F3420" s="10" t="s">
        <v>12812</v>
      </c>
      <c r="H3420" s="2" t="s">
        <v>171</v>
      </c>
      <c r="L3420" s="18">
        <v>0</v>
      </c>
      <c r="Q3420" s="18">
        <v>0</v>
      </c>
      <c r="U3420" s="22">
        <v>0.32</v>
      </c>
      <c r="V3420" s="22">
        <f>2.07/5</f>
        <v>0.41399999999999998</v>
      </c>
      <c r="X3420" s="3">
        <v>2</v>
      </c>
      <c r="Y3420" s="18">
        <v>1</v>
      </c>
      <c r="Z3420" s="23">
        <v>3</v>
      </c>
      <c r="AB3420" s="18">
        <f t="shared" si="106"/>
        <v>2014</v>
      </c>
      <c r="AC3420" s="22">
        <f t="shared" si="107"/>
        <v>0.37799999999999995</v>
      </c>
    </row>
    <row r="3421" spans="1:29">
      <c r="A3421" s="8" t="s">
        <v>14065</v>
      </c>
      <c r="B3421" s="17" t="s">
        <v>7760</v>
      </c>
      <c r="C3421" s="13">
        <v>41695</v>
      </c>
      <c r="D3421" s="13" t="s">
        <v>8465</v>
      </c>
      <c r="E3421" s="10" t="s">
        <v>3048</v>
      </c>
      <c r="F3421" s="10" t="s">
        <v>3048</v>
      </c>
      <c r="H3421" s="2" t="s">
        <v>31</v>
      </c>
      <c r="L3421" s="18">
        <v>0</v>
      </c>
      <c r="Q3421" s="18">
        <v>0</v>
      </c>
      <c r="U3421" s="22">
        <v>0.27</v>
      </c>
      <c r="V3421" s="22">
        <f>0.72/5</f>
        <v>0.14399999999999999</v>
      </c>
      <c r="X3421" s="3">
        <v>2</v>
      </c>
      <c r="Y3421" s="18">
        <v>1</v>
      </c>
      <c r="AB3421" s="18">
        <f t="shared" si="106"/>
        <v>2014</v>
      </c>
      <c r="AC3421" s="22">
        <f t="shared" si="107"/>
        <v>0.27133333333333337</v>
      </c>
    </row>
    <row r="3422" spans="1:29" ht="25.5">
      <c r="A3422" s="8" t="s">
        <v>1092</v>
      </c>
      <c r="B3422" s="17" t="s">
        <v>7743</v>
      </c>
      <c r="C3422" s="13">
        <v>41691</v>
      </c>
      <c r="D3422" s="13" t="s">
        <v>8465</v>
      </c>
      <c r="E3422" s="10" t="s">
        <v>86</v>
      </c>
      <c r="F3422" s="10" t="s">
        <v>1139</v>
      </c>
      <c r="G3422" s="11" t="s">
        <v>589</v>
      </c>
      <c r="H3422" s="2" t="s">
        <v>64</v>
      </c>
      <c r="L3422" s="18">
        <v>1</v>
      </c>
      <c r="N3422" s="13">
        <v>42098</v>
      </c>
      <c r="P3422" s="18" t="s">
        <v>1107</v>
      </c>
      <c r="Q3422" s="18">
        <v>0</v>
      </c>
      <c r="U3422" s="22">
        <v>0.84</v>
      </c>
      <c r="V3422" s="22">
        <f>4.24/5</f>
        <v>0.84800000000000009</v>
      </c>
      <c r="X3422" s="3">
        <v>4</v>
      </c>
      <c r="Z3422" s="23">
        <v>11</v>
      </c>
      <c r="AB3422" s="18">
        <f t="shared" si="106"/>
        <v>2014</v>
      </c>
      <c r="AC3422" s="22">
        <f t="shared" si="107"/>
        <v>0.82933333333333348</v>
      </c>
    </row>
    <row r="3423" spans="1:29">
      <c r="A3423" s="8" t="s">
        <v>5031</v>
      </c>
      <c r="B3423" s="17" t="s">
        <v>7800</v>
      </c>
      <c r="C3423" s="13">
        <v>41691</v>
      </c>
      <c r="D3423" s="13" t="s">
        <v>8465</v>
      </c>
      <c r="E3423" s="10" t="s">
        <v>3467</v>
      </c>
      <c r="F3423" s="10" t="s">
        <v>5032</v>
      </c>
      <c r="H3423" s="2" t="s">
        <v>149</v>
      </c>
      <c r="L3423" s="18">
        <v>1</v>
      </c>
      <c r="N3423" s="13">
        <v>42021</v>
      </c>
      <c r="P3423" s="18" t="s">
        <v>1107</v>
      </c>
      <c r="Q3423" s="18">
        <v>0</v>
      </c>
      <c r="V3423" s="22">
        <f>3.64/5</f>
        <v>0.72799999999999998</v>
      </c>
      <c r="W3423" s="14" t="s">
        <v>7777</v>
      </c>
      <c r="X3423" s="3">
        <v>2</v>
      </c>
      <c r="Z3423" s="23">
        <v>8</v>
      </c>
      <c r="AB3423" s="18">
        <f t="shared" si="106"/>
        <v>2014</v>
      </c>
      <c r="AC3423" s="22">
        <f t="shared" si="107"/>
        <v>0.56400000000000006</v>
      </c>
    </row>
    <row r="3424" spans="1:29" ht="25.5">
      <c r="A3424" s="8" t="s">
        <v>10270</v>
      </c>
      <c r="B3424" s="17" t="s">
        <v>7749</v>
      </c>
      <c r="C3424" s="13">
        <v>41690</v>
      </c>
      <c r="D3424" s="13" t="s">
        <v>8465</v>
      </c>
      <c r="E3424" s="10" t="s">
        <v>2129</v>
      </c>
      <c r="F3424" s="10" t="s">
        <v>2472</v>
      </c>
      <c r="G3424" s="11" t="s">
        <v>2469</v>
      </c>
      <c r="H3424" s="2" t="s">
        <v>1334</v>
      </c>
      <c r="L3424" s="18">
        <v>1</v>
      </c>
      <c r="N3424" s="13">
        <v>44613</v>
      </c>
      <c r="O3424" s="29">
        <v>7.99</v>
      </c>
      <c r="P3424" s="18" t="s">
        <v>1107</v>
      </c>
      <c r="Q3424" s="18">
        <v>0</v>
      </c>
      <c r="U3424" s="22">
        <v>0.63</v>
      </c>
      <c r="V3424" s="22">
        <f>3.76/5</f>
        <v>0.752</v>
      </c>
      <c r="X3424" s="3">
        <v>3</v>
      </c>
      <c r="Z3424" s="23">
        <v>9</v>
      </c>
      <c r="AB3424" s="18">
        <f t="shared" si="106"/>
        <v>2014</v>
      </c>
      <c r="AC3424" s="22">
        <f t="shared" si="107"/>
        <v>0.66066666666666674</v>
      </c>
    </row>
    <row r="3425" spans="1:29">
      <c r="A3425" s="8" t="s">
        <v>3834</v>
      </c>
      <c r="B3425" s="17" t="s">
        <v>7800</v>
      </c>
      <c r="C3425" s="13">
        <v>41690</v>
      </c>
      <c r="D3425" s="13" t="s">
        <v>8465</v>
      </c>
      <c r="E3425" s="10" t="s">
        <v>3835</v>
      </c>
      <c r="F3425" s="10" t="s">
        <v>3835</v>
      </c>
      <c r="H3425" s="2" t="s">
        <v>149</v>
      </c>
      <c r="L3425" s="18">
        <v>1</v>
      </c>
      <c r="N3425" s="13">
        <v>41699</v>
      </c>
      <c r="P3425" s="18" t="s">
        <v>1107</v>
      </c>
      <c r="Q3425" s="18">
        <v>0</v>
      </c>
      <c r="V3425" s="22">
        <f>3.89/5</f>
        <v>0.77800000000000002</v>
      </c>
      <c r="W3425" s="14" t="s">
        <v>7777</v>
      </c>
      <c r="X3425" s="3">
        <v>2</v>
      </c>
      <c r="Z3425" s="23">
        <v>3.5</v>
      </c>
      <c r="AB3425" s="18">
        <f t="shared" si="106"/>
        <v>2014</v>
      </c>
      <c r="AC3425" s="22">
        <f t="shared" si="107"/>
        <v>0.58899999999999997</v>
      </c>
    </row>
    <row r="3426" spans="1:29">
      <c r="A3426" s="8" t="s">
        <v>12585</v>
      </c>
      <c r="B3426" s="17" t="s">
        <v>7800</v>
      </c>
      <c r="C3426" s="13">
        <v>41689</v>
      </c>
      <c r="D3426" s="13" t="s">
        <v>8465</v>
      </c>
      <c r="E3426" s="10" t="s">
        <v>12583</v>
      </c>
      <c r="F3426" s="10" t="s">
        <v>12583</v>
      </c>
      <c r="G3426" s="11" t="s">
        <v>12582</v>
      </c>
      <c r="H3426" s="2" t="s">
        <v>78</v>
      </c>
      <c r="L3426" s="18">
        <v>1</v>
      </c>
      <c r="P3426" s="18" t="s">
        <v>1107</v>
      </c>
      <c r="Q3426" s="18">
        <v>0</v>
      </c>
      <c r="V3426" s="22">
        <f>3.94/5</f>
        <v>0.78800000000000003</v>
      </c>
      <c r="W3426" s="14" t="s">
        <v>7777</v>
      </c>
      <c r="X3426" s="3">
        <v>2</v>
      </c>
      <c r="Z3426" s="23">
        <v>8.5</v>
      </c>
      <c r="AB3426" s="18">
        <f t="shared" si="106"/>
        <v>2014</v>
      </c>
      <c r="AC3426" s="22">
        <f t="shared" si="107"/>
        <v>0.59400000000000008</v>
      </c>
    </row>
    <row r="3427" spans="1:29">
      <c r="A3427" s="8" t="s">
        <v>10945</v>
      </c>
      <c r="B3427" s="17" t="s">
        <v>7749</v>
      </c>
      <c r="C3427" s="13">
        <v>41689</v>
      </c>
      <c r="D3427" s="13" t="s">
        <v>8463</v>
      </c>
      <c r="E3427" s="10" t="s">
        <v>10946</v>
      </c>
      <c r="F3427" s="10" t="s">
        <v>10947</v>
      </c>
      <c r="G3427" s="11" t="s">
        <v>10944</v>
      </c>
      <c r="H3427" s="2" t="s">
        <v>21</v>
      </c>
      <c r="K3427" s="18">
        <v>0</v>
      </c>
      <c r="L3427" s="18">
        <v>0</v>
      </c>
      <c r="Q3427" s="18">
        <v>0</v>
      </c>
      <c r="V3427" s="22">
        <f>3.13/5</f>
        <v>0.626</v>
      </c>
      <c r="X3427" s="3">
        <v>2</v>
      </c>
      <c r="AB3427" s="18">
        <f t="shared" si="106"/>
        <v>2014</v>
      </c>
      <c r="AC3427" s="22">
        <f t="shared" si="107"/>
        <v>0.51300000000000001</v>
      </c>
    </row>
    <row r="3428" spans="1:29" ht="25.5">
      <c r="A3428" s="8" t="s">
        <v>6058</v>
      </c>
      <c r="B3428" s="17" t="s">
        <v>7759</v>
      </c>
      <c r="C3428" s="13">
        <v>41688</v>
      </c>
      <c r="D3428" s="13" t="s">
        <v>8465</v>
      </c>
      <c r="E3428" s="10" t="s">
        <v>2298</v>
      </c>
      <c r="F3428" s="10" t="s">
        <v>1549</v>
      </c>
      <c r="G3428" s="11" t="s">
        <v>665</v>
      </c>
      <c r="H3428" s="2" t="s">
        <v>1168</v>
      </c>
      <c r="L3428" s="18">
        <v>1</v>
      </c>
      <c r="N3428" s="13">
        <v>42823</v>
      </c>
      <c r="O3428" s="29">
        <v>0</v>
      </c>
      <c r="P3428" s="18" t="s">
        <v>1107</v>
      </c>
      <c r="Q3428" s="18">
        <v>0</v>
      </c>
      <c r="U3428" s="22">
        <v>0.7</v>
      </c>
      <c r="V3428" s="22">
        <f>3.97/5</f>
        <v>0.79400000000000004</v>
      </c>
      <c r="W3428" s="14" t="s">
        <v>6072</v>
      </c>
      <c r="X3428" s="3">
        <v>3</v>
      </c>
      <c r="Z3428" s="23">
        <v>16</v>
      </c>
      <c r="AB3428" s="18">
        <f t="shared" si="106"/>
        <v>2014</v>
      </c>
      <c r="AC3428" s="22">
        <f t="shared" si="107"/>
        <v>0.69799999999999995</v>
      </c>
    </row>
    <row r="3429" spans="1:29">
      <c r="A3429" s="8" t="s">
        <v>9449</v>
      </c>
      <c r="B3429" s="17" t="s">
        <v>7749</v>
      </c>
      <c r="C3429" s="13">
        <v>41687</v>
      </c>
      <c r="D3429" s="13" t="s">
        <v>8465</v>
      </c>
      <c r="E3429" s="10" t="s">
        <v>9448</v>
      </c>
      <c r="F3429" s="10" t="s">
        <v>9448</v>
      </c>
      <c r="G3429" s="11" t="s">
        <v>9449</v>
      </c>
      <c r="H3429" s="2" t="s">
        <v>56</v>
      </c>
      <c r="L3429" s="18">
        <v>1</v>
      </c>
      <c r="N3429" s="13">
        <v>44709</v>
      </c>
      <c r="O3429" s="29">
        <v>2.99</v>
      </c>
      <c r="P3429" s="18" t="s">
        <v>1107</v>
      </c>
      <c r="Q3429" s="18">
        <v>0</v>
      </c>
      <c r="U3429" s="22">
        <v>0.59</v>
      </c>
      <c r="V3429" s="22">
        <f>3.61/5</f>
        <v>0.72199999999999998</v>
      </c>
      <c r="X3429" s="3">
        <v>3</v>
      </c>
      <c r="Z3429" s="23">
        <v>9.5</v>
      </c>
      <c r="AB3429" s="18">
        <f t="shared" si="106"/>
        <v>2014</v>
      </c>
      <c r="AC3429" s="22">
        <f t="shared" si="107"/>
        <v>0.63733333333333331</v>
      </c>
    </row>
    <row r="3430" spans="1:29" ht="25.5">
      <c r="A3430" s="8" t="s">
        <v>11092</v>
      </c>
      <c r="B3430" s="17" t="s">
        <v>7749</v>
      </c>
      <c r="C3430" s="13">
        <v>41684</v>
      </c>
      <c r="D3430" s="13" t="s">
        <v>8467</v>
      </c>
      <c r="E3430" s="10" t="s">
        <v>86</v>
      </c>
      <c r="F3430" s="10" t="s">
        <v>2129</v>
      </c>
      <c r="G3430" s="11" t="s">
        <v>2181</v>
      </c>
      <c r="H3430" s="2" t="s">
        <v>255</v>
      </c>
      <c r="L3430" s="18">
        <v>0</v>
      </c>
      <c r="Q3430" s="18">
        <v>0</v>
      </c>
      <c r="U3430" s="22">
        <v>0.7</v>
      </c>
      <c r="V3430" s="22">
        <f>4.1/5</f>
        <v>0.82</v>
      </c>
      <c r="X3430" s="3">
        <v>3</v>
      </c>
      <c r="Z3430" s="23">
        <v>22.5</v>
      </c>
      <c r="AB3430" s="18">
        <f t="shared" si="106"/>
        <v>2014</v>
      </c>
      <c r="AC3430" s="22">
        <f t="shared" si="107"/>
        <v>0.70666666666666667</v>
      </c>
    </row>
    <row r="3431" spans="1:29">
      <c r="A3431" s="8" t="s">
        <v>487</v>
      </c>
      <c r="B3431" s="17" t="s">
        <v>7800</v>
      </c>
      <c r="C3431" s="13">
        <v>41684</v>
      </c>
      <c r="D3431" s="13" t="s">
        <v>8465</v>
      </c>
      <c r="E3431" s="10" t="s">
        <v>170</v>
      </c>
      <c r="F3431" s="10" t="s">
        <v>170</v>
      </c>
      <c r="G3431" s="11" t="s">
        <v>450</v>
      </c>
      <c r="H3431" s="2" t="s">
        <v>2138</v>
      </c>
      <c r="L3431" s="18">
        <v>1</v>
      </c>
      <c r="N3431" s="13">
        <v>43866</v>
      </c>
      <c r="O3431" s="29">
        <v>0.75</v>
      </c>
      <c r="P3431" s="18" t="s">
        <v>1107</v>
      </c>
      <c r="Q3431" s="18">
        <v>0</v>
      </c>
      <c r="V3431" s="22">
        <f>3.76/5</f>
        <v>0.752</v>
      </c>
      <c r="W3431" s="14" t="s">
        <v>7777</v>
      </c>
      <c r="X3431" s="3">
        <v>3</v>
      </c>
      <c r="Z3431" s="23">
        <v>1.5</v>
      </c>
      <c r="AB3431" s="18">
        <f t="shared" si="106"/>
        <v>2014</v>
      </c>
      <c r="AC3431" s="22">
        <f t="shared" si="107"/>
        <v>0.67599999999999993</v>
      </c>
    </row>
    <row r="3432" spans="1:29">
      <c r="A3432" s="8" t="s">
        <v>3409</v>
      </c>
      <c r="B3432" s="17" t="s">
        <v>7800</v>
      </c>
      <c r="C3432" s="13">
        <v>41684</v>
      </c>
      <c r="D3432" s="13" t="s">
        <v>8465</v>
      </c>
      <c r="E3432" s="10" t="s">
        <v>3410</v>
      </c>
      <c r="F3432" s="10" t="s">
        <v>3410</v>
      </c>
      <c r="H3432" s="2" t="s">
        <v>3411</v>
      </c>
      <c r="L3432" s="18">
        <v>1</v>
      </c>
      <c r="N3432" s="13">
        <v>42026</v>
      </c>
      <c r="P3432" s="18" t="s">
        <v>1107</v>
      </c>
      <c r="Q3432" s="18">
        <v>0</v>
      </c>
      <c r="V3432" s="22">
        <f>3.48/5</f>
        <v>0.69599999999999995</v>
      </c>
      <c r="W3432" s="14" t="s">
        <v>7777</v>
      </c>
      <c r="X3432" s="3">
        <v>3</v>
      </c>
      <c r="Z3432" s="23">
        <v>9.5</v>
      </c>
      <c r="AB3432" s="18">
        <f t="shared" si="106"/>
        <v>2014</v>
      </c>
      <c r="AC3432" s="22">
        <f t="shared" si="107"/>
        <v>0.64799999999999991</v>
      </c>
    </row>
    <row r="3433" spans="1:29">
      <c r="A3433" s="8" t="s">
        <v>4338</v>
      </c>
      <c r="B3433" s="17" t="s">
        <v>7800</v>
      </c>
      <c r="C3433" s="13">
        <v>41684</v>
      </c>
      <c r="D3433" s="13" t="s">
        <v>8465</v>
      </c>
      <c r="E3433" s="10" t="s">
        <v>3116</v>
      </c>
      <c r="F3433" s="10" t="s">
        <v>4339</v>
      </c>
      <c r="H3433" s="2" t="s">
        <v>1204</v>
      </c>
      <c r="L3433" s="18">
        <v>1</v>
      </c>
      <c r="N3433" s="13">
        <v>41764</v>
      </c>
      <c r="P3433" s="18" t="s">
        <v>1107</v>
      </c>
      <c r="Q3433" s="18">
        <v>0</v>
      </c>
      <c r="U3433" s="22">
        <v>0.48</v>
      </c>
      <c r="V3433" s="22">
        <f>3.5/5</f>
        <v>0.7</v>
      </c>
      <c r="W3433" s="14" t="s">
        <v>7777</v>
      </c>
      <c r="X3433" s="3">
        <v>3</v>
      </c>
      <c r="Z3433" s="23">
        <v>4.5</v>
      </c>
      <c r="AB3433" s="18">
        <f t="shared" si="106"/>
        <v>2014</v>
      </c>
      <c r="AC3433" s="22">
        <f t="shared" si="107"/>
        <v>0.59333333333333327</v>
      </c>
    </row>
    <row r="3434" spans="1:29">
      <c r="A3434" s="8" t="s">
        <v>11259</v>
      </c>
      <c r="B3434" s="17" t="s">
        <v>7749</v>
      </c>
      <c r="C3434" s="13">
        <v>41684</v>
      </c>
      <c r="D3434" s="13" t="s">
        <v>8465</v>
      </c>
      <c r="E3434" s="10" t="s">
        <v>86</v>
      </c>
      <c r="F3434" s="10" t="s">
        <v>87</v>
      </c>
      <c r="G3434" s="11" t="s">
        <v>2409</v>
      </c>
      <c r="H3434" s="2" t="s">
        <v>1204</v>
      </c>
      <c r="L3434" s="18">
        <v>1</v>
      </c>
      <c r="N3434" s="13">
        <v>44626</v>
      </c>
      <c r="O3434" s="29">
        <v>9.99</v>
      </c>
      <c r="P3434" s="18" t="s">
        <v>1107</v>
      </c>
      <c r="Q3434" s="18">
        <v>0</v>
      </c>
      <c r="U3434" s="22">
        <v>0.7</v>
      </c>
      <c r="V3434" s="22">
        <f>3.48/5</f>
        <v>0.69599999999999995</v>
      </c>
      <c r="X3434" s="3">
        <v>2</v>
      </c>
      <c r="Z3434" s="23">
        <v>5.5</v>
      </c>
      <c r="AB3434" s="18">
        <f t="shared" si="106"/>
        <v>2014</v>
      </c>
      <c r="AC3434" s="22">
        <f t="shared" si="107"/>
        <v>0.59866666666666657</v>
      </c>
    </row>
    <row r="3435" spans="1:29">
      <c r="A3435" s="8" t="s">
        <v>3988</v>
      </c>
      <c r="B3435" s="17" t="s">
        <v>7800</v>
      </c>
      <c r="C3435" s="13">
        <v>41684</v>
      </c>
      <c r="D3435" s="13" t="s">
        <v>8465</v>
      </c>
      <c r="E3435" s="10" t="s">
        <v>3272</v>
      </c>
      <c r="F3435" s="10" t="s">
        <v>3989</v>
      </c>
      <c r="H3435" s="2" t="s">
        <v>78</v>
      </c>
      <c r="L3435" s="18">
        <v>1</v>
      </c>
      <c r="N3435" s="13">
        <v>42779</v>
      </c>
      <c r="O3435" s="29">
        <v>0</v>
      </c>
      <c r="P3435" s="18" t="s">
        <v>1107</v>
      </c>
      <c r="Q3435" s="18">
        <v>0</v>
      </c>
      <c r="V3435" s="22">
        <f>3.42/5</f>
        <v>0.68399999999999994</v>
      </c>
      <c r="W3435" s="14" t="s">
        <v>7777</v>
      </c>
      <c r="X3435" s="3">
        <v>2</v>
      </c>
      <c r="Z3435" s="23">
        <v>4.5</v>
      </c>
      <c r="AB3435" s="18">
        <f t="shared" si="106"/>
        <v>2014</v>
      </c>
      <c r="AC3435" s="22">
        <f t="shared" si="107"/>
        <v>0.54200000000000004</v>
      </c>
    </row>
    <row r="3436" spans="1:29" ht="25.5">
      <c r="A3436" s="8" t="s">
        <v>3668</v>
      </c>
      <c r="B3436" s="17" t="s">
        <v>7800</v>
      </c>
      <c r="C3436" s="13">
        <v>41684</v>
      </c>
      <c r="D3436" s="13" t="s">
        <v>8465</v>
      </c>
      <c r="E3436" s="10" t="s">
        <v>3669</v>
      </c>
      <c r="F3436" s="10" t="s">
        <v>3081</v>
      </c>
      <c r="G3436" s="11" t="s">
        <v>3670</v>
      </c>
      <c r="H3436" s="2" t="s">
        <v>69</v>
      </c>
      <c r="L3436" s="18">
        <v>1</v>
      </c>
      <c r="N3436" s="13">
        <v>42023</v>
      </c>
      <c r="P3436" s="18" t="s">
        <v>1107</v>
      </c>
      <c r="Q3436" s="18">
        <v>0</v>
      </c>
      <c r="U3436" s="22">
        <v>0.7</v>
      </c>
      <c r="V3436" s="22">
        <f>3.25/5</f>
        <v>0.65</v>
      </c>
      <c r="W3436" s="14" t="s">
        <v>7777</v>
      </c>
      <c r="X3436" s="3">
        <v>2</v>
      </c>
      <c r="Z3436" s="23">
        <v>28.5</v>
      </c>
      <c r="AB3436" s="18">
        <f t="shared" si="106"/>
        <v>2014</v>
      </c>
      <c r="AC3436" s="22">
        <f t="shared" si="107"/>
        <v>0.58333333333333337</v>
      </c>
    </row>
    <row r="3437" spans="1:29">
      <c r="A3437" s="8" t="s">
        <v>3820</v>
      </c>
      <c r="B3437" s="17" t="s">
        <v>7800</v>
      </c>
      <c r="C3437" s="13">
        <v>41684</v>
      </c>
      <c r="D3437" s="13" t="s">
        <v>8465</v>
      </c>
      <c r="E3437" s="10" t="s">
        <v>3817</v>
      </c>
      <c r="F3437" s="10" t="s">
        <v>3817</v>
      </c>
      <c r="G3437" s="11" t="s">
        <v>3818</v>
      </c>
      <c r="H3437" s="2" t="s">
        <v>1720</v>
      </c>
      <c r="L3437" s="18">
        <v>1</v>
      </c>
      <c r="N3437" s="13">
        <v>41787</v>
      </c>
      <c r="P3437" s="18" t="s">
        <v>1107</v>
      </c>
      <c r="Q3437" s="18">
        <v>0</v>
      </c>
      <c r="U3437" s="22">
        <v>0.6</v>
      </c>
      <c r="V3437" s="22">
        <f>3.41/5</f>
        <v>0.68200000000000005</v>
      </c>
      <c r="W3437" s="14" t="s">
        <v>7777</v>
      </c>
      <c r="X3437" s="3">
        <v>2</v>
      </c>
      <c r="Z3437" s="23">
        <v>12</v>
      </c>
      <c r="AB3437" s="18">
        <f t="shared" si="106"/>
        <v>2014</v>
      </c>
      <c r="AC3437" s="22">
        <f t="shared" si="107"/>
        <v>0.56066666666666665</v>
      </c>
    </row>
    <row r="3438" spans="1:29">
      <c r="A3438" s="8" t="s">
        <v>10059</v>
      </c>
      <c r="B3438" s="17" t="s">
        <v>7800</v>
      </c>
      <c r="C3438" s="13">
        <v>41683</v>
      </c>
      <c r="D3438" s="13" t="s">
        <v>8465</v>
      </c>
      <c r="E3438" s="10" t="s">
        <v>10060</v>
      </c>
      <c r="F3438" s="10" t="s">
        <v>10060</v>
      </c>
      <c r="H3438" s="2" t="s">
        <v>67</v>
      </c>
      <c r="L3438" s="18">
        <v>1</v>
      </c>
      <c r="N3438" s="13">
        <v>44294</v>
      </c>
      <c r="O3438" s="29">
        <v>0</v>
      </c>
      <c r="P3438" s="18" t="s">
        <v>1107</v>
      </c>
      <c r="Q3438" s="18">
        <v>0</v>
      </c>
      <c r="U3438" s="22">
        <v>0.66</v>
      </c>
      <c r="V3438" s="22">
        <f>3.08/5</f>
        <v>0.61599999999999999</v>
      </c>
      <c r="W3438" s="14" t="s">
        <v>7777</v>
      </c>
      <c r="X3438" s="3">
        <v>3</v>
      </c>
      <c r="Z3438" s="23">
        <v>4</v>
      </c>
      <c r="AB3438" s="18">
        <f t="shared" si="106"/>
        <v>2014</v>
      </c>
      <c r="AC3438" s="22">
        <f t="shared" si="107"/>
        <v>0.6253333333333333</v>
      </c>
    </row>
    <row r="3439" spans="1:29" ht="25.5">
      <c r="A3439" s="8" t="s">
        <v>9097</v>
      </c>
      <c r="B3439" s="17" t="s">
        <v>7763</v>
      </c>
      <c r="C3439" s="13">
        <v>41681</v>
      </c>
      <c r="D3439" s="13" t="s">
        <v>8465</v>
      </c>
      <c r="E3439" s="10" t="s">
        <v>7416</v>
      </c>
      <c r="F3439" s="10" t="s">
        <v>1471</v>
      </c>
      <c r="G3439" s="11" t="s">
        <v>9098</v>
      </c>
      <c r="H3439" s="2" t="s">
        <v>171</v>
      </c>
      <c r="L3439" s="18">
        <v>1</v>
      </c>
      <c r="M3439" s="14" t="s">
        <v>8462</v>
      </c>
      <c r="N3439" s="13">
        <v>44035</v>
      </c>
      <c r="O3439" s="29">
        <v>15.6</v>
      </c>
      <c r="P3439" s="18" t="s">
        <v>14</v>
      </c>
      <c r="Q3439" s="18">
        <v>0</v>
      </c>
      <c r="U3439" s="22">
        <v>0.71</v>
      </c>
      <c r="V3439" s="22">
        <f>4.12/5</f>
        <v>0.82400000000000007</v>
      </c>
      <c r="X3439" s="3">
        <v>3</v>
      </c>
      <c r="Z3439" s="23">
        <v>24</v>
      </c>
      <c r="AB3439" s="18">
        <f t="shared" si="106"/>
        <v>2014</v>
      </c>
      <c r="AC3439" s="22">
        <f t="shared" si="107"/>
        <v>0.71133333333333326</v>
      </c>
    </row>
    <row r="3440" spans="1:29">
      <c r="A3440" s="8" t="s">
        <v>11370</v>
      </c>
      <c r="B3440" s="17" t="s">
        <v>7763</v>
      </c>
      <c r="C3440" s="13">
        <v>41681</v>
      </c>
      <c r="D3440" s="13" t="s">
        <v>8465</v>
      </c>
      <c r="E3440" s="10" t="s">
        <v>11371</v>
      </c>
      <c r="F3440" s="10" t="s">
        <v>11371</v>
      </c>
      <c r="H3440" s="2" t="s">
        <v>2138</v>
      </c>
      <c r="L3440" s="18">
        <v>1</v>
      </c>
      <c r="N3440" s="13">
        <v>44922</v>
      </c>
      <c r="O3440" s="29">
        <v>9.99</v>
      </c>
      <c r="P3440" s="18" t="s">
        <v>1107</v>
      </c>
      <c r="Q3440" s="18">
        <v>0</v>
      </c>
      <c r="U3440" s="22">
        <v>0.84</v>
      </c>
      <c r="V3440" s="22">
        <f>3.44/5</f>
        <v>0.68799999999999994</v>
      </c>
      <c r="X3440" s="3">
        <v>3</v>
      </c>
      <c r="Z3440" s="23">
        <v>5</v>
      </c>
      <c r="AB3440" s="18">
        <f t="shared" si="106"/>
        <v>2014</v>
      </c>
      <c r="AC3440" s="22">
        <f t="shared" si="107"/>
        <v>0.70933333333333337</v>
      </c>
    </row>
    <row r="3441" spans="1:29" ht="25.5">
      <c r="A3441" s="8" t="s">
        <v>11866</v>
      </c>
      <c r="B3441" s="17" t="s">
        <v>7749</v>
      </c>
      <c r="C3441" s="13">
        <v>41681</v>
      </c>
      <c r="D3441" s="13" t="s">
        <v>8465</v>
      </c>
      <c r="E3441" s="10" t="s">
        <v>1509</v>
      </c>
      <c r="F3441" s="10" t="s">
        <v>11867</v>
      </c>
      <c r="G3441" s="11" t="s">
        <v>9669</v>
      </c>
      <c r="H3441" s="2" t="s">
        <v>149</v>
      </c>
      <c r="L3441" s="18">
        <v>0</v>
      </c>
      <c r="Q3441" s="18">
        <v>0</v>
      </c>
      <c r="U3441" s="22">
        <v>0.42</v>
      </c>
      <c r="V3441" s="22">
        <f>3.55/5</f>
        <v>0.71</v>
      </c>
      <c r="X3441" s="3">
        <v>2</v>
      </c>
      <c r="Y3441" s="18">
        <v>1</v>
      </c>
      <c r="Z3441" s="23">
        <v>53.5</v>
      </c>
      <c r="AB3441" s="18">
        <f t="shared" si="106"/>
        <v>2014</v>
      </c>
      <c r="AC3441" s="22">
        <f t="shared" si="107"/>
        <v>0.5099999999999999</v>
      </c>
    </row>
    <row r="3442" spans="1:29">
      <c r="A3442" s="8" t="s">
        <v>2362</v>
      </c>
      <c r="B3442" s="17" t="s">
        <v>7749</v>
      </c>
      <c r="C3442" s="13">
        <v>41677</v>
      </c>
      <c r="D3442" s="13" t="s">
        <v>8465</v>
      </c>
      <c r="E3442" s="10" t="s">
        <v>86</v>
      </c>
      <c r="F3442" s="10" t="s">
        <v>2449</v>
      </c>
      <c r="G3442" s="11" t="s">
        <v>2362</v>
      </c>
      <c r="H3442" s="2" t="s">
        <v>149</v>
      </c>
      <c r="L3442" s="18">
        <v>1</v>
      </c>
      <c r="M3442" s="14" t="s">
        <v>8462</v>
      </c>
      <c r="P3442" s="18" t="s">
        <v>14</v>
      </c>
      <c r="Q3442" s="18">
        <v>0</v>
      </c>
      <c r="U3442" s="22">
        <v>0.85</v>
      </c>
      <c r="V3442" s="22">
        <f>4.36/5</f>
        <v>0.87200000000000011</v>
      </c>
      <c r="X3442" s="3">
        <v>4</v>
      </c>
      <c r="Z3442" s="23">
        <v>56</v>
      </c>
      <c r="AB3442" s="18">
        <f t="shared" si="106"/>
        <v>2014</v>
      </c>
      <c r="AC3442" s="22">
        <f t="shared" si="107"/>
        <v>0.84066666666666678</v>
      </c>
    </row>
    <row r="3443" spans="1:29" ht="25.5">
      <c r="A3443" s="8" t="s">
        <v>4199</v>
      </c>
      <c r="B3443" s="17" t="s">
        <v>7800</v>
      </c>
      <c r="C3443" s="13">
        <v>41677</v>
      </c>
      <c r="D3443" s="13" t="s">
        <v>8465</v>
      </c>
      <c r="E3443" s="10" t="s">
        <v>3272</v>
      </c>
      <c r="F3443" s="10" t="s">
        <v>4200</v>
      </c>
      <c r="H3443" s="2" t="s">
        <v>67</v>
      </c>
      <c r="L3443" s="18">
        <v>1</v>
      </c>
      <c r="N3443" s="13">
        <v>41940</v>
      </c>
      <c r="P3443" s="18" t="s">
        <v>1107</v>
      </c>
      <c r="Q3443" s="18">
        <v>0</v>
      </c>
      <c r="U3443" s="22">
        <v>0.76</v>
      </c>
      <c r="V3443" s="22">
        <f>3.64/5</f>
        <v>0.72799999999999998</v>
      </c>
      <c r="W3443" s="14" t="s">
        <v>7777</v>
      </c>
      <c r="X3443" s="3">
        <v>4</v>
      </c>
      <c r="Z3443" s="23">
        <v>2</v>
      </c>
      <c r="AB3443" s="18">
        <f t="shared" si="106"/>
        <v>2014</v>
      </c>
      <c r="AC3443" s="22">
        <f t="shared" si="107"/>
        <v>0.76266666666666671</v>
      </c>
    </row>
    <row r="3444" spans="1:29" ht="45">
      <c r="A3444" s="8" t="s">
        <v>5336</v>
      </c>
      <c r="B3444" s="17" t="s">
        <v>7800</v>
      </c>
      <c r="C3444" s="13">
        <v>41677</v>
      </c>
      <c r="D3444" s="13" t="s">
        <v>8465</v>
      </c>
      <c r="E3444" s="10" t="s">
        <v>1156</v>
      </c>
      <c r="F3444" s="10" t="s">
        <v>4304</v>
      </c>
      <c r="G3444" s="11" t="s">
        <v>5337</v>
      </c>
      <c r="H3444" s="2" t="s">
        <v>80</v>
      </c>
      <c r="L3444" s="18">
        <v>1</v>
      </c>
      <c r="N3444" s="13">
        <v>42048</v>
      </c>
      <c r="P3444" s="18" t="s">
        <v>1107</v>
      </c>
      <c r="Q3444" s="18">
        <v>0</v>
      </c>
      <c r="U3444" s="22">
        <v>0.69</v>
      </c>
      <c r="V3444" s="22">
        <f>3.7/5</f>
        <v>0.74</v>
      </c>
      <c r="W3444" s="14" t="s">
        <v>7777</v>
      </c>
      <c r="X3444" s="3">
        <v>3</v>
      </c>
      <c r="Z3444" s="23">
        <v>8</v>
      </c>
      <c r="AB3444" s="18">
        <f t="shared" si="106"/>
        <v>2014</v>
      </c>
      <c r="AC3444" s="22">
        <f t="shared" si="107"/>
        <v>0.67666666666666664</v>
      </c>
    </row>
    <row r="3445" spans="1:29">
      <c r="A3445" s="8" t="s">
        <v>3821</v>
      </c>
      <c r="B3445" s="17" t="s">
        <v>7800</v>
      </c>
      <c r="C3445" s="13">
        <v>41677</v>
      </c>
      <c r="D3445" s="13" t="s">
        <v>8465</v>
      </c>
      <c r="E3445" s="10" t="s">
        <v>3822</v>
      </c>
      <c r="F3445" s="10" t="s">
        <v>3822</v>
      </c>
      <c r="H3445" s="2" t="s">
        <v>27</v>
      </c>
      <c r="L3445" s="18">
        <v>1</v>
      </c>
      <c r="N3445" s="13">
        <v>43374</v>
      </c>
      <c r="O3445" s="29">
        <v>1.99</v>
      </c>
      <c r="P3445" s="18" t="s">
        <v>1107</v>
      </c>
      <c r="Q3445" s="18">
        <v>0</v>
      </c>
      <c r="V3445" s="22">
        <f>2.13/5</f>
        <v>0.42599999999999999</v>
      </c>
      <c r="W3445" s="14" t="s">
        <v>7777</v>
      </c>
      <c r="X3445" s="3">
        <v>3</v>
      </c>
      <c r="Z3445" s="23">
        <v>10</v>
      </c>
      <c r="AB3445" s="18">
        <f t="shared" si="106"/>
        <v>2014</v>
      </c>
      <c r="AC3445" s="22">
        <f t="shared" si="107"/>
        <v>0.51300000000000001</v>
      </c>
    </row>
    <row r="3446" spans="1:29" ht="25.5">
      <c r="A3446" s="8" t="s">
        <v>5200</v>
      </c>
      <c r="B3446" s="17" t="s">
        <v>7800</v>
      </c>
      <c r="C3446" s="13">
        <v>41675</v>
      </c>
      <c r="D3446" s="13" t="s">
        <v>8465</v>
      </c>
      <c r="E3446" s="10" t="s">
        <v>3905</v>
      </c>
      <c r="F3446" s="10" t="s">
        <v>5201</v>
      </c>
      <c r="H3446" s="2" t="s">
        <v>21</v>
      </c>
      <c r="L3446" s="18">
        <v>1</v>
      </c>
      <c r="N3446" s="13">
        <v>41676</v>
      </c>
      <c r="P3446" s="18" t="s">
        <v>1107</v>
      </c>
      <c r="Q3446" s="18">
        <v>0</v>
      </c>
      <c r="V3446" s="22">
        <f>2.28/5</f>
        <v>0.45599999999999996</v>
      </c>
      <c r="W3446" s="14" t="s">
        <v>7777</v>
      </c>
      <c r="X3446" s="3">
        <v>2</v>
      </c>
      <c r="Z3446" s="23">
        <v>2</v>
      </c>
      <c r="AB3446" s="18">
        <f t="shared" si="106"/>
        <v>2014</v>
      </c>
      <c r="AC3446" s="22">
        <f t="shared" si="107"/>
        <v>0.42799999999999999</v>
      </c>
    </row>
    <row r="3447" spans="1:29">
      <c r="A3447" s="8" t="s">
        <v>10114</v>
      </c>
      <c r="B3447" s="17" t="s">
        <v>7763</v>
      </c>
      <c r="C3447" s="13">
        <v>41674</v>
      </c>
      <c r="D3447" s="13" t="s">
        <v>8465</v>
      </c>
      <c r="E3447" s="10" t="s">
        <v>5503</v>
      </c>
      <c r="F3447" s="10" t="s">
        <v>5503</v>
      </c>
      <c r="H3447" s="2" t="s">
        <v>78</v>
      </c>
      <c r="L3447" s="18">
        <v>1</v>
      </c>
      <c r="N3447" s="13">
        <v>44302</v>
      </c>
      <c r="O3447" s="29">
        <v>4.99</v>
      </c>
      <c r="P3447" s="18" t="s">
        <v>1107</v>
      </c>
      <c r="Q3447" s="18">
        <v>0</v>
      </c>
      <c r="U3447" s="22">
        <v>0.77</v>
      </c>
      <c r="V3447" s="22">
        <f>3.25/5</f>
        <v>0.65</v>
      </c>
      <c r="X3447" s="3">
        <v>3</v>
      </c>
      <c r="Z3447" s="23">
        <v>2</v>
      </c>
      <c r="AB3447" s="18">
        <f t="shared" si="106"/>
        <v>2014</v>
      </c>
      <c r="AC3447" s="22">
        <f t="shared" si="107"/>
        <v>0.67333333333333334</v>
      </c>
    </row>
    <row r="3448" spans="1:29" ht="25.5">
      <c r="A3448" s="8" t="s">
        <v>3194</v>
      </c>
      <c r="B3448" s="17" t="s">
        <v>7800</v>
      </c>
      <c r="C3448" s="13">
        <v>41673</v>
      </c>
      <c r="D3448" s="13" t="s">
        <v>8465</v>
      </c>
      <c r="E3448" s="10" t="s">
        <v>3195</v>
      </c>
      <c r="F3448" s="10" t="s">
        <v>3195</v>
      </c>
      <c r="G3448" s="11" t="s">
        <v>10157</v>
      </c>
      <c r="H3448" s="2" t="s">
        <v>21</v>
      </c>
      <c r="L3448" s="18">
        <v>1</v>
      </c>
      <c r="N3448" s="13">
        <v>42362</v>
      </c>
      <c r="P3448" s="18" t="s">
        <v>1107</v>
      </c>
      <c r="Q3448" s="18">
        <v>0</v>
      </c>
      <c r="V3448" s="22">
        <f>3.83/5</f>
        <v>0.76600000000000001</v>
      </c>
      <c r="W3448" s="14" t="s">
        <v>7777</v>
      </c>
      <c r="X3448" s="3">
        <v>3</v>
      </c>
      <c r="Z3448" s="23">
        <v>2.5</v>
      </c>
      <c r="AB3448" s="18">
        <f t="shared" si="106"/>
        <v>2014</v>
      </c>
      <c r="AC3448" s="22">
        <f t="shared" si="107"/>
        <v>0.68300000000000005</v>
      </c>
    </row>
    <row r="3449" spans="1:29" ht="25.5">
      <c r="A3449" s="8" t="s">
        <v>580</v>
      </c>
      <c r="B3449" s="17" t="s">
        <v>7743</v>
      </c>
      <c r="C3449" s="13">
        <v>41669</v>
      </c>
      <c r="D3449" s="13" t="s">
        <v>8465</v>
      </c>
      <c r="E3449" s="10" t="s">
        <v>86</v>
      </c>
      <c r="F3449" s="10" t="s">
        <v>86</v>
      </c>
      <c r="G3449" s="11" t="s">
        <v>85</v>
      </c>
      <c r="H3449" s="2" t="s">
        <v>80</v>
      </c>
      <c r="L3449" s="18">
        <v>1</v>
      </c>
      <c r="N3449" s="13">
        <v>44613</v>
      </c>
      <c r="O3449" s="29">
        <v>7.99</v>
      </c>
      <c r="P3449" s="18" t="s">
        <v>1107</v>
      </c>
      <c r="Q3449" s="18">
        <v>0</v>
      </c>
      <c r="V3449" s="22">
        <f>4.56/5</f>
        <v>0.91199999999999992</v>
      </c>
      <c r="X3449" s="3">
        <v>3</v>
      </c>
      <c r="Z3449" s="23">
        <v>15</v>
      </c>
      <c r="AB3449" s="18">
        <f t="shared" si="106"/>
        <v>2014</v>
      </c>
      <c r="AC3449" s="22">
        <f t="shared" si="107"/>
        <v>0.75600000000000001</v>
      </c>
    </row>
    <row r="3450" spans="1:29">
      <c r="A3450" s="8" t="s">
        <v>13360</v>
      </c>
      <c r="B3450" s="17" t="s">
        <v>7800</v>
      </c>
      <c r="C3450" s="13">
        <v>41669</v>
      </c>
      <c r="D3450" s="13" t="s">
        <v>8465</v>
      </c>
      <c r="E3450" s="10" t="s">
        <v>13361</v>
      </c>
      <c r="F3450" s="10" t="s">
        <v>13361</v>
      </c>
      <c r="H3450" s="2" t="s">
        <v>3279</v>
      </c>
      <c r="L3450" s="18">
        <v>1</v>
      </c>
      <c r="N3450" s="13">
        <v>44952</v>
      </c>
      <c r="O3450" s="29">
        <v>1.59</v>
      </c>
      <c r="P3450" s="18" t="s">
        <v>1107</v>
      </c>
      <c r="Q3450" s="18">
        <v>0</v>
      </c>
      <c r="U3450" s="22">
        <v>0.77</v>
      </c>
      <c r="V3450" s="22">
        <f>3.79/5</f>
        <v>0.75800000000000001</v>
      </c>
      <c r="W3450" s="14" t="s">
        <v>7777</v>
      </c>
      <c r="X3450" s="3">
        <v>2</v>
      </c>
      <c r="Z3450" s="23">
        <v>2</v>
      </c>
      <c r="AB3450" s="18">
        <f t="shared" si="106"/>
        <v>2014</v>
      </c>
      <c r="AC3450" s="22">
        <f t="shared" si="107"/>
        <v>0.64266666666666661</v>
      </c>
    </row>
    <row r="3451" spans="1:29" ht="30">
      <c r="A3451" s="8" t="s">
        <v>4920</v>
      </c>
      <c r="B3451" s="17" t="s">
        <v>7800</v>
      </c>
      <c r="C3451" s="13">
        <v>41668</v>
      </c>
      <c r="D3451" s="13" t="s">
        <v>8465</v>
      </c>
      <c r="E3451" s="10" t="s">
        <v>4921</v>
      </c>
      <c r="F3451" s="10" t="s">
        <v>4922</v>
      </c>
      <c r="H3451" s="2" t="s">
        <v>149</v>
      </c>
      <c r="L3451" s="18">
        <v>1</v>
      </c>
      <c r="N3451" s="13">
        <v>41676</v>
      </c>
      <c r="P3451" s="18" t="s">
        <v>1107</v>
      </c>
      <c r="Q3451" s="18">
        <v>0</v>
      </c>
      <c r="U3451" s="22">
        <v>0.81</v>
      </c>
      <c r="V3451" s="22">
        <f>3.66/5</f>
        <v>0.73199999999999998</v>
      </c>
      <c r="W3451" s="14" t="s">
        <v>7777</v>
      </c>
      <c r="X3451" s="3">
        <v>3</v>
      </c>
      <c r="Z3451" s="23">
        <v>4</v>
      </c>
      <c r="AB3451" s="18">
        <f t="shared" si="106"/>
        <v>2014</v>
      </c>
      <c r="AC3451" s="22">
        <f t="shared" si="107"/>
        <v>0.71399999999999997</v>
      </c>
    </row>
    <row r="3452" spans="1:29">
      <c r="A3452" s="8" t="s">
        <v>4620</v>
      </c>
      <c r="B3452" s="17" t="s">
        <v>7800</v>
      </c>
      <c r="C3452" s="13">
        <v>41668</v>
      </c>
      <c r="D3452" s="13" t="s">
        <v>8465</v>
      </c>
      <c r="E3452" s="10" t="s">
        <v>4621</v>
      </c>
      <c r="F3452" s="10" t="s">
        <v>4621</v>
      </c>
      <c r="H3452" s="2" t="s">
        <v>171</v>
      </c>
      <c r="L3452" s="18">
        <v>1</v>
      </c>
      <c r="N3452" s="13">
        <v>41942</v>
      </c>
      <c r="P3452" s="18" t="s">
        <v>1107</v>
      </c>
      <c r="Q3452" s="18">
        <v>0</v>
      </c>
      <c r="U3452" s="22">
        <v>0.66</v>
      </c>
      <c r="V3452" s="22">
        <f>3.72/5</f>
        <v>0.74399999999999999</v>
      </c>
      <c r="W3452" s="14" t="s">
        <v>7777</v>
      </c>
      <c r="X3452" s="3">
        <v>3</v>
      </c>
      <c r="Z3452" s="23">
        <v>12</v>
      </c>
      <c r="AB3452" s="18">
        <f t="shared" si="106"/>
        <v>2014</v>
      </c>
      <c r="AC3452" s="22">
        <f t="shared" si="107"/>
        <v>0.66800000000000004</v>
      </c>
    </row>
    <row r="3453" spans="1:29">
      <c r="A3453" s="8" t="s">
        <v>4109</v>
      </c>
      <c r="B3453" s="17" t="s">
        <v>7800</v>
      </c>
      <c r="C3453" s="13">
        <v>41668</v>
      </c>
      <c r="D3453" s="13" t="s">
        <v>8465</v>
      </c>
      <c r="E3453" s="10" t="s">
        <v>4110</v>
      </c>
      <c r="F3453" s="10" t="s">
        <v>4110</v>
      </c>
      <c r="H3453" s="2" t="s">
        <v>1518</v>
      </c>
      <c r="L3453" s="18">
        <v>1</v>
      </c>
      <c r="N3453" s="13">
        <v>41676</v>
      </c>
      <c r="P3453" s="18" t="s">
        <v>1107</v>
      </c>
      <c r="Q3453" s="18">
        <v>0</v>
      </c>
      <c r="V3453" s="22">
        <f>3.24/5</f>
        <v>0.64800000000000002</v>
      </c>
      <c r="W3453" s="14" t="s">
        <v>7777</v>
      </c>
      <c r="X3453" s="3">
        <v>3</v>
      </c>
      <c r="Z3453" s="23">
        <v>8.5</v>
      </c>
      <c r="AB3453" s="18">
        <f t="shared" si="106"/>
        <v>2014</v>
      </c>
      <c r="AC3453" s="22">
        <f t="shared" si="107"/>
        <v>0.624</v>
      </c>
    </row>
    <row r="3454" spans="1:29">
      <c r="A3454" s="8" t="s">
        <v>13815</v>
      </c>
      <c r="B3454" s="17" t="s">
        <v>13816</v>
      </c>
      <c r="C3454" s="13">
        <v>41667</v>
      </c>
      <c r="D3454" s="13" t="s">
        <v>8465</v>
      </c>
      <c r="E3454" s="10" t="s">
        <v>3572</v>
      </c>
      <c r="F3454" s="10" t="s">
        <v>3572</v>
      </c>
      <c r="H3454" s="2" t="s">
        <v>1220</v>
      </c>
      <c r="L3454" s="18">
        <v>0</v>
      </c>
      <c r="Q3454" s="18">
        <v>0</v>
      </c>
      <c r="W3454" s="14" t="s">
        <v>9890</v>
      </c>
      <c r="X3454" s="3">
        <v>2</v>
      </c>
      <c r="AB3454" s="18">
        <f t="shared" si="106"/>
        <v>2014</v>
      </c>
      <c r="AC3454" s="22">
        <f t="shared" si="107"/>
        <v>0.4</v>
      </c>
    </row>
    <row r="3455" spans="1:29">
      <c r="A3455" s="8" t="s">
        <v>3325</v>
      </c>
      <c r="B3455" s="17" t="s">
        <v>7800</v>
      </c>
      <c r="C3455" s="13">
        <v>41663</v>
      </c>
      <c r="D3455" s="13" t="s">
        <v>8465</v>
      </c>
      <c r="E3455" s="10" t="s">
        <v>3072</v>
      </c>
      <c r="F3455" s="10" t="s">
        <v>3072</v>
      </c>
      <c r="G3455" s="11" t="s">
        <v>3326</v>
      </c>
      <c r="H3455" s="2" t="s">
        <v>1720</v>
      </c>
      <c r="L3455" s="18">
        <v>1</v>
      </c>
      <c r="N3455" s="13">
        <v>41954</v>
      </c>
      <c r="P3455" s="18" t="s">
        <v>1107</v>
      </c>
      <c r="Q3455" s="18">
        <v>0</v>
      </c>
      <c r="U3455" s="22">
        <v>0.68</v>
      </c>
      <c r="V3455" s="22">
        <f>3.39/5</f>
        <v>0.67800000000000005</v>
      </c>
      <c r="W3455" s="14" t="s">
        <v>7777</v>
      </c>
      <c r="X3455" s="3">
        <v>3</v>
      </c>
      <c r="Z3455" s="23">
        <v>43</v>
      </c>
      <c r="AB3455" s="18">
        <f t="shared" si="106"/>
        <v>2014</v>
      </c>
      <c r="AC3455" s="22">
        <f t="shared" si="107"/>
        <v>0.65266666666666673</v>
      </c>
    </row>
    <row r="3456" spans="1:29">
      <c r="A3456" s="8" t="s">
        <v>10229</v>
      </c>
      <c r="B3456" s="17" t="s">
        <v>7759</v>
      </c>
      <c r="C3456" s="13">
        <v>41662</v>
      </c>
      <c r="D3456" s="13" t="s">
        <v>8463</v>
      </c>
      <c r="E3456" s="10" t="s">
        <v>73</v>
      </c>
      <c r="F3456" s="10" t="s">
        <v>73</v>
      </c>
      <c r="G3456" s="11" t="s">
        <v>8133</v>
      </c>
      <c r="H3456" s="2" t="s">
        <v>1059</v>
      </c>
      <c r="K3456" s="18">
        <v>0</v>
      </c>
      <c r="L3456" s="18">
        <v>0</v>
      </c>
      <c r="Q3456" s="18">
        <v>0</v>
      </c>
      <c r="V3456" s="22">
        <f>4.29/5</f>
        <v>0.85799999999999998</v>
      </c>
      <c r="X3456" s="3">
        <v>2</v>
      </c>
      <c r="Y3456" s="18">
        <v>1</v>
      </c>
      <c r="Z3456" s="23">
        <v>48</v>
      </c>
      <c r="AB3456" s="18">
        <f t="shared" si="106"/>
        <v>2014</v>
      </c>
      <c r="AC3456" s="22">
        <f t="shared" si="107"/>
        <v>0.629</v>
      </c>
    </row>
    <row r="3457" spans="1:29">
      <c r="A3457" s="8" t="s">
        <v>13227</v>
      </c>
      <c r="B3457" s="17" t="s">
        <v>7800</v>
      </c>
      <c r="C3457" s="13">
        <v>41662</v>
      </c>
      <c r="D3457" s="13" t="s">
        <v>8465</v>
      </c>
      <c r="E3457" s="10" t="s">
        <v>10442</v>
      </c>
      <c r="F3457" s="10" t="s">
        <v>10442</v>
      </c>
      <c r="G3457" s="11" t="s">
        <v>13227</v>
      </c>
      <c r="H3457" s="2" t="s">
        <v>78</v>
      </c>
      <c r="L3457" s="18">
        <v>1</v>
      </c>
      <c r="P3457" s="18" t="s">
        <v>1107</v>
      </c>
      <c r="Q3457" s="18">
        <v>0</v>
      </c>
      <c r="V3457" s="22">
        <f>3.87/5</f>
        <v>0.77400000000000002</v>
      </c>
      <c r="W3457" s="14" t="s">
        <v>7777</v>
      </c>
      <c r="X3457" s="3">
        <v>2</v>
      </c>
      <c r="Z3457" s="23">
        <v>2</v>
      </c>
      <c r="AB3457" s="18">
        <f t="shared" ref="AB3457:AB3520" si="108">IFERROR(YEAR(C3457), "Early Access")</f>
        <v>2014</v>
      </c>
      <c r="AC3457" s="22">
        <f t="shared" ref="AC3457:AC3520" si="109">AVERAGE(T3457, U3457, V3457, IF(ISBLANK(X3457), X3457, X3457/5))</f>
        <v>0.58699999999999997</v>
      </c>
    </row>
    <row r="3458" spans="1:29">
      <c r="A3458" s="8" t="s">
        <v>11261</v>
      </c>
      <c r="B3458" s="17" t="s">
        <v>7743</v>
      </c>
      <c r="C3458" s="13">
        <v>41654</v>
      </c>
      <c r="D3458" s="13" t="s">
        <v>8465</v>
      </c>
      <c r="E3458" s="10" t="s">
        <v>86</v>
      </c>
      <c r="F3458" s="10" t="s">
        <v>1046</v>
      </c>
      <c r="G3458" s="11" t="s">
        <v>6568</v>
      </c>
      <c r="H3458" s="2" t="s">
        <v>78</v>
      </c>
      <c r="L3458" s="18">
        <v>1</v>
      </c>
      <c r="N3458" s="13">
        <v>44621</v>
      </c>
      <c r="O3458" s="29">
        <v>14.99</v>
      </c>
      <c r="P3458" s="18" t="s">
        <v>1107</v>
      </c>
      <c r="Q3458" s="18">
        <v>0</v>
      </c>
      <c r="U3458" s="22">
        <v>0.65</v>
      </c>
      <c r="V3458" s="22">
        <f>3.69/5</f>
        <v>0.73799999999999999</v>
      </c>
      <c r="X3458" s="3">
        <v>2</v>
      </c>
      <c r="Z3458" s="23">
        <v>1.5</v>
      </c>
      <c r="AB3458" s="18">
        <f t="shared" si="108"/>
        <v>2014</v>
      </c>
      <c r="AC3458" s="22">
        <f t="shared" si="109"/>
        <v>0.59599999999999997</v>
      </c>
    </row>
    <row r="3459" spans="1:29">
      <c r="A3459" s="8" t="s">
        <v>5272</v>
      </c>
      <c r="B3459" s="17" t="s">
        <v>7800</v>
      </c>
      <c r="C3459" s="13">
        <v>41653</v>
      </c>
      <c r="D3459" s="13" t="s">
        <v>8465</v>
      </c>
      <c r="E3459" s="10" t="s">
        <v>3212</v>
      </c>
      <c r="F3459" s="10" t="s">
        <v>5273</v>
      </c>
      <c r="G3459" s="11" t="s">
        <v>5272</v>
      </c>
      <c r="H3459" s="2" t="s">
        <v>75</v>
      </c>
      <c r="L3459" s="18">
        <v>1</v>
      </c>
      <c r="N3459" s="13">
        <v>41971</v>
      </c>
      <c r="O3459" s="29">
        <v>4.99</v>
      </c>
      <c r="P3459" s="18" t="s">
        <v>1107</v>
      </c>
      <c r="Q3459" s="18">
        <v>0</v>
      </c>
      <c r="U3459" s="22">
        <v>0.81</v>
      </c>
      <c r="V3459" s="22">
        <f>3.87/5</f>
        <v>0.77400000000000002</v>
      </c>
      <c r="W3459" s="14" t="s">
        <v>7777</v>
      </c>
      <c r="X3459" s="3">
        <v>3</v>
      </c>
      <c r="Z3459" s="23">
        <v>10.5</v>
      </c>
      <c r="AB3459" s="18">
        <f t="shared" si="108"/>
        <v>2014</v>
      </c>
      <c r="AC3459" s="22">
        <f t="shared" si="109"/>
        <v>0.72800000000000009</v>
      </c>
    </row>
    <row r="3460" spans="1:29">
      <c r="A3460" s="8" t="s">
        <v>4536</v>
      </c>
      <c r="B3460" s="17" t="s">
        <v>7800</v>
      </c>
      <c r="C3460" s="13">
        <v>41652</v>
      </c>
      <c r="D3460" s="13" t="s">
        <v>8465</v>
      </c>
      <c r="E3460" s="10" t="s">
        <v>3919</v>
      </c>
      <c r="F3460" s="10" t="s">
        <v>3919</v>
      </c>
      <c r="G3460" s="11" t="s">
        <v>4536</v>
      </c>
      <c r="H3460" s="2" t="s">
        <v>143</v>
      </c>
      <c r="L3460" s="18">
        <v>1</v>
      </c>
      <c r="N3460" s="13">
        <v>42119</v>
      </c>
      <c r="O3460" s="29">
        <v>3.74</v>
      </c>
      <c r="P3460" s="18" t="s">
        <v>1107</v>
      </c>
      <c r="Q3460" s="18">
        <v>0</v>
      </c>
      <c r="U3460" s="22">
        <v>0.84</v>
      </c>
      <c r="V3460" s="22">
        <f>3.46/5</f>
        <v>0.69199999999999995</v>
      </c>
      <c r="W3460" s="14" t="s">
        <v>7777</v>
      </c>
      <c r="X3460" s="3">
        <v>3</v>
      </c>
      <c r="Z3460" s="23">
        <v>0.82</v>
      </c>
      <c r="AB3460" s="18">
        <f t="shared" si="108"/>
        <v>2014</v>
      </c>
      <c r="AC3460" s="22">
        <f t="shared" si="109"/>
        <v>0.71066666666666667</v>
      </c>
    </row>
    <row r="3461" spans="1:29" ht="25.5">
      <c r="A3461" s="8" t="s">
        <v>3057</v>
      </c>
      <c r="B3461" s="17" t="s">
        <v>7800</v>
      </c>
      <c r="C3461" s="13">
        <v>41649</v>
      </c>
      <c r="D3461" s="13" t="s">
        <v>8465</v>
      </c>
      <c r="E3461" s="10" t="s">
        <v>3055</v>
      </c>
      <c r="F3461" s="10" t="s">
        <v>3055</v>
      </c>
      <c r="G3461" s="11" t="s">
        <v>3056</v>
      </c>
      <c r="H3461" s="2" t="s">
        <v>171</v>
      </c>
      <c r="L3461" s="18">
        <v>1</v>
      </c>
      <c r="N3461" s="13">
        <v>41634</v>
      </c>
      <c r="P3461" s="18" t="s">
        <v>1107</v>
      </c>
      <c r="Q3461" s="18">
        <v>0</v>
      </c>
      <c r="V3461" s="22">
        <f>1.93/5</f>
        <v>0.38600000000000001</v>
      </c>
      <c r="W3461" s="14" t="s">
        <v>7777</v>
      </c>
      <c r="X3461" s="3">
        <v>2</v>
      </c>
      <c r="Z3461" s="23">
        <v>6.5</v>
      </c>
      <c r="AB3461" s="18">
        <f t="shared" si="108"/>
        <v>2014</v>
      </c>
      <c r="AC3461" s="22">
        <f t="shared" si="109"/>
        <v>0.39300000000000002</v>
      </c>
    </row>
    <row r="3462" spans="1:29" ht="25.5">
      <c r="A3462" s="8" t="s">
        <v>4435</v>
      </c>
      <c r="B3462" s="17" t="s">
        <v>7800</v>
      </c>
      <c r="C3462" s="13">
        <v>41648</v>
      </c>
      <c r="D3462" s="13" t="s">
        <v>8465</v>
      </c>
      <c r="E3462" s="10" t="s">
        <v>72</v>
      </c>
      <c r="F3462" s="10" t="s">
        <v>1058</v>
      </c>
      <c r="G3462" s="11" t="s">
        <v>220</v>
      </c>
      <c r="H3462" s="2" t="s">
        <v>1059</v>
      </c>
      <c r="L3462" s="18">
        <v>1</v>
      </c>
      <c r="N3462" s="13">
        <v>41999</v>
      </c>
      <c r="O3462" s="29">
        <v>4.8</v>
      </c>
      <c r="P3462" s="18" t="s">
        <v>1107</v>
      </c>
      <c r="Q3462" s="18">
        <v>0</v>
      </c>
      <c r="U3462" s="22">
        <v>0.84</v>
      </c>
      <c r="V3462" s="22">
        <f>4.07/5</f>
        <v>0.81400000000000006</v>
      </c>
      <c r="W3462" s="14" t="s">
        <v>7777</v>
      </c>
      <c r="X3462" s="3">
        <v>2</v>
      </c>
      <c r="Z3462" s="23">
        <v>7</v>
      </c>
      <c r="AB3462" s="18">
        <f t="shared" si="108"/>
        <v>2014</v>
      </c>
      <c r="AC3462" s="22">
        <f t="shared" si="109"/>
        <v>0.68466666666666665</v>
      </c>
    </row>
    <row r="3463" spans="1:29" ht="25.5">
      <c r="A3463" s="8" t="s">
        <v>10290</v>
      </c>
      <c r="B3463" s="17" t="s">
        <v>7749</v>
      </c>
      <c r="C3463" s="13">
        <v>41648</v>
      </c>
      <c r="D3463" s="13" t="s">
        <v>8465</v>
      </c>
      <c r="E3463" s="10" t="s">
        <v>86</v>
      </c>
      <c r="F3463" s="10" t="s">
        <v>2450</v>
      </c>
      <c r="G3463" s="11" t="s">
        <v>9047</v>
      </c>
      <c r="H3463" s="2" t="s">
        <v>1040</v>
      </c>
      <c r="L3463" s="18">
        <v>1</v>
      </c>
      <c r="N3463" s="13">
        <v>44615</v>
      </c>
      <c r="O3463" s="29">
        <v>9.99</v>
      </c>
      <c r="P3463" s="18" t="s">
        <v>1107</v>
      </c>
      <c r="Q3463" s="18">
        <v>0</v>
      </c>
      <c r="U3463" s="22">
        <v>0.49</v>
      </c>
      <c r="V3463" s="22">
        <f>3.29/5</f>
        <v>0.65800000000000003</v>
      </c>
      <c r="X3463" s="3">
        <v>2</v>
      </c>
      <c r="Z3463" s="23">
        <v>5.5</v>
      </c>
      <c r="AB3463" s="18">
        <f t="shared" si="108"/>
        <v>2014</v>
      </c>
      <c r="AC3463" s="22">
        <f t="shared" si="109"/>
        <v>0.51600000000000001</v>
      </c>
    </row>
    <row r="3464" spans="1:29">
      <c r="A3464" s="8" t="s">
        <v>4936</v>
      </c>
      <c r="B3464" s="17" t="s">
        <v>7800</v>
      </c>
      <c r="C3464" s="13">
        <v>41646</v>
      </c>
      <c r="D3464" s="13" t="s">
        <v>8465</v>
      </c>
      <c r="E3464" s="10" t="s">
        <v>3181</v>
      </c>
      <c r="F3464" s="10" t="s">
        <v>3181</v>
      </c>
      <c r="H3464" s="2" t="s">
        <v>80</v>
      </c>
      <c r="L3464" s="18">
        <v>1</v>
      </c>
      <c r="N3464" s="13">
        <v>41823</v>
      </c>
      <c r="P3464" s="18" t="s">
        <v>1107</v>
      </c>
      <c r="Q3464" s="18">
        <v>0</v>
      </c>
      <c r="U3464" s="22">
        <v>0.53</v>
      </c>
      <c r="V3464" s="22">
        <f>3.58/5</f>
        <v>0.71599999999999997</v>
      </c>
      <c r="W3464" s="14" t="s">
        <v>7777</v>
      </c>
      <c r="X3464" s="3">
        <v>2</v>
      </c>
      <c r="Z3464" s="23">
        <v>2.5</v>
      </c>
      <c r="AB3464" s="18">
        <f t="shared" si="108"/>
        <v>2014</v>
      </c>
      <c r="AC3464" s="22">
        <f t="shared" si="109"/>
        <v>0.54866666666666664</v>
      </c>
    </row>
    <row r="3465" spans="1:29">
      <c r="A3465" s="8" t="s">
        <v>3640</v>
      </c>
      <c r="B3465" s="17" t="s">
        <v>7800</v>
      </c>
      <c r="C3465" s="13">
        <v>41641</v>
      </c>
      <c r="D3465" s="13" t="s">
        <v>8465</v>
      </c>
      <c r="E3465" s="10" t="s">
        <v>3641</v>
      </c>
      <c r="F3465" s="10" t="s">
        <v>3642</v>
      </c>
      <c r="G3465" s="11" t="s">
        <v>3640</v>
      </c>
      <c r="H3465" s="2" t="s">
        <v>67</v>
      </c>
      <c r="L3465" s="18">
        <v>1</v>
      </c>
      <c r="N3465" s="13">
        <v>41744</v>
      </c>
      <c r="P3465" s="18" t="s">
        <v>1107</v>
      </c>
      <c r="Q3465" s="18">
        <v>0</v>
      </c>
      <c r="U3465" s="22">
        <v>0.68</v>
      </c>
      <c r="V3465" s="22">
        <f>3.74/5</f>
        <v>0.748</v>
      </c>
      <c r="W3465" s="14" t="s">
        <v>7777</v>
      </c>
      <c r="X3465" s="3">
        <v>3</v>
      </c>
      <c r="Z3465" s="23">
        <v>2.5</v>
      </c>
      <c r="AB3465" s="18">
        <f t="shared" si="108"/>
        <v>2014</v>
      </c>
      <c r="AC3465" s="22">
        <f t="shared" si="109"/>
        <v>0.67600000000000005</v>
      </c>
    </row>
    <row r="3466" spans="1:29" ht="25.5">
      <c r="A3466" s="8" t="s">
        <v>4436</v>
      </c>
      <c r="B3466" s="17" t="s">
        <v>7800</v>
      </c>
      <c r="C3466" s="13">
        <v>41991</v>
      </c>
      <c r="D3466" s="13" t="s">
        <v>8465</v>
      </c>
      <c r="E3466" s="10" t="s">
        <v>72</v>
      </c>
      <c r="F3466" s="10" t="s">
        <v>1940</v>
      </c>
      <c r="G3466" s="11" t="s">
        <v>220</v>
      </c>
      <c r="H3466" s="2" t="s">
        <v>245</v>
      </c>
      <c r="L3466" s="18">
        <v>1</v>
      </c>
      <c r="N3466" s="13">
        <v>42103</v>
      </c>
      <c r="O3466" s="29">
        <v>6.25</v>
      </c>
      <c r="P3466" s="18" t="s">
        <v>1107</v>
      </c>
      <c r="Q3466" s="18">
        <v>1</v>
      </c>
      <c r="R3466" s="13">
        <v>42134</v>
      </c>
      <c r="S3466" s="21">
        <v>0.96</v>
      </c>
      <c r="T3466" s="22">
        <v>0.8</v>
      </c>
      <c r="U3466" s="22">
        <v>0.82</v>
      </c>
      <c r="V3466" s="22">
        <f>3.74/5</f>
        <v>0.748</v>
      </c>
      <c r="W3466" s="14" t="s">
        <v>7777</v>
      </c>
      <c r="AB3466" s="18">
        <f t="shared" si="108"/>
        <v>2014</v>
      </c>
      <c r="AC3466" s="22">
        <f t="shared" si="109"/>
        <v>0.78933333333333344</v>
      </c>
    </row>
    <row r="3467" spans="1:29" ht="30">
      <c r="A3467" s="8" t="s">
        <v>3893</v>
      </c>
      <c r="B3467" s="17" t="s">
        <v>7800</v>
      </c>
      <c r="C3467" s="13">
        <v>41984</v>
      </c>
      <c r="D3467" s="13" t="s">
        <v>8465</v>
      </c>
      <c r="E3467" s="10" t="s">
        <v>1082</v>
      </c>
      <c r="F3467" s="10" t="s">
        <v>3892</v>
      </c>
      <c r="G3467" s="11" t="s">
        <v>126</v>
      </c>
      <c r="H3467" s="2" t="s">
        <v>149</v>
      </c>
      <c r="L3467" s="18">
        <v>1</v>
      </c>
      <c r="N3467" s="13">
        <v>43454</v>
      </c>
      <c r="O3467" s="29">
        <v>9.99</v>
      </c>
      <c r="P3467" s="18" t="s">
        <v>1107</v>
      </c>
      <c r="Q3467" s="18">
        <v>1</v>
      </c>
      <c r="R3467" s="13">
        <v>44483</v>
      </c>
      <c r="S3467" s="21">
        <f>23+11/60</f>
        <v>23.183333333333334</v>
      </c>
      <c r="T3467" s="22">
        <v>0.8</v>
      </c>
      <c r="U3467" s="22">
        <v>0.7</v>
      </c>
      <c r="V3467" s="22">
        <f>3.58/5</f>
        <v>0.71599999999999997</v>
      </c>
      <c r="W3467" s="14" t="s">
        <v>7777</v>
      </c>
      <c r="AB3467" s="18">
        <f t="shared" si="108"/>
        <v>2014</v>
      </c>
      <c r="AC3467" s="22">
        <f t="shared" si="109"/>
        <v>0.73866666666666669</v>
      </c>
    </row>
    <row r="3468" spans="1:29" ht="25.5">
      <c r="A3468" s="8" t="s">
        <v>1114</v>
      </c>
      <c r="B3468" s="17" t="s">
        <v>7743</v>
      </c>
      <c r="C3468" s="13">
        <v>41978</v>
      </c>
      <c r="D3468" s="13" t="s">
        <v>8465</v>
      </c>
      <c r="E3468" s="10" t="s">
        <v>86</v>
      </c>
      <c r="F3468" s="10" t="s">
        <v>1137</v>
      </c>
      <c r="G3468" s="11" t="s">
        <v>137</v>
      </c>
      <c r="H3468" s="2" t="s">
        <v>31</v>
      </c>
      <c r="L3468" s="18">
        <v>1</v>
      </c>
      <c r="N3468" s="13">
        <v>42113</v>
      </c>
      <c r="O3468" s="29">
        <v>27.99</v>
      </c>
      <c r="P3468" s="18" t="s">
        <v>1107</v>
      </c>
      <c r="Q3468" s="18">
        <v>1</v>
      </c>
      <c r="R3468" s="13">
        <v>42191</v>
      </c>
      <c r="S3468" s="21">
        <v>8.58</v>
      </c>
      <c r="T3468" s="22">
        <v>0.8</v>
      </c>
      <c r="U3468" s="22">
        <v>0.81</v>
      </c>
      <c r="V3468" s="22">
        <f>4.07/5</f>
        <v>0.81400000000000006</v>
      </c>
      <c r="AB3468" s="18">
        <f t="shared" si="108"/>
        <v>2014</v>
      </c>
      <c r="AC3468" s="22">
        <f t="shared" si="109"/>
        <v>0.80800000000000016</v>
      </c>
    </row>
    <row r="3469" spans="1:29" ht="25.5">
      <c r="A3469" s="8" t="s">
        <v>5239</v>
      </c>
      <c r="B3469" s="17" t="s">
        <v>7800</v>
      </c>
      <c r="C3469" s="13">
        <v>41968</v>
      </c>
      <c r="D3469" s="13" t="s">
        <v>8465</v>
      </c>
      <c r="E3469" s="10" t="s">
        <v>3246</v>
      </c>
      <c r="F3469" s="10" t="s">
        <v>3246</v>
      </c>
      <c r="G3469" s="11" t="s">
        <v>3356</v>
      </c>
      <c r="H3469" s="2" t="s">
        <v>67</v>
      </c>
      <c r="L3469" s="18">
        <v>1</v>
      </c>
      <c r="N3469" s="13">
        <v>42166</v>
      </c>
      <c r="O3469" s="29">
        <v>12.49</v>
      </c>
      <c r="P3469" s="18" t="s">
        <v>1107</v>
      </c>
      <c r="Q3469" s="18">
        <v>1</v>
      </c>
      <c r="R3469" s="13">
        <v>42297</v>
      </c>
      <c r="S3469" s="21">
        <v>10.58</v>
      </c>
      <c r="T3469" s="22">
        <v>0.9</v>
      </c>
      <c r="U3469" s="22">
        <v>0.88</v>
      </c>
      <c r="V3469" s="22">
        <f>4.09/5</f>
        <v>0.81799999999999995</v>
      </c>
      <c r="W3469" s="14" t="s">
        <v>7777</v>
      </c>
      <c r="AB3469" s="18">
        <f t="shared" si="108"/>
        <v>2014</v>
      </c>
      <c r="AC3469" s="22">
        <f t="shared" si="109"/>
        <v>0.86599999999999999</v>
      </c>
    </row>
    <row r="3470" spans="1:29" ht="25.5">
      <c r="A3470" s="8" t="s">
        <v>3977</v>
      </c>
      <c r="B3470" s="17" t="s">
        <v>7800</v>
      </c>
      <c r="C3470" s="13">
        <v>41968</v>
      </c>
      <c r="D3470" s="13" t="s">
        <v>8465</v>
      </c>
      <c r="E3470" s="10" t="s">
        <v>3978</v>
      </c>
      <c r="F3470" s="10" t="s">
        <v>3979</v>
      </c>
      <c r="G3470" s="11" t="s">
        <v>1053</v>
      </c>
      <c r="H3470" s="2" t="s">
        <v>1054</v>
      </c>
      <c r="L3470" s="18">
        <v>1</v>
      </c>
      <c r="N3470" s="13">
        <v>41985</v>
      </c>
      <c r="O3470" s="29">
        <v>14.99</v>
      </c>
      <c r="P3470" s="18" t="s">
        <v>1107</v>
      </c>
      <c r="Q3470" s="18">
        <v>1</v>
      </c>
      <c r="R3470" s="13">
        <v>42135</v>
      </c>
      <c r="S3470" s="21">
        <v>6.63</v>
      </c>
      <c r="T3470" s="22">
        <v>0.8</v>
      </c>
      <c r="U3470" s="22">
        <v>0.77</v>
      </c>
      <c r="V3470" s="22">
        <f>4/5</f>
        <v>0.8</v>
      </c>
      <c r="W3470" s="14" t="s">
        <v>7777</v>
      </c>
      <c r="AB3470" s="18">
        <f t="shared" si="108"/>
        <v>2014</v>
      </c>
      <c r="AC3470" s="22">
        <f t="shared" si="109"/>
        <v>0.79</v>
      </c>
    </row>
    <row r="3471" spans="1:29" ht="25.5">
      <c r="A3471" s="8" t="s">
        <v>2391</v>
      </c>
      <c r="B3471" s="17" t="s">
        <v>7749</v>
      </c>
      <c r="C3471" s="13">
        <v>41964</v>
      </c>
      <c r="D3471" s="13" t="s">
        <v>8465</v>
      </c>
      <c r="E3471" s="10" t="s">
        <v>86</v>
      </c>
      <c r="F3471" s="10" t="s">
        <v>1354</v>
      </c>
      <c r="G3471" s="11" t="s">
        <v>1470</v>
      </c>
      <c r="H3471" s="2" t="s">
        <v>149</v>
      </c>
      <c r="L3471" s="18">
        <v>1</v>
      </c>
      <c r="M3471" s="14" t="s">
        <v>8462</v>
      </c>
      <c r="N3471" s="13">
        <v>41964</v>
      </c>
      <c r="O3471" s="29">
        <v>39.96</v>
      </c>
      <c r="P3471" s="18" t="s">
        <v>14</v>
      </c>
      <c r="Q3471" s="18">
        <v>1</v>
      </c>
      <c r="R3471" s="13">
        <v>42051</v>
      </c>
      <c r="S3471" s="21">
        <v>51</v>
      </c>
      <c r="T3471" s="22">
        <v>0.8</v>
      </c>
      <c r="U3471" s="22">
        <v>0.83</v>
      </c>
      <c r="V3471" s="22">
        <f>4.35/5</f>
        <v>0.86999999999999988</v>
      </c>
      <c r="AB3471" s="18">
        <f t="shared" si="108"/>
        <v>2014</v>
      </c>
      <c r="AC3471" s="22">
        <f t="shared" si="109"/>
        <v>0.83333333333333337</v>
      </c>
    </row>
    <row r="3472" spans="1:29">
      <c r="A3472" s="8" t="s">
        <v>6988</v>
      </c>
      <c r="B3472" s="17" t="s">
        <v>7800</v>
      </c>
      <c r="C3472" s="13">
        <v>41961</v>
      </c>
      <c r="D3472" s="13" t="s">
        <v>8465</v>
      </c>
      <c r="E3472" s="10" t="s">
        <v>1047</v>
      </c>
      <c r="F3472" s="10" t="s">
        <v>1048</v>
      </c>
      <c r="G3472" s="11" t="s">
        <v>1049</v>
      </c>
      <c r="H3472" s="2" t="s">
        <v>80</v>
      </c>
      <c r="L3472" s="18">
        <v>1</v>
      </c>
      <c r="N3472" s="13">
        <v>42099</v>
      </c>
      <c r="O3472" s="29">
        <v>30.59</v>
      </c>
      <c r="P3472" s="18" t="s">
        <v>1107</v>
      </c>
      <c r="Q3472" s="18">
        <v>1</v>
      </c>
      <c r="R3472" s="13">
        <v>42134</v>
      </c>
      <c r="S3472" s="21">
        <v>19.77</v>
      </c>
      <c r="T3472" s="22">
        <v>0.9</v>
      </c>
      <c r="U3472" s="22">
        <v>0.81</v>
      </c>
      <c r="V3472" s="22">
        <f>3.61/5</f>
        <v>0.72199999999999998</v>
      </c>
      <c r="W3472" s="14" t="s">
        <v>7798</v>
      </c>
      <c r="AB3472" s="18">
        <f t="shared" si="108"/>
        <v>2014</v>
      </c>
      <c r="AC3472" s="22">
        <f t="shared" si="109"/>
        <v>0.81066666666666665</v>
      </c>
    </row>
    <row r="3473" spans="1:29">
      <c r="A3473" s="8" t="s">
        <v>10264</v>
      </c>
      <c r="B3473" s="17" t="s">
        <v>7749</v>
      </c>
      <c r="C3473" s="13">
        <v>41956</v>
      </c>
      <c r="D3473" s="13" t="s">
        <v>8465</v>
      </c>
      <c r="E3473" s="10" t="s">
        <v>1794</v>
      </c>
      <c r="F3473" s="10" t="s">
        <v>1794</v>
      </c>
      <c r="G3473" s="11" t="s">
        <v>10286</v>
      </c>
      <c r="H3473" s="2" t="s">
        <v>78</v>
      </c>
      <c r="L3473" s="18">
        <v>1</v>
      </c>
      <c r="N3473" s="13">
        <v>44625</v>
      </c>
      <c r="O3473" s="29">
        <v>5.99</v>
      </c>
      <c r="P3473" s="18" t="s">
        <v>1107</v>
      </c>
      <c r="Q3473" s="18">
        <v>1</v>
      </c>
      <c r="R3473" s="13">
        <v>44744</v>
      </c>
      <c r="S3473" s="21">
        <f>15+23/60</f>
        <v>15.383333333333333</v>
      </c>
      <c r="T3473" s="22">
        <v>0.6</v>
      </c>
      <c r="U3473" s="22">
        <v>0.7</v>
      </c>
      <c r="V3473" s="22">
        <f>3.96/5</f>
        <v>0.79200000000000004</v>
      </c>
      <c r="AB3473" s="18">
        <f t="shared" si="108"/>
        <v>2014</v>
      </c>
      <c r="AC3473" s="22">
        <f t="shared" si="109"/>
        <v>0.69733333333333325</v>
      </c>
    </row>
    <row r="3474" spans="1:29" ht="25.5">
      <c r="A3474" s="8" t="s">
        <v>6523</v>
      </c>
      <c r="B3474" s="17" t="s">
        <v>7766</v>
      </c>
      <c r="C3474" s="13">
        <v>41954</v>
      </c>
      <c r="D3474" s="13" t="s">
        <v>8465</v>
      </c>
      <c r="E3474" s="10" t="s">
        <v>3116</v>
      </c>
      <c r="F3474" s="10" t="s">
        <v>4078</v>
      </c>
      <c r="G3474" s="11" t="s">
        <v>4079</v>
      </c>
      <c r="H3474" s="2" t="s">
        <v>1050</v>
      </c>
      <c r="L3474" s="18">
        <v>1</v>
      </c>
      <c r="M3474" s="14" t="s">
        <v>8462</v>
      </c>
      <c r="N3474" s="13">
        <v>43447</v>
      </c>
      <c r="O3474" s="29">
        <v>26.49</v>
      </c>
      <c r="P3474" s="18" t="s">
        <v>14</v>
      </c>
      <c r="Q3474" s="18">
        <v>1</v>
      </c>
      <c r="R3474" s="13">
        <v>44040</v>
      </c>
      <c r="T3474" s="22">
        <v>0.74</v>
      </c>
      <c r="U3474" s="22">
        <v>0.85</v>
      </c>
      <c r="V3474" s="22">
        <f>3.98/5</f>
        <v>0.79600000000000004</v>
      </c>
      <c r="AB3474" s="18">
        <f t="shared" si="108"/>
        <v>2014</v>
      </c>
      <c r="AC3474" s="22">
        <f t="shared" si="109"/>
        <v>0.79533333333333334</v>
      </c>
    </row>
    <row r="3475" spans="1:29">
      <c r="A3475" s="8" t="s">
        <v>3224</v>
      </c>
      <c r="B3475" s="17" t="s">
        <v>7800</v>
      </c>
      <c r="C3475" s="13">
        <v>41954</v>
      </c>
      <c r="D3475" s="13" t="s">
        <v>8465</v>
      </c>
      <c r="E3475" s="10" t="s">
        <v>1047</v>
      </c>
      <c r="F3475" s="10" t="s">
        <v>1048</v>
      </c>
      <c r="G3475" s="11" t="s">
        <v>1563</v>
      </c>
      <c r="H3475" s="2" t="s">
        <v>80</v>
      </c>
      <c r="L3475" s="18">
        <v>1</v>
      </c>
      <c r="N3475" s="13">
        <v>42406</v>
      </c>
      <c r="O3475" s="29">
        <v>15.99</v>
      </c>
      <c r="P3475" s="18" t="s">
        <v>1107</v>
      </c>
      <c r="Q3475" s="18">
        <v>1</v>
      </c>
      <c r="R3475" s="13">
        <v>43682</v>
      </c>
      <c r="S3475" s="21">
        <v>15.43</v>
      </c>
      <c r="T3475" s="22">
        <v>0.8</v>
      </c>
      <c r="U3475" s="22">
        <v>0.73</v>
      </c>
      <c r="V3475" s="22">
        <f>2.93/5</f>
        <v>0.58600000000000008</v>
      </c>
      <c r="W3475" s="14" t="s">
        <v>7777</v>
      </c>
      <c r="AB3475" s="18">
        <f t="shared" si="108"/>
        <v>2014</v>
      </c>
      <c r="AC3475" s="22">
        <f t="shared" si="109"/>
        <v>0.70533333333333337</v>
      </c>
    </row>
    <row r="3476" spans="1:29">
      <c r="A3476" s="8" t="s">
        <v>3060</v>
      </c>
      <c r="B3476" s="17" t="s">
        <v>7800</v>
      </c>
      <c r="C3476" s="13">
        <v>41950</v>
      </c>
      <c r="D3476" s="13" t="s">
        <v>8465</v>
      </c>
      <c r="E3476" s="10" t="s">
        <v>3061</v>
      </c>
      <c r="F3476" s="10" t="s">
        <v>3061</v>
      </c>
      <c r="H3476" s="2" t="s">
        <v>67</v>
      </c>
      <c r="L3476" s="18">
        <v>1</v>
      </c>
      <c r="N3476" s="13">
        <v>42002</v>
      </c>
      <c r="O3476" s="29">
        <v>2.4900000000000002</v>
      </c>
      <c r="P3476" s="18" t="s">
        <v>1107</v>
      </c>
      <c r="Q3476" s="18">
        <v>1</v>
      </c>
      <c r="R3476" s="13">
        <v>42051</v>
      </c>
      <c r="S3476" s="21">
        <v>1.2</v>
      </c>
      <c r="T3476" s="22">
        <v>0.7</v>
      </c>
      <c r="U3476" s="22">
        <v>0.69</v>
      </c>
      <c r="V3476" s="22">
        <f>3.39/5</f>
        <v>0.67800000000000005</v>
      </c>
      <c r="W3476" s="14" t="s">
        <v>7777</v>
      </c>
      <c r="AB3476" s="18">
        <f t="shared" si="108"/>
        <v>2014</v>
      </c>
      <c r="AC3476" s="22">
        <f t="shared" si="109"/>
        <v>0.68933333333333335</v>
      </c>
    </row>
    <row r="3477" spans="1:29" ht="30">
      <c r="A3477" s="8" t="s">
        <v>1091</v>
      </c>
      <c r="B3477" s="17" t="s">
        <v>7743</v>
      </c>
      <c r="C3477" s="13">
        <v>41936</v>
      </c>
      <c r="D3477" s="13" t="s">
        <v>8465</v>
      </c>
      <c r="E3477" s="10" t="s">
        <v>86</v>
      </c>
      <c r="F3477" s="10" t="s">
        <v>1058</v>
      </c>
      <c r="G3477" s="11" t="s">
        <v>1090</v>
      </c>
      <c r="H3477" s="2" t="s">
        <v>1059</v>
      </c>
      <c r="L3477" s="18">
        <v>1</v>
      </c>
      <c r="M3477" s="14" t="s">
        <v>8462</v>
      </c>
      <c r="N3477" s="13">
        <v>42152</v>
      </c>
      <c r="O3477" s="29">
        <v>48.34</v>
      </c>
      <c r="P3477" s="18" t="s">
        <v>14</v>
      </c>
      <c r="Q3477" s="18">
        <v>1</v>
      </c>
      <c r="R3477" s="13">
        <v>44076</v>
      </c>
      <c r="S3477" s="21">
        <f>7+53/3600</f>
        <v>7.0147222222222219</v>
      </c>
      <c r="T3477" s="22">
        <v>0.9</v>
      </c>
      <c r="U3477" s="22">
        <v>0.91</v>
      </c>
      <c r="V3477" s="22">
        <f>4.45/5</f>
        <v>0.89</v>
      </c>
      <c r="W3477" s="14" t="s">
        <v>1109</v>
      </c>
      <c r="AB3477" s="18">
        <f t="shared" si="108"/>
        <v>2014</v>
      </c>
      <c r="AC3477" s="22">
        <f t="shared" si="109"/>
        <v>0.9</v>
      </c>
    </row>
    <row r="3478" spans="1:29" ht="30">
      <c r="A3478" s="8" t="s">
        <v>1090</v>
      </c>
      <c r="B3478" s="17" t="s">
        <v>7743</v>
      </c>
      <c r="C3478" s="13">
        <v>41936</v>
      </c>
      <c r="D3478" s="13" t="s">
        <v>8465</v>
      </c>
      <c r="E3478" s="10" t="s">
        <v>86</v>
      </c>
      <c r="F3478" s="10" t="s">
        <v>1058</v>
      </c>
      <c r="G3478" s="11" t="s">
        <v>1090</v>
      </c>
      <c r="H3478" s="2" t="s">
        <v>1059</v>
      </c>
      <c r="L3478" s="18">
        <v>1</v>
      </c>
      <c r="M3478" s="14" t="s">
        <v>8462</v>
      </c>
      <c r="N3478" s="13">
        <v>42152</v>
      </c>
      <c r="O3478" s="29">
        <v>0</v>
      </c>
      <c r="P3478" s="18" t="s">
        <v>14</v>
      </c>
      <c r="Q3478" s="18">
        <v>1</v>
      </c>
      <c r="R3478" s="13">
        <v>44063</v>
      </c>
      <c r="S3478" s="21">
        <f>10+14/60+15/3600</f>
        <v>10.237499999999999</v>
      </c>
      <c r="T3478" s="22">
        <v>0.85</v>
      </c>
      <c r="U3478" s="22">
        <v>0.84</v>
      </c>
      <c r="V3478" s="22">
        <f>4.3/5</f>
        <v>0.86</v>
      </c>
      <c r="W3478" s="14" t="s">
        <v>1108</v>
      </c>
      <c r="AB3478" s="18">
        <f t="shared" si="108"/>
        <v>2014</v>
      </c>
      <c r="AC3478" s="22">
        <f t="shared" si="109"/>
        <v>0.85</v>
      </c>
    </row>
    <row r="3479" spans="1:29" ht="30">
      <c r="A3479" s="8" t="s">
        <v>2444</v>
      </c>
      <c r="B3479" s="17" t="s">
        <v>7749</v>
      </c>
      <c r="C3479" s="13">
        <v>41928</v>
      </c>
      <c r="D3479" s="13" t="s">
        <v>8465</v>
      </c>
      <c r="E3479" s="10" t="s">
        <v>2482</v>
      </c>
      <c r="F3479" s="10" t="s">
        <v>2483</v>
      </c>
      <c r="G3479" s="11" t="s">
        <v>2444</v>
      </c>
      <c r="H3479" s="2" t="s">
        <v>64</v>
      </c>
      <c r="L3479" s="18">
        <v>1</v>
      </c>
      <c r="N3479" s="13">
        <v>42113</v>
      </c>
      <c r="O3479" s="29">
        <v>2.79</v>
      </c>
      <c r="P3479" s="18" t="s">
        <v>1107</v>
      </c>
      <c r="Q3479" s="18">
        <v>1</v>
      </c>
      <c r="R3479" s="13">
        <v>42198</v>
      </c>
      <c r="S3479" s="21">
        <v>1.72</v>
      </c>
      <c r="T3479" s="22">
        <v>0.6</v>
      </c>
      <c r="U3479" s="22">
        <v>0.78</v>
      </c>
      <c r="V3479" s="22">
        <f>3.66/5</f>
        <v>0.73199999999999998</v>
      </c>
      <c r="AB3479" s="18">
        <f t="shared" si="108"/>
        <v>2014</v>
      </c>
      <c r="AC3479" s="22">
        <f t="shared" si="109"/>
        <v>0.70400000000000007</v>
      </c>
    </row>
    <row r="3480" spans="1:29" ht="25.5">
      <c r="A3480" s="8" t="s">
        <v>3358</v>
      </c>
      <c r="B3480" s="17" t="s">
        <v>7800</v>
      </c>
      <c r="C3480" s="13">
        <v>41926</v>
      </c>
      <c r="D3480" s="13" t="s">
        <v>8465</v>
      </c>
      <c r="E3480" s="10" t="s">
        <v>3310</v>
      </c>
      <c r="F3480" s="10" t="s">
        <v>3359</v>
      </c>
      <c r="G3480" s="11" t="s">
        <v>3356</v>
      </c>
      <c r="H3480" s="2" t="s">
        <v>1050</v>
      </c>
      <c r="L3480" s="18">
        <v>1</v>
      </c>
      <c r="N3480" s="13">
        <v>41926</v>
      </c>
      <c r="O3480" s="29">
        <v>35.450000000000003</v>
      </c>
      <c r="P3480" s="18" t="s">
        <v>1107</v>
      </c>
      <c r="Q3480" s="18">
        <v>1</v>
      </c>
      <c r="R3480" s="13">
        <v>41939</v>
      </c>
      <c r="S3480" s="21">
        <v>18.03</v>
      </c>
      <c r="T3480" s="22">
        <v>0.8</v>
      </c>
      <c r="U3480" s="22">
        <v>0.75</v>
      </c>
      <c r="V3480" s="22">
        <f>3.64/5</f>
        <v>0.72799999999999998</v>
      </c>
      <c r="W3480" s="14" t="s">
        <v>7777</v>
      </c>
      <c r="AB3480" s="18">
        <f t="shared" si="108"/>
        <v>2014</v>
      </c>
      <c r="AC3480" s="22">
        <f t="shared" si="109"/>
        <v>0.7593333333333333</v>
      </c>
    </row>
    <row r="3481" spans="1:29" ht="30">
      <c r="A3481" s="8" t="s">
        <v>3891</v>
      </c>
      <c r="B3481" s="17" t="s">
        <v>7800</v>
      </c>
      <c r="C3481" s="13">
        <v>41921</v>
      </c>
      <c r="D3481" s="13" t="s">
        <v>8465</v>
      </c>
      <c r="E3481" s="10" t="s">
        <v>1082</v>
      </c>
      <c r="F3481" s="10" t="s">
        <v>3892</v>
      </c>
      <c r="G3481" s="11" t="s">
        <v>126</v>
      </c>
      <c r="H3481" s="2" t="s">
        <v>149</v>
      </c>
      <c r="L3481" s="18">
        <v>1</v>
      </c>
      <c r="N3481" s="13">
        <v>42908</v>
      </c>
      <c r="O3481" s="29">
        <v>7.99</v>
      </c>
      <c r="P3481" s="18" t="s">
        <v>1107</v>
      </c>
      <c r="Q3481" s="18">
        <v>1</v>
      </c>
      <c r="R3481" s="13">
        <v>44422</v>
      </c>
      <c r="S3481" s="21">
        <f>49+53/60</f>
        <v>49.883333333333333</v>
      </c>
      <c r="T3481" s="22">
        <v>0.9</v>
      </c>
      <c r="U3481" s="22">
        <v>0.65</v>
      </c>
      <c r="V3481" s="22">
        <f>3.47/5</f>
        <v>0.69400000000000006</v>
      </c>
      <c r="W3481" s="14" t="s">
        <v>7777</v>
      </c>
      <c r="AB3481" s="18">
        <f t="shared" si="108"/>
        <v>2014</v>
      </c>
      <c r="AC3481" s="22">
        <f t="shared" si="109"/>
        <v>0.74800000000000011</v>
      </c>
    </row>
    <row r="3482" spans="1:29" ht="45">
      <c r="A3482" s="8" t="s">
        <v>4444</v>
      </c>
      <c r="B3482" s="17" t="s">
        <v>7800</v>
      </c>
      <c r="C3482" s="13">
        <v>41912</v>
      </c>
      <c r="D3482" s="13" t="s">
        <v>8465</v>
      </c>
      <c r="E3482" s="10" t="s">
        <v>1156</v>
      </c>
      <c r="F3482" s="10" t="s">
        <v>3487</v>
      </c>
      <c r="G3482" s="11" t="s">
        <v>4445</v>
      </c>
      <c r="H3482" s="2" t="s">
        <v>80</v>
      </c>
      <c r="L3482" s="18">
        <v>1</v>
      </c>
      <c r="N3482" s="13">
        <v>41993</v>
      </c>
      <c r="O3482" s="29">
        <v>17.37</v>
      </c>
      <c r="P3482" s="18" t="s">
        <v>1107</v>
      </c>
      <c r="Q3482" s="18">
        <v>1</v>
      </c>
      <c r="R3482" s="13">
        <v>42002</v>
      </c>
      <c r="S3482" s="21">
        <v>22.17</v>
      </c>
      <c r="T3482" s="22">
        <v>0.9</v>
      </c>
      <c r="U3482" s="22">
        <v>0.87</v>
      </c>
      <c r="V3482" s="22">
        <f>3.82/5</f>
        <v>0.76400000000000001</v>
      </c>
      <c r="W3482" s="14" t="s">
        <v>7777</v>
      </c>
      <c r="AB3482" s="18">
        <f t="shared" si="108"/>
        <v>2014</v>
      </c>
      <c r="AC3482" s="22">
        <f t="shared" si="109"/>
        <v>0.84466666666666657</v>
      </c>
    </row>
    <row r="3483" spans="1:29">
      <c r="A3483" s="8" t="s">
        <v>1113</v>
      </c>
      <c r="B3483" s="17" t="s">
        <v>7743</v>
      </c>
      <c r="C3483" s="13">
        <v>41908</v>
      </c>
      <c r="D3483" s="13" t="s">
        <v>8465</v>
      </c>
      <c r="E3483" s="10" t="s">
        <v>86</v>
      </c>
      <c r="F3483" s="10" t="s">
        <v>1136</v>
      </c>
      <c r="G3483" s="11" t="s">
        <v>85</v>
      </c>
      <c r="H3483" s="2" t="s">
        <v>1059</v>
      </c>
      <c r="L3483" s="18">
        <v>1</v>
      </c>
      <c r="M3483" s="14" t="s">
        <v>8462</v>
      </c>
      <c r="N3483" s="13">
        <v>42038</v>
      </c>
      <c r="O3483" s="29">
        <v>34.299999999999997</v>
      </c>
      <c r="P3483" s="18" t="s">
        <v>14</v>
      </c>
      <c r="Q3483" s="18">
        <v>1</v>
      </c>
      <c r="R3483" s="13">
        <v>42182</v>
      </c>
      <c r="S3483" s="21">
        <v>8.9499999999999993</v>
      </c>
      <c r="T3483" s="22">
        <v>0.8</v>
      </c>
      <c r="U3483" s="22">
        <v>0.77</v>
      </c>
      <c r="V3483" s="22">
        <f>4.19/5</f>
        <v>0.83800000000000008</v>
      </c>
      <c r="AB3483" s="18">
        <f t="shared" si="108"/>
        <v>2014</v>
      </c>
      <c r="AC3483" s="22">
        <f t="shared" si="109"/>
        <v>0.80266666666666675</v>
      </c>
    </row>
    <row r="3484" spans="1:29" ht="25.5">
      <c r="A3484" s="8" t="s">
        <v>5383</v>
      </c>
      <c r="B3484" s="17" t="s">
        <v>7800</v>
      </c>
      <c r="C3484" s="13">
        <v>41907</v>
      </c>
      <c r="D3484" s="13" t="s">
        <v>8465</v>
      </c>
      <c r="E3484" s="10" t="s">
        <v>5384</v>
      </c>
      <c r="F3484" s="10" t="s">
        <v>5384</v>
      </c>
      <c r="H3484" s="2" t="s">
        <v>67</v>
      </c>
      <c r="L3484" s="18">
        <v>1</v>
      </c>
      <c r="N3484" s="13">
        <v>42175</v>
      </c>
      <c r="O3484" s="29">
        <v>6.79</v>
      </c>
      <c r="P3484" s="18" t="s">
        <v>1107</v>
      </c>
      <c r="Q3484" s="18">
        <v>1</v>
      </c>
      <c r="R3484" s="13">
        <v>42298</v>
      </c>
      <c r="S3484" s="21">
        <v>2.97</v>
      </c>
      <c r="T3484" s="22">
        <v>0.8</v>
      </c>
      <c r="U3484" s="22">
        <v>0.81</v>
      </c>
      <c r="V3484" s="22">
        <f>3.53/5</f>
        <v>0.70599999999999996</v>
      </c>
      <c r="W3484" s="14" t="s">
        <v>7777</v>
      </c>
      <c r="AB3484" s="18">
        <f t="shared" si="108"/>
        <v>2014</v>
      </c>
      <c r="AC3484" s="22">
        <f t="shared" si="109"/>
        <v>0.77199999999999991</v>
      </c>
    </row>
    <row r="3485" spans="1:29">
      <c r="A3485" s="8" t="s">
        <v>6113</v>
      </c>
      <c r="B3485" s="17" t="s">
        <v>7760</v>
      </c>
      <c r="C3485" s="13">
        <v>41891</v>
      </c>
      <c r="D3485" s="13" t="s">
        <v>8465</v>
      </c>
      <c r="E3485" s="10" t="s">
        <v>1273</v>
      </c>
      <c r="F3485" s="10" t="s">
        <v>6114</v>
      </c>
      <c r="G3485" s="11" t="s">
        <v>6113</v>
      </c>
      <c r="H3485" s="2" t="s">
        <v>1050</v>
      </c>
      <c r="L3485" s="18">
        <v>1</v>
      </c>
      <c r="M3485" s="14" t="s">
        <v>8462</v>
      </c>
      <c r="N3485" s="13">
        <v>43513</v>
      </c>
      <c r="O3485" s="29">
        <v>12.99</v>
      </c>
      <c r="P3485" s="18" t="s">
        <v>14</v>
      </c>
      <c r="Q3485" s="18">
        <v>1</v>
      </c>
      <c r="R3485" s="13">
        <v>44829</v>
      </c>
      <c r="S3485" s="21">
        <v>7</v>
      </c>
      <c r="T3485" s="22">
        <v>0.7</v>
      </c>
      <c r="U3485" s="22">
        <v>0.77</v>
      </c>
      <c r="V3485" s="22">
        <f>3.63/5</f>
        <v>0.72599999999999998</v>
      </c>
      <c r="AB3485" s="18">
        <f t="shared" si="108"/>
        <v>2014</v>
      </c>
      <c r="AC3485" s="22">
        <f t="shared" si="109"/>
        <v>0.73199999999999987</v>
      </c>
    </row>
    <row r="3486" spans="1:29">
      <c r="A3486" s="8" t="s">
        <v>2436</v>
      </c>
      <c r="B3486" s="17" t="s">
        <v>7749</v>
      </c>
      <c r="C3486" s="13">
        <v>41880</v>
      </c>
      <c r="D3486" s="13" t="s">
        <v>8465</v>
      </c>
      <c r="E3486" s="10" t="s">
        <v>1070</v>
      </c>
      <c r="F3486" s="10" t="s">
        <v>1070</v>
      </c>
      <c r="G3486" s="11" t="s">
        <v>2477</v>
      </c>
      <c r="H3486" s="2" t="s">
        <v>64</v>
      </c>
      <c r="L3486" s="18">
        <v>1</v>
      </c>
      <c r="N3486" s="13">
        <v>42113</v>
      </c>
      <c r="O3486" s="29">
        <v>2.79</v>
      </c>
      <c r="P3486" s="18" t="s">
        <v>1107</v>
      </c>
      <c r="Q3486" s="18">
        <v>1</v>
      </c>
      <c r="R3486" s="13">
        <v>42190</v>
      </c>
      <c r="S3486" s="21">
        <v>0.48</v>
      </c>
      <c r="T3486" s="22">
        <v>0.7</v>
      </c>
      <c r="U3486" s="22">
        <v>0.66</v>
      </c>
      <c r="V3486" s="22">
        <f>3.55/5</f>
        <v>0.71</v>
      </c>
      <c r="AB3486" s="18">
        <f t="shared" si="108"/>
        <v>2014</v>
      </c>
      <c r="AC3486" s="22">
        <f t="shared" si="109"/>
        <v>0.69</v>
      </c>
    </row>
    <row r="3487" spans="1:29">
      <c r="A3487" s="8" t="s">
        <v>5210</v>
      </c>
      <c r="B3487" s="17" t="s">
        <v>7800</v>
      </c>
      <c r="C3487" s="13">
        <v>41876</v>
      </c>
      <c r="D3487" s="13" t="s">
        <v>8465</v>
      </c>
      <c r="E3487" s="10" t="s">
        <v>3507</v>
      </c>
      <c r="F3487" s="10" t="s">
        <v>3507</v>
      </c>
      <c r="H3487" s="2" t="s">
        <v>56</v>
      </c>
      <c r="L3487" s="18">
        <v>1</v>
      </c>
      <c r="N3487" s="13">
        <v>42000</v>
      </c>
      <c r="O3487" s="29">
        <v>5.09</v>
      </c>
      <c r="P3487" s="18" t="s">
        <v>1107</v>
      </c>
      <c r="Q3487" s="18">
        <v>1</v>
      </c>
      <c r="R3487" s="13">
        <v>42350</v>
      </c>
      <c r="S3487" s="21">
        <v>8.9</v>
      </c>
      <c r="T3487" s="22">
        <v>0.8</v>
      </c>
      <c r="U3487" s="22">
        <v>0.9</v>
      </c>
      <c r="V3487" s="22">
        <f>3.48/5</f>
        <v>0.69599999999999995</v>
      </c>
      <c r="W3487" s="14" t="s">
        <v>7777</v>
      </c>
      <c r="AB3487" s="18">
        <f t="shared" si="108"/>
        <v>2014</v>
      </c>
      <c r="AC3487" s="22">
        <f t="shared" si="109"/>
        <v>0.79866666666666664</v>
      </c>
    </row>
    <row r="3488" spans="1:29" ht="38.25">
      <c r="A3488" s="8" t="s">
        <v>4044</v>
      </c>
      <c r="B3488" s="17" t="s">
        <v>7800</v>
      </c>
      <c r="C3488" s="13">
        <v>41872</v>
      </c>
      <c r="D3488" s="13" t="s">
        <v>8465</v>
      </c>
      <c r="E3488" s="10" t="s">
        <v>4045</v>
      </c>
      <c r="F3488" s="10" t="s">
        <v>4045</v>
      </c>
      <c r="G3488" s="11" t="s">
        <v>4046</v>
      </c>
      <c r="H3488" s="2" t="s">
        <v>151</v>
      </c>
      <c r="L3488" s="18">
        <v>1</v>
      </c>
      <c r="N3488" s="13">
        <v>42129</v>
      </c>
      <c r="P3488" s="18" t="s">
        <v>1107</v>
      </c>
      <c r="Q3488" s="18">
        <v>1</v>
      </c>
      <c r="R3488" s="13">
        <v>45089</v>
      </c>
      <c r="S3488" s="21">
        <f>5+57/60</f>
        <v>5.95</v>
      </c>
      <c r="T3488" s="22">
        <v>0.7</v>
      </c>
      <c r="U3488" s="22">
        <v>0.8</v>
      </c>
      <c r="V3488" s="22">
        <f>3.87/5</f>
        <v>0.77400000000000002</v>
      </c>
      <c r="W3488" s="14" t="s">
        <v>7777</v>
      </c>
      <c r="AB3488" s="18">
        <f t="shared" si="108"/>
        <v>2014</v>
      </c>
      <c r="AC3488" s="22">
        <f t="shared" si="109"/>
        <v>0.75800000000000001</v>
      </c>
    </row>
    <row r="3489" spans="1:29">
      <c r="A3489" s="8" t="s">
        <v>5671</v>
      </c>
      <c r="B3489" s="17" t="s">
        <v>7800</v>
      </c>
      <c r="C3489" s="13">
        <v>41856</v>
      </c>
      <c r="D3489" s="13" t="s">
        <v>8465</v>
      </c>
      <c r="E3489" s="10" t="s">
        <v>3063</v>
      </c>
      <c r="F3489" s="10" t="s">
        <v>3368</v>
      </c>
      <c r="G3489" s="11" t="s">
        <v>3367</v>
      </c>
      <c r="H3489" s="2" t="s">
        <v>143</v>
      </c>
      <c r="L3489" s="18">
        <v>1</v>
      </c>
      <c r="N3489" s="13">
        <v>41858</v>
      </c>
      <c r="O3489" s="29">
        <v>0</v>
      </c>
      <c r="P3489" s="18" t="s">
        <v>1107</v>
      </c>
      <c r="Q3489" s="18">
        <v>1</v>
      </c>
      <c r="R3489" s="13">
        <v>41859</v>
      </c>
      <c r="S3489" s="21">
        <v>1.08</v>
      </c>
      <c r="T3489" s="22">
        <v>0.8</v>
      </c>
      <c r="V3489" s="22">
        <f>3.58/5</f>
        <v>0.71599999999999997</v>
      </c>
      <c r="W3489" s="14" t="s">
        <v>7777</v>
      </c>
      <c r="AB3489" s="18">
        <f t="shared" si="108"/>
        <v>2014</v>
      </c>
      <c r="AC3489" s="22">
        <f t="shared" si="109"/>
        <v>0.75800000000000001</v>
      </c>
    </row>
    <row r="3490" spans="1:29" ht="30">
      <c r="A3490" s="8" t="s">
        <v>6167</v>
      </c>
      <c r="B3490" s="17" t="s">
        <v>7760</v>
      </c>
      <c r="C3490" s="13">
        <v>41849</v>
      </c>
      <c r="D3490" s="13" t="s">
        <v>8465</v>
      </c>
      <c r="E3490" s="10" t="s">
        <v>2908</v>
      </c>
      <c r="F3490" s="10" t="s">
        <v>2646</v>
      </c>
      <c r="G3490" s="11" t="s">
        <v>6064</v>
      </c>
      <c r="H3490" s="2" t="s">
        <v>80</v>
      </c>
      <c r="L3490" s="18">
        <v>1</v>
      </c>
      <c r="M3490" s="14" t="s">
        <v>8462</v>
      </c>
      <c r="P3490" s="18" t="s">
        <v>14</v>
      </c>
      <c r="Q3490" s="18">
        <v>1</v>
      </c>
      <c r="R3490" s="13">
        <v>43184</v>
      </c>
      <c r="S3490" s="21">
        <v>15</v>
      </c>
      <c r="T3490" s="22">
        <v>0.9</v>
      </c>
      <c r="U3490" s="22">
        <v>0.96</v>
      </c>
      <c r="V3490" s="22">
        <f>4.36/5</f>
        <v>0.87200000000000011</v>
      </c>
      <c r="AB3490" s="18">
        <f t="shared" si="108"/>
        <v>2014</v>
      </c>
      <c r="AC3490" s="22">
        <f t="shared" si="109"/>
        <v>0.91066666666666674</v>
      </c>
    </row>
    <row r="3491" spans="1:29">
      <c r="A3491" s="8" t="s">
        <v>4988</v>
      </c>
      <c r="B3491" s="17" t="s">
        <v>7800</v>
      </c>
      <c r="C3491" s="13">
        <v>41816</v>
      </c>
      <c r="D3491" s="13" t="s">
        <v>8465</v>
      </c>
      <c r="E3491" s="10" t="s">
        <v>4989</v>
      </c>
      <c r="F3491" s="10" t="s">
        <v>4989</v>
      </c>
      <c r="G3491" s="11" t="s">
        <v>4988</v>
      </c>
      <c r="H3491" s="2" t="s">
        <v>56</v>
      </c>
      <c r="L3491" s="18">
        <v>1</v>
      </c>
      <c r="N3491" s="13">
        <v>42000</v>
      </c>
      <c r="O3491" s="29">
        <v>10.039999999999999</v>
      </c>
      <c r="P3491" s="18" t="s">
        <v>1107</v>
      </c>
      <c r="Q3491" s="18">
        <v>1</v>
      </c>
      <c r="R3491" s="13">
        <v>42008</v>
      </c>
      <c r="S3491" s="21">
        <v>5.73</v>
      </c>
      <c r="T3491" s="22">
        <v>0.9</v>
      </c>
      <c r="U3491" s="22">
        <v>0.87</v>
      </c>
      <c r="V3491" s="22">
        <f>4.19/5</f>
        <v>0.83800000000000008</v>
      </c>
      <c r="W3491" s="14" t="s">
        <v>7777</v>
      </c>
      <c r="AB3491" s="18">
        <f t="shared" si="108"/>
        <v>2014</v>
      </c>
      <c r="AC3491" s="22">
        <f t="shared" si="109"/>
        <v>0.8693333333333334</v>
      </c>
    </row>
    <row r="3492" spans="1:29" ht="25.5">
      <c r="A3492" s="8" t="s">
        <v>3504</v>
      </c>
      <c r="B3492" s="17" t="s">
        <v>7800</v>
      </c>
      <c r="C3492" s="13">
        <v>41796</v>
      </c>
      <c r="D3492" s="13" t="s">
        <v>8465</v>
      </c>
      <c r="E3492" s="10" t="s">
        <v>3467</v>
      </c>
      <c r="F3492" s="10" t="s">
        <v>3505</v>
      </c>
      <c r="H3492" s="2" t="s">
        <v>21</v>
      </c>
      <c r="L3492" s="18">
        <v>1</v>
      </c>
      <c r="N3492" s="13">
        <v>42050</v>
      </c>
      <c r="O3492" s="29">
        <v>1.45</v>
      </c>
      <c r="P3492" s="18" t="s">
        <v>1107</v>
      </c>
      <c r="Q3492" s="18">
        <v>1</v>
      </c>
      <c r="R3492" s="13">
        <v>42253</v>
      </c>
      <c r="S3492" s="21">
        <v>0.83</v>
      </c>
      <c r="T3492" s="22">
        <v>0.8</v>
      </c>
      <c r="U3492" s="22">
        <v>0.83</v>
      </c>
      <c r="V3492" s="22">
        <f>4.1/5</f>
        <v>0.82</v>
      </c>
      <c r="W3492" s="14" t="s">
        <v>7777</v>
      </c>
      <c r="AB3492" s="18">
        <f t="shared" si="108"/>
        <v>2014</v>
      </c>
      <c r="AC3492" s="22">
        <f t="shared" si="109"/>
        <v>0.81666666666666654</v>
      </c>
    </row>
    <row r="3493" spans="1:29">
      <c r="A3493" s="8" t="s">
        <v>1110</v>
      </c>
      <c r="B3493" s="17" t="s">
        <v>7743</v>
      </c>
      <c r="C3493" s="13">
        <v>41789</v>
      </c>
      <c r="D3493" s="13" t="s">
        <v>8465</v>
      </c>
      <c r="E3493" s="10" t="s">
        <v>86</v>
      </c>
      <c r="F3493" s="10" t="s">
        <v>87</v>
      </c>
      <c r="G3493" s="11" t="s">
        <v>1135</v>
      </c>
      <c r="H3493" s="2" t="s">
        <v>150</v>
      </c>
      <c r="L3493" s="18">
        <v>1</v>
      </c>
      <c r="M3493" s="14" t="s">
        <v>8462</v>
      </c>
      <c r="N3493" s="13">
        <v>41803</v>
      </c>
      <c r="O3493" s="29">
        <v>52.44</v>
      </c>
      <c r="P3493" s="18" t="s">
        <v>14</v>
      </c>
      <c r="Q3493" s="18">
        <v>1</v>
      </c>
      <c r="R3493" s="13">
        <v>41820</v>
      </c>
      <c r="S3493" s="21">
        <v>20.87</v>
      </c>
      <c r="T3493" s="22">
        <v>0.9</v>
      </c>
      <c r="U3493" s="22">
        <v>0.88</v>
      </c>
      <c r="V3493" s="22">
        <f>4.35/5</f>
        <v>0.86999999999999988</v>
      </c>
      <c r="AB3493" s="18">
        <f t="shared" si="108"/>
        <v>2014</v>
      </c>
      <c r="AC3493" s="22">
        <f t="shared" si="109"/>
        <v>0.8833333333333333</v>
      </c>
    </row>
    <row r="3494" spans="1:29">
      <c r="A3494" s="8" t="s">
        <v>5546</v>
      </c>
      <c r="B3494" s="17" t="s">
        <v>7800</v>
      </c>
      <c r="C3494" s="13">
        <v>41786</v>
      </c>
      <c r="D3494" s="13" t="s">
        <v>8465</v>
      </c>
      <c r="E3494" s="10" t="s">
        <v>1047</v>
      </c>
      <c r="F3494" s="10" t="s">
        <v>1048</v>
      </c>
      <c r="G3494" s="11" t="s">
        <v>5546</v>
      </c>
      <c r="H3494" s="2" t="s">
        <v>80</v>
      </c>
      <c r="L3494" s="18">
        <v>1</v>
      </c>
      <c r="N3494" s="13">
        <v>42100</v>
      </c>
      <c r="O3494" s="29">
        <v>20</v>
      </c>
      <c r="P3494" s="18" t="s">
        <v>1107</v>
      </c>
      <c r="Q3494" s="18">
        <v>1</v>
      </c>
      <c r="R3494" s="13">
        <v>45125</v>
      </c>
      <c r="T3494" s="22">
        <v>0.4</v>
      </c>
      <c r="U3494" s="22">
        <v>0.76</v>
      </c>
      <c r="V3494" s="22">
        <f>3.32/5</f>
        <v>0.66399999999999992</v>
      </c>
      <c r="W3494" s="14" t="s">
        <v>7798</v>
      </c>
      <c r="AB3494" s="18">
        <f t="shared" si="108"/>
        <v>2014</v>
      </c>
      <c r="AC3494" s="22">
        <f t="shared" si="109"/>
        <v>0.60799999999999998</v>
      </c>
    </row>
    <row r="3495" spans="1:29" ht="30">
      <c r="A3495" s="8" t="s">
        <v>9343</v>
      </c>
      <c r="B3495" s="17" t="s">
        <v>7763</v>
      </c>
      <c r="C3495" s="13">
        <v>41786</v>
      </c>
      <c r="D3495" s="13" t="s">
        <v>8465</v>
      </c>
      <c r="E3495" s="10" t="s">
        <v>1680</v>
      </c>
      <c r="F3495" s="10" t="s">
        <v>3861</v>
      </c>
      <c r="G3495" s="11" t="s">
        <v>9103</v>
      </c>
      <c r="H3495" s="2" t="s">
        <v>3411</v>
      </c>
      <c r="L3495" s="18">
        <v>1</v>
      </c>
      <c r="N3495" s="13">
        <v>44101</v>
      </c>
      <c r="O3495" s="29">
        <v>9.99</v>
      </c>
      <c r="P3495" s="18" t="s">
        <v>1107</v>
      </c>
      <c r="Q3495" s="18">
        <v>1</v>
      </c>
      <c r="R3495" s="13">
        <v>44730</v>
      </c>
      <c r="S3495" s="21">
        <f>16+33/60</f>
        <v>16.55</v>
      </c>
      <c r="T3495" s="22">
        <v>0.6</v>
      </c>
      <c r="U3495" s="22">
        <v>0.67</v>
      </c>
      <c r="V3495" s="22">
        <f>3.86/5</f>
        <v>0.77200000000000002</v>
      </c>
      <c r="AB3495" s="18">
        <f t="shared" si="108"/>
        <v>2014</v>
      </c>
      <c r="AC3495" s="22">
        <f t="shared" si="109"/>
        <v>0.68066666666666664</v>
      </c>
    </row>
    <row r="3496" spans="1:29" ht="45">
      <c r="A3496" s="8" t="s">
        <v>5319</v>
      </c>
      <c r="B3496" s="17" t="s">
        <v>7800</v>
      </c>
      <c r="C3496" s="13">
        <v>41781</v>
      </c>
      <c r="D3496" s="13" t="s">
        <v>8465</v>
      </c>
      <c r="E3496" s="10" t="s">
        <v>5318</v>
      </c>
      <c r="F3496" s="10" t="s">
        <v>5318</v>
      </c>
      <c r="G3496" s="11" t="s">
        <v>5317</v>
      </c>
      <c r="H3496" s="2" t="s">
        <v>171</v>
      </c>
      <c r="L3496" s="18">
        <v>1</v>
      </c>
      <c r="N3496" s="13">
        <v>41967</v>
      </c>
      <c r="O3496" s="29">
        <v>5.0999999999999996</v>
      </c>
      <c r="P3496" s="18" t="s">
        <v>1107</v>
      </c>
      <c r="Q3496" s="18">
        <v>1</v>
      </c>
      <c r="R3496" s="13">
        <v>43286</v>
      </c>
      <c r="S3496" s="21">
        <v>11.27</v>
      </c>
      <c r="T3496" s="22">
        <v>0.7</v>
      </c>
      <c r="U3496" s="22">
        <v>0.8</v>
      </c>
      <c r="V3496" s="22">
        <f>3.38/5</f>
        <v>0.67599999999999993</v>
      </c>
      <c r="W3496" s="14" t="s">
        <v>7777</v>
      </c>
      <c r="AB3496" s="18">
        <f t="shared" si="108"/>
        <v>2014</v>
      </c>
      <c r="AC3496" s="22">
        <f t="shared" si="109"/>
        <v>0.72533333333333339</v>
      </c>
    </row>
    <row r="3497" spans="1:29">
      <c r="A3497" s="8" t="s">
        <v>3200</v>
      </c>
      <c r="B3497" s="17" t="s">
        <v>7800</v>
      </c>
      <c r="C3497" s="13">
        <v>41781</v>
      </c>
      <c r="D3497" s="13" t="s">
        <v>8465</v>
      </c>
      <c r="E3497" s="10" t="s">
        <v>3201</v>
      </c>
      <c r="F3497" s="10" t="s">
        <v>3201</v>
      </c>
      <c r="H3497" s="2" t="s">
        <v>1334</v>
      </c>
      <c r="L3497" s="18">
        <v>1</v>
      </c>
      <c r="N3497" s="13">
        <v>42338</v>
      </c>
      <c r="O3497" s="29">
        <v>2.4900000000000002</v>
      </c>
      <c r="P3497" s="18" t="s">
        <v>1107</v>
      </c>
      <c r="Q3497" s="18">
        <v>1</v>
      </c>
      <c r="R3497" s="13">
        <v>43355</v>
      </c>
      <c r="S3497" s="21">
        <v>4.2300000000000004</v>
      </c>
      <c r="T3497" s="22">
        <v>0.5</v>
      </c>
      <c r="V3497" s="22">
        <f>4.25/5</f>
        <v>0.85</v>
      </c>
      <c r="W3497" s="14" t="s">
        <v>7777</v>
      </c>
      <c r="AB3497" s="18">
        <f t="shared" si="108"/>
        <v>2014</v>
      </c>
      <c r="AC3497" s="22">
        <f t="shared" si="109"/>
        <v>0.67500000000000004</v>
      </c>
    </row>
    <row r="3498" spans="1:29">
      <c r="A3498" s="8" t="s">
        <v>5463</v>
      </c>
      <c r="B3498" s="17" t="s">
        <v>7800</v>
      </c>
      <c r="C3498" s="13">
        <v>41779</v>
      </c>
      <c r="D3498" s="13" t="s">
        <v>8465</v>
      </c>
      <c r="E3498" s="10" t="s">
        <v>3261</v>
      </c>
      <c r="F3498" s="10" t="s">
        <v>3261</v>
      </c>
      <c r="H3498" s="2" t="s">
        <v>171</v>
      </c>
      <c r="L3498" s="18">
        <v>1</v>
      </c>
      <c r="N3498" s="13">
        <v>41973</v>
      </c>
      <c r="O3498" s="29">
        <v>9.99</v>
      </c>
      <c r="P3498" s="18" t="s">
        <v>1107</v>
      </c>
      <c r="Q3498" s="18">
        <v>1</v>
      </c>
      <c r="R3498" s="13">
        <v>41983</v>
      </c>
      <c r="S3498" s="21">
        <v>4.3</v>
      </c>
      <c r="T3498" s="22">
        <v>0.9</v>
      </c>
      <c r="U3498" s="22">
        <v>0.84</v>
      </c>
      <c r="V3498" s="22">
        <f>3.97/5</f>
        <v>0.79400000000000004</v>
      </c>
      <c r="W3498" s="14" t="s">
        <v>7777</v>
      </c>
      <c r="AB3498" s="18">
        <f t="shared" si="108"/>
        <v>2014</v>
      </c>
      <c r="AC3498" s="22">
        <f t="shared" si="109"/>
        <v>0.84466666666666657</v>
      </c>
    </row>
    <row r="3499" spans="1:29" ht="25.5">
      <c r="A3499" s="8" t="s">
        <v>5571</v>
      </c>
      <c r="B3499" s="17" t="s">
        <v>7800</v>
      </c>
      <c r="C3499" s="13">
        <v>41778</v>
      </c>
      <c r="D3499" s="13" t="s">
        <v>8465</v>
      </c>
      <c r="E3499" s="10" t="s">
        <v>1690</v>
      </c>
      <c r="F3499" s="10" t="s">
        <v>1723</v>
      </c>
      <c r="G3499" s="11" t="s">
        <v>1724</v>
      </c>
      <c r="H3499" s="2" t="s">
        <v>1050</v>
      </c>
      <c r="L3499" s="18">
        <v>1</v>
      </c>
      <c r="N3499" s="13">
        <v>41997</v>
      </c>
      <c r="O3499" s="29">
        <v>15.24</v>
      </c>
      <c r="P3499" s="18" t="s">
        <v>1107</v>
      </c>
      <c r="Q3499" s="18">
        <v>1</v>
      </c>
      <c r="R3499" s="13">
        <v>42021</v>
      </c>
      <c r="S3499" s="21">
        <v>8.7200000000000006</v>
      </c>
      <c r="T3499" s="22">
        <v>0.8</v>
      </c>
      <c r="U3499" s="22">
        <v>0.84</v>
      </c>
      <c r="V3499" s="22">
        <f>3.89/5</f>
        <v>0.77800000000000002</v>
      </c>
      <c r="W3499" s="14" t="s">
        <v>7777</v>
      </c>
      <c r="AB3499" s="18">
        <f t="shared" si="108"/>
        <v>2014</v>
      </c>
      <c r="AC3499" s="22">
        <f t="shared" si="109"/>
        <v>0.80600000000000005</v>
      </c>
    </row>
    <row r="3500" spans="1:29">
      <c r="A3500" s="8" t="s">
        <v>4325</v>
      </c>
      <c r="B3500" s="17" t="s">
        <v>7800</v>
      </c>
      <c r="C3500" s="13">
        <v>41768</v>
      </c>
      <c r="D3500" s="13" t="s">
        <v>8465</v>
      </c>
      <c r="E3500" s="10" t="s">
        <v>4326</v>
      </c>
      <c r="F3500" s="10" t="s">
        <v>4326</v>
      </c>
      <c r="H3500" s="2" t="s">
        <v>80</v>
      </c>
      <c r="L3500" s="18">
        <v>1</v>
      </c>
      <c r="N3500" s="13">
        <v>41855</v>
      </c>
      <c r="P3500" s="18" t="s">
        <v>1107</v>
      </c>
      <c r="Q3500" s="18">
        <v>1</v>
      </c>
      <c r="R3500" s="13">
        <v>42346</v>
      </c>
      <c r="S3500" s="21">
        <v>3.6</v>
      </c>
      <c r="T3500" s="22">
        <v>0.7</v>
      </c>
      <c r="U3500" s="22">
        <v>0.3</v>
      </c>
      <c r="V3500" s="22">
        <f>3.3/5</f>
        <v>0.65999999999999992</v>
      </c>
      <c r="W3500" s="14" t="s">
        <v>7777</v>
      </c>
      <c r="AB3500" s="18">
        <f t="shared" si="108"/>
        <v>2014</v>
      </c>
      <c r="AC3500" s="22">
        <f t="shared" si="109"/>
        <v>0.55333333333333334</v>
      </c>
    </row>
    <row r="3501" spans="1:29">
      <c r="A3501" s="8" t="s">
        <v>10263</v>
      </c>
      <c r="B3501" s="17" t="s">
        <v>7749</v>
      </c>
      <c r="C3501" s="13">
        <v>41760</v>
      </c>
      <c r="D3501" s="13" t="s">
        <v>8465</v>
      </c>
      <c r="E3501" s="10" t="s">
        <v>1794</v>
      </c>
      <c r="F3501" s="10" t="s">
        <v>1794</v>
      </c>
      <c r="G3501" s="11" t="s">
        <v>10286</v>
      </c>
      <c r="H3501" s="2" t="s">
        <v>78</v>
      </c>
      <c r="L3501" s="18">
        <v>1</v>
      </c>
      <c r="N3501" s="13">
        <v>44624</v>
      </c>
      <c r="O3501" s="29">
        <v>5.99</v>
      </c>
      <c r="P3501" s="18" t="s">
        <v>1107</v>
      </c>
      <c r="Q3501" s="18">
        <v>1</v>
      </c>
      <c r="R3501" s="13">
        <v>44656</v>
      </c>
      <c r="S3501" s="21">
        <f>17+48/60</f>
        <v>17.8</v>
      </c>
      <c r="T3501" s="22">
        <v>0.8</v>
      </c>
      <c r="U3501" s="22">
        <v>0.68</v>
      </c>
      <c r="V3501" s="22">
        <f>4.03/5</f>
        <v>0.80600000000000005</v>
      </c>
      <c r="AB3501" s="18">
        <f t="shared" si="108"/>
        <v>2014</v>
      </c>
      <c r="AC3501" s="22">
        <f t="shared" si="109"/>
        <v>0.76200000000000001</v>
      </c>
    </row>
    <row r="3502" spans="1:29">
      <c r="A3502" s="8" t="s">
        <v>3440</v>
      </c>
      <c r="B3502" s="17" t="s">
        <v>7800</v>
      </c>
      <c r="C3502" s="13">
        <v>41758</v>
      </c>
      <c r="D3502" s="13" t="s">
        <v>8465</v>
      </c>
      <c r="E3502" s="10" t="s">
        <v>1047</v>
      </c>
      <c r="F3502" s="10" t="s">
        <v>1048</v>
      </c>
      <c r="H3502" s="2" t="s">
        <v>149</v>
      </c>
      <c r="L3502" s="18">
        <v>1</v>
      </c>
      <c r="N3502" s="13">
        <v>41974</v>
      </c>
      <c r="O3502" s="29">
        <v>5.99</v>
      </c>
      <c r="P3502" s="18" t="s">
        <v>1107</v>
      </c>
      <c r="Q3502" s="18">
        <v>1</v>
      </c>
      <c r="R3502" s="13">
        <v>42218</v>
      </c>
      <c r="S3502" s="21">
        <v>11.68</v>
      </c>
      <c r="T3502" s="22">
        <v>0.8</v>
      </c>
      <c r="U3502" s="22">
        <v>0.76</v>
      </c>
      <c r="V3502" s="22">
        <f>4.02/5</f>
        <v>0.80399999999999994</v>
      </c>
      <c r="W3502" s="14" t="s">
        <v>7777</v>
      </c>
      <c r="AB3502" s="18">
        <f t="shared" si="108"/>
        <v>2014</v>
      </c>
      <c r="AC3502" s="22">
        <f t="shared" si="109"/>
        <v>0.78799999999999992</v>
      </c>
    </row>
    <row r="3503" spans="1:29" ht="30">
      <c r="A3503" s="8" t="s">
        <v>3565</v>
      </c>
      <c r="B3503" s="17" t="s">
        <v>7800</v>
      </c>
      <c r="C3503" s="13">
        <v>41754</v>
      </c>
      <c r="D3503" s="13" t="s">
        <v>8465</v>
      </c>
      <c r="E3503" s="10" t="s">
        <v>1604</v>
      </c>
      <c r="F3503" s="10" t="s">
        <v>1580</v>
      </c>
      <c r="G3503" s="11" t="s">
        <v>3566</v>
      </c>
      <c r="H3503" s="2" t="s">
        <v>171</v>
      </c>
      <c r="L3503" s="18">
        <v>1</v>
      </c>
      <c r="N3503" s="13">
        <v>41754</v>
      </c>
      <c r="O3503" s="29">
        <v>49.79</v>
      </c>
      <c r="P3503" s="18" t="s">
        <v>1107</v>
      </c>
      <c r="Q3503" s="18">
        <v>1</v>
      </c>
      <c r="R3503" s="13">
        <v>41774</v>
      </c>
      <c r="S3503" s="21">
        <v>30.72</v>
      </c>
      <c r="T3503" s="22">
        <v>1</v>
      </c>
      <c r="U3503" s="22">
        <v>0.88</v>
      </c>
      <c r="V3503" s="22">
        <f>4.06/5</f>
        <v>0.81199999999999994</v>
      </c>
      <c r="W3503" s="14" t="s">
        <v>7777</v>
      </c>
      <c r="AB3503" s="18">
        <f t="shared" si="108"/>
        <v>2014</v>
      </c>
      <c r="AC3503" s="22">
        <f t="shared" si="109"/>
        <v>0.89733333333333321</v>
      </c>
    </row>
    <row r="3504" spans="1:29">
      <c r="A3504" s="8" t="s">
        <v>7308</v>
      </c>
      <c r="B3504" s="17" t="s">
        <v>7783</v>
      </c>
      <c r="C3504" s="13">
        <v>41746</v>
      </c>
      <c r="D3504" s="13" t="s">
        <v>8465</v>
      </c>
      <c r="E3504" s="10" t="s">
        <v>1082</v>
      </c>
      <c r="F3504" s="10" t="s">
        <v>4275</v>
      </c>
      <c r="G3504" s="11" t="s">
        <v>4117</v>
      </c>
      <c r="H3504" s="2" t="s">
        <v>78</v>
      </c>
      <c r="L3504" s="18">
        <v>1</v>
      </c>
      <c r="N3504" s="13">
        <v>41888</v>
      </c>
      <c r="O3504" s="29">
        <v>0</v>
      </c>
      <c r="P3504" s="18" t="s">
        <v>1107</v>
      </c>
      <c r="Q3504" s="18">
        <v>1</v>
      </c>
      <c r="R3504" s="13">
        <v>42372</v>
      </c>
      <c r="T3504" s="22">
        <v>0.8</v>
      </c>
      <c r="U3504" s="22">
        <v>0.81</v>
      </c>
      <c r="V3504" s="22">
        <f>3.8/5</f>
        <v>0.76</v>
      </c>
      <c r="AB3504" s="18">
        <f t="shared" si="108"/>
        <v>2014</v>
      </c>
      <c r="AC3504" s="22">
        <f t="shared" si="109"/>
        <v>0.79</v>
      </c>
    </row>
    <row r="3505" spans="1:29">
      <c r="A3505" s="8" t="s">
        <v>7321</v>
      </c>
      <c r="B3505" s="17" t="s">
        <v>7783</v>
      </c>
      <c r="C3505" s="13">
        <v>41732</v>
      </c>
      <c r="D3505" s="13" t="s">
        <v>8465</v>
      </c>
      <c r="E3505" s="10" t="s">
        <v>8573</v>
      </c>
      <c r="F3505" s="10" t="s">
        <v>8573</v>
      </c>
      <c r="G3505" s="11" t="s">
        <v>7321</v>
      </c>
      <c r="H3505" s="2" t="s">
        <v>78</v>
      </c>
      <c r="L3505" s="18">
        <v>1</v>
      </c>
      <c r="N3505" s="13">
        <v>41832</v>
      </c>
      <c r="O3505" s="29">
        <v>1.99</v>
      </c>
      <c r="P3505" s="18" t="s">
        <v>1107</v>
      </c>
      <c r="Q3505" s="18">
        <v>1</v>
      </c>
      <c r="R3505" s="13">
        <v>41829</v>
      </c>
      <c r="T3505" s="22">
        <v>0.8</v>
      </c>
      <c r="U3505" s="22">
        <v>0.9</v>
      </c>
      <c r="V3505" s="22">
        <f>4.18/5</f>
        <v>0.83599999999999997</v>
      </c>
      <c r="AB3505" s="18">
        <f t="shared" si="108"/>
        <v>2014</v>
      </c>
      <c r="AC3505" s="22">
        <f t="shared" si="109"/>
        <v>0.84533333333333338</v>
      </c>
    </row>
    <row r="3506" spans="1:29" ht="25.5">
      <c r="A3506" s="8" t="s">
        <v>11244</v>
      </c>
      <c r="B3506" s="17" t="s">
        <v>7749</v>
      </c>
      <c r="C3506" s="13">
        <v>41732</v>
      </c>
      <c r="D3506" s="13" t="s">
        <v>8465</v>
      </c>
      <c r="E3506" s="10" t="s">
        <v>86</v>
      </c>
      <c r="F3506" s="10" t="s">
        <v>86</v>
      </c>
      <c r="H3506" s="2" t="s">
        <v>255</v>
      </c>
      <c r="L3506" s="18">
        <v>1</v>
      </c>
      <c r="N3506" s="13">
        <v>44759</v>
      </c>
      <c r="O3506" s="29">
        <f>2+1.9+1.8+1.7+1.6+1</f>
        <v>10</v>
      </c>
      <c r="P3506" s="18" t="s">
        <v>1107</v>
      </c>
      <c r="Q3506" s="18">
        <v>1</v>
      </c>
      <c r="R3506" s="13">
        <v>44759</v>
      </c>
      <c r="S3506" s="21">
        <f>2+4/60</f>
        <v>2.0666666666666669</v>
      </c>
      <c r="T3506" s="22">
        <v>0.6</v>
      </c>
      <c r="U3506" s="22">
        <v>0.74</v>
      </c>
      <c r="V3506" s="22">
        <f>3.37/5</f>
        <v>0.67400000000000004</v>
      </c>
      <c r="AB3506" s="18">
        <f t="shared" si="108"/>
        <v>2014</v>
      </c>
      <c r="AC3506" s="22">
        <f t="shared" si="109"/>
        <v>0.67133333333333323</v>
      </c>
    </row>
    <row r="3507" spans="1:29">
      <c r="A3507" s="8" t="s">
        <v>5136</v>
      </c>
      <c r="B3507" s="17" t="s">
        <v>7800</v>
      </c>
      <c r="C3507" s="13">
        <v>41730</v>
      </c>
      <c r="D3507" s="13" t="s">
        <v>8465</v>
      </c>
      <c r="E3507" s="10" t="s">
        <v>3905</v>
      </c>
      <c r="F3507" s="10" t="s">
        <v>5137</v>
      </c>
      <c r="H3507" s="2" t="s">
        <v>78</v>
      </c>
      <c r="L3507" s="18">
        <v>1</v>
      </c>
      <c r="N3507" s="13">
        <v>42044</v>
      </c>
      <c r="P3507" s="18" t="s">
        <v>1107</v>
      </c>
      <c r="Q3507" s="18">
        <v>1</v>
      </c>
      <c r="R3507" s="13">
        <v>45079</v>
      </c>
      <c r="S3507" s="21">
        <f>44/60</f>
        <v>0.73333333333333328</v>
      </c>
      <c r="T3507" s="22">
        <v>0.2</v>
      </c>
      <c r="V3507" s="22">
        <f>2.38/5</f>
        <v>0.47599999999999998</v>
      </c>
      <c r="W3507" s="14" t="s">
        <v>7777</v>
      </c>
      <c r="AB3507" s="18">
        <f t="shared" si="108"/>
        <v>2014</v>
      </c>
      <c r="AC3507" s="22">
        <f t="shared" si="109"/>
        <v>0.33799999999999997</v>
      </c>
    </row>
    <row r="3508" spans="1:29" ht="25.5">
      <c r="A3508" s="8" t="s">
        <v>6981</v>
      </c>
      <c r="B3508" s="17" t="s">
        <v>7800</v>
      </c>
      <c r="C3508" s="13">
        <v>41723</v>
      </c>
      <c r="D3508" s="13" t="s">
        <v>8465</v>
      </c>
      <c r="E3508" s="10" t="s">
        <v>1296</v>
      </c>
      <c r="F3508" s="10" t="s">
        <v>1296</v>
      </c>
      <c r="G3508" s="11" t="s">
        <v>1589</v>
      </c>
      <c r="H3508" s="2" t="s">
        <v>171</v>
      </c>
      <c r="J3508" s="18">
        <v>1</v>
      </c>
      <c r="L3508" s="18">
        <v>1</v>
      </c>
      <c r="N3508" s="13">
        <v>41734</v>
      </c>
      <c r="O3508" s="29">
        <v>0</v>
      </c>
      <c r="P3508" s="18" t="s">
        <v>1107</v>
      </c>
      <c r="Q3508" s="18">
        <v>1</v>
      </c>
      <c r="R3508" s="13">
        <v>41882</v>
      </c>
      <c r="T3508" s="22">
        <v>0.8</v>
      </c>
      <c r="U3508" s="22">
        <v>0.87</v>
      </c>
      <c r="V3508" s="22">
        <f>4.14/5</f>
        <v>0.82799999999999996</v>
      </c>
      <c r="W3508" s="14" t="s">
        <v>7797</v>
      </c>
      <c r="AB3508" s="18">
        <f t="shared" si="108"/>
        <v>2014</v>
      </c>
      <c r="AC3508" s="22">
        <f t="shared" si="109"/>
        <v>0.83266666666666656</v>
      </c>
    </row>
    <row r="3509" spans="1:29">
      <c r="A3509" s="8" t="s">
        <v>6558</v>
      </c>
      <c r="B3509" s="17" t="s">
        <v>7800</v>
      </c>
      <c r="C3509" s="13">
        <v>41709</v>
      </c>
      <c r="D3509" s="13" t="s">
        <v>8465</v>
      </c>
      <c r="E3509" s="10" t="s">
        <v>231</v>
      </c>
      <c r="F3509" s="10" t="s">
        <v>6559</v>
      </c>
      <c r="G3509" s="11" t="s">
        <v>6558</v>
      </c>
      <c r="H3509" s="2" t="s">
        <v>1050</v>
      </c>
      <c r="L3509" s="18">
        <v>1</v>
      </c>
      <c r="N3509" s="13">
        <v>41709</v>
      </c>
      <c r="O3509" s="29">
        <v>49.99</v>
      </c>
      <c r="P3509" s="18" t="s">
        <v>1107</v>
      </c>
      <c r="Q3509" s="18">
        <v>1</v>
      </c>
      <c r="T3509" s="22">
        <v>0.8</v>
      </c>
      <c r="U3509" s="22">
        <v>0.85</v>
      </c>
      <c r="V3509" s="22">
        <f>3.69/5</f>
        <v>0.73799999999999999</v>
      </c>
      <c r="W3509" s="14" t="s">
        <v>7796</v>
      </c>
      <c r="AB3509" s="18">
        <f t="shared" si="108"/>
        <v>2014</v>
      </c>
      <c r="AC3509" s="22">
        <f t="shared" si="109"/>
        <v>0.79599999999999993</v>
      </c>
    </row>
    <row r="3510" spans="1:29" ht="30">
      <c r="A3510" s="8" t="s">
        <v>920</v>
      </c>
      <c r="B3510" s="17" t="s">
        <v>7800</v>
      </c>
      <c r="C3510" s="13">
        <v>41697</v>
      </c>
      <c r="D3510" s="13" t="s">
        <v>8465</v>
      </c>
      <c r="E3510" s="10" t="s">
        <v>73</v>
      </c>
      <c r="F3510" s="10" t="s">
        <v>1060</v>
      </c>
      <c r="G3510" s="11" t="s">
        <v>943</v>
      </c>
      <c r="H3510" s="2" t="s">
        <v>1061</v>
      </c>
      <c r="L3510" s="18">
        <v>1</v>
      </c>
      <c r="N3510" s="13">
        <v>41973</v>
      </c>
      <c r="O3510" s="29">
        <v>8</v>
      </c>
      <c r="P3510" s="18" t="s">
        <v>1107</v>
      </c>
      <c r="Q3510" s="18">
        <v>1</v>
      </c>
      <c r="R3510" s="13">
        <v>44269</v>
      </c>
      <c r="S3510" s="21">
        <f>12+51/60+48/360</f>
        <v>12.983333333333333</v>
      </c>
      <c r="T3510" s="22">
        <v>0.8</v>
      </c>
      <c r="U3510" s="22">
        <v>0.83</v>
      </c>
      <c r="V3510" s="22">
        <f>4.33/5</f>
        <v>0.86599999999999999</v>
      </c>
      <c r="W3510" s="14" t="s">
        <v>7777</v>
      </c>
      <c r="AB3510" s="18">
        <f t="shared" si="108"/>
        <v>2014</v>
      </c>
      <c r="AC3510" s="22">
        <f t="shared" si="109"/>
        <v>0.83199999999999996</v>
      </c>
    </row>
    <row r="3511" spans="1:29" ht="25.5">
      <c r="A3511" s="8" t="s">
        <v>3225</v>
      </c>
      <c r="B3511" s="17" t="s">
        <v>7800</v>
      </c>
      <c r="C3511" s="13">
        <v>41695</v>
      </c>
      <c r="D3511" s="13" t="s">
        <v>8465</v>
      </c>
      <c r="E3511" s="10" t="s">
        <v>1047</v>
      </c>
      <c r="F3511" s="10" t="s">
        <v>1048</v>
      </c>
      <c r="G3511" s="11" t="s">
        <v>1563</v>
      </c>
      <c r="H3511" s="2" t="s">
        <v>80</v>
      </c>
      <c r="J3511" s="18">
        <v>1</v>
      </c>
      <c r="L3511" s="18">
        <v>1</v>
      </c>
      <c r="N3511" s="13">
        <v>41919</v>
      </c>
      <c r="O3511" s="29">
        <v>5.05</v>
      </c>
      <c r="P3511" s="18" t="s">
        <v>1107</v>
      </c>
      <c r="Q3511" s="18">
        <v>1</v>
      </c>
      <c r="R3511" s="13">
        <v>43668</v>
      </c>
      <c r="S3511" s="21">
        <v>4.25</v>
      </c>
      <c r="T3511" s="22">
        <v>0.7</v>
      </c>
      <c r="U3511" s="22">
        <v>0.69</v>
      </c>
      <c r="V3511" s="22">
        <f>3.34/5</f>
        <v>0.66799999999999993</v>
      </c>
      <c r="W3511" s="14" t="s">
        <v>7777</v>
      </c>
      <c r="AB3511" s="18">
        <f t="shared" si="108"/>
        <v>2014</v>
      </c>
      <c r="AC3511" s="22">
        <f t="shared" si="109"/>
        <v>0.68599999999999994</v>
      </c>
    </row>
    <row r="3512" spans="1:29">
      <c r="A3512" s="8" t="s">
        <v>2630</v>
      </c>
      <c r="B3512" s="17" t="s">
        <v>7800</v>
      </c>
      <c r="C3512" s="13">
        <v>41689</v>
      </c>
      <c r="D3512" s="13" t="s">
        <v>8465</v>
      </c>
      <c r="E3512" s="10" t="s">
        <v>73</v>
      </c>
      <c r="F3512" s="10" t="s">
        <v>5158</v>
      </c>
      <c r="G3512" s="11" t="s">
        <v>2630</v>
      </c>
      <c r="H3512" s="2" t="s">
        <v>151</v>
      </c>
      <c r="L3512" s="18">
        <v>1</v>
      </c>
      <c r="N3512" s="13">
        <v>41836</v>
      </c>
      <c r="O3512" s="29">
        <v>2.89</v>
      </c>
      <c r="P3512" s="18" t="s">
        <v>1107</v>
      </c>
      <c r="Q3512" s="18">
        <v>1</v>
      </c>
      <c r="R3512" s="13">
        <v>42492</v>
      </c>
      <c r="S3512" s="21">
        <v>6.95</v>
      </c>
      <c r="T3512" s="22">
        <v>0.8</v>
      </c>
      <c r="U3512" s="22">
        <v>0.75</v>
      </c>
      <c r="V3512" s="22">
        <f>3.72/5</f>
        <v>0.74399999999999999</v>
      </c>
      <c r="W3512" s="14" t="s">
        <v>7777</v>
      </c>
      <c r="AB3512" s="18">
        <f t="shared" si="108"/>
        <v>2014</v>
      </c>
      <c r="AC3512" s="22">
        <f t="shared" si="109"/>
        <v>0.76466666666666672</v>
      </c>
    </row>
    <row r="3513" spans="1:29">
      <c r="A3513" s="8" t="s">
        <v>4354</v>
      </c>
      <c r="B3513" s="17" t="s">
        <v>7800</v>
      </c>
      <c r="C3513" s="13">
        <v>41677</v>
      </c>
      <c r="D3513" s="13" t="s">
        <v>8465</v>
      </c>
      <c r="E3513" s="10" t="s">
        <v>4355</v>
      </c>
      <c r="F3513" s="10" t="s">
        <v>4355</v>
      </c>
      <c r="G3513" s="11" t="s">
        <v>4354</v>
      </c>
      <c r="H3513" s="2" t="s">
        <v>64</v>
      </c>
      <c r="L3513" s="18">
        <v>1</v>
      </c>
      <c r="N3513" s="13">
        <v>41677</v>
      </c>
      <c r="P3513" s="18" t="s">
        <v>1107</v>
      </c>
      <c r="Q3513" s="18">
        <v>1</v>
      </c>
      <c r="R3513" s="13">
        <v>45206</v>
      </c>
      <c r="S3513" s="21">
        <f>21/60+58/3600</f>
        <v>0.36611111111111111</v>
      </c>
      <c r="T3513" s="22">
        <v>0.5</v>
      </c>
      <c r="U3513" s="22">
        <v>0.6</v>
      </c>
      <c r="V3513" s="22">
        <f>3.27/5</f>
        <v>0.65400000000000003</v>
      </c>
      <c r="W3513" s="14" t="s">
        <v>7777</v>
      </c>
      <c r="AB3513" s="18">
        <f t="shared" si="108"/>
        <v>2014</v>
      </c>
      <c r="AC3513" s="22">
        <f t="shared" si="109"/>
        <v>0.58466666666666667</v>
      </c>
    </row>
    <row r="3514" spans="1:29" ht="30">
      <c r="A3514" s="8" t="s">
        <v>3699</v>
      </c>
      <c r="B3514" s="17" t="s">
        <v>7800</v>
      </c>
      <c r="C3514" s="13">
        <v>41676</v>
      </c>
      <c r="D3514" s="13" t="s">
        <v>8465</v>
      </c>
      <c r="E3514" s="10" t="s">
        <v>1551</v>
      </c>
      <c r="F3514" s="10" t="s">
        <v>1084</v>
      </c>
      <c r="G3514" s="11" t="s">
        <v>111</v>
      </c>
      <c r="H3514" s="2" t="s">
        <v>153</v>
      </c>
      <c r="L3514" s="18">
        <v>1</v>
      </c>
      <c r="N3514" s="13">
        <v>41819</v>
      </c>
      <c r="P3514" s="18" t="s">
        <v>1107</v>
      </c>
      <c r="Q3514" s="18">
        <v>1</v>
      </c>
      <c r="R3514" s="13">
        <v>41866</v>
      </c>
      <c r="S3514" s="21">
        <v>5.27</v>
      </c>
      <c r="T3514" s="22">
        <v>0.8</v>
      </c>
      <c r="U3514" s="22">
        <v>0.85</v>
      </c>
      <c r="V3514" s="22">
        <f>3.49/5</f>
        <v>0.69800000000000006</v>
      </c>
      <c r="W3514" s="14" t="s">
        <v>7777</v>
      </c>
      <c r="AB3514" s="18">
        <f t="shared" si="108"/>
        <v>2014</v>
      </c>
      <c r="AC3514" s="22">
        <f t="shared" si="109"/>
        <v>0.78266666666666662</v>
      </c>
    </row>
    <row r="3515" spans="1:29" ht="25.5">
      <c r="A3515" s="8" t="s">
        <v>4571</v>
      </c>
      <c r="B3515" s="17" t="s">
        <v>7800</v>
      </c>
      <c r="C3515" s="13">
        <v>41669</v>
      </c>
      <c r="D3515" s="13" t="s">
        <v>8465</v>
      </c>
      <c r="E3515" s="10" t="s">
        <v>4572</v>
      </c>
      <c r="F3515" s="10" t="s">
        <v>4572</v>
      </c>
      <c r="H3515" s="2" t="s">
        <v>1334</v>
      </c>
      <c r="L3515" s="18">
        <v>1</v>
      </c>
      <c r="N3515" s="13">
        <v>41827</v>
      </c>
      <c r="O3515" s="29">
        <v>4.99</v>
      </c>
      <c r="P3515" s="18" t="s">
        <v>1107</v>
      </c>
      <c r="Q3515" s="18">
        <v>1</v>
      </c>
      <c r="R3515" s="13">
        <v>41859</v>
      </c>
      <c r="S3515" s="21">
        <v>2.0699999999999998</v>
      </c>
      <c r="T3515" s="22">
        <v>0.7</v>
      </c>
      <c r="U3515" s="22">
        <v>0.71</v>
      </c>
      <c r="V3515" s="22">
        <f>3.68/5</f>
        <v>0.73599999999999999</v>
      </c>
      <c r="W3515" s="14" t="s">
        <v>7777</v>
      </c>
      <c r="AB3515" s="18">
        <f t="shared" si="108"/>
        <v>2014</v>
      </c>
      <c r="AC3515" s="22">
        <f t="shared" si="109"/>
        <v>0.71533333333333327</v>
      </c>
    </row>
    <row r="3516" spans="1:29" ht="25.5">
      <c r="A3516" s="8" t="s">
        <v>6987</v>
      </c>
      <c r="B3516" s="17" t="s">
        <v>7800</v>
      </c>
      <c r="C3516" s="13">
        <v>41654</v>
      </c>
      <c r="D3516" s="13" t="s">
        <v>8465</v>
      </c>
      <c r="E3516" s="10" t="s">
        <v>1047</v>
      </c>
      <c r="F3516" s="10" t="s">
        <v>2473</v>
      </c>
      <c r="G3516" s="11" t="s">
        <v>1563</v>
      </c>
      <c r="H3516" s="2" t="s">
        <v>80</v>
      </c>
      <c r="L3516" s="18">
        <v>1</v>
      </c>
      <c r="N3516" s="13">
        <v>41971</v>
      </c>
      <c r="O3516" s="29">
        <v>4.99</v>
      </c>
      <c r="P3516" s="18" t="s">
        <v>1107</v>
      </c>
      <c r="Q3516" s="18">
        <v>1</v>
      </c>
      <c r="R3516" s="13">
        <v>43667</v>
      </c>
      <c r="S3516" s="21">
        <v>5.19</v>
      </c>
      <c r="T3516" s="22">
        <v>0.5</v>
      </c>
      <c r="U3516" s="22">
        <v>0.66</v>
      </c>
      <c r="V3516" s="22">
        <f>2.96/5</f>
        <v>0.59199999999999997</v>
      </c>
      <c r="W3516" s="14" t="s">
        <v>7798</v>
      </c>
      <c r="AB3516" s="18">
        <f t="shared" si="108"/>
        <v>2014</v>
      </c>
      <c r="AC3516" s="22">
        <f t="shared" si="109"/>
        <v>0.58400000000000007</v>
      </c>
    </row>
    <row r="3517" spans="1:29">
      <c r="A3517" s="8" t="s">
        <v>12582</v>
      </c>
      <c r="B3517" s="17" t="s">
        <v>7800</v>
      </c>
      <c r="C3517" s="13">
        <v>41639</v>
      </c>
      <c r="D3517" s="13" t="s">
        <v>8465</v>
      </c>
      <c r="E3517" s="10" t="s">
        <v>12583</v>
      </c>
      <c r="F3517" s="10" t="s">
        <v>12583</v>
      </c>
      <c r="G3517" s="11" t="s">
        <v>12582</v>
      </c>
      <c r="H3517" s="2" t="s">
        <v>78</v>
      </c>
      <c r="L3517" s="18">
        <v>1</v>
      </c>
      <c r="P3517" s="18" t="s">
        <v>1107</v>
      </c>
      <c r="Q3517" s="18">
        <v>0</v>
      </c>
      <c r="V3517" s="22">
        <f>3.81/5</f>
        <v>0.76200000000000001</v>
      </c>
      <c r="W3517" s="14" t="s">
        <v>7777</v>
      </c>
      <c r="X3517" s="3">
        <v>2</v>
      </c>
      <c r="Z3517" s="23">
        <v>2</v>
      </c>
      <c r="AB3517" s="18">
        <f t="shared" si="108"/>
        <v>2013</v>
      </c>
      <c r="AC3517" s="22">
        <f t="shared" si="109"/>
        <v>0.58099999999999996</v>
      </c>
    </row>
    <row r="3518" spans="1:29">
      <c r="A3518" s="8" t="s">
        <v>11226</v>
      </c>
      <c r="B3518" s="17" t="s">
        <v>7749</v>
      </c>
      <c r="C3518" s="13">
        <v>41627</v>
      </c>
      <c r="D3518" s="13" t="s">
        <v>8465</v>
      </c>
      <c r="E3518" s="10" t="s">
        <v>455</v>
      </c>
      <c r="F3518" s="10" t="s">
        <v>455</v>
      </c>
      <c r="G3518" s="11" t="s">
        <v>2516</v>
      </c>
      <c r="H3518" s="2" t="s">
        <v>153</v>
      </c>
      <c r="L3518" s="18">
        <v>1</v>
      </c>
      <c r="N3518" s="13">
        <v>44652</v>
      </c>
      <c r="O3518" s="29">
        <v>2.99</v>
      </c>
      <c r="P3518" s="18" t="s">
        <v>1107</v>
      </c>
      <c r="Q3518" s="18">
        <v>0</v>
      </c>
      <c r="V3518" s="22">
        <f>3.8/5</f>
        <v>0.76</v>
      </c>
      <c r="X3518" s="3">
        <v>3</v>
      </c>
      <c r="Z3518" s="23">
        <v>1.5</v>
      </c>
      <c r="AB3518" s="18">
        <f t="shared" si="108"/>
        <v>2013</v>
      </c>
      <c r="AC3518" s="22">
        <f t="shared" si="109"/>
        <v>0.67999999999999994</v>
      </c>
    </row>
    <row r="3519" spans="1:29" ht="25.5">
      <c r="A3519" s="8" t="s">
        <v>13742</v>
      </c>
      <c r="B3519" s="17" t="s">
        <v>7749</v>
      </c>
      <c r="C3519" s="13">
        <v>41627</v>
      </c>
      <c r="D3519" s="13" t="s">
        <v>8465</v>
      </c>
      <c r="E3519" s="10" t="s">
        <v>455</v>
      </c>
      <c r="F3519" s="10" t="s">
        <v>1081</v>
      </c>
      <c r="G3519" s="11" t="s">
        <v>2407</v>
      </c>
      <c r="H3519" s="2" t="s">
        <v>56</v>
      </c>
      <c r="L3519" s="18">
        <v>1</v>
      </c>
      <c r="N3519" s="13">
        <v>45003</v>
      </c>
      <c r="O3519" s="29">
        <v>5.99</v>
      </c>
      <c r="P3519" s="18" t="s">
        <v>1107</v>
      </c>
      <c r="Q3519" s="18">
        <v>0</v>
      </c>
      <c r="V3519" s="22">
        <f>4.21/5</f>
        <v>0.84199999999999997</v>
      </c>
      <c r="X3519" s="3">
        <v>2</v>
      </c>
      <c r="Z3519" s="23">
        <v>2.5</v>
      </c>
      <c r="AB3519" s="18">
        <f t="shared" si="108"/>
        <v>2013</v>
      </c>
      <c r="AC3519" s="22">
        <f t="shared" si="109"/>
        <v>0.621</v>
      </c>
    </row>
    <row r="3520" spans="1:29">
      <c r="A3520" s="8" t="s">
        <v>5663</v>
      </c>
      <c r="B3520" s="17" t="s">
        <v>7763</v>
      </c>
      <c r="C3520" s="13">
        <v>41625</v>
      </c>
      <c r="D3520" s="13" t="s">
        <v>8465</v>
      </c>
      <c r="E3520" s="10" t="s">
        <v>1571</v>
      </c>
      <c r="F3520" s="10" t="s">
        <v>5707</v>
      </c>
      <c r="H3520" s="2" t="s">
        <v>80</v>
      </c>
      <c r="L3520" s="18">
        <v>1</v>
      </c>
      <c r="M3520" s="14" t="s">
        <v>8462</v>
      </c>
      <c r="N3520" s="13">
        <v>43598</v>
      </c>
      <c r="O3520" s="29">
        <v>11.49</v>
      </c>
      <c r="P3520" s="18" t="s">
        <v>14</v>
      </c>
      <c r="Q3520" s="18">
        <v>0</v>
      </c>
      <c r="U3520" s="22">
        <v>0.84</v>
      </c>
      <c r="V3520" s="22">
        <f>4.13/5</f>
        <v>0.82599999999999996</v>
      </c>
      <c r="X3520" s="3">
        <v>2</v>
      </c>
      <c r="Z3520" s="23">
        <v>96.5</v>
      </c>
      <c r="AB3520" s="18">
        <f t="shared" si="108"/>
        <v>2013</v>
      </c>
      <c r="AC3520" s="22">
        <f t="shared" si="109"/>
        <v>0.68866666666666665</v>
      </c>
    </row>
    <row r="3521" spans="1:29">
      <c r="A3521" s="8" t="s">
        <v>3627</v>
      </c>
      <c r="B3521" s="17" t="s">
        <v>7800</v>
      </c>
      <c r="C3521" s="13">
        <v>41625</v>
      </c>
      <c r="D3521" s="13" t="s">
        <v>8465</v>
      </c>
      <c r="E3521" s="10" t="s">
        <v>3628</v>
      </c>
      <c r="F3521" s="10" t="s">
        <v>3629</v>
      </c>
      <c r="G3521" s="11" t="s">
        <v>2301</v>
      </c>
      <c r="H3521" s="2" t="s">
        <v>1061</v>
      </c>
      <c r="L3521" s="18">
        <v>1</v>
      </c>
      <c r="N3521" s="13">
        <v>41861</v>
      </c>
      <c r="O3521" s="29">
        <v>1.99</v>
      </c>
      <c r="P3521" s="18" t="s">
        <v>1107</v>
      </c>
      <c r="Q3521" s="18">
        <v>0</v>
      </c>
      <c r="U3521" s="22">
        <v>0.55000000000000004</v>
      </c>
      <c r="V3521" s="22">
        <f>3.11/5</f>
        <v>0.622</v>
      </c>
      <c r="W3521" s="14" t="s">
        <v>7777</v>
      </c>
      <c r="X3521" s="3">
        <v>3</v>
      </c>
      <c r="Z3521" s="23">
        <v>4.5</v>
      </c>
      <c r="AB3521" s="18">
        <f t="shared" ref="AB3521:AB3584" si="110">IFERROR(YEAR(C3521), "Early Access")</f>
        <v>2013</v>
      </c>
      <c r="AC3521" s="22">
        <f t="shared" ref="AC3521:AC3584" si="111">AVERAGE(T3521, U3521, V3521, IF(ISBLANK(X3521), X3521, X3521/5))</f>
        <v>0.59066666666666678</v>
      </c>
    </row>
    <row r="3522" spans="1:29" ht="25.5">
      <c r="A3522" s="8" t="s">
        <v>3255</v>
      </c>
      <c r="B3522" s="17" t="s">
        <v>7800</v>
      </c>
      <c r="C3522" s="13">
        <v>41625</v>
      </c>
      <c r="D3522" s="13" t="s">
        <v>8465</v>
      </c>
      <c r="E3522" s="10" t="s">
        <v>3256</v>
      </c>
      <c r="F3522" s="10" t="s">
        <v>3256</v>
      </c>
      <c r="H3522" s="2" t="s">
        <v>21</v>
      </c>
      <c r="L3522" s="18">
        <v>1</v>
      </c>
      <c r="N3522" s="13">
        <v>41653</v>
      </c>
      <c r="P3522" s="18" t="s">
        <v>1107</v>
      </c>
      <c r="Q3522" s="18">
        <v>0</v>
      </c>
      <c r="U3522" s="22">
        <v>0.7</v>
      </c>
      <c r="V3522" s="22">
        <f>3.24/5</f>
        <v>0.64800000000000002</v>
      </c>
      <c r="W3522" s="14" t="s">
        <v>7777</v>
      </c>
      <c r="X3522" s="3">
        <v>2</v>
      </c>
      <c r="Z3522" s="23">
        <v>4</v>
      </c>
      <c r="AB3522" s="18">
        <f t="shared" si="110"/>
        <v>2013</v>
      </c>
      <c r="AC3522" s="22">
        <f t="shared" si="111"/>
        <v>0.58266666666666656</v>
      </c>
    </row>
    <row r="3523" spans="1:29">
      <c r="A3523" s="8" t="s">
        <v>5255</v>
      </c>
      <c r="B3523" s="17" t="s">
        <v>7800</v>
      </c>
      <c r="C3523" s="13">
        <v>41621</v>
      </c>
      <c r="D3523" s="13" t="s">
        <v>8465</v>
      </c>
      <c r="E3523" s="10" t="s">
        <v>5256</v>
      </c>
      <c r="F3523" s="10" t="s">
        <v>5256</v>
      </c>
      <c r="G3523" s="11" t="s">
        <v>5255</v>
      </c>
      <c r="H3523" s="2" t="s">
        <v>27</v>
      </c>
      <c r="L3523" s="18">
        <v>1</v>
      </c>
      <c r="N3523" s="13">
        <v>42135</v>
      </c>
      <c r="O3523" s="29">
        <v>4.99</v>
      </c>
      <c r="P3523" s="18" t="s">
        <v>1107</v>
      </c>
      <c r="Q3523" s="18">
        <v>0</v>
      </c>
      <c r="U3523" s="22">
        <v>0.78</v>
      </c>
      <c r="V3523" s="22">
        <f>3.83/5</f>
        <v>0.76600000000000001</v>
      </c>
      <c r="W3523" s="14" t="s">
        <v>7777</v>
      </c>
      <c r="X3523" s="3">
        <v>3</v>
      </c>
      <c r="Z3523" s="23">
        <v>5</v>
      </c>
      <c r="AB3523" s="18">
        <f t="shared" si="110"/>
        <v>2013</v>
      </c>
      <c r="AC3523" s="22">
        <f t="shared" si="111"/>
        <v>0.71533333333333327</v>
      </c>
    </row>
    <row r="3524" spans="1:29" ht="38.25">
      <c r="A3524" s="8" t="s">
        <v>5516</v>
      </c>
      <c r="B3524" s="17" t="s">
        <v>7800</v>
      </c>
      <c r="C3524" s="13">
        <v>41621</v>
      </c>
      <c r="D3524" s="13" t="s">
        <v>8465</v>
      </c>
      <c r="E3524" s="10" t="s">
        <v>5517</v>
      </c>
      <c r="F3524" s="10" t="s">
        <v>5517</v>
      </c>
      <c r="G3524" s="11" t="s">
        <v>5518</v>
      </c>
      <c r="H3524" s="2" t="s">
        <v>1334</v>
      </c>
      <c r="L3524" s="18">
        <v>1</v>
      </c>
      <c r="N3524" s="13">
        <v>41661</v>
      </c>
      <c r="P3524" s="18" t="s">
        <v>1107</v>
      </c>
      <c r="Q3524" s="18">
        <v>0</v>
      </c>
      <c r="V3524" s="22">
        <f>3.43/5</f>
        <v>0.68600000000000005</v>
      </c>
      <c r="W3524" s="14" t="s">
        <v>7777</v>
      </c>
      <c r="X3524" s="3">
        <v>3</v>
      </c>
      <c r="Z3524" s="23">
        <v>2</v>
      </c>
      <c r="AB3524" s="18">
        <f t="shared" si="110"/>
        <v>2013</v>
      </c>
      <c r="AC3524" s="22">
        <f t="shared" si="111"/>
        <v>0.64300000000000002</v>
      </c>
    </row>
    <row r="3525" spans="1:29">
      <c r="A3525" s="8" t="s">
        <v>14179</v>
      </c>
      <c r="B3525" s="17" t="s">
        <v>7800</v>
      </c>
      <c r="C3525" s="13">
        <v>41621</v>
      </c>
      <c r="D3525" s="13" t="s">
        <v>8465</v>
      </c>
      <c r="E3525" s="10" t="s">
        <v>14095</v>
      </c>
      <c r="F3525" s="10" t="s">
        <v>14095</v>
      </c>
      <c r="H3525" s="2" t="s">
        <v>1061</v>
      </c>
      <c r="L3525" s="18">
        <v>1</v>
      </c>
      <c r="O3525" s="29">
        <v>0</v>
      </c>
      <c r="P3525" s="18" t="s">
        <v>1107</v>
      </c>
      <c r="Q3525" s="18">
        <v>0</v>
      </c>
      <c r="W3525" s="14" t="s">
        <v>8765</v>
      </c>
      <c r="X3525" s="3">
        <v>2</v>
      </c>
      <c r="Z3525" s="23">
        <f>45/60</f>
        <v>0.75</v>
      </c>
      <c r="AB3525" s="18">
        <f t="shared" si="110"/>
        <v>2013</v>
      </c>
      <c r="AC3525" s="22">
        <f t="shared" si="111"/>
        <v>0.4</v>
      </c>
    </row>
    <row r="3526" spans="1:29">
      <c r="A3526" s="8" t="s">
        <v>5502</v>
      </c>
      <c r="B3526" s="17" t="s">
        <v>7800</v>
      </c>
      <c r="C3526" s="13">
        <v>41620</v>
      </c>
      <c r="D3526" s="13" t="s">
        <v>8465</v>
      </c>
      <c r="E3526" s="10" t="s">
        <v>1151</v>
      </c>
      <c r="F3526" s="10" t="s">
        <v>5503</v>
      </c>
      <c r="G3526" s="11" t="s">
        <v>5504</v>
      </c>
      <c r="H3526" s="2" t="s">
        <v>21</v>
      </c>
      <c r="L3526" s="18">
        <v>1</v>
      </c>
      <c r="N3526" s="13">
        <v>41842</v>
      </c>
      <c r="P3526" s="18" t="s">
        <v>1107</v>
      </c>
      <c r="Q3526" s="18">
        <v>0</v>
      </c>
      <c r="U3526" s="22">
        <v>0.55000000000000004</v>
      </c>
      <c r="V3526" s="22">
        <f>4.14/5</f>
        <v>0.82799999999999996</v>
      </c>
      <c r="W3526" s="14" t="s">
        <v>7777</v>
      </c>
      <c r="X3526" s="3">
        <v>3</v>
      </c>
      <c r="Z3526" s="23">
        <v>4</v>
      </c>
      <c r="AB3526" s="18">
        <f t="shared" si="110"/>
        <v>2013</v>
      </c>
      <c r="AC3526" s="22">
        <f t="shared" si="111"/>
        <v>0.65933333333333344</v>
      </c>
    </row>
    <row r="3527" spans="1:29">
      <c r="A3527" s="8" t="s">
        <v>13739</v>
      </c>
      <c r="B3527" s="17" t="s">
        <v>7749</v>
      </c>
      <c r="C3527" s="13">
        <v>41620</v>
      </c>
      <c r="D3527" s="13" t="s">
        <v>8465</v>
      </c>
      <c r="E3527" s="10" t="s">
        <v>455</v>
      </c>
      <c r="F3527" s="10" t="s">
        <v>1081</v>
      </c>
      <c r="G3527" s="11" t="s">
        <v>2656</v>
      </c>
      <c r="H3527" s="2" t="s">
        <v>80</v>
      </c>
      <c r="L3527" s="18">
        <v>1</v>
      </c>
      <c r="N3527" s="13">
        <v>45003</v>
      </c>
      <c r="O3527" s="29">
        <v>5.99</v>
      </c>
      <c r="P3527" s="18" t="s">
        <v>1107</v>
      </c>
      <c r="Q3527" s="18">
        <v>0</v>
      </c>
      <c r="V3527" s="22">
        <f>3.61/5</f>
        <v>0.72199999999999998</v>
      </c>
      <c r="X3527" s="3">
        <v>2</v>
      </c>
      <c r="Z3527" s="23">
        <v>5</v>
      </c>
      <c r="AB3527" s="18">
        <f t="shared" si="110"/>
        <v>2013</v>
      </c>
      <c r="AC3527" s="22">
        <f t="shared" si="111"/>
        <v>0.56099999999999994</v>
      </c>
    </row>
    <row r="3528" spans="1:29">
      <c r="A3528" s="8" t="s">
        <v>5352</v>
      </c>
      <c r="B3528" s="17" t="s">
        <v>7800</v>
      </c>
      <c r="C3528" s="13">
        <v>41618</v>
      </c>
      <c r="D3528" s="13" t="s">
        <v>8465</v>
      </c>
      <c r="E3528" s="10" t="s">
        <v>5353</v>
      </c>
      <c r="F3528" s="10" t="s">
        <v>5353</v>
      </c>
      <c r="H3528" s="2" t="s">
        <v>67</v>
      </c>
      <c r="L3528" s="18">
        <v>1</v>
      </c>
      <c r="N3528" s="13">
        <v>41947</v>
      </c>
      <c r="P3528" s="18" t="s">
        <v>1107</v>
      </c>
      <c r="Q3528" s="18">
        <v>0</v>
      </c>
      <c r="U3528" s="22">
        <v>0.69</v>
      </c>
      <c r="V3528" s="22">
        <f>3.35/5</f>
        <v>0.67</v>
      </c>
      <c r="W3528" s="14" t="s">
        <v>7777</v>
      </c>
      <c r="X3528" s="3">
        <v>2</v>
      </c>
      <c r="Z3528" s="23">
        <v>2.5</v>
      </c>
      <c r="AB3528" s="18">
        <f t="shared" si="110"/>
        <v>2013</v>
      </c>
      <c r="AC3528" s="22">
        <f t="shared" si="111"/>
        <v>0.58666666666666656</v>
      </c>
    </row>
    <row r="3529" spans="1:29">
      <c r="A3529" s="8" t="s">
        <v>7114</v>
      </c>
      <c r="B3529" s="17" t="s">
        <v>7800</v>
      </c>
      <c r="C3529" s="13">
        <v>41617</v>
      </c>
      <c r="D3529" s="13" t="s">
        <v>8465</v>
      </c>
      <c r="E3529" s="10" t="s">
        <v>7201</v>
      </c>
      <c r="F3529" s="10" t="s">
        <v>7201</v>
      </c>
      <c r="G3529" s="11" t="s">
        <v>7202</v>
      </c>
      <c r="H3529" s="2" t="s">
        <v>64</v>
      </c>
      <c r="L3529" s="18">
        <v>0</v>
      </c>
      <c r="Q3529" s="18">
        <v>0</v>
      </c>
      <c r="W3529" s="14" t="s">
        <v>5674</v>
      </c>
      <c r="X3529" s="3">
        <v>3</v>
      </c>
      <c r="AB3529" s="18">
        <f t="shared" si="110"/>
        <v>2013</v>
      </c>
      <c r="AC3529" s="22">
        <f t="shared" si="111"/>
        <v>0.6</v>
      </c>
    </row>
    <row r="3530" spans="1:29" ht="30">
      <c r="A3530" s="8" t="s">
        <v>8023</v>
      </c>
      <c r="B3530" s="17" t="s">
        <v>7759</v>
      </c>
      <c r="C3530" s="13">
        <v>41614</v>
      </c>
      <c r="D3530" s="13" t="s">
        <v>8465</v>
      </c>
      <c r="E3530" s="10" t="s">
        <v>2908</v>
      </c>
      <c r="F3530" s="10" t="s">
        <v>8019</v>
      </c>
      <c r="G3530" s="11" t="s">
        <v>8016</v>
      </c>
      <c r="H3530" s="2" t="s">
        <v>150</v>
      </c>
      <c r="L3530" s="18">
        <v>0</v>
      </c>
      <c r="Q3530" s="18">
        <v>0</v>
      </c>
      <c r="U3530" s="22">
        <v>0.81730000000000003</v>
      </c>
      <c r="V3530" s="22">
        <f>4.01/5</f>
        <v>0.80199999999999994</v>
      </c>
      <c r="X3530" s="3">
        <v>3</v>
      </c>
      <c r="Y3530" s="18">
        <v>1</v>
      </c>
      <c r="Z3530" s="23">
        <v>44.5</v>
      </c>
      <c r="AB3530" s="18">
        <f t="shared" si="110"/>
        <v>2013</v>
      </c>
      <c r="AC3530" s="22">
        <f t="shared" si="111"/>
        <v>0.73976666666666668</v>
      </c>
    </row>
    <row r="3531" spans="1:29">
      <c r="A3531" s="8" t="s">
        <v>4491</v>
      </c>
      <c r="B3531" s="17" t="s">
        <v>7800</v>
      </c>
      <c r="C3531" s="13">
        <v>41614</v>
      </c>
      <c r="D3531" s="13" t="s">
        <v>8465</v>
      </c>
      <c r="E3531" s="10" t="s">
        <v>3410</v>
      </c>
      <c r="F3531" s="10" t="s">
        <v>3410</v>
      </c>
      <c r="H3531" s="2" t="s">
        <v>56</v>
      </c>
      <c r="L3531" s="18">
        <v>1</v>
      </c>
      <c r="N3531" s="13">
        <v>41998</v>
      </c>
      <c r="P3531" s="18" t="s">
        <v>1107</v>
      </c>
      <c r="Q3531" s="18">
        <v>0</v>
      </c>
      <c r="V3531" s="22">
        <f>3.75/5</f>
        <v>0.75</v>
      </c>
      <c r="W3531" s="14" t="s">
        <v>7777</v>
      </c>
      <c r="X3531" s="3">
        <v>3</v>
      </c>
      <c r="Z3531" s="23">
        <v>1.5</v>
      </c>
      <c r="AB3531" s="18">
        <f t="shared" si="110"/>
        <v>2013</v>
      </c>
      <c r="AC3531" s="22">
        <f t="shared" si="111"/>
        <v>0.67500000000000004</v>
      </c>
    </row>
    <row r="3532" spans="1:29">
      <c r="A3532" s="8" t="s">
        <v>11124</v>
      </c>
      <c r="B3532" s="17" t="s">
        <v>7749</v>
      </c>
      <c r="C3532" s="13">
        <v>41614</v>
      </c>
      <c r="D3532" s="13" t="s">
        <v>8463</v>
      </c>
      <c r="E3532" s="10" t="s">
        <v>73</v>
      </c>
      <c r="F3532" s="10" t="s">
        <v>1474</v>
      </c>
      <c r="G3532" s="11" t="s">
        <v>11124</v>
      </c>
      <c r="H3532" s="2" t="s">
        <v>1059</v>
      </c>
      <c r="K3532" s="18">
        <v>0</v>
      </c>
      <c r="L3532" s="18">
        <v>0</v>
      </c>
      <c r="Q3532" s="18">
        <v>0</v>
      </c>
      <c r="V3532" s="22">
        <f>4.17/5</f>
        <v>0.83399999999999996</v>
      </c>
      <c r="X3532" s="3">
        <v>2</v>
      </c>
      <c r="AB3532" s="18">
        <f t="shared" si="110"/>
        <v>2013</v>
      </c>
      <c r="AC3532" s="22">
        <f t="shared" si="111"/>
        <v>0.61699999999999999</v>
      </c>
    </row>
    <row r="3533" spans="1:29" ht="25.5">
      <c r="A3533" s="8" t="s">
        <v>4784</v>
      </c>
      <c r="B3533" s="17" t="s">
        <v>7800</v>
      </c>
      <c r="C3533" s="13">
        <v>41614</v>
      </c>
      <c r="D3533" s="13" t="s">
        <v>8465</v>
      </c>
      <c r="E3533" s="10" t="s">
        <v>4785</v>
      </c>
      <c r="F3533" s="10" t="s">
        <v>4785</v>
      </c>
      <c r="G3533" s="11" t="s">
        <v>4786</v>
      </c>
      <c r="H3533" s="2" t="s">
        <v>171</v>
      </c>
      <c r="L3533" s="18">
        <v>1</v>
      </c>
      <c r="N3533" s="13">
        <v>41653</v>
      </c>
      <c r="P3533" s="18" t="s">
        <v>1107</v>
      </c>
      <c r="Q3533" s="18">
        <v>0</v>
      </c>
      <c r="U3533" s="22">
        <v>0.38</v>
      </c>
      <c r="V3533" s="22">
        <f>2.64/5</f>
        <v>0.52800000000000002</v>
      </c>
      <c r="W3533" s="14" t="s">
        <v>7777</v>
      </c>
      <c r="X3533" s="3">
        <v>2</v>
      </c>
      <c r="Z3533" s="23">
        <v>5.5</v>
      </c>
      <c r="AB3533" s="18">
        <f t="shared" si="110"/>
        <v>2013</v>
      </c>
      <c r="AC3533" s="22">
        <f t="shared" si="111"/>
        <v>0.436</v>
      </c>
    </row>
    <row r="3534" spans="1:29" ht="25.5">
      <c r="A3534" s="8" t="s">
        <v>11096</v>
      </c>
      <c r="B3534" s="17" t="s">
        <v>7749</v>
      </c>
      <c r="C3534" s="13">
        <v>41613</v>
      </c>
      <c r="D3534" s="13" t="s">
        <v>8463</v>
      </c>
      <c r="E3534" s="10" t="s">
        <v>2129</v>
      </c>
      <c r="F3534" s="10" t="s">
        <v>2129</v>
      </c>
      <c r="G3534" s="11" t="s">
        <v>2181</v>
      </c>
      <c r="H3534" s="2" t="s">
        <v>255</v>
      </c>
      <c r="K3534" s="18">
        <v>2</v>
      </c>
      <c r="L3534" s="18">
        <v>0</v>
      </c>
      <c r="Q3534" s="18">
        <v>0</v>
      </c>
      <c r="V3534" s="22">
        <f>4.17/5</f>
        <v>0.83399999999999996</v>
      </c>
      <c r="X3534" s="3">
        <v>3</v>
      </c>
      <c r="Z3534" s="23">
        <v>22.5</v>
      </c>
      <c r="AB3534" s="18">
        <f t="shared" si="110"/>
        <v>2013</v>
      </c>
      <c r="AC3534" s="22">
        <f t="shared" si="111"/>
        <v>0.71699999999999997</v>
      </c>
    </row>
    <row r="3535" spans="1:29">
      <c r="A3535" s="8" t="s">
        <v>2492</v>
      </c>
      <c r="B3535" s="17" t="s">
        <v>7800</v>
      </c>
      <c r="C3535" s="13">
        <v>41613</v>
      </c>
      <c r="D3535" s="13" t="s">
        <v>8465</v>
      </c>
      <c r="E3535" s="10" t="s">
        <v>5138</v>
      </c>
      <c r="F3535" s="10" t="s">
        <v>5138</v>
      </c>
      <c r="G3535" s="11" t="s">
        <v>2481</v>
      </c>
      <c r="H3535" s="2" t="s">
        <v>151</v>
      </c>
      <c r="L3535" s="18">
        <v>1</v>
      </c>
      <c r="N3535" s="13">
        <v>41902</v>
      </c>
      <c r="P3535" s="18" t="s">
        <v>1107</v>
      </c>
      <c r="Q3535" s="18">
        <v>0</v>
      </c>
      <c r="U3535" s="22">
        <v>0.83</v>
      </c>
      <c r="V3535" s="22">
        <f>3.63/5</f>
        <v>0.72599999999999998</v>
      </c>
      <c r="W3535" s="14" t="s">
        <v>7777</v>
      </c>
      <c r="X3535" s="3">
        <v>3</v>
      </c>
      <c r="Z3535" s="23">
        <v>5</v>
      </c>
      <c r="AB3535" s="18">
        <f t="shared" si="110"/>
        <v>2013</v>
      </c>
      <c r="AC3535" s="22">
        <f t="shared" si="111"/>
        <v>0.71866666666666668</v>
      </c>
    </row>
    <row r="3536" spans="1:29" ht="30">
      <c r="A3536" s="8" t="s">
        <v>4601</v>
      </c>
      <c r="B3536" s="17" t="s">
        <v>7800</v>
      </c>
      <c r="C3536" s="13">
        <v>41613</v>
      </c>
      <c r="D3536" s="13" t="s">
        <v>8465</v>
      </c>
      <c r="E3536" s="10" t="s">
        <v>4602</v>
      </c>
      <c r="F3536" s="10" t="s">
        <v>4602</v>
      </c>
      <c r="H3536" s="2" t="s">
        <v>64</v>
      </c>
      <c r="L3536" s="18">
        <v>1</v>
      </c>
      <c r="N3536" s="13">
        <v>41612</v>
      </c>
      <c r="P3536" s="18" t="s">
        <v>1107</v>
      </c>
      <c r="Q3536" s="18">
        <v>0</v>
      </c>
      <c r="U3536" s="22">
        <v>0.7</v>
      </c>
      <c r="V3536" s="22">
        <f>3.82/5</f>
        <v>0.76400000000000001</v>
      </c>
      <c r="W3536" s="14" t="s">
        <v>7777</v>
      </c>
      <c r="X3536" s="3">
        <v>2</v>
      </c>
      <c r="Z3536" s="23">
        <v>4.5</v>
      </c>
      <c r="AB3536" s="18">
        <f t="shared" si="110"/>
        <v>2013</v>
      </c>
      <c r="AC3536" s="22">
        <f t="shared" si="111"/>
        <v>0.62133333333333329</v>
      </c>
    </row>
    <row r="3537" spans="1:29">
      <c r="A3537" s="8" t="s">
        <v>4923</v>
      </c>
      <c r="B3537" s="17" t="s">
        <v>7800</v>
      </c>
      <c r="C3537" s="13">
        <v>41612</v>
      </c>
      <c r="D3537" s="13" t="s">
        <v>8465</v>
      </c>
      <c r="E3537" s="10" t="s">
        <v>4634</v>
      </c>
      <c r="F3537" s="10" t="s">
        <v>4634</v>
      </c>
      <c r="H3537" s="2" t="s">
        <v>143</v>
      </c>
      <c r="L3537" s="18">
        <v>1</v>
      </c>
      <c r="N3537" s="13">
        <v>41637</v>
      </c>
      <c r="O3537" s="29">
        <v>0.8</v>
      </c>
      <c r="P3537" s="18" t="s">
        <v>1107</v>
      </c>
      <c r="Q3537" s="18">
        <v>0</v>
      </c>
      <c r="V3537" s="22">
        <f>3.52/5</f>
        <v>0.70399999999999996</v>
      </c>
      <c r="W3537" s="14" t="s">
        <v>7777</v>
      </c>
      <c r="X3537" s="3">
        <v>2</v>
      </c>
      <c r="Z3537" s="23">
        <v>0.75</v>
      </c>
      <c r="AB3537" s="18">
        <f t="shared" si="110"/>
        <v>2013</v>
      </c>
      <c r="AC3537" s="22">
        <f t="shared" si="111"/>
        <v>0.55200000000000005</v>
      </c>
    </row>
    <row r="3538" spans="1:29">
      <c r="A3538" s="8" t="s">
        <v>5413</v>
      </c>
      <c r="B3538" s="17" t="s">
        <v>7800</v>
      </c>
      <c r="C3538" s="13">
        <v>41611</v>
      </c>
      <c r="D3538" s="13" t="s">
        <v>8465</v>
      </c>
      <c r="E3538" s="10" t="s">
        <v>1578</v>
      </c>
      <c r="F3538" s="10" t="s">
        <v>5414</v>
      </c>
      <c r="H3538" s="2" t="s">
        <v>56</v>
      </c>
      <c r="L3538" s="18">
        <v>1</v>
      </c>
      <c r="N3538" s="13">
        <v>41876</v>
      </c>
      <c r="P3538" s="18" t="s">
        <v>1107</v>
      </c>
      <c r="Q3538" s="18">
        <v>0</v>
      </c>
      <c r="U3538" s="22">
        <v>0.7</v>
      </c>
      <c r="V3538" s="22">
        <f>4.08/5</f>
        <v>0.81600000000000006</v>
      </c>
      <c r="W3538" s="14" t="s">
        <v>7777</v>
      </c>
      <c r="X3538" s="3">
        <v>3</v>
      </c>
      <c r="Z3538" s="23">
        <v>9.5</v>
      </c>
      <c r="AB3538" s="18">
        <f t="shared" si="110"/>
        <v>2013</v>
      </c>
      <c r="AC3538" s="22">
        <f t="shared" si="111"/>
        <v>0.70533333333333337</v>
      </c>
    </row>
    <row r="3539" spans="1:29">
      <c r="A3539" s="8" t="s">
        <v>3898</v>
      </c>
      <c r="B3539" s="17" t="s">
        <v>7800</v>
      </c>
      <c r="C3539" s="13">
        <v>41611</v>
      </c>
      <c r="D3539" s="13" t="s">
        <v>8465</v>
      </c>
      <c r="E3539" s="10" t="s">
        <v>3808</v>
      </c>
      <c r="F3539" s="10" t="s">
        <v>3899</v>
      </c>
      <c r="G3539" s="11" t="s">
        <v>3898</v>
      </c>
      <c r="H3539" s="2" t="s">
        <v>67</v>
      </c>
      <c r="L3539" s="18">
        <v>1</v>
      </c>
      <c r="N3539" s="13">
        <v>41624</v>
      </c>
      <c r="P3539" s="18" t="s">
        <v>1107</v>
      </c>
      <c r="Q3539" s="18">
        <v>0</v>
      </c>
      <c r="U3539" s="22">
        <v>0.6</v>
      </c>
      <c r="V3539" s="22">
        <f>3.41/5</f>
        <v>0.68200000000000005</v>
      </c>
      <c r="W3539" s="14" t="s">
        <v>7777</v>
      </c>
      <c r="X3539" s="3">
        <v>3</v>
      </c>
      <c r="Z3539" s="23">
        <v>2</v>
      </c>
      <c r="AB3539" s="18">
        <f t="shared" si="110"/>
        <v>2013</v>
      </c>
      <c r="AC3539" s="22">
        <f t="shared" si="111"/>
        <v>0.62733333333333341</v>
      </c>
    </row>
    <row r="3540" spans="1:29">
      <c r="A3540" s="8" t="s">
        <v>5475</v>
      </c>
      <c r="B3540" s="17" t="s">
        <v>7800</v>
      </c>
      <c r="C3540" s="13">
        <v>41611</v>
      </c>
      <c r="D3540" s="13" t="s">
        <v>8465</v>
      </c>
      <c r="E3540" s="10" t="s">
        <v>5476</v>
      </c>
      <c r="F3540" s="10" t="s">
        <v>5476</v>
      </c>
      <c r="H3540" s="2" t="s">
        <v>80</v>
      </c>
      <c r="L3540" s="18">
        <v>1</v>
      </c>
      <c r="N3540" s="13">
        <v>41653</v>
      </c>
      <c r="P3540" s="18" t="s">
        <v>1107</v>
      </c>
      <c r="Q3540" s="18">
        <v>0</v>
      </c>
      <c r="U3540" s="22">
        <v>0.55000000000000004</v>
      </c>
      <c r="V3540" s="22">
        <f>1.9/5</f>
        <v>0.38</v>
      </c>
      <c r="W3540" s="14" t="s">
        <v>7777</v>
      </c>
      <c r="X3540" s="3">
        <v>2</v>
      </c>
      <c r="Z3540" s="23">
        <v>38</v>
      </c>
      <c r="AB3540" s="18">
        <f t="shared" si="110"/>
        <v>2013</v>
      </c>
      <c r="AC3540" s="22">
        <f t="shared" si="111"/>
        <v>0.44333333333333336</v>
      </c>
    </row>
    <row r="3541" spans="1:29">
      <c r="A3541" s="8" t="s">
        <v>13746</v>
      </c>
      <c r="B3541" s="17" t="s">
        <v>7749</v>
      </c>
      <c r="C3541" s="13">
        <v>41606</v>
      </c>
      <c r="D3541" s="13" t="s">
        <v>8465</v>
      </c>
      <c r="E3541" s="10" t="s">
        <v>455</v>
      </c>
      <c r="F3541" s="10" t="s">
        <v>1081</v>
      </c>
      <c r="G3541" s="11" t="s">
        <v>13747</v>
      </c>
      <c r="H3541" s="2" t="s">
        <v>150</v>
      </c>
      <c r="L3541" s="18">
        <v>1</v>
      </c>
      <c r="N3541" s="13">
        <v>45003</v>
      </c>
      <c r="O3541" s="29">
        <v>5.99</v>
      </c>
      <c r="P3541" s="18" t="s">
        <v>1107</v>
      </c>
      <c r="Q3541" s="18">
        <v>0</v>
      </c>
      <c r="U3541" s="22">
        <v>0.76</v>
      </c>
      <c r="V3541" s="22">
        <f>4.02/5</f>
        <v>0.80399999999999994</v>
      </c>
      <c r="X3541" s="3">
        <v>2</v>
      </c>
      <c r="Z3541" s="23">
        <v>1</v>
      </c>
      <c r="AB3541" s="18">
        <f t="shared" si="110"/>
        <v>2013</v>
      </c>
      <c r="AC3541" s="22">
        <f t="shared" si="111"/>
        <v>0.65466666666666662</v>
      </c>
    </row>
    <row r="3542" spans="1:29">
      <c r="A3542" s="8" t="s">
        <v>13744</v>
      </c>
      <c r="B3542" s="17" t="s">
        <v>7749</v>
      </c>
      <c r="C3542" s="13">
        <v>41606</v>
      </c>
      <c r="D3542" s="13" t="s">
        <v>8465</v>
      </c>
      <c r="E3542" s="10" t="s">
        <v>455</v>
      </c>
      <c r="F3542" s="10" t="s">
        <v>1081</v>
      </c>
      <c r="G3542" s="11" t="s">
        <v>13745</v>
      </c>
      <c r="H3542" s="2" t="s">
        <v>1170</v>
      </c>
      <c r="L3542" s="18">
        <v>1</v>
      </c>
      <c r="N3542" s="13">
        <v>45003</v>
      </c>
      <c r="O3542" s="29">
        <v>5.99</v>
      </c>
      <c r="P3542" s="18" t="s">
        <v>1107</v>
      </c>
      <c r="Q3542" s="18">
        <v>0</v>
      </c>
      <c r="U3542" s="22">
        <v>0.7</v>
      </c>
      <c r="V3542" s="22">
        <f>3.87/5</f>
        <v>0.77400000000000002</v>
      </c>
      <c r="X3542" s="3">
        <v>2</v>
      </c>
      <c r="Z3542" s="23">
        <f>56/60</f>
        <v>0.93333333333333335</v>
      </c>
      <c r="AB3542" s="18">
        <f t="shared" si="110"/>
        <v>2013</v>
      </c>
      <c r="AC3542" s="22">
        <f t="shared" si="111"/>
        <v>0.6246666666666667</v>
      </c>
    </row>
    <row r="3543" spans="1:29">
      <c r="A3543" s="8" t="s">
        <v>12900</v>
      </c>
      <c r="B3543" s="17" t="s">
        <v>7766</v>
      </c>
      <c r="C3543" s="13">
        <v>41600</v>
      </c>
      <c r="D3543" s="13" t="s">
        <v>8465</v>
      </c>
      <c r="E3543" s="10" t="s">
        <v>3116</v>
      </c>
      <c r="F3543" s="10" t="s">
        <v>10651</v>
      </c>
      <c r="G3543" s="11" t="s">
        <v>10642</v>
      </c>
      <c r="H3543" s="2" t="s">
        <v>150</v>
      </c>
      <c r="L3543" s="18">
        <v>0</v>
      </c>
      <c r="Q3543" s="18">
        <v>0</v>
      </c>
      <c r="U3543" s="22">
        <v>0.79</v>
      </c>
      <c r="V3543" s="22">
        <f>3.79/5</f>
        <v>0.75800000000000001</v>
      </c>
      <c r="X3543" s="3">
        <v>2</v>
      </c>
      <c r="Y3543" s="18">
        <v>1</v>
      </c>
      <c r="Z3543" s="23">
        <v>50.5</v>
      </c>
      <c r="AB3543" s="18">
        <f t="shared" si="110"/>
        <v>2013</v>
      </c>
      <c r="AC3543" s="22">
        <f t="shared" si="111"/>
        <v>0.64933333333333332</v>
      </c>
    </row>
    <row r="3544" spans="1:29">
      <c r="A3544" s="8" t="s">
        <v>14741</v>
      </c>
      <c r="B3544" s="17" t="s">
        <v>7766</v>
      </c>
      <c r="C3544" s="13">
        <v>41600</v>
      </c>
      <c r="D3544" s="13" t="s">
        <v>8465</v>
      </c>
      <c r="E3544" s="10" t="s">
        <v>3116</v>
      </c>
      <c r="F3544" s="10" t="s">
        <v>13781</v>
      </c>
      <c r="G3544" s="11" t="s">
        <v>14741</v>
      </c>
      <c r="H3544" s="2" t="s">
        <v>1170</v>
      </c>
      <c r="L3544" s="18">
        <v>1</v>
      </c>
      <c r="N3544" s="13">
        <v>45054</v>
      </c>
      <c r="O3544" s="29">
        <v>3.74</v>
      </c>
      <c r="P3544" s="18" t="s">
        <v>1107</v>
      </c>
      <c r="Q3544" s="18">
        <v>0</v>
      </c>
      <c r="U3544" s="22">
        <v>0.55000000000000004</v>
      </c>
      <c r="V3544" s="22">
        <f>2.73/5</f>
        <v>0.54600000000000004</v>
      </c>
      <c r="X3544" s="3">
        <v>3</v>
      </c>
      <c r="Z3544" s="23">
        <v>6</v>
      </c>
      <c r="AB3544" s="18">
        <f t="shared" si="110"/>
        <v>2013</v>
      </c>
      <c r="AC3544" s="22">
        <f t="shared" si="111"/>
        <v>0.56533333333333335</v>
      </c>
    </row>
    <row r="3545" spans="1:29" ht="25.5">
      <c r="A3545" s="8" t="s">
        <v>11217</v>
      </c>
      <c r="B3545" s="17" t="s">
        <v>7749</v>
      </c>
      <c r="C3545" s="13">
        <v>41600</v>
      </c>
      <c r="D3545" s="13" t="s">
        <v>8465</v>
      </c>
      <c r="E3545" s="10" t="s">
        <v>86</v>
      </c>
      <c r="F3545" s="10" t="s">
        <v>11219</v>
      </c>
      <c r="G3545" s="11" t="s">
        <v>860</v>
      </c>
      <c r="H3545" s="2" t="s">
        <v>1469</v>
      </c>
      <c r="L3545" s="18">
        <v>1</v>
      </c>
      <c r="M3545" s="14" t="s">
        <v>8462</v>
      </c>
      <c r="N3545" s="13">
        <v>44925</v>
      </c>
      <c r="O3545" s="29">
        <v>16.46</v>
      </c>
      <c r="P3545" s="18" t="s">
        <v>14</v>
      </c>
      <c r="Q3545" s="18">
        <v>0</v>
      </c>
      <c r="U3545" s="22">
        <v>0.56999999999999995</v>
      </c>
      <c r="V3545" s="22">
        <f>3.2/5</f>
        <v>0.64</v>
      </c>
      <c r="X3545" s="3">
        <v>2</v>
      </c>
      <c r="Z3545" s="23">
        <v>3</v>
      </c>
      <c r="AB3545" s="18">
        <f t="shared" si="110"/>
        <v>2013</v>
      </c>
      <c r="AC3545" s="22">
        <f t="shared" si="111"/>
        <v>0.53666666666666663</v>
      </c>
    </row>
    <row r="3546" spans="1:29" ht="30">
      <c r="A3546" s="8" t="s">
        <v>4497</v>
      </c>
      <c r="B3546" s="17" t="s">
        <v>7800</v>
      </c>
      <c r="C3546" s="13">
        <v>41599</v>
      </c>
      <c r="D3546" s="13" t="s">
        <v>8465</v>
      </c>
      <c r="E3546" s="10" t="s">
        <v>4498</v>
      </c>
      <c r="F3546" s="10" t="s">
        <v>2300</v>
      </c>
      <c r="G3546" s="11" t="s">
        <v>4499</v>
      </c>
      <c r="H3546" s="2" t="s">
        <v>56</v>
      </c>
      <c r="L3546" s="18">
        <v>1</v>
      </c>
      <c r="N3546" s="13">
        <v>41610</v>
      </c>
      <c r="P3546" s="18" t="s">
        <v>1107</v>
      </c>
      <c r="Q3546" s="18">
        <v>0</v>
      </c>
      <c r="U3546" s="22">
        <v>0.7</v>
      </c>
      <c r="V3546" s="22">
        <f>3.75/5</f>
        <v>0.75</v>
      </c>
      <c r="W3546" s="14" t="s">
        <v>7777</v>
      </c>
      <c r="X3546" s="3">
        <v>3</v>
      </c>
      <c r="Z3546" s="23">
        <v>4.5</v>
      </c>
      <c r="AB3546" s="18">
        <f t="shared" si="110"/>
        <v>2013</v>
      </c>
      <c r="AC3546" s="22">
        <f t="shared" si="111"/>
        <v>0.68333333333333324</v>
      </c>
    </row>
    <row r="3547" spans="1:29">
      <c r="A3547" s="8" t="s">
        <v>5360</v>
      </c>
      <c r="B3547" s="17" t="s">
        <v>7800</v>
      </c>
      <c r="C3547" s="13">
        <v>41599</v>
      </c>
      <c r="D3547" s="13" t="s">
        <v>8465</v>
      </c>
      <c r="E3547" s="10" t="s">
        <v>3066</v>
      </c>
      <c r="F3547" s="10" t="s">
        <v>3066</v>
      </c>
      <c r="H3547" s="2" t="s">
        <v>67</v>
      </c>
      <c r="L3547" s="18">
        <v>1</v>
      </c>
      <c r="N3547" s="13">
        <v>41737</v>
      </c>
      <c r="P3547" s="18" t="s">
        <v>1107</v>
      </c>
      <c r="Q3547" s="18">
        <v>0</v>
      </c>
      <c r="U3547" s="22">
        <v>0.63</v>
      </c>
      <c r="V3547" s="22">
        <f>3.13/5</f>
        <v>0.626</v>
      </c>
      <c r="W3547" s="14" t="s">
        <v>7777</v>
      </c>
      <c r="X3547" s="3">
        <v>3</v>
      </c>
      <c r="Z3547" s="23">
        <v>2</v>
      </c>
      <c r="AB3547" s="18">
        <f t="shared" si="110"/>
        <v>2013</v>
      </c>
      <c r="AC3547" s="22">
        <f t="shared" si="111"/>
        <v>0.61866666666666659</v>
      </c>
    </row>
    <row r="3548" spans="1:29">
      <c r="A3548" s="8" t="s">
        <v>4656</v>
      </c>
      <c r="B3548" s="17" t="s">
        <v>7800</v>
      </c>
      <c r="C3548" s="13">
        <v>41599</v>
      </c>
      <c r="D3548" s="13" t="s">
        <v>8465</v>
      </c>
      <c r="E3548" s="10" t="s">
        <v>4657</v>
      </c>
      <c r="F3548" s="10" t="s">
        <v>4657</v>
      </c>
      <c r="H3548" s="2" t="s">
        <v>1377</v>
      </c>
      <c r="L3548" s="18">
        <v>1</v>
      </c>
      <c r="N3548" s="13">
        <v>41782</v>
      </c>
      <c r="P3548" s="18" t="s">
        <v>1107</v>
      </c>
      <c r="Q3548" s="18">
        <v>0</v>
      </c>
      <c r="U3548" s="22">
        <v>0.73</v>
      </c>
      <c r="V3548" s="22">
        <f>3.78/5</f>
        <v>0.75600000000000001</v>
      </c>
      <c r="W3548" s="14" t="s">
        <v>7777</v>
      </c>
      <c r="X3548" s="3">
        <v>2</v>
      </c>
      <c r="Z3548" s="23">
        <v>14</v>
      </c>
      <c r="AB3548" s="18">
        <f t="shared" si="110"/>
        <v>2013</v>
      </c>
      <c r="AC3548" s="22">
        <f t="shared" si="111"/>
        <v>0.62866666666666671</v>
      </c>
    </row>
    <row r="3549" spans="1:29" ht="25.5">
      <c r="A3549" s="8" t="s">
        <v>8978</v>
      </c>
      <c r="B3549" s="17" t="s">
        <v>7759</v>
      </c>
      <c r="C3549" s="13">
        <v>41597</v>
      </c>
      <c r="D3549" s="13" t="s">
        <v>8465</v>
      </c>
      <c r="E3549" s="10" t="s">
        <v>228</v>
      </c>
      <c r="F3549" s="10" t="s">
        <v>3203</v>
      </c>
      <c r="H3549" s="2" t="s">
        <v>459</v>
      </c>
      <c r="L3549" s="18">
        <v>1</v>
      </c>
      <c r="M3549" s="14" t="s">
        <v>8462</v>
      </c>
      <c r="N3549" s="13">
        <v>44018</v>
      </c>
      <c r="O3549" s="29">
        <v>32.130000000000003</v>
      </c>
      <c r="P3549" s="18" t="s">
        <v>14</v>
      </c>
      <c r="Q3549" s="18">
        <v>0</v>
      </c>
      <c r="U3549" s="22">
        <v>0.75</v>
      </c>
      <c r="V3549" s="22">
        <f>3.65/5</f>
        <v>0.73</v>
      </c>
      <c r="X3549" s="3">
        <v>3</v>
      </c>
      <c r="Z3549" s="23">
        <v>2</v>
      </c>
      <c r="AB3549" s="18">
        <f t="shared" si="110"/>
        <v>2013</v>
      </c>
      <c r="AC3549" s="22">
        <f t="shared" si="111"/>
        <v>0.69333333333333336</v>
      </c>
    </row>
    <row r="3550" spans="1:29">
      <c r="A3550" s="8" t="s">
        <v>3810</v>
      </c>
      <c r="B3550" s="17" t="s">
        <v>7800</v>
      </c>
      <c r="C3550" s="13">
        <v>41597</v>
      </c>
      <c r="D3550" s="13" t="s">
        <v>8465</v>
      </c>
      <c r="E3550" s="10" t="s">
        <v>3811</v>
      </c>
      <c r="F3550" s="10" t="s">
        <v>3811</v>
      </c>
      <c r="H3550" s="2" t="s">
        <v>64</v>
      </c>
      <c r="L3550" s="18">
        <v>1</v>
      </c>
      <c r="N3550" s="13">
        <v>41610</v>
      </c>
      <c r="P3550" s="18" t="s">
        <v>1107</v>
      </c>
      <c r="Q3550" s="18">
        <v>0</v>
      </c>
      <c r="U3550" s="22">
        <v>0.3</v>
      </c>
      <c r="V3550" s="22">
        <f>3.37/5</f>
        <v>0.67400000000000004</v>
      </c>
      <c r="W3550" s="14" t="s">
        <v>7777</v>
      </c>
      <c r="X3550" s="3">
        <v>2</v>
      </c>
      <c r="Z3550" s="23">
        <v>3</v>
      </c>
      <c r="AB3550" s="18">
        <f t="shared" si="110"/>
        <v>2013</v>
      </c>
      <c r="AC3550" s="22">
        <f t="shared" si="111"/>
        <v>0.45800000000000002</v>
      </c>
    </row>
    <row r="3551" spans="1:29" ht="51">
      <c r="A3551" s="8" t="s">
        <v>11511</v>
      </c>
      <c r="B3551" s="17" t="s">
        <v>7749</v>
      </c>
      <c r="C3551" s="13">
        <v>41597</v>
      </c>
      <c r="D3551" s="13" t="s">
        <v>8465</v>
      </c>
      <c r="E3551" s="10" t="s">
        <v>2298</v>
      </c>
      <c r="F3551" s="10" t="s">
        <v>1084</v>
      </c>
      <c r="G3551" s="11" t="s">
        <v>11510</v>
      </c>
      <c r="H3551" s="2" t="s">
        <v>1377</v>
      </c>
      <c r="L3551" s="18">
        <v>1</v>
      </c>
      <c r="M3551" s="14" t="s">
        <v>8462</v>
      </c>
      <c r="N3551" s="13">
        <v>44926</v>
      </c>
      <c r="O3551" s="29">
        <v>14.09</v>
      </c>
      <c r="P3551" s="18" t="s">
        <v>14</v>
      </c>
      <c r="Q3551" s="18">
        <v>0</v>
      </c>
      <c r="U3551" s="22">
        <v>0.33</v>
      </c>
      <c r="V3551" s="22">
        <f>2.54/5</f>
        <v>0.50800000000000001</v>
      </c>
      <c r="X3551" s="3">
        <v>2</v>
      </c>
      <c r="Z3551" s="23">
        <v>7</v>
      </c>
      <c r="AB3551" s="18">
        <f t="shared" si="110"/>
        <v>2013</v>
      </c>
      <c r="AC3551" s="22">
        <f t="shared" si="111"/>
        <v>0.41266666666666668</v>
      </c>
    </row>
    <row r="3552" spans="1:29" ht="25.5">
      <c r="A3552" s="8" t="s">
        <v>3251</v>
      </c>
      <c r="B3552" s="17" t="s">
        <v>7800</v>
      </c>
      <c r="C3552" s="13">
        <v>41593</v>
      </c>
      <c r="D3552" s="13" t="s">
        <v>8465</v>
      </c>
      <c r="E3552" s="10" t="s">
        <v>3252</v>
      </c>
      <c r="F3552" s="10" t="s">
        <v>3252</v>
      </c>
      <c r="G3552" s="11" t="s">
        <v>3253</v>
      </c>
      <c r="H3552" s="2" t="s">
        <v>1720</v>
      </c>
      <c r="L3552" s="18">
        <v>1</v>
      </c>
      <c r="N3552" s="13">
        <v>43603</v>
      </c>
      <c r="O3552" s="29">
        <f>3.49+1.39</f>
        <v>4.88</v>
      </c>
      <c r="P3552" s="18" t="s">
        <v>1107</v>
      </c>
      <c r="Q3552" s="18">
        <v>0</v>
      </c>
      <c r="U3552" s="22">
        <v>0.77</v>
      </c>
      <c r="V3552" s="22">
        <f>4.28/5</f>
        <v>0.85600000000000009</v>
      </c>
      <c r="W3552" s="14" t="s">
        <v>7777</v>
      </c>
      <c r="X3552" s="3">
        <v>5</v>
      </c>
      <c r="Z3552" s="23">
        <v>52</v>
      </c>
      <c r="AB3552" s="18">
        <f t="shared" si="110"/>
        <v>2013</v>
      </c>
      <c r="AC3552" s="22">
        <f t="shared" si="111"/>
        <v>0.87533333333333341</v>
      </c>
    </row>
    <row r="3553" spans="1:29" ht="30">
      <c r="A3553" s="8" t="s">
        <v>6192</v>
      </c>
      <c r="B3553" s="17" t="s">
        <v>7825</v>
      </c>
      <c r="C3553" s="13">
        <v>41593</v>
      </c>
      <c r="D3553" s="13" t="s">
        <v>8465</v>
      </c>
      <c r="E3553" s="10" t="s">
        <v>6107</v>
      </c>
      <c r="F3553" s="10" t="s">
        <v>4535</v>
      </c>
      <c r="H3553" s="2" t="s">
        <v>2138</v>
      </c>
      <c r="L3553" s="18">
        <v>1</v>
      </c>
      <c r="N3553" s="13">
        <v>42352</v>
      </c>
      <c r="O3553" s="29">
        <v>8.99</v>
      </c>
      <c r="P3553" s="18" t="s">
        <v>1107</v>
      </c>
      <c r="Q3553" s="18">
        <v>0</v>
      </c>
      <c r="U3553" s="22">
        <v>0.85</v>
      </c>
      <c r="V3553" s="22">
        <f>3.83/5</f>
        <v>0.76600000000000001</v>
      </c>
      <c r="X3553" s="3">
        <v>3</v>
      </c>
      <c r="Z3553" s="23">
        <v>2</v>
      </c>
      <c r="AB3553" s="18">
        <f t="shared" si="110"/>
        <v>2013</v>
      </c>
      <c r="AC3553" s="22">
        <f t="shared" si="111"/>
        <v>0.73866666666666669</v>
      </c>
    </row>
    <row r="3554" spans="1:29" ht="30">
      <c r="A3554" s="8" t="s">
        <v>6142</v>
      </c>
      <c r="B3554" s="17" t="s">
        <v>7760</v>
      </c>
      <c r="C3554" s="13">
        <v>41593</v>
      </c>
      <c r="D3554" s="13" t="s">
        <v>8465</v>
      </c>
      <c r="E3554" s="10" t="s">
        <v>2908</v>
      </c>
      <c r="F3554" s="10" t="s">
        <v>5862</v>
      </c>
      <c r="G3554" s="11" t="s">
        <v>6142</v>
      </c>
      <c r="H3554" s="2" t="s">
        <v>1040</v>
      </c>
      <c r="L3554" s="18">
        <v>1</v>
      </c>
      <c r="M3554" s="14" t="s">
        <v>8462</v>
      </c>
      <c r="N3554" s="13">
        <v>43149</v>
      </c>
      <c r="P3554" s="18" t="s">
        <v>14</v>
      </c>
      <c r="Q3554" s="18">
        <v>0</v>
      </c>
      <c r="U3554" s="22">
        <v>0.57999999999999996</v>
      </c>
      <c r="V3554" s="22">
        <f>3.21/5</f>
        <v>0.64200000000000002</v>
      </c>
      <c r="X3554" s="3">
        <v>3</v>
      </c>
      <c r="Z3554" s="23">
        <v>10.5</v>
      </c>
      <c r="AB3554" s="18">
        <f t="shared" si="110"/>
        <v>2013</v>
      </c>
      <c r="AC3554" s="22">
        <f t="shared" si="111"/>
        <v>0.60733333333333339</v>
      </c>
    </row>
    <row r="3555" spans="1:29" ht="30">
      <c r="A3555" s="8" t="s">
        <v>6193</v>
      </c>
      <c r="B3555" s="17" t="s">
        <v>7825</v>
      </c>
      <c r="C3555" s="13">
        <v>41593</v>
      </c>
      <c r="D3555" s="13" t="s">
        <v>8465</v>
      </c>
      <c r="E3555" s="10" t="s">
        <v>2908</v>
      </c>
      <c r="F3555" s="10" t="s">
        <v>6194</v>
      </c>
      <c r="H3555" s="2" t="s">
        <v>64</v>
      </c>
      <c r="L3555" s="18">
        <v>1</v>
      </c>
      <c r="N3555" s="13">
        <v>42241</v>
      </c>
      <c r="O3555" s="29">
        <v>0</v>
      </c>
      <c r="P3555" s="18" t="s">
        <v>1107</v>
      </c>
      <c r="Q3555" s="18">
        <v>0</v>
      </c>
      <c r="U3555" s="22">
        <v>0.83</v>
      </c>
      <c r="V3555" s="22">
        <f>3.82/5</f>
        <v>0.76400000000000001</v>
      </c>
      <c r="W3555" s="14" t="s">
        <v>6072</v>
      </c>
      <c r="X3555" s="3">
        <v>2</v>
      </c>
      <c r="Z3555" s="23">
        <v>2.5</v>
      </c>
      <c r="AB3555" s="18">
        <f t="shared" si="110"/>
        <v>2013</v>
      </c>
      <c r="AC3555" s="22">
        <f t="shared" si="111"/>
        <v>0.66466666666666663</v>
      </c>
    </row>
    <row r="3556" spans="1:29">
      <c r="A3556" s="8" t="s">
        <v>3492</v>
      </c>
      <c r="B3556" s="17" t="s">
        <v>7800</v>
      </c>
      <c r="C3556" s="13">
        <v>41593</v>
      </c>
      <c r="D3556" s="13" t="s">
        <v>8465</v>
      </c>
      <c r="E3556" s="10" t="s">
        <v>3493</v>
      </c>
      <c r="F3556" s="10" t="s">
        <v>3494</v>
      </c>
      <c r="H3556" s="2" t="s">
        <v>27</v>
      </c>
      <c r="L3556" s="18">
        <v>1</v>
      </c>
      <c r="N3556" s="13">
        <v>42170</v>
      </c>
      <c r="O3556" s="29">
        <v>3.74</v>
      </c>
      <c r="P3556" s="18" t="s">
        <v>1107</v>
      </c>
      <c r="Q3556" s="18">
        <v>0</v>
      </c>
      <c r="U3556" s="22">
        <v>0.64</v>
      </c>
      <c r="V3556" s="22">
        <f>3.49/5</f>
        <v>0.69800000000000006</v>
      </c>
      <c r="W3556" s="14" t="s">
        <v>7777</v>
      </c>
      <c r="X3556" s="3">
        <v>2</v>
      </c>
      <c r="Z3556" s="23">
        <v>3.5</v>
      </c>
      <c r="AB3556" s="18">
        <f t="shared" si="110"/>
        <v>2013</v>
      </c>
      <c r="AC3556" s="22">
        <f t="shared" si="111"/>
        <v>0.57933333333333337</v>
      </c>
    </row>
    <row r="3557" spans="1:29" ht="38.25">
      <c r="A3557" s="8" t="s">
        <v>14368</v>
      </c>
      <c r="B3557" s="17" t="s">
        <v>7743</v>
      </c>
      <c r="C3557" s="13">
        <v>41593</v>
      </c>
      <c r="D3557" s="13" t="s">
        <v>8465</v>
      </c>
      <c r="E3557" s="10" t="s">
        <v>86</v>
      </c>
      <c r="F3557" s="10" t="s">
        <v>14363</v>
      </c>
      <c r="G3557" s="11" t="s">
        <v>14364</v>
      </c>
      <c r="H3557" s="2" t="s">
        <v>255</v>
      </c>
      <c r="L3557" s="18">
        <v>0</v>
      </c>
      <c r="Q3557" s="18">
        <v>0</v>
      </c>
      <c r="U3557" s="22">
        <v>0.55000000000000004</v>
      </c>
      <c r="V3557" s="22">
        <f>3.34/5</f>
        <v>0.66799999999999993</v>
      </c>
      <c r="X3557" s="3">
        <v>2</v>
      </c>
      <c r="AB3557" s="18">
        <f t="shared" si="110"/>
        <v>2013</v>
      </c>
      <c r="AC3557" s="22">
        <f t="shared" si="111"/>
        <v>0.53933333333333333</v>
      </c>
    </row>
    <row r="3558" spans="1:29">
      <c r="A3558" s="8" t="s">
        <v>6146</v>
      </c>
      <c r="B3558" s="17" t="s">
        <v>7760</v>
      </c>
      <c r="C3558" s="13">
        <v>41593</v>
      </c>
      <c r="D3558" s="13" t="s">
        <v>8465</v>
      </c>
      <c r="E3558" s="10" t="s">
        <v>6147</v>
      </c>
      <c r="F3558" s="10" t="s">
        <v>1328</v>
      </c>
      <c r="G3558" s="11" t="s">
        <v>6148</v>
      </c>
      <c r="H3558" s="2" t="s">
        <v>255</v>
      </c>
      <c r="L3558" s="18">
        <v>1</v>
      </c>
      <c r="M3558" s="14" t="s">
        <v>8462</v>
      </c>
      <c r="N3558" s="13">
        <v>43585</v>
      </c>
      <c r="P3558" s="18" t="s">
        <v>14</v>
      </c>
      <c r="Q3558" s="18">
        <v>0</v>
      </c>
      <c r="U3558" s="22">
        <v>0.84</v>
      </c>
      <c r="V3558" s="22">
        <f>3.81/5</f>
        <v>0.76200000000000001</v>
      </c>
      <c r="X3558" s="3">
        <v>1</v>
      </c>
      <c r="Z3558" s="23">
        <v>82</v>
      </c>
      <c r="AB3558" s="18">
        <f t="shared" si="110"/>
        <v>2013</v>
      </c>
      <c r="AC3558" s="22">
        <f t="shared" si="111"/>
        <v>0.60066666666666657</v>
      </c>
    </row>
    <row r="3559" spans="1:29" ht="30">
      <c r="A3559" s="8" t="s">
        <v>6138</v>
      </c>
      <c r="B3559" s="17" t="s">
        <v>7760</v>
      </c>
      <c r="C3559" s="13">
        <v>41593</v>
      </c>
      <c r="D3559" s="13" t="s">
        <v>8465</v>
      </c>
      <c r="E3559" s="10" t="s">
        <v>2908</v>
      </c>
      <c r="F3559" s="10" t="s">
        <v>5882</v>
      </c>
      <c r="G3559" s="11" t="s">
        <v>5820</v>
      </c>
      <c r="H3559" s="2" t="s">
        <v>1050</v>
      </c>
      <c r="L3559" s="18">
        <v>1</v>
      </c>
      <c r="M3559" s="14" t="s">
        <v>8462</v>
      </c>
      <c r="N3559" s="13">
        <v>43329</v>
      </c>
      <c r="O3559" s="29">
        <v>3.99</v>
      </c>
      <c r="P3559" s="18" t="s">
        <v>8461</v>
      </c>
      <c r="Q3559" s="18">
        <v>0</v>
      </c>
      <c r="U3559" s="22">
        <v>0.73</v>
      </c>
      <c r="V3559" s="22">
        <f>3.35/5</f>
        <v>0.67</v>
      </c>
      <c r="X3559" s="3">
        <v>3</v>
      </c>
      <c r="Z3559" s="23">
        <v>10</v>
      </c>
      <c r="AB3559" s="18">
        <f t="shared" si="110"/>
        <v>2013</v>
      </c>
      <c r="AC3559" s="22">
        <f t="shared" si="111"/>
        <v>0.66666666666666663</v>
      </c>
    </row>
    <row r="3560" spans="1:29" ht="30">
      <c r="A3560" s="8" t="s">
        <v>13283</v>
      </c>
      <c r="B3560" s="17" t="s">
        <v>7749</v>
      </c>
      <c r="C3560" s="13">
        <v>41592</v>
      </c>
      <c r="D3560" s="13" t="s">
        <v>8463</v>
      </c>
      <c r="E3560" s="10" t="s">
        <v>86</v>
      </c>
      <c r="F3560" s="10" t="s">
        <v>86</v>
      </c>
      <c r="G3560" s="11" t="s">
        <v>13281</v>
      </c>
      <c r="H3560" s="2" t="s">
        <v>1220</v>
      </c>
      <c r="K3560" s="18">
        <v>0</v>
      </c>
      <c r="L3560" s="18">
        <v>0</v>
      </c>
      <c r="Q3560" s="18">
        <v>0</v>
      </c>
      <c r="V3560" s="22">
        <f>3.98/5</f>
        <v>0.79600000000000004</v>
      </c>
      <c r="X3560" s="3">
        <v>3</v>
      </c>
      <c r="AB3560" s="18">
        <f t="shared" si="110"/>
        <v>2013</v>
      </c>
      <c r="AC3560" s="22">
        <f t="shared" si="111"/>
        <v>0.69799999999999995</v>
      </c>
    </row>
    <row r="3561" spans="1:29">
      <c r="A3561" s="8" t="s">
        <v>11245</v>
      </c>
      <c r="B3561" s="17" t="s">
        <v>7749</v>
      </c>
      <c r="C3561" s="13">
        <v>41592</v>
      </c>
      <c r="D3561" s="13" t="s">
        <v>8465</v>
      </c>
      <c r="E3561" s="10" t="s">
        <v>1534</v>
      </c>
      <c r="F3561" s="10" t="s">
        <v>7413</v>
      </c>
      <c r="G3561" s="11" t="s">
        <v>10280</v>
      </c>
      <c r="H3561" s="2" t="s">
        <v>153</v>
      </c>
      <c r="L3561" s="18">
        <v>1</v>
      </c>
      <c r="N3561" s="13">
        <v>44641</v>
      </c>
      <c r="O3561" s="29">
        <v>19.989999999999998</v>
      </c>
      <c r="P3561" s="18" t="s">
        <v>1107</v>
      </c>
      <c r="Q3561" s="18">
        <v>0</v>
      </c>
      <c r="U3561" s="22">
        <v>0.62</v>
      </c>
      <c r="V3561" s="22">
        <f>3.82/5</f>
        <v>0.76400000000000001</v>
      </c>
      <c r="X3561" s="3">
        <v>2</v>
      </c>
      <c r="Z3561" s="23">
        <v>15.5</v>
      </c>
      <c r="AB3561" s="18">
        <f t="shared" si="110"/>
        <v>2013</v>
      </c>
      <c r="AC3561" s="22">
        <f t="shared" si="111"/>
        <v>0.59466666666666657</v>
      </c>
    </row>
    <row r="3562" spans="1:29" ht="25.5">
      <c r="A3562" s="8" t="s">
        <v>10258</v>
      </c>
      <c r="B3562" s="17" t="s">
        <v>7749</v>
      </c>
      <c r="C3562" s="13">
        <v>41591</v>
      </c>
      <c r="D3562" s="13" t="s">
        <v>8465</v>
      </c>
      <c r="E3562" s="10" t="s">
        <v>1733</v>
      </c>
      <c r="F3562" s="10" t="s">
        <v>1733</v>
      </c>
      <c r="G3562" s="11" t="s">
        <v>9880</v>
      </c>
      <c r="H3562" s="2" t="s">
        <v>64</v>
      </c>
      <c r="L3562" s="18">
        <v>1</v>
      </c>
      <c r="N3562" s="13">
        <v>44555</v>
      </c>
      <c r="O3562" s="29">
        <v>4.49</v>
      </c>
      <c r="P3562" s="18" t="s">
        <v>1107</v>
      </c>
      <c r="Q3562" s="18">
        <v>0</v>
      </c>
      <c r="U3562" s="22">
        <v>0.62</v>
      </c>
      <c r="V3562" s="22">
        <f>3.47/5</f>
        <v>0.69400000000000006</v>
      </c>
      <c r="X3562" s="3">
        <v>3</v>
      </c>
      <c r="Z3562" s="23">
        <v>2.5</v>
      </c>
      <c r="AB3562" s="18">
        <f t="shared" si="110"/>
        <v>2013</v>
      </c>
      <c r="AC3562" s="22">
        <f t="shared" si="111"/>
        <v>0.63800000000000001</v>
      </c>
    </row>
    <row r="3563" spans="1:29" ht="30">
      <c r="A3563" s="8" t="s">
        <v>6001</v>
      </c>
      <c r="B3563" s="17" t="s">
        <v>7759</v>
      </c>
      <c r="C3563" s="13">
        <v>41590</v>
      </c>
      <c r="D3563" s="13" t="s">
        <v>8465</v>
      </c>
      <c r="E3563" s="10" t="s">
        <v>2908</v>
      </c>
      <c r="F3563" s="10" t="s">
        <v>3039</v>
      </c>
      <c r="G3563" s="11" t="s">
        <v>5853</v>
      </c>
      <c r="H3563" s="2" t="s">
        <v>1040</v>
      </c>
      <c r="L3563" s="18">
        <v>1</v>
      </c>
      <c r="M3563" s="14" t="s">
        <v>8462</v>
      </c>
      <c r="N3563" s="13">
        <v>43399</v>
      </c>
      <c r="O3563" s="29">
        <v>15</v>
      </c>
      <c r="P3563" s="18" t="s">
        <v>14</v>
      </c>
      <c r="Q3563" s="18">
        <v>0</v>
      </c>
      <c r="U3563" s="22">
        <v>0.77</v>
      </c>
      <c r="V3563" s="22">
        <f>3.94/5</f>
        <v>0.78800000000000003</v>
      </c>
      <c r="X3563" s="3">
        <v>4</v>
      </c>
      <c r="Z3563" s="23">
        <v>5.5</v>
      </c>
      <c r="AB3563" s="18">
        <f t="shared" si="110"/>
        <v>2013</v>
      </c>
      <c r="AC3563" s="22">
        <f t="shared" si="111"/>
        <v>0.78600000000000003</v>
      </c>
    </row>
    <row r="3564" spans="1:29" ht="45">
      <c r="A3564" s="8" t="s">
        <v>4174</v>
      </c>
      <c r="B3564" s="17" t="s">
        <v>7800</v>
      </c>
      <c r="C3564" s="13">
        <v>41590</v>
      </c>
      <c r="D3564" s="13" t="s">
        <v>8465</v>
      </c>
      <c r="E3564" s="10" t="s">
        <v>1156</v>
      </c>
      <c r="F3564" s="10" t="s">
        <v>1632</v>
      </c>
      <c r="G3564" s="11" t="s">
        <v>4175</v>
      </c>
      <c r="H3564" s="2" t="s">
        <v>459</v>
      </c>
      <c r="L3564" s="18">
        <v>1</v>
      </c>
      <c r="N3564" s="13">
        <v>41801</v>
      </c>
      <c r="P3564" s="18" t="s">
        <v>1107</v>
      </c>
      <c r="Q3564" s="18">
        <v>0</v>
      </c>
      <c r="U3564" s="22">
        <v>0.8</v>
      </c>
      <c r="V3564" s="22">
        <f>3.5/5</f>
        <v>0.7</v>
      </c>
      <c r="W3564" s="14" t="s">
        <v>7777</v>
      </c>
      <c r="X3564" s="3">
        <v>3</v>
      </c>
      <c r="Z3564" s="23">
        <v>5</v>
      </c>
      <c r="AB3564" s="18">
        <f t="shared" si="110"/>
        <v>2013</v>
      </c>
      <c r="AC3564" s="22">
        <f t="shared" si="111"/>
        <v>0.70000000000000007</v>
      </c>
    </row>
    <row r="3565" spans="1:29">
      <c r="A3565" s="8" t="s">
        <v>4710</v>
      </c>
      <c r="B3565" s="17" t="s">
        <v>7800</v>
      </c>
      <c r="C3565" s="13">
        <v>41589</v>
      </c>
      <c r="D3565" s="13" t="s">
        <v>8465</v>
      </c>
      <c r="E3565" s="10" t="s">
        <v>4709</v>
      </c>
      <c r="F3565" s="10" t="s">
        <v>2127</v>
      </c>
      <c r="G3565" s="11" t="s">
        <v>4707</v>
      </c>
      <c r="H3565" s="2" t="s">
        <v>1054</v>
      </c>
      <c r="L3565" s="18">
        <v>1</v>
      </c>
      <c r="N3565" s="13">
        <v>41858</v>
      </c>
      <c r="P3565" s="18" t="s">
        <v>1107</v>
      </c>
      <c r="Q3565" s="18">
        <v>0</v>
      </c>
      <c r="U3565" s="22">
        <v>0.76</v>
      </c>
      <c r="V3565" s="22">
        <f>3.94/5</f>
        <v>0.78800000000000003</v>
      </c>
      <c r="W3565" s="14" t="s">
        <v>7777</v>
      </c>
      <c r="X3565" s="3">
        <v>3</v>
      </c>
      <c r="Z3565" s="23">
        <v>4.5</v>
      </c>
      <c r="AB3565" s="18">
        <f t="shared" si="110"/>
        <v>2013</v>
      </c>
      <c r="AC3565" s="22">
        <f t="shared" si="111"/>
        <v>0.71600000000000008</v>
      </c>
    </row>
    <row r="3566" spans="1:29">
      <c r="A3566" s="8" t="s">
        <v>7298</v>
      </c>
      <c r="B3566" s="17" t="s">
        <v>7783</v>
      </c>
      <c r="C3566" s="13">
        <v>41586</v>
      </c>
      <c r="D3566" s="13" t="s">
        <v>8465</v>
      </c>
      <c r="E3566" s="10" t="s">
        <v>5175</v>
      </c>
      <c r="F3566" s="10" t="s">
        <v>5175</v>
      </c>
      <c r="G3566" s="11" t="s">
        <v>7297</v>
      </c>
      <c r="H3566" s="2" t="s">
        <v>1168</v>
      </c>
      <c r="L3566" s="18">
        <v>1</v>
      </c>
      <c r="N3566" s="13">
        <v>41736</v>
      </c>
      <c r="O3566" s="29">
        <v>0</v>
      </c>
      <c r="P3566" s="18" t="s">
        <v>1107</v>
      </c>
      <c r="Q3566" s="18">
        <v>0</v>
      </c>
      <c r="U3566" s="22">
        <v>0.74</v>
      </c>
      <c r="V3566" s="22">
        <f>4.33/5</f>
        <v>0.86599999999999999</v>
      </c>
      <c r="X3566" s="3">
        <v>3</v>
      </c>
      <c r="Z3566" s="23">
        <v>4</v>
      </c>
      <c r="AB3566" s="18">
        <f t="shared" si="110"/>
        <v>2013</v>
      </c>
      <c r="AC3566" s="22">
        <f t="shared" si="111"/>
        <v>0.73533333333333328</v>
      </c>
    </row>
    <row r="3567" spans="1:29" ht="25.5">
      <c r="A3567" s="8" t="s">
        <v>4728</v>
      </c>
      <c r="B3567" s="17" t="s">
        <v>7800</v>
      </c>
      <c r="C3567" s="13">
        <v>41586</v>
      </c>
      <c r="D3567" s="13" t="s">
        <v>8465</v>
      </c>
      <c r="E3567" s="10" t="s">
        <v>4729</v>
      </c>
      <c r="F3567" s="10" t="s">
        <v>2137</v>
      </c>
      <c r="H3567" s="2" t="s">
        <v>56</v>
      </c>
      <c r="L3567" s="18">
        <v>1</v>
      </c>
      <c r="N3567" s="13">
        <v>42031</v>
      </c>
      <c r="P3567" s="18" t="s">
        <v>1107</v>
      </c>
      <c r="Q3567" s="18">
        <v>0</v>
      </c>
      <c r="U3567" s="22">
        <v>0.8</v>
      </c>
      <c r="V3567" s="22">
        <f>3.75/5</f>
        <v>0.75</v>
      </c>
      <c r="W3567" s="14" t="s">
        <v>7777</v>
      </c>
      <c r="X3567" s="3">
        <v>3</v>
      </c>
      <c r="AB3567" s="18">
        <f t="shared" si="110"/>
        <v>2013</v>
      </c>
      <c r="AC3567" s="22">
        <f t="shared" si="111"/>
        <v>0.71666666666666667</v>
      </c>
    </row>
    <row r="3568" spans="1:29">
      <c r="A3568" s="8" t="s">
        <v>4849</v>
      </c>
      <c r="B3568" s="17" t="s">
        <v>7800</v>
      </c>
      <c r="C3568" s="13">
        <v>41586</v>
      </c>
      <c r="D3568" s="13" t="s">
        <v>8465</v>
      </c>
      <c r="E3568" s="10" t="s">
        <v>4850</v>
      </c>
      <c r="F3568" s="10" t="s">
        <v>3600</v>
      </c>
      <c r="G3568" s="11" t="s">
        <v>4849</v>
      </c>
      <c r="H3568" s="2" t="s">
        <v>1518</v>
      </c>
      <c r="L3568" s="18">
        <v>1</v>
      </c>
      <c r="N3568" s="13">
        <v>41754</v>
      </c>
      <c r="O3568" s="29">
        <v>3.39</v>
      </c>
      <c r="P3568" s="18" t="s">
        <v>1107</v>
      </c>
      <c r="Q3568" s="18">
        <v>0</v>
      </c>
      <c r="U3568" s="22">
        <v>0.76</v>
      </c>
      <c r="V3568" s="22">
        <f>3.76/5</f>
        <v>0.752</v>
      </c>
      <c r="W3568" s="14" t="s">
        <v>7777</v>
      </c>
      <c r="X3568" s="3">
        <v>3</v>
      </c>
      <c r="Z3568" s="23">
        <v>3.5</v>
      </c>
      <c r="AB3568" s="18">
        <f t="shared" si="110"/>
        <v>2013</v>
      </c>
      <c r="AC3568" s="22">
        <f t="shared" si="111"/>
        <v>0.70400000000000007</v>
      </c>
    </row>
    <row r="3569" spans="1:29">
      <c r="A3569" s="8" t="s">
        <v>4343</v>
      </c>
      <c r="B3569" s="17" t="s">
        <v>7800</v>
      </c>
      <c r="C3569" s="13">
        <v>41586</v>
      </c>
      <c r="D3569" s="13" t="s">
        <v>8465</v>
      </c>
      <c r="E3569" s="10" t="s">
        <v>4344</v>
      </c>
      <c r="F3569" s="10" t="s">
        <v>4344</v>
      </c>
      <c r="H3569" s="2" t="s">
        <v>1057</v>
      </c>
      <c r="L3569" s="18">
        <v>1</v>
      </c>
      <c r="N3569" s="13">
        <v>42047</v>
      </c>
      <c r="P3569" s="18" t="s">
        <v>1107</v>
      </c>
      <c r="Q3569" s="18">
        <v>0</v>
      </c>
      <c r="U3569" s="22">
        <v>0.68</v>
      </c>
      <c r="V3569" s="22">
        <f>3.7/5</f>
        <v>0.74</v>
      </c>
      <c r="W3569" s="14" t="s">
        <v>7777</v>
      </c>
      <c r="X3569" s="3">
        <v>2</v>
      </c>
      <c r="Z3569" s="23">
        <v>4</v>
      </c>
      <c r="AB3569" s="18">
        <f t="shared" si="110"/>
        <v>2013</v>
      </c>
      <c r="AC3569" s="22">
        <f t="shared" si="111"/>
        <v>0.60666666666666658</v>
      </c>
    </row>
    <row r="3570" spans="1:29">
      <c r="A3570" s="8" t="s">
        <v>7336</v>
      </c>
      <c r="B3570" s="17" t="s">
        <v>7783</v>
      </c>
      <c r="C3570" s="13">
        <v>41585</v>
      </c>
      <c r="D3570" s="13" t="s">
        <v>8465</v>
      </c>
      <c r="E3570" s="10" t="s">
        <v>1047</v>
      </c>
      <c r="F3570" s="10" t="s">
        <v>4703</v>
      </c>
      <c r="G3570" s="11" t="s">
        <v>1477</v>
      </c>
      <c r="H3570" s="2" t="s">
        <v>64</v>
      </c>
      <c r="L3570" s="18">
        <v>1</v>
      </c>
      <c r="N3570" s="13">
        <v>41736</v>
      </c>
      <c r="O3570" s="29">
        <v>0.99</v>
      </c>
      <c r="P3570" s="18" t="s">
        <v>1107</v>
      </c>
      <c r="Q3570" s="18">
        <v>0</v>
      </c>
      <c r="U3570" s="22">
        <v>0.87</v>
      </c>
      <c r="V3570" s="22">
        <f>3.65/5</f>
        <v>0.73</v>
      </c>
      <c r="X3570" s="3">
        <v>3</v>
      </c>
      <c r="Z3570" s="23">
        <v>8</v>
      </c>
      <c r="AB3570" s="18">
        <f t="shared" si="110"/>
        <v>2013</v>
      </c>
      <c r="AC3570" s="22">
        <f t="shared" si="111"/>
        <v>0.73333333333333339</v>
      </c>
    </row>
    <row r="3571" spans="1:29" ht="38.25">
      <c r="A3571" s="8" t="s">
        <v>10228</v>
      </c>
      <c r="B3571" s="17" t="s">
        <v>7759</v>
      </c>
      <c r="C3571" s="13">
        <v>41585</v>
      </c>
      <c r="D3571" s="13" t="s">
        <v>8463</v>
      </c>
      <c r="E3571" s="10" t="s">
        <v>2298</v>
      </c>
      <c r="F3571" s="10" t="s">
        <v>7413</v>
      </c>
      <c r="G3571" s="11" t="s">
        <v>7414</v>
      </c>
      <c r="H3571" s="2" t="s">
        <v>1059</v>
      </c>
      <c r="K3571" s="18">
        <v>2</v>
      </c>
      <c r="L3571" s="18">
        <v>1</v>
      </c>
      <c r="M3571" s="14" t="s">
        <v>8462</v>
      </c>
      <c r="N3571" s="13">
        <v>44910</v>
      </c>
      <c r="O3571" s="29">
        <v>41.93</v>
      </c>
      <c r="P3571" s="18" t="s">
        <v>14</v>
      </c>
      <c r="Q3571" s="18">
        <v>0</v>
      </c>
      <c r="V3571" s="22">
        <f>3.87/5</f>
        <v>0.77400000000000002</v>
      </c>
      <c r="X3571" s="3">
        <v>3</v>
      </c>
      <c r="Z3571" s="23">
        <v>6</v>
      </c>
      <c r="AB3571" s="18">
        <f t="shared" si="110"/>
        <v>2013</v>
      </c>
      <c r="AC3571" s="22">
        <f t="shared" si="111"/>
        <v>0.68700000000000006</v>
      </c>
    </row>
    <row r="3572" spans="1:29" ht="25.5">
      <c r="A3572" s="8" t="s">
        <v>13068</v>
      </c>
      <c r="B3572" s="17" t="s">
        <v>7749</v>
      </c>
      <c r="C3572" s="13">
        <v>41585</v>
      </c>
      <c r="D3572" s="13" t="s">
        <v>8463</v>
      </c>
      <c r="E3572" s="10" t="s">
        <v>1167</v>
      </c>
      <c r="F3572" s="10" t="s">
        <v>1087</v>
      </c>
      <c r="G3572" s="11" t="s">
        <v>1392</v>
      </c>
      <c r="H3572" s="2" t="s">
        <v>149</v>
      </c>
      <c r="K3572" s="18">
        <v>0</v>
      </c>
      <c r="L3572" s="18">
        <v>0</v>
      </c>
      <c r="Q3572" s="18">
        <v>0</v>
      </c>
      <c r="V3572" s="22">
        <f>4.19/5</f>
        <v>0.83800000000000008</v>
      </c>
      <c r="X3572" s="3">
        <v>2</v>
      </c>
      <c r="AB3572" s="18">
        <f t="shared" si="110"/>
        <v>2013</v>
      </c>
      <c r="AC3572" s="22">
        <f t="shared" si="111"/>
        <v>0.61899999999999999</v>
      </c>
    </row>
    <row r="3573" spans="1:29">
      <c r="A3573" s="8" t="s">
        <v>13770</v>
      </c>
      <c r="B3573" s="17" t="s">
        <v>7749</v>
      </c>
      <c r="C3573" s="13">
        <v>41585</v>
      </c>
      <c r="D3573" s="13" t="s">
        <v>8463</v>
      </c>
      <c r="E3573" s="10" t="s">
        <v>8799</v>
      </c>
      <c r="F3573" s="10" t="s">
        <v>1710</v>
      </c>
      <c r="H3573" s="2" t="s">
        <v>149</v>
      </c>
      <c r="K3573" s="18">
        <v>0</v>
      </c>
      <c r="L3573" s="18">
        <v>0</v>
      </c>
      <c r="Q3573" s="18">
        <v>0</v>
      </c>
      <c r="V3573" s="22">
        <f>3.86/5</f>
        <v>0.77200000000000002</v>
      </c>
      <c r="X3573" s="3">
        <v>2</v>
      </c>
      <c r="AB3573" s="18">
        <f t="shared" si="110"/>
        <v>2013</v>
      </c>
      <c r="AC3573" s="22">
        <f t="shared" si="111"/>
        <v>0.58600000000000008</v>
      </c>
    </row>
    <row r="3574" spans="1:29">
      <c r="A3574" s="8" t="s">
        <v>13385</v>
      </c>
      <c r="B3574" s="17" t="s">
        <v>7800</v>
      </c>
      <c r="C3574" s="13">
        <v>41585</v>
      </c>
      <c r="D3574" s="13" t="s">
        <v>8465</v>
      </c>
      <c r="E3574" s="10" t="s">
        <v>13386</v>
      </c>
      <c r="F3574" s="10" t="s">
        <v>13386</v>
      </c>
      <c r="H3574" s="2" t="s">
        <v>64</v>
      </c>
      <c r="L3574" s="18">
        <v>1</v>
      </c>
      <c r="N3574" s="13">
        <v>44959</v>
      </c>
      <c r="O3574" s="29">
        <v>1.74</v>
      </c>
      <c r="P3574" s="18" t="s">
        <v>1107</v>
      </c>
      <c r="Q3574" s="18">
        <v>0</v>
      </c>
      <c r="U3574" s="22">
        <v>0.67</v>
      </c>
      <c r="V3574" s="22">
        <f>3.83/5</f>
        <v>0.76600000000000001</v>
      </c>
      <c r="W3574" s="14" t="s">
        <v>7777</v>
      </c>
      <c r="X3574" s="3">
        <v>2</v>
      </c>
      <c r="Z3574" s="23">
        <v>4</v>
      </c>
      <c r="AB3574" s="18">
        <f t="shared" si="110"/>
        <v>2013</v>
      </c>
      <c r="AC3574" s="22">
        <f t="shared" si="111"/>
        <v>0.61199999999999999</v>
      </c>
    </row>
    <row r="3575" spans="1:29" ht="38.25">
      <c r="A3575" s="8" t="s">
        <v>3187</v>
      </c>
      <c r="B3575" s="17" t="s">
        <v>7800</v>
      </c>
      <c r="C3575" s="13">
        <v>41584</v>
      </c>
      <c r="D3575" s="13" t="s">
        <v>8465</v>
      </c>
      <c r="E3575" s="10" t="s">
        <v>1698</v>
      </c>
      <c r="F3575" s="10" t="s">
        <v>1698</v>
      </c>
      <c r="G3575" s="11" t="s">
        <v>3184</v>
      </c>
      <c r="H3575" s="2" t="s">
        <v>1169</v>
      </c>
      <c r="L3575" s="18">
        <v>1</v>
      </c>
      <c r="N3575" s="13">
        <v>41591</v>
      </c>
      <c r="P3575" s="18" t="s">
        <v>1107</v>
      </c>
      <c r="Q3575" s="18">
        <v>0</v>
      </c>
      <c r="V3575" s="22">
        <f>3.5/5</f>
        <v>0.7</v>
      </c>
      <c r="W3575" s="14" t="s">
        <v>7777</v>
      </c>
      <c r="X3575" s="3">
        <v>2</v>
      </c>
      <c r="Z3575" s="23">
        <v>4</v>
      </c>
      <c r="AB3575" s="18">
        <f t="shared" si="110"/>
        <v>2013</v>
      </c>
      <c r="AC3575" s="22">
        <f t="shared" si="111"/>
        <v>0.55000000000000004</v>
      </c>
    </row>
    <row r="3576" spans="1:29">
      <c r="A3576" s="8" t="s">
        <v>5479</v>
      </c>
      <c r="B3576" s="17" t="s">
        <v>7800</v>
      </c>
      <c r="C3576" s="13">
        <v>41584</v>
      </c>
      <c r="D3576" s="13" t="s">
        <v>8465</v>
      </c>
      <c r="E3576" s="10" t="s">
        <v>3808</v>
      </c>
      <c r="F3576" s="10" t="s">
        <v>5480</v>
      </c>
      <c r="H3576" s="2" t="s">
        <v>64</v>
      </c>
      <c r="L3576" s="18">
        <v>1</v>
      </c>
      <c r="N3576" s="13">
        <v>41732</v>
      </c>
      <c r="P3576" s="18" t="s">
        <v>1107</v>
      </c>
      <c r="Q3576" s="18">
        <v>0</v>
      </c>
      <c r="V3576" s="22">
        <f>3.29/5</f>
        <v>0.65800000000000003</v>
      </c>
      <c r="W3576" s="14" t="s">
        <v>7777</v>
      </c>
      <c r="X3576" s="3">
        <v>2</v>
      </c>
      <c r="Z3576" s="23">
        <v>2.5</v>
      </c>
      <c r="AB3576" s="18">
        <f t="shared" si="110"/>
        <v>2013</v>
      </c>
      <c r="AC3576" s="22">
        <f t="shared" si="111"/>
        <v>0.52900000000000003</v>
      </c>
    </row>
    <row r="3577" spans="1:29">
      <c r="A3577" s="8" t="s">
        <v>5638</v>
      </c>
      <c r="B3577" s="17" t="s">
        <v>7800</v>
      </c>
      <c r="C3577" s="13">
        <v>41584</v>
      </c>
      <c r="D3577" s="13" t="s">
        <v>8465</v>
      </c>
      <c r="E3577" s="10" t="s">
        <v>1698</v>
      </c>
      <c r="F3577" s="10" t="s">
        <v>1698</v>
      </c>
      <c r="G3577" s="11" t="s">
        <v>3184</v>
      </c>
      <c r="H3577" s="2" t="s">
        <v>1169</v>
      </c>
      <c r="L3577" s="18">
        <v>1</v>
      </c>
      <c r="N3577" s="13">
        <v>41591</v>
      </c>
      <c r="P3577" s="18" t="s">
        <v>1107</v>
      </c>
      <c r="Q3577" s="18">
        <v>0</v>
      </c>
      <c r="V3577" s="22">
        <f>3.17/5</f>
        <v>0.63400000000000001</v>
      </c>
      <c r="W3577" s="14" t="s">
        <v>7777</v>
      </c>
      <c r="X3577" s="3">
        <v>2</v>
      </c>
      <c r="Z3577" s="23">
        <v>3.5</v>
      </c>
      <c r="AB3577" s="18">
        <f t="shared" si="110"/>
        <v>2013</v>
      </c>
      <c r="AC3577" s="22">
        <f t="shared" si="111"/>
        <v>0.51700000000000002</v>
      </c>
    </row>
    <row r="3578" spans="1:29" ht="30">
      <c r="A3578" s="8" t="s">
        <v>8801</v>
      </c>
      <c r="B3578" s="17" t="s">
        <v>7759</v>
      </c>
      <c r="C3578" s="13">
        <v>41583</v>
      </c>
      <c r="D3578" s="13" t="s">
        <v>8465</v>
      </c>
      <c r="E3578" s="10" t="s">
        <v>1062</v>
      </c>
      <c r="F3578" s="10" t="s">
        <v>2285</v>
      </c>
      <c r="G3578" s="11" t="s">
        <v>8801</v>
      </c>
      <c r="H3578" s="2" t="s">
        <v>75</v>
      </c>
      <c r="L3578" s="18">
        <v>1</v>
      </c>
      <c r="M3578" s="14" t="s">
        <v>8462</v>
      </c>
      <c r="N3578" s="13">
        <v>44308</v>
      </c>
      <c r="O3578" s="29">
        <v>26.15</v>
      </c>
      <c r="P3578" s="18" t="s">
        <v>14</v>
      </c>
      <c r="Q3578" s="18">
        <v>0</v>
      </c>
      <c r="U3578" s="22">
        <v>0.74</v>
      </c>
      <c r="V3578" s="22">
        <f>3.92/5</f>
        <v>0.78400000000000003</v>
      </c>
      <c r="X3578" s="3">
        <v>3</v>
      </c>
      <c r="Z3578" s="23">
        <v>38.5</v>
      </c>
      <c r="AB3578" s="18">
        <f t="shared" si="110"/>
        <v>2013</v>
      </c>
      <c r="AC3578" s="22">
        <f t="shared" si="111"/>
        <v>0.70800000000000007</v>
      </c>
    </row>
    <row r="3579" spans="1:29">
      <c r="A3579" s="8" t="s">
        <v>5133</v>
      </c>
      <c r="B3579" s="17" t="s">
        <v>7800</v>
      </c>
      <c r="C3579" s="13">
        <v>41583</v>
      </c>
      <c r="D3579" s="13" t="s">
        <v>8465</v>
      </c>
      <c r="E3579" s="10" t="s">
        <v>3116</v>
      </c>
      <c r="F3579" s="10" t="s">
        <v>5134</v>
      </c>
      <c r="G3579" s="11" t="s">
        <v>5133</v>
      </c>
      <c r="H3579" s="2" t="s">
        <v>1699</v>
      </c>
      <c r="L3579" s="18">
        <v>1</v>
      </c>
      <c r="N3579" s="13">
        <v>41770</v>
      </c>
      <c r="O3579" s="29">
        <v>4.99</v>
      </c>
      <c r="P3579" s="18" t="s">
        <v>1107</v>
      </c>
      <c r="Q3579" s="18">
        <v>0</v>
      </c>
      <c r="U3579" s="22">
        <v>0.75</v>
      </c>
      <c r="V3579" s="22">
        <f>3.65/5</f>
        <v>0.73</v>
      </c>
      <c r="W3579" s="14" t="s">
        <v>7777</v>
      </c>
      <c r="X3579" s="3">
        <v>3</v>
      </c>
      <c r="Z3579" s="23">
        <v>16</v>
      </c>
      <c r="AB3579" s="18">
        <f t="shared" si="110"/>
        <v>2013</v>
      </c>
      <c r="AC3579" s="22">
        <f t="shared" si="111"/>
        <v>0.69333333333333336</v>
      </c>
    </row>
    <row r="3580" spans="1:29">
      <c r="A3580" s="8" t="s">
        <v>12064</v>
      </c>
      <c r="B3580" s="17" t="s">
        <v>7800</v>
      </c>
      <c r="C3580" s="13">
        <v>41583</v>
      </c>
      <c r="D3580" s="13" t="s">
        <v>8465</v>
      </c>
      <c r="E3580" s="10" t="s">
        <v>3493</v>
      </c>
      <c r="F3580" s="10" t="s">
        <v>12065</v>
      </c>
      <c r="G3580" s="11" t="s">
        <v>4561</v>
      </c>
      <c r="H3580" s="2" t="s">
        <v>153</v>
      </c>
      <c r="L3580" s="18">
        <v>1</v>
      </c>
      <c r="N3580" s="13">
        <v>44738</v>
      </c>
      <c r="O3580" s="29">
        <v>0.99</v>
      </c>
      <c r="P3580" s="18" t="s">
        <v>1107</v>
      </c>
      <c r="Q3580" s="18">
        <v>0</v>
      </c>
      <c r="U3580" s="22">
        <v>0.66</v>
      </c>
      <c r="V3580" s="22">
        <f>3.09/5</f>
        <v>0.61799999999999999</v>
      </c>
      <c r="W3580" s="14" t="s">
        <v>7777</v>
      </c>
      <c r="X3580" s="3">
        <v>2</v>
      </c>
      <c r="Z3580" s="23">
        <v>5</v>
      </c>
      <c r="AB3580" s="18">
        <f t="shared" si="110"/>
        <v>2013</v>
      </c>
      <c r="AC3580" s="22">
        <f t="shared" si="111"/>
        <v>0.55933333333333335</v>
      </c>
    </row>
    <row r="3581" spans="1:29">
      <c r="A3581" s="8" t="s">
        <v>9275</v>
      </c>
      <c r="B3581" s="17" t="s">
        <v>7759</v>
      </c>
      <c r="C3581" s="13">
        <v>41583</v>
      </c>
      <c r="D3581" s="13" t="s">
        <v>8465</v>
      </c>
      <c r="E3581" s="10" t="s">
        <v>1273</v>
      </c>
      <c r="F3581" s="10" t="s">
        <v>3400</v>
      </c>
      <c r="G3581" s="11" t="s">
        <v>3401</v>
      </c>
      <c r="H3581" s="2" t="s">
        <v>1050</v>
      </c>
      <c r="L3581" s="18">
        <v>1</v>
      </c>
      <c r="M3581" s="14" t="s">
        <v>10622</v>
      </c>
      <c r="N3581" s="13">
        <v>44083</v>
      </c>
      <c r="O3581" s="29">
        <v>2.99</v>
      </c>
      <c r="P3581" s="18" t="s">
        <v>14</v>
      </c>
      <c r="Q3581" s="18">
        <v>0</v>
      </c>
      <c r="U3581" s="22">
        <v>0.71</v>
      </c>
      <c r="V3581" s="22">
        <f>3.25/5</f>
        <v>0.65</v>
      </c>
      <c r="X3581" s="3">
        <v>3</v>
      </c>
      <c r="Z3581" s="23">
        <v>6</v>
      </c>
      <c r="AB3581" s="18">
        <f t="shared" si="110"/>
        <v>2013</v>
      </c>
      <c r="AC3581" s="22">
        <f t="shared" si="111"/>
        <v>0.65333333333333332</v>
      </c>
    </row>
    <row r="3582" spans="1:29" ht="25.5">
      <c r="A3582" s="8" t="s">
        <v>3878</v>
      </c>
      <c r="B3582" s="17" t="s">
        <v>7800</v>
      </c>
      <c r="C3582" s="13">
        <v>41582</v>
      </c>
      <c r="D3582" s="13" t="s">
        <v>8465</v>
      </c>
      <c r="E3582" s="10" t="s">
        <v>3879</v>
      </c>
      <c r="F3582" s="10" t="s">
        <v>3880</v>
      </c>
      <c r="G3582" s="11" t="s">
        <v>3881</v>
      </c>
      <c r="H3582" s="2" t="s">
        <v>67</v>
      </c>
      <c r="L3582" s="18">
        <v>1</v>
      </c>
      <c r="N3582" s="13">
        <v>41585</v>
      </c>
      <c r="P3582" s="18" t="s">
        <v>1107</v>
      </c>
      <c r="Q3582" s="18">
        <v>0</v>
      </c>
      <c r="U3582" s="22">
        <v>0.7</v>
      </c>
      <c r="V3582" s="22">
        <f>3.5/5</f>
        <v>0.7</v>
      </c>
      <c r="W3582" s="14" t="s">
        <v>7777</v>
      </c>
      <c r="X3582" s="3">
        <v>2</v>
      </c>
      <c r="Z3582" s="23">
        <v>2.5</v>
      </c>
      <c r="AB3582" s="18">
        <f t="shared" si="110"/>
        <v>2013</v>
      </c>
      <c r="AC3582" s="22">
        <f t="shared" si="111"/>
        <v>0.6</v>
      </c>
    </row>
    <row r="3583" spans="1:29">
      <c r="A3583" s="8" t="s">
        <v>4207</v>
      </c>
      <c r="B3583" s="17" t="s">
        <v>7800</v>
      </c>
      <c r="C3583" s="13">
        <v>41582</v>
      </c>
      <c r="D3583" s="13" t="s">
        <v>8465</v>
      </c>
      <c r="E3583" s="10" t="s">
        <v>3072</v>
      </c>
      <c r="F3583" s="10" t="s">
        <v>4208</v>
      </c>
      <c r="H3583" s="2" t="s">
        <v>67</v>
      </c>
      <c r="L3583" s="18">
        <v>1</v>
      </c>
      <c r="N3583" s="13">
        <v>41797</v>
      </c>
      <c r="P3583" s="18" t="s">
        <v>1107</v>
      </c>
      <c r="Q3583" s="18">
        <v>0</v>
      </c>
      <c r="U3583" s="22">
        <v>0.57999999999999996</v>
      </c>
      <c r="V3583" s="22">
        <f>3.22/5</f>
        <v>0.64400000000000002</v>
      </c>
      <c r="W3583" s="14" t="s">
        <v>7777</v>
      </c>
      <c r="X3583" s="3">
        <v>2</v>
      </c>
      <c r="Z3583" s="23">
        <v>3</v>
      </c>
      <c r="AB3583" s="18">
        <f t="shared" si="110"/>
        <v>2013</v>
      </c>
      <c r="AC3583" s="22">
        <f t="shared" si="111"/>
        <v>0.54133333333333333</v>
      </c>
    </row>
    <row r="3584" spans="1:29">
      <c r="A3584" s="8" t="s">
        <v>4327</v>
      </c>
      <c r="B3584" s="17" t="s">
        <v>7800</v>
      </c>
      <c r="C3584" s="13">
        <v>41579</v>
      </c>
      <c r="D3584" s="13" t="s">
        <v>8465</v>
      </c>
      <c r="E3584" s="10" t="s">
        <v>4328</v>
      </c>
      <c r="F3584" s="10" t="s">
        <v>4328</v>
      </c>
      <c r="H3584" s="2" t="s">
        <v>67</v>
      </c>
      <c r="L3584" s="18">
        <v>1</v>
      </c>
      <c r="N3584" s="13">
        <v>41907</v>
      </c>
      <c r="P3584" s="18" t="s">
        <v>1107</v>
      </c>
      <c r="Q3584" s="18">
        <v>0</v>
      </c>
      <c r="U3584" s="22">
        <v>0.76</v>
      </c>
      <c r="V3584" s="22">
        <f>3.63/5</f>
        <v>0.72599999999999998</v>
      </c>
      <c r="W3584" s="14" t="s">
        <v>7777</v>
      </c>
      <c r="X3584" s="3">
        <v>2</v>
      </c>
      <c r="Z3584" s="23">
        <v>2</v>
      </c>
      <c r="AB3584" s="18">
        <f t="shared" si="110"/>
        <v>2013</v>
      </c>
      <c r="AC3584" s="22">
        <f t="shared" si="111"/>
        <v>0.62866666666666671</v>
      </c>
    </row>
    <row r="3585" spans="1:29" ht="25.5">
      <c r="A3585" s="8" t="s">
        <v>3233</v>
      </c>
      <c r="B3585" s="17" t="s">
        <v>7800</v>
      </c>
      <c r="C3585" s="13">
        <v>41577</v>
      </c>
      <c r="D3585" s="13" t="s">
        <v>8465</v>
      </c>
      <c r="E3585" s="10" t="s">
        <v>3234</v>
      </c>
      <c r="F3585" s="10" t="s">
        <v>3234</v>
      </c>
      <c r="G3585" s="11" t="s">
        <v>3235</v>
      </c>
      <c r="H3585" s="2" t="s">
        <v>1720</v>
      </c>
      <c r="L3585" s="18">
        <v>1</v>
      </c>
      <c r="N3585" s="13">
        <v>41991</v>
      </c>
      <c r="P3585" s="18" t="s">
        <v>1107</v>
      </c>
      <c r="Q3585" s="18">
        <v>0</v>
      </c>
      <c r="U3585" s="22">
        <v>0.83</v>
      </c>
      <c r="V3585" s="22">
        <f>3.71/5</f>
        <v>0.74199999999999999</v>
      </c>
      <c r="W3585" s="14" t="s">
        <v>7777</v>
      </c>
      <c r="X3585" s="3">
        <v>2</v>
      </c>
      <c r="Z3585" s="23">
        <v>23.5</v>
      </c>
      <c r="AB3585" s="18">
        <f t="shared" ref="AB3585:AB3648" si="112">IFERROR(YEAR(C3585), "Early Access")</f>
        <v>2013</v>
      </c>
      <c r="AC3585" s="22">
        <f t="shared" ref="AC3585:AC3648" si="113">AVERAGE(T3585, U3585, V3585, IF(ISBLANK(X3585), X3585, X3585/5))</f>
        <v>0.65733333333333333</v>
      </c>
    </row>
    <row r="3586" spans="1:29">
      <c r="A3586" s="8" t="s">
        <v>6532</v>
      </c>
      <c r="B3586" s="17" t="s">
        <v>7800</v>
      </c>
      <c r="C3586" s="13">
        <v>41576</v>
      </c>
      <c r="D3586" s="13" t="s">
        <v>8465</v>
      </c>
      <c r="E3586" s="10" t="s">
        <v>231</v>
      </c>
      <c r="F3586" s="10" t="s">
        <v>4461</v>
      </c>
      <c r="G3586" s="11" t="s">
        <v>6350</v>
      </c>
      <c r="H3586" s="2" t="s">
        <v>1050</v>
      </c>
      <c r="L3586" s="18">
        <v>1</v>
      </c>
      <c r="N3586" s="13">
        <v>43833</v>
      </c>
      <c r="O3586" s="29">
        <v>4.79</v>
      </c>
      <c r="P3586" s="18" t="s">
        <v>1107</v>
      </c>
      <c r="Q3586" s="18">
        <v>0</v>
      </c>
      <c r="U3586" s="22">
        <v>0.79</v>
      </c>
      <c r="V3586" s="22">
        <f>3.62/5</f>
        <v>0.72399999999999998</v>
      </c>
      <c r="W3586" s="14" t="s">
        <v>7796</v>
      </c>
      <c r="X3586" s="3">
        <v>3</v>
      </c>
      <c r="Z3586" s="23">
        <v>6</v>
      </c>
      <c r="AB3586" s="18">
        <f t="shared" si="112"/>
        <v>2013</v>
      </c>
      <c r="AC3586" s="22">
        <f t="shared" si="113"/>
        <v>0.70466666666666666</v>
      </c>
    </row>
    <row r="3587" spans="1:29" ht="25.5">
      <c r="A3587" s="8" t="s">
        <v>3603</v>
      </c>
      <c r="B3587" s="17" t="s">
        <v>7800</v>
      </c>
      <c r="C3587" s="13">
        <v>41576</v>
      </c>
      <c r="D3587" s="13" t="s">
        <v>8465</v>
      </c>
      <c r="E3587" s="10" t="s">
        <v>1601</v>
      </c>
      <c r="F3587" s="10" t="s">
        <v>3539</v>
      </c>
      <c r="G3587" s="11" t="s">
        <v>7801</v>
      </c>
      <c r="H3587" s="2" t="s">
        <v>1061</v>
      </c>
      <c r="L3587" s="18">
        <v>1</v>
      </c>
      <c r="N3587" s="13">
        <v>41656</v>
      </c>
      <c r="P3587" s="18" t="s">
        <v>1107</v>
      </c>
      <c r="Q3587" s="18">
        <v>0</v>
      </c>
      <c r="U3587" s="22">
        <v>0.63</v>
      </c>
      <c r="V3587" s="22">
        <f>3.56/5</f>
        <v>0.71199999999999997</v>
      </c>
      <c r="W3587" s="14" t="s">
        <v>7777</v>
      </c>
      <c r="X3587" s="3">
        <v>4</v>
      </c>
      <c r="Z3587" s="23">
        <v>19</v>
      </c>
      <c r="AB3587" s="18">
        <f t="shared" si="112"/>
        <v>2013</v>
      </c>
      <c r="AC3587" s="22">
        <f t="shared" si="113"/>
        <v>0.71400000000000008</v>
      </c>
    </row>
    <row r="3588" spans="1:29" ht="25.5">
      <c r="A3588" s="8" t="s">
        <v>6986</v>
      </c>
      <c r="B3588" s="17" t="s">
        <v>7743</v>
      </c>
      <c r="C3588" s="13">
        <v>41576</v>
      </c>
      <c r="D3588" s="13" t="s">
        <v>8465</v>
      </c>
      <c r="E3588" s="10" t="s">
        <v>1047</v>
      </c>
      <c r="F3588" s="10" t="s">
        <v>1048</v>
      </c>
      <c r="G3588" s="11" t="s">
        <v>1563</v>
      </c>
      <c r="H3588" s="2" t="s">
        <v>80</v>
      </c>
      <c r="L3588" s="18">
        <v>1</v>
      </c>
      <c r="M3588" s="14" t="s">
        <v>8462</v>
      </c>
      <c r="N3588" s="13">
        <v>44319</v>
      </c>
      <c r="O3588" s="29">
        <v>16.28</v>
      </c>
      <c r="P3588" s="18" t="s">
        <v>14</v>
      </c>
      <c r="Q3588" s="18">
        <v>0</v>
      </c>
      <c r="U3588" s="22">
        <v>0.86</v>
      </c>
      <c r="V3588" s="22">
        <f>4.01/5</f>
        <v>0.80199999999999994</v>
      </c>
      <c r="X3588" s="3">
        <v>2</v>
      </c>
      <c r="Z3588" s="23">
        <v>23</v>
      </c>
      <c r="AB3588" s="18">
        <f t="shared" si="112"/>
        <v>2013</v>
      </c>
      <c r="AC3588" s="22">
        <f t="shared" si="113"/>
        <v>0.68733333333333324</v>
      </c>
    </row>
    <row r="3589" spans="1:29" ht="25.5">
      <c r="A3589" s="8" t="s">
        <v>11890</v>
      </c>
      <c r="B3589" s="17" t="s">
        <v>7743</v>
      </c>
      <c r="C3589" s="13">
        <v>41576</v>
      </c>
      <c r="D3589" s="13" t="s">
        <v>8465</v>
      </c>
      <c r="E3589" s="10" t="s">
        <v>1509</v>
      </c>
      <c r="F3589" s="10" t="s">
        <v>11891</v>
      </c>
      <c r="G3589" s="11" t="s">
        <v>4639</v>
      </c>
      <c r="H3589" s="2" t="s">
        <v>1040</v>
      </c>
      <c r="L3589" s="18">
        <v>1</v>
      </c>
      <c r="M3589" s="14" t="s">
        <v>8462</v>
      </c>
      <c r="N3589" s="13">
        <v>44930</v>
      </c>
      <c r="O3589" s="29">
        <v>14.11</v>
      </c>
      <c r="P3589" s="18" t="s">
        <v>14</v>
      </c>
      <c r="Q3589" s="18">
        <v>0</v>
      </c>
      <c r="U3589" s="22">
        <v>0.57999999999999996</v>
      </c>
      <c r="V3589" s="22">
        <f>3.39/5</f>
        <v>0.67800000000000005</v>
      </c>
      <c r="X3589" s="3">
        <v>3</v>
      </c>
      <c r="Z3589" s="23">
        <v>6.5</v>
      </c>
      <c r="AB3589" s="18">
        <f t="shared" si="112"/>
        <v>2013</v>
      </c>
      <c r="AC3589" s="22">
        <f t="shared" si="113"/>
        <v>0.6193333333333334</v>
      </c>
    </row>
    <row r="3590" spans="1:29">
      <c r="A3590" s="8" t="s">
        <v>5071</v>
      </c>
      <c r="B3590" s="17" t="s">
        <v>7749</v>
      </c>
      <c r="C3590" s="13">
        <v>41576</v>
      </c>
      <c r="D3590" s="13" t="s">
        <v>8465</v>
      </c>
      <c r="E3590" s="10" t="s">
        <v>455</v>
      </c>
      <c r="F3590" s="10" t="s">
        <v>1232</v>
      </c>
      <c r="G3590" s="11" t="s">
        <v>1688</v>
      </c>
      <c r="H3590" s="2" t="s">
        <v>64</v>
      </c>
      <c r="L3590" s="18">
        <v>1</v>
      </c>
      <c r="N3590" s="13">
        <v>44652</v>
      </c>
      <c r="O3590" s="29">
        <v>9.99</v>
      </c>
      <c r="P3590" s="18" t="s">
        <v>1107</v>
      </c>
      <c r="Q3590" s="18">
        <v>0</v>
      </c>
      <c r="U3590" s="22">
        <v>0.59</v>
      </c>
      <c r="V3590" s="22">
        <f>3.23/5</f>
        <v>0.64600000000000002</v>
      </c>
      <c r="X3590" s="3">
        <v>3</v>
      </c>
      <c r="Z3590" s="23">
        <v>7.5</v>
      </c>
      <c r="AB3590" s="18">
        <f t="shared" si="112"/>
        <v>2013</v>
      </c>
      <c r="AC3590" s="22">
        <f t="shared" si="113"/>
        <v>0.61199999999999999</v>
      </c>
    </row>
    <row r="3591" spans="1:29">
      <c r="A3591" s="8" t="s">
        <v>12551</v>
      </c>
      <c r="B3591" s="17" t="s">
        <v>7800</v>
      </c>
      <c r="C3591" s="13">
        <v>41576</v>
      </c>
      <c r="D3591" s="13" t="s">
        <v>8465</v>
      </c>
      <c r="E3591" s="10" t="s">
        <v>4281</v>
      </c>
      <c r="F3591" s="10" t="s">
        <v>4281</v>
      </c>
      <c r="H3591" s="2" t="s">
        <v>67</v>
      </c>
      <c r="L3591" s="18">
        <v>1</v>
      </c>
      <c r="P3591" s="18" t="s">
        <v>1107</v>
      </c>
      <c r="Q3591" s="18">
        <v>0</v>
      </c>
      <c r="U3591" s="22">
        <v>0.59</v>
      </c>
      <c r="V3591" s="22">
        <f>3.4/5</f>
        <v>0.67999999999999994</v>
      </c>
      <c r="W3591" s="14" t="s">
        <v>7777</v>
      </c>
      <c r="X3591" s="3">
        <v>2</v>
      </c>
      <c r="Z3591" s="23">
        <v>4</v>
      </c>
      <c r="AB3591" s="18">
        <f t="shared" si="112"/>
        <v>2013</v>
      </c>
      <c r="AC3591" s="22">
        <f t="shared" si="113"/>
        <v>0.55666666666666664</v>
      </c>
    </row>
    <row r="3592" spans="1:29">
      <c r="A3592" s="8" t="s">
        <v>3349</v>
      </c>
      <c r="B3592" s="17" t="s">
        <v>7800</v>
      </c>
      <c r="C3592" s="13">
        <v>41575</v>
      </c>
      <c r="D3592" s="13" t="s">
        <v>8465</v>
      </c>
      <c r="E3592" s="10" t="s">
        <v>3350</v>
      </c>
      <c r="F3592" s="10" t="s">
        <v>3350</v>
      </c>
      <c r="H3592" s="2" t="s">
        <v>151</v>
      </c>
      <c r="L3592" s="18">
        <v>1</v>
      </c>
      <c r="N3592" s="13">
        <v>41779</v>
      </c>
      <c r="O3592" s="29">
        <v>0.99</v>
      </c>
      <c r="P3592" s="18" t="s">
        <v>1107</v>
      </c>
      <c r="Q3592" s="18">
        <v>0</v>
      </c>
      <c r="U3592" s="22">
        <v>0.69</v>
      </c>
      <c r="V3592" s="22">
        <f>2.6/5</f>
        <v>0.52</v>
      </c>
      <c r="W3592" s="14" t="s">
        <v>7777</v>
      </c>
      <c r="X3592" s="3">
        <v>2</v>
      </c>
      <c r="Z3592" s="23">
        <v>5</v>
      </c>
      <c r="AB3592" s="18">
        <f t="shared" si="112"/>
        <v>2013</v>
      </c>
      <c r="AC3592" s="22">
        <f t="shared" si="113"/>
        <v>0.53666666666666663</v>
      </c>
    </row>
    <row r="3593" spans="1:29">
      <c r="A3593" s="8" t="s">
        <v>4252</v>
      </c>
      <c r="B3593" s="17" t="s">
        <v>7800</v>
      </c>
      <c r="C3593" s="13">
        <v>41572</v>
      </c>
      <c r="D3593" s="13" t="s">
        <v>8465</v>
      </c>
      <c r="E3593" s="10" t="s">
        <v>4253</v>
      </c>
      <c r="F3593" s="10" t="s">
        <v>4254</v>
      </c>
      <c r="G3593" s="11" t="s">
        <v>4255</v>
      </c>
      <c r="H3593" s="2" t="s">
        <v>151</v>
      </c>
      <c r="L3593" s="18">
        <v>1</v>
      </c>
      <c r="N3593" s="13">
        <v>41579</v>
      </c>
      <c r="P3593" s="18" t="s">
        <v>1107</v>
      </c>
      <c r="Q3593" s="18">
        <v>0</v>
      </c>
      <c r="V3593" s="22">
        <f>4.13/5</f>
        <v>0.82599999999999996</v>
      </c>
      <c r="W3593" s="14" t="s">
        <v>7777</v>
      </c>
      <c r="X3593" s="3">
        <v>3</v>
      </c>
      <c r="Z3593" s="23">
        <v>10</v>
      </c>
      <c r="AB3593" s="18">
        <f t="shared" si="112"/>
        <v>2013</v>
      </c>
      <c r="AC3593" s="22">
        <f t="shared" si="113"/>
        <v>0.71299999999999997</v>
      </c>
    </row>
    <row r="3594" spans="1:29" ht="38.25">
      <c r="A3594" s="8" t="s">
        <v>7614</v>
      </c>
      <c r="B3594" s="17" t="s">
        <v>7749</v>
      </c>
      <c r="C3594" s="13">
        <v>41571</v>
      </c>
      <c r="D3594" s="13" t="s">
        <v>8465</v>
      </c>
      <c r="E3594" s="10" t="s">
        <v>73</v>
      </c>
      <c r="F3594" s="10" t="s">
        <v>73</v>
      </c>
      <c r="G3594" s="11" t="s">
        <v>2323</v>
      </c>
      <c r="H3594" s="2" t="s">
        <v>67</v>
      </c>
      <c r="L3594" s="18">
        <v>1</v>
      </c>
      <c r="N3594" s="13">
        <v>44273</v>
      </c>
      <c r="O3594" s="29">
        <v>8.99</v>
      </c>
      <c r="P3594" s="18" t="s">
        <v>1107</v>
      </c>
      <c r="Q3594" s="18">
        <v>0</v>
      </c>
      <c r="U3594" s="22">
        <v>0.82</v>
      </c>
      <c r="V3594" s="22">
        <f>4.2/5</f>
        <v>0.84000000000000008</v>
      </c>
      <c r="X3594" s="3">
        <v>4</v>
      </c>
      <c r="Z3594" s="23">
        <v>26.5</v>
      </c>
      <c r="AB3594" s="18">
        <f t="shared" si="112"/>
        <v>2013</v>
      </c>
      <c r="AC3594" s="22">
        <f t="shared" si="113"/>
        <v>0.82</v>
      </c>
    </row>
    <row r="3595" spans="1:29">
      <c r="A3595" s="8" t="s">
        <v>5229</v>
      </c>
      <c r="B3595" s="17" t="s">
        <v>7800</v>
      </c>
      <c r="C3595" s="13">
        <v>41571</v>
      </c>
      <c r="D3595" s="13" t="s">
        <v>8465</v>
      </c>
      <c r="E3595" s="10" t="s">
        <v>5230</v>
      </c>
      <c r="F3595" s="10" t="s">
        <v>5230</v>
      </c>
      <c r="H3595" s="2" t="s">
        <v>21</v>
      </c>
      <c r="L3595" s="18">
        <v>1</v>
      </c>
      <c r="N3595" s="13">
        <v>41737</v>
      </c>
      <c r="P3595" s="18" t="s">
        <v>1107</v>
      </c>
      <c r="Q3595" s="18">
        <v>0</v>
      </c>
      <c r="U3595" s="22">
        <v>0.8</v>
      </c>
      <c r="V3595" s="22">
        <f>3.19/5</f>
        <v>0.63800000000000001</v>
      </c>
      <c r="W3595" s="14" t="s">
        <v>7777</v>
      </c>
      <c r="X3595" s="3">
        <v>3</v>
      </c>
      <c r="Z3595" s="23">
        <v>3</v>
      </c>
      <c r="AB3595" s="18">
        <f t="shared" si="112"/>
        <v>2013</v>
      </c>
      <c r="AC3595" s="22">
        <f t="shared" si="113"/>
        <v>0.67933333333333346</v>
      </c>
    </row>
    <row r="3596" spans="1:29">
      <c r="A3596" s="8" t="s">
        <v>3920</v>
      </c>
      <c r="B3596" s="17" t="s">
        <v>7800</v>
      </c>
      <c r="C3596" s="13">
        <v>41571</v>
      </c>
      <c r="D3596" s="13" t="s">
        <v>8465</v>
      </c>
      <c r="E3596" s="10" t="s">
        <v>3921</v>
      </c>
      <c r="F3596" s="10" t="s">
        <v>3921</v>
      </c>
      <c r="G3596" s="11" t="s">
        <v>3920</v>
      </c>
      <c r="H3596" s="2" t="s">
        <v>171</v>
      </c>
      <c r="L3596" s="18">
        <v>1</v>
      </c>
      <c r="N3596" s="13">
        <v>41923</v>
      </c>
      <c r="O3596" s="29">
        <v>3.74</v>
      </c>
      <c r="P3596" s="18" t="s">
        <v>1107</v>
      </c>
      <c r="Q3596" s="18">
        <v>0</v>
      </c>
      <c r="U3596" s="22">
        <v>0.73</v>
      </c>
      <c r="V3596" s="22">
        <f>3.13/5</f>
        <v>0.626</v>
      </c>
      <c r="W3596" s="14" t="s">
        <v>7777</v>
      </c>
      <c r="X3596" s="3">
        <v>3</v>
      </c>
      <c r="Z3596" s="23">
        <v>8</v>
      </c>
      <c r="AB3596" s="18">
        <f t="shared" si="112"/>
        <v>2013</v>
      </c>
      <c r="AC3596" s="22">
        <f t="shared" si="113"/>
        <v>0.65200000000000002</v>
      </c>
    </row>
    <row r="3597" spans="1:29">
      <c r="A3597" s="8" t="s">
        <v>7136</v>
      </c>
      <c r="B3597" s="17" t="s">
        <v>7800</v>
      </c>
      <c r="C3597" s="13">
        <v>41571</v>
      </c>
      <c r="D3597" s="13" t="s">
        <v>8465</v>
      </c>
      <c r="E3597" s="10" t="s">
        <v>7221</v>
      </c>
      <c r="F3597" s="10" t="s">
        <v>7221</v>
      </c>
      <c r="H3597" s="2" t="s">
        <v>56</v>
      </c>
      <c r="L3597" s="18">
        <v>0</v>
      </c>
      <c r="Q3597" s="18">
        <v>0</v>
      </c>
      <c r="W3597" s="14" t="s">
        <v>5674</v>
      </c>
      <c r="X3597" s="3">
        <v>3</v>
      </c>
      <c r="AB3597" s="18">
        <f t="shared" si="112"/>
        <v>2013</v>
      </c>
      <c r="AC3597" s="22">
        <f t="shared" si="113"/>
        <v>0.6</v>
      </c>
    </row>
    <row r="3598" spans="1:29">
      <c r="A3598" s="8" t="s">
        <v>4139</v>
      </c>
      <c r="B3598" s="17" t="s">
        <v>7800</v>
      </c>
      <c r="C3598" s="13">
        <v>41570</v>
      </c>
      <c r="D3598" s="13" t="s">
        <v>8465</v>
      </c>
      <c r="E3598" s="10" t="s">
        <v>1571</v>
      </c>
      <c r="F3598" s="10" t="s">
        <v>4140</v>
      </c>
      <c r="G3598" s="11" t="s">
        <v>4139</v>
      </c>
      <c r="H3598" s="2" t="s">
        <v>1699</v>
      </c>
      <c r="L3598" s="18">
        <v>1</v>
      </c>
      <c r="N3598" s="13">
        <v>41994</v>
      </c>
      <c r="O3598" s="29">
        <v>0.87</v>
      </c>
      <c r="P3598" s="18" t="s">
        <v>1107</v>
      </c>
      <c r="Q3598" s="18">
        <v>0</v>
      </c>
      <c r="U3598" s="22">
        <v>0.66</v>
      </c>
      <c r="V3598" s="22">
        <f>3.16/5</f>
        <v>0.63200000000000001</v>
      </c>
      <c r="W3598" s="14" t="s">
        <v>7777</v>
      </c>
      <c r="X3598" s="3">
        <v>3</v>
      </c>
      <c r="Z3598" s="23">
        <v>9.5</v>
      </c>
      <c r="AB3598" s="18">
        <f t="shared" si="112"/>
        <v>2013</v>
      </c>
      <c r="AC3598" s="22">
        <f t="shared" si="113"/>
        <v>0.6306666666666666</v>
      </c>
    </row>
    <row r="3599" spans="1:29" ht="45">
      <c r="A3599" s="8" t="s">
        <v>4306</v>
      </c>
      <c r="B3599" s="17" t="s">
        <v>7800</v>
      </c>
      <c r="C3599" s="13">
        <v>41569</v>
      </c>
      <c r="D3599" s="13" t="s">
        <v>8465</v>
      </c>
      <c r="E3599" s="10" t="s">
        <v>1156</v>
      </c>
      <c r="F3599" s="10" t="s">
        <v>1309</v>
      </c>
      <c r="G3599" s="11" t="s">
        <v>4307</v>
      </c>
      <c r="H3599" s="2" t="s">
        <v>80</v>
      </c>
      <c r="L3599" s="18">
        <v>1</v>
      </c>
      <c r="N3599" s="13">
        <v>41744</v>
      </c>
      <c r="O3599" s="29">
        <v>4.55</v>
      </c>
      <c r="P3599" s="18" t="s">
        <v>1107</v>
      </c>
      <c r="Q3599" s="18">
        <v>0</v>
      </c>
      <c r="U3599" s="22">
        <v>0.81</v>
      </c>
      <c r="V3599" s="22">
        <f>3.89/5</f>
        <v>0.77800000000000002</v>
      </c>
      <c r="W3599" s="14" t="s">
        <v>7777</v>
      </c>
      <c r="X3599" s="3">
        <v>3</v>
      </c>
      <c r="Z3599" s="23">
        <v>12</v>
      </c>
      <c r="AB3599" s="18">
        <f t="shared" si="112"/>
        <v>2013</v>
      </c>
      <c r="AC3599" s="22">
        <f t="shared" si="113"/>
        <v>0.72933333333333339</v>
      </c>
    </row>
    <row r="3600" spans="1:29" ht="45">
      <c r="A3600" s="8" t="s">
        <v>11636</v>
      </c>
      <c r="B3600" s="17" t="s">
        <v>7749</v>
      </c>
      <c r="C3600" s="13">
        <v>41569</v>
      </c>
      <c r="D3600" s="13" t="s">
        <v>8465</v>
      </c>
      <c r="E3600" s="10" t="s">
        <v>1156</v>
      </c>
      <c r="F3600" s="10" t="s">
        <v>10012</v>
      </c>
      <c r="G3600" s="11" t="s">
        <v>4307</v>
      </c>
      <c r="H3600" s="2" t="s">
        <v>80</v>
      </c>
      <c r="L3600" s="18">
        <v>1</v>
      </c>
      <c r="M3600" s="14" t="s">
        <v>8462</v>
      </c>
      <c r="N3600" s="13">
        <v>44672</v>
      </c>
      <c r="O3600" s="29">
        <v>8.32</v>
      </c>
      <c r="P3600" s="18" t="s">
        <v>14</v>
      </c>
      <c r="Q3600" s="18">
        <v>0</v>
      </c>
      <c r="U3600" s="22">
        <v>0.56000000000000005</v>
      </c>
      <c r="V3600" s="22">
        <f>3.2/5</f>
        <v>0.64</v>
      </c>
      <c r="X3600" s="3">
        <v>2</v>
      </c>
      <c r="Z3600" s="23">
        <v>11.5</v>
      </c>
      <c r="AB3600" s="18">
        <f t="shared" si="112"/>
        <v>2013</v>
      </c>
      <c r="AC3600" s="22">
        <f t="shared" si="113"/>
        <v>0.53333333333333333</v>
      </c>
    </row>
    <row r="3601" spans="1:29">
      <c r="A3601" s="8" t="s">
        <v>3779</v>
      </c>
      <c r="B3601" s="17" t="s">
        <v>7800</v>
      </c>
      <c r="C3601" s="13">
        <v>41568</v>
      </c>
      <c r="D3601" s="13" t="s">
        <v>8465</v>
      </c>
      <c r="E3601" s="10" t="s">
        <v>3780</v>
      </c>
      <c r="F3601" s="10" t="s">
        <v>3780</v>
      </c>
      <c r="H3601" s="2" t="s">
        <v>1518</v>
      </c>
      <c r="L3601" s="18">
        <v>1</v>
      </c>
      <c r="N3601" s="13">
        <v>41947</v>
      </c>
      <c r="P3601" s="18" t="s">
        <v>1107</v>
      </c>
      <c r="Q3601" s="18">
        <v>0</v>
      </c>
      <c r="U3601" s="22">
        <v>0.75</v>
      </c>
      <c r="V3601" s="22">
        <f>3.33/5</f>
        <v>0.66600000000000004</v>
      </c>
      <c r="W3601" s="14" t="s">
        <v>7777</v>
      </c>
      <c r="X3601" s="3">
        <v>3</v>
      </c>
      <c r="Z3601" s="23">
        <v>4</v>
      </c>
      <c r="AB3601" s="18">
        <f t="shared" si="112"/>
        <v>2013</v>
      </c>
      <c r="AC3601" s="22">
        <f t="shared" si="113"/>
        <v>0.67200000000000004</v>
      </c>
    </row>
    <row r="3602" spans="1:29" ht="25.5">
      <c r="A3602" s="8" t="s">
        <v>5189</v>
      </c>
      <c r="B3602" s="17" t="s">
        <v>7800</v>
      </c>
      <c r="C3602" s="13">
        <v>41564</v>
      </c>
      <c r="D3602" s="13" t="s">
        <v>8465</v>
      </c>
      <c r="E3602" s="10" t="s">
        <v>5190</v>
      </c>
      <c r="F3602" s="10" t="s">
        <v>5190</v>
      </c>
      <c r="H3602" s="2" t="s">
        <v>21</v>
      </c>
      <c r="L3602" s="18">
        <v>1</v>
      </c>
      <c r="N3602" s="13">
        <v>41565</v>
      </c>
      <c r="P3602" s="18" t="s">
        <v>1107</v>
      </c>
      <c r="Q3602" s="18">
        <v>0</v>
      </c>
      <c r="V3602" s="22">
        <f>3.67/5</f>
        <v>0.73399999999999999</v>
      </c>
      <c r="W3602" s="14" t="s">
        <v>7777</v>
      </c>
      <c r="X3602" s="3">
        <v>3</v>
      </c>
      <c r="Z3602" s="23">
        <v>1</v>
      </c>
      <c r="AB3602" s="18">
        <f t="shared" si="112"/>
        <v>2013</v>
      </c>
      <c r="AC3602" s="22">
        <f t="shared" si="113"/>
        <v>0.66700000000000004</v>
      </c>
    </row>
    <row r="3603" spans="1:29">
      <c r="A3603" s="8" t="s">
        <v>4420</v>
      </c>
      <c r="B3603" s="17" t="s">
        <v>7800</v>
      </c>
      <c r="C3603" s="13">
        <v>41562</v>
      </c>
      <c r="D3603" s="13" t="s">
        <v>8465</v>
      </c>
      <c r="E3603" s="10" t="s">
        <v>4316</v>
      </c>
      <c r="F3603" s="10" t="s">
        <v>4316</v>
      </c>
      <c r="H3603" s="2" t="s">
        <v>56</v>
      </c>
      <c r="L3603" s="18">
        <v>1</v>
      </c>
      <c r="N3603" s="13">
        <v>42041</v>
      </c>
      <c r="P3603" s="18" t="s">
        <v>1107</v>
      </c>
      <c r="Q3603" s="18">
        <v>0</v>
      </c>
      <c r="U3603" s="22">
        <v>0.73</v>
      </c>
      <c r="V3603" s="22">
        <f>3.77/5</f>
        <v>0.754</v>
      </c>
      <c r="W3603" s="14" t="s">
        <v>7777</v>
      </c>
      <c r="X3603" s="3">
        <v>3</v>
      </c>
      <c r="Z3603" s="23">
        <v>7</v>
      </c>
      <c r="AB3603" s="18">
        <f t="shared" si="112"/>
        <v>2013</v>
      </c>
      <c r="AC3603" s="22">
        <f t="shared" si="113"/>
        <v>0.69466666666666665</v>
      </c>
    </row>
    <row r="3604" spans="1:29">
      <c r="A3604" s="8" t="s">
        <v>4007</v>
      </c>
      <c r="B3604" s="17" t="s">
        <v>7800</v>
      </c>
      <c r="C3604" s="13">
        <v>41562</v>
      </c>
      <c r="D3604" s="13" t="s">
        <v>8465</v>
      </c>
      <c r="E3604" s="10" t="s">
        <v>3072</v>
      </c>
      <c r="F3604" s="10" t="s">
        <v>3072</v>
      </c>
      <c r="G3604" s="11" t="s">
        <v>3433</v>
      </c>
      <c r="H3604" s="2" t="s">
        <v>67</v>
      </c>
      <c r="L3604" s="18">
        <v>1</v>
      </c>
      <c r="N3604" s="13">
        <v>42284</v>
      </c>
      <c r="P3604" s="18" t="s">
        <v>1107</v>
      </c>
      <c r="Q3604" s="18">
        <v>0</v>
      </c>
      <c r="U3604" s="22">
        <v>0.74</v>
      </c>
      <c r="V3604" s="22">
        <f>3.79/5</f>
        <v>0.75800000000000001</v>
      </c>
      <c r="W3604" s="14" t="s">
        <v>7777</v>
      </c>
      <c r="X3604" s="3">
        <v>2</v>
      </c>
      <c r="Z3604" s="23">
        <v>10</v>
      </c>
      <c r="AB3604" s="18">
        <f t="shared" si="112"/>
        <v>2013</v>
      </c>
      <c r="AC3604" s="22">
        <f t="shared" si="113"/>
        <v>0.63266666666666671</v>
      </c>
    </row>
    <row r="3605" spans="1:29">
      <c r="A3605" s="8" t="s">
        <v>9137</v>
      </c>
      <c r="B3605" s="17" t="s">
        <v>7763</v>
      </c>
      <c r="C3605" s="13">
        <v>41562</v>
      </c>
      <c r="D3605" s="13" t="s">
        <v>8465</v>
      </c>
      <c r="E3605" s="10" t="s">
        <v>1534</v>
      </c>
      <c r="F3605" s="10" t="s">
        <v>1246</v>
      </c>
      <c r="G3605" s="11" t="s">
        <v>9138</v>
      </c>
      <c r="H3605" s="2" t="s">
        <v>171</v>
      </c>
      <c r="L3605" s="18">
        <v>1</v>
      </c>
      <c r="M3605" s="14" t="s">
        <v>8462</v>
      </c>
      <c r="N3605" s="13">
        <v>44045</v>
      </c>
      <c r="O3605" s="29">
        <v>32.01</v>
      </c>
      <c r="P3605" s="18" t="s">
        <v>14</v>
      </c>
      <c r="Q3605" s="18">
        <v>0</v>
      </c>
      <c r="U3605" s="22">
        <v>0.48</v>
      </c>
      <c r="V3605" s="22">
        <f>3.29/5</f>
        <v>0.65800000000000003</v>
      </c>
      <c r="X3605" s="3">
        <v>2</v>
      </c>
      <c r="AB3605" s="18">
        <f t="shared" si="112"/>
        <v>2013</v>
      </c>
      <c r="AC3605" s="22">
        <f t="shared" si="113"/>
        <v>0.5126666666666666</v>
      </c>
    </row>
    <row r="3606" spans="1:29" ht="25.5">
      <c r="A3606" s="8" t="s">
        <v>5519</v>
      </c>
      <c r="B3606" s="17" t="s">
        <v>7800</v>
      </c>
      <c r="C3606" s="13">
        <v>41558</v>
      </c>
      <c r="D3606" s="13" t="s">
        <v>8465</v>
      </c>
      <c r="E3606" s="10" t="s">
        <v>3063</v>
      </c>
      <c r="F3606" s="10" t="s">
        <v>5517</v>
      </c>
      <c r="G3606" s="11" t="s">
        <v>5518</v>
      </c>
      <c r="H3606" s="2" t="s">
        <v>1334</v>
      </c>
      <c r="L3606" s="18">
        <v>1</v>
      </c>
      <c r="N3606" s="13">
        <v>41970</v>
      </c>
      <c r="P3606" s="18" t="s">
        <v>1107</v>
      </c>
      <c r="Q3606" s="18">
        <v>0</v>
      </c>
      <c r="V3606" s="22">
        <f>3.13/5</f>
        <v>0.626</v>
      </c>
      <c r="W3606" s="14" t="s">
        <v>7777</v>
      </c>
      <c r="X3606" s="3">
        <v>3</v>
      </c>
      <c r="Z3606" s="23">
        <v>1.5</v>
      </c>
      <c r="AB3606" s="18">
        <f t="shared" si="112"/>
        <v>2013</v>
      </c>
      <c r="AC3606" s="22">
        <f t="shared" si="113"/>
        <v>0.61299999999999999</v>
      </c>
    </row>
    <row r="3607" spans="1:29" ht="25.5">
      <c r="A3607" s="8" t="s">
        <v>5937</v>
      </c>
      <c r="B3607" s="17" t="s">
        <v>7759</v>
      </c>
      <c r="C3607" s="13">
        <v>41555</v>
      </c>
      <c r="D3607" s="13" t="s">
        <v>8465</v>
      </c>
      <c r="E3607" s="10" t="s">
        <v>1062</v>
      </c>
      <c r="F3607" s="10" t="s">
        <v>2285</v>
      </c>
      <c r="G3607" s="11" t="s">
        <v>2302</v>
      </c>
      <c r="H3607" s="2" t="s">
        <v>75</v>
      </c>
      <c r="L3607" s="18">
        <v>1</v>
      </c>
      <c r="M3607" s="14" t="s">
        <v>8462</v>
      </c>
      <c r="N3607" s="13">
        <v>43467</v>
      </c>
      <c r="O3607" s="29">
        <v>10.5</v>
      </c>
      <c r="P3607" s="18" t="s">
        <v>14</v>
      </c>
      <c r="Q3607" s="18">
        <v>0</v>
      </c>
      <c r="U3607" s="22">
        <v>0.78</v>
      </c>
      <c r="V3607" s="22">
        <f>4.33/5</f>
        <v>0.86599999999999999</v>
      </c>
      <c r="X3607" s="3">
        <v>3</v>
      </c>
      <c r="Z3607" s="23">
        <v>25</v>
      </c>
      <c r="AB3607" s="18">
        <f t="shared" si="112"/>
        <v>2013</v>
      </c>
      <c r="AC3607" s="22">
        <f t="shared" si="113"/>
        <v>0.7486666666666667</v>
      </c>
    </row>
    <row r="3608" spans="1:29">
      <c r="A3608" s="8" t="s">
        <v>3965</v>
      </c>
      <c r="B3608" s="17" t="s">
        <v>7800</v>
      </c>
      <c r="C3608" s="13">
        <v>41555</v>
      </c>
      <c r="D3608" s="13" t="s">
        <v>8465</v>
      </c>
      <c r="E3608" s="10" t="s">
        <v>3559</v>
      </c>
      <c r="F3608" s="10" t="s">
        <v>3966</v>
      </c>
      <c r="H3608" s="2" t="s">
        <v>1204</v>
      </c>
      <c r="L3608" s="18">
        <v>1</v>
      </c>
      <c r="N3608" s="13">
        <v>41984</v>
      </c>
      <c r="P3608" s="18" t="s">
        <v>1107</v>
      </c>
      <c r="Q3608" s="18">
        <v>0</v>
      </c>
      <c r="U3608" s="22">
        <v>0.71</v>
      </c>
      <c r="V3608" s="22">
        <f>3.58/5</f>
        <v>0.71599999999999997</v>
      </c>
      <c r="W3608" s="14" t="s">
        <v>7777</v>
      </c>
      <c r="X3608" s="3">
        <v>3</v>
      </c>
      <c r="Z3608" s="23">
        <v>10</v>
      </c>
      <c r="AB3608" s="18">
        <f t="shared" si="112"/>
        <v>2013</v>
      </c>
      <c r="AC3608" s="22">
        <f t="shared" si="113"/>
        <v>0.67533333333333323</v>
      </c>
    </row>
    <row r="3609" spans="1:29">
      <c r="A3609" s="8" t="s">
        <v>4250</v>
      </c>
      <c r="B3609" s="17" t="s">
        <v>7800</v>
      </c>
      <c r="C3609" s="13">
        <v>41551</v>
      </c>
      <c r="D3609" s="13" t="s">
        <v>8465</v>
      </c>
      <c r="E3609" s="10" t="s">
        <v>4251</v>
      </c>
      <c r="F3609" s="10" t="s">
        <v>4251</v>
      </c>
      <c r="H3609" s="2" t="s">
        <v>1061</v>
      </c>
      <c r="L3609" s="18">
        <v>1</v>
      </c>
      <c r="N3609" s="13">
        <v>41942</v>
      </c>
      <c r="P3609" s="18" t="s">
        <v>1107</v>
      </c>
      <c r="Q3609" s="18">
        <v>0</v>
      </c>
      <c r="U3609" s="22">
        <v>0.51</v>
      </c>
      <c r="V3609" s="22">
        <f>3.34/5</f>
        <v>0.66799999999999993</v>
      </c>
      <c r="W3609" s="14" t="s">
        <v>7777</v>
      </c>
      <c r="X3609" s="3">
        <v>2</v>
      </c>
      <c r="Z3609" s="23">
        <v>3.5</v>
      </c>
      <c r="AB3609" s="18">
        <f t="shared" si="112"/>
        <v>2013</v>
      </c>
      <c r="AC3609" s="22">
        <f t="shared" si="113"/>
        <v>0.52599999999999991</v>
      </c>
    </row>
    <row r="3610" spans="1:29" ht="25.5">
      <c r="A3610" s="8" t="s">
        <v>3111</v>
      </c>
      <c r="B3610" s="17" t="s">
        <v>7800</v>
      </c>
      <c r="C3610" s="13">
        <v>41550</v>
      </c>
      <c r="D3610" s="13" t="s">
        <v>8465</v>
      </c>
      <c r="E3610" s="10" t="s">
        <v>3112</v>
      </c>
      <c r="F3610" s="10" t="s">
        <v>3113</v>
      </c>
      <c r="G3610" s="11" t="s">
        <v>3114</v>
      </c>
      <c r="H3610" s="2" t="s">
        <v>75</v>
      </c>
      <c r="L3610" s="18">
        <v>1</v>
      </c>
      <c r="N3610" s="13">
        <v>42012</v>
      </c>
      <c r="O3610" s="29">
        <v>3.07</v>
      </c>
      <c r="P3610" s="18" t="s">
        <v>1107</v>
      </c>
      <c r="Q3610" s="18">
        <v>0</v>
      </c>
      <c r="U3610" s="22">
        <v>0.4</v>
      </c>
      <c r="V3610" s="22">
        <f>3.54/5</f>
        <v>0.70799999999999996</v>
      </c>
      <c r="W3610" s="14" t="s">
        <v>7777</v>
      </c>
      <c r="X3610" s="3">
        <v>3</v>
      </c>
      <c r="Z3610" s="23">
        <v>86.5</v>
      </c>
      <c r="AB3610" s="18">
        <f t="shared" si="112"/>
        <v>2013</v>
      </c>
      <c r="AC3610" s="22">
        <f t="shared" si="113"/>
        <v>0.56933333333333336</v>
      </c>
    </row>
    <row r="3611" spans="1:29" ht="25.5">
      <c r="A3611" s="8" t="s">
        <v>9306</v>
      </c>
      <c r="B3611" s="17" t="s">
        <v>7749</v>
      </c>
      <c r="C3611" s="13">
        <v>41548</v>
      </c>
      <c r="D3611" s="13" t="s">
        <v>8465</v>
      </c>
      <c r="E3611" s="10" t="s">
        <v>2461</v>
      </c>
      <c r="F3611" s="10" t="s">
        <v>228</v>
      </c>
      <c r="G3611" s="11" t="s">
        <v>2239</v>
      </c>
      <c r="H3611" s="2" t="s">
        <v>1377</v>
      </c>
      <c r="L3611" s="18">
        <v>1</v>
      </c>
      <c r="N3611" s="13">
        <v>44095</v>
      </c>
      <c r="O3611" s="29">
        <v>9.99</v>
      </c>
      <c r="P3611" s="18" t="s">
        <v>1107</v>
      </c>
      <c r="Q3611" s="18">
        <v>0</v>
      </c>
      <c r="U3611" s="22">
        <v>0.8</v>
      </c>
      <c r="V3611" s="22">
        <f>4.12/5</f>
        <v>0.82400000000000007</v>
      </c>
      <c r="X3611" s="3">
        <v>4</v>
      </c>
      <c r="Z3611" s="23">
        <v>45.5</v>
      </c>
      <c r="AB3611" s="18">
        <f t="shared" si="112"/>
        <v>2013</v>
      </c>
      <c r="AC3611" s="22">
        <f t="shared" si="113"/>
        <v>0.80800000000000016</v>
      </c>
    </row>
    <row r="3612" spans="1:29" ht="30">
      <c r="A3612" s="8" t="s">
        <v>9869</v>
      </c>
      <c r="B3612" s="17" t="s">
        <v>7759</v>
      </c>
      <c r="C3612" s="13">
        <v>41548</v>
      </c>
      <c r="D3612" s="13" t="s">
        <v>8465</v>
      </c>
      <c r="E3612" s="10" t="s">
        <v>2908</v>
      </c>
      <c r="F3612" s="10" t="s">
        <v>3029</v>
      </c>
      <c r="H3612" s="2" t="s">
        <v>67</v>
      </c>
      <c r="L3612" s="18">
        <v>1</v>
      </c>
      <c r="N3612" s="13">
        <v>44285</v>
      </c>
      <c r="O3612" s="29">
        <v>14.99</v>
      </c>
      <c r="P3612" s="18" t="s">
        <v>1107</v>
      </c>
      <c r="Q3612" s="18">
        <v>0</v>
      </c>
      <c r="U3612" s="22">
        <v>0.72</v>
      </c>
      <c r="V3612" s="22">
        <f>3.48/5</f>
        <v>0.69599999999999995</v>
      </c>
      <c r="X3612" s="3">
        <v>3</v>
      </c>
      <c r="Z3612" s="23">
        <v>3.5</v>
      </c>
      <c r="AB3612" s="18">
        <f t="shared" si="112"/>
        <v>2013</v>
      </c>
      <c r="AC3612" s="22">
        <f t="shared" si="113"/>
        <v>0.67200000000000004</v>
      </c>
    </row>
    <row r="3613" spans="1:29">
      <c r="A3613" s="8" t="s">
        <v>1305</v>
      </c>
      <c r="B3613" s="17" t="s">
        <v>7800</v>
      </c>
      <c r="C3613" s="13">
        <v>41548</v>
      </c>
      <c r="D3613" s="13" t="s">
        <v>8465</v>
      </c>
      <c r="E3613" s="10" t="s">
        <v>1047</v>
      </c>
      <c r="F3613" s="10" t="s">
        <v>15027</v>
      </c>
      <c r="G3613" s="11" t="s">
        <v>1305</v>
      </c>
      <c r="H3613" s="2" t="s">
        <v>64</v>
      </c>
      <c r="L3613" s="18">
        <v>1</v>
      </c>
      <c r="N3613" s="13">
        <v>45162</v>
      </c>
      <c r="O3613" s="29">
        <v>2.5</v>
      </c>
      <c r="P3613" s="18" t="s">
        <v>1107</v>
      </c>
      <c r="Q3613" s="18">
        <v>0</v>
      </c>
      <c r="V3613" s="22">
        <f>2.98/5</f>
        <v>0.59599999999999997</v>
      </c>
      <c r="W3613" s="14" t="s">
        <v>7798</v>
      </c>
      <c r="X3613" s="3">
        <v>2</v>
      </c>
      <c r="Z3613" s="23">
        <v>6</v>
      </c>
      <c r="AB3613" s="18">
        <f t="shared" si="112"/>
        <v>2013</v>
      </c>
      <c r="AC3613" s="22">
        <f t="shared" si="113"/>
        <v>0.498</v>
      </c>
    </row>
    <row r="3614" spans="1:29">
      <c r="A3614" s="8" t="s">
        <v>7153</v>
      </c>
      <c r="B3614" s="17" t="s">
        <v>7800</v>
      </c>
      <c r="C3614" s="12">
        <v>41548</v>
      </c>
      <c r="D3614" s="13" t="s">
        <v>8465</v>
      </c>
      <c r="E3614" s="10" t="s">
        <v>7228</v>
      </c>
      <c r="F3614" s="10" t="s">
        <v>7228</v>
      </c>
      <c r="H3614" s="2" t="s">
        <v>147</v>
      </c>
      <c r="L3614" s="18">
        <v>0</v>
      </c>
      <c r="Q3614" s="18">
        <v>0</v>
      </c>
      <c r="W3614" s="14" t="s">
        <v>5674</v>
      </c>
      <c r="X3614" s="3">
        <v>2</v>
      </c>
      <c r="AB3614" s="18">
        <f t="shared" si="112"/>
        <v>2013</v>
      </c>
      <c r="AC3614" s="22">
        <f t="shared" si="113"/>
        <v>0.4</v>
      </c>
    </row>
    <row r="3615" spans="1:29">
      <c r="A3615" s="8" t="s">
        <v>11713</v>
      </c>
      <c r="B3615" s="17" t="s">
        <v>7800</v>
      </c>
      <c r="C3615" s="13">
        <v>41544</v>
      </c>
      <c r="D3615" s="13" t="s">
        <v>8465</v>
      </c>
      <c r="E3615" s="10" t="s">
        <v>13628</v>
      </c>
      <c r="F3615" s="10" t="s">
        <v>11437</v>
      </c>
      <c r="G3615" s="11" t="s">
        <v>11713</v>
      </c>
      <c r="H3615" s="2" t="s">
        <v>67</v>
      </c>
      <c r="L3615" s="18">
        <v>1</v>
      </c>
      <c r="N3615" s="13">
        <v>44986</v>
      </c>
      <c r="O3615" s="29">
        <v>0</v>
      </c>
      <c r="P3615" s="18" t="s">
        <v>1107</v>
      </c>
      <c r="Q3615" s="18">
        <v>0</v>
      </c>
      <c r="U3615" s="22">
        <v>0.72</v>
      </c>
      <c r="V3615" s="22">
        <f>3.93/5</f>
        <v>0.78600000000000003</v>
      </c>
      <c r="W3615" s="14" t="s">
        <v>7777</v>
      </c>
      <c r="X3615" s="3">
        <v>3</v>
      </c>
      <c r="Z3615" s="23">
        <v>7</v>
      </c>
      <c r="AB3615" s="18">
        <f t="shared" si="112"/>
        <v>2013</v>
      </c>
      <c r="AC3615" s="22">
        <f t="shared" si="113"/>
        <v>0.70199999999999996</v>
      </c>
    </row>
    <row r="3616" spans="1:29" ht="38.25">
      <c r="A3616" s="8" t="s">
        <v>3986</v>
      </c>
      <c r="B3616" s="17" t="s">
        <v>7800</v>
      </c>
      <c r="C3616" s="13">
        <v>41543</v>
      </c>
      <c r="D3616" s="13" t="s">
        <v>8465</v>
      </c>
      <c r="E3616" s="10" t="s">
        <v>3984</v>
      </c>
      <c r="F3616" s="10" t="s">
        <v>3985</v>
      </c>
      <c r="G3616" s="11" t="s">
        <v>2289</v>
      </c>
      <c r="H3616" s="2" t="s">
        <v>64</v>
      </c>
      <c r="J3616" s="18">
        <v>1</v>
      </c>
      <c r="L3616" s="18">
        <v>1</v>
      </c>
      <c r="N3616" s="13">
        <v>41775</v>
      </c>
      <c r="O3616" s="29">
        <v>0.6</v>
      </c>
      <c r="P3616" s="18" t="s">
        <v>1107</v>
      </c>
      <c r="Q3616" s="18">
        <v>0</v>
      </c>
      <c r="U3616" s="22">
        <v>0.88</v>
      </c>
      <c r="V3616" s="22">
        <f>3.96/5</f>
        <v>0.79200000000000004</v>
      </c>
      <c r="W3616" s="14" t="s">
        <v>7777</v>
      </c>
      <c r="X3616" s="3">
        <v>3</v>
      </c>
      <c r="Z3616" s="23">
        <v>2</v>
      </c>
      <c r="AB3616" s="18">
        <f t="shared" si="112"/>
        <v>2013</v>
      </c>
      <c r="AC3616" s="22">
        <f t="shared" si="113"/>
        <v>0.75733333333333341</v>
      </c>
    </row>
    <row r="3617" spans="1:29" ht="38.25">
      <c r="A3617" s="8" t="s">
        <v>3387</v>
      </c>
      <c r="B3617" s="17" t="s">
        <v>7800</v>
      </c>
      <c r="C3617" s="13">
        <v>41543</v>
      </c>
      <c r="D3617" s="13" t="s">
        <v>8465</v>
      </c>
      <c r="E3617" s="10" t="s">
        <v>3096</v>
      </c>
      <c r="F3617" s="10" t="s">
        <v>1217</v>
      </c>
      <c r="H3617" s="2" t="s">
        <v>151</v>
      </c>
      <c r="L3617" s="18">
        <v>1</v>
      </c>
      <c r="N3617" s="13">
        <v>41551</v>
      </c>
      <c r="P3617" s="18" t="s">
        <v>1107</v>
      </c>
      <c r="Q3617" s="18">
        <v>0</v>
      </c>
      <c r="V3617" s="22">
        <f>3.98/5</f>
        <v>0.79600000000000004</v>
      </c>
      <c r="W3617" s="14" t="s">
        <v>7777</v>
      </c>
      <c r="X3617" s="3">
        <v>3</v>
      </c>
      <c r="Z3617" s="23">
        <v>7</v>
      </c>
      <c r="AB3617" s="18">
        <f t="shared" si="112"/>
        <v>2013</v>
      </c>
      <c r="AC3617" s="22">
        <f t="shared" si="113"/>
        <v>0.69799999999999995</v>
      </c>
    </row>
    <row r="3618" spans="1:29">
      <c r="A3618" s="8" t="s">
        <v>10678</v>
      </c>
      <c r="B3618" s="17" t="s">
        <v>7800</v>
      </c>
      <c r="C3618" s="13">
        <v>41543</v>
      </c>
      <c r="D3618" s="13" t="s">
        <v>8465</v>
      </c>
      <c r="E3618" s="10" t="s">
        <v>10680</v>
      </c>
      <c r="F3618" s="10" t="s">
        <v>10680</v>
      </c>
      <c r="G3618" s="11" t="s">
        <v>10679</v>
      </c>
      <c r="H3618" s="2" t="s">
        <v>2820</v>
      </c>
      <c r="L3618" s="18">
        <v>0</v>
      </c>
      <c r="Q3618" s="18">
        <v>0</v>
      </c>
      <c r="W3618" s="14" t="s">
        <v>5674</v>
      </c>
      <c r="X3618" s="3">
        <v>2</v>
      </c>
      <c r="AB3618" s="18">
        <f t="shared" si="112"/>
        <v>2013</v>
      </c>
      <c r="AC3618" s="22">
        <f t="shared" si="113"/>
        <v>0.4</v>
      </c>
    </row>
    <row r="3619" spans="1:29">
      <c r="A3619" s="8" t="s">
        <v>4960</v>
      </c>
      <c r="B3619" s="17" t="s">
        <v>7800</v>
      </c>
      <c r="C3619" s="13">
        <v>41543</v>
      </c>
      <c r="D3619" s="13" t="s">
        <v>8465</v>
      </c>
      <c r="E3619" s="10" t="s">
        <v>3063</v>
      </c>
      <c r="F3619" s="10" t="s">
        <v>4087</v>
      </c>
      <c r="G3619" s="11" t="s">
        <v>4960</v>
      </c>
      <c r="H3619" s="2" t="s">
        <v>1050</v>
      </c>
      <c r="L3619" s="18">
        <v>1</v>
      </c>
      <c r="N3619" s="13">
        <v>41970</v>
      </c>
      <c r="O3619" s="29">
        <v>3.99</v>
      </c>
      <c r="P3619" s="18" t="s">
        <v>1107</v>
      </c>
      <c r="Q3619" s="18">
        <v>0</v>
      </c>
      <c r="U3619" s="22">
        <v>0.76</v>
      </c>
      <c r="V3619" s="22">
        <f>3.65/5</f>
        <v>0.73</v>
      </c>
      <c r="W3619" s="14" t="s">
        <v>7777</v>
      </c>
      <c r="X3619" s="3">
        <v>3</v>
      </c>
      <c r="Z3619" s="23">
        <v>12.5</v>
      </c>
      <c r="AB3619" s="18">
        <f t="shared" si="112"/>
        <v>2013</v>
      </c>
      <c r="AC3619" s="22">
        <f t="shared" si="113"/>
        <v>0.69666666666666666</v>
      </c>
    </row>
    <row r="3620" spans="1:29">
      <c r="A3620" s="8" t="s">
        <v>4541</v>
      </c>
      <c r="B3620" s="17" t="s">
        <v>7800</v>
      </c>
      <c r="C3620" s="13">
        <v>41542</v>
      </c>
      <c r="D3620" s="13" t="s">
        <v>8465</v>
      </c>
      <c r="E3620" s="10" t="s">
        <v>4542</v>
      </c>
      <c r="F3620" s="10" t="s">
        <v>4542</v>
      </c>
      <c r="G3620" s="11" t="s">
        <v>4541</v>
      </c>
      <c r="H3620" s="2" t="s">
        <v>64</v>
      </c>
      <c r="L3620" s="18">
        <v>1</v>
      </c>
      <c r="N3620" s="13">
        <v>42038</v>
      </c>
      <c r="P3620" s="18" t="s">
        <v>1107</v>
      </c>
      <c r="Q3620" s="18">
        <v>0</v>
      </c>
      <c r="U3620" s="22">
        <v>0.81</v>
      </c>
      <c r="V3620" s="22">
        <f>3.35/5</f>
        <v>0.67</v>
      </c>
      <c r="W3620" s="14" t="s">
        <v>7777</v>
      </c>
      <c r="X3620" s="3">
        <v>2</v>
      </c>
      <c r="Z3620" s="23">
        <v>2.5</v>
      </c>
      <c r="AB3620" s="18">
        <f t="shared" si="112"/>
        <v>2013</v>
      </c>
      <c r="AC3620" s="22">
        <f t="shared" si="113"/>
        <v>0.62666666666666659</v>
      </c>
    </row>
    <row r="3621" spans="1:29" ht="38.25">
      <c r="A3621" s="8" t="s">
        <v>4641</v>
      </c>
      <c r="B3621" s="17" t="s">
        <v>7800</v>
      </c>
      <c r="C3621" s="13">
        <v>41541</v>
      </c>
      <c r="D3621" s="13" t="s">
        <v>8465</v>
      </c>
      <c r="E3621" s="10" t="s">
        <v>1604</v>
      </c>
      <c r="F3621" s="10" t="s">
        <v>4642</v>
      </c>
      <c r="G3621" s="11" t="s">
        <v>4639</v>
      </c>
      <c r="H3621" s="2" t="s">
        <v>143</v>
      </c>
      <c r="L3621" s="18">
        <v>1</v>
      </c>
      <c r="N3621" s="13">
        <v>41819</v>
      </c>
      <c r="O3621" s="29">
        <v>1.56</v>
      </c>
      <c r="P3621" s="18" t="s">
        <v>1107</v>
      </c>
      <c r="Q3621" s="18">
        <v>0</v>
      </c>
      <c r="U3621" s="22">
        <v>0.9</v>
      </c>
      <c r="V3621" s="22">
        <f>4.11/5</f>
        <v>0.82200000000000006</v>
      </c>
      <c r="W3621" s="14" t="s">
        <v>7777</v>
      </c>
      <c r="X3621" s="3">
        <v>3</v>
      </c>
      <c r="Z3621" s="23">
        <v>4</v>
      </c>
      <c r="AB3621" s="18">
        <f t="shared" si="112"/>
        <v>2013</v>
      </c>
      <c r="AC3621" s="22">
        <f t="shared" si="113"/>
        <v>0.77400000000000002</v>
      </c>
    </row>
    <row r="3622" spans="1:29" ht="30">
      <c r="A3622" s="8" t="s">
        <v>5918</v>
      </c>
      <c r="B3622" s="17" t="s">
        <v>7759</v>
      </c>
      <c r="C3622" s="13">
        <v>41541</v>
      </c>
      <c r="D3622" s="13" t="s">
        <v>8465</v>
      </c>
      <c r="E3622" s="10" t="s">
        <v>1604</v>
      </c>
      <c r="F3622" s="10" t="s">
        <v>1580</v>
      </c>
      <c r="G3622" s="11" t="s">
        <v>5915</v>
      </c>
      <c r="H3622" s="2" t="s">
        <v>1204</v>
      </c>
      <c r="L3622" s="18">
        <v>1</v>
      </c>
      <c r="M3622" s="14" t="s">
        <v>8462</v>
      </c>
      <c r="N3622" s="13">
        <v>43590</v>
      </c>
      <c r="O3622" s="29">
        <v>16.5</v>
      </c>
      <c r="P3622" s="18" t="s">
        <v>14</v>
      </c>
      <c r="Q3622" s="18">
        <v>0</v>
      </c>
      <c r="U3622" s="22">
        <v>0.7</v>
      </c>
      <c r="V3622" s="22">
        <f>3.96/5</f>
        <v>0.79200000000000004</v>
      </c>
      <c r="X3622" s="3">
        <v>2</v>
      </c>
      <c r="Z3622" s="23">
        <v>15.5</v>
      </c>
      <c r="AB3622" s="18">
        <f t="shared" si="112"/>
        <v>2013</v>
      </c>
      <c r="AC3622" s="22">
        <f t="shared" si="113"/>
        <v>0.6306666666666666</v>
      </c>
    </row>
    <row r="3623" spans="1:29" ht="25.5">
      <c r="A3623" s="8" t="s">
        <v>9740</v>
      </c>
      <c r="B3623" s="17" t="s">
        <v>7800</v>
      </c>
      <c r="C3623" s="13">
        <v>41537</v>
      </c>
      <c r="D3623" s="13" t="s">
        <v>8465</v>
      </c>
      <c r="E3623" s="10" t="s">
        <v>9741</v>
      </c>
      <c r="F3623" s="10" t="s">
        <v>4395</v>
      </c>
      <c r="G3623" s="11" t="s">
        <v>9742</v>
      </c>
      <c r="H3623" s="2" t="s">
        <v>56</v>
      </c>
      <c r="L3623" s="18">
        <v>1</v>
      </c>
      <c r="N3623" s="13">
        <v>44231</v>
      </c>
      <c r="O3623" s="29">
        <v>0</v>
      </c>
      <c r="P3623" s="18" t="s">
        <v>1107</v>
      </c>
      <c r="Q3623" s="18">
        <v>0</v>
      </c>
      <c r="U3623" s="22">
        <v>0.77</v>
      </c>
      <c r="V3623" s="22">
        <f>3.64/5</f>
        <v>0.72799999999999998</v>
      </c>
      <c r="W3623" s="14" t="s">
        <v>7777</v>
      </c>
      <c r="X3623" s="3">
        <v>3</v>
      </c>
      <c r="Z3623" s="23">
        <v>3</v>
      </c>
      <c r="AB3623" s="18">
        <f t="shared" si="112"/>
        <v>2013</v>
      </c>
      <c r="AC3623" s="22">
        <f t="shared" si="113"/>
        <v>0.69933333333333325</v>
      </c>
    </row>
    <row r="3624" spans="1:29" ht="25.5">
      <c r="A3624" s="8" t="s">
        <v>4398</v>
      </c>
      <c r="B3624" s="17" t="s">
        <v>7800</v>
      </c>
      <c r="C3624" s="13">
        <v>41537</v>
      </c>
      <c r="D3624" s="13" t="s">
        <v>8465</v>
      </c>
      <c r="E3624" s="10" t="s">
        <v>1571</v>
      </c>
      <c r="F3624" s="10" t="s">
        <v>4399</v>
      </c>
      <c r="H3624" s="2" t="s">
        <v>1059</v>
      </c>
      <c r="L3624" s="18">
        <v>1</v>
      </c>
      <c r="N3624" s="13">
        <v>41689</v>
      </c>
      <c r="P3624" s="18" t="s">
        <v>1107</v>
      </c>
      <c r="Q3624" s="18">
        <v>0</v>
      </c>
      <c r="U3624" s="22">
        <v>0.65</v>
      </c>
      <c r="V3624" s="22">
        <f>3.55/5</f>
        <v>0.71</v>
      </c>
      <c r="W3624" s="14" t="s">
        <v>7777</v>
      </c>
      <c r="X3624" s="3">
        <v>3</v>
      </c>
      <c r="Z3624" s="23">
        <v>6</v>
      </c>
      <c r="AB3624" s="18">
        <f t="shared" si="112"/>
        <v>2013</v>
      </c>
      <c r="AC3624" s="22">
        <f t="shared" si="113"/>
        <v>0.65333333333333332</v>
      </c>
    </row>
    <row r="3625" spans="1:29">
      <c r="A3625" s="8" t="s">
        <v>90</v>
      </c>
      <c r="B3625" s="17" t="s">
        <v>7743</v>
      </c>
      <c r="C3625" s="13">
        <v>41536</v>
      </c>
      <c r="D3625" s="13" t="s">
        <v>8465</v>
      </c>
      <c r="E3625" s="10" t="s">
        <v>86</v>
      </c>
      <c r="F3625" s="10" t="s">
        <v>156</v>
      </c>
      <c r="G3625" s="11" t="s">
        <v>137</v>
      </c>
      <c r="H3625" s="2" t="s">
        <v>64</v>
      </c>
      <c r="L3625" s="18">
        <v>1</v>
      </c>
      <c r="N3625" s="13">
        <v>41836</v>
      </c>
      <c r="P3625" s="18" t="s">
        <v>1107</v>
      </c>
      <c r="Q3625" s="18">
        <v>0</v>
      </c>
      <c r="V3625" s="22">
        <f>4.15/5</f>
        <v>0.83000000000000007</v>
      </c>
      <c r="W3625" s="14" t="s">
        <v>1068</v>
      </c>
      <c r="X3625" s="3">
        <v>3</v>
      </c>
      <c r="Z3625" s="23">
        <v>2</v>
      </c>
      <c r="AB3625" s="18">
        <f t="shared" si="112"/>
        <v>2013</v>
      </c>
      <c r="AC3625" s="22">
        <f t="shared" si="113"/>
        <v>0.71500000000000008</v>
      </c>
    </row>
    <row r="3626" spans="1:29">
      <c r="A3626" s="8" t="s">
        <v>7312</v>
      </c>
      <c r="B3626" s="17" t="s">
        <v>7783</v>
      </c>
      <c r="C3626" s="13">
        <v>41535</v>
      </c>
      <c r="D3626" s="13" t="s">
        <v>8465</v>
      </c>
      <c r="E3626" s="10" t="s">
        <v>6304</v>
      </c>
      <c r="F3626" s="10" t="s">
        <v>6331</v>
      </c>
      <c r="G3626" s="11" t="s">
        <v>7310</v>
      </c>
      <c r="H3626" s="2" t="s">
        <v>171</v>
      </c>
      <c r="L3626" s="18">
        <v>1</v>
      </c>
      <c r="N3626" s="13">
        <v>42362</v>
      </c>
      <c r="O3626" s="29">
        <v>0.99</v>
      </c>
      <c r="P3626" s="18" t="s">
        <v>1107</v>
      </c>
      <c r="Q3626" s="18">
        <v>0</v>
      </c>
      <c r="U3626" s="22">
        <v>0.77</v>
      </c>
      <c r="V3626" s="22">
        <f>4.11/5</f>
        <v>0.82200000000000006</v>
      </c>
      <c r="X3626" s="3">
        <v>3</v>
      </c>
      <c r="Z3626" s="23">
        <v>8</v>
      </c>
      <c r="AB3626" s="18">
        <f t="shared" si="112"/>
        <v>2013</v>
      </c>
      <c r="AC3626" s="22">
        <f t="shared" si="113"/>
        <v>0.73066666666666669</v>
      </c>
    </row>
    <row r="3627" spans="1:29" ht="30">
      <c r="A3627" s="8" t="s">
        <v>3468</v>
      </c>
      <c r="B3627" s="17" t="s">
        <v>7800</v>
      </c>
      <c r="C3627" s="13">
        <v>41535</v>
      </c>
      <c r="D3627" s="13" t="s">
        <v>8465</v>
      </c>
      <c r="E3627" s="10" t="s">
        <v>3469</v>
      </c>
      <c r="F3627" s="10" t="s">
        <v>3470</v>
      </c>
      <c r="H3627" s="2" t="s">
        <v>67</v>
      </c>
      <c r="L3627" s="18">
        <v>1</v>
      </c>
      <c r="N3627" s="13">
        <v>42040</v>
      </c>
      <c r="P3627" s="18" t="s">
        <v>1107</v>
      </c>
      <c r="Q3627" s="18">
        <v>0</v>
      </c>
      <c r="U3627" s="22">
        <v>0.8</v>
      </c>
      <c r="V3627" s="22">
        <f>3.85/5</f>
        <v>0.77</v>
      </c>
      <c r="W3627" s="14" t="s">
        <v>7777</v>
      </c>
      <c r="X3627" s="3">
        <v>3</v>
      </c>
      <c r="Z3627" s="23">
        <v>19</v>
      </c>
      <c r="AB3627" s="18">
        <f t="shared" si="112"/>
        <v>2013</v>
      </c>
      <c r="AC3627" s="22">
        <f t="shared" si="113"/>
        <v>0.72333333333333327</v>
      </c>
    </row>
    <row r="3628" spans="1:29">
      <c r="A3628" s="8" t="s">
        <v>5488</v>
      </c>
      <c r="B3628" s="17" t="s">
        <v>7800</v>
      </c>
      <c r="C3628" s="13">
        <v>41535</v>
      </c>
      <c r="D3628" s="13" t="s">
        <v>8465</v>
      </c>
      <c r="E3628" s="10" t="s">
        <v>5141</v>
      </c>
      <c r="F3628" s="10" t="s">
        <v>5141</v>
      </c>
      <c r="G3628" s="11" t="s">
        <v>12635</v>
      </c>
      <c r="H3628" s="2" t="s">
        <v>150</v>
      </c>
      <c r="L3628" s="18">
        <v>1</v>
      </c>
      <c r="N3628" s="13">
        <v>42006</v>
      </c>
      <c r="O3628" s="29">
        <v>0.99</v>
      </c>
      <c r="P3628" s="18" t="s">
        <v>1107</v>
      </c>
      <c r="Q3628" s="18">
        <v>0</v>
      </c>
      <c r="U3628" s="22">
        <v>0.6</v>
      </c>
      <c r="V3628" s="22">
        <f>3.81/5</f>
        <v>0.76200000000000001</v>
      </c>
      <c r="W3628" s="14" t="s">
        <v>7777</v>
      </c>
      <c r="X3628" s="3">
        <v>3</v>
      </c>
      <c r="Z3628" s="23">
        <v>4</v>
      </c>
      <c r="AB3628" s="18">
        <f t="shared" si="112"/>
        <v>2013</v>
      </c>
      <c r="AC3628" s="22">
        <f t="shared" si="113"/>
        <v>0.65400000000000003</v>
      </c>
    </row>
    <row r="3629" spans="1:29">
      <c r="A3629" s="8" t="s">
        <v>1099</v>
      </c>
      <c r="B3629" s="17" t="s">
        <v>7743</v>
      </c>
      <c r="C3629" s="13">
        <v>41532</v>
      </c>
      <c r="D3629" s="13" t="s">
        <v>8465</v>
      </c>
      <c r="E3629" s="10" t="s">
        <v>86</v>
      </c>
      <c r="F3629" s="10" t="s">
        <v>1058</v>
      </c>
      <c r="G3629" s="11" t="s">
        <v>1099</v>
      </c>
      <c r="H3629" s="2" t="s">
        <v>1059</v>
      </c>
      <c r="L3629" s="18">
        <v>1</v>
      </c>
      <c r="N3629" s="13">
        <v>42038</v>
      </c>
      <c r="P3629" s="18" t="s">
        <v>1107</v>
      </c>
      <c r="Q3629" s="18">
        <v>0</v>
      </c>
      <c r="U3629" s="22">
        <v>0.78</v>
      </c>
      <c r="V3629" s="22">
        <f>4.08/5</f>
        <v>0.81600000000000006</v>
      </c>
      <c r="X3629" s="3">
        <v>4</v>
      </c>
      <c r="Z3629" s="23">
        <v>17</v>
      </c>
      <c r="AB3629" s="18">
        <f t="shared" si="112"/>
        <v>2013</v>
      </c>
      <c r="AC3629" s="22">
        <f t="shared" si="113"/>
        <v>0.79866666666666664</v>
      </c>
    </row>
    <row r="3630" spans="1:29">
      <c r="A3630" s="8" t="s">
        <v>5520</v>
      </c>
      <c r="B3630" s="17" t="s">
        <v>7800</v>
      </c>
      <c r="C3630" s="13">
        <v>41530</v>
      </c>
      <c r="D3630" s="13" t="s">
        <v>8465</v>
      </c>
      <c r="E3630" s="10" t="s">
        <v>3272</v>
      </c>
      <c r="F3630" s="10" t="s">
        <v>5521</v>
      </c>
      <c r="H3630" s="2" t="s">
        <v>56</v>
      </c>
      <c r="L3630" s="18">
        <v>1</v>
      </c>
      <c r="N3630" s="13">
        <v>41879</v>
      </c>
      <c r="P3630" s="18" t="s">
        <v>1107</v>
      </c>
      <c r="Q3630" s="18">
        <v>0</v>
      </c>
      <c r="U3630" s="22">
        <v>0.78</v>
      </c>
      <c r="V3630" s="22">
        <f>3.77/5</f>
        <v>0.754</v>
      </c>
      <c r="W3630" s="14" t="s">
        <v>7777</v>
      </c>
      <c r="X3630" s="3">
        <v>3</v>
      </c>
      <c r="Z3630" s="23">
        <v>9.5</v>
      </c>
      <c r="AB3630" s="18">
        <f t="shared" si="112"/>
        <v>2013</v>
      </c>
      <c r="AC3630" s="22">
        <f t="shared" si="113"/>
        <v>0.71133333333333326</v>
      </c>
    </row>
    <row r="3631" spans="1:29" ht="25.5">
      <c r="A3631" s="8" t="s">
        <v>5329</v>
      </c>
      <c r="B3631" s="17" t="s">
        <v>7800</v>
      </c>
      <c r="C3631" s="13">
        <v>41530</v>
      </c>
      <c r="D3631" s="13" t="s">
        <v>8465</v>
      </c>
      <c r="E3631" s="10" t="s">
        <v>228</v>
      </c>
      <c r="F3631" s="10" t="s">
        <v>170</v>
      </c>
      <c r="G3631" s="11" t="s">
        <v>567</v>
      </c>
      <c r="H3631" s="2" t="s">
        <v>459</v>
      </c>
      <c r="L3631" s="18">
        <v>1</v>
      </c>
      <c r="N3631" s="13">
        <v>41870</v>
      </c>
      <c r="P3631" s="18" t="s">
        <v>1107</v>
      </c>
      <c r="Q3631" s="18">
        <v>0</v>
      </c>
      <c r="U3631" s="22">
        <v>0.76</v>
      </c>
      <c r="V3631" s="22">
        <f>3.87/5</f>
        <v>0.77400000000000002</v>
      </c>
      <c r="W3631" s="14" t="s">
        <v>7777</v>
      </c>
      <c r="X3631" s="3">
        <v>3</v>
      </c>
      <c r="Z3631" s="23">
        <v>3</v>
      </c>
      <c r="AB3631" s="18">
        <f t="shared" si="112"/>
        <v>2013</v>
      </c>
      <c r="AC3631" s="22">
        <f t="shared" si="113"/>
        <v>0.71133333333333326</v>
      </c>
    </row>
    <row r="3632" spans="1:29">
      <c r="A3632" s="8" t="s">
        <v>4287</v>
      </c>
      <c r="B3632" s="17" t="s">
        <v>7800</v>
      </c>
      <c r="C3632" s="13">
        <v>41530</v>
      </c>
      <c r="D3632" s="13" t="s">
        <v>8465</v>
      </c>
      <c r="E3632" s="10" t="s">
        <v>4288</v>
      </c>
      <c r="F3632" s="10" t="s">
        <v>4288</v>
      </c>
      <c r="H3632" s="2" t="s">
        <v>1518</v>
      </c>
      <c r="I3632" s="18">
        <v>1</v>
      </c>
      <c r="L3632" s="18">
        <v>1</v>
      </c>
      <c r="N3632" s="13">
        <v>41638</v>
      </c>
      <c r="O3632" s="29">
        <v>1.49</v>
      </c>
      <c r="P3632" s="18" t="s">
        <v>1107</v>
      </c>
      <c r="Q3632" s="18">
        <v>0</v>
      </c>
      <c r="U3632" s="22">
        <v>0.7</v>
      </c>
      <c r="V3632" s="22">
        <f>3.41/5</f>
        <v>0.68200000000000005</v>
      </c>
      <c r="W3632" s="14" t="s">
        <v>7777</v>
      </c>
      <c r="X3632" s="3">
        <v>3</v>
      </c>
      <c r="Z3632" s="23">
        <v>8.5</v>
      </c>
      <c r="AB3632" s="18">
        <f t="shared" si="112"/>
        <v>2013</v>
      </c>
      <c r="AC3632" s="22">
        <f t="shared" si="113"/>
        <v>0.66066666666666674</v>
      </c>
    </row>
    <row r="3633" spans="1:29" ht="25.5">
      <c r="A3633" s="8" t="s">
        <v>88</v>
      </c>
      <c r="B3633" s="17" t="s">
        <v>7743</v>
      </c>
      <c r="C3633" s="13">
        <v>41529</v>
      </c>
      <c r="D3633" s="13" t="s">
        <v>8465</v>
      </c>
      <c r="E3633" s="10" t="s">
        <v>86</v>
      </c>
      <c r="F3633" s="10" t="s">
        <v>156</v>
      </c>
      <c r="G3633" s="11" t="s">
        <v>85</v>
      </c>
      <c r="H3633" s="2" t="s">
        <v>80</v>
      </c>
      <c r="L3633" s="18">
        <v>1</v>
      </c>
      <c r="N3633" s="13">
        <v>44630</v>
      </c>
      <c r="O3633" s="29">
        <v>4.99</v>
      </c>
      <c r="P3633" s="18" t="s">
        <v>1107</v>
      </c>
      <c r="Q3633" s="18">
        <v>0</v>
      </c>
      <c r="V3633" s="22">
        <f>3.66/5</f>
        <v>0.73199999999999998</v>
      </c>
      <c r="X3633" s="3">
        <v>2</v>
      </c>
      <c r="Z3633" s="23">
        <v>11</v>
      </c>
      <c r="AB3633" s="18">
        <f t="shared" si="112"/>
        <v>2013</v>
      </c>
      <c r="AC3633" s="22">
        <f t="shared" si="113"/>
        <v>0.56600000000000006</v>
      </c>
    </row>
    <row r="3634" spans="1:29" ht="30">
      <c r="A3634" s="8" t="s">
        <v>10219</v>
      </c>
      <c r="B3634" s="17" t="s">
        <v>7759</v>
      </c>
      <c r="C3634" s="13">
        <v>41527</v>
      </c>
      <c r="D3634" s="13" t="s">
        <v>8465</v>
      </c>
      <c r="E3634" s="10" t="s">
        <v>2908</v>
      </c>
      <c r="F3634" s="10" t="s">
        <v>6034</v>
      </c>
      <c r="H3634" s="2" t="s">
        <v>1040</v>
      </c>
      <c r="L3634" s="18">
        <v>0</v>
      </c>
      <c r="Q3634" s="18">
        <v>0</v>
      </c>
      <c r="U3634" s="22">
        <v>0.8</v>
      </c>
      <c r="V3634" s="22">
        <f>3.91/5</f>
        <v>0.78200000000000003</v>
      </c>
      <c r="X3634" s="3">
        <v>3</v>
      </c>
      <c r="Y3634" s="18">
        <v>1</v>
      </c>
      <c r="Z3634" s="23">
        <v>10</v>
      </c>
      <c r="AB3634" s="18">
        <f t="shared" si="112"/>
        <v>2013</v>
      </c>
      <c r="AC3634" s="22">
        <f t="shared" si="113"/>
        <v>0.72733333333333328</v>
      </c>
    </row>
    <row r="3635" spans="1:29" ht="30">
      <c r="A3635" s="8" t="s">
        <v>8451</v>
      </c>
      <c r="B3635" s="17" t="s">
        <v>7763</v>
      </c>
      <c r="C3635" s="13">
        <v>41527</v>
      </c>
      <c r="D3635" s="13" t="s">
        <v>8465</v>
      </c>
      <c r="E3635" s="10" t="s">
        <v>2908</v>
      </c>
      <c r="F3635" s="10" t="s">
        <v>8452</v>
      </c>
      <c r="G3635" s="11" t="s">
        <v>5820</v>
      </c>
      <c r="H3635" s="2" t="s">
        <v>1050</v>
      </c>
      <c r="L3635" s="18">
        <v>1</v>
      </c>
      <c r="M3635" s="14" t="s">
        <v>10622</v>
      </c>
      <c r="N3635" s="13">
        <v>43889</v>
      </c>
      <c r="O3635" s="29">
        <v>10.84</v>
      </c>
      <c r="P3635" s="18" t="s">
        <v>14</v>
      </c>
      <c r="Q3635" s="18">
        <v>0</v>
      </c>
      <c r="U3635" s="22">
        <v>0.78</v>
      </c>
      <c r="V3635" s="22">
        <f>4.04/5</f>
        <v>0.80800000000000005</v>
      </c>
      <c r="X3635" s="3">
        <v>3</v>
      </c>
      <c r="Z3635" s="23">
        <v>4.5</v>
      </c>
      <c r="AB3635" s="18">
        <f t="shared" si="112"/>
        <v>2013</v>
      </c>
      <c r="AC3635" s="22">
        <f t="shared" si="113"/>
        <v>0.72933333333333339</v>
      </c>
    </row>
    <row r="3636" spans="1:29" ht="25.5">
      <c r="A3636" s="8" t="s">
        <v>5491</v>
      </c>
      <c r="B3636" s="17" t="s">
        <v>7800</v>
      </c>
      <c r="C3636" s="13">
        <v>41525</v>
      </c>
      <c r="D3636" s="13" t="s">
        <v>8465</v>
      </c>
      <c r="E3636" s="10" t="s">
        <v>5492</v>
      </c>
      <c r="F3636" s="10" t="s">
        <v>5492</v>
      </c>
      <c r="H3636" s="2" t="s">
        <v>151</v>
      </c>
      <c r="L3636" s="18">
        <v>1</v>
      </c>
      <c r="N3636" s="13">
        <v>41640</v>
      </c>
      <c r="O3636" s="29">
        <v>3.22</v>
      </c>
      <c r="P3636" s="18" t="s">
        <v>1107</v>
      </c>
      <c r="Q3636" s="18">
        <v>0</v>
      </c>
      <c r="U3636" s="22">
        <v>0.88</v>
      </c>
      <c r="V3636" s="22">
        <f>3.92/5</f>
        <v>0.78400000000000003</v>
      </c>
      <c r="W3636" s="14" t="s">
        <v>7777</v>
      </c>
      <c r="X3636" s="3">
        <v>4</v>
      </c>
      <c r="Z3636" s="23">
        <v>11</v>
      </c>
      <c r="AB3636" s="18">
        <f t="shared" si="112"/>
        <v>2013</v>
      </c>
      <c r="AC3636" s="22">
        <f t="shared" si="113"/>
        <v>0.82133333333333347</v>
      </c>
    </row>
    <row r="3637" spans="1:29" ht="25.5">
      <c r="A3637" s="8" t="s">
        <v>2678</v>
      </c>
      <c r="B3637" s="17" t="s">
        <v>7800</v>
      </c>
      <c r="C3637" s="13">
        <v>41521</v>
      </c>
      <c r="D3637" s="13" t="s">
        <v>8465</v>
      </c>
      <c r="E3637" s="10" t="s">
        <v>455</v>
      </c>
      <c r="F3637" s="10" t="s">
        <v>12785</v>
      </c>
      <c r="G3637" s="11" t="s">
        <v>1286</v>
      </c>
      <c r="H3637" s="2" t="s">
        <v>64</v>
      </c>
      <c r="L3637" s="18">
        <v>1</v>
      </c>
      <c r="N3637" s="13">
        <v>44840</v>
      </c>
      <c r="O3637" s="29">
        <v>3.74</v>
      </c>
      <c r="P3637" s="18" t="s">
        <v>1107</v>
      </c>
      <c r="Q3637" s="18">
        <v>0</v>
      </c>
      <c r="U3637" s="22">
        <v>0.69</v>
      </c>
      <c r="V3637" s="22">
        <f>3.65/5</f>
        <v>0.73</v>
      </c>
      <c r="W3637" s="14" t="s">
        <v>7777</v>
      </c>
      <c r="X3637" s="3">
        <v>3</v>
      </c>
      <c r="Z3637" s="23">
        <v>2.5</v>
      </c>
      <c r="AB3637" s="18">
        <f t="shared" si="112"/>
        <v>2013</v>
      </c>
      <c r="AC3637" s="22">
        <f t="shared" si="113"/>
        <v>0.67333333333333334</v>
      </c>
    </row>
    <row r="3638" spans="1:29">
      <c r="A3638" s="8" t="s">
        <v>4458</v>
      </c>
      <c r="B3638" s="17" t="s">
        <v>7800</v>
      </c>
      <c r="C3638" s="13">
        <v>41521</v>
      </c>
      <c r="D3638" s="13" t="s">
        <v>8465</v>
      </c>
      <c r="E3638" s="10" t="s">
        <v>4459</v>
      </c>
      <c r="F3638" s="10" t="s">
        <v>4459</v>
      </c>
      <c r="H3638" s="2" t="s">
        <v>67</v>
      </c>
      <c r="L3638" s="18">
        <v>1</v>
      </c>
      <c r="N3638" s="13">
        <v>42175</v>
      </c>
      <c r="O3638" s="29">
        <v>1.99</v>
      </c>
      <c r="P3638" s="18" t="s">
        <v>1107</v>
      </c>
      <c r="Q3638" s="18">
        <v>0</v>
      </c>
      <c r="U3638" s="22">
        <v>0.71</v>
      </c>
      <c r="V3638" s="22">
        <f>2.85/5</f>
        <v>0.57000000000000006</v>
      </c>
      <c r="W3638" s="14" t="s">
        <v>7777</v>
      </c>
      <c r="X3638" s="3">
        <v>3</v>
      </c>
      <c r="Z3638" s="23">
        <v>3.5</v>
      </c>
      <c r="AB3638" s="18">
        <f t="shared" si="112"/>
        <v>2013</v>
      </c>
      <c r="AC3638" s="22">
        <f t="shared" si="113"/>
        <v>0.62666666666666659</v>
      </c>
    </row>
    <row r="3639" spans="1:29">
      <c r="A3639" s="8" t="s">
        <v>6282</v>
      </c>
      <c r="B3639" s="17" t="s">
        <v>7800</v>
      </c>
      <c r="C3639" s="13">
        <v>41520</v>
      </c>
      <c r="D3639" s="13" t="s">
        <v>8465</v>
      </c>
      <c r="E3639" s="10" t="s">
        <v>1047</v>
      </c>
      <c r="F3639" s="10" t="s">
        <v>1147</v>
      </c>
      <c r="G3639" s="11" t="s">
        <v>1477</v>
      </c>
      <c r="H3639" s="2" t="s">
        <v>64</v>
      </c>
      <c r="L3639" s="18">
        <v>1</v>
      </c>
      <c r="N3639" s="13">
        <v>41848</v>
      </c>
      <c r="O3639" s="29">
        <v>9.99</v>
      </c>
      <c r="P3639" s="18" t="s">
        <v>1107</v>
      </c>
      <c r="Q3639" s="18">
        <v>0</v>
      </c>
      <c r="U3639" s="22">
        <v>0.9</v>
      </c>
      <c r="V3639" s="22">
        <f>4.08/5</f>
        <v>0.81600000000000006</v>
      </c>
      <c r="W3639" s="14" t="s">
        <v>7798</v>
      </c>
      <c r="X3639" s="3">
        <v>4</v>
      </c>
      <c r="Z3639" s="23">
        <v>9.5</v>
      </c>
      <c r="AB3639" s="18">
        <f t="shared" si="112"/>
        <v>2013</v>
      </c>
      <c r="AC3639" s="22">
        <f t="shared" si="113"/>
        <v>0.83866666666666667</v>
      </c>
    </row>
    <row r="3640" spans="1:29">
      <c r="A3640" s="8" t="s">
        <v>6282</v>
      </c>
      <c r="B3640" s="17" t="s">
        <v>7763</v>
      </c>
      <c r="C3640" s="13">
        <v>41520</v>
      </c>
      <c r="D3640" s="13" t="s">
        <v>8465</v>
      </c>
      <c r="E3640" s="10" t="s">
        <v>1047</v>
      </c>
      <c r="F3640" s="10" t="s">
        <v>1147</v>
      </c>
      <c r="G3640" s="11" t="s">
        <v>1477</v>
      </c>
      <c r="H3640" s="2" t="s">
        <v>64</v>
      </c>
      <c r="L3640" s="18">
        <v>1</v>
      </c>
      <c r="M3640" s="14" t="s">
        <v>8462</v>
      </c>
      <c r="N3640" s="13">
        <v>43598</v>
      </c>
      <c r="O3640" s="29">
        <v>11.49</v>
      </c>
      <c r="P3640" s="18" t="s">
        <v>14</v>
      </c>
      <c r="Q3640" s="18">
        <v>0</v>
      </c>
      <c r="U3640" s="22">
        <v>0.83</v>
      </c>
      <c r="V3640" s="22">
        <f>4.14/5</f>
        <v>0.82799999999999996</v>
      </c>
      <c r="X3640" s="3">
        <v>3</v>
      </c>
      <c r="Z3640" s="23">
        <v>9.5</v>
      </c>
      <c r="AB3640" s="18">
        <f t="shared" si="112"/>
        <v>2013</v>
      </c>
      <c r="AC3640" s="22">
        <f t="shared" si="113"/>
        <v>0.75266666666666671</v>
      </c>
    </row>
    <row r="3641" spans="1:29" ht="25.5">
      <c r="A3641" s="8" t="s">
        <v>10227</v>
      </c>
      <c r="B3641" s="17" t="s">
        <v>7759</v>
      </c>
      <c r="C3641" s="13">
        <v>41520</v>
      </c>
      <c r="D3641" s="13" t="s">
        <v>8465</v>
      </c>
      <c r="E3641" s="10" t="s">
        <v>3568</v>
      </c>
      <c r="F3641" s="10" t="s">
        <v>1471</v>
      </c>
      <c r="G3641" s="11" t="s">
        <v>9669</v>
      </c>
      <c r="H3641" s="2" t="s">
        <v>1059</v>
      </c>
      <c r="L3641" s="18">
        <v>0</v>
      </c>
      <c r="Q3641" s="18">
        <v>0</v>
      </c>
      <c r="U3641" s="22">
        <v>0.71</v>
      </c>
      <c r="V3641" s="22">
        <f>4.23/5</f>
        <v>0.84600000000000009</v>
      </c>
      <c r="X3641" s="3">
        <v>3</v>
      </c>
      <c r="Y3641" s="18">
        <v>1</v>
      </c>
      <c r="Z3641" s="23">
        <v>16</v>
      </c>
      <c r="AB3641" s="18">
        <f t="shared" si="112"/>
        <v>2013</v>
      </c>
      <c r="AC3641" s="22">
        <f t="shared" si="113"/>
        <v>0.71866666666666668</v>
      </c>
    </row>
    <row r="3642" spans="1:29">
      <c r="A3642" s="8" t="s">
        <v>5450</v>
      </c>
      <c r="B3642" s="17" t="s">
        <v>7800</v>
      </c>
      <c r="C3642" s="13">
        <v>41520</v>
      </c>
      <c r="D3642" s="13" t="s">
        <v>8465</v>
      </c>
      <c r="E3642" s="10" t="s">
        <v>455</v>
      </c>
      <c r="F3642" s="10" t="s">
        <v>3151</v>
      </c>
      <c r="G3642" s="11" t="s">
        <v>3794</v>
      </c>
      <c r="H3642" s="2" t="s">
        <v>3279</v>
      </c>
      <c r="L3642" s="18">
        <v>1</v>
      </c>
      <c r="N3642" s="13">
        <v>41642</v>
      </c>
      <c r="P3642" s="18" t="s">
        <v>1107</v>
      </c>
      <c r="Q3642" s="18">
        <v>0</v>
      </c>
      <c r="U3642" s="22">
        <v>0.76</v>
      </c>
      <c r="V3642" s="22">
        <f>3.52/5</f>
        <v>0.70399999999999996</v>
      </c>
      <c r="W3642" s="14" t="s">
        <v>7777</v>
      </c>
      <c r="X3642" s="3">
        <v>3</v>
      </c>
      <c r="Z3642" s="23">
        <v>63.5</v>
      </c>
      <c r="AB3642" s="18">
        <f t="shared" si="112"/>
        <v>2013</v>
      </c>
      <c r="AC3642" s="22">
        <f t="shared" si="113"/>
        <v>0.68800000000000006</v>
      </c>
    </row>
    <row r="3643" spans="1:29">
      <c r="A3643" s="8" t="s">
        <v>85</v>
      </c>
      <c r="B3643" s="17" t="s">
        <v>7743</v>
      </c>
      <c r="C3643" s="13">
        <v>41515</v>
      </c>
      <c r="D3643" s="13" t="s">
        <v>8465</v>
      </c>
      <c r="E3643" s="10" t="s">
        <v>86</v>
      </c>
      <c r="F3643" s="10" t="s">
        <v>86</v>
      </c>
      <c r="G3643" s="11" t="s">
        <v>85</v>
      </c>
      <c r="H3643" s="2" t="s">
        <v>80</v>
      </c>
      <c r="L3643" s="18">
        <v>1</v>
      </c>
      <c r="N3643" s="13">
        <v>44610</v>
      </c>
      <c r="O3643" s="29">
        <v>4.99</v>
      </c>
      <c r="P3643" s="18" t="s">
        <v>1107</v>
      </c>
      <c r="Q3643" s="18">
        <v>0</v>
      </c>
      <c r="V3643" s="22">
        <f>4.19/5</f>
        <v>0.83800000000000008</v>
      </c>
      <c r="X3643" s="3">
        <v>2</v>
      </c>
      <c r="Z3643" s="23">
        <v>8</v>
      </c>
      <c r="AB3643" s="18">
        <f t="shared" si="112"/>
        <v>2013</v>
      </c>
      <c r="AC3643" s="22">
        <f t="shared" si="113"/>
        <v>0.61899999999999999</v>
      </c>
    </row>
    <row r="3644" spans="1:29">
      <c r="A3644" s="8" t="s">
        <v>4426</v>
      </c>
      <c r="B3644" s="17" t="s">
        <v>7800</v>
      </c>
      <c r="C3644" s="13">
        <v>41515</v>
      </c>
      <c r="D3644" s="13" t="s">
        <v>8465</v>
      </c>
      <c r="E3644" s="10" t="s">
        <v>3072</v>
      </c>
      <c r="F3644" s="10" t="s">
        <v>3072</v>
      </c>
      <c r="G3644" s="11" t="s">
        <v>3326</v>
      </c>
      <c r="H3644" s="2" t="s">
        <v>67</v>
      </c>
      <c r="L3644" s="18">
        <v>1</v>
      </c>
      <c r="N3644" s="13">
        <v>43256</v>
      </c>
      <c r="P3644" s="18" t="s">
        <v>1107</v>
      </c>
      <c r="Q3644" s="18">
        <v>0</v>
      </c>
      <c r="U3644" s="22">
        <v>0.8</v>
      </c>
      <c r="V3644" s="22">
        <f>4/5</f>
        <v>0.8</v>
      </c>
      <c r="W3644" s="14" t="s">
        <v>7777</v>
      </c>
      <c r="X3644" s="3">
        <v>2</v>
      </c>
      <c r="Z3644" s="23">
        <v>8.5</v>
      </c>
      <c r="AB3644" s="18">
        <f t="shared" si="112"/>
        <v>2013</v>
      </c>
      <c r="AC3644" s="22">
        <f t="shared" si="113"/>
        <v>0.66666666666666663</v>
      </c>
    </row>
    <row r="3645" spans="1:29">
      <c r="A3645" s="8" t="s">
        <v>7707</v>
      </c>
      <c r="B3645" s="17" t="s">
        <v>7743</v>
      </c>
      <c r="C3645" s="13">
        <v>41515</v>
      </c>
      <c r="D3645" s="13" t="s">
        <v>8465</v>
      </c>
      <c r="E3645" s="10" t="s">
        <v>86</v>
      </c>
      <c r="F3645" s="10" t="s">
        <v>7701</v>
      </c>
      <c r="G3645" s="11" t="s">
        <v>1470</v>
      </c>
      <c r="H3645" s="2" t="s">
        <v>171</v>
      </c>
      <c r="L3645" s="18">
        <v>1</v>
      </c>
      <c r="N3645" s="13">
        <v>44413</v>
      </c>
      <c r="O3645" s="29">
        <v>17.989999999999998</v>
      </c>
      <c r="P3645" s="18" t="s">
        <v>1107</v>
      </c>
      <c r="Q3645" s="18">
        <v>0</v>
      </c>
      <c r="U3645" s="22">
        <v>0.49</v>
      </c>
      <c r="V3645" s="22">
        <f>3.46/5</f>
        <v>0.69199999999999995</v>
      </c>
      <c r="X3645" s="3">
        <v>2</v>
      </c>
      <c r="Z3645" s="23">
        <v>5.5</v>
      </c>
      <c r="AB3645" s="18">
        <f t="shared" si="112"/>
        <v>2013</v>
      </c>
      <c r="AC3645" s="22">
        <f t="shared" si="113"/>
        <v>0.52733333333333332</v>
      </c>
    </row>
    <row r="3646" spans="1:29">
      <c r="A3646" s="8" t="s">
        <v>4984</v>
      </c>
      <c r="B3646" s="17" t="s">
        <v>7800</v>
      </c>
      <c r="C3646" s="13">
        <v>41514</v>
      </c>
      <c r="D3646" s="13" t="s">
        <v>8465</v>
      </c>
      <c r="E3646" s="10" t="s">
        <v>4689</v>
      </c>
      <c r="F3646" s="10" t="s">
        <v>4689</v>
      </c>
      <c r="G3646" s="11" t="s">
        <v>4984</v>
      </c>
      <c r="H3646" s="2" t="s">
        <v>67</v>
      </c>
      <c r="L3646" s="18">
        <v>1</v>
      </c>
      <c r="N3646" s="13">
        <v>41582</v>
      </c>
      <c r="P3646" s="18" t="s">
        <v>1107</v>
      </c>
      <c r="Q3646" s="18">
        <v>0</v>
      </c>
      <c r="U3646" s="22">
        <v>0.69</v>
      </c>
      <c r="V3646" s="22">
        <f>3.67/5</f>
        <v>0.73399999999999999</v>
      </c>
      <c r="W3646" s="14" t="s">
        <v>7777</v>
      </c>
      <c r="X3646" s="3">
        <v>3</v>
      </c>
      <c r="Z3646" s="23">
        <v>1.5</v>
      </c>
      <c r="AB3646" s="18">
        <f t="shared" si="112"/>
        <v>2013</v>
      </c>
      <c r="AC3646" s="22">
        <f t="shared" si="113"/>
        <v>0.67466666666666664</v>
      </c>
    </row>
    <row r="3647" spans="1:29">
      <c r="A3647" s="8" t="s">
        <v>4349</v>
      </c>
      <c r="B3647" s="17" t="s">
        <v>7800</v>
      </c>
      <c r="C3647" s="13">
        <v>41513</v>
      </c>
      <c r="D3647" s="13" t="s">
        <v>8465</v>
      </c>
      <c r="E3647" s="10" t="s">
        <v>73</v>
      </c>
      <c r="F3647" s="10" t="s">
        <v>4292</v>
      </c>
      <c r="G3647" s="11" t="s">
        <v>4348</v>
      </c>
      <c r="H3647" s="2" t="s">
        <v>1168</v>
      </c>
      <c r="L3647" s="18">
        <v>1</v>
      </c>
      <c r="N3647" s="13">
        <v>42290</v>
      </c>
      <c r="P3647" s="18" t="s">
        <v>1107</v>
      </c>
      <c r="Q3647" s="18">
        <v>0</v>
      </c>
      <c r="U3647" s="22">
        <v>0.65</v>
      </c>
      <c r="V3647" s="22">
        <f>3.29/5</f>
        <v>0.65800000000000003</v>
      </c>
      <c r="W3647" s="14" t="s">
        <v>7777</v>
      </c>
      <c r="X3647" s="3">
        <v>3</v>
      </c>
      <c r="Z3647" s="23">
        <v>10.5</v>
      </c>
      <c r="AB3647" s="18">
        <f t="shared" si="112"/>
        <v>2013</v>
      </c>
      <c r="AC3647" s="22">
        <f t="shared" si="113"/>
        <v>0.63600000000000001</v>
      </c>
    </row>
    <row r="3648" spans="1:29" ht="25.5">
      <c r="A3648" s="8" t="s">
        <v>3423</v>
      </c>
      <c r="B3648" s="17" t="s">
        <v>7800</v>
      </c>
      <c r="C3648" s="13">
        <v>41513</v>
      </c>
      <c r="D3648" s="13" t="s">
        <v>8465</v>
      </c>
      <c r="E3648" s="10" t="s">
        <v>72</v>
      </c>
      <c r="F3648" s="10" t="s">
        <v>2456</v>
      </c>
      <c r="G3648" s="11" t="s">
        <v>113</v>
      </c>
      <c r="H3648" s="2" t="s">
        <v>80</v>
      </c>
      <c r="L3648" s="18">
        <v>1</v>
      </c>
      <c r="N3648" s="13">
        <v>41997</v>
      </c>
      <c r="O3648" s="29">
        <v>4.76</v>
      </c>
      <c r="P3648" s="18" t="s">
        <v>1107</v>
      </c>
      <c r="Q3648" s="18">
        <v>0</v>
      </c>
      <c r="U3648" s="22">
        <v>0.77</v>
      </c>
      <c r="V3648" s="22">
        <f>3.7/5</f>
        <v>0.74</v>
      </c>
      <c r="W3648" s="14" t="s">
        <v>7777</v>
      </c>
      <c r="X3648" s="3">
        <v>2</v>
      </c>
      <c r="Z3648" s="23">
        <v>18</v>
      </c>
      <c r="AB3648" s="18">
        <f t="shared" si="112"/>
        <v>2013</v>
      </c>
      <c r="AC3648" s="22">
        <f t="shared" si="113"/>
        <v>0.63666666666666671</v>
      </c>
    </row>
    <row r="3649" spans="1:29" ht="25.5">
      <c r="A3649" s="8" t="s">
        <v>4708</v>
      </c>
      <c r="B3649" s="17" t="s">
        <v>7800</v>
      </c>
      <c r="C3649" s="13">
        <v>41512</v>
      </c>
      <c r="D3649" s="13" t="s">
        <v>8465</v>
      </c>
      <c r="E3649" s="10" t="s">
        <v>4709</v>
      </c>
      <c r="F3649" s="10" t="s">
        <v>2127</v>
      </c>
      <c r="G3649" s="11" t="s">
        <v>4707</v>
      </c>
      <c r="H3649" s="2" t="s">
        <v>1169</v>
      </c>
      <c r="L3649" s="18">
        <v>1</v>
      </c>
      <c r="N3649" s="13">
        <v>41977</v>
      </c>
      <c r="P3649" s="18" t="s">
        <v>1107</v>
      </c>
      <c r="Q3649" s="18">
        <v>0</v>
      </c>
      <c r="U3649" s="22">
        <v>0.86</v>
      </c>
      <c r="V3649" s="22">
        <f>3.21/5</f>
        <v>0.64200000000000002</v>
      </c>
      <c r="W3649" s="14" t="s">
        <v>7777</v>
      </c>
      <c r="X3649" s="3">
        <v>3</v>
      </c>
      <c r="Z3649" s="23">
        <v>17.5</v>
      </c>
      <c r="AB3649" s="18">
        <f t="shared" ref="AB3649:AB3712" si="114">IFERROR(YEAR(C3649), "Early Access")</f>
        <v>2013</v>
      </c>
      <c r="AC3649" s="22">
        <f t="shared" ref="AC3649:AC3712" si="115">AVERAGE(T3649, U3649, V3649, IF(ISBLANK(X3649), X3649, X3649/5))</f>
        <v>0.70066666666666666</v>
      </c>
    </row>
    <row r="3650" spans="1:29">
      <c r="A3650" s="8" t="s">
        <v>1127</v>
      </c>
      <c r="B3650" s="17" t="s">
        <v>7743</v>
      </c>
      <c r="C3650" s="13">
        <v>41511</v>
      </c>
      <c r="D3650" s="13" t="s">
        <v>8465</v>
      </c>
      <c r="E3650" s="10" t="s">
        <v>86</v>
      </c>
      <c r="F3650" s="10" t="s">
        <v>87</v>
      </c>
      <c r="G3650" s="11" t="s">
        <v>137</v>
      </c>
      <c r="H3650" s="2" t="s">
        <v>64</v>
      </c>
      <c r="L3650" s="18">
        <v>1</v>
      </c>
      <c r="M3650" s="14" t="s">
        <v>8462</v>
      </c>
      <c r="N3650" s="13">
        <v>43518</v>
      </c>
      <c r="O3650" s="29">
        <v>24.99</v>
      </c>
      <c r="P3650" s="18" t="s">
        <v>14</v>
      </c>
      <c r="Q3650" s="18">
        <v>0</v>
      </c>
      <c r="U3650" s="22">
        <v>0.76</v>
      </c>
      <c r="V3650" s="22">
        <f>3.92/5</f>
        <v>0.78400000000000003</v>
      </c>
      <c r="X3650" s="3">
        <v>3</v>
      </c>
      <c r="Z3650" s="23">
        <v>4.5</v>
      </c>
      <c r="AB3650" s="18">
        <f t="shared" si="114"/>
        <v>2013</v>
      </c>
      <c r="AC3650" s="22">
        <f t="shared" si="115"/>
        <v>0.71466666666666667</v>
      </c>
    </row>
    <row r="3651" spans="1:29">
      <c r="A3651" s="8" t="s">
        <v>5024</v>
      </c>
      <c r="B3651" s="17" t="s">
        <v>7800</v>
      </c>
      <c r="C3651" s="13">
        <v>41508</v>
      </c>
      <c r="D3651" s="13" t="s">
        <v>8465</v>
      </c>
      <c r="E3651" s="10" t="s">
        <v>5025</v>
      </c>
      <c r="F3651" s="10" t="s">
        <v>5026</v>
      </c>
      <c r="G3651" s="11" t="s">
        <v>5024</v>
      </c>
      <c r="H3651" s="2" t="s">
        <v>459</v>
      </c>
      <c r="L3651" s="18">
        <v>1</v>
      </c>
      <c r="N3651" s="13">
        <v>41803</v>
      </c>
      <c r="O3651" s="29">
        <v>3.54</v>
      </c>
      <c r="P3651" s="18" t="s">
        <v>1107</v>
      </c>
      <c r="Q3651" s="18">
        <v>0</v>
      </c>
      <c r="U3651" s="22">
        <v>0.85</v>
      </c>
      <c r="V3651" s="22">
        <f>3.77/5</f>
        <v>0.754</v>
      </c>
      <c r="W3651" s="14" t="s">
        <v>7777</v>
      </c>
      <c r="X3651" s="3">
        <v>3</v>
      </c>
      <c r="Z3651" s="23">
        <v>3</v>
      </c>
      <c r="AB3651" s="18">
        <f t="shared" si="114"/>
        <v>2013</v>
      </c>
      <c r="AC3651" s="22">
        <f t="shared" si="115"/>
        <v>0.73466666666666669</v>
      </c>
    </row>
    <row r="3652" spans="1:29" ht="25.5">
      <c r="A3652" s="8" t="s">
        <v>3742</v>
      </c>
      <c r="B3652" s="17" t="s">
        <v>7800</v>
      </c>
      <c r="C3652" s="13">
        <v>41508</v>
      </c>
      <c r="D3652" s="13" t="s">
        <v>8465</v>
      </c>
      <c r="E3652" s="10" t="s">
        <v>73</v>
      </c>
      <c r="F3652" s="10" t="s">
        <v>3743</v>
      </c>
      <c r="G3652" s="11" t="s">
        <v>445</v>
      </c>
      <c r="H3652" s="2" t="s">
        <v>153</v>
      </c>
      <c r="L3652" s="18">
        <v>1</v>
      </c>
      <c r="N3652" s="13">
        <v>42726</v>
      </c>
      <c r="P3652" s="18" t="s">
        <v>1107</v>
      </c>
      <c r="Q3652" s="18">
        <v>0</v>
      </c>
      <c r="U3652" s="22">
        <v>0.83</v>
      </c>
      <c r="V3652" s="22">
        <f>3.85/5</f>
        <v>0.77</v>
      </c>
      <c r="W3652" s="14" t="s">
        <v>7777</v>
      </c>
      <c r="X3652" s="3">
        <v>3</v>
      </c>
      <c r="Z3652" s="23">
        <v>2</v>
      </c>
      <c r="AB3652" s="18">
        <f t="shared" si="114"/>
        <v>2013</v>
      </c>
      <c r="AC3652" s="22">
        <f t="shared" si="115"/>
        <v>0.73333333333333339</v>
      </c>
    </row>
    <row r="3653" spans="1:29">
      <c r="A3653" s="8" t="s">
        <v>11501</v>
      </c>
      <c r="B3653" s="17" t="s">
        <v>7749</v>
      </c>
      <c r="C3653" s="13">
        <v>41508</v>
      </c>
      <c r="D3653" s="13" t="s">
        <v>8465</v>
      </c>
      <c r="E3653" s="10" t="s">
        <v>10018</v>
      </c>
      <c r="F3653" s="10" t="s">
        <v>10018</v>
      </c>
      <c r="H3653" s="2" t="s">
        <v>78</v>
      </c>
      <c r="L3653" s="18">
        <v>1</v>
      </c>
      <c r="N3653" s="13">
        <v>44673</v>
      </c>
      <c r="O3653" s="29">
        <v>2.99</v>
      </c>
      <c r="P3653" s="18" t="s">
        <v>1107</v>
      </c>
      <c r="Q3653" s="18">
        <v>0</v>
      </c>
      <c r="V3653" s="22">
        <f>3.42/5</f>
        <v>0.68399999999999994</v>
      </c>
      <c r="X3653" s="3">
        <v>2</v>
      </c>
      <c r="AB3653" s="18">
        <f t="shared" si="114"/>
        <v>2013</v>
      </c>
      <c r="AC3653" s="22">
        <f t="shared" si="115"/>
        <v>0.54200000000000004</v>
      </c>
    </row>
    <row r="3654" spans="1:29" ht="25.5">
      <c r="A3654" s="8" t="s">
        <v>6038</v>
      </c>
      <c r="B3654" s="17" t="s">
        <v>7759</v>
      </c>
      <c r="C3654" s="13">
        <v>41506</v>
      </c>
      <c r="D3654" s="13" t="s">
        <v>8465</v>
      </c>
      <c r="E3654" s="10" t="s">
        <v>1047</v>
      </c>
      <c r="F3654" s="10" t="s">
        <v>1671</v>
      </c>
      <c r="G3654" s="11" t="s">
        <v>5430</v>
      </c>
      <c r="H3654" s="2" t="s">
        <v>245</v>
      </c>
      <c r="L3654" s="18">
        <v>1</v>
      </c>
      <c r="M3654" s="14" t="s">
        <v>8462</v>
      </c>
      <c r="N3654" s="13">
        <v>43558</v>
      </c>
      <c r="P3654" s="18" t="s">
        <v>14</v>
      </c>
      <c r="Q3654" s="18">
        <v>0</v>
      </c>
      <c r="U3654" s="22">
        <v>0.85</v>
      </c>
      <c r="V3654" s="22">
        <f>4.01/5</f>
        <v>0.80199999999999994</v>
      </c>
      <c r="X3654" s="3">
        <v>3</v>
      </c>
      <c r="Z3654" s="23">
        <v>11</v>
      </c>
      <c r="AB3654" s="18">
        <f t="shared" si="114"/>
        <v>2013</v>
      </c>
      <c r="AC3654" s="22">
        <f t="shared" si="115"/>
        <v>0.75066666666666659</v>
      </c>
    </row>
    <row r="3655" spans="1:29">
      <c r="A3655" s="8" t="s">
        <v>3676</v>
      </c>
      <c r="B3655" s="17" t="s">
        <v>7800</v>
      </c>
      <c r="C3655" s="13">
        <v>41506</v>
      </c>
      <c r="D3655" s="13" t="s">
        <v>8465</v>
      </c>
      <c r="E3655" s="10" t="s">
        <v>3677</v>
      </c>
      <c r="F3655" s="10" t="s">
        <v>3677</v>
      </c>
      <c r="H3655" s="2" t="s">
        <v>459</v>
      </c>
      <c r="L3655" s="18">
        <v>1</v>
      </c>
      <c r="N3655" s="13">
        <v>42129</v>
      </c>
      <c r="P3655" s="18" t="s">
        <v>1107</v>
      </c>
      <c r="Q3655" s="18">
        <v>0</v>
      </c>
      <c r="U3655" s="22">
        <v>0.71</v>
      </c>
      <c r="V3655" s="22">
        <f>3.27/5</f>
        <v>0.65400000000000003</v>
      </c>
      <c r="W3655" s="14" t="s">
        <v>7777</v>
      </c>
      <c r="X3655" s="3">
        <v>3</v>
      </c>
      <c r="Z3655" s="23">
        <v>0.8</v>
      </c>
      <c r="AB3655" s="18">
        <f t="shared" si="114"/>
        <v>2013</v>
      </c>
      <c r="AC3655" s="22">
        <f t="shared" si="115"/>
        <v>0.65466666666666662</v>
      </c>
    </row>
    <row r="3656" spans="1:29" ht="25.5">
      <c r="A3656" s="8" t="s">
        <v>5288</v>
      </c>
      <c r="B3656" s="17" t="s">
        <v>7800</v>
      </c>
      <c r="C3656" s="13">
        <v>41506</v>
      </c>
      <c r="D3656" s="13" t="s">
        <v>8465</v>
      </c>
      <c r="E3656" s="10" t="s">
        <v>3310</v>
      </c>
      <c r="F3656" s="10" t="s">
        <v>3313</v>
      </c>
      <c r="G3656" s="11" t="s">
        <v>5594</v>
      </c>
      <c r="H3656" s="2" t="s">
        <v>1168</v>
      </c>
      <c r="L3656" s="18">
        <v>1</v>
      </c>
      <c r="N3656" s="13">
        <v>41809</v>
      </c>
      <c r="O3656" s="29">
        <v>3.99</v>
      </c>
      <c r="P3656" s="18" t="s">
        <v>1107</v>
      </c>
      <c r="Q3656" s="18">
        <v>0</v>
      </c>
      <c r="U3656" s="22">
        <v>0.62</v>
      </c>
      <c r="V3656" s="22">
        <f>3.1/5</f>
        <v>0.62</v>
      </c>
      <c r="W3656" s="14" t="s">
        <v>7777</v>
      </c>
      <c r="X3656" s="3">
        <v>3</v>
      </c>
      <c r="Z3656" s="23">
        <v>10.5</v>
      </c>
      <c r="AB3656" s="18">
        <f t="shared" si="114"/>
        <v>2013</v>
      </c>
      <c r="AC3656" s="22">
        <f t="shared" si="115"/>
        <v>0.61333333333333329</v>
      </c>
    </row>
    <row r="3657" spans="1:29" ht="30">
      <c r="A3657" s="8" t="s">
        <v>4093</v>
      </c>
      <c r="B3657" s="17" t="s">
        <v>7800</v>
      </c>
      <c r="C3657" s="13">
        <v>41505</v>
      </c>
      <c r="D3657" s="13" t="s">
        <v>8465</v>
      </c>
      <c r="E3657" s="10" t="s">
        <v>3178</v>
      </c>
      <c r="F3657" s="10" t="s">
        <v>3178</v>
      </c>
      <c r="G3657" s="11" t="s">
        <v>3179</v>
      </c>
      <c r="H3657" s="2" t="s">
        <v>1057</v>
      </c>
      <c r="L3657" s="18">
        <v>1</v>
      </c>
      <c r="N3657" s="13">
        <v>42047</v>
      </c>
      <c r="P3657" s="18" t="s">
        <v>1107</v>
      </c>
      <c r="Q3657" s="18">
        <v>0</v>
      </c>
      <c r="U3657" s="22">
        <v>0.8</v>
      </c>
      <c r="V3657" s="22">
        <f>3.61/5</f>
        <v>0.72199999999999998</v>
      </c>
      <c r="W3657" s="14" t="s">
        <v>7777</v>
      </c>
      <c r="X3657" s="3">
        <v>3</v>
      </c>
      <c r="Z3657" s="23">
        <v>5</v>
      </c>
      <c r="AB3657" s="18">
        <f t="shared" si="114"/>
        <v>2013</v>
      </c>
      <c r="AC3657" s="22">
        <f t="shared" si="115"/>
        <v>0.70733333333333326</v>
      </c>
    </row>
    <row r="3658" spans="1:29">
      <c r="A3658" s="8" t="s">
        <v>4776</v>
      </c>
      <c r="B3658" s="17" t="s">
        <v>7800</v>
      </c>
      <c r="C3658" s="13">
        <v>41505</v>
      </c>
      <c r="D3658" s="13" t="s">
        <v>8465</v>
      </c>
      <c r="E3658" s="10" t="s">
        <v>4777</v>
      </c>
      <c r="F3658" s="10" t="s">
        <v>4777</v>
      </c>
      <c r="H3658" s="2" t="s">
        <v>1089</v>
      </c>
      <c r="I3658" s="18">
        <v>1</v>
      </c>
      <c r="L3658" s="18">
        <v>1</v>
      </c>
      <c r="N3658" s="13">
        <v>41780</v>
      </c>
      <c r="P3658" s="18" t="s">
        <v>1107</v>
      </c>
      <c r="Q3658" s="18">
        <v>0</v>
      </c>
      <c r="U3658" s="22">
        <v>0.8</v>
      </c>
      <c r="V3658" s="22">
        <f>3.61/5</f>
        <v>0.72199999999999998</v>
      </c>
      <c r="W3658" s="14" t="s">
        <v>7777</v>
      </c>
      <c r="X3658" s="3">
        <v>2</v>
      </c>
      <c r="Z3658" s="23">
        <v>6</v>
      </c>
      <c r="AB3658" s="18">
        <f t="shared" si="114"/>
        <v>2013</v>
      </c>
      <c r="AC3658" s="22">
        <f t="shared" si="115"/>
        <v>0.64066666666666672</v>
      </c>
    </row>
    <row r="3659" spans="1:29" ht="25.5">
      <c r="A3659" s="8" t="s">
        <v>5022</v>
      </c>
      <c r="B3659" s="17" t="s">
        <v>7800</v>
      </c>
      <c r="C3659" s="13">
        <v>41505</v>
      </c>
      <c r="D3659" s="13" t="s">
        <v>8465</v>
      </c>
      <c r="E3659" s="10" t="s">
        <v>5023</v>
      </c>
      <c r="F3659" s="10" t="s">
        <v>5023</v>
      </c>
      <c r="H3659" s="2" t="s">
        <v>245</v>
      </c>
      <c r="L3659" s="18">
        <v>1</v>
      </c>
      <c r="N3659" s="13">
        <v>42284</v>
      </c>
      <c r="P3659" s="18" t="s">
        <v>1107</v>
      </c>
      <c r="Q3659" s="18">
        <v>0</v>
      </c>
      <c r="U3659" s="22">
        <v>0.61</v>
      </c>
      <c r="V3659" s="22">
        <f>3.2/5</f>
        <v>0.64</v>
      </c>
      <c r="W3659" s="14" t="s">
        <v>7777</v>
      </c>
      <c r="X3659" s="3">
        <v>2</v>
      </c>
      <c r="Z3659" s="23">
        <v>4</v>
      </c>
      <c r="AB3659" s="18">
        <f t="shared" si="114"/>
        <v>2013</v>
      </c>
      <c r="AC3659" s="22">
        <f t="shared" si="115"/>
        <v>0.54999999999999993</v>
      </c>
    </row>
    <row r="3660" spans="1:29">
      <c r="A3660" s="8" t="s">
        <v>5484</v>
      </c>
      <c r="B3660" s="17" t="s">
        <v>7800</v>
      </c>
      <c r="C3660" s="13">
        <v>41502</v>
      </c>
      <c r="D3660" s="13" t="s">
        <v>8465</v>
      </c>
      <c r="E3660" s="10" t="s">
        <v>3136</v>
      </c>
      <c r="F3660" s="10" t="s">
        <v>5485</v>
      </c>
      <c r="H3660" s="2" t="s">
        <v>1334</v>
      </c>
      <c r="L3660" s="18">
        <v>1</v>
      </c>
      <c r="N3660" s="13">
        <v>41858</v>
      </c>
      <c r="P3660" s="18" t="s">
        <v>1107</v>
      </c>
      <c r="Q3660" s="18">
        <v>0</v>
      </c>
      <c r="U3660" s="22">
        <v>0.7</v>
      </c>
      <c r="V3660" s="22">
        <f>3.67/5</f>
        <v>0.73399999999999999</v>
      </c>
      <c r="W3660" s="14" t="s">
        <v>7777</v>
      </c>
      <c r="X3660" s="3">
        <v>3</v>
      </c>
      <c r="Z3660" s="23">
        <v>10.5</v>
      </c>
      <c r="AB3660" s="18">
        <f t="shared" si="114"/>
        <v>2013</v>
      </c>
      <c r="AC3660" s="22">
        <f t="shared" si="115"/>
        <v>0.67799999999999994</v>
      </c>
    </row>
    <row r="3661" spans="1:29">
      <c r="A3661" s="8" t="s">
        <v>7327</v>
      </c>
      <c r="B3661" s="17" t="s">
        <v>7783</v>
      </c>
      <c r="C3661" s="13">
        <v>41501</v>
      </c>
      <c r="D3661" s="13" t="s">
        <v>8465</v>
      </c>
      <c r="E3661" s="10" t="s">
        <v>231</v>
      </c>
      <c r="F3661" s="10" t="s">
        <v>3288</v>
      </c>
      <c r="G3661" s="11" t="s">
        <v>5642</v>
      </c>
      <c r="H3661" s="2" t="s">
        <v>1169</v>
      </c>
      <c r="L3661" s="18">
        <v>1</v>
      </c>
      <c r="N3661" s="13">
        <v>41502</v>
      </c>
      <c r="O3661" s="29">
        <v>0</v>
      </c>
      <c r="P3661" s="18" t="s">
        <v>1107</v>
      </c>
      <c r="Q3661" s="18">
        <v>0</v>
      </c>
      <c r="U3661" s="22">
        <v>0.85</v>
      </c>
      <c r="V3661" s="22">
        <f>3.73/5</f>
        <v>0.746</v>
      </c>
      <c r="X3661" s="3">
        <v>3</v>
      </c>
      <c r="Z3661" s="23">
        <v>12.5</v>
      </c>
      <c r="AB3661" s="18">
        <f t="shared" si="114"/>
        <v>2013</v>
      </c>
      <c r="AC3661" s="22">
        <f t="shared" si="115"/>
        <v>0.7320000000000001</v>
      </c>
    </row>
    <row r="3662" spans="1:29" ht="30">
      <c r="A3662" s="8" t="s">
        <v>3722</v>
      </c>
      <c r="B3662" s="17" t="s">
        <v>7800</v>
      </c>
      <c r="C3662" s="13">
        <v>41499</v>
      </c>
      <c r="D3662" s="13" t="s">
        <v>8465</v>
      </c>
      <c r="E3662" s="10" t="s">
        <v>73</v>
      </c>
      <c r="F3662" s="10" t="s">
        <v>1084</v>
      </c>
      <c r="G3662" s="11" t="s">
        <v>125</v>
      </c>
      <c r="H3662" s="2" t="s">
        <v>151</v>
      </c>
      <c r="L3662" s="18">
        <v>1</v>
      </c>
      <c r="N3662" s="13">
        <v>43684</v>
      </c>
      <c r="O3662" s="29">
        <v>3.47</v>
      </c>
      <c r="P3662" s="18" t="s">
        <v>1107</v>
      </c>
      <c r="Q3662" s="18">
        <v>0</v>
      </c>
      <c r="U3662" s="22">
        <v>0.72</v>
      </c>
      <c r="V3662" s="22">
        <f>3.81/5</f>
        <v>0.76200000000000001</v>
      </c>
      <c r="W3662" s="14" t="s">
        <v>7777</v>
      </c>
      <c r="X3662" s="3">
        <v>3</v>
      </c>
      <c r="Z3662" s="23">
        <v>3.5</v>
      </c>
      <c r="AB3662" s="18">
        <f t="shared" si="114"/>
        <v>2013</v>
      </c>
      <c r="AC3662" s="22">
        <f t="shared" si="115"/>
        <v>0.69399999999999995</v>
      </c>
    </row>
    <row r="3663" spans="1:29">
      <c r="A3663" s="8" t="s">
        <v>5090</v>
      </c>
      <c r="B3663" s="17" t="s">
        <v>7800</v>
      </c>
      <c r="C3663" s="13">
        <v>41494</v>
      </c>
      <c r="D3663" s="13" t="s">
        <v>8465</v>
      </c>
      <c r="E3663" s="10" t="s">
        <v>5091</v>
      </c>
      <c r="F3663" s="10" t="s">
        <v>5091</v>
      </c>
      <c r="G3663" s="11" t="s">
        <v>5090</v>
      </c>
      <c r="H3663" s="2" t="s">
        <v>1518</v>
      </c>
      <c r="L3663" s="18">
        <v>1</v>
      </c>
      <c r="N3663" s="13">
        <v>41634</v>
      </c>
      <c r="O3663" s="29">
        <v>3.37</v>
      </c>
      <c r="P3663" s="18" t="s">
        <v>1107</v>
      </c>
      <c r="Q3663" s="18">
        <v>0</v>
      </c>
      <c r="U3663" s="22">
        <v>0.91</v>
      </c>
      <c r="V3663" s="22">
        <f>3.91/5</f>
        <v>0.78200000000000003</v>
      </c>
      <c r="W3663" s="14" t="s">
        <v>7777</v>
      </c>
      <c r="X3663" s="3">
        <v>3</v>
      </c>
      <c r="Z3663" s="23">
        <v>18.5</v>
      </c>
      <c r="AB3663" s="18">
        <f t="shared" si="114"/>
        <v>2013</v>
      </c>
      <c r="AC3663" s="22">
        <f t="shared" si="115"/>
        <v>0.76400000000000012</v>
      </c>
    </row>
    <row r="3664" spans="1:29">
      <c r="A3664" s="8" t="s">
        <v>2492</v>
      </c>
      <c r="B3664" s="17" t="s">
        <v>7749</v>
      </c>
      <c r="C3664" s="13">
        <v>41494</v>
      </c>
      <c r="D3664" s="13" t="s">
        <v>8465</v>
      </c>
      <c r="E3664" s="10" t="s">
        <v>2480</v>
      </c>
      <c r="F3664" s="10" t="s">
        <v>2480</v>
      </c>
      <c r="G3664" s="11" t="s">
        <v>2481</v>
      </c>
      <c r="H3664" s="2" t="s">
        <v>151</v>
      </c>
      <c r="L3664" s="18">
        <v>1</v>
      </c>
      <c r="N3664" s="13">
        <v>42197</v>
      </c>
      <c r="O3664" s="29">
        <v>0</v>
      </c>
      <c r="P3664" s="18" t="s">
        <v>1107</v>
      </c>
      <c r="Q3664" s="18">
        <v>0</v>
      </c>
      <c r="U3664" s="22">
        <v>0.83</v>
      </c>
      <c r="V3664" s="22">
        <f>3.95/5</f>
        <v>0.79</v>
      </c>
      <c r="X3664" s="3">
        <v>3</v>
      </c>
      <c r="Z3664" s="23">
        <v>5</v>
      </c>
      <c r="AB3664" s="18">
        <f t="shared" si="114"/>
        <v>2013</v>
      </c>
      <c r="AC3664" s="22">
        <f t="shared" si="115"/>
        <v>0.7400000000000001</v>
      </c>
    </row>
    <row r="3665" spans="1:29" ht="25.5">
      <c r="A3665" s="8" t="s">
        <v>3102</v>
      </c>
      <c r="B3665" s="17" t="s">
        <v>7800</v>
      </c>
      <c r="C3665" s="13">
        <v>41494</v>
      </c>
      <c r="D3665" s="13" t="s">
        <v>8465</v>
      </c>
      <c r="E3665" s="10" t="s">
        <v>3103</v>
      </c>
      <c r="F3665" s="10" t="s">
        <v>3103</v>
      </c>
      <c r="H3665" s="2" t="s">
        <v>153</v>
      </c>
      <c r="L3665" s="18">
        <v>1</v>
      </c>
      <c r="N3665" s="13">
        <v>41967</v>
      </c>
      <c r="P3665" s="18" t="s">
        <v>1107</v>
      </c>
      <c r="Q3665" s="18">
        <v>0</v>
      </c>
      <c r="V3665" s="22">
        <f>3.94/5</f>
        <v>0.78800000000000003</v>
      </c>
      <c r="W3665" s="14" t="s">
        <v>7777</v>
      </c>
      <c r="X3665" s="3">
        <v>3</v>
      </c>
      <c r="Z3665" s="23">
        <v>2.5</v>
      </c>
      <c r="AB3665" s="18">
        <f t="shared" si="114"/>
        <v>2013</v>
      </c>
      <c r="AC3665" s="22">
        <f t="shared" si="115"/>
        <v>0.69399999999999995</v>
      </c>
    </row>
    <row r="3666" spans="1:29">
      <c r="A3666" s="8" t="s">
        <v>6028</v>
      </c>
      <c r="B3666" s="17" t="s">
        <v>7759</v>
      </c>
      <c r="C3666" s="13">
        <v>41492</v>
      </c>
      <c r="D3666" s="13" t="s">
        <v>8465</v>
      </c>
      <c r="E3666" s="10" t="s">
        <v>1509</v>
      </c>
      <c r="F3666" s="10" t="s">
        <v>1500</v>
      </c>
      <c r="G3666" s="11" t="s">
        <v>1422</v>
      </c>
      <c r="H3666" s="2" t="s">
        <v>171</v>
      </c>
      <c r="L3666" s="18">
        <v>1</v>
      </c>
      <c r="M3666" s="14" t="s">
        <v>8462</v>
      </c>
      <c r="N3666" s="13">
        <v>42265</v>
      </c>
      <c r="O3666" s="29">
        <v>14</v>
      </c>
      <c r="P3666" s="18" t="s">
        <v>8461</v>
      </c>
      <c r="Q3666" s="18">
        <v>0</v>
      </c>
      <c r="U3666" s="22">
        <v>0.78</v>
      </c>
      <c r="V3666" s="22">
        <f>4.18/5</f>
        <v>0.83599999999999997</v>
      </c>
      <c r="X3666" s="3">
        <v>4</v>
      </c>
      <c r="Z3666" s="23">
        <v>36.5</v>
      </c>
      <c r="AB3666" s="18">
        <f t="shared" si="114"/>
        <v>2013</v>
      </c>
      <c r="AC3666" s="22">
        <f t="shared" si="115"/>
        <v>0.80533333333333346</v>
      </c>
    </row>
    <row r="3667" spans="1:29">
      <c r="A3667" s="8" t="s">
        <v>1097</v>
      </c>
      <c r="B3667" s="17" t="s">
        <v>7743</v>
      </c>
      <c r="C3667" s="13">
        <v>41490</v>
      </c>
      <c r="D3667" s="13" t="s">
        <v>8465</v>
      </c>
      <c r="E3667" s="10" t="s">
        <v>86</v>
      </c>
      <c r="F3667" s="10" t="s">
        <v>87</v>
      </c>
      <c r="G3667" s="11" t="s">
        <v>953</v>
      </c>
      <c r="H3667" s="2" t="s">
        <v>1143</v>
      </c>
      <c r="L3667" s="18">
        <v>1</v>
      </c>
      <c r="M3667" s="14" t="s">
        <v>8462</v>
      </c>
      <c r="N3667" s="13">
        <v>42439</v>
      </c>
      <c r="O3667" s="29">
        <v>19.989999999999998</v>
      </c>
      <c r="P3667" s="18" t="s">
        <v>14</v>
      </c>
      <c r="Q3667" s="18">
        <v>0</v>
      </c>
      <c r="U3667" s="22">
        <v>0.87</v>
      </c>
      <c r="V3667" s="22">
        <f>4.25/5</f>
        <v>0.85</v>
      </c>
      <c r="X3667" s="3">
        <v>4</v>
      </c>
      <c r="Z3667" s="23">
        <v>12.5</v>
      </c>
      <c r="AB3667" s="18">
        <f t="shared" si="114"/>
        <v>2013</v>
      </c>
      <c r="AC3667" s="22">
        <f t="shared" si="115"/>
        <v>0.84</v>
      </c>
    </row>
    <row r="3668" spans="1:29" ht="30">
      <c r="A3668" s="8" t="s">
        <v>4844</v>
      </c>
      <c r="B3668" s="17" t="s">
        <v>7800</v>
      </c>
      <c r="C3668" s="13">
        <v>41486</v>
      </c>
      <c r="D3668" s="13" t="s">
        <v>8465</v>
      </c>
      <c r="E3668" s="10" t="s">
        <v>3304</v>
      </c>
      <c r="F3668" s="10" t="s">
        <v>4845</v>
      </c>
      <c r="G3668" s="11" t="s">
        <v>4844</v>
      </c>
      <c r="H3668" s="2" t="s">
        <v>1050</v>
      </c>
      <c r="L3668" s="18">
        <v>1</v>
      </c>
      <c r="N3668" s="13">
        <v>41732</v>
      </c>
      <c r="O3668" s="29">
        <v>2.34</v>
      </c>
      <c r="P3668" s="18" t="s">
        <v>1107</v>
      </c>
      <c r="Q3668" s="18">
        <v>0</v>
      </c>
      <c r="U3668" s="22">
        <v>0.69</v>
      </c>
      <c r="V3668" s="22">
        <f>3.3/5</f>
        <v>0.65999999999999992</v>
      </c>
      <c r="W3668" s="14" t="s">
        <v>7777</v>
      </c>
      <c r="X3668" s="3">
        <v>3</v>
      </c>
      <c r="Z3668" s="23">
        <v>7.5</v>
      </c>
      <c r="AB3668" s="18">
        <f t="shared" si="114"/>
        <v>2013</v>
      </c>
      <c r="AC3668" s="22">
        <f t="shared" si="115"/>
        <v>0.64999999999999991</v>
      </c>
    </row>
    <row r="3669" spans="1:29">
      <c r="A3669" s="8" t="s">
        <v>5027</v>
      </c>
      <c r="B3669" s="17" t="s">
        <v>7800</v>
      </c>
      <c r="C3669" s="13">
        <v>41484</v>
      </c>
      <c r="D3669" s="13" t="s">
        <v>8465</v>
      </c>
      <c r="E3669" s="10" t="s">
        <v>3954</v>
      </c>
      <c r="F3669" s="10" t="s">
        <v>3954</v>
      </c>
      <c r="H3669" s="2" t="s">
        <v>69</v>
      </c>
      <c r="L3669" s="18">
        <v>1</v>
      </c>
      <c r="N3669" s="13">
        <v>41738</v>
      </c>
      <c r="O3669" s="29">
        <v>3.75</v>
      </c>
      <c r="P3669" s="18" t="s">
        <v>1107</v>
      </c>
      <c r="Q3669" s="18">
        <v>0</v>
      </c>
      <c r="U3669" s="22">
        <v>0.8</v>
      </c>
      <c r="V3669" s="22">
        <f>3.52/5</f>
        <v>0.70399999999999996</v>
      </c>
      <c r="W3669" s="14" t="s">
        <v>7777</v>
      </c>
      <c r="X3669" s="3">
        <v>3</v>
      </c>
      <c r="Z3669" s="23">
        <v>9.5</v>
      </c>
      <c r="AB3669" s="18">
        <f t="shared" si="114"/>
        <v>2013</v>
      </c>
      <c r="AC3669" s="22">
        <f t="shared" si="115"/>
        <v>0.70133333333333336</v>
      </c>
    </row>
    <row r="3670" spans="1:29">
      <c r="A3670" s="8" t="s">
        <v>4965</v>
      </c>
      <c r="B3670" s="17" t="s">
        <v>7800</v>
      </c>
      <c r="C3670" s="13">
        <v>41480</v>
      </c>
      <c r="D3670" s="13" t="s">
        <v>8465</v>
      </c>
      <c r="E3670" s="10" t="s">
        <v>3453</v>
      </c>
      <c r="F3670" s="10" t="s">
        <v>4966</v>
      </c>
      <c r="G3670" s="11" t="s">
        <v>606</v>
      </c>
      <c r="H3670" s="2" t="s">
        <v>1720</v>
      </c>
      <c r="L3670" s="18">
        <v>1</v>
      </c>
      <c r="N3670" s="13">
        <v>41762</v>
      </c>
      <c r="O3670" s="29">
        <v>4.99</v>
      </c>
      <c r="P3670" s="18" t="s">
        <v>1107</v>
      </c>
      <c r="Q3670" s="18">
        <v>0</v>
      </c>
      <c r="U3670" s="22">
        <v>0.77</v>
      </c>
      <c r="V3670" s="22">
        <f>3.61/5</f>
        <v>0.72199999999999998</v>
      </c>
      <c r="W3670" s="14" t="s">
        <v>7777</v>
      </c>
      <c r="X3670" s="3">
        <v>4</v>
      </c>
      <c r="Z3670" s="23">
        <v>12</v>
      </c>
      <c r="AB3670" s="18">
        <f t="shared" si="114"/>
        <v>2013</v>
      </c>
      <c r="AC3670" s="22">
        <f t="shared" si="115"/>
        <v>0.7639999999999999</v>
      </c>
    </row>
    <row r="3671" spans="1:29" ht="25.5">
      <c r="A3671" s="8" t="s">
        <v>14566</v>
      </c>
      <c r="B3671" s="17" t="s">
        <v>6317</v>
      </c>
      <c r="C3671" s="13">
        <v>41480</v>
      </c>
      <c r="D3671" s="13" t="s">
        <v>8465</v>
      </c>
      <c r="E3671" s="10" t="s">
        <v>3568</v>
      </c>
      <c r="F3671" s="10" t="s">
        <v>158</v>
      </c>
      <c r="G3671" s="11" t="s">
        <v>1135</v>
      </c>
      <c r="H3671" s="2" t="s">
        <v>150</v>
      </c>
      <c r="L3671" s="18">
        <v>0</v>
      </c>
      <c r="Q3671" s="18">
        <v>0</v>
      </c>
      <c r="V3671" s="22">
        <f>3.8/5</f>
        <v>0.76</v>
      </c>
      <c r="X3671" s="3">
        <v>2</v>
      </c>
      <c r="AB3671" s="18">
        <f t="shared" si="114"/>
        <v>2013</v>
      </c>
      <c r="AC3671" s="22">
        <f t="shared" si="115"/>
        <v>0.58000000000000007</v>
      </c>
    </row>
    <row r="3672" spans="1:29" ht="25.5">
      <c r="A3672" s="8" t="s">
        <v>5248</v>
      </c>
      <c r="B3672" s="17" t="s">
        <v>7800</v>
      </c>
      <c r="C3672" s="13">
        <v>41479</v>
      </c>
      <c r="D3672" s="13" t="s">
        <v>8465</v>
      </c>
      <c r="E3672" s="10" t="s">
        <v>3453</v>
      </c>
      <c r="F3672" s="10" t="s">
        <v>5249</v>
      </c>
      <c r="H3672" s="2" t="s">
        <v>1518</v>
      </c>
      <c r="L3672" s="18">
        <v>1</v>
      </c>
      <c r="N3672" s="13">
        <v>41554</v>
      </c>
      <c r="O3672" s="29">
        <v>0.28999999999999998</v>
      </c>
      <c r="P3672" s="18" t="s">
        <v>1107</v>
      </c>
      <c r="Q3672" s="18">
        <v>0</v>
      </c>
      <c r="U3672" s="22">
        <v>0.76</v>
      </c>
      <c r="V3672" s="22">
        <f>3.4/5</f>
        <v>0.67999999999999994</v>
      </c>
      <c r="W3672" s="14" t="s">
        <v>7777</v>
      </c>
      <c r="X3672" s="3">
        <v>3</v>
      </c>
      <c r="Z3672" s="23">
        <v>2.5</v>
      </c>
      <c r="AB3672" s="18">
        <f t="shared" si="114"/>
        <v>2013</v>
      </c>
      <c r="AC3672" s="22">
        <f t="shared" si="115"/>
        <v>0.68</v>
      </c>
    </row>
    <row r="3673" spans="1:29">
      <c r="A3673" s="8" t="s">
        <v>7107</v>
      </c>
      <c r="B3673" s="17" t="s">
        <v>7800</v>
      </c>
      <c r="C3673" s="13">
        <v>41477</v>
      </c>
      <c r="D3673" s="13" t="s">
        <v>8465</v>
      </c>
      <c r="E3673" s="10" t="s">
        <v>7196</v>
      </c>
      <c r="F3673" s="10" t="s">
        <v>7196</v>
      </c>
      <c r="H3673" s="2" t="s">
        <v>149</v>
      </c>
      <c r="L3673" s="18">
        <v>0</v>
      </c>
      <c r="Q3673" s="18">
        <v>0</v>
      </c>
      <c r="W3673" s="14" t="s">
        <v>5674</v>
      </c>
      <c r="X3673" s="3">
        <v>3</v>
      </c>
      <c r="AB3673" s="18">
        <f t="shared" si="114"/>
        <v>2013</v>
      </c>
      <c r="AC3673" s="22">
        <f t="shared" si="115"/>
        <v>0.6</v>
      </c>
    </row>
    <row r="3674" spans="1:29">
      <c r="A3674" s="8" t="s">
        <v>586</v>
      </c>
      <c r="B3674" s="17" t="s">
        <v>7743</v>
      </c>
      <c r="C3674" s="13">
        <v>41473</v>
      </c>
      <c r="D3674" s="13" t="s">
        <v>8465</v>
      </c>
      <c r="E3674" s="10" t="s">
        <v>86</v>
      </c>
      <c r="F3674" s="10" t="s">
        <v>30</v>
      </c>
      <c r="G3674" s="11" t="s">
        <v>99</v>
      </c>
      <c r="H3674" s="2" t="s">
        <v>149</v>
      </c>
      <c r="L3674" s="18">
        <v>1</v>
      </c>
      <c r="N3674" s="13">
        <v>42038</v>
      </c>
      <c r="P3674" s="18" t="s">
        <v>1107</v>
      </c>
      <c r="Q3674" s="18">
        <v>0</v>
      </c>
      <c r="V3674" s="22">
        <f>4.34/5</f>
        <v>0.86799999999999999</v>
      </c>
      <c r="W3674" s="14" t="s">
        <v>1068</v>
      </c>
      <c r="X3674" s="3">
        <v>3</v>
      </c>
      <c r="Z3674" s="23">
        <v>28</v>
      </c>
      <c r="AB3674" s="18">
        <f t="shared" si="114"/>
        <v>2013</v>
      </c>
      <c r="AC3674" s="22">
        <f t="shared" si="115"/>
        <v>0.73399999999999999</v>
      </c>
    </row>
    <row r="3675" spans="1:29">
      <c r="A3675" s="8" t="s">
        <v>11708</v>
      </c>
      <c r="B3675" s="17" t="s">
        <v>7759</v>
      </c>
      <c r="C3675" s="13">
        <v>41471</v>
      </c>
      <c r="D3675" s="13" t="s">
        <v>8465</v>
      </c>
      <c r="E3675" s="10" t="s">
        <v>5869</v>
      </c>
      <c r="F3675" s="10" t="s">
        <v>10991</v>
      </c>
      <c r="H3675" s="2" t="s">
        <v>21</v>
      </c>
      <c r="L3675" s="18">
        <v>1</v>
      </c>
      <c r="N3675" s="13">
        <v>45032</v>
      </c>
      <c r="O3675" s="29">
        <v>4.99</v>
      </c>
      <c r="P3675" s="18" t="s">
        <v>1107</v>
      </c>
      <c r="Q3675" s="18">
        <v>0</v>
      </c>
      <c r="U3675" s="22">
        <v>0.71</v>
      </c>
      <c r="V3675" s="22">
        <f>3.79/5</f>
        <v>0.75800000000000001</v>
      </c>
      <c r="X3675" s="3">
        <v>3</v>
      </c>
      <c r="Z3675" s="23">
        <f>43/60</f>
        <v>0.71666666666666667</v>
      </c>
      <c r="AB3675" s="18">
        <f t="shared" si="114"/>
        <v>2013</v>
      </c>
      <c r="AC3675" s="22">
        <f t="shared" si="115"/>
        <v>0.68933333333333335</v>
      </c>
    </row>
    <row r="3676" spans="1:29">
      <c r="A3676" s="8" t="s">
        <v>7942</v>
      </c>
      <c r="B3676" s="17" t="s">
        <v>7759</v>
      </c>
      <c r="C3676" s="13">
        <v>41471</v>
      </c>
      <c r="D3676" s="13" t="s">
        <v>8465</v>
      </c>
      <c r="E3676" s="10" t="s">
        <v>2335</v>
      </c>
      <c r="F3676" s="10" t="s">
        <v>1471</v>
      </c>
      <c r="G3676" s="11" t="s">
        <v>7935</v>
      </c>
      <c r="H3676" s="2" t="s">
        <v>1059</v>
      </c>
      <c r="L3676" s="18">
        <v>0</v>
      </c>
      <c r="Q3676" s="18">
        <v>0</v>
      </c>
      <c r="U3676" s="22">
        <v>0.70950000000000002</v>
      </c>
      <c r="V3676" s="22">
        <f>4.21/5</f>
        <v>0.84199999999999997</v>
      </c>
      <c r="X3676" s="3">
        <v>2</v>
      </c>
      <c r="Y3676" s="18">
        <v>1</v>
      </c>
      <c r="Z3676" s="23">
        <v>23</v>
      </c>
      <c r="AB3676" s="18">
        <f t="shared" si="114"/>
        <v>2013</v>
      </c>
      <c r="AC3676" s="22">
        <f t="shared" si="115"/>
        <v>0.65049999999999997</v>
      </c>
    </row>
    <row r="3677" spans="1:29">
      <c r="A3677" s="8" t="s">
        <v>6036</v>
      </c>
      <c r="B3677" s="17" t="s">
        <v>7759</v>
      </c>
      <c r="C3677" s="13">
        <v>41471</v>
      </c>
      <c r="D3677" s="13" t="s">
        <v>8465</v>
      </c>
      <c r="E3677" s="10" t="s">
        <v>1062</v>
      </c>
      <c r="F3677" s="10" t="s">
        <v>6037</v>
      </c>
      <c r="H3677" s="2" t="s">
        <v>149</v>
      </c>
      <c r="L3677" s="18">
        <v>1</v>
      </c>
      <c r="M3677" s="14" t="s">
        <v>8462</v>
      </c>
      <c r="N3677" s="13">
        <v>43484</v>
      </c>
      <c r="O3677" s="29">
        <v>17.850000000000001</v>
      </c>
      <c r="P3677" s="18" t="s">
        <v>14</v>
      </c>
      <c r="Q3677" s="18">
        <v>0</v>
      </c>
      <c r="U3677" s="22">
        <v>0.44</v>
      </c>
      <c r="V3677" s="22">
        <f>3.15/5</f>
        <v>0.63</v>
      </c>
      <c r="X3677" s="3">
        <v>2</v>
      </c>
      <c r="Z3677" s="23">
        <v>23.5</v>
      </c>
      <c r="AB3677" s="18">
        <f t="shared" si="114"/>
        <v>2013</v>
      </c>
      <c r="AC3677" s="22">
        <f t="shared" si="115"/>
        <v>0.49000000000000005</v>
      </c>
    </row>
    <row r="3678" spans="1:29">
      <c r="A3678" s="8" t="s">
        <v>5422</v>
      </c>
      <c r="B3678" s="17" t="s">
        <v>7800</v>
      </c>
      <c r="C3678" s="13">
        <v>41466</v>
      </c>
      <c r="D3678" s="13" t="s">
        <v>8465</v>
      </c>
      <c r="E3678" s="10" t="s">
        <v>5421</v>
      </c>
      <c r="F3678" s="10" t="s">
        <v>5421</v>
      </c>
      <c r="G3678" s="11" t="s">
        <v>5420</v>
      </c>
      <c r="H3678" s="2" t="s">
        <v>27</v>
      </c>
      <c r="L3678" s="18">
        <v>1</v>
      </c>
      <c r="N3678" s="13">
        <v>41653</v>
      </c>
      <c r="P3678" s="18" t="s">
        <v>1107</v>
      </c>
      <c r="Q3678" s="18">
        <v>0</v>
      </c>
      <c r="U3678" s="22">
        <v>0.82</v>
      </c>
      <c r="V3678" s="22">
        <f>3.8/5</f>
        <v>0.76</v>
      </c>
      <c r="W3678" s="14" t="s">
        <v>7777</v>
      </c>
      <c r="X3678" s="3">
        <v>3</v>
      </c>
      <c r="Z3678" s="23">
        <v>9</v>
      </c>
      <c r="AB3678" s="18">
        <f t="shared" si="114"/>
        <v>2013</v>
      </c>
      <c r="AC3678" s="22">
        <f t="shared" si="115"/>
        <v>0.72666666666666668</v>
      </c>
    </row>
    <row r="3679" spans="1:29">
      <c r="A3679" s="8" t="s">
        <v>3318</v>
      </c>
      <c r="B3679" s="17" t="s">
        <v>7800</v>
      </c>
      <c r="C3679" s="13">
        <v>41466</v>
      </c>
      <c r="D3679" s="13" t="s">
        <v>8465</v>
      </c>
      <c r="E3679" s="10" t="s">
        <v>2471</v>
      </c>
      <c r="F3679" s="10" t="s">
        <v>2471</v>
      </c>
      <c r="G3679" s="11" t="s">
        <v>1653</v>
      </c>
      <c r="H3679" s="2" t="s">
        <v>1220</v>
      </c>
      <c r="L3679" s="18">
        <v>1</v>
      </c>
      <c r="N3679" s="13">
        <v>41974</v>
      </c>
      <c r="O3679" s="29">
        <v>0.99</v>
      </c>
      <c r="P3679" s="18" t="s">
        <v>1107</v>
      </c>
      <c r="Q3679" s="18">
        <v>0</v>
      </c>
      <c r="U3679" s="22">
        <v>0.74</v>
      </c>
      <c r="V3679" s="22">
        <f>3.25/5</f>
        <v>0.65</v>
      </c>
      <c r="W3679" s="14" t="s">
        <v>7777</v>
      </c>
      <c r="X3679" s="3">
        <v>2</v>
      </c>
      <c r="Z3679" s="23">
        <v>1.5</v>
      </c>
      <c r="AB3679" s="18">
        <f t="shared" si="114"/>
        <v>2013</v>
      </c>
      <c r="AC3679" s="22">
        <f t="shared" si="115"/>
        <v>0.59666666666666668</v>
      </c>
    </row>
    <row r="3680" spans="1:29" ht="25.5">
      <c r="A3680" s="8" t="s">
        <v>8847</v>
      </c>
      <c r="B3680" s="17" t="s">
        <v>7759</v>
      </c>
      <c r="C3680" s="13">
        <v>41464</v>
      </c>
      <c r="D3680" s="13" t="s">
        <v>8465</v>
      </c>
      <c r="E3680" s="10" t="s">
        <v>72</v>
      </c>
      <c r="F3680" s="10" t="s">
        <v>1940</v>
      </c>
      <c r="G3680" s="11" t="s">
        <v>220</v>
      </c>
      <c r="H3680" s="2" t="s">
        <v>245</v>
      </c>
      <c r="L3680" s="18">
        <v>1</v>
      </c>
      <c r="M3680" s="14" t="s">
        <v>8462</v>
      </c>
      <c r="N3680" s="13">
        <v>43481</v>
      </c>
      <c r="O3680" s="29">
        <v>24.95</v>
      </c>
      <c r="P3680" s="18" t="s">
        <v>14</v>
      </c>
      <c r="Q3680" s="18">
        <v>0</v>
      </c>
      <c r="U3680" s="22">
        <v>0.93</v>
      </c>
      <c r="V3680" s="22">
        <f>4.44/5</f>
        <v>0.88800000000000012</v>
      </c>
      <c r="X3680" s="3">
        <v>5</v>
      </c>
      <c r="Z3680" s="23">
        <v>85.5</v>
      </c>
      <c r="AB3680" s="18">
        <f t="shared" si="114"/>
        <v>2013</v>
      </c>
      <c r="AC3680" s="22">
        <f t="shared" si="115"/>
        <v>0.93933333333333335</v>
      </c>
    </row>
    <row r="3681" spans="1:29" ht="25.5">
      <c r="A3681" s="8" t="s">
        <v>4841</v>
      </c>
      <c r="B3681" s="17" t="s">
        <v>7800</v>
      </c>
      <c r="C3681" s="13">
        <v>41464</v>
      </c>
      <c r="D3681" s="13" t="s">
        <v>8465</v>
      </c>
      <c r="E3681" s="10" t="s">
        <v>4842</v>
      </c>
      <c r="F3681" s="10" t="s">
        <v>4842</v>
      </c>
      <c r="H3681" s="2" t="s">
        <v>171</v>
      </c>
      <c r="L3681" s="18">
        <v>1</v>
      </c>
      <c r="N3681" s="13">
        <v>41598</v>
      </c>
      <c r="P3681" s="18" t="s">
        <v>1107</v>
      </c>
      <c r="Q3681" s="18">
        <v>0</v>
      </c>
      <c r="U3681" s="22">
        <v>0.74</v>
      </c>
      <c r="V3681" s="22">
        <f>3.44/5</f>
        <v>0.68799999999999994</v>
      </c>
      <c r="W3681" s="14" t="s">
        <v>7777</v>
      </c>
      <c r="X3681" s="3">
        <v>2</v>
      </c>
      <c r="Z3681" s="23">
        <v>15.5</v>
      </c>
      <c r="AB3681" s="18">
        <f t="shared" si="114"/>
        <v>2013</v>
      </c>
      <c r="AC3681" s="22">
        <f t="shared" si="115"/>
        <v>0.60933333333333328</v>
      </c>
    </row>
    <row r="3682" spans="1:29" ht="25.5">
      <c r="A3682" s="8" t="s">
        <v>3418</v>
      </c>
      <c r="B3682" s="17" t="s">
        <v>7800</v>
      </c>
      <c r="C3682" s="13">
        <v>41464</v>
      </c>
      <c r="D3682" s="13" t="s">
        <v>8465</v>
      </c>
      <c r="E3682" s="10" t="s">
        <v>3419</v>
      </c>
      <c r="F3682" s="10" t="s">
        <v>3420</v>
      </c>
      <c r="G3682" s="11" t="s">
        <v>3421</v>
      </c>
      <c r="H3682" s="2" t="s">
        <v>3422</v>
      </c>
      <c r="L3682" s="18">
        <v>1</v>
      </c>
      <c r="N3682" s="13">
        <v>41981</v>
      </c>
      <c r="P3682" s="18" t="s">
        <v>1107</v>
      </c>
      <c r="Q3682" s="18">
        <v>0</v>
      </c>
      <c r="V3682" s="22">
        <f>2.95/5</f>
        <v>0.59000000000000008</v>
      </c>
      <c r="W3682" s="14" t="s">
        <v>7777</v>
      </c>
      <c r="X3682" s="3">
        <v>2</v>
      </c>
      <c r="Z3682" s="23">
        <v>4</v>
      </c>
      <c r="AB3682" s="18">
        <f t="shared" si="114"/>
        <v>2013</v>
      </c>
      <c r="AC3682" s="22">
        <f t="shared" si="115"/>
        <v>0.49500000000000005</v>
      </c>
    </row>
    <row r="3683" spans="1:29">
      <c r="A3683" s="8" t="s">
        <v>4585</v>
      </c>
      <c r="B3683" s="17" t="s">
        <v>7800</v>
      </c>
      <c r="C3683" s="13">
        <v>41463</v>
      </c>
      <c r="D3683" s="13" t="s">
        <v>8465</v>
      </c>
      <c r="E3683" s="10" t="s">
        <v>4586</v>
      </c>
      <c r="F3683" s="10" t="s">
        <v>4586</v>
      </c>
      <c r="H3683" s="2" t="s">
        <v>67</v>
      </c>
      <c r="L3683" s="18">
        <v>1</v>
      </c>
      <c r="N3683" s="13">
        <v>41730</v>
      </c>
      <c r="P3683" s="18" t="s">
        <v>1107</v>
      </c>
      <c r="Q3683" s="18">
        <v>0</v>
      </c>
      <c r="V3683" s="22">
        <f>3.68/5</f>
        <v>0.73599999999999999</v>
      </c>
      <c r="W3683" s="14" t="s">
        <v>7777</v>
      </c>
      <c r="X3683" s="3">
        <v>3</v>
      </c>
      <c r="Z3683" s="23">
        <v>5.5</v>
      </c>
      <c r="AB3683" s="18">
        <f t="shared" si="114"/>
        <v>2013</v>
      </c>
      <c r="AC3683" s="22">
        <f t="shared" si="115"/>
        <v>0.66799999999999993</v>
      </c>
    </row>
    <row r="3684" spans="1:29" ht="25.5">
      <c r="A3684" s="8" t="s">
        <v>4961</v>
      </c>
      <c r="B3684" s="17" t="s">
        <v>7800</v>
      </c>
      <c r="C3684" s="13">
        <v>41463</v>
      </c>
      <c r="D3684" s="13" t="s">
        <v>8465</v>
      </c>
      <c r="E3684" s="10" t="s">
        <v>3063</v>
      </c>
      <c r="F3684" s="10" t="s">
        <v>3725</v>
      </c>
      <c r="G3684" s="11" t="s">
        <v>4960</v>
      </c>
      <c r="H3684" s="2" t="s">
        <v>1050</v>
      </c>
      <c r="L3684" s="18">
        <v>1</v>
      </c>
      <c r="N3684" s="13">
        <v>41529</v>
      </c>
      <c r="P3684" s="18" t="s">
        <v>1107</v>
      </c>
      <c r="Q3684" s="18">
        <v>0</v>
      </c>
      <c r="V3684" s="22">
        <f>3.85/5</f>
        <v>0.77</v>
      </c>
      <c r="W3684" s="14" t="s">
        <v>7777</v>
      </c>
      <c r="X3684" s="3">
        <v>3</v>
      </c>
      <c r="Z3684" s="23">
        <v>9</v>
      </c>
      <c r="AB3684" s="18">
        <f t="shared" si="114"/>
        <v>2013</v>
      </c>
      <c r="AC3684" s="22">
        <f t="shared" si="115"/>
        <v>0.68500000000000005</v>
      </c>
    </row>
    <row r="3685" spans="1:29" ht="45">
      <c r="A3685" s="8" t="s">
        <v>17</v>
      </c>
      <c r="B3685" s="17" t="s">
        <v>7800</v>
      </c>
      <c r="C3685" s="13">
        <v>41458</v>
      </c>
      <c r="D3685" s="13" t="s">
        <v>8465</v>
      </c>
      <c r="E3685" s="10" t="s">
        <v>1156</v>
      </c>
      <c r="F3685" s="10" t="s">
        <v>1632</v>
      </c>
      <c r="G3685" s="11" t="s">
        <v>17</v>
      </c>
      <c r="H3685" s="2" t="s">
        <v>459</v>
      </c>
      <c r="L3685" s="18">
        <v>1</v>
      </c>
      <c r="N3685" s="13">
        <v>41794</v>
      </c>
      <c r="O3685" s="29">
        <v>4</v>
      </c>
      <c r="P3685" s="18" t="s">
        <v>1107</v>
      </c>
      <c r="Q3685" s="18">
        <v>0</v>
      </c>
      <c r="U3685" s="22">
        <v>0.84</v>
      </c>
      <c r="V3685" s="22">
        <f>3.95/5</f>
        <v>0.79</v>
      </c>
      <c r="W3685" s="14" t="s">
        <v>7777</v>
      </c>
      <c r="X3685" s="3">
        <v>3</v>
      </c>
      <c r="Z3685" s="23">
        <v>1</v>
      </c>
      <c r="AB3685" s="18">
        <f t="shared" si="114"/>
        <v>2013</v>
      </c>
      <c r="AC3685" s="22">
        <f t="shared" si="115"/>
        <v>0.74333333333333329</v>
      </c>
    </row>
    <row r="3686" spans="1:29">
      <c r="A3686" s="8" t="s">
        <v>3552</v>
      </c>
      <c r="B3686" s="17" t="s">
        <v>7800</v>
      </c>
      <c r="C3686" s="13">
        <v>41458</v>
      </c>
      <c r="D3686" s="13" t="s">
        <v>8465</v>
      </c>
      <c r="E3686" s="10" t="s">
        <v>3553</v>
      </c>
      <c r="F3686" s="10" t="s">
        <v>3554</v>
      </c>
      <c r="H3686" s="2" t="s">
        <v>245</v>
      </c>
      <c r="L3686" s="18">
        <v>1</v>
      </c>
      <c r="N3686" s="13">
        <v>42023</v>
      </c>
      <c r="P3686" s="18" t="s">
        <v>1107</v>
      </c>
      <c r="Q3686" s="18">
        <v>0</v>
      </c>
      <c r="U3686" s="22">
        <v>0.45</v>
      </c>
      <c r="V3686" s="22">
        <f>2.52/5</f>
        <v>0.504</v>
      </c>
      <c r="W3686" s="14" t="s">
        <v>7777</v>
      </c>
      <c r="X3686" s="3">
        <v>2</v>
      </c>
      <c r="Z3686" s="23">
        <v>7</v>
      </c>
      <c r="AB3686" s="18">
        <f t="shared" si="114"/>
        <v>2013</v>
      </c>
      <c r="AC3686" s="22">
        <f t="shared" si="115"/>
        <v>0.45133333333333336</v>
      </c>
    </row>
    <row r="3687" spans="1:29">
      <c r="A3687" s="8" t="s">
        <v>4868</v>
      </c>
      <c r="B3687" s="17" t="s">
        <v>7800</v>
      </c>
      <c r="C3687" s="13">
        <v>41452</v>
      </c>
      <c r="D3687" s="13" t="s">
        <v>8465</v>
      </c>
      <c r="E3687" s="10" t="s">
        <v>3943</v>
      </c>
      <c r="F3687" s="10" t="s">
        <v>3943</v>
      </c>
      <c r="G3687" s="11" t="s">
        <v>4868</v>
      </c>
      <c r="H3687" s="2" t="s">
        <v>1518</v>
      </c>
      <c r="L3687" s="18">
        <v>1</v>
      </c>
      <c r="N3687" s="13">
        <v>41767</v>
      </c>
      <c r="O3687" s="29">
        <v>3.74</v>
      </c>
      <c r="P3687" s="18" t="s">
        <v>1107</v>
      </c>
      <c r="Q3687" s="18">
        <v>0</v>
      </c>
      <c r="U3687" s="22">
        <v>0.84</v>
      </c>
      <c r="V3687" s="22">
        <f>3.89/5</f>
        <v>0.77800000000000002</v>
      </c>
      <c r="W3687" s="14" t="s">
        <v>7777</v>
      </c>
      <c r="X3687" s="3">
        <v>3</v>
      </c>
      <c r="Z3687" s="23">
        <v>16.5</v>
      </c>
      <c r="AB3687" s="18">
        <f t="shared" si="114"/>
        <v>2013</v>
      </c>
      <c r="AC3687" s="22">
        <f t="shared" si="115"/>
        <v>0.73933333333333329</v>
      </c>
    </row>
    <row r="3688" spans="1:29">
      <c r="A3688" s="8" t="s">
        <v>6281</v>
      </c>
      <c r="B3688" s="17" t="s">
        <v>7763</v>
      </c>
      <c r="C3688" s="13">
        <v>41450</v>
      </c>
      <c r="D3688" s="13" t="s">
        <v>8465</v>
      </c>
      <c r="E3688" s="10" t="s">
        <v>1519</v>
      </c>
      <c r="F3688" s="10" t="s">
        <v>1553</v>
      </c>
      <c r="G3688" s="11" t="s">
        <v>1554</v>
      </c>
      <c r="H3688" s="2" t="s">
        <v>171</v>
      </c>
      <c r="L3688" s="18">
        <v>1</v>
      </c>
      <c r="M3688" s="14" t="s">
        <v>8462</v>
      </c>
      <c r="N3688" s="13">
        <v>43578</v>
      </c>
      <c r="O3688" s="29">
        <v>24.99</v>
      </c>
      <c r="P3688" s="18" t="s">
        <v>14</v>
      </c>
      <c r="Q3688" s="18">
        <v>0</v>
      </c>
      <c r="U3688" s="22">
        <v>0.81</v>
      </c>
      <c r="V3688" s="22">
        <f>4.2/5</f>
        <v>0.84000000000000008</v>
      </c>
      <c r="X3688" s="3">
        <v>4</v>
      </c>
      <c r="Z3688" s="23">
        <v>11</v>
      </c>
      <c r="AB3688" s="18">
        <f t="shared" si="114"/>
        <v>2013</v>
      </c>
      <c r="AC3688" s="22">
        <f t="shared" si="115"/>
        <v>0.81666666666666676</v>
      </c>
    </row>
    <row r="3689" spans="1:29">
      <c r="A3689" s="8" t="s">
        <v>3481</v>
      </c>
      <c r="B3689" s="17" t="s">
        <v>7800</v>
      </c>
      <c r="C3689" s="13">
        <v>41450</v>
      </c>
      <c r="D3689" s="13" t="s">
        <v>8465</v>
      </c>
      <c r="E3689" s="10" t="s">
        <v>455</v>
      </c>
      <c r="F3689" s="10" t="s">
        <v>3480</v>
      </c>
      <c r="G3689" s="11" t="s">
        <v>3479</v>
      </c>
      <c r="H3689" s="2" t="s">
        <v>1143</v>
      </c>
      <c r="L3689" s="18">
        <v>1</v>
      </c>
      <c r="N3689" s="13">
        <v>43443</v>
      </c>
      <c r="P3689" s="18" t="s">
        <v>1107</v>
      </c>
      <c r="Q3689" s="18">
        <v>0</v>
      </c>
      <c r="U3689" s="22">
        <v>0.81</v>
      </c>
      <c r="V3689" s="22">
        <f>3.39/5</f>
        <v>0.67800000000000005</v>
      </c>
      <c r="W3689" s="14" t="s">
        <v>7777</v>
      </c>
      <c r="X3689" s="3">
        <v>3</v>
      </c>
      <c r="Z3689" s="23">
        <v>15</v>
      </c>
      <c r="AB3689" s="18">
        <f t="shared" si="114"/>
        <v>2013</v>
      </c>
      <c r="AC3689" s="22">
        <f t="shared" si="115"/>
        <v>0.69600000000000006</v>
      </c>
    </row>
    <row r="3690" spans="1:29">
      <c r="A3690" s="8" t="s">
        <v>2397</v>
      </c>
      <c r="B3690" s="17" t="s">
        <v>7749</v>
      </c>
      <c r="C3690" s="13">
        <v>41450</v>
      </c>
      <c r="D3690" s="13" t="s">
        <v>8465</v>
      </c>
      <c r="E3690" s="10" t="s">
        <v>1509</v>
      </c>
      <c r="F3690" s="10" t="s">
        <v>470</v>
      </c>
      <c r="G3690" s="11" t="s">
        <v>2397</v>
      </c>
      <c r="H3690" s="2" t="s">
        <v>75</v>
      </c>
      <c r="L3690" s="18">
        <v>1</v>
      </c>
      <c r="M3690" s="14" t="s">
        <v>8462</v>
      </c>
      <c r="N3690" s="13">
        <v>43590</v>
      </c>
      <c r="O3690" s="29">
        <v>14.94</v>
      </c>
      <c r="P3690" s="18" t="s">
        <v>14</v>
      </c>
      <c r="Q3690" s="18">
        <v>0</v>
      </c>
      <c r="U3690" s="22">
        <v>0.71</v>
      </c>
      <c r="V3690" s="22">
        <f>3.8/5</f>
        <v>0.76</v>
      </c>
      <c r="X3690" s="3">
        <v>3</v>
      </c>
      <c r="Z3690" s="23">
        <v>55.5</v>
      </c>
      <c r="AB3690" s="18">
        <f t="shared" si="114"/>
        <v>2013</v>
      </c>
      <c r="AC3690" s="22">
        <f t="shared" si="115"/>
        <v>0.69</v>
      </c>
    </row>
    <row r="3691" spans="1:29" ht="45">
      <c r="A3691" s="8" t="s">
        <v>9462</v>
      </c>
      <c r="B3691" s="17" t="s">
        <v>7763</v>
      </c>
      <c r="C3691" s="13">
        <v>41450</v>
      </c>
      <c r="D3691" s="13" t="s">
        <v>8465</v>
      </c>
      <c r="E3691" s="10" t="s">
        <v>1156</v>
      </c>
      <c r="F3691" s="10" t="s">
        <v>4304</v>
      </c>
      <c r="G3691" s="11" t="s">
        <v>9099</v>
      </c>
      <c r="H3691" s="2" t="s">
        <v>80</v>
      </c>
      <c r="L3691" s="18">
        <v>1</v>
      </c>
      <c r="M3691" s="14" t="s">
        <v>8462</v>
      </c>
      <c r="N3691" s="13">
        <v>44035</v>
      </c>
      <c r="O3691" s="29">
        <v>7.6</v>
      </c>
      <c r="P3691" s="18" t="s">
        <v>14</v>
      </c>
      <c r="Q3691" s="18">
        <v>0</v>
      </c>
      <c r="U3691" s="22">
        <v>0.64</v>
      </c>
      <c r="V3691" s="22">
        <f>3.75/5</f>
        <v>0.75</v>
      </c>
      <c r="X3691" s="3">
        <v>3</v>
      </c>
      <c r="Z3691" s="23">
        <v>7</v>
      </c>
      <c r="AB3691" s="18">
        <f t="shared" si="114"/>
        <v>2013</v>
      </c>
      <c r="AC3691" s="22">
        <f t="shared" si="115"/>
        <v>0.66333333333333344</v>
      </c>
    </row>
    <row r="3692" spans="1:29" ht="25.5">
      <c r="A3692" s="8" t="s">
        <v>4202</v>
      </c>
      <c r="B3692" s="17" t="s">
        <v>7800</v>
      </c>
      <c r="C3692" s="13">
        <v>41449</v>
      </c>
      <c r="D3692" s="13" t="s">
        <v>8465</v>
      </c>
      <c r="E3692" s="10" t="s">
        <v>4203</v>
      </c>
      <c r="F3692" s="10" t="s">
        <v>4203</v>
      </c>
      <c r="G3692" s="11" t="s">
        <v>4204</v>
      </c>
      <c r="H3692" s="2" t="s">
        <v>255</v>
      </c>
      <c r="L3692" s="18">
        <v>1</v>
      </c>
      <c r="N3692" s="13">
        <v>41647</v>
      </c>
      <c r="P3692" s="18" t="s">
        <v>1107</v>
      </c>
      <c r="Q3692" s="18">
        <v>0</v>
      </c>
      <c r="U3692" s="22">
        <v>0.82</v>
      </c>
      <c r="V3692" s="22">
        <f>3.26/5</f>
        <v>0.65199999999999991</v>
      </c>
      <c r="W3692" s="14" t="s">
        <v>7777</v>
      </c>
      <c r="X3692" s="3">
        <v>3</v>
      </c>
      <c r="Z3692" s="23">
        <v>2</v>
      </c>
      <c r="AB3692" s="18">
        <f t="shared" si="114"/>
        <v>2013</v>
      </c>
      <c r="AC3692" s="22">
        <f t="shared" si="115"/>
        <v>0.69066666666666665</v>
      </c>
    </row>
    <row r="3693" spans="1:29">
      <c r="A3693" s="8" t="s">
        <v>1119</v>
      </c>
      <c r="B3693" s="17" t="s">
        <v>7743</v>
      </c>
      <c r="C3693" s="13">
        <v>41448</v>
      </c>
      <c r="D3693" s="13" t="s">
        <v>8465</v>
      </c>
      <c r="E3693" s="10" t="s">
        <v>86</v>
      </c>
      <c r="F3693" s="10" t="s">
        <v>1069</v>
      </c>
      <c r="G3693" s="11" t="s">
        <v>1155</v>
      </c>
      <c r="H3693" s="2" t="s">
        <v>1142</v>
      </c>
      <c r="L3693" s="18">
        <v>1</v>
      </c>
      <c r="M3693" s="14" t="s">
        <v>8462</v>
      </c>
      <c r="N3693" s="13">
        <v>43517</v>
      </c>
      <c r="O3693" s="29">
        <v>31</v>
      </c>
      <c r="P3693" s="18" t="s">
        <v>14</v>
      </c>
      <c r="Q3693" s="18">
        <v>0</v>
      </c>
      <c r="U3693" s="22">
        <v>0.61</v>
      </c>
      <c r="V3693" s="22">
        <f>3.44/5</f>
        <v>0.68799999999999994</v>
      </c>
      <c r="X3693" s="3">
        <v>3</v>
      </c>
      <c r="Z3693" s="23">
        <v>2</v>
      </c>
      <c r="AB3693" s="18">
        <f t="shared" si="114"/>
        <v>2013</v>
      </c>
      <c r="AC3693" s="22">
        <f t="shared" si="115"/>
        <v>0.63266666666666671</v>
      </c>
    </row>
    <row r="3694" spans="1:29" ht="30">
      <c r="A3694" s="8" t="s">
        <v>12445</v>
      </c>
      <c r="B3694" s="17" t="s">
        <v>7800</v>
      </c>
      <c r="C3694" s="13">
        <v>41446</v>
      </c>
      <c r="D3694" s="13" t="s">
        <v>8465</v>
      </c>
      <c r="E3694" s="10" t="s">
        <v>1604</v>
      </c>
      <c r="F3694" s="10" t="s">
        <v>12449</v>
      </c>
      <c r="H3694" s="2" t="s">
        <v>1054</v>
      </c>
      <c r="L3694" s="18">
        <v>1</v>
      </c>
      <c r="N3694" s="13">
        <v>44809</v>
      </c>
      <c r="O3694" s="29">
        <v>1.49</v>
      </c>
      <c r="P3694" s="18" t="s">
        <v>1107</v>
      </c>
      <c r="Q3694" s="18">
        <v>0</v>
      </c>
      <c r="U3694" s="22">
        <v>0.47</v>
      </c>
      <c r="V3694" s="22">
        <f>2.17/5</f>
        <v>0.434</v>
      </c>
      <c r="W3694" s="14" t="s">
        <v>7777</v>
      </c>
      <c r="X3694" s="3">
        <v>3</v>
      </c>
      <c r="Z3694" s="23">
        <v>12</v>
      </c>
      <c r="AB3694" s="18">
        <f t="shared" si="114"/>
        <v>2013</v>
      </c>
      <c r="AC3694" s="22">
        <f t="shared" si="115"/>
        <v>0.5013333333333333</v>
      </c>
    </row>
    <row r="3695" spans="1:29">
      <c r="A3695" s="8" t="s">
        <v>3907</v>
      </c>
      <c r="B3695" s="17" t="s">
        <v>7800</v>
      </c>
      <c r="C3695" s="13">
        <v>41446</v>
      </c>
      <c r="D3695" s="13" t="s">
        <v>8465</v>
      </c>
      <c r="E3695" s="10" t="s">
        <v>3272</v>
      </c>
      <c r="F3695" s="10" t="s">
        <v>3908</v>
      </c>
      <c r="H3695" s="2" t="s">
        <v>153</v>
      </c>
      <c r="L3695" s="18">
        <v>1</v>
      </c>
      <c r="N3695" s="13">
        <v>41879</v>
      </c>
      <c r="P3695" s="18" t="s">
        <v>1107</v>
      </c>
      <c r="Q3695" s="18">
        <v>0</v>
      </c>
      <c r="U3695" s="22">
        <v>0.73</v>
      </c>
      <c r="V3695" s="22">
        <f>2.68/5</f>
        <v>0.53600000000000003</v>
      </c>
      <c r="W3695" s="14" t="s">
        <v>7777</v>
      </c>
      <c r="X3695" s="3">
        <v>2</v>
      </c>
      <c r="Z3695" s="23">
        <v>5</v>
      </c>
      <c r="AB3695" s="18">
        <f t="shared" si="114"/>
        <v>2013</v>
      </c>
      <c r="AC3695" s="22">
        <f t="shared" si="115"/>
        <v>0.55533333333333335</v>
      </c>
    </row>
    <row r="3696" spans="1:29">
      <c r="A3696" s="8" t="s">
        <v>6955</v>
      </c>
      <c r="B3696" s="17" t="s">
        <v>7800</v>
      </c>
      <c r="C3696" s="13">
        <v>41445</v>
      </c>
      <c r="D3696" s="13" t="s">
        <v>8465</v>
      </c>
      <c r="E3696" s="10" t="s">
        <v>3493</v>
      </c>
      <c r="F3696" s="10" t="s">
        <v>6174</v>
      </c>
      <c r="H3696" s="2" t="s">
        <v>31</v>
      </c>
      <c r="L3696" s="18">
        <v>1</v>
      </c>
      <c r="N3696" s="13">
        <v>41808</v>
      </c>
      <c r="O3696" s="29">
        <v>0</v>
      </c>
      <c r="P3696" s="18" t="s">
        <v>1107</v>
      </c>
      <c r="Q3696" s="18">
        <v>0</v>
      </c>
      <c r="U3696" s="22">
        <v>0.67</v>
      </c>
      <c r="V3696" s="22">
        <f>3.16/5</f>
        <v>0.63200000000000001</v>
      </c>
      <c r="W3696" s="14" t="s">
        <v>7778</v>
      </c>
      <c r="X3696" s="3">
        <v>3</v>
      </c>
      <c r="Z3696" s="23">
        <v>8</v>
      </c>
      <c r="AB3696" s="18">
        <f t="shared" si="114"/>
        <v>2013</v>
      </c>
      <c r="AC3696" s="22">
        <f t="shared" si="115"/>
        <v>0.63400000000000001</v>
      </c>
    </row>
    <row r="3697" spans="1:29">
      <c r="A3697" s="8" t="s">
        <v>10284</v>
      </c>
      <c r="B3697" s="17" t="s">
        <v>7749</v>
      </c>
      <c r="C3697" s="13">
        <v>41445</v>
      </c>
      <c r="D3697" s="13" t="s">
        <v>8465</v>
      </c>
      <c r="E3697" s="10" t="s">
        <v>2129</v>
      </c>
      <c r="F3697" s="10" t="s">
        <v>1164</v>
      </c>
      <c r="G3697" s="11" t="s">
        <v>2469</v>
      </c>
      <c r="H3697" s="2" t="s">
        <v>143</v>
      </c>
      <c r="L3697" s="18">
        <v>1</v>
      </c>
      <c r="N3697" s="13">
        <v>44424</v>
      </c>
      <c r="O3697" s="29">
        <v>7.99</v>
      </c>
      <c r="P3697" s="18" t="s">
        <v>1107</v>
      </c>
      <c r="Q3697" s="18">
        <v>0</v>
      </c>
      <c r="U3697" s="22">
        <v>0.5</v>
      </c>
      <c r="V3697" s="22">
        <f>3.37/5</f>
        <v>0.67400000000000004</v>
      </c>
      <c r="X3697" s="3">
        <v>3</v>
      </c>
      <c r="Z3697" s="23">
        <v>3</v>
      </c>
      <c r="AB3697" s="18">
        <f t="shared" si="114"/>
        <v>2013</v>
      </c>
      <c r="AC3697" s="22">
        <f t="shared" si="115"/>
        <v>0.59133333333333338</v>
      </c>
    </row>
    <row r="3698" spans="1:29" ht="30">
      <c r="A3698" s="8" t="s">
        <v>15846</v>
      </c>
      <c r="B3698" s="17" t="s">
        <v>7800</v>
      </c>
      <c r="C3698" s="13">
        <v>41443</v>
      </c>
      <c r="D3698" s="13" t="s">
        <v>8465</v>
      </c>
      <c r="E3698" s="10" t="s">
        <v>3453</v>
      </c>
      <c r="F3698" s="10" t="s">
        <v>3444</v>
      </c>
      <c r="G3698" s="11" t="s">
        <v>4249</v>
      </c>
      <c r="H3698" s="2" t="s">
        <v>149</v>
      </c>
      <c r="L3698" s="18">
        <v>1</v>
      </c>
      <c r="N3698" s="13">
        <v>41737</v>
      </c>
      <c r="P3698" s="18" t="s">
        <v>1107</v>
      </c>
      <c r="Q3698" s="18">
        <v>0</v>
      </c>
      <c r="U3698" s="22">
        <v>0.61</v>
      </c>
      <c r="V3698" s="22">
        <f>3.33/5</f>
        <v>0.66600000000000004</v>
      </c>
      <c r="W3698" s="14" t="s">
        <v>7777</v>
      </c>
      <c r="X3698" s="3">
        <v>3</v>
      </c>
      <c r="Z3698" s="23">
        <v>12.5</v>
      </c>
      <c r="AB3698" s="18">
        <f t="shared" si="114"/>
        <v>2013</v>
      </c>
      <c r="AC3698" s="22">
        <f t="shared" si="115"/>
        <v>0.6253333333333333</v>
      </c>
    </row>
    <row r="3699" spans="1:29" ht="30">
      <c r="A3699" s="8" t="s">
        <v>6064</v>
      </c>
      <c r="B3699" s="17" t="s">
        <v>7759</v>
      </c>
      <c r="C3699" s="13">
        <v>41439</v>
      </c>
      <c r="D3699" s="13" t="s">
        <v>8465</v>
      </c>
      <c r="E3699" s="10" t="s">
        <v>2908</v>
      </c>
      <c r="F3699" s="10" t="s">
        <v>2646</v>
      </c>
      <c r="G3699" s="11" t="s">
        <v>6064</v>
      </c>
      <c r="H3699" s="2" t="s">
        <v>80</v>
      </c>
      <c r="L3699" s="18">
        <v>1</v>
      </c>
      <c r="N3699" s="13">
        <v>42270</v>
      </c>
      <c r="O3699" s="29">
        <v>10</v>
      </c>
      <c r="P3699" s="18" t="s">
        <v>1107</v>
      </c>
      <c r="Q3699" s="18">
        <v>0</v>
      </c>
      <c r="U3699" s="22">
        <v>0.95</v>
      </c>
      <c r="V3699" s="22">
        <f>4.44/5</f>
        <v>0.88800000000000012</v>
      </c>
      <c r="X3699" s="3">
        <v>2</v>
      </c>
      <c r="Z3699" s="23">
        <v>15.5</v>
      </c>
      <c r="AB3699" s="18">
        <f t="shared" si="114"/>
        <v>2013</v>
      </c>
      <c r="AC3699" s="22">
        <f t="shared" si="115"/>
        <v>0.746</v>
      </c>
    </row>
    <row r="3700" spans="1:29" ht="38.25">
      <c r="A3700" s="8" t="s">
        <v>15612</v>
      </c>
      <c r="B3700" s="17" t="s">
        <v>7749</v>
      </c>
      <c r="C3700" s="13">
        <v>41438</v>
      </c>
      <c r="D3700" s="13" t="s">
        <v>8463</v>
      </c>
      <c r="E3700" s="10" t="s">
        <v>1082</v>
      </c>
      <c r="F3700" s="10" t="s">
        <v>15613</v>
      </c>
      <c r="G3700" s="11" t="s">
        <v>15614</v>
      </c>
      <c r="H3700" s="2" t="s">
        <v>3411</v>
      </c>
      <c r="K3700" s="18">
        <v>0</v>
      </c>
      <c r="L3700" s="18">
        <v>0</v>
      </c>
      <c r="Q3700" s="18">
        <v>0</v>
      </c>
      <c r="V3700" s="22">
        <f>3.81/5</f>
        <v>0.76200000000000001</v>
      </c>
      <c r="X3700" s="3">
        <v>2</v>
      </c>
      <c r="AB3700" s="18">
        <f t="shared" si="114"/>
        <v>2013</v>
      </c>
      <c r="AC3700" s="22">
        <f t="shared" si="115"/>
        <v>0.58099999999999996</v>
      </c>
    </row>
    <row r="3701" spans="1:29" ht="38.25">
      <c r="A3701" s="8" t="s">
        <v>4680</v>
      </c>
      <c r="B3701" s="17" t="s">
        <v>7800</v>
      </c>
      <c r="C3701" s="13">
        <v>41432</v>
      </c>
      <c r="D3701" s="13" t="s">
        <v>8465</v>
      </c>
      <c r="E3701" s="10" t="s">
        <v>4679</v>
      </c>
      <c r="F3701" s="10" t="s">
        <v>3366</v>
      </c>
      <c r="G3701" s="11" t="s">
        <v>4676</v>
      </c>
      <c r="H3701" s="2" t="s">
        <v>149</v>
      </c>
      <c r="L3701" s="18">
        <v>1</v>
      </c>
      <c r="N3701" s="13">
        <v>41468</v>
      </c>
      <c r="O3701" s="29">
        <v>2.21</v>
      </c>
      <c r="P3701" s="18" t="s">
        <v>1107</v>
      </c>
      <c r="Q3701" s="18">
        <v>0</v>
      </c>
      <c r="U3701" s="22">
        <v>0.7</v>
      </c>
      <c r="V3701" s="22">
        <f>3.95/5</f>
        <v>0.79</v>
      </c>
      <c r="W3701" s="14" t="s">
        <v>7777</v>
      </c>
      <c r="X3701" s="3">
        <v>3</v>
      </c>
      <c r="Z3701" s="23">
        <v>10</v>
      </c>
      <c r="AB3701" s="18">
        <f t="shared" si="114"/>
        <v>2013</v>
      </c>
      <c r="AC3701" s="22">
        <f t="shared" si="115"/>
        <v>0.69666666666666666</v>
      </c>
    </row>
    <row r="3702" spans="1:29" ht="30">
      <c r="A3702" s="8" t="s">
        <v>8804</v>
      </c>
      <c r="B3702" s="17" t="s">
        <v>7762</v>
      </c>
      <c r="C3702" s="13">
        <v>41429</v>
      </c>
      <c r="D3702" s="13" t="s">
        <v>8465</v>
      </c>
      <c r="E3702" s="10" t="s">
        <v>8805</v>
      </c>
      <c r="F3702" s="10" t="s">
        <v>8803</v>
      </c>
      <c r="G3702" s="11" t="s">
        <v>8802</v>
      </c>
      <c r="H3702" s="2" t="s">
        <v>1377</v>
      </c>
      <c r="L3702" s="18">
        <v>0</v>
      </c>
      <c r="Q3702" s="18">
        <v>0</v>
      </c>
      <c r="U3702" s="22">
        <v>0.77</v>
      </c>
      <c r="V3702" s="22">
        <f>3.69/5</f>
        <v>0.73799999999999999</v>
      </c>
      <c r="X3702" s="3">
        <v>3</v>
      </c>
      <c r="Z3702" s="23">
        <v>26</v>
      </c>
      <c r="AB3702" s="18">
        <f t="shared" si="114"/>
        <v>2013</v>
      </c>
      <c r="AC3702" s="22">
        <f t="shared" si="115"/>
        <v>0.70266666666666666</v>
      </c>
    </row>
    <row r="3703" spans="1:29">
      <c r="A3703" s="8" t="s">
        <v>4804</v>
      </c>
      <c r="B3703" s="17" t="s">
        <v>7800</v>
      </c>
      <c r="C3703" s="13">
        <v>41428</v>
      </c>
      <c r="D3703" s="13" t="s">
        <v>8465</v>
      </c>
      <c r="E3703" s="10" t="s">
        <v>73</v>
      </c>
      <c r="F3703" s="10" t="s">
        <v>4805</v>
      </c>
      <c r="H3703" s="2" t="s">
        <v>80</v>
      </c>
      <c r="L3703" s="18">
        <v>1</v>
      </c>
      <c r="N3703" s="13">
        <v>41906</v>
      </c>
      <c r="O3703" s="29">
        <v>4.5</v>
      </c>
      <c r="P3703" s="18" t="s">
        <v>1107</v>
      </c>
      <c r="Q3703" s="18">
        <v>0</v>
      </c>
      <c r="U3703" s="22">
        <v>0.67</v>
      </c>
      <c r="V3703" s="22">
        <f>3.49/5</f>
        <v>0.69800000000000006</v>
      </c>
      <c r="W3703" s="14" t="s">
        <v>7777</v>
      </c>
      <c r="X3703" s="3">
        <v>3</v>
      </c>
      <c r="Z3703" s="23">
        <v>10</v>
      </c>
      <c r="AB3703" s="18">
        <f t="shared" si="114"/>
        <v>2013</v>
      </c>
      <c r="AC3703" s="22">
        <f t="shared" si="115"/>
        <v>0.65600000000000003</v>
      </c>
    </row>
    <row r="3704" spans="1:29" ht="25.5">
      <c r="A3704" s="8" t="s">
        <v>1822</v>
      </c>
      <c r="B3704" s="17" t="s">
        <v>7749</v>
      </c>
      <c r="C3704" s="13">
        <v>41424</v>
      </c>
      <c r="D3704" s="13" t="s">
        <v>8465</v>
      </c>
      <c r="E3704" s="10" t="s">
        <v>86</v>
      </c>
      <c r="F3704" s="10" t="s">
        <v>86</v>
      </c>
      <c r="G3704" s="11" t="s">
        <v>85</v>
      </c>
      <c r="H3704" s="2" t="s">
        <v>80</v>
      </c>
      <c r="L3704" s="18">
        <v>1</v>
      </c>
      <c r="N3704" s="13">
        <v>41434</v>
      </c>
      <c r="O3704" s="29">
        <v>4.99</v>
      </c>
      <c r="P3704" s="18" t="s">
        <v>1107</v>
      </c>
      <c r="Q3704" s="18">
        <v>0</v>
      </c>
      <c r="V3704" s="22">
        <f>4.15/5</f>
        <v>0.83000000000000007</v>
      </c>
      <c r="W3704" s="14" t="s">
        <v>1068</v>
      </c>
      <c r="X3704" s="3">
        <v>3</v>
      </c>
      <c r="Z3704" s="23">
        <v>15.5</v>
      </c>
      <c r="AB3704" s="18">
        <f t="shared" si="114"/>
        <v>2013</v>
      </c>
      <c r="AC3704" s="22">
        <f t="shared" si="115"/>
        <v>0.71500000000000008</v>
      </c>
    </row>
    <row r="3705" spans="1:29">
      <c r="A3705" s="8" t="s">
        <v>3529</v>
      </c>
      <c r="B3705" s="17" t="s">
        <v>7800</v>
      </c>
      <c r="C3705" s="13">
        <v>41423</v>
      </c>
      <c r="D3705" s="13" t="s">
        <v>8465</v>
      </c>
      <c r="E3705" s="10" t="s">
        <v>3530</v>
      </c>
      <c r="F3705" s="10" t="s">
        <v>3530</v>
      </c>
      <c r="H3705" s="2" t="s">
        <v>1169</v>
      </c>
      <c r="L3705" s="18">
        <v>1</v>
      </c>
      <c r="N3705" s="13">
        <v>41988</v>
      </c>
      <c r="P3705" s="18" t="s">
        <v>1107</v>
      </c>
      <c r="Q3705" s="18">
        <v>0</v>
      </c>
      <c r="U3705" s="22">
        <v>0.76</v>
      </c>
      <c r="V3705" s="22">
        <f>3.06/5</f>
        <v>0.61199999999999999</v>
      </c>
      <c r="W3705" s="14" t="s">
        <v>7777</v>
      </c>
      <c r="X3705" s="3">
        <v>2</v>
      </c>
      <c r="Z3705" s="23">
        <v>4.5</v>
      </c>
      <c r="AB3705" s="18">
        <f t="shared" si="114"/>
        <v>2013</v>
      </c>
      <c r="AC3705" s="22">
        <f t="shared" si="115"/>
        <v>0.59066666666666656</v>
      </c>
    </row>
    <row r="3706" spans="1:29">
      <c r="A3706" s="8" t="s">
        <v>4034</v>
      </c>
      <c r="B3706" s="17" t="s">
        <v>7800</v>
      </c>
      <c r="C3706" s="13">
        <v>41422</v>
      </c>
      <c r="D3706" s="13" t="s">
        <v>8465</v>
      </c>
      <c r="E3706" s="10" t="s">
        <v>4035</v>
      </c>
      <c r="F3706" s="10" t="s">
        <v>1513</v>
      </c>
      <c r="G3706" s="11" t="s">
        <v>4036</v>
      </c>
      <c r="H3706" s="2" t="s">
        <v>150</v>
      </c>
      <c r="L3706" s="18">
        <v>1</v>
      </c>
      <c r="N3706" s="13">
        <v>41954</v>
      </c>
      <c r="P3706" s="18" t="s">
        <v>1107</v>
      </c>
      <c r="Q3706" s="18">
        <v>0</v>
      </c>
      <c r="U3706" s="22">
        <v>0.82</v>
      </c>
      <c r="V3706" s="22">
        <f>3.62/5</f>
        <v>0.72399999999999998</v>
      </c>
      <c r="W3706" s="14" t="s">
        <v>7777</v>
      </c>
      <c r="X3706" s="3">
        <v>3</v>
      </c>
      <c r="Z3706" s="23">
        <v>18</v>
      </c>
      <c r="AB3706" s="18">
        <f t="shared" si="114"/>
        <v>2013</v>
      </c>
      <c r="AC3706" s="22">
        <f t="shared" si="115"/>
        <v>0.71466666666666667</v>
      </c>
    </row>
    <row r="3707" spans="1:29">
      <c r="A3707" s="8" t="s">
        <v>5351</v>
      </c>
      <c r="B3707" s="17" t="s">
        <v>7800</v>
      </c>
      <c r="C3707" s="13">
        <v>41422</v>
      </c>
      <c r="D3707" s="13" t="s">
        <v>8465</v>
      </c>
      <c r="E3707" s="10" t="s">
        <v>3072</v>
      </c>
      <c r="F3707" s="10" t="s">
        <v>3072</v>
      </c>
      <c r="H3707" s="2" t="s">
        <v>67</v>
      </c>
      <c r="L3707" s="18">
        <v>1</v>
      </c>
      <c r="N3707" s="13">
        <v>43361</v>
      </c>
      <c r="O3707" s="29">
        <v>1.99</v>
      </c>
      <c r="P3707" s="18" t="s">
        <v>1107</v>
      </c>
      <c r="Q3707" s="18">
        <v>0</v>
      </c>
      <c r="U3707" s="22">
        <v>0.75</v>
      </c>
      <c r="V3707" s="22">
        <f>3.77/5</f>
        <v>0.754</v>
      </c>
      <c r="W3707" s="14" t="s">
        <v>7777</v>
      </c>
      <c r="X3707" s="3">
        <v>3</v>
      </c>
      <c r="Z3707" s="23">
        <v>9.5</v>
      </c>
      <c r="AB3707" s="18">
        <f t="shared" si="114"/>
        <v>2013</v>
      </c>
      <c r="AC3707" s="22">
        <f t="shared" si="115"/>
        <v>0.70133333333333336</v>
      </c>
    </row>
    <row r="3708" spans="1:29">
      <c r="A3708" s="8" t="s">
        <v>14831</v>
      </c>
      <c r="B3708" s="17" t="s">
        <v>7759</v>
      </c>
      <c r="C3708" s="13">
        <v>41422</v>
      </c>
      <c r="D3708" s="13" t="s">
        <v>8465</v>
      </c>
      <c r="E3708" s="10" t="s">
        <v>231</v>
      </c>
      <c r="F3708" s="10" t="s">
        <v>3039</v>
      </c>
      <c r="H3708" s="2" t="s">
        <v>1168</v>
      </c>
      <c r="L3708" s="18">
        <v>0</v>
      </c>
      <c r="Q3708" s="18">
        <v>0</v>
      </c>
      <c r="U3708" s="22">
        <v>0.63</v>
      </c>
      <c r="V3708" s="22">
        <f>3.37/5</f>
        <v>0.67400000000000004</v>
      </c>
      <c r="X3708" s="3">
        <v>2</v>
      </c>
      <c r="Y3708" s="18">
        <v>1</v>
      </c>
      <c r="Z3708" s="23">
        <v>8.5</v>
      </c>
      <c r="AB3708" s="18">
        <f t="shared" si="114"/>
        <v>2013</v>
      </c>
      <c r="AC3708" s="22">
        <f t="shared" si="115"/>
        <v>0.56800000000000006</v>
      </c>
    </row>
    <row r="3709" spans="1:29">
      <c r="A3709" s="8" t="s">
        <v>3749</v>
      </c>
      <c r="B3709" s="17" t="s">
        <v>7800</v>
      </c>
      <c r="C3709" s="13">
        <v>41418</v>
      </c>
      <c r="D3709" s="13" t="s">
        <v>8465</v>
      </c>
      <c r="E3709" s="10" t="s">
        <v>3116</v>
      </c>
      <c r="F3709" s="10" t="s">
        <v>3750</v>
      </c>
      <c r="H3709" s="2" t="s">
        <v>151</v>
      </c>
      <c r="L3709" s="18">
        <v>1</v>
      </c>
      <c r="N3709" s="13">
        <v>41688</v>
      </c>
      <c r="P3709" s="18" t="s">
        <v>1107</v>
      </c>
      <c r="Q3709" s="18">
        <v>0</v>
      </c>
      <c r="U3709" s="22">
        <v>0.83</v>
      </c>
      <c r="V3709" s="22">
        <f>4.05/5</f>
        <v>0.80999999999999994</v>
      </c>
      <c r="W3709" s="14" t="s">
        <v>7777</v>
      </c>
      <c r="X3709" s="3">
        <v>2</v>
      </c>
      <c r="Z3709" s="23">
        <v>10</v>
      </c>
      <c r="AB3709" s="18">
        <f t="shared" si="114"/>
        <v>2013</v>
      </c>
      <c r="AC3709" s="22">
        <f t="shared" si="115"/>
        <v>0.68</v>
      </c>
    </row>
    <row r="3710" spans="1:29" ht="25.5">
      <c r="A3710" s="8" t="s">
        <v>5207</v>
      </c>
      <c r="B3710" s="17" t="s">
        <v>7800</v>
      </c>
      <c r="C3710" s="13">
        <v>41418</v>
      </c>
      <c r="D3710" s="13" t="s">
        <v>8465</v>
      </c>
      <c r="E3710" s="10" t="s">
        <v>3272</v>
      </c>
      <c r="F3710" s="10" t="s">
        <v>4248</v>
      </c>
      <c r="H3710" s="2" t="s">
        <v>27</v>
      </c>
      <c r="L3710" s="18">
        <v>1</v>
      </c>
      <c r="N3710" s="13">
        <v>41879</v>
      </c>
      <c r="P3710" s="18" t="s">
        <v>1107</v>
      </c>
      <c r="Q3710" s="18">
        <v>0</v>
      </c>
      <c r="U3710" s="22">
        <v>0.75</v>
      </c>
      <c r="V3710" s="22">
        <f>4.03/5</f>
        <v>0.80600000000000005</v>
      </c>
      <c r="W3710" s="14" t="s">
        <v>7777</v>
      </c>
      <c r="X3710" s="3">
        <v>2</v>
      </c>
      <c r="Z3710" s="23">
        <v>5</v>
      </c>
      <c r="AB3710" s="18">
        <f t="shared" si="114"/>
        <v>2013</v>
      </c>
      <c r="AC3710" s="22">
        <f t="shared" si="115"/>
        <v>0.65200000000000002</v>
      </c>
    </row>
    <row r="3711" spans="1:29" ht="25.5">
      <c r="A3711" s="8" t="s">
        <v>12569</v>
      </c>
      <c r="B3711" s="17" t="s">
        <v>7800</v>
      </c>
      <c r="C3711" s="13">
        <v>41416</v>
      </c>
      <c r="D3711" s="13" t="s">
        <v>8465</v>
      </c>
      <c r="E3711" s="10" t="s">
        <v>5019</v>
      </c>
      <c r="F3711" s="10" t="s">
        <v>5019</v>
      </c>
      <c r="H3711" s="2" t="s">
        <v>3123</v>
      </c>
      <c r="L3711" s="18">
        <v>1</v>
      </c>
      <c r="P3711" s="18" t="s">
        <v>1107</v>
      </c>
      <c r="Q3711" s="18">
        <v>0</v>
      </c>
      <c r="U3711" s="22">
        <v>0.8</v>
      </c>
      <c r="V3711" s="22">
        <f>3.55/5</f>
        <v>0.71</v>
      </c>
      <c r="W3711" s="14" t="s">
        <v>7777</v>
      </c>
      <c r="X3711" s="3">
        <v>2</v>
      </c>
      <c r="Z3711" s="23">
        <v>14</v>
      </c>
      <c r="AB3711" s="18">
        <f t="shared" si="114"/>
        <v>2013</v>
      </c>
      <c r="AC3711" s="22">
        <f t="shared" si="115"/>
        <v>0.63666666666666671</v>
      </c>
    </row>
    <row r="3712" spans="1:29" ht="25.5">
      <c r="A3712" s="8" t="s">
        <v>2402</v>
      </c>
      <c r="B3712" s="17" t="s">
        <v>7800</v>
      </c>
      <c r="C3712" s="13">
        <v>41415</v>
      </c>
      <c r="D3712" s="13" t="s">
        <v>8465</v>
      </c>
      <c r="E3712" s="10" t="s">
        <v>73</v>
      </c>
      <c r="F3712" s="10" t="s">
        <v>73</v>
      </c>
      <c r="G3712" s="11" t="s">
        <v>943</v>
      </c>
      <c r="H3712" s="2" t="s">
        <v>1061</v>
      </c>
      <c r="L3712" s="18">
        <v>1</v>
      </c>
      <c r="N3712" s="13">
        <v>41973</v>
      </c>
      <c r="O3712" s="29">
        <v>10</v>
      </c>
      <c r="P3712" s="18" t="s">
        <v>1107</v>
      </c>
      <c r="Q3712" s="18">
        <v>0</v>
      </c>
      <c r="U3712" s="22">
        <v>0.78</v>
      </c>
      <c r="V3712" s="22">
        <f>3.59/5</f>
        <v>0.71799999999999997</v>
      </c>
      <c r="W3712" s="14" t="s">
        <v>7777</v>
      </c>
      <c r="X3712" s="3">
        <v>3</v>
      </c>
      <c r="Z3712" s="23">
        <v>9</v>
      </c>
      <c r="AB3712" s="18">
        <f t="shared" si="114"/>
        <v>2013</v>
      </c>
      <c r="AC3712" s="22">
        <f t="shared" si="115"/>
        <v>0.69933333333333325</v>
      </c>
    </row>
    <row r="3713" spans="1:29">
      <c r="A3713" s="8" t="s">
        <v>4827</v>
      </c>
      <c r="B3713" s="17" t="s">
        <v>7800</v>
      </c>
      <c r="C3713" s="13">
        <v>41410</v>
      </c>
      <c r="D3713" s="13" t="s">
        <v>8465</v>
      </c>
      <c r="E3713" s="10" t="s">
        <v>4828</v>
      </c>
      <c r="F3713" s="10" t="s">
        <v>4828</v>
      </c>
      <c r="H3713" s="2" t="s">
        <v>1334</v>
      </c>
      <c r="L3713" s="18">
        <v>1</v>
      </c>
      <c r="N3713" s="13">
        <v>41647</v>
      </c>
      <c r="P3713" s="18" t="s">
        <v>1107</v>
      </c>
      <c r="Q3713" s="18">
        <v>0</v>
      </c>
      <c r="U3713" s="22">
        <v>0.73</v>
      </c>
      <c r="V3713" s="22">
        <f>3.26/5</f>
        <v>0.65199999999999991</v>
      </c>
      <c r="W3713" s="14" t="s">
        <v>7777</v>
      </c>
      <c r="X3713" s="3">
        <v>3</v>
      </c>
      <c r="Z3713" s="23">
        <v>7.5</v>
      </c>
      <c r="AB3713" s="18">
        <f t="shared" ref="AB3713:AB3776" si="116">IFERROR(YEAR(C3713), "Early Access")</f>
        <v>2013</v>
      </c>
      <c r="AC3713" s="22">
        <f t="shared" ref="AC3713:AC3776" si="117">AVERAGE(T3713, U3713, V3713, IF(ISBLANK(X3713), X3713, X3713/5))</f>
        <v>0.66066666666666662</v>
      </c>
    </row>
    <row r="3714" spans="1:29">
      <c r="A3714" s="8" t="s">
        <v>576</v>
      </c>
      <c r="B3714" s="17" t="s">
        <v>7743</v>
      </c>
      <c r="C3714" s="13">
        <v>41409</v>
      </c>
      <c r="D3714" s="13" t="s">
        <v>8465</v>
      </c>
      <c r="E3714" s="10" t="s">
        <v>86</v>
      </c>
      <c r="F3714" s="10" t="s">
        <v>1069</v>
      </c>
      <c r="G3714" s="11" t="s">
        <v>109</v>
      </c>
      <c r="H3714" s="2" t="s">
        <v>151</v>
      </c>
      <c r="L3714" s="18">
        <v>1</v>
      </c>
      <c r="N3714" s="13">
        <v>42038</v>
      </c>
      <c r="P3714" s="18" t="s">
        <v>1107</v>
      </c>
      <c r="Q3714" s="18">
        <v>0</v>
      </c>
      <c r="V3714" s="22">
        <f>4.45/5</f>
        <v>0.89</v>
      </c>
      <c r="W3714" s="14" t="s">
        <v>1068</v>
      </c>
      <c r="X3714" s="3">
        <v>3</v>
      </c>
      <c r="Z3714" s="23">
        <v>7.5</v>
      </c>
      <c r="AB3714" s="18">
        <f t="shared" si="116"/>
        <v>2013</v>
      </c>
      <c r="AC3714" s="22">
        <f t="shared" si="117"/>
        <v>0.745</v>
      </c>
    </row>
    <row r="3715" spans="1:29">
      <c r="A3715" s="8" t="s">
        <v>4914</v>
      </c>
      <c r="B3715" s="17" t="s">
        <v>7800</v>
      </c>
      <c r="C3715" s="13">
        <v>41409</v>
      </c>
      <c r="D3715" s="13" t="s">
        <v>8465</v>
      </c>
      <c r="E3715" s="10" t="s">
        <v>3077</v>
      </c>
      <c r="F3715" s="10" t="s">
        <v>3077</v>
      </c>
      <c r="G3715" s="11" t="s">
        <v>4913</v>
      </c>
      <c r="H3715" s="2" t="s">
        <v>1169</v>
      </c>
      <c r="L3715" s="18">
        <v>1</v>
      </c>
      <c r="N3715" s="13">
        <v>41606</v>
      </c>
      <c r="O3715" s="29">
        <v>1.34</v>
      </c>
      <c r="P3715" s="18" t="s">
        <v>1107</v>
      </c>
      <c r="Q3715" s="18">
        <v>0</v>
      </c>
      <c r="U3715" s="22">
        <v>0.78</v>
      </c>
      <c r="V3715" s="22">
        <f>3.5/5</f>
        <v>0.7</v>
      </c>
      <c r="W3715" s="14" t="s">
        <v>7777</v>
      </c>
      <c r="X3715" s="3">
        <v>3</v>
      </c>
      <c r="Z3715" s="23">
        <v>12</v>
      </c>
      <c r="AB3715" s="18">
        <f t="shared" si="116"/>
        <v>2013</v>
      </c>
      <c r="AC3715" s="22">
        <f t="shared" si="117"/>
        <v>0.69333333333333336</v>
      </c>
    </row>
    <row r="3716" spans="1:29">
      <c r="A3716" s="8" t="s">
        <v>3183</v>
      </c>
      <c r="B3716" s="17" t="s">
        <v>7800</v>
      </c>
      <c r="C3716" s="13">
        <v>41409</v>
      </c>
      <c r="D3716" s="13" t="s">
        <v>8465</v>
      </c>
      <c r="E3716" s="10" t="s">
        <v>1698</v>
      </c>
      <c r="F3716" s="10" t="s">
        <v>1698</v>
      </c>
      <c r="G3716" s="11" t="s">
        <v>3184</v>
      </c>
      <c r="H3716" s="2" t="s">
        <v>1169</v>
      </c>
      <c r="L3716" s="18">
        <v>1</v>
      </c>
      <c r="N3716" s="13">
        <v>41625</v>
      </c>
      <c r="P3716" s="18" t="s">
        <v>1107</v>
      </c>
      <c r="Q3716" s="18">
        <v>0</v>
      </c>
      <c r="U3716" s="22">
        <v>0.75</v>
      </c>
      <c r="V3716" s="22">
        <f>3.21/5</f>
        <v>0.64200000000000002</v>
      </c>
      <c r="W3716" s="14" t="s">
        <v>7777</v>
      </c>
      <c r="X3716" s="3">
        <v>2</v>
      </c>
      <c r="Z3716" s="23">
        <v>6.5</v>
      </c>
      <c r="AB3716" s="18">
        <f t="shared" si="116"/>
        <v>2013</v>
      </c>
      <c r="AC3716" s="22">
        <f t="shared" si="117"/>
        <v>0.59733333333333327</v>
      </c>
    </row>
    <row r="3717" spans="1:29">
      <c r="A3717" s="8" t="s">
        <v>4441</v>
      </c>
      <c r="B3717" s="17" t="s">
        <v>7800</v>
      </c>
      <c r="C3717" s="13">
        <v>41408</v>
      </c>
      <c r="D3717" s="13" t="s">
        <v>8465</v>
      </c>
      <c r="E3717" s="10" t="s">
        <v>1163</v>
      </c>
      <c r="F3717" s="10" t="s">
        <v>4439</v>
      </c>
      <c r="G3717" s="11" t="s">
        <v>4440</v>
      </c>
      <c r="H3717" s="2" t="s">
        <v>1050</v>
      </c>
      <c r="L3717" s="18">
        <v>1</v>
      </c>
      <c r="N3717" s="13">
        <v>41466</v>
      </c>
      <c r="P3717" s="18" t="s">
        <v>1107</v>
      </c>
      <c r="Q3717" s="18">
        <v>0</v>
      </c>
      <c r="U3717" s="22">
        <v>0.82</v>
      </c>
      <c r="V3717" s="22">
        <f>3.87/5</f>
        <v>0.77400000000000002</v>
      </c>
      <c r="W3717" s="14" t="s">
        <v>7777</v>
      </c>
      <c r="X3717" s="3">
        <v>4</v>
      </c>
      <c r="Z3717" s="23">
        <v>10</v>
      </c>
      <c r="AB3717" s="18">
        <f t="shared" si="116"/>
        <v>2013</v>
      </c>
      <c r="AC3717" s="22">
        <f t="shared" si="117"/>
        <v>0.79800000000000004</v>
      </c>
    </row>
    <row r="3718" spans="1:29" ht="38.25">
      <c r="A3718" s="8" t="s">
        <v>10259</v>
      </c>
      <c r="B3718" s="17" t="s">
        <v>7749</v>
      </c>
      <c r="C3718" s="13">
        <v>41403</v>
      </c>
      <c r="D3718" s="13" t="s">
        <v>8465</v>
      </c>
      <c r="E3718" s="10" t="s">
        <v>86</v>
      </c>
      <c r="F3718" s="10" t="s">
        <v>1506</v>
      </c>
      <c r="G3718" s="11" t="s">
        <v>1964</v>
      </c>
      <c r="H3718" s="2" t="s">
        <v>78</v>
      </c>
      <c r="L3718" s="18">
        <v>1</v>
      </c>
      <c r="N3718" s="13">
        <v>44617</v>
      </c>
      <c r="O3718" s="29">
        <v>9.99</v>
      </c>
      <c r="P3718" s="18" t="s">
        <v>1107</v>
      </c>
      <c r="Q3718" s="18">
        <v>0</v>
      </c>
      <c r="U3718" s="22">
        <v>0.78</v>
      </c>
      <c r="V3718" s="22">
        <f>3.68/5</f>
        <v>0.73599999999999999</v>
      </c>
      <c r="X3718" s="3">
        <v>3</v>
      </c>
      <c r="Z3718" s="23">
        <v>5</v>
      </c>
      <c r="AB3718" s="18">
        <f t="shared" si="116"/>
        <v>2013</v>
      </c>
      <c r="AC3718" s="22">
        <f t="shared" si="117"/>
        <v>0.70533333333333337</v>
      </c>
    </row>
    <row r="3719" spans="1:29">
      <c r="A3719" s="8" t="s">
        <v>5208</v>
      </c>
      <c r="B3719" s="17" t="s">
        <v>7800</v>
      </c>
      <c r="C3719" s="13">
        <v>41403</v>
      </c>
      <c r="D3719" s="13" t="s">
        <v>8465</v>
      </c>
      <c r="E3719" s="10" t="s">
        <v>3077</v>
      </c>
      <c r="F3719" s="10" t="s">
        <v>3077</v>
      </c>
      <c r="G3719" s="11" t="s">
        <v>4913</v>
      </c>
      <c r="H3719" s="2" t="s">
        <v>1169</v>
      </c>
      <c r="L3719" s="18">
        <v>1</v>
      </c>
      <c r="N3719" s="13">
        <v>41515</v>
      </c>
      <c r="P3719" s="18" t="s">
        <v>1107</v>
      </c>
      <c r="Q3719" s="18">
        <v>0</v>
      </c>
      <c r="U3719" s="22">
        <v>0.95</v>
      </c>
      <c r="V3719" s="22">
        <f>3.25/5</f>
        <v>0.65</v>
      </c>
      <c r="W3719" s="14" t="s">
        <v>7777</v>
      </c>
      <c r="X3719" s="3">
        <v>2</v>
      </c>
      <c r="Z3719" s="23">
        <v>7.5</v>
      </c>
      <c r="AB3719" s="18">
        <f t="shared" si="116"/>
        <v>2013</v>
      </c>
      <c r="AC3719" s="22">
        <f t="shared" si="117"/>
        <v>0.66666666666666663</v>
      </c>
    </row>
    <row r="3720" spans="1:29">
      <c r="A3720" s="8" t="s">
        <v>7345</v>
      </c>
      <c r="B3720" s="17" t="s">
        <v>7783</v>
      </c>
      <c r="C3720" s="13">
        <v>41396</v>
      </c>
      <c r="D3720" s="13" t="s">
        <v>8465</v>
      </c>
      <c r="E3720" s="10" t="s">
        <v>7346</v>
      </c>
      <c r="F3720" s="10" t="s">
        <v>7346</v>
      </c>
      <c r="H3720" s="2" t="s">
        <v>1334</v>
      </c>
      <c r="L3720" s="18">
        <v>1</v>
      </c>
      <c r="N3720" s="13">
        <v>41624</v>
      </c>
      <c r="O3720" s="29">
        <v>0.99</v>
      </c>
      <c r="P3720" s="18" t="s">
        <v>1107</v>
      </c>
      <c r="Q3720" s="18">
        <v>0</v>
      </c>
      <c r="U3720" s="22">
        <v>0.78</v>
      </c>
      <c r="V3720" s="22">
        <f>3.25/5</f>
        <v>0.65</v>
      </c>
      <c r="X3720" s="3">
        <v>3</v>
      </c>
      <c r="Z3720" s="23">
        <v>3</v>
      </c>
      <c r="AB3720" s="18">
        <f t="shared" si="116"/>
        <v>2013</v>
      </c>
      <c r="AC3720" s="22">
        <f t="shared" si="117"/>
        <v>0.67666666666666675</v>
      </c>
    </row>
    <row r="3721" spans="1:29">
      <c r="A3721" s="8" t="s">
        <v>3882</v>
      </c>
      <c r="B3721" s="17" t="s">
        <v>7800</v>
      </c>
      <c r="C3721" s="13">
        <v>41395</v>
      </c>
      <c r="D3721" s="13" t="s">
        <v>8465</v>
      </c>
      <c r="E3721" s="10" t="s">
        <v>3883</v>
      </c>
      <c r="F3721" s="10" t="s">
        <v>3884</v>
      </c>
      <c r="H3721" s="2" t="s">
        <v>27</v>
      </c>
      <c r="L3721" s="18">
        <v>1</v>
      </c>
      <c r="N3721" s="13">
        <v>41528</v>
      </c>
      <c r="O3721" s="29">
        <v>4</v>
      </c>
      <c r="P3721" s="18" t="s">
        <v>1107</v>
      </c>
      <c r="Q3721" s="18">
        <v>0</v>
      </c>
      <c r="U3721" s="22">
        <v>0.94</v>
      </c>
      <c r="V3721" s="22">
        <f>3.88/5</f>
        <v>0.77600000000000002</v>
      </c>
      <c r="W3721" s="14" t="s">
        <v>7777</v>
      </c>
      <c r="X3721" s="3">
        <v>4</v>
      </c>
      <c r="Z3721" s="23">
        <v>6</v>
      </c>
      <c r="AB3721" s="18">
        <f t="shared" si="116"/>
        <v>2013</v>
      </c>
      <c r="AC3721" s="22">
        <f t="shared" si="117"/>
        <v>0.83866666666666667</v>
      </c>
    </row>
    <row r="3722" spans="1:29">
      <c r="A3722" s="8" t="s">
        <v>12595</v>
      </c>
      <c r="B3722" s="17" t="s">
        <v>7800</v>
      </c>
      <c r="C3722" s="13">
        <v>41395</v>
      </c>
      <c r="D3722" s="13" t="s">
        <v>8465</v>
      </c>
      <c r="E3722" s="10" t="s">
        <v>12596</v>
      </c>
      <c r="F3722" s="10" t="s">
        <v>12596</v>
      </c>
      <c r="G3722" s="11" t="s">
        <v>12597</v>
      </c>
      <c r="H3722" s="2" t="s">
        <v>150</v>
      </c>
      <c r="L3722" s="18">
        <v>1</v>
      </c>
      <c r="P3722" s="18" t="s">
        <v>1107</v>
      </c>
      <c r="Q3722" s="18">
        <v>0</v>
      </c>
      <c r="V3722" s="22">
        <f>3.65/5</f>
        <v>0.73</v>
      </c>
      <c r="W3722" s="14" t="s">
        <v>7777</v>
      </c>
      <c r="X3722" s="3">
        <v>2</v>
      </c>
      <c r="Z3722" s="23">
        <v>5.5</v>
      </c>
      <c r="AB3722" s="18">
        <f t="shared" si="116"/>
        <v>2013</v>
      </c>
      <c r="AC3722" s="22">
        <f t="shared" si="117"/>
        <v>0.56499999999999995</v>
      </c>
    </row>
    <row r="3723" spans="1:29" ht="30">
      <c r="A3723" s="8" t="s">
        <v>6286</v>
      </c>
      <c r="B3723" s="17" t="s">
        <v>7763</v>
      </c>
      <c r="C3723" s="13">
        <v>41394</v>
      </c>
      <c r="D3723" s="13" t="s">
        <v>8465</v>
      </c>
      <c r="E3723" s="10" t="s">
        <v>2908</v>
      </c>
      <c r="F3723" s="10" t="s">
        <v>4068</v>
      </c>
      <c r="G3723" s="11" t="s">
        <v>6286</v>
      </c>
      <c r="H3723" s="2" t="s">
        <v>171</v>
      </c>
      <c r="L3723" s="18">
        <v>1</v>
      </c>
      <c r="M3723" s="14" t="s">
        <v>8462</v>
      </c>
      <c r="N3723" s="13">
        <v>43578</v>
      </c>
      <c r="O3723" s="29">
        <v>19.989999999999998</v>
      </c>
      <c r="P3723" s="18" t="s">
        <v>14</v>
      </c>
      <c r="Q3723" s="18">
        <v>0</v>
      </c>
      <c r="U3723" s="22">
        <v>0.76</v>
      </c>
      <c r="V3723" s="22">
        <f>4.09/5</f>
        <v>0.81799999999999995</v>
      </c>
      <c r="X3723" s="3">
        <v>3</v>
      </c>
      <c r="Z3723" s="23">
        <v>25</v>
      </c>
      <c r="AB3723" s="18">
        <f t="shared" si="116"/>
        <v>2013</v>
      </c>
      <c r="AC3723" s="22">
        <f t="shared" si="117"/>
        <v>0.72599999999999998</v>
      </c>
    </row>
    <row r="3724" spans="1:29">
      <c r="A3724" s="8" t="s">
        <v>5627</v>
      </c>
      <c r="B3724" s="17" t="s">
        <v>7800</v>
      </c>
      <c r="C3724" s="13">
        <v>41394</v>
      </c>
      <c r="D3724" s="13" t="s">
        <v>8465</v>
      </c>
      <c r="E3724" s="10" t="s">
        <v>455</v>
      </c>
      <c r="F3724" s="10" t="s">
        <v>3094</v>
      </c>
      <c r="G3724" s="11" t="s">
        <v>5626</v>
      </c>
      <c r="H3724" s="2" t="s">
        <v>153</v>
      </c>
      <c r="L3724" s="18">
        <v>1</v>
      </c>
      <c r="N3724" s="13">
        <v>41620</v>
      </c>
      <c r="P3724" s="18" t="s">
        <v>1107</v>
      </c>
      <c r="Q3724" s="18">
        <v>0</v>
      </c>
      <c r="U3724" s="22">
        <v>0.63</v>
      </c>
      <c r="V3724" s="22">
        <f>3.47/5</f>
        <v>0.69400000000000006</v>
      </c>
      <c r="W3724" s="14" t="s">
        <v>7777</v>
      </c>
      <c r="X3724" s="3">
        <v>3</v>
      </c>
      <c r="Z3724" s="23">
        <v>6</v>
      </c>
      <c r="AB3724" s="18">
        <f t="shared" si="116"/>
        <v>2013</v>
      </c>
      <c r="AC3724" s="22">
        <f t="shared" si="117"/>
        <v>0.64133333333333331</v>
      </c>
    </row>
    <row r="3725" spans="1:29">
      <c r="A3725" s="8" t="s">
        <v>4193</v>
      </c>
      <c r="B3725" s="17" t="s">
        <v>7800</v>
      </c>
      <c r="C3725" s="13">
        <v>41394</v>
      </c>
      <c r="D3725" s="13" t="s">
        <v>8465</v>
      </c>
      <c r="E3725" s="10" t="s">
        <v>3760</v>
      </c>
      <c r="F3725" s="10" t="s">
        <v>3760</v>
      </c>
      <c r="H3725" s="2" t="s">
        <v>78</v>
      </c>
      <c r="L3725" s="18">
        <v>1</v>
      </c>
      <c r="N3725" s="13">
        <v>41625</v>
      </c>
      <c r="P3725" s="18" t="s">
        <v>1107</v>
      </c>
      <c r="Q3725" s="18">
        <v>0</v>
      </c>
      <c r="U3725" s="22">
        <v>0.85</v>
      </c>
      <c r="V3725" s="22">
        <f>2.73/5</f>
        <v>0.54600000000000004</v>
      </c>
      <c r="W3725" s="14" t="s">
        <v>7777</v>
      </c>
      <c r="X3725" s="3">
        <v>2</v>
      </c>
      <c r="Z3725" s="23">
        <v>2.5</v>
      </c>
      <c r="AB3725" s="18">
        <f t="shared" si="116"/>
        <v>2013</v>
      </c>
      <c r="AC3725" s="22">
        <f t="shared" si="117"/>
        <v>0.59866666666666657</v>
      </c>
    </row>
    <row r="3726" spans="1:29" ht="30">
      <c r="A3726" s="8" t="s">
        <v>5618</v>
      </c>
      <c r="B3726" s="17" t="s">
        <v>7800</v>
      </c>
      <c r="C3726" s="13">
        <v>41393</v>
      </c>
      <c r="D3726" s="13" t="s">
        <v>8465</v>
      </c>
      <c r="E3726" s="10" t="s">
        <v>5619</v>
      </c>
      <c r="F3726" s="10" t="s">
        <v>5619</v>
      </c>
      <c r="H3726" s="2" t="s">
        <v>56</v>
      </c>
      <c r="L3726" s="18">
        <v>1</v>
      </c>
      <c r="N3726" s="13">
        <v>41544</v>
      </c>
      <c r="P3726" s="18" t="s">
        <v>1107</v>
      </c>
      <c r="Q3726" s="18">
        <v>0</v>
      </c>
      <c r="U3726" s="22">
        <v>0.4</v>
      </c>
      <c r="V3726" s="22">
        <f>2.44/5</f>
        <v>0.48799999999999999</v>
      </c>
      <c r="W3726" s="14" t="s">
        <v>7777</v>
      </c>
      <c r="X3726" s="3">
        <v>2</v>
      </c>
      <c r="Z3726" s="23">
        <v>4</v>
      </c>
      <c r="AB3726" s="18">
        <f t="shared" si="116"/>
        <v>2013</v>
      </c>
      <c r="AC3726" s="22">
        <f t="shared" si="117"/>
        <v>0.42933333333333334</v>
      </c>
    </row>
    <row r="3727" spans="1:29">
      <c r="A3727" s="8" t="s">
        <v>4791</v>
      </c>
      <c r="B3727" s="17" t="s">
        <v>7800</v>
      </c>
      <c r="C3727" s="13">
        <v>41393</v>
      </c>
      <c r="D3727" s="13" t="s">
        <v>8465</v>
      </c>
      <c r="E3727" s="10" t="s">
        <v>4366</v>
      </c>
      <c r="F3727" s="10" t="s">
        <v>4366</v>
      </c>
      <c r="G3727" s="11" t="s">
        <v>4791</v>
      </c>
      <c r="H3727" s="2" t="s">
        <v>1050</v>
      </c>
      <c r="L3727" s="18">
        <v>1</v>
      </c>
      <c r="N3727" s="13">
        <v>41701</v>
      </c>
      <c r="O3727" s="29">
        <v>0.24</v>
      </c>
      <c r="P3727" s="18" t="s">
        <v>1107</v>
      </c>
      <c r="Q3727" s="18">
        <v>0</v>
      </c>
      <c r="U3727" s="22">
        <v>0.57999999999999996</v>
      </c>
      <c r="V3727" s="22">
        <f>2.8/5</f>
        <v>0.55999999999999994</v>
      </c>
      <c r="W3727" s="14" t="s">
        <v>7777</v>
      </c>
      <c r="X3727" s="3">
        <v>3</v>
      </c>
      <c r="Z3727" s="23">
        <v>5</v>
      </c>
      <c r="AB3727" s="18">
        <f t="shared" si="116"/>
        <v>2013</v>
      </c>
      <c r="AC3727" s="22">
        <f t="shared" si="117"/>
        <v>0.57999999999999996</v>
      </c>
    </row>
    <row r="3728" spans="1:29">
      <c r="A3728" s="8" t="s">
        <v>4400</v>
      </c>
      <c r="B3728" s="17" t="s">
        <v>7800</v>
      </c>
      <c r="C3728" s="13">
        <v>41390</v>
      </c>
      <c r="D3728" s="13" t="s">
        <v>8465</v>
      </c>
      <c r="E3728" s="10" t="s">
        <v>3493</v>
      </c>
      <c r="F3728" s="10" t="s">
        <v>4401</v>
      </c>
      <c r="G3728" s="11" t="s">
        <v>4402</v>
      </c>
      <c r="H3728" s="2" t="s">
        <v>171</v>
      </c>
      <c r="L3728" s="18">
        <v>1</v>
      </c>
      <c r="N3728" s="13">
        <v>41715</v>
      </c>
      <c r="O3728" s="29">
        <v>3.55</v>
      </c>
      <c r="P3728" s="18" t="s">
        <v>1107</v>
      </c>
      <c r="Q3728" s="18">
        <v>0</v>
      </c>
      <c r="U3728" s="22">
        <v>0.6</v>
      </c>
      <c r="V3728" s="22">
        <f>3.09/5</f>
        <v>0.61799999999999999</v>
      </c>
      <c r="W3728" s="14" t="s">
        <v>7777</v>
      </c>
      <c r="X3728" s="3">
        <v>3</v>
      </c>
      <c r="Z3728" s="23">
        <v>9</v>
      </c>
      <c r="AB3728" s="18">
        <f t="shared" si="116"/>
        <v>2013</v>
      </c>
      <c r="AC3728" s="22">
        <f t="shared" si="117"/>
        <v>0.60599999999999998</v>
      </c>
    </row>
    <row r="3729" spans="1:29">
      <c r="A3729" s="8" t="s">
        <v>4723</v>
      </c>
      <c r="B3729" s="17" t="s">
        <v>7800</v>
      </c>
      <c r="C3729" s="13">
        <v>41390</v>
      </c>
      <c r="D3729" s="13" t="s">
        <v>8465</v>
      </c>
      <c r="E3729" s="10" t="s">
        <v>3246</v>
      </c>
      <c r="F3729" s="10" t="s">
        <v>3246</v>
      </c>
      <c r="G3729" s="11" t="s">
        <v>4724</v>
      </c>
      <c r="H3729" s="2" t="s">
        <v>3411</v>
      </c>
      <c r="L3729" s="18">
        <v>1</v>
      </c>
      <c r="N3729" s="13">
        <v>41609</v>
      </c>
      <c r="O3729" s="29">
        <v>0.99</v>
      </c>
      <c r="P3729" s="18" t="s">
        <v>1107</v>
      </c>
      <c r="Q3729" s="18">
        <v>0</v>
      </c>
      <c r="U3729" s="22">
        <v>0.76</v>
      </c>
      <c r="V3729" s="22">
        <f>3.52/5</f>
        <v>0.70399999999999996</v>
      </c>
      <c r="W3729" s="14" t="s">
        <v>7777</v>
      </c>
      <c r="X3729" s="3">
        <v>2</v>
      </c>
      <c r="Z3729" s="23">
        <v>5</v>
      </c>
      <c r="AB3729" s="18">
        <f t="shared" si="116"/>
        <v>2013</v>
      </c>
      <c r="AC3729" s="22">
        <f t="shared" si="117"/>
        <v>0.62133333333333329</v>
      </c>
    </row>
    <row r="3730" spans="1:29">
      <c r="A3730" s="8" t="s">
        <v>12655</v>
      </c>
      <c r="B3730" s="17" t="s">
        <v>7800</v>
      </c>
      <c r="C3730" s="13">
        <v>41389</v>
      </c>
      <c r="D3730" s="13" t="s">
        <v>8465</v>
      </c>
      <c r="E3730" s="10" t="s">
        <v>12656</v>
      </c>
      <c r="F3730" s="10" t="s">
        <v>12656</v>
      </c>
      <c r="H3730" s="2" t="s">
        <v>1061</v>
      </c>
      <c r="L3730" s="18">
        <v>1</v>
      </c>
      <c r="P3730" s="18" t="s">
        <v>1107</v>
      </c>
      <c r="Q3730" s="18">
        <v>0</v>
      </c>
      <c r="V3730" s="22">
        <f>3.54/5</f>
        <v>0.70799999999999996</v>
      </c>
      <c r="W3730" s="14" t="s">
        <v>7777</v>
      </c>
      <c r="X3730" s="3">
        <v>2</v>
      </c>
      <c r="Z3730" s="23">
        <v>7.5</v>
      </c>
      <c r="AB3730" s="18">
        <f t="shared" si="116"/>
        <v>2013</v>
      </c>
      <c r="AC3730" s="22">
        <f t="shared" si="117"/>
        <v>0.55400000000000005</v>
      </c>
    </row>
    <row r="3731" spans="1:29" ht="30">
      <c r="A3731" s="8" t="s">
        <v>3753</v>
      </c>
      <c r="B3731" s="17" t="s">
        <v>7800</v>
      </c>
      <c r="C3731" s="13">
        <v>41388</v>
      </c>
      <c r="D3731" s="13" t="s">
        <v>8465</v>
      </c>
      <c r="E3731" s="10" t="s">
        <v>3754</v>
      </c>
      <c r="F3731" s="10" t="s">
        <v>3754</v>
      </c>
      <c r="H3731" s="2" t="s">
        <v>2138</v>
      </c>
      <c r="L3731" s="18">
        <v>1</v>
      </c>
      <c r="N3731" s="13">
        <v>41991</v>
      </c>
      <c r="O3731" s="29">
        <v>1.49</v>
      </c>
      <c r="P3731" s="18" t="s">
        <v>1107</v>
      </c>
      <c r="Q3731" s="18">
        <v>0</v>
      </c>
      <c r="U3731" s="22">
        <v>0.82</v>
      </c>
      <c r="V3731" s="22">
        <f>3.96/5</f>
        <v>0.79200000000000004</v>
      </c>
      <c r="W3731" s="14" t="s">
        <v>7777</v>
      </c>
      <c r="X3731" s="3">
        <v>3</v>
      </c>
      <c r="Z3731" s="23">
        <v>2.5</v>
      </c>
      <c r="AB3731" s="18">
        <f t="shared" si="116"/>
        <v>2013</v>
      </c>
      <c r="AC3731" s="22">
        <f t="shared" si="117"/>
        <v>0.7373333333333334</v>
      </c>
    </row>
    <row r="3732" spans="1:29" ht="25.5">
      <c r="A3732" s="8" t="s">
        <v>4469</v>
      </c>
      <c r="B3732" s="17" t="s">
        <v>7800</v>
      </c>
      <c r="C3732" s="13">
        <v>41388</v>
      </c>
      <c r="D3732" s="13" t="s">
        <v>8465</v>
      </c>
      <c r="E3732" s="10" t="s">
        <v>4470</v>
      </c>
      <c r="F3732" s="10" t="s">
        <v>4470</v>
      </c>
      <c r="H3732" s="2" t="s">
        <v>245</v>
      </c>
      <c r="L3732" s="18">
        <v>1</v>
      </c>
      <c r="N3732" s="13">
        <v>41609</v>
      </c>
      <c r="O3732" s="29">
        <v>2.99</v>
      </c>
      <c r="P3732" s="18" t="s">
        <v>1107</v>
      </c>
      <c r="Q3732" s="18">
        <v>0</v>
      </c>
      <c r="U3732" s="22">
        <v>0.86</v>
      </c>
      <c r="V3732" s="22">
        <f>3.52/5</f>
        <v>0.70399999999999996</v>
      </c>
      <c r="W3732" s="14" t="s">
        <v>7777</v>
      </c>
      <c r="X3732" s="3">
        <v>3</v>
      </c>
      <c r="Z3732" s="23">
        <v>8</v>
      </c>
      <c r="AB3732" s="18">
        <f t="shared" si="116"/>
        <v>2013</v>
      </c>
      <c r="AC3732" s="22">
        <f t="shared" si="117"/>
        <v>0.72133333333333338</v>
      </c>
    </row>
    <row r="3733" spans="1:29">
      <c r="A3733" s="8" t="s">
        <v>9477</v>
      </c>
      <c r="B3733" s="17" t="s">
        <v>7800</v>
      </c>
      <c r="C3733" s="13">
        <v>41387</v>
      </c>
      <c r="D3733" s="13" t="s">
        <v>8465</v>
      </c>
      <c r="E3733" s="10" t="s">
        <v>3521</v>
      </c>
      <c r="F3733" s="10" t="s">
        <v>3521</v>
      </c>
      <c r="G3733" s="11" t="s">
        <v>9477</v>
      </c>
      <c r="H3733" s="2" t="s">
        <v>1699</v>
      </c>
      <c r="L3733" s="18">
        <v>1</v>
      </c>
      <c r="N3733" s="13">
        <v>44167</v>
      </c>
      <c r="O3733" s="29">
        <v>0</v>
      </c>
      <c r="P3733" s="18" t="s">
        <v>1107</v>
      </c>
      <c r="Q3733" s="18">
        <v>0</v>
      </c>
      <c r="U3733" s="22">
        <v>0.79</v>
      </c>
      <c r="V3733" s="22">
        <f>3.75/5</f>
        <v>0.75</v>
      </c>
      <c r="W3733" s="14" t="s">
        <v>7777</v>
      </c>
      <c r="X3733" s="3">
        <v>3</v>
      </c>
      <c r="Z3733" s="23">
        <v>34.5</v>
      </c>
      <c r="AB3733" s="18">
        <f t="shared" si="116"/>
        <v>2013</v>
      </c>
      <c r="AC3733" s="22">
        <f t="shared" si="117"/>
        <v>0.71333333333333337</v>
      </c>
    </row>
    <row r="3734" spans="1:29">
      <c r="A3734" s="8" t="s">
        <v>3586</v>
      </c>
      <c r="B3734" s="17" t="s">
        <v>7800</v>
      </c>
      <c r="C3734" s="13">
        <v>41387</v>
      </c>
      <c r="D3734" s="13" t="s">
        <v>8465</v>
      </c>
      <c r="E3734" s="10" t="s">
        <v>1163</v>
      </c>
      <c r="F3734" s="10" t="s">
        <v>3405</v>
      </c>
      <c r="G3734" s="11" t="s">
        <v>3585</v>
      </c>
      <c r="H3734" s="2" t="s">
        <v>171</v>
      </c>
      <c r="L3734" s="18">
        <v>1</v>
      </c>
      <c r="N3734" s="13">
        <v>41844</v>
      </c>
      <c r="O3734" s="29">
        <v>0.38</v>
      </c>
      <c r="P3734" s="18" t="s">
        <v>1107</v>
      </c>
      <c r="Q3734" s="18">
        <v>0</v>
      </c>
      <c r="U3734" s="22">
        <v>0.61</v>
      </c>
      <c r="V3734" s="22">
        <f>3.22/5</f>
        <v>0.64400000000000002</v>
      </c>
      <c r="W3734" s="14" t="s">
        <v>7777</v>
      </c>
      <c r="X3734" s="3">
        <v>3</v>
      </c>
      <c r="Z3734" s="23">
        <v>12</v>
      </c>
      <c r="AB3734" s="18">
        <f t="shared" si="116"/>
        <v>2013</v>
      </c>
      <c r="AC3734" s="22">
        <f t="shared" si="117"/>
        <v>0.61799999999999999</v>
      </c>
    </row>
    <row r="3735" spans="1:29" ht="30">
      <c r="A3735" s="8" t="s">
        <v>11533</v>
      </c>
      <c r="B3735" s="17" t="s">
        <v>7762</v>
      </c>
      <c r="C3735" s="13">
        <v>41387</v>
      </c>
      <c r="D3735" s="13" t="s">
        <v>8465</v>
      </c>
      <c r="E3735" s="10" t="s">
        <v>1062</v>
      </c>
      <c r="F3735" s="10" t="s">
        <v>6037</v>
      </c>
      <c r="G3735" s="11" t="s">
        <v>11534</v>
      </c>
      <c r="H3735" s="2" t="s">
        <v>171</v>
      </c>
      <c r="L3735" s="18">
        <v>0</v>
      </c>
      <c r="Q3735" s="18">
        <v>0</v>
      </c>
      <c r="U3735" s="22">
        <v>0.66</v>
      </c>
      <c r="V3735" s="22">
        <f>3.91/5</f>
        <v>0.78200000000000003</v>
      </c>
      <c r="X3735" s="3">
        <v>2</v>
      </c>
      <c r="Z3735" s="23">
        <v>10</v>
      </c>
      <c r="AB3735" s="18">
        <f t="shared" si="116"/>
        <v>2013</v>
      </c>
      <c r="AC3735" s="22">
        <f t="shared" si="117"/>
        <v>0.61399999999999999</v>
      </c>
    </row>
    <row r="3736" spans="1:29" ht="25.5">
      <c r="A3736" s="8" t="s">
        <v>11232</v>
      </c>
      <c r="B3736" s="17" t="s">
        <v>7749</v>
      </c>
      <c r="C3736" s="13">
        <v>41386</v>
      </c>
      <c r="D3736" s="13" t="s">
        <v>8465</v>
      </c>
      <c r="E3736" s="10" t="s">
        <v>1490</v>
      </c>
      <c r="F3736" s="10" t="s">
        <v>1490</v>
      </c>
      <c r="G3736" s="11" t="s">
        <v>11231</v>
      </c>
      <c r="H3736" s="2" t="s">
        <v>149</v>
      </c>
      <c r="L3736" s="18">
        <v>1</v>
      </c>
      <c r="N3736" s="13">
        <v>44624</v>
      </c>
      <c r="O3736" s="29">
        <v>11.99</v>
      </c>
      <c r="P3736" s="18" t="s">
        <v>1107</v>
      </c>
      <c r="Q3736" s="18">
        <v>0</v>
      </c>
      <c r="U3736" s="22">
        <v>0.76</v>
      </c>
      <c r="V3736" s="22">
        <f>4.13/5</f>
        <v>0.82599999999999996</v>
      </c>
      <c r="X3736" s="3">
        <v>3</v>
      </c>
      <c r="Z3736" s="23">
        <v>30.5</v>
      </c>
      <c r="AB3736" s="18">
        <f t="shared" si="116"/>
        <v>2013</v>
      </c>
      <c r="AC3736" s="22">
        <f t="shared" si="117"/>
        <v>0.72866666666666668</v>
      </c>
    </row>
    <row r="3737" spans="1:29" ht="25.5">
      <c r="A3737" s="8" t="s">
        <v>11216</v>
      </c>
      <c r="B3737" s="17" t="s">
        <v>7749</v>
      </c>
      <c r="C3737" s="13">
        <v>41385</v>
      </c>
      <c r="D3737" s="13" t="s">
        <v>8465</v>
      </c>
      <c r="E3737" s="10" t="s">
        <v>86</v>
      </c>
      <c r="F3737" s="10" t="s">
        <v>4304</v>
      </c>
      <c r="G3737" s="11" t="s">
        <v>4305</v>
      </c>
      <c r="H3737" s="2" t="s">
        <v>80</v>
      </c>
      <c r="L3737" s="18">
        <v>1</v>
      </c>
      <c r="M3737" s="14" t="s">
        <v>8462</v>
      </c>
      <c r="N3737" s="13">
        <v>44616</v>
      </c>
      <c r="O3737" s="29">
        <v>12.59</v>
      </c>
      <c r="P3737" s="18" t="s">
        <v>14</v>
      </c>
      <c r="Q3737" s="18">
        <v>0</v>
      </c>
      <c r="U3737" s="22">
        <v>0.62</v>
      </c>
      <c r="V3737" s="22">
        <f>3.77/5</f>
        <v>0.754</v>
      </c>
      <c r="X3737" s="3">
        <v>2</v>
      </c>
      <c r="Z3737" s="23">
        <v>7</v>
      </c>
      <c r="AB3737" s="18">
        <f t="shared" si="116"/>
        <v>2013</v>
      </c>
      <c r="AC3737" s="22">
        <f t="shared" si="117"/>
        <v>0.59133333333333338</v>
      </c>
    </row>
    <row r="3738" spans="1:29">
      <c r="A3738" s="8" t="s">
        <v>5216</v>
      </c>
      <c r="B3738" s="17" t="s">
        <v>7800</v>
      </c>
      <c r="C3738" s="13">
        <v>41383</v>
      </c>
      <c r="D3738" s="13" t="s">
        <v>8465</v>
      </c>
      <c r="E3738" s="10" t="s">
        <v>3615</v>
      </c>
      <c r="F3738" s="10" t="s">
        <v>3615</v>
      </c>
      <c r="H3738" s="2" t="s">
        <v>1334</v>
      </c>
      <c r="L3738" s="18">
        <v>1</v>
      </c>
      <c r="N3738" s="13">
        <v>41647</v>
      </c>
      <c r="P3738" s="18" t="s">
        <v>1107</v>
      </c>
      <c r="Q3738" s="18">
        <v>0</v>
      </c>
      <c r="U3738" s="22">
        <v>0.69</v>
      </c>
      <c r="V3738" s="22">
        <f>3.4/5</f>
        <v>0.67999999999999994</v>
      </c>
      <c r="W3738" s="14" t="s">
        <v>7777</v>
      </c>
      <c r="X3738" s="3">
        <v>2</v>
      </c>
      <c r="Z3738" s="23">
        <v>3</v>
      </c>
      <c r="AB3738" s="18">
        <f t="shared" si="116"/>
        <v>2013</v>
      </c>
      <c r="AC3738" s="22">
        <f t="shared" si="117"/>
        <v>0.59</v>
      </c>
    </row>
    <row r="3739" spans="1:29" ht="25.5">
      <c r="A3739" s="8" t="s">
        <v>3769</v>
      </c>
      <c r="B3739" s="17" t="s">
        <v>7800</v>
      </c>
      <c r="C3739" s="13">
        <v>41383</v>
      </c>
      <c r="D3739" s="13" t="s">
        <v>8465</v>
      </c>
      <c r="E3739" s="10" t="s">
        <v>3767</v>
      </c>
      <c r="F3739" s="10" t="s">
        <v>3767</v>
      </c>
      <c r="G3739" s="11" t="s">
        <v>3768</v>
      </c>
      <c r="H3739" s="2" t="s">
        <v>69</v>
      </c>
      <c r="L3739" s="18">
        <v>1</v>
      </c>
      <c r="N3739" s="13">
        <v>41507</v>
      </c>
      <c r="P3739" s="18" t="s">
        <v>1107</v>
      </c>
      <c r="Q3739" s="18">
        <v>0</v>
      </c>
      <c r="U3739" s="22">
        <v>0.66</v>
      </c>
      <c r="V3739" s="22">
        <f>3.34/5</f>
        <v>0.66799999999999993</v>
      </c>
      <c r="W3739" s="14" t="s">
        <v>7777</v>
      </c>
      <c r="X3739" s="3">
        <v>2</v>
      </c>
      <c r="Z3739" s="23">
        <v>85</v>
      </c>
      <c r="AB3739" s="18">
        <f t="shared" si="116"/>
        <v>2013</v>
      </c>
      <c r="AC3739" s="22">
        <f t="shared" si="117"/>
        <v>0.57599999999999996</v>
      </c>
    </row>
    <row r="3740" spans="1:29" ht="30">
      <c r="A3740" s="8" t="s">
        <v>8739</v>
      </c>
      <c r="B3740" s="17" t="s">
        <v>7762</v>
      </c>
      <c r="C3740" s="13">
        <v>41382</v>
      </c>
      <c r="D3740" s="13" t="s">
        <v>8463</v>
      </c>
      <c r="E3740" s="10" t="s">
        <v>455</v>
      </c>
      <c r="F3740" s="10" t="s">
        <v>6037</v>
      </c>
      <c r="G3740" s="11" t="s">
        <v>2448</v>
      </c>
      <c r="H3740" s="2" t="s">
        <v>149</v>
      </c>
      <c r="K3740" s="18">
        <v>2</v>
      </c>
      <c r="L3740" s="18">
        <v>0</v>
      </c>
      <c r="Q3740" s="18">
        <v>0</v>
      </c>
      <c r="V3740" s="22">
        <f>4.18/5</f>
        <v>0.83599999999999997</v>
      </c>
      <c r="X3740" s="3">
        <v>3</v>
      </c>
      <c r="Z3740" s="23">
        <v>30</v>
      </c>
      <c r="AB3740" s="18">
        <f t="shared" si="116"/>
        <v>2013</v>
      </c>
      <c r="AC3740" s="22">
        <f t="shared" si="117"/>
        <v>0.71799999999999997</v>
      </c>
    </row>
    <row r="3741" spans="1:29">
      <c r="A3741" s="8" t="s">
        <v>4659</v>
      </c>
      <c r="B3741" s="17" t="s">
        <v>7800</v>
      </c>
      <c r="C3741" s="13">
        <v>41382</v>
      </c>
      <c r="D3741" s="13" t="s">
        <v>8465</v>
      </c>
      <c r="E3741" s="10" t="s">
        <v>4660</v>
      </c>
      <c r="F3741" s="10" t="s">
        <v>4660</v>
      </c>
      <c r="H3741" s="2" t="s">
        <v>27</v>
      </c>
      <c r="L3741" s="18">
        <v>1</v>
      </c>
      <c r="N3741" s="13">
        <v>41487</v>
      </c>
      <c r="O3741" s="29">
        <v>3.74</v>
      </c>
      <c r="P3741" s="18" t="s">
        <v>1107</v>
      </c>
      <c r="Q3741" s="18">
        <v>0</v>
      </c>
      <c r="U3741" s="22">
        <v>0.74</v>
      </c>
      <c r="V3741" s="22">
        <f>3.38/5</f>
        <v>0.67599999999999993</v>
      </c>
      <c r="W3741" s="14" t="s">
        <v>7777</v>
      </c>
      <c r="X3741" s="3">
        <v>2</v>
      </c>
      <c r="Z3741" s="23">
        <v>3.5</v>
      </c>
      <c r="AB3741" s="18">
        <f t="shared" si="116"/>
        <v>2013</v>
      </c>
      <c r="AC3741" s="22">
        <f t="shared" si="117"/>
        <v>0.60533333333333328</v>
      </c>
    </row>
    <row r="3742" spans="1:29">
      <c r="A3742" s="8" t="s">
        <v>4897</v>
      </c>
      <c r="B3742" s="17" t="s">
        <v>7800</v>
      </c>
      <c r="C3742" s="13">
        <v>41381</v>
      </c>
      <c r="D3742" s="13" t="s">
        <v>8465</v>
      </c>
      <c r="E3742" s="10" t="s">
        <v>1163</v>
      </c>
      <c r="F3742" s="10" t="s">
        <v>4898</v>
      </c>
      <c r="G3742" s="11" t="s">
        <v>4894</v>
      </c>
      <c r="H3742" s="2" t="s">
        <v>153</v>
      </c>
      <c r="L3742" s="18">
        <v>1</v>
      </c>
      <c r="N3742" s="13">
        <v>41493</v>
      </c>
      <c r="P3742" s="18" t="s">
        <v>1107</v>
      </c>
      <c r="Q3742" s="18">
        <v>0</v>
      </c>
      <c r="U3742" s="22">
        <v>0.63</v>
      </c>
      <c r="V3742" s="22">
        <f>2.59/5</f>
        <v>0.51800000000000002</v>
      </c>
      <c r="W3742" s="14" t="s">
        <v>7777</v>
      </c>
      <c r="X3742" s="3">
        <v>2</v>
      </c>
      <c r="Z3742" s="23">
        <v>5</v>
      </c>
      <c r="AB3742" s="18">
        <f t="shared" si="116"/>
        <v>2013</v>
      </c>
      <c r="AC3742" s="22">
        <f t="shared" si="117"/>
        <v>0.51600000000000001</v>
      </c>
    </row>
    <row r="3743" spans="1:29" ht="38.25">
      <c r="A3743" s="8" t="s">
        <v>2443</v>
      </c>
      <c r="B3743" s="17" t="s">
        <v>7749</v>
      </c>
      <c r="C3743" s="13">
        <v>41380</v>
      </c>
      <c r="D3743" s="13" t="s">
        <v>8465</v>
      </c>
      <c r="E3743" s="10" t="s">
        <v>2461</v>
      </c>
      <c r="F3743" s="10" t="s">
        <v>228</v>
      </c>
      <c r="G3743" s="11" t="s">
        <v>1171</v>
      </c>
      <c r="H3743" s="2" t="s">
        <v>149</v>
      </c>
      <c r="L3743" s="18">
        <v>1</v>
      </c>
      <c r="N3743" s="13">
        <v>41821</v>
      </c>
      <c r="O3743" s="29">
        <v>14.99</v>
      </c>
      <c r="P3743" s="18" t="s">
        <v>1107</v>
      </c>
      <c r="Q3743" s="18">
        <v>0</v>
      </c>
      <c r="U3743" s="22">
        <v>0.76</v>
      </c>
      <c r="V3743" s="22">
        <f>4.01/5</f>
        <v>0.80199999999999994</v>
      </c>
      <c r="X3743" s="3">
        <v>4</v>
      </c>
      <c r="Z3743" s="23">
        <v>29.5</v>
      </c>
      <c r="AB3743" s="18">
        <f t="shared" si="116"/>
        <v>2013</v>
      </c>
      <c r="AC3743" s="22">
        <f t="shared" si="117"/>
        <v>0.78733333333333333</v>
      </c>
    </row>
    <row r="3744" spans="1:29">
      <c r="A3744" s="8" t="s">
        <v>1016</v>
      </c>
      <c r="B3744" s="17" t="s">
        <v>7741</v>
      </c>
      <c r="C3744" s="13">
        <v>41380</v>
      </c>
      <c r="D3744" s="13" t="s">
        <v>8465</v>
      </c>
      <c r="E3744" s="10" t="s">
        <v>1534</v>
      </c>
      <c r="F3744" s="10" t="s">
        <v>1546</v>
      </c>
      <c r="H3744" s="2" t="s">
        <v>171</v>
      </c>
      <c r="L3744" s="18">
        <v>0</v>
      </c>
      <c r="Q3744" s="18">
        <v>0</v>
      </c>
      <c r="U3744" s="22">
        <v>0.72</v>
      </c>
      <c r="V3744" s="22">
        <f>3.99/5</f>
        <v>0.79800000000000004</v>
      </c>
      <c r="X3744" s="3">
        <v>4</v>
      </c>
      <c r="Z3744" s="23">
        <v>19</v>
      </c>
      <c r="AB3744" s="18">
        <f t="shared" si="116"/>
        <v>2013</v>
      </c>
      <c r="AC3744" s="22">
        <f t="shared" si="117"/>
        <v>0.77266666666666672</v>
      </c>
    </row>
    <row r="3745" spans="1:29">
      <c r="A3745" s="8" t="s">
        <v>5131</v>
      </c>
      <c r="B3745" s="17" t="s">
        <v>7800</v>
      </c>
      <c r="C3745" s="13">
        <v>41380</v>
      </c>
      <c r="D3745" s="13" t="s">
        <v>8465</v>
      </c>
      <c r="E3745" s="10" t="s">
        <v>5132</v>
      </c>
      <c r="F3745" s="10" t="s">
        <v>5132</v>
      </c>
      <c r="H3745" s="2" t="s">
        <v>78</v>
      </c>
      <c r="L3745" s="18">
        <v>1</v>
      </c>
      <c r="N3745" s="13">
        <v>41695</v>
      </c>
      <c r="P3745" s="18" t="s">
        <v>1107</v>
      </c>
      <c r="Q3745" s="18">
        <v>0</v>
      </c>
      <c r="U3745" s="22">
        <v>0.8</v>
      </c>
      <c r="V3745" s="22">
        <f>2.26/5</f>
        <v>0.45199999999999996</v>
      </c>
      <c r="W3745" s="14" t="s">
        <v>7777</v>
      </c>
      <c r="X3745" s="3">
        <v>2</v>
      </c>
      <c r="Z3745" s="23">
        <v>18</v>
      </c>
      <c r="AB3745" s="18">
        <f t="shared" si="116"/>
        <v>2013</v>
      </c>
      <c r="AC3745" s="22">
        <f t="shared" si="117"/>
        <v>0.55066666666666675</v>
      </c>
    </row>
    <row r="3746" spans="1:29">
      <c r="A3746" s="8" t="s">
        <v>12652</v>
      </c>
      <c r="B3746" s="17" t="s">
        <v>7800</v>
      </c>
      <c r="C3746" s="13">
        <v>41376</v>
      </c>
      <c r="D3746" s="13" t="s">
        <v>8465</v>
      </c>
      <c r="E3746" s="10" t="s">
        <v>3553</v>
      </c>
      <c r="F3746" s="10" t="s">
        <v>12653</v>
      </c>
      <c r="H3746" s="2" t="s">
        <v>1061</v>
      </c>
      <c r="L3746" s="18">
        <v>1</v>
      </c>
      <c r="P3746" s="18" t="s">
        <v>1107</v>
      </c>
      <c r="Q3746" s="18">
        <v>0</v>
      </c>
      <c r="U3746" s="22">
        <v>0.75</v>
      </c>
      <c r="V3746" s="22">
        <f>3.15/5</f>
        <v>0.63</v>
      </c>
      <c r="W3746" s="14" t="s">
        <v>7777</v>
      </c>
      <c r="X3746" s="3">
        <v>2</v>
      </c>
      <c r="Z3746" s="23">
        <v>4</v>
      </c>
      <c r="AB3746" s="18">
        <f t="shared" si="116"/>
        <v>2013</v>
      </c>
      <c r="AC3746" s="22">
        <f t="shared" si="117"/>
        <v>0.59333333333333327</v>
      </c>
    </row>
    <row r="3747" spans="1:29" ht="38.25">
      <c r="A3747" s="8" t="s">
        <v>10291</v>
      </c>
      <c r="B3747" s="17" t="s">
        <v>7749</v>
      </c>
      <c r="C3747" s="13">
        <v>41375</v>
      </c>
      <c r="D3747" s="13" t="s">
        <v>8465</v>
      </c>
      <c r="E3747" s="10" t="s">
        <v>86</v>
      </c>
      <c r="F3747" s="10" t="s">
        <v>2304</v>
      </c>
      <c r="G3747" s="11" t="s">
        <v>2429</v>
      </c>
      <c r="H3747" s="2" t="s">
        <v>1169</v>
      </c>
      <c r="L3747" s="18">
        <v>1</v>
      </c>
      <c r="N3747" s="13">
        <v>44615</v>
      </c>
      <c r="O3747" s="29">
        <v>10.99</v>
      </c>
      <c r="P3747" s="18" t="s">
        <v>1107</v>
      </c>
      <c r="Q3747" s="18">
        <v>0</v>
      </c>
      <c r="U3747" s="22">
        <v>0.68</v>
      </c>
      <c r="V3747" s="22">
        <f>3.82/5</f>
        <v>0.76400000000000001</v>
      </c>
      <c r="X3747" s="3">
        <v>3</v>
      </c>
      <c r="Z3747" s="23">
        <v>21.5</v>
      </c>
      <c r="AB3747" s="18">
        <f t="shared" si="116"/>
        <v>2013</v>
      </c>
      <c r="AC3747" s="22">
        <f t="shared" si="117"/>
        <v>0.68133333333333335</v>
      </c>
    </row>
    <row r="3748" spans="1:29" ht="25.5">
      <c r="A3748" s="8" t="s">
        <v>3115</v>
      </c>
      <c r="B3748" s="17" t="s">
        <v>7800</v>
      </c>
      <c r="C3748" s="13">
        <v>41373</v>
      </c>
      <c r="D3748" s="13" t="s">
        <v>8465</v>
      </c>
      <c r="E3748" s="10" t="s">
        <v>3116</v>
      </c>
      <c r="F3748" s="10" t="s">
        <v>3117</v>
      </c>
      <c r="G3748" s="11" t="s">
        <v>3118</v>
      </c>
      <c r="H3748" s="2" t="s">
        <v>1143</v>
      </c>
      <c r="L3748" s="18">
        <v>1</v>
      </c>
      <c r="N3748" s="13">
        <v>41629</v>
      </c>
      <c r="O3748" s="29">
        <v>2.25</v>
      </c>
      <c r="P3748" s="18" t="s">
        <v>1107</v>
      </c>
      <c r="Q3748" s="18">
        <v>0</v>
      </c>
      <c r="U3748" s="22">
        <v>0.71</v>
      </c>
      <c r="V3748" s="22">
        <f>4.1/5</f>
        <v>0.82</v>
      </c>
      <c r="W3748" s="14" t="s">
        <v>7777</v>
      </c>
      <c r="X3748" s="3">
        <v>3</v>
      </c>
      <c r="Z3748" s="23">
        <v>27</v>
      </c>
      <c r="AB3748" s="18">
        <f t="shared" si="116"/>
        <v>2013</v>
      </c>
      <c r="AC3748" s="22">
        <f t="shared" si="117"/>
        <v>0.71</v>
      </c>
    </row>
    <row r="3749" spans="1:29" ht="30">
      <c r="A3749" s="8" t="s">
        <v>6278</v>
      </c>
      <c r="B3749" s="17" t="s">
        <v>7763</v>
      </c>
      <c r="C3749" s="13">
        <v>41373</v>
      </c>
      <c r="D3749" s="13" t="s">
        <v>8465</v>
      </c>
      <c r="E3749" s="10" t="s">
        <v>4045</v>
      </c>
      <c r="F3749" s="10" t="s">
        <v>4045</v>
      </c>
      <c r="G3749" s="11" t="s">
        <v>4046</v>
      </c>
      <c r="H3749" s="2" t="s">
        <v>151</v>
      </c>
      <c r="L3749" s="18">
        <v>1</v>
      </c>
      <c r="M3749" s="14" t="s">
        <v>8462</v>
      </c>
      <c r="N3749" s="13">
        <v>43642</v>
      </c>
      <c r="O3749" s="29">
        <v>35.06</v>
      </c>
      <c r="P3749" s="18" t="s">
        <v>14</v>
      </c>
      <c r="Q3749" s="18">
        <v>0</v>
      </c>
      <c r="U3749" s="22">
        <v>0.87</v>
      </c>
      <c r="V3749" s="22">
        <f>4.04/5</f>
        <v>0.80800000000000005</v>
      </c>
      <c r="W3749" s="14" t="s">
        <v>1134</v>
      </c>
      <c r="X3749" s="3">
        <v>2</v>
      </c>
      <c r="Z3749" s="23">
        <v>6</v>
      </c>
      <c r="AB3749" s="18">
        <f t="shared" si="116"/>
        <v>2013</v>
      </c>
      <c r="AC3749" s="22">
        <f t="shared" si="117"/>
        <v>0.69266666666666665</v>
      </c>
    </row>
    <row r="3750" spans="1:29" ht="25.5">
      <c r="A3750" s="8" t="s">
        <v>4915</v>
      </c>
      <c r="B3750" s="17" t="s">
        <v>7800</v>
      </c>
      <c r="C3750" s="13">
        <v>41369</v>
      </c>
      <c r="D3750" s="13" t="s">
        <v>8465</v>
      </c>
      <c r="E3750" s="10" t="s">
        <v>4916</v>
      </c>
      <c r="F3750" s="10" t="s">
        <v>4916</v>
      </c>
      <c r="H3750" s="2" t="s">
        <v>1169</v>
      </c>
      <c r="L3750" s="18">
        <v>1</v>
      </c>
      <c r="N3750" s="13">
        <v>41726</v>
      </c>
      <c r="P3750" s="18" t="s">
        <v>1107</v>
      </c>
      <c r="Q3750" s="18">
        <v>0</v>
      </c>
      <c r="U3750" s="22">
        <v>0.82</v>
      </c>
      <c r="V3750" s="22">
        <f>3.02/5</f>
        <v>0.60399999999999998</v>
      </c>
      <c r="W3750" s="14" t="s">
        <v>7777</v>
      </c>
      <c r="X3750" s="3">
        <v>2</v>
      </c>
      <c r="Z3750" s="23">
        <v>9</v>
      </c>
      <c r="AB3750" s="18">
        <f t="shared" si="116"/>
        <v>2013</v>
      </c>
      <c r="AC3750" s="22">
        <f t="shared" si="117"/>
        <v>0.60799999999999998</v>
      </c>
    </row>
    <row r="3751" spans="1:29" ht="25.5">
      <c r="A3751" s="8" t="s">
        <v>13952</v>
      </c>
      <c r="B3751" s="17" t="s">
        <v>7765</v>
      </c>
      <c r="C3751" s="13">
        <v>41369</v>
      </c>
      <c r="D3751" s="13" t="s">
        <v>8465</v>
      </c>
      <c r="E3751" s="10" t="s">
        <v>13953</v>
      </c>
      <c r="F3751" s="10" t="s">
        <v>13954</v>
      </c>
      <c r="G3751" s="11" t="s">
        <v>111</v>
      </c>
      <c r="H3751" s="2" t="s">
        <v>153</v>
      </c>
      <c r="L3751" s="18">
        <v>1</v>
      </c>
      <c r="N3751" s="13">
        <v>45049</v>
      </c>
      <c r="O3751" s="29">
        <v>9.99</v>
      </c>
      <c r="P3751" s="18" t="s">
        <v>1107</v>
      </c>
      <c r="Q3751" s="18">
        <v>0</v>
      </c>
      <c r="U3751" s="22">
        <v>0.17</v>
      </c>
      <c r="V3751" s="22">
        <f>1.53/5</f>
        <v>0.30599999999999999</v>
      </c>
      <c r="X3751" s="3">
        <v>2</v>
      </c>
      <c r="AB3751" s="18">
        <f t="shared" si="116"/>
        <v>2013</v>
      </c>
      <c r="AC3751" s="22">
        <f t="shared" si="117"/>
        <v>0.29199999999999998</v>
      </c>
    </row>
    <row r="3752" spans="1:29">
      <c r="A3752" s="8" t="s">
        <v>3836</v>
      </c>
      <c r="B3752" s="17" t="s">
        <v>7800</v>
      </c>
      <c r="C3752" s="13">
        <v>41368</v>
      </c>
      <c r="D3752" s="13" t="s">
        <v>8465</v>
      </c>
      <c r="E3752" s="10" t="s">
        <v>3837</v>
      </c>
      <c r="F3752" s="10" t="s">
        <v>3837</v>
      </c>
      <c r="G3752" s="11" t="s">
        <v>3836</v>
      </c>
      <c r="H3752" s="2" t="s">
        <v>80</v>
      </c>
      <c r="L3752" s="18">
        <v>1</v>
      </c>
      <c r="N3752" s="13">
        <v>42037</v>
      </c>
      <c r="P3752" s="18" t="s">
        <v>1107</v>
      </c>
      <c r="Q3752" s="18">
        <v>0</v>
      </c>
      <c r="U3752" s="22">
        <v>0.65</v>
      </c>
      <c r="V3752" s="22">
        <f>3.36/5</f>
        <v>0.67199999999999993</v>
      </c>
      <c r="W3752" s="14" t="s">
        <v>7777</v>
      </c>
      <c r="X3752" s="3">
        <v>3</v>
      </c>
      <c r="Z3752" s="23">
        <v>3</v>
      </c>
      <c r="AB3752" s="18">
        <f t="shared" si="116"/>
        <v>2013</v>
      </c>
      <c r="AC3752" s="22">
        <f t="shared" si="117"/>
        <v>0.64066666666666672</v>
      </c>
    </row>
    <row r="3753" spans="1:29" ht="38.25">
      <c r="A3753" s="8" t="s">
        <v>3761</v>
      </c>
      <c r="B3753" s="17" t="s">
        <v>7800</v>
      </c>
      <c r="C3753" s="13">
        <v>41368</v>
      </c>
      <c r="D3753" s="13" t="s">
        <v>8465</v>
      </c>
      <c r="E3753" s="10" t="s">
        <v>3762</v>
      </c>
      <c r="F3753" s="10" t="s">
        <v>3762</v>
      </c>
      <c r="G3753" s="11" t="s">
        <v>3763</v>
      </c>
      <c r="H3753" s="2" t="s">
        <v>1057</v>
      </c>
      <c r="L3753" s="18">
        <v>1</v>
      </c>
      <c r="N3753" s="13">
        <v>41545</v>
      </c>
      <c r="P3753" s="18" t="s">
        <v>1107</v>
      </c>
      <c r="Q3753" s="18">
        <v>0</v>
      </c>
      <c r="U3753" s="22">
        <v>0.8</v>
      </c>
      <c r="V3753" s="22">
        <f>3.78/5</f>
        <v>0.75600000000000001</v>
      </c>
      <c r="W3753" s="14" t="s">
        <v>7777</v>
      </c>
      <c r="X3753" s="3">
        <v>2</v>
      </c>
      <c r="Z3753" s="23">
        <v>2</v>
      </c>
      <c r="AB3753" s="18">
        <f t="shared" si="116"/>
        <v>2013</v>
      </c>
      <c r="AC3753" s="22">
        <f t="shared" si="117"/>
        <v>0.65200000000000002</v>
      </c>
    </row>
    <row r="3754" spans="1:29">
      <c r="A3754" s="8" t="s">
        <v>4488</v>
      </c>
      <c r="B3754" s="17" t="s">
        <v>7800</v>
      </c>
      <c r="C3754" s="13">
        <v>41367</v>
      </c>
      <c r="D3754" s="13" t="s">
        <v>8465</v>
      </c>
      <c r="E3754" s="10" t="s">
        <v>3116</v>
      </c>
      <c r="F3754" s="10" t="s">
        <v>4339</v>
      </c>
      <c r="G3754" s="11" t="s">
        <v>4489</v>
      </c>
      <c r="H3754" s="2" t="s">
        <v>56</v>
      </c>
      <c r="L3754" s="18">
        <v>1</v>
      </c>
      <c r="N3754" s="13">
        <v>41907</v>
      </c>
      <c r="P3754" s="18" t="s">
        <v>1107</v>
      </c>
      <c r="Q3754" s="18">
        <v>0</v>
      </c>
      <c r="V3754" s="22">
        <f>3.78/5</f>
        <v>0.75600000000000001</v>
      </c>
      <c r="W3754" s="14" t="s">
        <v>7777</v>
      </c>
      <c r="X3754" s="3">
        <v>3</v>
      </c>
      <c r="Z3754" s="23">
        <v>8.5</v>
      </c>
      <c r="AB3754" s="18">
        <f t="shared" si="116"/>
        <v>2013</v>
      </c>
      <c r="AC3754" s="22">
        <f t="shared" si="117"/>
        <v>0.67799999999999994</v>
      </c>
    </row>
    <row r="3755" spans="1:29">
      <c r="A3755" s="8" t="s">
        <v>13780</v>
      </c>
      <c r="B3755" s="17" t="s">
        <v>8754</v>
      </c>
      <c r="C3755" s="13">
        <v>41367</v>
      </c>
      <c r="D3755" s="13" t="s">
        <v>8463</v>
      </c>
      <c r="E3755" s="10" t="s">
        <v>86</v>
      </c>
      <c r="F3755" s="10" t="s">
        <v>13781</v>
      </c>
      <c r="H3755" s="2" t="s">
        <v>1377</v>
      </c>
      <c r="K3755" s="18">
        <v>0</v>
      </c>
      <c r="L3755" s="18">
        <v>0</v>
      </c>
      <c r="Q3755" s="18">
        <v>0</v>
      </c>
      <c r="X3755" s="3">
        <v>3</v>
      </c>
      <c r="AB3755" s="18">
        <f t="shared" si="116"/>
        <v>2013</v>
      </c>
      <c r="AC3755" s="22">
        <f t="shared" si="117"/>
        <v>0.6</v>
      </c>
    </row>
    <row r="3756" spans="1:29">
      <c r="A3756" s="8" t="s">
        <v>10256</v>
      </c>
      <c r="B3756" s="17" t="s">
        <v>7749</v>
      </c>
      <c r="C3756" s="13">
        <v>41361</v>
      </c>
      <c r="D3756" s="13" t="s">
        <v>8465</v>
      </c>
      <c r="E3756" s="10" t="s">
        <v>86</v>
      </c>
      <c r="F3756" s="10" t="s">
        <v>1354</v>
      </c>
      <c r="H3756" s="2" t="s">
        <v>1220</v>
      </c>
      <c r="L3756" s="18">
        <v>1</v>
      </c>
      <c r="N3756" s="13">
        <v>44609</v>
      </c>
      <c r="O3756" s="29">
        <v>14.99</v>
      </c>
      <c r="P3756" s="18" t="s">
        <v>1107</v>
      </c>
      <c r="Q3756" s="18">
        <v>0</v>
      </c>
      <c r="U3756" s="22">
        <v>0.73</v>
      </c>
      <c r="V3756" s="22">
        <f>3.7/5</f>
        <v>0.74</v>
      </c>
      <c r="X3756" s="3">
        <v>3</v>
      </c>
      <c r="Z3756" s="23">
        <v>4.5</v>
      </c>
      <c r="AB3756" s="18">
        <f t="shared" si="116"/>
        <v>2013</v>
      </c>
      <c r="AC3756" s="22">
        <f t="shared" si="117"/>
        <v>0.69</v>
      </c>
    </row>
    <row r="3757" spans="1:29">
      <c r="A3757" s="8" t="s">
        <v>3314</v>
      </c>
      <c r="B3757" s="17" t="s">
        <v>7765</v>
      </c>
      <c r="C3757" s="13">
        <v>41359</v>
      </c>
      <c r="D3757" s="13" t="s">
        <v>8465</v>
      </c>
      <c r="E3757" s="10" t="s">
        <v>3310</v>
      </c>
      <c r="F3757" s="10" t="s">
        <v>3315</v>
      </c>
      <c r="G3757" s="11" t="s">
        <v>3309</v>
      </c>
      <c r="H3757" s="2" t="s">
        <v>1050</v>
      </c>
      <c r="L3757" s="18">
        <v>1</v>
      </c>
      <c r="M3757" s="14" t="s">
        <v>8462</v>
      </c>
      <c r="N3757" s="13">
        <v>44029</v>
      </c>
      <c r="O3757" s="29">
        <v>0</v>
      </c>
      <c r="P3757" s="18" t="s">
        <v>14</v>
      </c>
      <c r="Q3757" s="18">
        <v>0</v>
      </c>
      <c r="U3757" s="22">
        <v>0.93</v>
      </c>
      <c r="V3757" s="22">
        <f>4.21/5</f>
        <v>0.84199999999999997</v>
      </c>
      <c r="X3757" s="3">
        <v>1</v>
      </c>
      <c r="Z3757" s="23">
        <v>11.5</v>
      </c>
      <c r="AB3757" s="18">
        <f t="shared" si="116"/>
        <v>2013</v>
      </c>
      <c r="AC3757" s="22">
        <f t="shared" si="117"/>
        <v>0.65733333333333333</v>
      </c>
    </row>
    <row r="3758" spans="1:29" ht="38.25">
      <c r="A3758" s="8" t="s">
        <v>2392</v>
      </c>
      <c r="B3758" s="17" t="s">
        <v>7749</v>
      </c>
      <c r="C3758" s="13">
        <v>41357</v>
      </c>
      <c r="D3758" s="13" t="s">
        <v>8465</v>
      </c>
      <c r="E3758" s="10" t="s">
        <v>86</v>
      </c>
      <c r="F3758" s="10" t="s">
        <v>2452</v>
      </c>
      <c r="G3758" s="11" t="s">
        <v>1984</v>
      </c>
      <c r="H3758" s="2" t="s">
        <v>1377</v>
      </c>
      <c r="L3758" s="18">
        <v>1</v>
      </c>
      <c r="M3758" s="14" t="s">
        <v>8462</v>
      </c>
      <c r="N3758" s="13">
        <v>43634</v>
      </c>
      <c r="O3758" s="29">
        <v>16.989999999999998</v>
      </c>
      <c r="P3758" s="18" t="s">
        <v>14</v>
      </c>
      <c r="Q3758" s="18">
        <v>0</v>
      </c>
      <c r="U3758" s="22">
        <v>0.62</v>
      </c>
      <c r="V3758" s="22">
        <f>3.58/5</f>
        <v>0.71599999999999997</v>
      </c>
      <c r="X3758" s="3">
        <v>3</v>
      </c>
      <c r="Z3758" s="23">
        <v>23</v>
      </c>
      <c r="AB3758" s="18">
        <f t="shared" si="116"/>
        <v>2013</v>
      </c>
      <c r="AC3758" s="22">
        <f t="shared" si="117"/>
        <v>0.64533333333333331</v>
      </c>
    </row>
    <row r="3759" spans="1:29">
      <c r="A3759" s="8" t="s">
        <v>4821</v>
      </c>
      <c r="B3759" s="17" t="s">
        <v>7800</v>
      </c>
      <c r="C3759" s="13">
        <v>41353</v>
      </c>
      <c r="D3759" s="13" t="s">
        <v>8465</v>
      </c>
      <c r="E3759" s="10" t="s">
        <v>4822</v>
      </c>
      <c r="F3759" s="10" t="s">
        <v>4822</v>
      </c>
      <c r="H3759" s="2" t="s">
        <v>21</v>
      </c>
      <c r="L3759" s="18">
        <v>1</v>
      </c>
      <c r="N3759" s="13">
        <v>41770</v>
      </c>
      <c r="O3759" s="29">
        <v>0.99</v>
      </c>
      <c r="P3759" s="18" t="s">
        <v>1107</v>
      </c>
      <c r="Q3759" s="18">
        <v>0</v>
      </c>
      <c r="U3759" s="22">
        <v>0.8</v>
      </c>
      <c r="V3759" s="22">
        <f>3.54/5</f>
        <v>0.70799999999999996</v>
      </c>
      <c r="W3759" s="14" t="s">
        <v>7777</v>
      </c>
      <c r="X3759" s="3">
        <v>3</v>
      </c>
      <c r="Z3759" s="23">
        <v>1</v>
      </c>
      <c r="AB3759" s="18">
        <f t="shared" si="116"/>
        <v>2013</v>
      </c>
      <c r="AC3759" s="22">
        <f t="shared" si="117"/>
        <v>0.70266666666666666</v>
      </c>
    </row>
    <row r="3760" spans="1:29" ht="25.5">
      <c r="A3760" s="8" t="s">
        <v>3724</v>
      </c>
      <c r="B3760" s="17" t="s">
        <v>7800</v>
      </c>
      <c r="C3760" s="13">
        <v>41353</v>
      </c>
      <c r="D3760" s="13" t="s">
        <v>8465</v>
      </c>
      <c r="E3760" s="10" t="s">
        <v>3063</v>
      </c>
      <c r="F3760" s="10" t="s">
        <v>3725</v>
      </c>
      <c r="G3760" s="11" t="s">
        <v>3723</v>
      </c>
      <c r="H3760" s="2" t="s">
        <v>1050</v>
      </c>
      <c r="L3760" s="18">
        <v>1</v>
      </c>
      <c r="N3760" s="13">
        <v>41529</v>
      </c>
      <c r="P3760" s="18" t="s">
        <v>1107</v>
      </c>
      <c r="Q3760" s="18">
        <v>0</v>
      </c>
      <c r="V3760" s="22">
        <f>4.2/5</f>
        <v>0.84000000000000008</v>
      </c>
      <c r="W3760" s="14" t="s">
        <v>7777</v>
      </c>
      <c r="X3760" s="3">
        <v>3</v>
      </c>
      <c r="Z3760" s="23">
        <v>11</v>
      </c>
      <c r="AB3760" s="18">
        <f t="shared" si="116"/>
        <v>2013</v>
      </c>
      <c r="AC3760" s="22">
        <f t="shared" si="117"/>
        <v>0.72</v>
      </c>
    </row>
    <row r="3761" spans="1:29" ht="30">
      <c r="A3761" s="8" t="s">
        <v>1093</v>
      </c>
      <c r="B3761" s="17" t="s">
        <v>7743</v>
      </c>
      <c r="C3761" s="13">
        <v>41352</v>
      </c>
      <c r="D3761" s="13" t="s">
        <v>8465</v>
      </c>
      <c r="E3761" s="10" t="s">
        <v>73</v>
      </c>
      <c r="F3761" s="10" t="s">
        <v>1140</v>
      </c>
      <c r="G3761" s="11" t="s">
        <v>1141</v>
      </c>
      <c r="H3761" s="2" t="s">
        <v>80</v>
      </c>
      <c r="L3761" s="18">
        <v>1</v>
      </c>
      <c r="N3761" s="13">
        <v>42002</v>
      </c>
      <c r="O3761" s="29">
        <v>15.99</v>
      </c>
      <c r="P3761" s="18" t="s">
        <v>1107</v>
      </c>
      <c r="Q3761" s="18">
        <v>0</v>
      </c>
      <c r="U3761" s="22">
        <v>0.83</v>
      </c>
      <c r="V3761" s="22">
        <f>4.35/5</f>
        <v>0.86999999999999988</v>
      </c>
      <c r="X3761" s="3">
        <v>3</v>
      </c>
      <c r="Z3761" s="23">
        <v>75</v>
      </c>
      <c r="AB3761" s="18">
        <f t="shared" si="116"/>
        <v>2013</v>
      </c>
      <c r="AC3761" s="22">
        <f t="shared" si="117"/>
        <v>0.76666666666666661</v>
      </c>
    </row>
    <row r="3762" spans="1:29" ht="30">
      <c r="A3762" s="8" t="s">
        <v>4606</v>
      </c>
      <c r="B3762" s="17" t="s">
        <v>7800</v>
      </c>
      <c r="C3762" s="13">
        <v>41352</v>
      </c>
      <c r="D3762" s="13" t="s">
        <v>8465</v>
      </c>
      <c r="E3762" s="10" t="s">
        <v>4607</v>
      </c>
      <c r="F3762" s="10" t="s">
        <v>4607</v>
      </c>
      <c r="H3762" s="2" t="s">
        <v>1334</v>
      </c>
      <c r="L3762" s="18">
        <v>1</v>
      </c>
      <c r="N3762" s="13">
        <v>41443</v>
      </c>
      <c r="P3762" s="18" t="s">
        <v>1107</v>
      </c>
      <c r="Q3762" s="18">
        <v>0</v>
      </c>
      <c r="U3762" s="22">
        <v>0.74</v>
      </c>
      <c r="V3762" s="22">
        <f>3.43/5</f>
        <v>0.68600000000000005</v>
      </c>
      <c r="W3762" s="14" t="s">
        <v>7777</v>
      </c>
      <c r="X3762" s="3">
        <v>3</v>
      </c>
      <c r="Z3762" s="23">
        <v>2.5</v>
      </c>
      <c r="AB3762" s="18">
        <f t="shared" si="116"/>
        <v>2013</v>
      </c>
      <c r="AC3762" s="22">
        <f t="shared" si="117"/>
        <v>0.67533333333333345</v>
      </c>
    </row>
    <row r="3763" spans="1:29">
      <c r="A3763" s="8" t="s">
        <v>12962</v>
      </c>
      <c r="B3763" s="17" t="s">
        <v>7763</v>
      </c>
      <c r="C3763" s="13">
        <v>41352</v>
      </c>
      <c r="D3763" s="13" t="s">
        <v>8465</v>
      </c>
      <c r="E3763" s="10" t="s">
        <v>2335</v>
      </c>
      <c r="F3763" s="10" t="s">
        <v>1136</v>
      </c>
      <c r="G3763" s="11" t="s">
        <v>10281</v>
      </c>
      <c r="H3763" s="2" t="s">
        <v>459</v>
      </c>
      <c r="L3763" s="18">
        <v>1</v>
      </c>
      <c r="M3763" s="14" t="s">
        <v>8462</v>
      </c>
      <c r="N3763" s="13">
        <v>44878</v>
      </c>
      <c r="O3763" s="29">
        <v>318.19</v>
      </c>
      <c r="P3763" s="18" t="s">
        <v>14</v>
      </c>
      <c r="Q3763" s="18">
        <v>0</v>
      </c>
      <c r="U3763" s="22">
        <v>0.8</v>
      </c>
      <c r="V3763" s="22">
        <f>4.01/5</f>
        <v>0.80199999999999994</v>
      </c>
      <c r="X3763" s="3">
        <v>2</v>
      </c>
      <c r="Z3763" s="23">
        <v>5</v>
      </c>
      <c r="AB3763" s="18">
        <f t="shared" si="116"/>
        <v>2013</v>
      </c>
      <c r="AC3763" s="22">
        <f t="shared" si="117"/>
        <v>0.66733333333333322</v>
      </c>
    </row>
    <row r="3764" spans="1:29" ht="30">
      <c r="A3764" s="8" t="s">
        <v>9055</v>
      </c>
      <c r="B3764" s="17" t="s">
        <v>7762</v>
      </c>
      <c r="C3764" s="13">
        <v>41352</v>
      </c>
      <c r="D3764" s="13" t="s">
        <v>8465</v>
      </c>
      <c r="E3764" s="10" t="s">
        <v>66</v>
      </c>
      <c r="F3764" s="10" t="s">
        <v>8933</v>
      </c>
      <c r="G3764" s="11" t="s">
        <v>9054</v>
      </c>
      <c r="H3764" s="2" t="s">
        <v>61</v>
      </c>
      <c r="L3764" s="18">
        <v>0</v>
      </c>
      <c r="Q3764" s="18">
        <v>0</v>
      </c>
      <c r="V3764" s="22">
        <f>3.74/5</f>
        <v>0.748</v>
      </c>
      <c r="X3764" s="3">
        <v>2</v>
      </c>
      <c r="AB3764" s="18">
        <f t="shared" si="116"/>
        <v>2013</v>
      </c>
      <c r="AC3764" s="22">
        <f t="shared" si="117"/>
        <v>0.57400000000000007</v>
      </c>
    </row>
    <row r="3765" spans="1:29">
      <c r="A3765" s="8" t="s">
        <v>11215</v>
      </c>
      <c r="B3765" s="17" t="s">
        <v>7743</v>
      </c>
      <c r="C3765" s="13">
        <v>41351</v>
      </c>
      <c r="D3765" s="13" t="s">
        <v>8465</v>
      </c>
      <c r="E3765" s="10" t="s">
        <v>86</v>
      </c>
      <c r="F3765" s="10" t="s">
        <v>4304</v>
      </c>
      <c r="G3765" s="11" t="s">
        <v>4305</v>
      </c>
      <c r="H3765" s="2" t="s">
        <v>80</v>
      </c>
      <c r="L3765" s="18">
        <v>1</v>
      </c>
      <c r="N3765" s="13">
        <v>44616</v>
      </c>
      <c r="O3765" s="29">
        <v>13.49</v>
      </c>
      <c r="P3765" s="18" t="s">
        <v>14</v>
      </c>
      <c r="Q3765" s="18">
        <v>0</v>
      </c>
      <c r="U3765" s="22">
        <v>0.8</v>
      </c>
      <c r="V3765" s="22">
        <f>4.17/5</f>
        <v>0.83399999999999996</v>
      </c>
      <c r="X3765" s="3">
        <v>3</v>
      </c>
      <c r="Z3765" s="23">
        <v>15.5</v>
      </c>
      <c r="AB3765" s="18">
        <f t="shared" si="116"/>
        <v>2013</v>
      </c>
      <c r="AC3765" s="22">
        <f t="shared" si="117"/>
        <v>0.7446666666666667</v>
      </c>
    </row>
    <row r="3766" spans="1:29">
      <c r="A3766" s="8" t="s">
        <v>5481</v>
      </c>
      <c r="B3766" s="17" t="s">
        <v>7800</v>
      </c>
      <c r="C3766" s="13">
        <v>41351</v>
      </c>
      <c r="D3766" s="13" t="s">
        <v>8465</v>
      </c>
      <c r="E3766" s="10" t="s">
        <v>3719</v>
      </c>
      <c r="F3766" s="10" t="s">
        <v>3719</v>
      </c>
      <c r="H3766" s="2" t="s">
        <v>1054</v>
      </c>
      <c r="L3766" s="18">
        <v>1</v>
      </c>
      <c r="N3766" s="13">
        <v>41627</v>
      </c>
      <c r="P3766" s="18" t="s">
        <v>1107</v>
      </c>
      <c r="Q3766" s="18">
        <v>0</v>
      </c>
      <c r="V3766" s="22">
        <f>4.23/5</f>
        <v>0.84600000000000009</v>
      </c>
      <c r="W3766" s="14" t="s">
        <v>7777</v>
      </c>
      <c r="X3766" s="3">
        <v>2</v>
      </c>
      <c r="Z3766" s="23">
        <v>2.5</v>
      </c>
      <c r="AB3766" s="18">
        <f t="shared" si="116"/>
        <v>2013</v>
      </c>
      <c r="AC3766" s="22">
        <f t="shared" si="117"/>
        <v>0.623</v>
      </c>
    </row>
    <row r="3767" spans="1:29">
      <c r="A3767" s="8" t="s">
        <v>4475</v>
      </c>
      <c r="B3767" s="17" t="s">
        <v>7800</v>
      </c>
      <c r="C3767" s="13">
        <v>41351</v>
      </c>
      <c r="D3767" s="13" t="s">
        <v>8465</v>
      </c>
      <c r="E3767" s="10" t="s">
        <v>4476</v>
      </c>
      <c r="F3767" s="10" t="s">
        <v>4476</v>
      </c>
      <c r="H3767" s="2" t="s">
        <v>67</v>
      </c>
      <c r="L3767" s="18">
        <v>1</v>
      </c>
      <c r="N3767" s="13">
        <v>42779</v>
      </c>
      <c r="O3767" s="29">
        <v>0</v>
      </c>
      <c r="P3767" s="18" t="s">
        <v>1107</v>
      </c>
      <c r="Q3767" s="18">
        <v>0</v>
      </c>
      <c r="U3767" s="22">
        <v>0.64</v>
      </c>
      <c r="V3767" s="22">
        <f>3.68/5</f>
        <v>0.73599999999999999</v>
      </c>
      <c r="W3767" s="14" t="s">
        <v>7777</v>
      </c>
      <c r="X3767" s="3">
        <v>2</v>
      </c>
      <c r="Z3767" s="23">
        <v>0.83</v>
      </c>
      <c r="AB3767" s="18">
        <f t="shared" si="116"/>
        <v>2013</v>
      </c>
      <c r="AC3767" s="22">
        <f t="shared" si="117"/>
        <v>0.59199999999999997</v>
      </c>
    </row>
    <row r="3768" spans="1:29" ht="30">
      <c r="A3768" s="8" t="s">
        <v>10460</v>
      </c>
      <c r="B3768" s="17" t="s">
        <v>7762</v>
      </c>
      <c r="C3768" s="13">
        <v>41347</v>
      </c>
      <c r="D3768" s="13" t="s">
        <v>8463</v>
      </c>
      <c r="E3768" s="10" t="s">
        <v>72</v>
      </c>
      <c r="F3768" s="10" t="s">
        <v>9835</v>
      </c>
      <c r="G3768" s="11" t="s">
        <v>10459</v>
      </c>
      <c r="H3768" s="2" t="s">
        <v>149</v>
      </c>
      <c r="K3768" s="18">
        <v>1</v>
      </c>
      <c r="L3768" s="18">
        <v>0</v>
      </c>
      <c r="Q3768" s="18">
        <v>0</v>
      </c>
      <c r="V3768" s="22">
        <f>4.15/5</f>
        <v>0.83000000000000007</v>
      </c>
      <c r="X3768" s="3">
        <v>2</v>
      </c>
      <c r="AB3768" s="18">
        <f t="shared" si="116"/>
        <v>2013</v>
      </c>
      <c r="AC3768" s="22">
        <f t="shared" si="117"/>
        <v>0.61499999999999999</v>
      </c>
    </row>
    <row r="3769" spans="1:29" ht="25.5">
      <c r="A3769" s="8" t="s">
        <v>4830</v>
      </c>
      <c r="B3769" s="17" t="s">
        <v>7800</v>
      </c>
      <c r="C3769" s="13">
        <v>41345</v>
      </c>
      <c r="D3769" s="13" t="s">
        <v>8465</v>
      </c>
      <c r="E3769" s="10" t="s">
        <v>4831</v>
      </c>
      <c r="F3769" s="10" t="s">
        <v>4831</v>
      </c>
      <c r="G3769" s="11" t="s">
        <v>4832</v>
      </c>
      <c r="H3769" s="2" t="s">
        <v>67</v>
      </c>
      <c r="L3769" s="18">
        <v>1</v>
      </c>
      <c r="N3769" s="13">
        <v>41836</v>
      </c>
      <c r="P3769" s="18" t="s">
        <v>1107</v>
      </c>
      <c r="Q3769" s="18">
        <v>0</v>
      </c>
      <c r="U3769" s="22">
        <v>0.5</v>
      </c>
      <c r="V3769" s="22">
        <f>3.86/5</f>
        <v>0.77200000000000002</v>
      </c>
      <c r="W3769" s="14" t="s">
        <v>7777</v>
      </c>
      <c r="X3769" s="3">
        <v>2</v>
      </c>
      <c r="Z3769" s="23">
        <v>1</v>
      </c>
      <c r="AB3769" s="18">
        <f t="shared" si="116"/>
        <v>2013</v>
      </c>
      <c r="AC3769" s="22">
        <f t="shared" si="117"/>
        <v>0.55733333333333335</v>
      </c>
    </row>
    <row r="3770" spans="1:29">
      <c r="A3770" s="8" t="s">
        <v>5054</v>
      </c>
      <c r="B3770" s="17" t="s">
        <v>7800</v>
      </c>
      <c r="C3770" s="13">
        <v>41345</v>
      </c>
      <c r="D3770" s="13" t="s">
        <v>8465</v>
      </c>
      <c r="E3770" s="10" t="s">
        <v>5053</v>
      </c>
      <c r="F3770" s="10" t="s">
        <v>5053</v>
      </c>
      <c r="G3770" s="11" t="s">
        <v>5052</v>
      </c>
      <c r="H3770" s="2" t="s">
        <v>245</v>
      </c>
      <c r="L3770" s="18">
        <v>1</v>
      </c>
      <c r="N3770" s="13">
        <v>42023</v>
      </c>
      <c r="P3770" s="18" t="s">
        <v>1107</v>
      </c>
      <c r="Q3770" s="18">
        <v>0</v>
      </c>
      <c r="U3770" s="22">
        <v>0.55000000000000004</v>
      </c>
      <c r="V3770" s="22">
        <f>3.22/5</f>
        <v>0.64400000000000002</v>
      </c>
      <c r="W3770" s="14" t="s">
        <v>7777</v>
      </c>
      <c r="X3770" s="3">
        <v>2</v>
      </c>
      <c r="Z3770" s="23">
        <v>5</v>
      </c>
      <c r="AB3770" s="18">
        <f t="shared" si="116"/>
        <v>2013</v>
      </c>
      <c r="AC3770" s="22">
        <f t="shared" si="117"/>
        <v>0.53133333333333332</v>
      </c>
    </row>
    <row r="3771" spans="1:29">
      <c r="A3771" s="8" t="s">
        <v>11475</v>
      </c>
      <c r="B3771" s="17" t="s">
        <v>7749</v>
      </c>
      <c r="C3771" s="13">
        <v>41340</v>
      </c>
      <c r="D3771" s="13" t="s">
        <v>8465</v>
      </c>
      <c r="E3771" s="10" t="s">
        <v>1733</v>
      </c>
      <c r="F3771" s="10" t="s">
        <v>1733</v>
      </c>
      <c r="G3771" s="11" t="s">
        <v>2387</v>
      </c>
      <c r="H3771" s="2" t="s">
        <v>21</v>
      </c>
      <c r="L3771" s="18">
        <v>1</v>
      </c>
      <c r="N3771" s="13">
        <v>44644</v>
      </c>
      <c r="O3771" s="29">
        <v>1.99</v>
      </c>
      <c r="P3771" s="18" t="s">
        <v>1107</v>
      </c>
      <c r="Q3771" s="18">
        <v>0</v>
      </c>
      <c r="U3771" s="22">
        <v>0.74</v>
      </c>
      <c r="V3771" s="22">
        <f>3.72/5</f>
        <v>0.74399999999999999</v>
      </c>
      <c r="X3771" s="3">
        <v>3</v>
      </c>
      <c r="Z3771" s="23">
        <v>3</v>
      </c>
      <c r="AB3771" s="18">
        <f t="shared" si="116"/>
        <v>2013</v>
      </c>
      <c r="AC3771" s="22">
        <f t="shared" si="117"/>
        <v>0.69466666666666665</v>
      </c>
    </row>
    <row r="3772" spans="1:29" ht="25.5">
      <c r="A3772" s="8" t="s">
        <v>5924</v>
      </c>
      <c r="B3772" s="17" t="s">
        <v>7759</v>
      </c>
      <c r="C3772" s="13">
        <v>41338</v>
      </c>
      <c r="D3772" s="13" t="s">
        <v>8465</v>
      </c>
      <c r="E3772" s="10" t="s">
        <v>1565</v>
      </c>
      <c r="F3772" s="10" t="s">
        <v>1566</v>
      </c>
      <c r="G3772" s="11" t="s">
        <v>1567</v>
      </c>
      <c r="H3772" s="2" t="s">
        <v>149</v>
      </c>
      <c r="L3772" s="18">
        <v>1</v>
      </c>
      <c r="M3772" s="14" t="s">
        <v>8462</v>
      </c>
      <c r="N3772" s="13">
        <v>43533</v>
      </c>
      <c r="O3772" s="29">
        <v>15.5</v>
      </c>
      <c r="P3772" s="18" t="s">
        <v>14</v>
      </c>
      <c r="Q3772" s="18">
        <v>0</v>
      </c>
      <c r="U3772" s="22">
        <v>0.72</v>
      </c>
      <c r="V3772" s="22">
        <f>3.9/5</f>
        <v>0.78</v>
      </c>
      <c r="X3772" s="3">
        <v>3</v>
      </c>
      <c r="Z3772" s="23">
        <v>23.5</v>
      </c>
      <c r="AB3772" s="18">
        <f t="shared" si="116"/>
        <v>2013</v>
      </c>
      <c r="AC3772" s="22">
        <f t="shared" si="117"/>
        <v>0.70000000000000007</v>
      </c>
    </row>
    <row r="3773" spans="1:29" ht="30">
      <c r="A3773" s="8" t="s">
        <v>8186</v>
      </c>
      <c r="B3773" s="17" t="s">
        <v>7762</v>
      </c>
      <c r="C3773" s="13">
        <v>41333</v>
      </c>
      <c r="D3773" s="13" t="s">
        <v>8463</v>
      </c>
      <c r="E3773" s="10" t="s">
        <v>455</v>
      </c>
      <c r="F3773" s="10" t="s">
        <v>6092</v>
      </c>
      <c r="G3773" s="11" t="s">
        <v>1661</v>
      </c>
      <c r="H3773" s="2" t="s">
        <v>75</v>
      </c>
      <c r="K3773" s="18">
        <v>0</v>
      </c>
      <c r="L3773" s="18">
        <v>0</v>
      </c>
      <c r="Q3773" s="18">
        <v>0</v>
      </c>
      <c r="V3773" s="22">
        <f>3.77/5</f>
        <v>0.754</v>
      </c>
      <c r="X3773" s="3">
        <v>2</v>
      </c>
      <c r="Z3773" s="23">
        <v>17.5</v>
      </c>
      <c r="AB3773" s="18">
        <f t="shared" si="116"/>
        <v>2013</v>
      </c>
      <c r="AC3773" s="22">
        <f t="shared" si="117"/>
        <v>0.57699999999999996</v>
      </c>
    </row>
    <row r="3774" spans="1:29" ht="25.5">
      <c r="A3774" s="8" t="s">
        <v>2430</v>
      </c>
      <c r="B3774" s="17" t="s">
        <v>7749</v>
      </c>
      <c r="C3774" s="13">
        <v>41331</v>
      </c>
      <c r="D3774" s="13" t="s">
        <v>8465</v>
      </c>
      <c r="E3774" s="10" t="s">
        <v>2461</v>
      </c>
      <c r="F3774" s="10" t="s">
        <v>228</v>
      </c>
      <c r="G3774" s="11" t="s">
        <v>2239</v>
      </c>
      <c r="H3774" s="2" t="s">
        <v>1377</v>
      </c>
      <c r="L3774" s="18">
        <v>1</v>
      </c>
      <c r="N3774" s="13">
        <v>41840</v>
      </c>
      <c r="O3774" s="29">
        <v>14.99</v>
      </c>
      <c r="P3774" s="18" t="s">
        <v>1107</v>
      </c>
      <c r="Q3774" s="18">
        <v>0</v>
      </c>
      <c r="U3774" s="22">
        <v>0.85</v>
      </c>
      <c r="V3774" s="22">
        <f>4.18/5</f>
        <v>0.83599999999999997</v>
      </c>
      <c r="X3774" s="3">
        <v>3</v>
      </c>
      <c r="Z3774" s="23">
        <v>56.5</v>
      </c>
      <c r="AB3774" s="18">
        <f t="shared" si="116"/>
        <v>2013</v>
      </c>
      <c r="AC3774" s="22">
        <f t="shared" si="117"/>
        <v>0.76200000000000001</v>
      </c>
    </row>
    <row r="3775" spans="1:29" ht="30">
      <c r="A3775" s="8" t="s">
        <v>3382</v>
      </c>
      <c r="B3775" s="17" t="s">
        <v>7800</v>
      </c>
      <c r="C3775" s="13">
        <v>41331</v>
      </c>
      <c r="D3775" s="13" t="s">
        <v>8465</v>
      </c>
      <c r="E3775" s="10" t="s">
        <v>3370</v>
      </c>
      <c r="F3775" s="10" t="s">
        <v>3370</v>
      </c>
      <c r="H3775" s="2" t="s">
        <v>80</v>
      </c>
      <c r="L3775" s="18">
        <v>1</v>
      </c>
      <c r="N3775" s="13">
        <v>41401</v>
      </c>
      <c r="P3775" s="18" t="s">
        <v>1107</v>
      </c>
      <c r="Q3775" s="18">
        <v>0</v>
      </c>
      <c r="U3775" s="22">
        <v>0.81</v>
      </c>
      <c r="V3775" s="22">
        <f>3.47/5</f>
        <v>0.69400000000000006</v>
      </c>
      <c r="W3775" s="14" t="s">
        <v>7777</v>
      </c>
      <c r="X3775" s="3">
        <v>3</v>
      </c>
      <c r="Z3775" s="23">
        <v>9</v>
      </c>
      <c r="AB3775" s="18">
        <f t="shared" si="116"/>
        <v>2013</v>
      </c>
      <c r="AC3775" s="22">
        <f t="shared" si="117"/>
        <v>0.70133333333333336</v>
      </c>
    </row>
    <row r="3776" spans="1:29">
      <c r="A3776" s="8" t="s">
        <v>3716</v>
      </c>
      <c r="B3776" s="17" t="s">
        <v>7800</v>
      </c>
      <c r="C3776" s="13">
        <v>41331</v>
      </c>
      <c r="D3776" s="13" t="s">
        <v>8465</v>
      </c>
      <c r="E3776" s="10" t="s">
        <v>3717</v>
      </c>
      <c r="F3776" s="10" t="s">
        <v>3717</v>
      </c>
      <c r="H3776" s="2" t="s">
        <v>171</v>
      </c>
      <c r="L3776" s="18">
        <v>1</v>
      </c>
      <c r="N3776" s="13">
        <v>41627</v>
      </c>
      <c r="P3776" s="18" t="s">
        <v>1107</v>
      </c>
      <c r="Q3776" s="18">
        <v>0</v>
      </c>
      <c r="U3776" s="22">
        <v>0.76</v>
      </c>
      <c r="V3776" s="22">
        <f>3.76/5</f>
        <v>0.752</v>
      </c>
      <c r="W3776" s="14" t="s">
        <v>7777</v>
      </c>
      <c r="X3776" s="3">
        <v>2</v>
      </c>
      <c r="Z3776" s="23">
        <v>9</v>
      </c>
      <c r="AB3776" s="18">
        <f t="shared" si="116"/>
        <v>2013</v>
      </c>
      <c r="AC3776" s="22">
        <f t="shared" si="117"/>
        <v>0.63733333333333331</v>
      </c>
    </row>
    <row r="3777" spans="1:29" ht="25.5">
      <c r="A3777" s="8" t="s">
        <v>11447</v>
      </c>
      <c r="B3777" s="17" t="s">
        <v>7759</v>
      </c>
      <c r="C3777" s="13">
        <v>41331</v>
      </c>
      <c r="D3777" s="13" t="s">
        <v>8465</v>
      </c>
      <c r="E3777" s="10" t="s">
        <v>2335</v>
      </c>
      <c r="F3777" s="10" t="s">
        <v>1471</v>
      </c>
      <c r="G3777" s="11" t="s">
        <v>7935</v>
      </c>
      <c r="H3777" s="2" t="s">
        <v>1059</v>
      </c>
      <c r="L3777" s="18">
        <v>0</v>
      </c>
      <c r="Q3777" s="18">
        <v>0</v>
      </c>
      <c r="U3777" s="22">
        <v>0.63</v>
      </c>
      <c r="V3777" s="22">
        <f>4.08/5</f>
        <v>0.81600000000000006</v>
      </c>
      <c r="X3777" s="3">
        <v>2</v>
      </c>
      <c r="Y3777" s="18">
        <v>1</v>
      </c>
      <c r="Z3777" s="23">
        <v>7.5</v>
      </c>
      <c r="AB3777" s="18">
        <f t="shared" ref="AB3777:AB3840" si="118">IFERROR(YEAR(C3777), "Early Access")</f>
        <v>2013</v>
      </c>
      <c r="AC3777" s="22">
        <f t="shared" ref="AC3777:AC3840" si="119">AVERAGE(T3777, U3777, V3777, IF(ISBLANK(X3777), X3777, X3777/5))</f>
        <v>0.6153333333333334</v>
      </c>
    </row>
    <row r="3778" spans="1:29" ht="25.5">
      <c r="A3778" s="8" t="s">
        <v>5221</v>
      </c>
      <c r="B3778" s="17" t="s">
        <v>7800</v>
      </c>
      <c r="C3778" s="13">
        <v>41326</v>
      </c>
      <c r="D3778" s="13" t="s">
        <v>8465</v>
      </c>
      <c r="E3778" s="10" t="s">
        <v>5219</v>
      </c>
      <c r="F3778" s="10" t="s">
        <v>5219</v>
      </c>
      <c r="G3778" s="11" t="s">
        <v>5218</v>
      </c>
      <c r="H3778" s="2" t="s">
        <v>1518</v>
      </c>
      <c r="L3778" s="18">
        <v>1</v>
      </c>
      <c r="N3778" s="13">
        <v>41475</v>
      </c>
      <c r="O3778" s="29">
        <v>2.5</v>
      </c>
      <c r="P3778" s="18" t="s">
        <v>1107</v>
      </c>
      <c r="Q3778" s="18">
        <v>0</v>
      </c>
      <c r="U3778" s="22">
        <v>0.74</v>
      </c>
      <c r="V3778" s="22">
        <f>3.66/5</f>
        <v>0.73199999999999998</v>
      </c>
      <c r="W3778" s="14" t="s">
        <v>7777</v>
      </c>
      <c r="X3778" s="3">
        <v>3</v>
      </c>
      <c r="Z3778" s="23">
        <v>28.5</v>
      </c>
      <c r="AB3778" s="18">
        <f t="shared" si="118"/>
        <v>2013</v>
      </c>
      <c r="AC3778" s="22">
        <f t="shared" si="119"/>
        <v>0.69066666666666665</v>
      </c>
    </row>
    <row r="3779" spans="1:29">
      <c r="A3779" s="8" t="s">
        <v>12404</v>
      </c>
      <c r="B3779" s="17" t="s">
        <v>7749</v>
      </c>
      <c r="C3779" s="13">
        <v>41326</v>
      </c>
      <c r="D3779" s="13" t="s">
        <v>8465</v>
      </c>
      <c r="E3779" s="10" t="s">
        <v>11255</v>
      </c>
      <c r="F3779" s="10" t="s">
        <v>11255</v>
      </c>
      <c r="G3779" s="11" t="s">
        <v>12401</v>
      </c>
      <c r="H3779" s="2" t="s">
        <v>1377</v>
      </c>
      <c r="L3779" s="18">
        <v>1</v>
      </c>
      <c r="N3779" s="13">
        <v>44990</v>
      </c>
      <c r="O3779" s="29">
        <v>4.99</v>
      </c>
      <c r="P3779" s="18" t="s">
        <v>1107</v>
      </c>
      <c r="Q3779" s="18">
        <v>0</v>
      </c>
      <c r="U3779" s="22">
        <v>0.66</v>
      </c>
      <c r="V3779" s="22">
        <f>3.27/5</f>
        <v>0.65400000000000003</v>
      </c>
      <c r="X3779" s="3">
        <v>2</v>
      </c>
      <c r="AB3779" s="18">
        <f t="shared" si="118"/>
        <v>2013</v>
      </c>
      <c r="AC3779" s="22">
        <f t="shared" si="119"/>
        <v>0.57133333333333336</v>
      </c>
    </row>
    <row r="3780" spans="1:29" ht="30">
      <c r="A3780" s="8" t="s">
        <v>9083</v>
      </c>
      <c r="B3780" s="17" t="s">
        <v>7762</v>
      </c>
      <c r="C3780" s="13">
        <v>41324</v>
      </c>
      <c r="D3780" s="13" t="s">
        <v>8465</v>
      </c>
      <c r="E3780" s="10" t="s">
        <v>1062</v>
      </c>
      <c r="F3780" s="10" t="s">
        <v>1416</v>
      </c>
      <c r="G3780" s="11" t="s">
        <v>9081</v>
      </c>
      <c r="H3780" s="2" t="s">
        <v>75</v>
      </c>
      <c r="L3780" s="18">
        <v>0</v>
      </c>
      <c r="Q3780" s="18">
        <v>0</v>
      </c>
      <c r="U3780" s="22">
        <v>0.7</v>
      </c>
      <c r="V3780" s="22">
        <f>3.74/5</f>
        <v>0.748</v>
      </c>
      <c r="X3780" s="3">
        <v>2</v>
      </c>
      <c r="Z3780" s="23">
        <v>18</v>
      </c>
      <c r="AB3780" s="18">
        <f t="shared" si="118"/>
        <v>2013</v>
      </c>
      <c r="AC3780" s="22">
        <f t="shared" si="119"/>
        <v>0.61599999999999999</v>
      </c>
    </row>
    <row r="3781" spans="1:29" ht="25.5">
      <c r="A3781" s="8" t="s">
        <v>5198</v>
      </c>
      <c r="B3781" s="17" t="s">
        <v>7800</v>
      </c>
      <c r="C3781" s="13">
        <v>41323</v>
      </c>
      <c r="D3781" s="13" t="s">
        <v>8465</v>
      </c>
      <c r="E3781" s="10" t="s">
        <v>3272</v>
      </c>
      <c r="F3781" s="10" t="s">
        <v>5199</v>
      </c>
      <c r="H3781" s="2" t="s">
        <v>56</v>
      </c>
      <c r="L3781" s="18">
        <v>1</v>
      </c>
      <c r="N3781" s="13">
        <v>41688</v>
      </c>
      <c r="O3781" s="29">
        <v>1.39</v>
      </c>
      <c r="P3781" s="18" t="s">
        <v>1107</v>
      </c>
      <c r="Q3781" s="18">
        <v>0</v>
      </c>
      <c r="U3781" s="22">
        <v>0.82</v>
      </c>
      <c r="V3781" s="22">
        <f>3.71/5</f>
        <v>0.74199999999999999</v>
      </c>
      <c r="W3781" s="14" t="s">
        <v>7777</v>
      </c>
      <c r="X3781" s="3">
        <v>3</v>
      </c>
      <c r="AB3781" s="18">
        <f t="shared" si="118"/>
        <v>2013</v>
      </c>
      <c r="AC3781" s="22">
        <f t="shared" si="119"/>
        <v>0.72066666666666668</v>
      </c>
    </row>
    <row r="3782" spans="1:29">
      <c r="A3782" s="8" t="s">
        <v>5613</v>
      </c>
      <c r="B3782" s="17" t="s">
        <v>7800</v>
      </c>
      <c r="C3782" s="13">
        <v>41319</v>
      </c>
      <c r="D3782" s="13" t="s">
        <v>8465</v>
      </c>
      <c r="E3782" s="10" t="s">
        <v>1534</v>
      </c>
      <c r="F3782" s="10" t="s">
        <v>1245</v>
      </c>
      <c r="G3782" s="11" t="s">
        <v>304</v>
      </c>
      <c r="H3782" s="2" t="s">
        <v>171</v>
      </c>
      <c r="L3782" s="18">
        <v>1</v>
      </c>
      <c r="N3782" s="13">
        <v>41829</v>
      </c>
      <c r="O3782" s="29">
        <v>3.74</v>
      </c>
      <c r="P3782" s="18" t="s">
        <v>1107</v>
      </c>
      <c r="Q3782" s="18">
        <v>0</v>
      </c>
      <c r="U3782" s="22">
        <v>0.72</v>
      </c>
      <c r="V3782" s="22">
        <f>3.92/5</f>
        <v>0.78400000000000003</v>
      </c>
      <c r="W3782" s="14" t="s">
        <v>7777</v>
      </c>
      <c r="X3782" s="3">
        <v>3</v>
      </c>
      <c r="Z3782" s="23">
        <v>13</v>
      </c>
      <c r="AB3782" s="18">
        <f t="shared" si="118"/>
        <v>2013</v>
      </c>
      <c r="AC3782" s="22">
        <f t="shared" si="119"/>
        <v>0.70133333333333336</v>
      </c>
    </row>
    <row r="3783" spans="1:29">
      <c r="A3783" s="8" t="s">
        <v>4663</v>
      </c>
      <c r="B3783" s="17" t="s">
        <v>7800</v>
      </c>
      <c r="C3783" s="13">
        <v>41319</v>
      </c>
      <c r="D3783" s="13" t="s">
        <v>8465</v>
      </c>
      <c r="E3783" s="10" t="s">
        <v>4664</v>
      </c>
      <c r="F3783" s="10" t="s">
        <v>4664</v>
      </c>
      <c r="H3783" s="2" t="s">
        <v>1518</v>
      </c>
      <c r="L3783" s="18">
        <v>1</v>
      </c>
      <c r="N3783" s="13">
        <v>41529</v>
      </c>
      <c r="P3783" s="18" t="s">
        <v>1107</v>
      </c>
      <c r="Q3783" s="18">
        <v>0</v>
      </c>
      <c r="U3783" s="22">
        <v>0.7</v>
      </c>
      <c r="V3783" s="22">
        <f>3.22/5</f>
        <v>0.64400000000000002</v>
      </c>
      <c r="W3783" s="14" t="s">
        <v>7777</v>
      </c>
      <c r="X3783" s="3">
        <v>3</v>
      </c>
      <c r="Z3783" s="23">
        <v>2</v>
      </c>
      <c r="AB3783" s="18">
        <f t="shared" si="118"/>
        <v>2013</v>
      </c>
      <c r="AC3783" s="22">
        <f t="shared" si="119"/>
        <v>0.64800000000000002</v>
      </c>
    </row>
    <row r="3784" spans="1:29">
      <c r="A3784" s="8" t="s">
        <v>3631</v>
      </c>
      <c r="B3784" s="17" t="s">
        <v>7800</v>
      </c>
      <c r="C3784" s="13">
        <v>41319</v>
      </c>
      <c r="D3784" s="13" t="s">
        <v>8465</v>
      </c>
      <c r="E3784" s="10" t="s">
        <v>3632</v>
      </c>
      <c r="F3784" s="10" t="s">
        <v>3632</v>
      </c>
      <c r="H3784" s="2" t="s">
        <v>67</v>
      </c>
      <c r="L3784" s="18">
        <v>1</v>
      </c>
      <c r="N3784" s="13">
        <v>41863</v>
      </c>
      <c r="O3784" s="29">
        <v>0</v>
      </c>
      <c r="P3784" s="18" t="s">
        <v>1107</v>
      </c>
      <c r="Q3784" s="18">
        <v>0</v>
      </c>
      <c r="U3784" s="22">
        <v>0.5</v>
      </c>
      <c r="V3784" s="22">
        <f>1.22/5</f>
        <v>0.24399999999999999</v>
      </c>
      <c r="W3784" s="14" t="s">
        <v>7777</v>
      </c>
      <c r="X3784" s="3">
        <v>3</v>
      </c>
      <c r="Z3784" s="23">
        <v>0.97</v>
      </c>
      <c r="AB3784" s="18">
        <f t="shared" si="118"/>
        <v>2013</v>
      </c>
      <c r="AC3784" s="22">
        <f t="shared" si="119"/>
        <v>0.44799999999999995</v>
      </c>
    </row>
    <row r="3785" spans="1:29" ht="25.5">
      <c r="A3785" s="8" t="s">
        <v>3153</v>
      </c>
      <c r="B3785" s="17" t="s">
        <v>7800</v>
      </c>
      <c r="C3785" s="13">
        <v>41317</v>
      </c>
      <c r="D3785" s="13" t="s">
        <v>8465</v>
      </c>
      <c r="E3785" s="10" t="s">
        <v>455</v>
      </c>
      <c r="F3785" s="10" t="s">
        <v>3154</v>
      </c>
      <c r="G3785" s="11" t="s">
        <v>442</v>
      </c>
      <c r="H3785" s="2" t="s">
        <v>1050</v>
      </c>
      <c r="L3785" s="18">
        <v>1</v>
      </c>
      <c r="N3785" s="13">
        <v>41627</v>
      </c>
      <c r="P3785" s="18" t="s">
        <v>1107</v>
      </c>
      <c r="Q3785" s="18">
        <v>0</v>
      </c>
      <c r="U3785" s="22">
        <v>0.38</v>
      </c>
      <c r="V3785" s="22">
        <f>2.64/5</f>
        <v>0.52800000000000002</v>
      </c>
      <c r="W3785" s="14" t="s">
        <v>7777</v>
      </c>
      <c r="X3785" s="3">
        <v>3</v>
      </c>
      <c r="Z3785" s="23">
        <v>7</v>
      </c>
      <c r="AB3785" s="18">
        <f t="shared" si="118"/>
        <v>2013</v>
      </c>
      <c r="AC3785" s="22">
        <f t="shared" si="119"/>
        <v>0.50266666666666671</v>
      </c>
    </row>
    <row r="3786" spans="1:29" ht="25.5">
      <c r="A3786" s="8" t="s">
        <v>7965</v>
      </c>
      <c r="B3786" s="17" t="s">
        <v>7743</v>
      </c>
      <c r="C3786" s="13">
        <v>41312</v>
      </c>
      <c r="D3786" s="13" t="s">
        <v>8465</v>
      </c>
      <c r="E3786" s="10" t="s">
        <v>2335</v>
      </c>
      <c r="F3786" s="10" t="s">
        <v>68</v>
      </c>
      <c r="G3786" s="11" t="s">
        <v>7845</v>
      </c>
      <c r="H3786" s="2" t="s">
        <v>153</v>
      </c>
      <c r="L3786" s="18">
        <v>1</v>
      </c>
      <c r="N3786" s="13">
        <v>44631</v>
      </c>
      <c r="O3786" s="29">
        <v>39.17</v>
      </c>
      <c r="P3786" s="18" t="s">
        <v>1107</v>
      </c>
      <c r="Q3786" s="18">
        <v>0</v>
      </c>
      <c r="U3786" s="22">
        <v>0.495</v>
      </c>
      <c r="V3786" s="22">
        <f>3.5/5</f>
        <v>0.7</v>
      </c>
      <c r="X3786" s="3">
        <v>3</v>
      </c>
      <c r="Z3786" s="23">
        <v>15.5</v>
      </c>
      <c r="AB3786" s="18">
        <f t="shared" si="118"/>
        <v>2013</v>
      </c>
      <c r="AC3786" s="22">
        <f t="shared" si="119"/>
        <v>0.59833333333333327</v>
      </c>
    </row>
    <row r="3787" spans="1:29" ht="30">
      <c r="A3787" s="8" t="s">
        <v>6018</v>
      </c>
      <c r="B3787" s="17" t="s">
        <v>7759</v>
      </c>
      <c r="C3787" s="13">
        <v>41310</v>
      </c>
      <c r="D3787" s="13" t="s">
        <v>8465</v>
      </c>
      <c r="E3787" s="10" t="s">
        <v>2908</v>
      </c>
      <c r="F3787" s="10" t="s">
        <v>5885</v>
      </c>
      <c r="G3787" s="11" t="s">
        <v>5886</v>
      </c>
      <c r="H3787" s="2" t="s">
        <v>1040</v>
      </c>
      <c r="L3787" s="18">
        <v>1</v>
      </c>
      <c r="M3787" s="14" t="s">
        <v>8462</v>
      </c>
      <c r="N3787" s="13">
        <v>43368</v>
      </c>
      <c r="O3787" s="29">
        <v>13.08</v>
      </c>
      <c r="P3787" s="18" t="s">
        <v>14</v>
      </c>
      <c r="Q3787" s="18">
        <v>0</v>
      </c>
      <c r="U3787" s="22">
        <v>0.75</v>
      </c>
      <c r="V3787" s="22">
        <f>3.95/5</f>
        <v>0.79</v>
      </c>
      <c r="X3787" s="3">
        <v>4</v>
      </c>
      <c r="Z3787" s="23">
        <v>13</v>
      </c>
      <c r="AB3787" s="18">
        <f t="shared" si="118"/>
        <v>2013</v>
      </c>
      <c r="AC3787" s="22">
        <f t="shared" si="119"/>
        <v>0.77999999999999992</v>
      </c>
    </row>
    <row r="3788" spans="1:29">
      <c r="A3788" s="8" t="s">
        <v>4823</v>
      </c>
      <c r="B3788" s="17" t="s">
        <v>7800</v>
      </c>
      <c r="C3788" s="13">
        <v>41305</v>
      </c>
      <c r="D3788" s="13" t="s">
        <v>8465</v>
      </c>
      <c r="E3788" s="10" t="s">
        <v>4824</v>
      </c>
      <c r="F3788" s="10" t="s">
        <v>4824</v>
      </c>
      <c r="H3788" s="2" t="s">
        <v>2138</v>
      </c>
      <c r="L3788" s="18">
        <v>1</v>
      </c>
      <c r="N3788" s="13">
        <v>41544</v>
      </c>
      <c r="P3788" s="18" t="s">
        <v>1107</v>
      </c>
      <c r="Q3788" s="18">
        <v>0</v>
      </c>
      <c r="U3788" s="22">
        <v>0.73</v>
      </c>
      <c r="V3788" s="22">
        <f>3.29/5</f>
        <v>0.65800000000000003</v>
      </c>
      <c r="W3788" s="14" t="s">
        <v>7777</v>
      </c>
      <c r="X3788" s="3">
        <v>3</v>
      </c>
      <c r="Z3788" s="23">
        <v>12.5</v>
      </c>
      <c r="AB3788" s="18">
        <f t="shared" si="118"/>
        <v>2013</v>
      </c>
      <c r="AC3788" s="22">
        <f t="shared" si="119"/>
        <v>0.66266666666666663</v>
      </c>
    </row>
    <row r="3789" spans="1:29">
      <c r="A3789" s="8" t="s">
        <v>11383</v>
      </c>
      <c r="B3789" s="17" t="s">
        <v>7749</v>
      </c>
      <c r="C3789" s="13">
        <v>41305</v>
      </c>
      <c r="D3789" s="13" t="s">
        <v>8465</v>
      </c>
      <c r="E3789" s="10" t="s">
        <v>3017</v>
      </c>
      <c r="F3789" s="10" t="s">
        <v>11384</v>
      </c>
      <c r="H3789" s="2" t="s">
        <v>151</v>
      </c>
      <c r="L3789" s="18">
        <v>0</v>
      </c>
      <c r="Q3789" s="18">
        <v>0</v>
      </c>
      <c r="U3789" s="22">
        <v>0.65</v>
      </c>
      <c r="V3789" s="22">
        <f>3.48/5</f>
        <v>0.69599999999999995</v>
      </c>
      <c r="W3789" s="14" t="s">
        <v>9890</v>
      </c>
      <c r="X3789" s="3">
        <v>2</v>
      </c>
      <c r="Z3789" s="23">
        <v>4</v>
      </c>
      <c r="AB3789" s="18">
        <f t="shared" si="118"/>
        <v>2013</v>
      </c>
      <c r="AC3789" s="22">
        <f t="shared" si="119"/>
        <v>0.58199999999999996</v>
      </c>
    </row>
    <row r="3790" spans="1:29" ht="25.5">
      <c r="A3790" s="8" t="s">
        <v>3099</v>
      </c>
      <c r="B3790" s="17" t="s">
        <v>7800</v>
      </c>
      <c r="C3790" s="13">
        <v>41298</v>
      </c>
      <c r="D3790" s="13" t="s">
        <v>8465</v>
      </c>
      <c r="E3790" s="10" t="s">
        <v>1509</v>
      </c>
      <c r="F3790" s="10" t="s">
        <v>3100</v>
      </c>
      <c r="G3790" s="11" t="s">
        <v>3101</v>
      </c>
      <c r="H3790" s="2" t="s">
        <v>7594</v>
      </c>
      <c r="L3790" s="18">
        <v>1</v>
      </c>
      <c r="N3790" s="13">
        <v>42779</v>
      </c>
      <c r="P3790" s="18" t="s">
        <v>1107</v>
      </c>
      <c r="Q3790" s="18">
        <v>0</v>
      </c>
      <c r="U3790" s="22">
        <v>0.6</v>
      </c>
      <c r="V3790" s="22">
        <f>3.47/5</f>
        <v>0.69400000000000006</v>
      </c>
      <c r="W3790" s="14" t="s">
        <v>7777</v>
      </c>
      <c r="X3790" s="3">
        <v>3</v>
      </c>
      <c r="Z3790" s="23">
        <v>8.5</v>
      </c>
      <c r="AB3790" s="18">
        <f t="shared" si="118"/>
        <v>2013</v>
      </c>
      <c r="AC3790" s="22">
        <f t="shared" si="119"/>
        <v>0.63133333333333341</v>
      </c>
    </row>
    <row r="3791" spans="1:29">
      <c r="A3791" s="8" t="s">
        <v>5161</v>
      </c>
      <c r="B3791" s="17" t="s">
        <v>7800</v>
      </c>
      <c r="C3791" s="13">
        <v>41297</v>
      </c>
      <c r="D3791" s="13" t="s">
        <v>8465</v>
      </c>
      <c r="E3791" s="10" t="s">
        <v>5162</v>
      </c>
      <c r="F3791" s="10" t="s">
        <v>5162</v>
      </c>
      <c r="G3791" s="11" t="s">
        <v>5163</v>
      </c>
      <c r="H3791" s="2" t="s">
        <v>2138</v>
      </c>
      <c r="I3791" s="18">
        <v>1</v>
      </c>
      <c r="L3791" s="18">
        <v>1</v>
      </c>
      <c r="N3791" s="13">
        <v>41475</v>
      </c>
      <c r="O3791" s="29">
        <v>2.99</v>
      </c>
      <c r="P3791" s="18" t="s">
        <v>1107</v>
      </c>
      <c r="Q3791" s="18">
        <v>0</v>
      </c>
      <c r="U3791" s="22">
        <v>0.67</v>
      </c>
      <c r="V3791" s="22">
        <f>3.56/5</f>
        <v>0.71199999999999997</v>
      </c>
      <c r="W3791" s="14" t="s">
        <v>7777</v>
      </c>
      <c r="X3791" s="3">
        <v>3</v>
      </c>
      <c r="Z3791" s="23">
        <v>7.5</v>
      </c>
      <c r="AB3791" s="18">
        <f t="shared" si="118"/>
        <v>2013</v>
      </c>
      <c r="AC3791" s="22">
        <f t="shared" si="119"/>
        <v>0.66066666666666674</v>
      </c>
    </row>
    <row r="3792" spans="1:29" ht="25.5">
      <c r="A3792" s="8" t="s">
        <v>6061</v>
      </c>
      <c r="B3792" s="17" t="s">
        <v>7759</v>
      </c>
      <c r="C3792" s="13">
        <v>41296</v>
      </c>
      <c r="D3792" s="13" t="s">
        <v>8465</v>
      </c>
      <c r="E3792" s="10" t="s">
        <v>1509</v>
      </c>
      <c r="F3792" s="10" t="s">
        <v>2129</v>
      </c>
      <c r="G3792" s="11" t="s">
        <v>6062</v>
      </c>
      <c r="H3792" s="2" t="s">
        <v>149</v>
      </c>
      <c r="L3792" s="18">
        <v>1</v>
      </c>
      <c r="N3792" s="13">
        <v>42255</v>
      </c>
      <c r="O3792" s="29">
        <v>6</v>
      </c>
      <c r="P3792" s="18" t="s">
        <v>1107</v>
      </c>
      <c r="Q3792" s="18">
        <v>0</v>
      </c>
      <c r="U3792" s="22">
        <v>0.86</v>
      </c>
      <c r="V3792" s="22">
        <f>4.26/5</f>
        <v>0.85199999999999998</v>
      </c>
      <c r="X3792" s="3">
        <v>4</v>
      </c>
      <c r="Z3792" s="23">
        <v>45.5</v>
      </c>
      <c r="AB3792" s="18">
        <f t="shared" si="118"/>
        <v>2013</v>
      </c>
      <c r="AC3792" s="22">
        <f t="shared" si="119"/>
        <v>0.83733333333333337</v>
      </c>
    </row>
    <row r="3793" spans="1:29">
      <c r="A3793" s="8" t="s">
        <v>11262</v>
      </c>
      <c r="B3793" s="17" t="s">
        <v>7749</v>
      </c>
      <c r="C3793" s="13">
        <v>41291</v>
      </c>
      <c r="D3793" s="13" t="s">
        <v>8465</v>
      </c>
      <c r="E3793" s="10" t="s">
        <v>11263</v>
      </c>
      <c r="F3793" s="10" t="s">
        <v>11264</v>
      </c>
      <c r="H3793" s="2" t="s">
        <v>78</v>
      </c>
      <c r="L3793" s="18">
        <v>1</v>
      </c>
      <c r="N3793" s="13">
        <v>44626</v>
      </c>
      <c r="O3793" s="29">
        <v>6.99</v>
      </c>
      <c r="P3793" s="18" t="s">
        <v>1107</v>
      </c>
      <c r="Q3793" s="18">
        <v>0</v>
      </c>
      <c r="U3793" s="22">
        <v>0.68</v>
      </c>
      <c r="V3793" s="22">
        <f>3.71/5</f>
        <v>0.74199999999999999</v>
      </c>
      <c r="X3793" s="3">
        <v>2</v>
      </c>
      <c r="Z3793" s="23">
        <v>3</v>
      </c>
      <c r="AB3793" s="18">
        <f t="shared" si="118"/>
        <v>2013</v>
      </c>
      <c r="AC3793" s="22">
        <f t="shared" si="119"/>
        <v>0.60733333333333339</v>
      </c>
    </row>
    <row r="3794" spans="1:29" ht="25.5">
      <c r="A3794" s="8" t="s">
        <v>3254</v>
      </c>
      <c r="B3794" s="17" t="s">
        <v>7800</v>
      </c>
      <c r="C3794" s="13">
        <v>41290</v>
      </c>
      <c r="D3794" s="13" t="s">
        <v>8465</v>
      </c>
      <c r="E3794" s="10" t="s">
        <v>3252</v>
      </c>
      <c r="F3794" s="10" t="s">
        <v>3252</v>
      </c>
      <c r="G3794" s="11" t="s">
        <v>3253</v>
      </c>
      <c r="H3794" s="2" t="s">
        <v>1720</v>
      </c>
      <c r="L3794" s="18">
        <v>1</v>
      </c>
      <c r="N3794" s="13">
        <v>43603</v>
      </c>
      <c r="O3794" s="29">
        <f>3.49+1.39+1.39+3.49+0.34</f>
        <v>10.1</v>
      </c>
      <c r="P3794" s="18" t="s">
        <v>1107</v>
      </c>
      <c r="Q3794" s="18">
        <v>0</v>
      </c>
      <c r="U3794" s="22">
        <v>0.78</v>
      </c>
      <c r="V3794" s="22">
        <f>4.02/5</f>
        <v>0.80399999999999994</v>
      </c>
      <c r="W3794" s="14" t="s">
        <v>7777</v>
      </c>
      <c r="X3794" s="3">
        <v>5</v>
      </c>
      <c r="Z3794" s="23">
        <v>30.5</v>
      </c>
      <c r="AB3794" s="18">
        <f t="shared" si="118"/>
        <v>2013</v>
      </c>
      <c r="AC3794" s="22">
        <f t="shared" si="119"/>
        <v>0.8613333333333334</v>
      </c>
    </row>
    <row r="3795" spans="1:29" ht="30">
      <c r="A3795" s="8" t="s">
        <v>6232</v>
      </c>
      <c r="B3795" s="17" t="s">
        <v>7762</v>
      </c>
      <c r="C3795" s="13">
        <v>41289</v>
      </c>
      <c r="D3795" s="13" t="s">
        <v>8465</v>
      </c>
      <c r="E3795" s="10" t="s">
        <v>1534</v>
      </c>
      <c r="F3795" s="10" t="s">
        <v>6268</v>
      </c>
      <c r="G3795" s="11" t="s">
        <v>6231</v>
      </c>
      <c r="H3795" s="2" t="s">
        <v>1061</v>
      </c>
      <c r="L3795" s="18">
        <v>0</v>
      </c>
      <c r="Q3795" s="18">
        <v>0</v>
      </c>
      <c r="U3795" s="22">
        <v>0.68</v>
      </c>
      <c r="V3795" s="22">
        <f>4.01/5</f>
        <v>0.80199999999999994</v>
      </c>
      <c r="X3795" s="3">
        <v>4</v>
      </c>
      <c r="Z3795" s="23">
        <v>14</v>
      </c>
      <c r="AB3795" s="18">
        <f t="shared" si="118"/>
        <v>2013</v>
      </c>
      <c r="AC3795" s="22">
        <f t="shared" si="119"/>
        <v>0.76066666666666671</v>
      </c>
    </row>
    <row r="3796" spans="1:29" ht="30">
      <c r="A3796" s="8" t="s">
        <v>8890</v>
      </c>
      <c r="B3796" s="17" t="s">
        <v>7762</v>
      </c>
      <c r="C3796" s="13">
        <v>41287</v>
      </c>
      <c r="D3796" s="13" t="s">
        <v>8463</v>
      </c>
      <c r="E3796" s="10" t="s">
        <v>1509</v>
      </c>
      <c r="F3796" s="10" t="s">
        <v>1063</v>
      </c>
      <c r="G3796" s="11" t="s">
        <v>8877</v>
      </c>
      <c r="H3796" s="2" t="s">
        <v>149</v>
      </c>
      <c r="K3796" s="18">
        <v>2</v>
      </c>
      <c r="L3796" s="18">
        <v>0</v>
      </c>
      <c r="Q3796" s="18">
        <v>0</v>
      </c>
      <c r="V3796" s="22">
        <f>4.21/5</f>
        <v>0.84199999999999997</v>
      </c>
      <c r="X3796" s="3">
        <v>3</v>
      </c>
      <c r="Z3796" s="23">
        <v>31.5</v>
      </c>
      <c r="AB3796" s="18">
        <f t="shared" si="118"/>
        <v>2013</v>
      </c>
      <c r="AC3796" s="22">
        <f t="shared" si="119"/>
        <v>0.72099999999999997</v>
      </c>
    </row>
    <row r="3797" spans="1:29" ht="25.5">
      <c r="A3797" s="8" t="s">
        <v>5324</v>
      </c>
      <c r="B3797" s="17" t="s">
        <v>7800</v>
      </c>
      <c r="C3797" s="13">
        <v>41283</v>
      </c>
      <c r="D3797" s="13" t="s">
        <v>8465</v>
      </c>
      <c r="E3797" s="10" t="s">
        <v>5325</v>
      </c>
      <c r="F3797" s="10" t="s">
        <v>5325</v>
      </c>
      <c r="G3797" s="11" t="s">
        <v>5326</v>
      </c>
      <c r="H3797" s="2" t="s">
        <v>67</v>
      </c>
      <c r="L3797" s="18">
        <v>1</v>
      </c>
      <c r="N3797" s="13">
        <v>42015</v>
      </c>
      <c r="P3797" s="18" t="s">
        <v>1107</v>
      </c>
      <c r="Q3797" s="18">
        <v>0</v>
      </c>
      <c r="U3797" s="22">
        <v>0.75</v>
      </c>
      <c r="V3797" s="22">
        <f>3.3/5</f>
        <v>0.65999999999999992</v>
      </c>
      <c r="W3797" s="14" t="s">
        <v>7777</v>
      </c>
      <c r="X3797" s="3">
        <v>3</v>
      </c>
      <c r="Z3797" s="23">
        <v>2</v>
      </c>
      <c r="AB3797" s="18">
        <f t="shared" si="118"/>
        <v>2013</v>
      </c>
      <c r="AC3797" s="22">
        <f t="shared" si="119"/>
        <v>0.66999999999999993</v>
      </c>
    </row>
    <row r="3798" spans="1:29">
      <c r="A3798" s="8" t="s">
        <v>3718</v>
      </c>
      <c r="B3798" s="17" t="s">
        <v>7800</v>
      </c>
      <c r="C3798" s="13">
        <v>41283</v>
      </c>
      <c r="D3798" s="13" t="s">
        <v>8465</v>
      </c>
      <c r="E3798" s="10" t="s">
        <v>3719</v>
      </c>
      <c r="F3798" s="10" t="s">
        <v>3719</v>
      </c>
      <c r="H3798" s="2" t="s">
        <v>143</v>
      </c>
      <c r="L3798" s="18">
        <v>1</v>
      </c>
      <c r="N3798" s="13">
        <v>41627</v>
      </c>
      <c r="P3798" s="18" t="s">
        <v>1107</v>
      </c>
      <c r="Q3798" s="18">
        <v>0</v>
      </c>
      <c r="U3798" s="22">
        <v>0.69</v>
      </c>
      <c r="V3798" s="22">
        <f>3.4/5</f>
        <v>0.67999999999999994</v>
      </c>
      <c r="W3798" s="14" t="s">
        <v>7777</v>
      </c>
      <c r="X3798" s="3">
        <v>2</v>
      </c>
      <c r="Z3798" s="23">
        <v>2.5</v>
      </c>
      <c r="AB3798" s="18">
        <f t="shared" si="118"/>
        <v>2013</v>
      </c>
      <c r="AC3798" s="22">
        <f t="shared" si="119"/>
        <v>0.59</v>
      </c>
    </row>
    <row r="3799" spans="1:29">
      <c r="A3799" s="8" t="s">
        <v>5911</v>
      </c>
      <c r="B3799" s="17" t="s">
        <v>7759</v>
      </c>
      <c r="C3799" s="13">
        <v>41282</v>
      </c>
      <c r="D3799" s="13" t="s">
        <v>8465</v>
      </c>
      <c r="E3799" s="10" t="s">
        <v>455</v>
      </c>
      <c r="F3799" s="10" t="s">
        <v>1058</v>
      </c>
      <c r="H3799" s="2" t="s">
        <v>153</v>
      </c>
      <c r="L3799" s="18">
        <v>1</v>
      </c>
      <c r="M3799" s="14" t="s">
        <v>8462</v>
      </c>
      <c r="N3799" s="13">
        <v>43448</v>
      </c>
      <c r="O3799" s="29">
        <v>8.9499999999999993</v>
      </c>
      <c r="P3799" s="18" t="s">
        <v>14</v>
      </c>
      <c r="Q3799" s="18">
        <v>0</v>
      </c>
      <c r="U3799" s="22">
        <v>0.72</v>
      </c>
      <c r="V3799" s="22">
        <f>3.98/5</f>
        <v>0.79600000000000004</v>
      </c>
      <c r="X3799" s="3">
        <v>2</v>
      </c>
      <c r="Z3799" s="23">
        <v>5.5</v>
      </c>
      <c r="AB3799" s="18">
        <f t="shared" si="118"/>
        <v>2013</v>
      </c>
      <c r="AC3799" s="22">
        <f t="shared" si="119"/>
        <v>0.6386666666666666</v>
      </c>
    </row>
    <row r="3800" spans="1:29">
      <c r="A3800" s="8" t="s">
        <v>8798</v>
      </c>
      <c r="B3800" s="17" t="s">
        <v>7749</v>
      </c>
      <c r="C3800" s="13">
        <v>41277</v>
      </c>
      <c r="D3800" s="13" t="s">
        <v>8465</v>
      </c>
      <c r="E3800" s="10" t="s">
        <v>1534</v>
      </c>
      <c r="F3800" s="10" t="s">
        <v>8799</v>
      </c>
      <c r="H3800" s="2" t="s">
        <v>1377</v>
      </c>
      <c r="L3800" s="18">
        <v>1</v>
      </c>
      <c r="N3800" s="13">
        <v>44619</v>
      </c>
      <c r="O3800" s="29">
        <v>14.99</v>
      </c>
      <c r="P3800" s="18" t="s">
        <v>1107</v>
      </c>
      <c r="Q3800" s="18">
        <v>0</v>
      </c>
      <c r="U3800" s="22">
        <v>0.61</v>
      </c>
      <c r="V3800" s="22">
        <f>3.97/5</f>
        <v>0.79400000000000004</v>
      </c>
      <c r="X3800" s="3">
        <v>3</v>
      </c>
      <c r="Z3800" s="23">
        <v>36</v>
      </c>
      <c r="AB3800" s="18">
        <f t="shared" si="118"/>
        <v>2013</v>
      </c>
      <c r="AC3800" s="22">
        <f t="shared" si="119"/>
        <v>0.66800000000000004</v>
      </c>
    </row>
    <row r="3801" spans="1:29">
      <c r="A3801" s="8" t="s">
        <v>7145</v>
      </c>
      <c r="B3801" s="17" t="s">
        <v>7800</v>
      </c>
      <c r="C3801" s="12">
        <v>41275</v>
      </c>
      <c r="D3801" s="13" t="s">
        <v>8465</v>
      </c>
      <c r="E3801" s="10" t="s">
        <v>7226</v>
      </c>
      <c r="F3801" s="10" t="s">
        <v>7226</v>
      </c>
      <c r="H3801" s="2" t="s">
        <v>61</v>
      </c>
      <c r="L3801" s="18">
        <v>1</v>
      </c>
      <c r="O3801" s="29">
        <v>0</v>
      </c>
      <c r="P3801" s="18" t="s">
        <v>1107</v>
      </c>
      <c r="Q3801" s="18">
        <v>0</v>
      </c>
      <c r="V3801" s="22">
        <f>3.5/5</f>
        <v>0.7</v>
      </c>
      <c r="W3801" s="14" t="s">
        <v>7777</v>
      </c>
      <c r="X3801" s="3">
        <v>3</v>
      </c>
      <c r="AB3801" s="18">
        <f t="shared" si="118"/>
        <v>2013</v>
      </c>
      <c r="AC3801" s="22">
        <f t="shared" si="119"/>
        <v>0.64999999999999991</v>
      </c>
    </row>
    <row r="3802" spans="1:29" ht="25.5">
      <c r="A3802" s="8" t="s">
        <v>14426</v>
      </c>
      <c r="B3802" s="17" t="s">
        <v>6317</v>
      </c>
      <c r="C3802" s="24">
        <v>41275</v>
      </c>
      <c r="D3802" s="13" t="s">
        <v>8463</v>
      </c>
      <c r="E3802" s="10" t="s">
        <v>455</v>
      </c>
      <c r="F3802" s="10" t="s">
        <v>456</v>
      </c>
      <c r="G3802" s="11" t="s">
        <v>1661</v>
      </c>
      <c r="H3802" s="2" t="s">
        <v>171</v>
      </c>
      <c r="K3802" s="18">
        <v>0</v>
      </c>
      <c r="L3802" s="18">
        <v>0</v>
      </c>
      <c r="Q3802" s="18">
        <v>0</v>
      </c>
      <c r="V3802" s="22">
        <f>3.13/5</f>
        <v>0.626</v>
      </c>
      <c r="X3802" s="3">
        <v>2</v>
      </c>
      <c r="AB3802" s="18">
        <f t="shared" si="118"/>
        <v>2013</v>
      </c>
      <c r="AC3802" s="22">
        <f t="shared" si="119"/>
        <v>0.51300000000000001</v>
      </c>
    </row>
    <row r="3803" spans="1:29" ht="25.5">
      <c r="A3803" s="8" t="s">
        <v>5390</v>
      </c>
      <c r="B3803" s="17" t="s">
        <v>7800</v>
      </c>
      <c r="C3803" s="13">
        <v>41625</v>
      </c>
      <c r="D3803" s="13" t="s">
        <v>8465</v>
      </c>
      <c r="E3803" s="10" t="s">
        <v>3246</v>
      </c>
      <c r="F3803" s="10" t="s">
        <v>3246</v>
      </c>
      <c r="G3803" s="11" t="s">
        <v>5388</v>
      </c>
      <c r="H3803" s="2" t="s">
        <v>67</v>
      </c>
      <c r="L3803" s="18">
        <v>1</v>
      </c>
      <c r="N3803" s="13">
        <v>41877</v>
      </c>
      <c r="O3803" s="29">
        <v>9.99</v>
      </c>
      <c r="P3803" s="18" t="s">
        <v>1107</v>
      </c>
      <c r="Q3803" s="18">
        <v>1</v>
      </c>
      <c r="R3803" s="13">
        <v>41904</v>
      </c>
      <c r="S3803" s="21">
        <v>9.33</v>
      </c>
      <c r="T3803" s="22">
        <v>0.8</v>
      </c>
      <c r="U3803" s="22">
        <v>0.8</v>
      </c>
      <c r="V3803" s="22">
        <f>3.98/5</f>
        <v>0.79600000000000004</v>
      </c>
      <c r="W3803" s="14" t="s">
        <v>7777</v>
      </c>
      <c r="AB3803" s="18">
        <f t="shared" si="118"/>
        <v>2013</v>
      </c>
      <c r="AC3803" s="22">
        <f t="shared" si="119"/>
        <v>0.79866666666666664</v>
      </c>
    </row>
    <row r="3804" spans="1:29">
      <c r="A3804" s="8" t="s">
        <v>7356</v>
      </c>
      <c r="B3804" s="17" t="s">
        <v>7783</v>
      </c>
      <c r="C3804" s="13">
        <v>41620</v>
      </c>
      <c r="D3804" s="13" t="s">
        <v>8465</v>
      </c>
      <c r="E3804" s="10" t="s">
        <v>7354</v>
      </c>
      <c r="F3804" s="10" t="s">
        <v>7354</v>
      </c>
      <c r="G3804" s="11" t="s">
        <v>7353</v>
      </c>
      <c r="H3804" s="2" t="s">
        <v>78</v>
      </c>
      <c r="L3804" s="18">
        <v>1</v>
      </c>
      <c r="N3804" s="13">
        <v>41701</v>
      </c>
      <c r="O3804" s="29">
        <v>0.99</v>
      </c>
      <c r="P3804" s="18" t="s">
        <v>1107</v>
      </c>
      <c r="Q3804" s="18">
        <v>1</v>
      </c>
      <c r="R3804" s="13">
        <v>41715</v>
      </c>
      <c r="T3804" s="22">
        <v>0.9</v>
      </c>
      <c r="U3804" s="22">
        <v>0.9</v>
      </c>
      <c r="V3804" s="22">
        <f>4.18/5</f>
        <v>0.83599999999999997</v>
      </c>
      <c r="AB3804" s="18">
        <f t="shared" si="118"/>
        <v>2013</v>
      </c>
      <c r="AC3804" s="22">
        <f t="shared" si="119"/>
        <v>0.87866666666666671</v>
      </c>
    </row>
    <row r="3805" spans="1:29">
      <c r="A3805" s="8" t="s">
        <v>1112</v>
      </c>
      <c r="B3805" s="17" t="s">
        <v>7743</v>
      </c>
      <c r="C3805" s="13">
        <v>41600</v>
      </c>
      <c r="D3805" s="13" t="s">
        <v>8465</v>
      </c>
      <c r="E3805" s="10" t="s">
        <v>86</v>
      </c>
      <c r="F3805" s="10" t="s">
        <v>87</v>
      </c>
      <c r="G3805" s="11" t="s">
        <v>137</v>
      </c>
      <c r="H3805" s="2" t="s">
        <v>1040</v>
      </c>
      <c r="L3805" s="18">
        <v>1</v>
      </c>
      <c r="M3805" s="14" t="s">
        <v>8462</v>
      </c>
      <c r="N3805" s="13">
        <v>41830</v>
      </c>
      <c r="O3805" s="29">
        <v>52.22</v>
      </c>
      <c r="P3805" s="18" t="s">
        <v>14</v>
      </c>
      <c r="Q3805" s="18">
        <v>1</v>
      </c>
      <c r="R3805" s="13">
        <v>41936</v>
      </c>
      <c r="S3805" s="21">
        <v>13.05</v>
      </c>
      <c r="T3805" s="22">
        <v>0.9</v>
      </c>
      <c r="U3805" s="22">
        <v>0.93</v>
      </c>
      <c r="V3805" s="22">
        <f>4.34/5</f>
        <v>0.86799999999999999</v>
      </c>
      <c r="AB3805" s="18">
        <f t="shared" si="118"/>
        <v>2013</v>
      </c>
      <c r="AC3805" s="22">
        <f t="shared" si="119"/>
        <v>0.89933333333333332</v>
      </c>
    </row>
    <row r="3806" spans="1:29" ht="25.5">
      <c r="A3806" s="8" t="s">
        <v>2414</v>
      </c>
      <c r="B3806" s="17" t="s">
        <v>7749</v>
      </c>
      <c r="C3806" s="13">
        <v>41600</v>
      </c>
      <c r="D3806" s="13" t="s">
        <v>8465</v>
      </c>
      <c r="E3806" s="10" t="s">
        <v>86</v>
      </c>
      <c r="F3806" s="10" t="s">
        <v>87</v>
      </c>
      <c r="G3806" s="11" t="s">
        <v>85</v>
      </c>
      <c r="H3806" s="2" t="s">
        <v>80</v>
      </c>
      <c r="L3806" s="18">
        <v>1</v>
      </c>
      <c r="M3806" s="14" t="s">
        <v>8462</v>
      </c>
      <c r="P3806" s="18" t="s">
        <v>14</v>
      </c>
      <c r="Q3806" s="18">
        <v>1</v>
      </c>
      <c r="R3806" s="13">
        <v>41814</v>
      </c>
      <c r="S3806" s="21">
        <v>12.3</v>
      </c>
      <c r="T3806" s="22">
        <v>0.9</v>
      </c>
      <c r="U3806" s="22">
        <v>0.91</v>
      </c>
      <c r="V3806" s="22">
        <f>4.42/5</f>
        <v>0.88400000000000001</v>
      </c>
      <c r="AB3806" s="18">
        <f t="shared" si="118"/>
        <v>2013</v>
      </c>
      <c r="AC3806" s="22">
        <f t="shared" si="119"/>
        <v>0.89800000000000002</v>
      </c>
    </row>
    <row r="3807" spans="1:29" ht="30">
      <c r="A3807" s="8" t="s">
        <v>6196</v>
      </c>
      <c r="B3807" s="17" t="s">
        <v>7763</v>
      </c>
      <c r="C3807" s="13">
        <v>41600</v>
      </c>
      <c r="D3807" s="13" t="s">
        <v>8465</v>
      </c>
      <c r="E3807" s="10" t="s">
        <v>2908</v>
      </c>
      <c r="F3807" s="10" t="s">
        <v>5963</v>
      </c>
      <c r="G3807" s="11" t="s">
        <v>6196</v>
      </c>
      <c r="H3807" s="2" t="s">
        <v>1040</v>
      </c>
      <c r="L3807" s="18">
        <v>1</v>
      </c>
      <c r="M3807" s="14" t="s">
        <v>8462</v>
      </c>
      <c r="N3807" s="13">
        <v>43578</v>
      </c>
      <c r="O3807" s="29">
        <v>16.98</v>
      </c>
      <c r="P3807" s="18" t="s">
        <v>14</v>
      </c>
      <c r="Q3807" s="18">
        <v>1</v>
      </c>
      <c r="R3807" s="13">
        <v>45043</v>
      </c>
      <c r="T3807" s="22">
        <v>0.6</v>
      </c>
      <c r="U3807" s="22">
        <v>0.88</v>
      </c>
      <c r="V3807" s="22">
        <f>4.15/5</f>
        <v>0.83000000000000007</v>
      </c>
      <c r="AB3807" s="18">
        <f t="shared" si="118"/>
        <v>2013</v>
      </c>
      <c r="AC3807" s="22">
        <f t="shared" si="119"/>
        <v>0.77</v>
      </c>
    </row>
    <row r="3808" spans="1:29" ht="25.5">
      <c r="A3808" s="8" t="s">
        <v>6986</v>
      </c>
      <c r="B3808" s="17" t="s">
        <v>7800</v>
      </c>
      <c r="C3808" s="13">
        <v>41597</v>
      </c>
      <c r="D3808" s="13" t="s">
        <v>8465</v>
      </c>
      <c r="E3808" s="10" t="s">
        <v>1047</v>
      </c>
      <c r="F3808" s="10" t="s">
        <v>1048</v>
      </c>
      <c r="G3808" s="11" t="s">
        <v>1563</v>
      </c>
      <c r="H3808" s="2" t="s">
        <v>80</v>
      </c>
      <c r="L3808" s="18">
        <v>1</v>
      </c>
      <c r="O3808" s="29">
        <v>0</v>
      </c>
      <c r="P3808" s="18" t="s">
        <v>1107</v>
      </c>
      <c r="Q3808" s="18">
        <v>1</v>
      </c>
      <c r="R3808" s="13">
        <v>41703</v>
      </c>
      <c r="T3808" s="22">
        <v>0.9</v>
      </c>
      <c r="U3808" s="22">
        <v>0.83</v>
      </c>
      <c r="V3808" s="22">
        <f>3.96/5</f>
        <v>0.79200000000000004</v>
      </c>
      <c r="W3808" s="14" t="s">
        <v>7798</v>
      </c>
      <c r="AB3808" s="18">
        <f t="shared" si="118"/>
        <v>2013</v>
      </c>
      <c r="AC3808" s="22">
        <f t="shared" si="119"/>
        <v>0.84066666666666678</v>
      </c>
    </row>
    <row r="3809" spans="1:29" ht="25.5">
      <c r="A3809" s="8" t="s">
        <v>5378</v>
      </c>
      <c r="B3809" s="17" t="s">
        <v>7800</v>
      </c>
      <c r="C3809" s="13">
        <v>41576</v>
      </c>
      <c r="D3809" s="13" t="s">
        <v>8465</v>
      </c>
      <c r="E3809" s="10" t="s">
        <v>455</v>
      </c>
      <c r="F3809" s="10" t="s">
        <v>5379</v>
      </c>
      <c r="G3809" s="11" t="s">
        <v>1524</v>
      </c>
      <c r="H3809" s="2" t="s">
        <v>2138</v>
      </c>
      <c r="L3809" s="18">
        <v>1</v>
      </c>
      <c r="N3809" s="13">
        <v>41711</v>
      </c>
      <c r="P3809" s="18" t="s">
        <v>1107</v>
      </c>
      <c r="Q3809" s="18">
        <v>1</v>
      </c>
      <c r="R3809" s="13">
        <v>41714</v>
      </c>
      <c r="S3809" s="21">
        <v>4.0199999999999996</v>
      </c>
      <c r="T3809" s="22">
        <v>0.8</v>
      </c>
      <c r="U3809" s="22">
        <v>0.74</v>
      </c>
      <c r="V3809" s="22">
        <f>3.66/5</f>
        <v>0.73199999999999998</v>
      </c>
      <c r="W3809" s="14" t="s">
        <v>7777</v>
      </c>
      <c r="AB3809" s="18">
        <f t="shared" si="118"/>
        <v>2013</v>
      </c>
      <c r="AC3809" s="22">
        <f t="shared" si="119"/>
        <v>0.75733333333333341</v>
      </c>
    </row>
    <row r="3810" spans="1:29">
      <c r="A3810" s="8" t="s">
        <v>2814</v>
      </c>
      <c r="B3810" s="17" t="s">
        <v>7781</v>
      </c>
      <c r="C3810" s="13">
        <v>41571</v>
      </c>
      <c r="D3810" s="13" t="s">
        <v>8465</v>
      </c>
      <c r="E3810" s="10" t="s">
        <v>2827</v>
      </c>
      <c r="F3810" s="10" t="s">
        <v>2827</v>
      </c>
      <c r="G3810" s="11" t="s">
        <v>2828</v>
      </c>
      <c r="H3810" s="2" t="s">
        <v>1334</v>
      </c>
      <c r="L3810" s="18">
        <v>0</v>
      </c>
      <c r="Q3810" s="18">
        <v>1</v>
      </c>
      <c r="R3810" s="13">
        <v>41963</v>
      </c>
      <c r="T3810" s="22">
        <v>0.8</v>
      </c>
      <c r="V3810" s="22">
        <f>4/5</f>
        <v>0.8</v>
      </c>
      <c r="AB3810" s="18">
        <f t="shared" si="118"/>
        <v>2013</v>
      </c>
      <c r="AC3810" s="22">
        <f t="shared" si="119"/>
        <v>0.8</v>
      </c>
    </row>
    <row r="3811" spans="1:29" ht="45">
      <c r="A3811" s="8" t="s">
        <v>3267</v>
      </c>
      <c r="B3811" s="17" t="s">
        <v>7800</v>
      </c>
      <c r="C3811" s="13">
        <v>41571</v>
      </c>
      <c r="D3811" s="13" t="s">
        <v>8465</v>
      </c>
      <c r="E3811" s="10" t="s">
        <v>1156</v>
      </c>
      <c r="F3811" s="10" t="s">
        <v>3268</v>
      </c>
      <c r="G3811" s="11" t="s">
        <v>3264</v>
      </c>
      <c r="H3811" s="2" t="s">
        <v>80</v>
      </c>
      <c r="L3811" s="18">
        <v>1</v>
      </c>
      <c r="N3811" s="13">
        <v>41781</v>
      </c>
      <c r="O3811" s="29">
        <v>7.49</v>
      </c>
      <c r="P3811" s="18" t="s">
        <v>1107</v>
      </c>
      <c r="Q3811" s="18">
        <v>1</v>
      </c>
      <c r="R3811" s="13">
        <v>42501</v>
      </c>
      <c r="S3811" s="21">
        <v>10.42</v>
      </c>
      <c r="T3811" s="22">
        <v>0.8</v>
      </c>
      <c r="U3811" s="22">
        <v>0.74</v>
      </c>
      <c r="V3811" s="22">
        <f>3.64/5</f>
        <v>0.72799999999999998</v>
      </c>
      <c r="W3811" s="14" t="s">
        <v>7777</v>
      </c>
      <c r="AB3811" s="18">
        <f t="shared" si="118"/>
        <v>2013</v>
      </c>
      <c r="AC3811" s="22">
        <f t="shared" si="119"/>
        <v>0.75599999999999989</v>
      </c>
    </row>
    <row r="3812" spans="1:29" ht="30">
      <c r="A3812" s="8" t="s">
        <v>3800</v>
      </c>
      <c r="B3812" s="17" t="s">
        <v>7800</v>
      </c>
      <c r="C3812" s="13">
        <v>41571</v>
      </c>
      <c r="D3812" s="13" t="s">
        <v>8465</v>
      </c>
      <c r="E3812" s="10" t="s">
        <v>1604</v>
      </c>
      <c r="F3812" s="10" t="s">
        <v>3687</v>
      </c>
      <c r="H3812" s="2" t="s">
        <v>80</v>
      </c>
      <c r="L3812" s="18">
        <v>1</v>
      </c>
      <c r="N3812" s="13">
        <v>41576</v>
      </c>
      <c r="O3812" s="29">
        <v>0</v>
      </c>
      <c r="P3812" s="18" t="s">
        <v>1107</v>
      </c>
      <c r="Q3812" s="18">
        <v>1</v>
      </c>
      <c r="R3812" s="13">
        <v>41922</v>
      </c>
      <c r="S3812" s="21">
        <v>7.38</v>
      </c>
      <c r="T3812" s="22">
        <v>0.8</v>
      </c>
      <c r="U3812" s="22">
        <v>0.64</v>
      </c>
      <c r="V3812" s="22">
        <f>3.57/5</f>
        <v>0.71399999999999997</v>
      </c>
      <c r="W3812" s="14" t="s">
        <v>7777</v>
      </c>
      <c r="AB3812" s="18">
        <f t="shared" si="118"/>
        <v>2013</v>
      </c>
      <c r="AC3812" s="22">
        <f t="shared" si="119"/>
        <v>0.71799999999999997</v>
      </c>
    </row>
    <row r="3813" spans="1:29">
      <c r="A3813" s="8" t="s">
        <v>7857</v>
      </c>
      <c r="B3813" s="17" t="s">
        <v>7800</v>
      </c>
      <c r="C3813" s="13">
        <v>41565</v>
      </c>
      <c r="D3813" s="13" t="s">
        <v>8465</v>
      </c>
      <c r="E3813" s="10" t="s">
        <v>7858</v>
      </c>
      <c r="F3813" s="10" t="s">
        <v>7858</v>
      </c>
      <c r="H3813" s="2" t="s">
        <v>2820</v>
      </c>
      <c r="L3813" s="18">
        <v>1</v>
      </c>
      <c r="N3813" s="13">
        <v>41577</v>
      </c>
      <c r="O3813" s="29">
        <v>1.5</v>
      </c>
      <c r="P3813" s="18" t="s">
        <v>1107</v>
      </c>
      <c r="Q3813" s="18">
        <v>1</v>
      </c>
      <c r="R3813" s="13">
        <v>41579</v>
      </c>
      <c r="T3813" s="22">
        <v>0.7</v>
      </c>
      <c r="W3813" s="14" t="s">
        <v>3069</v>
      </c>
      <c r="AB3813" s="18">
        <f t="shared" si="118"/>
        <v>2013</v>
      </c>
      <c r="AC3813" s="22">
        <f t="shared" si="119"/>
        <v>0.7</v>
      </c>
    </row>
    <row r="3814" spans="1:29">
      <c r="A3814" s="8" t="s">
        <v>5365</v>
      </c>
      <c r="B3814" s="17" t="s">
        <v>7800</v>
      </c>
      <c r="C3814" s="13">
        <v>41564</v>
      </c>
      <c r="D3814" s="13" t="s">
        <v>8465</v>
      </c>
      <c r="E3814" s="10" t="s">
        <v>5366</v>
      </c>
      <c r="F3814" s="10" t="s">
        <v>5366</v>
      </c>
      <c r="H3814" s="2" t="s">
        <v>67</v>
      </c>
      <c r="L3814" s="18">
        <v>1</v>
      </c>
      <c r="N3814" s="13">
        <v>41969</v>
      </c>
      <c r="O3814" s="29">
        <v>4.49</v>
      </c>
      <c r="P3814" s="18" t="s">
        <v>1107</v>
      </c>
      <c r="Q3814" s="18">
        <v>1</v>
      </c>
      <c r="R3814" s="13">
        <v>41979</v>
      </c>
      <c r="S3814" s="21">
        <v>2.67</v>
      </c>
      <c r="T3814" s="22">
        <v>0.8</v>
      </c>
      <c r="U3814" s="22">
        <v>0.9</v>
      </c>
      <c r="V3814" s="22">
        <f>3.96/5</f>
        <v>0.79200000000000004</v>
      </c>
      <c r="W3814" s="14" t="s">
        <v>7777</v>
      </c>
      <c r="AB3814" s="18">
        <f t="shared" si="118"/>
        <v>2013</v>
      </c>
      <c r="AC3814" s="22">
        <f t="shared" si="119"/>
        <v>0.83066666666666666</v>
      </c>
    </row>
    <row r="3815" spans="1:29">
      <c r="A3815" s="8" t="s">
        <v>7504</v>
      </c>
      <c r="B3815" s="17" t="s">
        <v>7783</v>
      </c>
      <c r="C3815" s="13">
        <v>41564</v>
      </c>
      <c r="D3815" s="13" t="s">
        <v>8465</v>
      </c>
      <c r="E3815" s="10" t="s">
        <v>5605</v>
      </c>
      <c r="F3815" s="10" t="s">
        <v>5605</v>
      </c>
      <c r="H3815" s="2" t="s">
        <v>67</v>
      </c>
      <c r="L3815" s="18">
        <v>1</v>
      </c>
      <c r="N3815" s="13">
        <v>43612</v>
      </c>
      <c r="O3815" s="29">
        <v>3.99</v>
      </c>
      <c r="P3815" s="18" t="s">
        <v>1107</v>
      </c>
      <c r="Q3815" s="18">
        <v>1</v>
      </c>
      <c r="R3815" s="13">
        <v>43897</v>
      </c>
      <c r="T3815" s="22">
        <v>0.75</v>
      </c>
      <c r="U3815" s="22">
        <v>0.92</v>
      </c>
      <c r="V3815" s="22">
        <f>4.2/5</f>
        <v>0.84000000000000008</v>
      </c>
      <c r="AB3815" s="18">
        <f t="shared" si="118"/>
        <v>2013</v>
      </c>
      <c r="AC3815" s="22">
        <f t="shared" si="119"/>
        <v>0.83666666666666656</v>
      </c>
    </row>
    <row r="3816" spans="1:29">
      <c r="A3816" s="8" t="s">
        <v>2395</v>
      </c>
      <c r="B3816" s="17" t="s">
        <v>7749</v>
      </c>
      <c r="C3816" s="13">
        <v>41559</v>
      </c>
      <c r="D3816" s="13" t="s">
        <v>8465</v>
      </c>
      <c r="E3816" s="10" t="s">
        <v>86</v>
      </c>
      <c r="F3816" s="10" t="s">
        <v>1354</v>
      </c>
      <c r="G3816" s="11" t="s">
        <v>1470</v>
      </c>
      <c r="H3816" s="2" t="s">
        <v>149</v>
      </c>
      <c r="L3816" s="18">
        <v>1</v>
      </c>
      <c r="M3816" s="14" t="s">
        <v>8462</v>
      </c>
      <c r="P3816" s="18" t="s">
        <v>14</v>
      </c>
      <c r="Q3816" s="18">
        <v>1</v>
      </c>
      <c r="S3816" s="21">
        <v>33.229999999999997</v>
      </c>
      <c r="T3816" s="22">
        <v>0.9</v>
      </c>
      <c r="U3816" s="22">
        <v>0.87</v>
      </c>
      <c r="V3816" s="22">
        <f>4.39/5</f>
        <v>0.87799999999999989</v>
      </c>
      <c r="AB3816" s="18">
        <f t="shared" si="118"/>
        <v>2013</v>
      </c>
      <c r="AC3816" s="22">
        <f t="shared" si="119"/>
        <v>0.8826666666666666</v>
      </c>
    </row>
    <row r="3817" spans="1:29">
      <c r="A3817" s="8" t="s">
        <v>5396</v>
      </c>
      <c r="B3817" s="17" t="s">
        <v>7800</v>
      </c>
      <c r="C3817" s="13">
        <v>41558</v>
      </c>
      <c r="D3817" s="13" t="s">
        <v>8465</v>
      </c>
      <c r="E3817" s="10" t="s">
        <v>3246</v>
      </c>
      <c r="F3817" s="10" t="s">
        <v>3246</v>
      </c>
      <c r="G3817" s="11" t="s">
        <v>8240</v>
      </c>
      <c r="H3817" s="2" t="s">
        <v>67</v>
      </c>
      <c r="L3817" s="18">
        <v>1</v>
      </c>
      <c r="N3817" s="13">
        <v>41986</v>
      </c>
      <c r="O3817" s="29">
        <v>6.24</v>
      </c>
      <c r="P3817" s="18" t="s">
        <v>1107</v>
      </c>
      <c r="Q3817" s="18">
        <v>1</v>
      </c>
      <c r="R3817" s="13">
        <v>42249</v>
      </c>
      <c r="S3817" s="21">
        <v>8.6300000000000008</v>
      </c>
      <c r="T3817" s="22">
        <v>0.8</v>
      </c>
      <c r="U3817" s="22">
        <v>0.8</v>
      </c>
      <c r="V3817" s="22">
        <f>4/5</f>
        <v>0.8</v>
      </c>
      <c r="W3817" s="14" t="s">
        <v>7777</v>
      </c>
      <c r="AB3817" s="18">
        <f t="shared" si="118"/>
        <v>2013</v>
      </c>
      <c r="AC3817" s="22">
        <f t="shared" si="119"/>
        <v>0.80000000000000016</v>
      </c>
    </row>
    <row r="3818" spans="1:29">
      <c r="A3818" s="8" t="s">
        <v>10262</v>
      </c>
      <c r="B3818" s="17" t="s">
        <v>7749</v>
      </c>
      <c r="C3818" s="13">
        <v>41550</v>
      </c>
      <c r="D3818" s="13" t="s">
        <v>8465</v>
      </c>
      <c r="E3818" s="10" t="s">
        <v>1794</v>
      </c>
      <c r="F3818" s="10" t="s">
        <v>1794</v>
      </c>
      <c r="G3818" s="11" t="s">
        <v>10286</v>
      </c>
      <c r="H3818" s="2" t="s">
        <v>78</v>
      </c>
      <c r="L3818" s="18">
        <v>1</v>
      </c>
      <c r="N3818" s="13">
        <v>44624</v>
      </c>
      <c r="O3818" s="29">
        <v>5.99</v>
      </c>
      <c r="P3818" s="18" t="s">
        <v>1107</v>
      </c>
      <c r="Q3818" s="18">
        <v>1</v>
      </c>
      <c r="R3818" s="13">
        <v>44641</v>
      </c>
      <c r="S3818" s="21">
        <f>6+30/60</f>
        <v>6.5</v>
      </c>
      <c r="T3818" s="22">
        <v>0.6</v>
      </c>
      <c r="U3818" s="22">
        <v>0.66</v>
      </c>
      <c r="V3818" s="22">
        <f>3.93/5</f>
        <v>0.78600000000000003</v>
      </c>
      <c r="AB3818" s="18">
        <f t="shared" si="118"/>
        <v>2013</v>
      </c>
      <c r="AC3818" s="22">
        <f t="shared" si="119"/>
        <v>0.68200000000000005</v>
      </c>
    </row>
    <row r="3819" spans="1:29" ht="25.5">
      <c r="A3819" s="8" t="s">
        <v>1111</v>
      </c>
      <c r="B3819" s="17" t="s">
        <v>7743</v>
      </c>
      <c r="C3819" s="13">
        <v>41537</v>
      </c>
      <c r="D3819" s="13" t="s">
        <v>8465</v>
      </c>
      <c r="E3819" s="10" t="s">
        <v>86</v>
      </c>
      <c r="F3819" s="10" t="s">
        <v>87</v>
      </c>
      <c r="G3819" s="11" t="s">
        <v>85</v>
      </c>
      <c r="H3819" s="2" t="s">
        <v>80</v>
      </c>
      <c r="L3819" s="18">
        <v>1</v>
      </c>
      <c r="M3819" s="14" t="s">
        <v>8462</v>
      </c>
      <c r="N3819" s="13">
        <v>43320</v>
      </c>
      <c r="O3819" s="29">
        <v>16.39</v>
      </c>
      <c r="P3819" s="18" t="s">
        <v>8461</v>
      </c>
      <c r="Q3819" s="18">
        <v>1</v>
      </c>
      <c r="R3819" s="13">
        <v>41836</v>
      </c>
      <c r="S3819" s="21">
        <v>22.83</v>
      </c>
      <c r="T3819" s="22">
        <v>0.9</v>
      </c>
      <c r="U3819" s="22">
        <v>0.91</v>
      </c>
      <c r="V3819" s="22">
        <f>4.45/5</f>
        <v>0.89</v>
      </c>
      <c r="AB3819" s="18">
        <f t="shared" si="118"/>
        <v>2013</v>
      </c>
      <c r="AC3819" s="22">
        <f t="shared" si="119"/>
        <v>0.9</v>
      </c>
    </row>
    <row r="3820" spans="1:29">
      <c r="A3820" s="8" t="s">
        <v>2812</v>
      </c>
      <c r="B3820" s="17" t="s">
        <v>7781</v>
      </c>
      <c r="C3820" s="13">
        <v>41536</v>
      </c>
      <c r="D3820" s="13" t="s">
        <v>8465</v>
      </c>
      <c r="E3820" s="10" t="s">
        <v>2824</v>
      </c>
      <c r="F3820" s="10" t="s">
        <v>2824</v>
      </c>
      <c r="H3820" s="2" t="s">
        <v>78</v>
      </c>
      <c r="L3820" s="18">
        <v>0</v>
      </c>
      <c r="Q3820" s="18">
        <v>1</v>
      </c>
      <c r="R3820" s="13">
        <v>41545</v>
      </c>
      <c r="T3820" s="22">
        <v>0.8</v>
      </c>
      <c r="AB3820" s="18">
        <f t="shared" si="118"/>
        <v>2013</v>
      </c>
      <c r="AC3820" s="22">
        <f t="shared" si="119"/>
        <v>0.8</v>
      </c>
    </row>
    <row r="3821" spans="1:29" ht="25.5">
      <c r="A3821" s="8" t="s">
        <v>3170</v>
      </c>
      <c r="B3821" s="17" t="s">
        <v>7800</v>
      </c>
      <c r="C3821" s="13">
        <v>41527</v>
      </c>
      <c r="D3821" s="13" t="s">
        <v>8465</v>
      </c>
      <c r="E3821" s="10" t="s">
        <v>3171</v>
      </c>
      <c r="F3821" s="10" t="s">
        <v>3172</v>
      </c>
      <c r="G3821" s="11" t="s">
        <v>3173</v>
      </c>
      <c r="H3821" s="2" t="s">
        <v>1061</v>
      </c>
      <c r="L3821" s="18">
        <v>1</v>
      </c>
      <c r="N3821" s="13">
        <v>41810</v>
      </c>
      <c r="O3821" s="29">
        <v>4.03</v>
      </c>
      <c r="P3821" s="18" t="s">
        <v>1107</v>
      </c>
      <c r="Q3821" s="18">
        <v>1</v>
      </c>
      <c r="R3821" s="13">
        <v>41857</v>
      </c>
      <c r="S3821" s="21">
        <v>3.62</v>
      </c>
      <c r="T3821" s="22">
        <v>0.6</v>
      </c>
      <c r="U3821" s="22">
        <v>0.72</v>
      </c>
      <c r="V3821" s="22">
        <f>3.14/5</f>
        <v>0.628</v>
      </c>
      <c r="W3821" s="14" t="s">
        <v>7777</v>
      </c>
      <c r="AB3821" s="18">
        <f t="shared" si="118"/>
        <v>2013</v>
      </c>
      <c r="AC3821" s="22">
        <f t="shared" si="119"/>
        <v>0.64933333333333332</v>
      </c>
    </row>
    <row r="3822" spans="1:29">
      <c r="A3822" s="8" t="s">
        <v>4626</v>
      </c>
      <c r="B3822" s="17" t="s">
        <v>7800</v>
      </c>
      <c r="C3822" s="13">
        <v>41521</v>
      </c>
      <c r="D3822" s="13" t="s">
        <v>8465</v>
      </c>
      <c r="E3822" s="10" t="s">
        <v>4627</v>
      </c>
      <c r="F3822" s="10" t="s">
        <v>4627</v>
      </c>
      <c r="G3822" s="11" t="s">
        <v>4626</v>
      </c>
      <c r="H3822" s="2" t="s">
        <v>1061</v>
      </c>
      <c r="L3822" s="18">
        <v>1</v>
      </c>
      <c r="N3822" s="13">
        <v>41765</v>
      </c>
      <c r="O3822" s="29">
        <v>4.99</v>
      </c>
      <c r="P3822" s="18" t="s">
        <v>1107</v>
      </c>
      <c r="Q3822" s="18">
        <v>1</v>
      </c>
      <c r="R3822" s="13">
        <v>41876</v>
      </c>
      <c r="S3822" s="21">
        <v>4.38</v>
      </c>
      <c r="T3822" s="22">
        <v>0.8</v>
      </c>
      <c r="U3822" s="22">
        <v>0.8</v>
      </c>
      <c r="V3822" s="22">
        <f>3.61/5</f>
        <v>0.72199999999999998</v>
      </c>
      <c r="W3822" s="14" t="s">
        <v>7777</v>
      </c>
      <c r="AB3822" s="18">
        <f t="shared" si="118"/>
        <v>2013</v>
      </c>
      <c r="AC3822" s="22">
        <f t="shared" si="119"/>
        <v>0.77400000000000002</v>
      </c>
    </row>
    <row r="3823" spans="1:29" ht="25.5">
      <c r="A3823" s="8" t="s">
        <v>3380</v>
      </c>
      <c r="B3823" s="17" t="s">
        <v>7800</v>
      </c>
      <c r="C3823" s="13">
        <v>41520</v>
      </c>
      <c r="D3823" s="13" t="s">
        <v>8465</v>
      </c>
      <c r="E3823" s="10" t="s">
        <v>1571</v>
      </c>
      <c r="F3823" s="10" t="s">
        <v>3381</v>
      </c>
      <c r="H3823" s="2" t="s">
        <v>67</v>
      </c>
      <c r="L3823" s="18">
        <v>1</v>
      </c>
      <c r="N3823" s="13">
        <v>41647</v>
      </c>
      <c r="O3823" s="29">
        <v>7.49</v>
      </c>
      <c r="P3823" s="18" t="s">
        <v>1107</v>
      </c>
      <c r="Q3823" s="18">
        <v>1</v>
      </c>
      <c r="R3823" s="13">
        <v>41711</v>
      </c>
      <c r="T3823" s="22">
        <v>0.9</v>
      </c>
      <c r="U3823" s="22">
        <v>0.93</v>
      </c>
      <c r="V3823" s="22">
        <f>3.88/5</f>
        <v>0.77600000000000002</v>
      </c>
      <c r="W3823" s="14" t="s">
        <v>7777</v>
      </c>
      <c r="AB3823" s="18">
        <f t="shared" si="118"/>
        <v>2013</v>
      </c>
      <c r="AC3823" s="22">
        <f t="shared" si="119"/>
        <v>0.86866666666666659</v>
      </c>
    </row>
    <row r="3824" spans="1:29" ht="30">
      <c r="A3824" s="8" t="s">
        <v>9748</v>
      </c>
      <c r="B3824" s="17" t="s">
        <v>7800</v>
      </c>
      <c r="C3824" s="13">
        <v>41513</v>
      </c>
      <c r="D3824" s="13" t="s">
        <v>8465</v>
      </c>
      <c r="E3824" s="10" t="s">
        <v>1082</v>
      </c>
      <c r="F3824" s="10" t="s">
        <v>6119</v>
      </c>
      <c r="G3824" s="11" t="s">
        <v>126</v>
      </c>
      <c r="H3824" s="2" t="s">
        <v>9780</v>
      </c>
      <c r="L3824" s="18">
        <v>1</v>
      </c>
      <c r="N3824" s="13">
        <v>44235</v>
      </c>
      <c r="O3824" s="29">
        <v>29.99</v>
      </c>
      <c r="P3824" s="18" t="s">
        <v>1107</v>
      </c>
      <c r="Q3824" s="18">
        <v>1</v>
      </c>
      <c r="R3824" s="13">
        <v>44242</v>
      </c>
      <c r="S3824" s="21">
        <f>36+51/60</f>
        <v>36.85</v>
      </c>
      <c r="T3824" s="22">
        <v>0.9</v>
      </c>
      <c r="U3824" s="22">
        <v>0.83</v>
      </c>
      <c r="V3824" s="22">
        <f>4.15/5</f>
        <v>0.83000000000000007</v>
      </c>
      <c r="W3824" s="14" t="s">
        <v>1082</v>
      </c>
      <c r="AB3824" s="18">
        <f t="shared" si="118"/>
        <v>2013</v>
      </c>
      <c r="AC3824" s="22">
        <f t="shared" si="119"/>
        <v>0.85333333333333339</v>
      </c>
    </row>
    <row r="3825" spans="1:29">
      <c r="A3825" s="8" t="s">
        <v>3781</v>
      </c>
      <c r="B3825" s="17" t="s">
        <v>7800</v>
      </c>
      <c r="C3825" s="13">
        <v>41509</v>
      </c>
      <c r="D3825" s="13" t="s">
        <v>8465</v>
      </c>
      <c r="E3825" s="10" t="s">
        <v>3782</v>
      </c>
      <c r="F3825" s="10" t="s">
        <v>3782</v>
      </c>
      <c r="G3825" s="11" t="s">
        <v>3781</v>
      </c>
      <c r="H3825" s="2" t="s">
        <v>64</v>
      </c>
      <c r="L3825" s="18">
        <v>1</v>
      </c>
      <c r="N3825" s="13">
        <v>41584</v>
      </c>
      <c r="P3825" s="18" t="s">
        <v>1107</v>
      </c>
      <c r="Q3825" s="18">
        <v>1</v>
      </c>
      <c r="R3825" s="13">
        <v>41587</v>
      </c>
      <c r="S3825" s="21">
        <v>2.93</v>
      </c>
      <c r="T3825" s="22">
        <v>0.8</v>
      </c>
      <c r="U3825" s="22">
        <v>0.83</v>
      </c>
      <c r="V3825" s="22">
        <f>3.46/5</f>
        <v>0.69199999999999995</v>
      </c>
      <c r="W3825" s="14" t="s">
        <v>7777</v>
      </c>
      <c r="AB3825" s="18">
        <f t="shared" si="118"/>
        <v>2013</v>
      </c>
      <c r="AC3825" s="22">
        <f t="shared" si="119"/>
        <v>0.77400000000000002</v>
      </c>
    </row>
    <row r="3826" spans="1:29">
      <c r="A3826" s="8" t="s">
        <v>2811</v>
      </c>
      <c r="B3826" s="17" t="s">
        <v>7781</v>
      </c>
      <c r="C3826" s="13">
        <v>41507</v>
      </c>
      <c r="D3826" s="13" t="s">
        <v>8465</v>
      </c>
      <c r="E3826" s="10" t="s">
        <v>3272</v>
      </c>
      <c r="F3826" s="10" t="s">
        <v>2823</v>
      </c>
      <c r="H3826" s="2" t="s">
        <v>31</v>
      </c>
      <c r="L3826" s="18">
        <v>0</v>
      </c>
      <c r="Q3826" s="18">
        <v>1</v>
      </c>
      <c r="R3826" s="13">
        <v>41508</v>
      </c>
      <c r="S3826" s="21">
        <v>0.73</v>
      </c>
      <c r="T3826" s="22">
        <v>0.8</v>
      </c>
      <c r="V3826" s="22">
        <f>5/5</f>
        <v>1</v>
      </c>
      <c r="AB3826" s="18">
        <f t="shared" si="118"/>
        <v>2013</v>
      </c>
      <c r="AC3826" s="22">
        <f t="shared" si="119"/>
        <v>0.9</v>
      </c>
    </row>
    <row r="3827" spans="1:29">
      <c r="A3827" s="8" t="s">
        <v>4900</v>
      </c>
      <c r="B3827" s="17" t="s">
        <v>7800</v>
      </c>
      <c r="C3827" s="13">
        <v>41505</v>
      </c>
      <c r="D3827" s="13" t="s">
        <v>8465</v>
      </c>
      <c r="E3827" s="10" t="s">
        <v>1163</v>
      </c>
      <c r="F3827" s="10" t="s">
        <v>4901</v>
      </c>
      <c r="G3827" s="11" t="s">
        <v>1656</v>
      </c>
      <c r="H3827" s="2" t="s">
        <v>1168</v>
      </c>
      <c r="L3827" s="18">
        <v>1</v>
      </c>
      <c r="N3827" s="13">
        <v>41852</v>
      </c>
      <c r="O3827" s="29">
        <v>6.36</v>
      </c>
      <c r="P3827" s="18" t="s">
        <v>1107</v>
      </c>
      <c r="Q3827" s="18">
        <v>1</v>
      </c>
      <c r="R3827" s="13">
        <v>41864</v>
      </c>
      <c r="S3827" s="21">
        <v>19.13</v>
      </c>
      <c r="T3827" s="22">
        <v>0.8</v>
      </c>
      <c r="U3827" s="22">
        <v>0.89</v>
      </c>
      <c r="V3827" s="22">
        <f>3.73/5</f>
        <v>0.746</v>
      </c>
      <c r="W3827" s="14" t="s">
        <v>7777</v>
      </c>
      <c r="AB3827" s="18">
        <f t="shared" si="118"/>
        <v>2013</v>
      </c>
      <c r="AC3827" s="22">
        <f t="shared" si="119"/>
        <v>0.81199999999999994</v>
      </c>
    </row>
    <row r="3828" spans="1:29">
      <c r="A3828" s="8" t="s">
        <v>4005</v>
      </c>
      <c r="B3828" s="17" t="s">
        <v>7800</v>
      </c>
      <c r="C3828" s="13">
        <v>41501</v>
      </c>
      <c r="D3828" s="13" t="s">
        <v>8465</v>
      </c>
      <c r="E3828" s="10" t="s">
        <v>4006</v>
      </c>
      <c r="F3828" s="10" t="s">
        <v>4006</v>
      </c>
      <c r="H3828" s="2" t="s">
        <v>67</v>
      </c>
      <c r="L3828" s="18">
        <v>1</v>
      </c>
      <c r="N3828" s="13">
        <v>41771</v>
      </c>
      <c r="O3828" s="29">
        <v>4.99</v>
      </c>
      <c r="P3828" s="18" t="s">
        <v>1107</v>
      </c>
      <c r="Q3828" s="18">
        <v>1</v>
      </c>
      <c r="R3828" s="13">
        <v>41774</v>
      </c>
      <c r="S3828" s="21">
        <v>1.28</v>
      </c>
      <c r="T3828" s="22">
        <v>0.8</v>
      </c>
      <c r="U3828" s="22">
        <v>0.87</v>
      </c>
      <c r="V3828" s="22">
        <f>3.24/5</f>
        <v>0.64800000000000002</v>
      </c>
      <c r="W3828" s="14" t="s">
        <v>7777</v>
      </c>
      <c r="AB3828" s="18">
        <f t="shared" si="118"/>
        <v>2013</v>
      </c>
      <c r="AC3828" s="22">
        <f t="shared" si="119"/>
        <v>0.77266666666666672</v>
      </c>
    </row>
    <row r="3829" spans="1:29">
      <c r="A3829" s="8" t="s">
        <v>4082</v>
      </c>
      <c r="B3829" s="17" t="s">
        <v>7800</v>
      </c>
      <c r="C3829" s="13">
        <v>41498</v>
      </c>
      <c r="D3829" s="13" t="s">
        <v>8465</v>
      </c>
      <c r="E3829" s="10" t="s">
        <v>4083</v>
      </c>
      <c r="F3829" s="10" t="s">
        <v>4083</v>
      </c>
      <c r="H3829" s="2" t="s">
        <v>171</v>
      </c>
      <c r="L3829" s="18">
        <v>1</v>
      </c>
      <c r="N3829" s="13">
        <v>41499</v>
      </c>
      <c r="P3829" s="18" t="s">
        <v>1107</v>
      </c>
      <c r="Q3829" s="18">
        <v>1</v>
      </c>
      <c r="R3829" s="13">
        <v>41508</v>
      </c>
      <c r="S3829" s="21">
        <v>6.1</v>
      </c>
      <c r="T3829" s="22">
        <v>0.7</v>
      </c>
      <c r="U3829" s="22">
        <v>0.73</v>
      </c>
      <c r="V3829" s="22">
        <f>3.58/5</f>
        <v>0.71599999999999997</v>
      </c>
      <c r="W3829" s="14" t="s">
        <v>7777</v>
      </c>
      <c r="AB3829" s="18">
        <f t="shared" si="118"/>
        <v>2013</v>
      </c>
      <c r="AC3829" s="22">
        <f t="shared" si="119"/>
        <v>0.71533333333333327</v>
      </c>
    </row>
    <row r="3830" spans="1:29" ht="25.5">
      <c r="A3830" s="8" t="s">
        <v>2382</v>
      </c>
      <c r="B3830" s="17" t="s">
        <v>7749</v>
      </c>
      <c r="C3830" s="13">
        <v>41497</v>
      </c>
      <c r="D3830" s="13" t="s">
        <v>8465</v>
      </c>
      <c r="E3830" s="10" t="s">
        <v>86</v>
      </c>
      <c r="F3830" s="10" t="s">
        <v>1892</v>
      </c>
      <c r="G3830" s="11" t="s">
        <v>1893</v>
      </c>
      <c r="H3830" s="2" t="s">
        <v>149</v>
      </c>
      <c r="L3830" s="18">
        <v>1</v>
      </c>
      <c r="M3830" s="14" t="s">
        <v>8462</v>
      </c>
      <c r="N3830" s="13">
        <v>42649</v>
      </c>
      <c r="O3830" s="29">
        <v>39.200000000000003</v>
      </c>
      <c r="P3830" s="18" t="s">
        <v>14</v>
      </c>
      <c r="Q3830" s="18">
        <v>1</v>
      </c>
      <c r="R3830" s="13">
        <v>43795</v>
      </c>
      <c r="S3830" s="21">
        <v>39</v>
      </c>
      <c r="T3830" s="22">
        <v>0.5</v>
      </c>
      <c r="U3830" s="22">
        <v>0.81</v>
      </c>
      <c r="V3830" s="22">
        <f>3.97/5</f>
        <v>0.79400000000000004</v>
      </c>
      <c r="AB3830" s="18">
        <f t="shared" si="118"/>
        <v>2013</v>
      </c>
      <c r="AC3830" s="22">
        <f t="shared" si="119"/>
        <v>0.70133333333333336</v>
      </c>
    </row>
    <row r="3831" spans="1:29">
      <c r="A3831" s="8" t="s">
        <v>4658</v>
      </c>
      <c r="B3831" s="17" t="s">
        <v>7800</v>
      </c>
      <c r="C3831" s="13">
        <v>41494</v>
      </c>
      <c r="D3831" s="13" t="s">
        <v>8465</v>
      </c>
      <c r="E3831" s="10">
        <v>3909</v>
      </c>
      <c r="F3831" s="10">
        <v>3909</v>
      </c>
      <c r="H3831" s="2" t="s">
        <v>1334</v>
      </c>
      <c r="L3831" s="18">
        <v>1</v>
      </c>
      <c r="N3831" s="13">
        <v>41710</v>
      </c>
      <c r="O3831" s="29">
        <v>4.84</v>
      </c>
      <c r="P3831" s="18" t="s">
        <v>1107</v>
      </c>
      <c r="Q3831" s="18">
        <v>1</v>
      </c>
      <c r="R3831" s="13">
        <v>41719</v>
      </c>
      <c r="T3831" s="22">
        <v>0.8</v>
      </c>
      <c r="U3831" s="22">
        <v>0.82</v>
      </c>
      <c r="V3831" s="22">
        <f>3.92/5</f>
        <v>0.78400000000000003</v>
      </c>
      <c r="W3831" s="14" t="s">
        <v>7777</v>
      </c>
      <c r="AB3831" s="18">
        <f t="shared" si="118"/>
        <v>2013</v>
      </c>
      <c r="AC3831" s="22">
        <f t="shared" si="119"/>
        <v>0.80133333333333334</v>
      </c>
    </row>
    <row r="3832" spans="1:29">
      <c r="A3832" s="8" t="s">
        <v>4510</v>
      </c>
      <c r="B3832" s="17" t="s">
        <v>7800</v>
      </c>
      <c r="C3832" s="13">
        <v>41486</v>
      </c>
      <c r="D3832" s="13" t="s">
        <v>8465</v>
      </c>
      <c r="E3832" s="10" t="s">
        <v>4511</v>
      </c>
      <c r="F3832" s="10" t="s">
        <v>4512</v>
      </c>
      <c r="H3832" s="2" t="s">
        <v>1054</v>
      </c>
      <c r="L3832" s="18">
        <v>1</v>
      </c>
      <c r="N3832" s="13">
        <v>41708</v>
      </c>
      <c r="O3832" s="29">
        <v>1.99</v>
      </c>
      <c r="P3832" s="18" t="s">
        <v>1107</v>
      </c>
      <c r="Q3832" s="18">
        <v>1</v>
      </c>
      <c r="R3832" s="13">
        <v>41711</v>
      </c>
      <c r="S3832" s="21">
        <v>3.15</v>
      </c>
      <c r="T3832" s="22">
        <v>0.5</v>
      </c>
      <c r="U3832" s="22">
        <v>0.65</v>
      </c>
      <c r="V3832" s="22">
        <f>2.08/5</f>
        <v>0.41600000000000004</v>
      </c>
      <c r="W3832" s="14" t="s">
        <v>7777</v>
      </c>
      <c r="AB3832" s="18">
        <f t="shared" si="118"/>
        <v>2013</v>
      </c>
      <c r="AC3832" s="22">
        <f t="shared" si="119"/>
        <v>0.52199999999999991</v>
      </c>
    </row>
    <row r="3833" spans="1:29">
      <c r="A3833" s="8" t="s">
        <v>7317</v>
      </c>
      <c r="B3833" s="17" t="s">
        <v>7783</v>
      </c>
      <c r="C3833" s="13">
        <v>41481</v>
      </c>
      <c r="D3833" s="13" t="s">
        <v>8465</v>
      </c>
      <c r="E3833" s="10" t="s">
        <v>7318</v>
      </c>
      <c r="F3833" s="10" t="s">
        <v>7318</v>
      </c>
      <c r="G3833" s="11" t="s">
        <v>7319</v>
      </c>
      <c r="H3833" s="2" t="s">
        <v>64</v>
      </c>
      <c r="L3833" s="18">
        <v>1</v>
      </c>
      <c r="N3833" s="13">
        <v>41613</v>
      </c>
      <c r="O3833" s="29">
        <v>0.99</v>
      </c>
      <c r="P3833" s="18" t="s">
        <v>1107</v>
      </c>
      <c r="Q3833" s="18">
        <v>1</v>
      </c>
      <c r="R3833" s="13">
        <v>41624</v>
      </c>
      <c r="S3833" s="21">
        <v>0.71</v>
      </c>
      <c r="T3833" s="22">
        <v>0.9</v>
      </c>
      <c r="U3833" s="22">
        <v>0.88</v>
      </c>
      <c r="V3833" s="22">
        <f>3.94/5</f>
        <v>0.78800000000000003</v>
      </c>
      <c r="AB3833" s="18">
        <f t="shared" si="118"/>
        <v>2013</v>
      </c>
      <c r="AC3833" s="22">
        <f t="shared" si="119"/>
        <v>0.85599999999999998</v>
      </c>
    </row>
    <row r="3834" spans="1:29">
      <c r="A3834" s="8" t="s">
        <v>10261</v>
      </c>
      <c r="B3834" s="17" t="s">
        <v>7749</v>
      </c>
      <c r="C3834" s="13">
        <v>41480</v>
      </c>
      <c r="D3834" s="13" t="s">
        <v>8465</v>
      </c>
      <c r="E3834" s="10" t="s">
        <v>1794</v>
      </c>
      <c r="F3834" s="10" t="s">
        <v>1794</v>
      </c>
      <c r="G3834" s="11" t="s">
        <v>10286</v>
      </c>
      <c r="H3834" s="2" t="s">
        <v>78</v>
      </c>
      <c r="L3834" s="18">
        <v>1</v>
      </c>
      <c r="N3834" s="13">
        <v>44624</v>
      </c>
      <c r="O3834" s="29">
        <v>5.99</v>
      </c>
      <c r="P3834" s="18" t="s">
        <v>1107</v>
      </c>
      <c r="Q3834" s="18">
        <v>1</v>
      </c>
      <c r="R3834" s="13">
        <v>44630</v>
      </c>
      <c r="S3834" s="21">
        <f>5+27/60</f>
        <v>5.45</v>
      </c>
      <c r="T3834" s="22">
        <v>0.8</v>
      </c>
      <c r="U3834" s="22">
        <v>0.68</v>
      </c>
      <c r="V3834" s="22">
        <f>3.92/5</f>
        <v>0.78400000000000003</v>
      </c>
      <c r="AB3834" s="18">
        <f t="shared" si="118"/>
        <v>2013</v>
      </c>
      <c r="AC3834" s="22">
        <f t="shared" si="119"/>
        <v>0.75466666666666671</v>
      </c>
    </row>
    <row r="3835" spans="1:29">
      <c r="A3835" s="8" t="s">
        <v>4192</v>
      </c>
      <c r="B3835" s="17" t="s">
        <v>7800</v>
      </c>
      <c r="C3835" s="13">
        <v>41478</v>
      </c>
      <c r="D3835" s="13" t="s">
        <v>8465</v>
      </c>
      <c r="E3835" s="10" t="s">
        <v>3410</v>
      </c>
      <c r="F3835" s="10" t="s">
        <v>3410</v>
      </c>
      <c r="G3835" s="11" t="s">
        <v>4192</v>
      </c>
      <c r="H3835" s="2" t="s">
        <v>80</v>
      </c>
      <c r="L3835" s="18">
        <v>1</v>
      </c>
      <c r="N3835" s="13">
        <v>41507</v>
      </c>
      <c r="P3835" s="18" t="s">
        <v>1107</v>
      </c>
      <c r="Q3835" s="18">
        <v>1</v>
      </c>
      <c r="R3835" s="13">
        <v>41649</v>
      </c>
      <c r="S3835" s="21">
        <v>2.17</v>
      </c>
      <c r="T3835" s="22">
        <v>0.8</v>
      </c>
      <c r="U3835" s="22">
        <v>0.65</v>
      </c>
      <c r="V3835" s="22">
        <f>3.65/5</f>
        <v>0.73</v>
      </c>
      <c r="W3835" s="14" t="s">
        <v>7777</v>
      </c>
      <c r="AB3835" s="18">
        <f t="shared" si="118"/>
        <v>2013</v>
      </c>
      <c r="AC3835" s="22">
        <f t="shared" si="119"/>
        <v>0.72666666666666668</v>
      </c>
    </row>
    <row r="3836" spans="1:29" ht="25.5">
      <c r="A3836" s="8" t="s">
        <v>2426</v>
      </c>
      <c r="B3836" s="17" t="s">
        <v>7749</v>
      </c>
      <c r="C3836" s="13">
        <v>41473</v>
      </c>
      <c r="D3836" s="13" t="s">
        <v>8465</v>
      </c>
      <c r="E3836" s="10" t="s">
        <v>2129</v>
      </c>
      <c r="F3836" s="10" t="s">
        <v>2470</v>
      </c>
      <c r="G3836" s="11" t="s">
        <v>2469</v>
      </c>
      <c r="H3836" s="2" t="s">
        <v>1334</v>
      </c>
      <c r="L3836" s="18">
        <v>1</v>
      </c>
      <c r="N3836" s="13">
        <v>41998</v>
      </c>
      <c r="O3836" s="29">
        <v>2.99</v>
      </c>
      <c r="P3836" s="18" t="s">
        <v>1107</v>
      </c>
      <c r="Q3836" s="18">
        <v>1</v>
      </c>
      <c r="R3836" s="13">
        <v>42197</v>
      </c>
      <c r="S3836" s="21">
        <v>2.67</v>
      </c>
      <c r="T3836" s="22">
        <v>0.8</v>
      </c>
      <c r="U3836" s="22">
        <v>0.74</v>
      </c>
      <c r="V3836" s="22">
        <f>3.76/5</f>
        <v>0.752</v>
      </c>
      <c r="AB3836" s="18">
        <f t="shared" si="118"/>
        <v>2013</v>
      </c>
      <c r="AC3836" s="22">
        <f t="shared" si="119"/>
        <v>0.7639999999999999</v>
      </c>
    </row>
    <row r="3837" spans="1:29">
      <c r="A3837" s="8" t="s">
        <v>3344</v>
      </c>
      <c r="B3837" s="17" t="s">
        <v>7800</v>
      </c>
      <c r="C3837" s="13">
        <v>41458</v>
      </c>
      <c r="D3837" s="13" t="s">
        <v>8465</v>
      </c>
      <c r="E3837" s="10" t="s">
        <v>3345</v>
      </c>
      <c r="F3837" s="10" t="s">
        <v>3345</v>
      </c>
      <c r="G3837" s="11" t="s">
        <v>3344</v>
      </c>
      <c r="H3837" s="2" t="s">
        <v>56</v>
      </c>
      <c r="L3837" s="18">
        <v>1</v>
      </c>
      <c r="N3837" s="13">
        <v>41480</v>
      </c>
      <c r="P3837" s="18" t="s">
        <v>1107</v>
      </c>
      <c r="Q3837" s="18">
        <v>1</v>
      </c>
      <c r="R3837" s="13">
        <v>41496</v>
      </c>
      <c r="S3837" s="21">
        <v>2.1</v>
      </c>
      <c r="T3837" s="22">
        <v>0.8</v>
      </c>
      <c r="U3837" s="22">
        <v>0.77</v>
      </c>
      <c r="V3837" s="22">
        <f>3.54/5</f>
        <v>0.70799999999999996</v>
      </c>
      <c r="W3837" s="14" t="s">
        <v>7777</v>
      </c>
      <c r="AB3837" s="18">
        <f t="shared" si="118"/>
        <v>2013</v>
      </c>
      <c r="AC3837" s="22">
        <f t="shared" si="119"/>
        <v>0.7593333333333333</v>
      </c>
    </row>
    <row r="3838" spans="1:29" ht="30">
      <c r="A3838" s="8" t="s">
        <v>2438</v>
      </c>
      <c r="B3838" s="17" t="s">
        <v>7749</v>
      </c>
      <c r="C3838" s="13">
        <v>41438</v>
      </c>
      <c r="D3838" s="13" t="s">
        <v>8465</v>
      </c>
      <c r="E3838" s="10" t="s">
        <v>1084</v>
      </c>
      <c r="F3838" s="10" t="s">
        <v>1084</v>
      </c>
      <c r="G3838" s="11" t="s">
        <v>9995</v>
      </c>
      <c r="H3838" s="2" t="s">
        <v>27</v>
      </c>
      <c r="L3838" s="18">
        <v>1</v>
      </c>
      <c r="N3838" s="13">
        <v>41439</v>
      </c>
      <c r="O3838" s="29">
        <v>5.99</v>
      </c>
      <c r="P3838" s="18" t="s">
        <v>1107</v>
      </c>
      <c r="Q3838" s="18">
        <v>1</v>
      </c>
      <c r="R3838" s="13">
        <v>41484</v>
      </c>
      <c r="S3838" s="21">
        <v>1.98</v>
      </c>
      <c r="T3838" s="22">
        <v>0.8</v>
      </c>
      <c r="U3838" s="22">
        <v>0.72</v>
      </c>
      <c r="V3838" s="22">
        <f>3.92/5</f>
        <v>0.78400000000000003</v>
      </c>
      <c r="AB3838" s="18">
        <f t="shared" si="118"/>
        <v>2013</v>
      </c>
      <c r="AC3838" s="22">
        <f t="shared" si="119"/>
        <v>0.76800000000000013</v>
      </c>
    </row>
    <row r="3839" spans="1:29">
      <c r="A3839" s="8" t="s">
        <v>10260</v>
      </c>
      <c r="B3839" s="17" t="s">
        <v>7749</v>
      </c>
      <c r="C3839" s="13">
        <v>41438</v>
      </c>
      <c r="D3839" s="13" t="s">
        <v>8465</v>
      </c>
      <c r="E3839" s="10" t="s">
        <v>1794</v>
      </c>
      <c r="F3839" s="10" t="s">
        <v>1794</v>
      </c>
      <c r="G3839" s="11" t="s">
        <v>10286</v>
      </c>
      <c r="H3839" s="2" t="s">
        <v>78</v>
      </c>
      <c r="L3839" s="18">
        <v>1</v>
      </c>
      <c r="N3839" s="13">
        <v>44619</v>
      </c>
      <c r="O3839" s="29">
        <v>5.99</v>
      </c>
      <c r="P3839" s="18" t="s">
        <v>1107</v>
      </c>
      <c r="Q3839" s="18">
        <v>1</v>
      </c>
      <c r="R3839" s="13">
        <v>44627</v>
      </c>
      <c r="S3839" s="21">
        <f>7+32/60</f>
        <v>7.5333333333333332</v>
      </c>
      <c r="T3839" s="22">
        <v>0.8</v>
      </c>
      <c r="U3839" s="22">
        <v>0.73</v>
      </c>
      <c r="V3839" s="22">
        <f>3.85/5</f>
        <v>0.77</v>
      </c>
      <c r="AB3839" s="18">
        <f t="shared" si="118"/>
        <v>2013</v>
      </c>
      <c r="AC3839" s="22">
        <f t="shared" si="119"/>
        <v>0.76666666666666661</v>
      </c>
    </row>
    <row r="3840" spans="1:29">
      <c r="A3840" s="8" t="s">
        <v>2813</v>
      </c>
      <c r="B3840" s="17" t="s">
        <v>7781</v>
      </c>
      <c r="C3840" s="13">
        <v>41435</v>
      </c>
      <c r="D3840" s="13" t="s">
        <v>8465</v>
      </c>
      <c r="E3840" s="10" t="s">
        <v>2825</v>
      </c>
      <c r="F3840" s="10" t="s">
        <v>2825</v>
      </c>
      <c r="H3840" s="2" t="s">
        <v>2826</v>
      </c>
      <c r="L3840" s="18">
        <v>0</v>
      </c>
      <c r="Q3840" s="18">
        <v>1</v>
      </c>
      <c r="R3840" s="13">
        <v>41638</v>
      </c>
      <c r="T3840" s="22">
        <v>0.8</v>
      </c>
      <c r="AB3840" s="18">
        <f t="shared" si="118"/>
        <v>2013</v>
      </c>
      <c r="AC3840" s="22">
        <f t="shared" si="119"/>
        <v>0.8</v>
      </c>
    </row>
    <row r="3841" spans="1:29" ht="25.5">
      <c r="A3841" s="8" t="s">
        <v>2485</v>
      </c>
      <c r="B3841" s="17" t="s">
        <v>7749</v>
      </c>
      <c r="C3841" s="13">
        <v>41434</v>
      </c>
      <c r="D3841" s="13" t="s">
        <v>8465</v>
      </c>
      <c r="E3841" s="10" t="s">
        <v>86</v>
      </c>
      <c r="F3841" s="10" t="s">
        <v>87</v>
      </c>
      <c r="G3841" s="11" t="s">
        <v>901</v>
      </c>
      <c r="H3841" s="2" t="s">
        <v>1334</v>
      </c>
      <c r="L3841" s="18">
        <v>0</v>
      </c>
      <c r="Q3841" s="18">
        <v>1</v>
      </c>
      <c r="T3841" s="22">
        <v>0.9</v>
      </c>
      <c r="U3841" s="22">
        <v>0.87</v>
      </c>
      <c r="V3841" s="22">
        <f>4.47/5</f>
        <v>0.89399999999999991</v>
      </c>
      <c r="Y3841" s="18">
        <v>1</v>
      </c>
      <c r="AB3841" s="18">
        <f t="shared" ref="AB3841:AB3904" si="120">IFERROR(YEAR(C3841), "Early Access")</f>
        <v>2013</v>
      </c>
      <c r="AC3841" s="22">
        <f t="shared" ref="AC3841:AC3904" si="121">AVERAGE(T3841, U3841, V3841, IF(ISBLANK(X3841), X3841, X3841/5))</f>
        <v>0.8879999999999999</v>
      </c>
    </row>
    <row r="3842" spans="1:29">
      <c r="A3842" s="8" t="s">
        <v>5470</v>
      </c>
      <c r="B3842" s="17" t="s">
        <v>7800</v>
      </c>
      <c r="C3842" s="13">
        <v>41431</v>
      </c>
      <c r="D3842" s="13" t="s">
        <v>8465</v>
      </c>
      <c r="E3842" s="10" t="s">
        <v>4544</v>
      </c>
      <c r="F3842" s="10" t="s">
        <v>4544</v>
      </c>
      <c r="G3842" s="11" t="s">
        <v>5469</v>
      </c>
      <c r="H3842" s="2" t="s">
        <v>27</v>
      </c>
      <c r="L3842" s="18">
        <v>1</v>
      </c>
      <c r="N3842" s="13">
        <v>41103</v>
      </c>
      <c r="O3842" s="29">
        <v>3.74</v>
      </c>
      <c r="P3842" s="18" t="s">
        <v>1107</v>
      </c>
      <c r="Q3842" s="18">
        <v>1</v>
      </c>
      <c r="S3842" s="21">
        <v>9.3000000000000007</v>
      </c>
      <c r="T3842" s="22">
        <v>0.8</v>
      </c>
      <c r="U3842" s="22">
        <v>0.85</v>
      </c>
      <c r="V3842" s="22">
        <f>3.64/5</f>
        <v>0.72799999999999998</v>
      </c>
      <c r="W3842" s="14" t="s">
        <v>7777</v>
      </c>
      <c r="AB3842" s="18">
        <f t="shared" si="120"/>
        <v>2013</v>
      </c>
      <c r="AC3842" s="22">
        <f t="shared" si="121"/>
        <v>0.79266666666666674</v>
      </c>
    </row>
    <row r="3843" spans="1:29" ht="25.5">
      <c r="A3843" s="8" t="s">
        <v>3783</v>
      </c>
      <c r="B3843" s="17" t="s">
        <v>7800</v>
      </c>
      <c r="C3843" s="13">
        <v>41431</v>
      </c>
      <c r="D3843" s="13" t="s">
        <v>8465</v>
      </c>
      <c r="E3843" s="10" t="s">
        <v>3784</v>
      </c>
      <c r="F3843" s="10" t="s">
        <v>3782</v>
      </c>
      <c r="G3843" s="11" t="s">
        <v>3781</v>
      </c>
      <c r="H3843" s="2" t="s">
        <v>64</v>
      </c>
      <c r="L3843" s="18">
        <v>1</v>
      </c>
      <c r="N3843" s="13">
        <v>41842</v>
      </c>
      <c r="O3843" s="29">
        <v>0.27</v>
      </c>
      <c r="P3843" s="18" t="s">
        <v>1107</v>
      </c>
      <c r="Q3843" s="18">
        <v>1</v>
      </c>
      <c r="R3843" s="13">
        <v>41852</v>
      </c>
      <c r="S3843" s="21">
        <v>0.88</v>
      </c>
      <c r="T3843" s="22">
        <v>0.8</v>
      </c>
      <c r="U3843" s="22">
        <v>0.6</v>
      </c>
      <c r="V3843" s="22">
        <f>3.34/5</f>
        <v>0.66799999999999993</v>
      </c>
      <c r="W3843" s="14" t="s">
        <v>7777</v>
      </c>
      <c r="AB3843" s="18">
        <f t="shared" si="120"/>
        <v>2013</v>
      </c>
      <c r="AC3843" s="22">
        <f t="shared" si="121"/>
        <v>0.68933333333333324</v>
      </c>
    </row>
    <row r="3844" spans="1:29" ht="30">
      <c r="A3844" s="8" t="s">
        <v>4055</v>
      </c>
      <c r="B3844" s="17" t="s">
        <v>7800</v>
      </c>
      <c r="C3844" s="13">
        <v>41428</v>
      </c>
      <c r="D3844" s="13" t="s">
        <v>8465</v>
      </c>
      <c r="E3844" s="10" t="s">
        <v>4056</v>
      </c>
      <c r="F3844" s="10" t="s">
        <v>4056</v>
      </c>
      <c r="H3844" s="2" t="s">
        <v>245</v>
      </c>
      <c r="L3844" s="18">
        <v>1</v>
      </c>
      <c r="N3844" s="13">
        <v>41807</v>
      </c>
      <c r="O3844" s="29">
        <v>0.38</v>
      </c>
      <c r="P3844" s="18" t="s">
        <v>1107</v>
      </c>
      <c r="Q3844" s="18">
        <v>1</v>
      </c>
      <c r="R3844" s="13">
        <v>41809</v>
      </c>
      <c r="S3844" s="21">
        <v>2.0499999999999998</v>
      </c>
      <c r="T3844" s="22">
        <v>0.8</v>
      </c>
      <c r="U3844" s="22">
        <v>0.87</v>
      </c>
      <c r="V3844" s="22">
        <f>3.8/5</f>
        <v>0.76</v>
      </c>
      <c r="W3844" s="14" t="s">
        <v>7777</v>
      </c>
      <c r="AB3844" s="18">
        <f t="shared" si="120"/>
        <v>2013</v>
      </c>
      <c r="AC3844" s="22">
        <f t="shared" si="121"/>
        <v>0.80999999999999994</v>
      </c>
    </row>
    <row r="3845" spans="1:29" ht="25.5">
      <c r="A3845" s="8" t="s">
        <v>1821</v>
      </c>
      <c r="B3845" s="17" t="s">
        <v>7749</v>
      </c>
      <c r="C3845" s="13">
        <v>41424</v>
      </c>
      <c r="D3845" s="13" t="s">
        <v>8465</v>
      </c>
      <c r="E3845" s="10" t="s">
        <v>86</v>
      </c>
      <c r="F3845" s="10" t="s">
        <v>86</v>
      </c>
      <c r="G3845" s="11" t="s">
        <v>85</v>
      </c>
      <c r="H3845" s="2" t="s">
        <v>80</v>
      </c>
      <c r="L3845" s="18">
        <v>1</v>
      </c>
      <c r="N3845" s="13">
        <v>41429</v>
      </c>
      <c r="O3845" s="29">
        <v>4.99</v>
      </c>
      <c r="P3845" s="18" t="s">
        <v>1107</v>
      </c>
      <c r="Q3845" s="18">
        <v>1</v>
      </c>
      <c r="R3845" s="13">
        <v>41488</v>
      </c>
      <c r="S3845" s="21">
        <v>16.7</v>
      </c>
      <c r="T3845" s="22">
        <v>0.9</v>
      </c>
      <c r="V3845" s="22">
        <f>4.15/5</f>
        <v>0.83000000000000007</v>
      </c>
      <c r="W3845" s="14" t="s">
        <v>1068</v>
      </c>
      <c r="AB3845" s="18">
        <f t="shared" si="120"/>
        <v>2013</v>
      </c>
      <c r="AC3845" s="22">
        <f t="shared" si="121"/>
        <v>0.86499999999999999</v>
      </c>
    </row>
    <row r="3846" spans="1:29">
      <c r="A3846" s="8" t="s">
        <v>5370</v>
      </c>
      <c r="B3846" s="17" t="s">
        <v>7800</v>
      </c>
      <c r="C3846" s="13">
        <v>41424</v>
      </c>
      <c r="D3846" s="13" t="s">
        <v>8465</v>
      </c>
      <c r="E3846" s="10" t="s">
        <v>5371</v>
      </c>
      <c r="F3846" s="10" t="s">
        <v>5371</v>
      </c>
      <c r="H3846" s="2" t="s">
        <v>151</v>
      </c>
      <c r="L3846" s="18">
        <v>1</v>
      </c>
      <c r="N3846" s="13">
        <v>41688</v>
      </c>
      <c r="P3846" s="18" t="s">
        <v>1107</v>
      </c>
      <c r="Q3846" s="18">
        <v>1</v>
      </c>
      <c r="R3846" s="13">
        <v>41723</v>
      </c>
      <c r="S3846" s="21">
        <v>3.25</v>
      </c>
      <c r="T3846" s="22">
        <v>0.9</v>
      </c>
      <c r="U3846" s="22">
        <v>0.88</v>
      </c>
      <c r="V3846" s="22">
        <f>3.87/5</f>
        <v>0.77400000000000002</v>
      </c>
      <c r="W3846" s="14" t="s">
        <v>7777</v>
      </c>
      <c r="AB3846" s="18">
        <f t="shared" si="120"/>
        <v>2013</v>
      </c>
      <c r="AC3846" s="22">
        <f t="shared" si="121"/>
        <v>0.85133333333333339</v>
      </c>
    </row>
    <row r="3847" spans="1:29" ht="25.5">
      <c r="A3847" s="8" t="s">
        <v>2487</v>
      </c>
      <c r="B3847" s="17" t="s">
        <v>7749</v>
      </c>
      <c r="C3847" s="13">
        <v>41418</v>
      </c>
      <c r="D3847" s="13" t="s">
        <v>8465</v>
      </c>
      <c r="E3847" s="10" t="s">
        <v>86</v>
      </c>
      <c r="F3847" s="10" t="s">
        <v>1517</v>
      </c>
      <c r="G3847" s="11" t="s">
        <v>1254</v>
      </c>
      <c r="H3847" s="2" t="s">
        <v>64</v>
      </c>
      <c r="L3847" s="18">
        <v>0</v>
      </c>
      <c r="Q3847" s="18">
        <v>1</v>
      </c>
      <c r="S3847" s="21">
        <v>10.07</v>
      </c>
      <c r="T3847" s="22">
        <v>0.9</v>
      </c>
      <c r="U3847" s="22">
        <v>0.84</v>
      </c>
      <c r="V3847" s="22">
        <f>4.01/5</f>
        <v>0.80199999999999994</v>
      </c>
      <c r="Y3847" s="18">
        <v>1</v>
      </c>
      <c r="AB3847" s="18">
        <f t="shared" si="120"/>
        <v>2013</v>
      </c>
      <c r="AC3847" s="22">
        <f t="shared" si="121"/>
        <v>0.84733333333333327</v>
      </c>
    </row>
    <row r="3848" spans="1:29" ht="25.5">
      <c r="A3848" s="8" t="s">
        <v>3407</v>
      </c>
      <c r="B3848" s="17" t="s">
        <v>7800</v>
      </c>
      <c r="C3848" s="13">
        <v>41416</v>
      </c>
      <c r="D3848" s="13" t="s">
        <v>8465</v>
      </c>
      <c r="E3848" s="10" t="s">
        <v>3405</v>
      </c>
      <c r="F3848" s="10" t="s">
        <v>3405</v>
      </c>
      <c r="G3848" s="11" t="s">
        <v>3404</v>
      </c>
      <c r="H3848" s="2" t="s">
        <v>1050</v>
      </c>
      <c r="L3848" s="18">
        <v>1</v>
      </c>
      <c r="N3848" s="13">
        <v>41725</v>
      </c>
      <c r="O3848" s="29">
        <v>3.74</v>
      </c>
      <c r="P3848" s="18" t="s">
        <v>1107</v>
      </c>
      <c r="Q3848" s="18">
        <v>1</v>
      </c>
      <c r="R3848" s="13">
        <v>41803</v>
      </c>
      <c r="S3848" s="21">
        <v>4.05</v>
      </c>
      <c r="T3848" s="22">
        <v>0.8</v>
      </c>
      <c r="U3848" s="22">
        <v>0.78</v>
      </c>
      <c r="V3848" s="22">
        <f>3.69/5</f>
        <v>0.73799999999999999</v>
      </c>
      <c r="W3848" s="14" t="s">
        <v>7777</v>
      </c>
      <c r="AB3848" s="18">
        <f t="shared" si="120"/>
        <v>2013</v>
      </c>
      <c r="AC3848" s="22">
        <f t="shared" si="121"/>
        <v>0.77266666666666672</v>
      </c>
    </row>
    <row r="3849" spans="1:29" ht="45">
      <c r="A3849" s="8" t="s">
        <v>5317</v>
      </c>
      <c r="B3849" s="17" t="s">
        <v>7800</v>
      </c>
      <c r="C3849" s="13">
        <v>41416</v>
      </c>
      <c r="D3849" s="13" t="s">
        <v>8465</v>
      </c>
      <c r="E3849" s="10" t="s">
        <v>5318</v>
      </c>
      <c r="F3849" s="10" t="s">
        <v>5318</v>
      </c>
      <c r="G3849" s="11" t="s">
        <v>5317</v>
      </c>
      <c r="H3849" s="2" t="s">
        <v>171</v>
      </c>
      <c r="L3849" s="18">
        <v>1</v>
      </c>
      <c r="N3849" s="13">
        <v>41870</v>
      </c>
      <c r="P3849" s="18" t="s">
        <v>1107</v>
      </c>
      <c r="Q3849" s="18">
        <v>1</v>
      </c>
      <c r="R3849" s="13">
        <v>41924</v>
      </c>
      <c r="S3849" s="21">
        <v>12.57</v>
      </c>
      <c r="T3849" s="22">
        <v>0.8</v>
      </c>
      <c r="U3849" s="22">
        <v>0.74</v>
      </c>
      <c r="V3849" s="22">
        <f>3.44/5</f>
        <v>0.68799999999999994</v>
      </c>
      <c r="W3849" s="14" t="s">
        <v>7777</v>
      </c>
      <c r="AB3849" s="18">
        <f t="shared" si="120"/>
        <v>2013</v>
      </c>
      <c r="AC3849" s="22">
        <f t="shared" si="121"/>
        <v>0.74266666666666659</v>
      </c>
    </row>
    <row r="3850" spans="1:29">
      <c r="A3850" s="8" t="s">
        <v>2446</v>
      </c>
      <c r="B3850" s="17" t="s">
        <v>7749</v>
      </c>
      <c r="C3850" s="13">
        <v>41410</v>
      </c>
      <c r="D3850" s="13" t="s">
        <v>8465</v>
      </c>
      <c r="E3850" s="10" t="s">
        <v>2129</v>
      </c>
      <c r="F3850" s="10" t="s">
        <v>2129</v>
      </c>
      <c r="G3850" s="11" t="s">
        <v>2469</v>
      </c>
      <c r="H3850" s="2" t="s">
        <v>1061</v>
      </c>
      <c r="L3850" s="18">
        <v>1</v>
      </c>
      <c r="N3850" s="13">
        <v>41998</v>
      </c>
      <c r="O3850" s="29">
        <v>2.99</v>
      </c>
      <c r="P3850" s="18" t="s">
        <v>1107</v>
      </c>
      <c r="Q3850" s="18">
        <v>1</v>
      </c>
      <c r="R3850" s="13">
        <v>42009</v>
      </c>
      <c r="S3850" s="21">
        <v>1.85</v>
      </c>
      <c r="T3850" s="22">
        <v>0.5</v>
      </c>
      <c r="U3850" s="22">
        <v>0.57999999999999996</v>
      </c>
      <c r="V3850" s="22">
        <f>3.68/5</f>
        <v>0.73599999999999999</v>
      </c>
      <c r="AB3850" s="18">
        <f t="shared" si="120"/>
        <v>2013</v>
      </c>
      <c r="AC3850" s="22">
        <f t="shared" si="121"/>
        <v>0.60533333333333339</v>
      </c>
    </row>
    <row r="3851" spans="1:29" ht="25.5">
      <c r="A3851" s="8" t="s">
        <v>3870</v>
      </c>
      <c r="B3851" s="17" t="s">
        <v>7800</v>
      </c>
      <c r="C3851" s="13">
        <v>41395</v>
      </c>
      <c r="D3851" s="13" t="s">
        <v>8465</v>
      </c>
      <c r="E3851" s="10" t="s">
        <v>1047</v>
      </c>
      <c r="F3851" s="10" t="s">
        <v>1048</v>
      </c>
      <c r="G3851" s="11" t="s">
        <v>1049</v>
      </c>
      <c r="H3851" s="2" t="s">
        <v>1050</v>
      </c>
      <c r="L3851" s="18">
        <v>1</v>
      </c>
      <c r="N3851" s="13">
        <v>41692</v>
      </c>
      <c r="O3851" s="29">
        <v>5.09</v>
      </c>
      <c r="P3851" s="18" t="s">
        <v>1107</v>
      </c>
      <c r="Q3851" s="18">
        <v>1</v>
      </c>
      <c r="R3851" s="13">
        <v>41710</v>
      </c>
      <c r="T3851" s="22">
        <v>0.8</v>
      </c>
      <c r="U3851" s="22">
        <v>0.84</v>
      </c>
      <c r="V3851" s="22">
        <f>3.8/5</f>
        <v>0.76</v>
      </c>
      <c r="W3851" s="14" t="s">
        <v>7777</v>
      </c>
      <c r="AB3851" s="18">
        <f t="shared" si="120"/>
        <v>2013</v>
      </c>
      <c r="AC3851" s="22">
        <f t="shared" si="121"/>
        <v>0.80000000000000016</v>
      </c>
    </row>
    <row r="3852" spans="1:29">
      <c r="A3852" s="8" t="s">
        <v>104</v>
      </c>
      <c r="B3852" s="17" t="s">
        <v>7749</v>
      </c>
      <c r="C3852" s="13">
        <v>41389</v>
      </c>
      <c r="D3852" s="13" t="s">
        <v>8465</v>
      </c>
      <c r="E3852" s="10" t="s">
        <v>73</v>
      </c>
      <c r="F3852" s="10" t="s">
        <v>73</v>
      </c>
      <c r="G3852" s="11" t="s">
        <v>89</v>
      </c>
      <c r="H3852" s="2" t="s">
        <v>64</v>
      </c>
      <c r="L3852" s="18">
        <v>1</v>
      </c>
      <c r="N3852" s="13">
        <v>41416</v>
      </c>
      <c r="O3852" s="29">
        <v>4.99</v>
      </c>
      <c r="P3852" s="18" t="s">
        <v>1107</v>
      </c>
      <c r="Q3852" s="18">
        <v>1</v>
      </c>
      <c r="R3852" s="13">
        <v>41501</v>
      </c>
      <c r="S3852" s="21">
        <v>5.9</v>
      </c>
      <c r="T3852" s="22">
        <v>0.8</v>
      </c>
      <c r="V3852" s="22">
        <f>3.97/5</f>
        <v>0.79400000000000004</v>
      </c>
      <c r="W3852" s="14" t="s">
        <v>1068</v>
      </c>
      <c r="AB3852" s="18">
        <f t="shared" si="120"/>
        <v>2013</v>
      </c>
      <c r="AC3852" s="22">
        <f t="shared" si="121"/>
        <v>0.79700000000000004</v>
      </c>
    </row>
    <row r="3853" spans="1:29">
      <c r="A3853" s="8" t="s">
        <v>2809</v>
      </c>
      <c r="B3853" s="17" t="s">
        <v>7781</v>
      </c>
      <c r="C3853" s="13">
        <v>41384</v>
      </c>
      <c r="D3853" s="13" t="s">
        <v>8465</v>
      </c>
      <c r="E3853" s="10" t="s">
        <v>2822</v>
      </c>
      <c r="F3853" s="10" t="s">
        <v>2822</v>
      </c>
      <c r="H3853" s="2" t="s">
        <v>78</v>
      </c>
      <c r="L3853" s="18">
        <v>0</v>
      </c>
      <c r="Q3853" s="18">
        <v>1</v>
      </c>
      <c r="T3853" s="22">
        <v>0.7</v>
      </c>
      <c r="V3853" s="22">
        <f>4/5</f>
        <v>0.8</v>
      </c>
      <c r="AB3853" s="18">
        <f t="shared" si="120"/>
        <v>2013</v>
      </c>
      <c r="AC3853" s="22">
        <f t="shared" si="121"/>
        <v>0.75</v>
      </c>
    </row>
    <row r="3854" spans="1:29">
      <c r="A3854" s="8" t="s">
        <v>4270</v>
      </c>
      <c r="B3854" s="17" t="s">
        <v>7800</v>
      </c>
      <c r="C3854" s="13">
        <v>41379</v>
      </c>
      <c r="D3854" s="13" t="s">
        <v>8465</v>
      </c>
      <c r="E3854" s="10" t="s">
        <v>4185</v>
      </c>
      <c r="F3854" s="10" t="s">
        <v>4271</v>
      </c>
      <c r="G3854" s="11" t="s">
        <v>4270</v>
      </c>
      <c r="H3854" s="2" t="s">
        <v>151</v>
      </c>
      <c r="L3854" s="18">
        <v>1</v>
      </c>
      <c r="N3854" s="13">
        <v>41383</v>
      </c>
      <c r="P3854" s="18" t="s">
        <v>1107</v>
      </c>
      <c r="Q3854" s="18">
        <v>1</v>
      </c>
      <c r="R3854" s="13">
        <v>42294</v>
      </c>
      <c r="S3854" s="21">
        <v>17.91</v>
      </c>
      <c r="T3854" s="22">
        <v>0.9</v>
      </c>
      <c r="U3854" s="22">
        <v>0.7</v>
      </c>
      <c r="V3854" s="22">
        <f>4.01/5</f>
        <v>0.80199999999999994</v>
      </c>
      <c r="W3854" s="14" t="s">
        <v>7777</v>
      </c>
      <c r="AB3854" s="18">
        <f t="shared" si="120"/>
        <v>2013</v>
      </c>
      <c r="AC3854" s="22">
        <f t="shared" si="121"/>
        <v>0.80066666666666675</v>
      </c>
    </row>
    <row r="3855" spans="1:29">
      <c r="A3855" s="8" t="s">
        <v>3274</v>
      </c>
      <c r="B3855" s="17" t="s">
        <v>7765</v>
      </c>
      <c r="C3855" s="13">
        <v>41367</v>
      </c>
      <c r="D3855" s="13" t="s">
        <v>8465</v>
      </c>
      <c r="E3855" s="10" t="s">
        <v>3116</v>
      </c>
      <c r="F3855" s="10" t="s">
        <v>3275</v>
      </c>
      <c r="H3855" s="2" t="s">
        <v>64</v>
      </c>
      <c r="L3855" s="18">
        <v>1</v>
      </c>
      <c r="P3855" s="18" t="s">
        <v>1107</v>
      </c>
      <c r="Q3855" s="18">
        <v>1</v>
      </c>
      <c r="R3855" s="13">
        <v>41430</v>
      </c>
      <c r="T3855" s="22">
        <v>0.8</v>
      </c>
      <c r="U3855" s="22">
        <v>0.85</v>
      </c>
      <c r="V3855" s="22">
        <f>3.99/5</f>
        <v>0.79800000000000004</v>
      </c>
      <c r="AB3855" s="18">
        <f t="shared" si="120"/>
        <v>2013</v>
      </c>
      <c r="AC3855" s="22">
        <f t="shared" si="121"/>
        <v>0.81599999999999995</v>
      </c>
    </row>
    <row r="3856" spans="1:29" ht="25.5">
      <c r="A3856" s="8" t="s">
        <v>5922</v>
      </c>
      <c r="B3856" s="17" t="s">
        <v>7759</v>
      </c>
      <c r="C3856" s="13">
        <v>41359</v>
      </c>
      <c r="D3856" s="13" t="s">
        <v>8465</v>
      </c>
      <c r="E3856" s="10" t="s">
        <v>231</v>
      </c>
      <c r="F3856" s="10" t="s">
        <v>1543</v>
      </c>
      <c r="G3856" s="11" t="s">
        <v>5921</v>
      </c>
      <c r="H3856" s="2" t="s">
        <v>1168</v>
      </c>
      <c r="L3856" s="18">
        <v>1</v>
      </c>
      <c r="M3856" s="14" t="s">
        <v>8462</v>
      </c>
      <c r="N3856" s="13">
        <v>43479</v>
      </c>
      <c r="O3856" s="29">
        <v>9.99</v>
      </c>
      <c r="P3856" s="18" t="s">
        <v>14</v>
      </c>
      <c r="Q3856" s="18">
        <v>1</v>
      </c>
      <c r="R3856" s="13">
        <v>43667</v>
      </c>
      <c r="T3856" s="22">
        <v>0.6</v>
      </c>
      <c r="U3856" s="22">
        <v>0.56000000000000005</v>
      </c>
      <c r="V3856" s="22">
        <f>3.43/5</f>
        <v>0.68600000000000005</v>
      </c>
      <c r="AB3856" s="18">
        <f t="shared" si="120"/>
        <v>2013</v>
      </c>
      <c r="AC3856" s="22">
        <f t="shared" si="121"/>
        <v>0.6153333333333334</v>
      </c>
    </row>
    <row r="3857" spans="1:29">
      <c r="A3857" s="8" t="s">
        <v>3314</v>
      </c>
      <c r="B3857" s="17" t="s">
        <v>7800</v>
      </c>
      <c r="C3857" s="13">
        <v>41358</v>
      </c>
      <c r="D3857" s="13" t="s">
        <v>8465</v>
      </c>
      <c r="E3857" s="10" t="s">
        <v>3310</v>
      </c>
      <c r="F3857" s="10" t="s">
        <v>3315</v>
      </c>
      <c r="G3857" s="11" t="s">
        <v>3309</v>
      </c>
      <c r="H3857" s="2" t="s">
        <v>1050</v>
      </c>
      <c r="L3857" s="18">
        <v>1</v>
      </c>
      <c r="N3857" s="13">
        <v>41695</v>
      </c>
      <c r="P3857" s="18" t="s">
        <v>1107</v>
      </c>
      <c r="Q3857" s="18">
        <v>1</v>
      </c>
      <c r="R3857" s="13">
        <v>41831</v>
      </c>
      <c r="S3857" s="21">
        <v>10.130000000000001</v>
      </c>
      <c r="T3857" s="22">
        <v>0.9</v>
      </c>
      <c r="U3857" s="22">
        <v>0.93</v>
      </c>
      <c r="V3857" s="22">
        <f>4.12/5</f>
        <v>0.82400000000000007</v>
      </c>
      <c r="W3857" s="14" t="s">
        <v>7777</v>
      </c>
      <c r="AB3857" s="18">
        <f t="shared" si="120"/>
        <v>2013</v>
      </c>
      <c r="AC3857" s="22">
        <f t="shared" si="121"/>
        <v>0.8846666666666666</v>
      </c>
    </row>
    <row r="3858" spans="1:29" ht="25.5">
      <c r="A3858" s="8" t="s">
        <v>2380</v>
      </c>
      <c r="B3858" s="17" t="s">
        <v>7749</v>
      </c>
      <c r="C3858" s="13">
        <v>41357</v>
      </c>
      <c r="D3858" s="13" t="s">
        <v>8465</v>
      </c>
      <c r="E3858" s="10" t="s">
        <v>86</v>
      </c>
      <c r="F3858" s="10" t="s">
        <v>1535</v>
      </c>
      <c r="G3858" s="11" t="s">
        <v>908</v>
      </c>
      <c r="H3858" s="2" t="s">
        <v>80</v>
      </c>
      <c r="L3858" s="18">
        <v>1</v>
      </c>
      <c r="M3858" s="14" t="s">
        <v>8462</v>
      </c>
      <c r="P3858" s="18" t="s">
        <v>14</v>
      </c>
      <c r="Q3858" s="18">
        <v>1</v>
      </c>
      <c r="T3858" s="22">
        <v>0.9</v>
      </c>
      <c r="U3858" s="22">
        <v>0.86</v>
      </c>
      <c r="V3858" s="22">
        <f>4.04/5</f>
        <v>0.80800000000000005</v>
      </c>
      <c r="AB3858" s="18">
        <f t="shared" si="120"/>
        <v>2013</v>
      </c>
      <c r="AC3858" s="22">
        <f t="shared" si="121"/>
        <v>0.85599999999999998</v>
      </c>
    </row>
    <row r="3859" spans="1:29">
      <c r="A3859" s="8" t="s">
        <v>3182</v>
      </c>
      <c r="B3859" s="17" t="s">
        <v>7800</v>
      </c>
      <c r="C3859" s="13">
        <v>41355</v>
      </c>
      <c r="D3859" s="13" t="s">
        <v>8465</v>
      </c>
      <c r="E3859" s="10" t="s">
        <v>3156</v>
      </c>
      <c r="F3859" s="10" t="s">
        <v>3156</v>
      </c>
      <c r="G3859" s="11" t="s">
        <v>3182</v>
      </c>
      <c r="H3859" s="2" t="s">
        <v>80</v>
      </c>
      <c r="L3859" s="18">
        <v>1</v>
      </c>
      <c r="N3859" s="13">
        <v>41358</v>
      </c>
      <c r="O3859" s="29">
        <v>1</v>
      </c>
      <c r="P3859" s="18" t="s">
        <v>1107</v>
      </c>
      <c r="Q3859" s="18">
        <v>1</v>
      </c>
      <c r="S3859" s="21">
        <v>5.22</v>
      </c>
      <c r="T3859" s="22">
        <v>0.9</v>
      </c>
      <c r="U3859" s="22">
        <v>0.75</v>
      </c>
      <c r="V3859" s="22">
        <f>3.71/5</f>
        <v>0.74199999999999999</v>
      </c>
      <c r="W3859" s="14" t="s">
        <v>7777</v>
      </c>
      <c r="AB3859" s="18">
        <f t="shared" si="120"/>
        <v>2013</v>
      </c>
      <c r="AC3859" s="22">
        <f t="shared" si="121"/>
        <v>0.79733333333333334</v>
      </c>
    </row>
    <row r="3860" spans="1:29">
      <c r="A3860" s="8" t="s">
        <v>4812</v>
      </c>
      <c r="B3860" s="17" t="s">
        <v>7800</v>
      </c>
      <c r="C3860" s="13">
        <v>41355</v>
      </c>
      <c r="D3860" s="13" t="s">
        <v>8465</v>
      </c>
      <c r="E3860" s="10" t="s">
        <v>73</v>
      </c>
      <c r="F3860" s="10" t="s">
        <v>73</v>
      </c>
      <c r="G3860" s="11" t="s">
        <v>943</v>
      </c>
      <c r="H3860" s="2" t="s">
        <v>1168</v>
      </c>
      <c r="L3860" s="18">
        <v>1</v>
      </c>
      <c r="N3860" s="13">
        <v>41973</v>
      </c>
      <c r="O3860" s="29">
        <v>9.99</v>
      </c>
      <c r="P3860" s="18" t="s">
        <v>1107</v>
      </c>
      <c r="Q3860" s="18">
        <v>1</v>
      </c>
      <c r="R3860" s="13">
        <v>41986</v>
      </c>
      <c r="S3860" s="21">
        <v>23.35</v>
      </c>
      <c r="T3860" s="22">
        <v>0.8</v>
      </c>
      <c r="U3860" s="22">
        <v>0.67</v>
      </c>
      <c r="V3860" s="22">
        <f>3.27/5</f>
        <v>0.65400000000000003</v>
      </c>
      <c r="W3860" s="14" t="s">
        <v>7777</v>
      </c>
      <c r="AB3860" s="18">
        <f t="shared" si="120"/>
        <v>2013</v>
      </c>
      <c r="AC3860" s="22">
        <f t="shared" si="121"/>
        <v>0.70800000000000007</v>
      </c>
    </row>
    <row r="3861" spans="1:29" ht="45">
      <c r="A3861" s="8" t="s">
        <v>6307</v>
      </c>
      <c r="B3861" s="17" t="s">
        <v>7765</v>
      </c>
      <c r="C3861" s="13">
        <v>41352</v>
      </c>
      <c r="D3861" s="13" t="s">
        <v>8465</v>
      </c>
      <c r="E3861" s="10" t="s">
        <v>3116</v>
      </c>
      <c r="F3861" s="10" t="s">
        <v>3384</v>
      </c>
      <c r="G3861" s="11" t="s">
        <v>6303</v>
      </c>
      <c r="H3861" s="2" t="s">
        <v>1168</v>
      </c>
      <c r="L3861" s="18">
        <v>1</v>
      </c>
      <c r="M3861" s="14" t="s">
        <v>8462</v>
      </c>
      <c r="N3861" s="13">
        <v>43375</v>
      </c>
      <c r="O3861" s="29">
        <v>8.59</v>
      </c>
      <c r="P3861" s="18" t="s">
        <v>14</v>
      </c>
      <c r="Q3861" s="18">
        <v>1</v>
      </c>
      <c r="R3861" s="13">
        <v>43394</v>
      </c>
      <c r="T3861" s="22">
        <v>0.7</v>
      </c>
      <c r="U3861" s="22">
        <v>0.77</v>
      </c>
      <c r="V3861" s="22">
        <f>3.41/5</f>
        <v>0.68200000000000005</v>
      </c>
      <c r="W3861" s="14" t="s">
        <v>9039</v>
      </c>
      <c r="AB3861" s="18">
        <f t="shared" si="120"/>
        <v>2013</v>
      </c>
      <c r="AC3861" s="22">
        <f t="shared" si="121"/>
        <v>0.71733333333333338</v>
      </c>
    </row>
    <row r="3862" spans="1:29">
      <c r="A3862" s="8" t="s">
        <v>3684</v>
      </c>
      <c r="B3862" s="17" t="s">
        <v>7800</v>
      </c>
      <c r="C3862" s="13">
        <v>41351</v>
      </c>
      <c r="D3862" s="13" t="s">
        <v>8465</v>
      </c>
      <c r="E3862" s="10" t="s">
        <v>3685</v>
      </c>
      <c r="F3862" s="10" t="s">
        <v>3685</v>
      </c>
      <c r="H3862" s="2" t="s">
        <v>27</v>
      </c>
      <c r="L3862" s="18">
        <v>1</v>
      </c>
      <c r="N3862" s="13">
        <v>41988</v>
      </c>
      <c r="O3862" s="29">
        <v>0.59</v>
      </c>
      <c r="P3862" s="18" t="s">
        <v>1107</v>
      </c>
      <c r="Q3862" s="18">
        <v>1</v>
      </c>
      <c r="T3862" s="22">
        <v>0.8</v>
      </c>
      <c r="U3862" s="22">
        <v>0.69</v>
      </c>
      <c r="V3862" s="22">
        <f>3.13/5</f>
        <v>0.626</v>
      </c>
      <c r="W3862" s="14" t="s">
        <v>7777</v>
      </c>
      <c r="AB3862" s="18">
        <f t="shared" si="120"/>
        <v>2013</v>
      </c>
      <c r="AC3862" s="22">
        <f t="shared" si="121"/>
        <v>0.70533333333333337</v>
      </c>
    </row>
    <row r="3863" spans="1:29">
      <c r="A3863" s="8" t="s">
        <v>7338</v>
      </c>
      <c r="B3863" s="17" t="s">
        <v>7783</v>
      </c>
      <c r="C3863" s="13">
        <v>41346</v>
      </c>
      <c r="D3863" s="13" t="s">
        <v>8465</v>
      </c>
      <c r="E3863" s="10" t="s">
        <v>4364</v>
      </c>
      <c r="F3863" s="10" t="s">
        <v>4364</v>
      </c>
      <c r="H3863" s="2" t="s">
        <v>143</v>
      </c>
      <c r="L3863" s="18">
        <v>1</v>
      </c>
      <c r="N3863" s="13">
        <v>41353</v>
      </c>
      <c r="O3863" s="29">
        <v>2.99</v>
      </c>
      <c r="P3863" s="18" t="s">
        <v>1107</v>
      </c>
      <c r="Q3863" s="18">
        <v>1</v>
      </c>
      <c r="T3863" s="22">
        <v>0.9</v>
      </c>
      <c r="U3863" s="22">
        <v>0.91</v>
      </c>
      <c r="V3863" s="22">
        <f>3.88/5</f>
        <v>0.77600000000000002</v>
      </c>
      <c r="AB3863" s="18">
        <f t="shared" si="120"/>
        <v>2013</v>
      </c>
      <c r="AC3863" s="22">
        <f t="shared" si="121"/>
        <v>0.8620000000000001</v>
      </c>
    </row>
    <row r="3864" spans="1:29" ht="30">
      <c r="A3864" s="8" t="s">
        <v>6060</v>
      </c>
      <c r="B3864" s="17" t="s">
        <v>7759</v>
      </c>
      <c r="C3864" s="13">
        <v>41345</v>
      </c>
      <c r="D3864" s="13" t="s">
        <v>8465</v>
      </c>
      <c r="E3864" s="10" t="s">
        <v>2908</v>
      </c>
      <c r="F3864" s="10" t="s">
        <v>5719</v>
      </c>
      <c r="G3864" s="11" t="s">
        <v>5718</v>
      </c>
      <c r="H3864" s="2" t="s">
        <v>1059</v>
      </c>
      <c r="L3864" s="18">
        <v>1</v>
      </c>
      <c r="N3864" s="13">
        <v>42241</v>
      </c>
      <c r="O3864" s="29">
        <v>0</v>
      </c>
      <c r="P3864" s="18" t="s">
        <v>1107</v>
      </c>
      <c r="Q3864" s="18">
        <v>1</v>
      </c>
      <c r="R3864" s="13">
        <v>45220</v>
      </c>
      <c r="S3864" s="21">
        <f>7+16/60+39/3600</f>
        <v>7.2774999999999999</v>
      </c>
      <c r="T3864" s="22">
        <v>0.6</v>
      </c>
      <c r="U3864" s="22">
        <v>0.79</v>
      </c>
      <c r="V3864" s="22">
        <f>3.74/5</f>
        <v>0.748</v>
      </c>
      <c r="W3864" s="14" t="s">
        <v>6072</v>
      </c>
      <c r="AB3864" s="18">
        <f t="shared" si="120"/>
        <v>2013</v>
      </c>
      <c r="AC3864" s="22">
        <f t="shared" si="121"/>
        <v>0.71266666666666667</v>
      </c>
    </row>
    <row r="3865" spans="1:29" ht="25.5">
      <c r="A3865" s="8" t="s">
        <v>6982</v>
      </c>
      <c r="B3865" s="17" t="s">
        <v>7800</v>
      </c>
      <c r="C3865" s="13">
        <v>41345</v>
      </c>
      <c r="D3865" s="13" t="s">
        <v>8465</v>
      </c>
      <c r="E3865" s="10" t="s">
        <v>1296</v>
      </c>
      <c r="F3865" s="10" t="s">
        <v>1296</v>
      </c>
      <c r="G3865" s="11" t="s">
        <v>6599</v>
      </c>
      <c r="H3865" s="2" t="s">
        <v>1143</v>
      </c>
      <c r="L3865" s="18">
        <v>1</v>
      </c>
      <c r="N3865" s="13">
        <v>41345</v>
      </c>
      <c r="O3865" s="29">
        <v>39.96</v>
      </c>
      <c r="P3865" s="18" t="s">
        <v>1107</v>
      </c>
      <c r="Q3865" s="18">
        <v>1</v>
      </c>
      <c r="T3865" s="22">
        <v>0.9</v>
      </c>
      <c r="U3865" s="22">
        <v>0.86</v>
      </c>
      <c r="V3865" s="22">
        <f>4.15/5</f>
        <v>0.83000000000000007</v>
      </c>
      <c r="W3865" s="14" t="s">
        <v>7797</v>
      </c>
      <c r="AB3865" s="18">
        <f t="shared" si="120"/>
        <v>2013</v>
      </c>
      <c r="AC3865" s="22">
        <f t="shared" si="121"/>
        <v>0.86333333333333329</v>
      </c>
    </row>
    <row r="3866" spans="1:29" ht="38.25">
      <c r="A3866" s="8" t="s">
        <v>2486</v>
      </c>
      <c r="B3866" s="17" t="s">
        <v>7749</v>
      </c>
      <c r="C3866" s="13">
        <v>41338</v>
      </c>
      <c r="D3866" s="13" t="s">
        <v>8465</v>
      </c>
      <c r="E3866" s="10" t="s">
        <v>72</v>
      </c>
      <c r="F3866" s="10" t="s">
        <v>2456</v>
      </c>
      <c r="G3866" s="11" t="s">
        <v>113</v>
      </c>
      <c r="H3866" s="2" t="s">
        <v>80</v>
      </c>
      <c r="L3866" s="18">
        <v>0</v>
      </c>
      <c r="Q3866" s="18">
        <v>1</v>
      </c>
      <c r="S3866" s="21">
        <v>8.67</v>
      </c>
      <c r="T3866" s="22">
        <v>0.7</v>
      </c>
      <c r="U3866" s="22">
        <v>0.72</v>
      </c>
      <c r="V3866" s="22">
        <f>3.52/5</f>
        <v>0.70399999999999996</v>
      </c>
      <c r="AB3866" s="18">
        <f t="shared" si="120"/>
        <v>2013</v>
      </c>
      <c r="AC3866" s="22">
        <f t="shared" si="121"/>
        <v>0.70799999999999985</v>
      </c>
    </row>
    <row r="3867" spans="1:29">
      <c r="A3867" s="8" t="s">
        <v>5665</v>
      </c>
      <c r="B3867" s="17" t="s">
        <v>7800</v>
      </c>
      <c r="C3867" s="13">
        <v>41338</v>
      </c>
      <c r="D3867" s="13" t="s">
        <v>8465</v>
      </c>
      <c r="E3867" s="10" t="s">
        <v>5697</v>
      </c>
      <c r="F3867" s="10" t="s">
        <v>5697</v>
      </c>
      <c r="H3867" s="2" t="s">
        <v>2820</v>
      </c>
      <c r="L3867" s="18">
        <v>0</v>
      </c>
      <c r="Q3867" s="18">
        <v>1</v>
      </c>
      <c r="T3867" s="22">
        <v>0.6</v>
      </c>
      <c r="U3867" s="22">
        <v>0.8</v>
      </c>
      <c r="V3867" s="22">
        <f>3.25/5</f>
        <v>0.65</v>
      </c>
      <c r="W3867" s="14" t="s">
        <v>5678</v>
      </c>
      <c r="AB3867" s="18">
        <f t="shared" si="120"/>
        <v>2013</v>
      </c>
      <c r="AC3867" s="22">
        <f t="shared" si="121"/>
        <v>0.68333333333333324</v>
      </c>
    </row>
    <row r="3868" spans="1:29">
      <c r="A3868" s="8" t="s">
        <v>1853</v>
      </c>
      <c r="B3868" s="17" t="s">
        <v>7800</v>
      </c>
      <c r="C3868" s="13">
        <v>41337</v>
      </c>
      <c r="D3868" s="13" t="s">
        <v>8465</v>
      </c>
      <c r="E3868" s="10" t="s">
        <v>1082</v>
      </c>
      <c r="F3868" s="10" t="s">
        <v>1198</v>
      </c>
      <c r="G3868" s="11" t="s">
        <v>1853</v>
      </c>
      <c r="H3868" s="2" t="s">
        <v>80</v>
      </c>
      <c r="L3868" s="18">
        <v>1</v>
      </c>
      <c r="N3868" s="13">
        <v>41710</v>
      </c>
      <c r="P3868" s="18" t="s">
        <v>1107</v>
      </c>
      <c r="Q3868" s="18">
        <v>1</v>
      </c>
      <c r="R3868" s="13">
        <v>41730</v>
      </c>
      <c r="S3868" s="21">
        <v>8.7799999999999994</v>
      </c>
      <c r="T3868" s="22">
        <v>0.8</v>
      </c>
      <c r="U3868" s="22">
        <v>0.87</v>
      </c>
      <c r="V3868" s="22">
        <f>3.98/5</f>
        <v>0.79600000000000004</v>
      </c>
      <c r="W3868" s="14" t="s">
        <v>7777</v>
      </c>
      <c r="AB3868" s="18">
        <f t="shared" si="120"/>
        <v>2013</v>
      </c>
      <c r="AC3868" s="22">
        <f t="shared" si="121"/>
        <v>0.82200000000000006</v>
      </c>
    </row>
    <row r="3869" spans="1:29">
      <c r="A3869" s="8" t="s">
        <v>7323</v>
      </c>
      <c r="B3869" s="17" t="s">
        <v>7783</v>
      </c>
      <c r="C3869" s="13">
        <v>41335</v>
      </c>
      <c r="D3869" s="13" t="s">
        <v>8465</v>
      </c>
      <c r="E3869" s="10" t="s">
        <v>7324</v>
      </c>
      <c r="F3869" s="10" t="s">
        <v>7324</v>
      </c>
      <c r="H3869" s="2" t="s">
        <v>149</v>
      </c>
      <c r="L3869" s="18">
        <v>1</v>
      </c>
      <c r="N3869" s="13">
        <v>41562</v>
      </c>
      <c r="O3869" s="29">
        <v>0</v>
      </c>
      <c r="P3869" s="18" t="s">
        <v>1107</v>
      </c>
      <c r="Q3869" s="18">
        <v>1</v>
      </c>
      <c r="R3869" s="13">
        <v>41585</v>
      </c>
      <c r="T3869" s="22">
        <v>0.9</v>
      </c>
      <c r="U3869" s="22">
        <v>0.76</v>
      </c>
      <c r="V3869" s="22">
        <f>4.3/5</f>
        <v>0.86</v>
      </c>
      <c r="AB3869" s="18">
        <f t="shared" si="120"/>
        <v>2013</v>
      </c>
      <c r="AC3869" s="22">
        <f t="shared" si="121"/>
        <v>0.84</v>
      </c>
    </row>
    <row r="3870" spans="1:29" ht="51">
      <c r="A3870" s="8" t="s">
        <v>3320</v>
      </c>
      <c r="B3870" s="17" t="s">
        <v>7800</v>
      </c>
      <c r="C3870" s="13">
        <v>41331</v>
      </c>
      <c r="D3870" s="13" t="s">
        <v>8465</v>
      </c>
      <c r="E3870" s="10" t="s">
        <v>2471</v>
      </c>
      <c r="F3870" s="10" t="s">
        <v>2471</v>
      </c>
      <c r="G3870" s="11" t="s">
        <v>1653</v>
      </c>
      <c r="H3870" s="2" t="s">
        <v>64</v>
      </c>
      <c r="L3870" s="18">
        <v>1</v>
      </c>
      <c r="N3870" s="13">
        <v>41647</v>
      </c>
      <c r="P3870" s="18" t="s">
        <v>1107</v>
      </c>
      <c r="Q3870" s="18">
        <v>1</v>
      </c>
      <c r="R3870" s="13">
        <v>41716</v>
      </c>
      <c r="S3870" s="21">
        <v>4.32</v>
      </c>
      <c r="T3870" s="22">
        <v>0.8</v>
      </c>
      <c r="U3870" s="22">
        <v>0.85</v>
      </c>
      <c r="V3870" s="22">
        <f>3.75/5</f>
        <v>0.75</v>
      </c>
      <c r="W3870" s="14" t="s">
        <v>7777</v>
      </c>
      <c r="AB3870" s="18">
        <f t="shared" si="120"/>
        <v>2013</v>
      </c>
      <c r="AC3870" s="22">
        <f t="shared" si="121"/>
        <v>0.79999999999999993</v>
      </c>
    </row>
    <row r="3871" spans="1:29">
      <c r="A3871" s="8" t="s">
        <v>5604</v>
      </c>
      <c r="B3871" s="17" t="s">
        <v>7783</v>
      </c>
      <c r="C3871" s="13">
        <v>41326</v>
      </c>
      <c r="D3871" s="13" t="s">
        <v>8465</v>
      </c>
      <c r="E3871" s="10" t="s">
        <v>5605</v>
      </c>
      <c r="F3871" s="10" t="s">
        <v>5605</v>
      </c>
      <c r="H3871" s="2" t="s">
        <v>67</v>
      </c>
      <c r="L3871" s="18">
        <v>1</v>
      </c>
      <c r="N3871" s="13">
        <v>41348</v>
      </c>
      <c r="O3871" s="29">
        <v>3.99</v>
      </c>
      <c r="P3871" s="18" t="s">
        <v>1107</v>
      </c>
      <c r="Q3871" s="18">
        <v>1</v>
      </c>
      <c r="R3871" s="13">
        <v>41579</v>
      </c>
      <c r="T3871" s="22">
        <v>0.6</v>
      </c>
      <c r="U3871" s="22">
        <v>0.87</v>
      </c>
      <c r="V3871" s="22">
        <f>4.12/5</f>
        <v>0.82400000000000007</v>
      </c>
      <c r="AB3871" s="18">
        <f t="shared" si="120"/>
        <v>2013</v>
      </c>
      <c r="AC3871" s="22">
        <f t="shared" si="121"/>
        <v>0.76466666666666672</v>
      </c>
    </row>
    <row r="3872" spans="1:29" ht="25.5">
      <c r="A3872" s="8" t="s">
        <v>4435</v>
      </c>
      <c r="B3872" s="17" t="s">
        <v>7765</v>
      </c>
      <c r="C3872" s="13">
        <v>41324</v>
      </c>
      <c r="D3872" s="13" t="s">
        <v>8465</v>
      </c>
      <c r="E3872" s="10" t="s">
        <v>72</v>
      </c>
      <c r="F3872" s="10" t="s">
        <v>1058</v>
      </c>
      <c r="G3872" s="11" t="s">
        <v>220</v>
      </c>
      <c r="H3872" s="2" t="s">
        <v>1059</v>
      </c>
      <c r="L3872" s="18">
        <v>0</v>
      </c>
      <c r="Q3872" s="18">
        <v>1</v>
      </c>
      <c r="R3872" s="13">
        <v>41623</v>
      </c>
      <c r="S3872" s="21">
        <v>6.3</v>
      </c>
      <c r="T3872" s="22">
        <v>0.8</v>
      </c>
      <c r="U3872" s="22">
        <v>0.83</v>
      </c>
      <c r="V3872" s="22">
        <f>4.09/5</f>
        <v>0.81799999999999995</v>
      </c>
      <c r="AB3872" s="18">
        <f t="shared" si="120"/>
        <v>2013</v>
      </c>
      <c r="AC3872" s="22">
        <f t="shared" si="121"/>
        <v>0.81599999999999995</v>
      </c>
    </row>
    <row r="3873" spans="1:29" ht="30">
      <c r="A3873" s="8" t="s">
        <v>6430</v>
      </c>
      <c r="B3873" s="17" t="s">
        <v>7765</v>
      </c>
      <c r="C3873" s="13">
        <v>41324</v>
      </c>
      <c r="D3873" s="13" t="s">
        <v>8465</v>
      </c>
      <c r="E3873" s="10" t="s">
        <v>6484</v>
      </c>
      <c r="F3873" s="10" t="s">
        <v>6484</v>
      </c>
      <c r="G3873" s="11" t="s">
        <v>6430</v>
      </c>
      <c r="H3873" s="2" t="s">
        <v>56</v>
      </c>
      <c r="L3873" s="18">
        <v>1</v>
      </c>
      <c r="Q3873" s="18">
        <v>1</v>
      </c>
      <c r="T3873" s="22">
        <v>0.7</v>
      </c>
      <c r="U3873" s="22">
        <v>0.8</v>
      </c>
      <c r="V3873" s="22">
        <f>3.31/5</f>
        <v>0.66200000000000003</v>
      </c>
      <c r="W3873" s="14" t="s">
        <v>6487</v>
      </c>
      <c r="AB3873" s="18">
        <f t="shared" si="120"/>
        <v>2013</v>
      </c>
      <c r="AC3873" s="22">
        <f t="shared" si="121"/>
        <v>0.72066666666666668</v>
      </c>
    </row>
    <row r="3874" spans="1:29">
      <c r="A3874" s="8" t="s">
        <v>6550</v>
      </c>
      <c r="B3874" s="17" t="s">
        <v>7800</v>
      </c>
      <c r="C3874" s="13">
        <v>41324</v>
      </c>
      <c r="D3874" s="13" t="s">
        <v>8465</v>
      </c>
      <c r="E3874" s="10" t="s">
        <v>231</v>
      </c>
      <c r="F3874" s="10" t="s">
        <v>6551</v>
      </c>
      <c r="G3874" s="11" t="s">
        <v>3522</v>
      </c>
      <c r="H3874" s="2" t="s">
        <v>1050</v>
      </c>
      <c r="L3874" s="18">
        <v>1</v>
      </c>
      <c r="N3874" s="13">
        <v>41643</v>
      </c>
      <c r="O3874" s="29">
        <v>9.99</v>
      </c>
      <c r="P3874" s="18" t="s">
        <v>1107</v>
      </c>
      <c r="Q3874" s="18">
        <v>1</v>
      </c>
      <c r="R3874" s="13">
        <v>41706</v>
      </c>
      <c r="T3874" s="22">
        <v>0.7</v>
      </c>
      <c r="U3874" s="22">
        <v>0.74</v>
      </c>
      <c r="V3874" s="22">
        <f>3.31/5</f>
        <v>0.66200000000000003</v>
      </c>
      <c r="W3874" s="14" t="s">
        <v>7796</v>
      </c>
      <c r="AB3874" s="18">
        <f t="shared" si="120"/>
        <v>2013</v>
      </c>
      <c r="AC3874" s="22">
        <f t="shared" si="121"/>
        <v>0.70066666666666666</v>
      </c>
    </row>
    <row r="3875" spans="1:29">
      <c r="A3875" s="8" t="s">
        <v>5672</v>
      </c>
      <c r="B3875" s="17" t="s">
        <v>7800</v>
      </c>
      <c r="C3875" s="13">
        <v>41315</v>
      </c>
      <c r="D3875" s="13" t="s">
        <v>8465</v>
      </c>
      <c r="E3875" s="10" t="s">
        <v>1559</v>
      </c>
      <c r="F3875" s="10" t="s">
        <v>1559</v>
      </c>
      <c r="H3875" s="2" t="s">
        <v>2820</v>
      </c>
      <c r="L3875" s="18">
        <v>1</v>
      </c>
      <c r="N3875" s="13">
        <v>41864</v>
      </c>
      <c r="O3875" s="29">
        <v>0</v>
      </c>
      <c r="P3875" s="18" t="s">
        <v>1107</v>
      </c>
      <c r="Q3875" s="18">
        <v>1</v>
      </c>
      <c r="R3875" s="13">
        <v>41877</v>
      </c>
      <c r="S3875" s="21">
        <v>0.12</v>
      </c>
      <c r="T3875" s="22">
        <v>0.6</v>
      </c>
      <c r="V3875" s="22">
        <f>2.94/5</f>
        <v>0.58799999999999997</v>
      </c>
      <c r="W3875" s="14" t="s">
        <v>7777</v>
      </c>
      <c r="AB3875" s="18">
        <f t="shared" si="120"/>
        <v>2013</v>
      </c>
      <c r="AC3875" s="22">
        <f t="shared" si="121"/>
        <v>0.59399999999999997</v>
      </c>
    </row>
    <row r="3876" spans="1:29">
      <c r="A3876" s="8" t="s">
        <v>102</v>
      </c>
      <c r="B3876" s="17" t="s">
        <v>7749</v>
      </c>
      <c r="C3876" s="13">
        <v>41312</v>
      </c>
      <c r="D3876" s="13" t="s">
        <v>8465</v>
      </c>
      <c r="E3876" s="10" t="s">
        <v>73</v>
      </c>
      <c r="F3876" s="10" t="s">
        <v>73</v>
      </c>
      <c r="G3876" s="11" t="s">
        <v>89</v>
      </c>
      <c r="H3876" s="2" t="s">
        <v>64</v>
      </c>
      <c r="L3876" s="18">
        <v>1</v>
      </c>
      <c r="N3876" s="13">
        <v>41413</v>
      </c>
      <c r="O3876" s="29">
        <v>4.99</v>
      </c>
      <c r="P3876" s="18" t="s">
        <v>1107</v>
      </c>
      <c r="Q3876" s="18">
        <v>1</v>
      </c>
      <c r="S3876" s="21">
        <v>3.42</v>
      </c>
      <c r="T3876" s="22">
        <v>0.9</v>
      </c>
      <c r="V3876" s="22">
        <f>4.26/5</f>
        <v>0.85199999999999998</v>
      </c>
      <c r="W3876" s="14" t="s">
        <v>1068</v>
      </c>
      <c r="AB3876" s="18">
        <f t="shared" si="120"/>
        <v>2013</v>
      </c>
      <c r="AC3876" s="22">
        <f t="shared" si="121"/>
        <v>0.876</v>
      </c>
    </row>
    <row r="3877" spans="1:29">
      <c r="A3877" s="8" t="s">
        <v>6552</v>
      </c>
      <c r="B3877" s="17" t="s">
        <v>7800</v>
      </c>
      <c r="C3877" s="13">
        <v>41310</v>
      </c>
      <c r="D3877" s="13" t="s">
        <v>8465</v>
      </c>
      <c r="E3877" s="10" t="s">
        <v>231</v>
      </c>
      <c r="F3877" s="10" t="s">
        <v>1543</v>
      </c>
      <c r="G3877" s="11" t="s">
        <v>1544</v>
      </c>
      <c r="H3877" s="2" t="s">
        <v>1168</v>
      </c>
      <c r="L3877" s="18">
        <v>1</v>
      </c>
      <c r="N3877" s="13">
        <v>41502</v>
      </c>
      <c r="O3877" s="29">
        <v>4.82</v>
      </c>
      <c r="P3877" s="18" t="s">
        <v>1107</v>
      </c>
      <c r="Q3877" s="18">
        <v>1</v>
      </c>
      <c r="R3877" s="13">
        <v>44377</v>
      </c>
      <c r="S3877" s="21">
        <f>8+42/60+46/3600</f>
        <v>8.7127777777777773</v>
      </c>
      <c r="T3877" s="22">
        <v>0.5</v>
      </c>
      <c r="U3877" s="22">
        <v>0.73</v>
      </c>
      <c r="V3877" s="22">
        <f>3.35/5</f>
        <v>0.67</v>
      </c>
      <c r="W3877" s="14" t="s">
        <v>7796</v>
      </c>
      <c r="AB3877" s="18">
        <f t="shared" si="120"/>
        <v>2013</v>
      </c>
      <c r="AC3877" s="22">
        <f t="shared" si="121"/>
        <v>0.6333333333333333</v>
      </c>
    </row>
    <row r="3878" spans="1:29" ht="25.5">
      <c r="A3878" s="8" t="s">
        <v>2489</v>
      </c>
      <c r="B3878" s="17" t="s">
        <v>7749</v>
      </c>
      <c r="C3878" s="13">
        <v>41309</v>
      </c>
      <c r="D3878" s="13" t="s">
        <v>8465</v>
      </c>
      <c r="E3878" s="10" t="s">
        <v>86</v>
      </c>
      <c r="F3878" s="10" t="s">
        <v>1069</v>
      </c>
      <c r="G3878" s="11" t="s">
        <v>305</v>
      </c>
      <c r="H3878" s="2" t="s">
        <v>75</v>
      </c>
      <c r="L3878" s="18">
        <v>0</v>
      </c>
      <c r="Q3878" s="18">
        <v>1</v>
      </c>
      <c r="S3878" s="21">
        <v>24.42</v>
      </c>
      <c r="T3878" s="22">
        <v>1</v>
      </c>
      <c r="U3878" s="22">
        <v>0.93</v>
      </c>
      <c r="V3878" s="22">
        <f>4.45/5</f>
        <v>0.89</v>
      </c>
      <c r="Y3878" s="18">
        <v>1</v>
      </c>
      <c r="AB3878" s="18">
        <f t="shared" si="120"/>
        <v>2013</v>
      </c>
      <c r="AC3878" s="22">
        <f t="shared" si="121"/>
        <v>0.94000000000000006</v>
      </c>
    </row>
    <row r="3879" spans="1:29" ht="25.5">
      <c r="A3879" s="8" t="s">
        <v>5064</v>
      </c>
      <c r="B3879" s="17" t="s">
        <v>7800</v>
      </c>
      <c r="C3879" s="13">
        <v>41305</v>
      </c>
      <c r="D3879" s="13" t="s">
        <v>8465</v>
      </c>
      <c r="E3879" s="10" t="s">
        <v>455</v>
      </c>
      <c r="F3879" s="10" t="s">
        <v>1687</v>
      </c>
      <c r="G3879" s="11" t="s">
        <v>1688</v>
      </c>
      <c r="H3879" s="2" t="s">
        <v>150</v>
      </c>
      <c r="L3879" s="18">
        <v>1</v>
      </c>
      <c r="N3879" s="13">
        <v>41703</v>
      </c>
      <c r="O3879" s="29">
        <v>4.99</v>
      </c>
      <c r="P3879" s="18" t="s">
        <v>1107</v>
      </c>
      <c r="Q3879" s="18">
        <v>1</v>
      </c>
      <c r="R3879" s="13">
        <v>41711</v>
      </c>
      <c r="S3879" s="21">
        <v>5.17</v>
      </c>
      <c r="T3879" s="22">
        <v>0.9</v>
      </c>
      <c r="U3879" s="22">
        <v>0.85</v>
      </c>
      <c r="V3879" s="22">
        <f>4.05/5</f>
        <v>0.80999999999999994</v>
      </c>
      <c r="W3879" s="14" t="s">
        <v>7777</v>
      </c>
      <c r="AB3879" s="18">
        <f t="shared" si="120"/>
        <v>2013</v>
      </c>
      <c r="AC3879" s="22">
        <f t="shared" si="121"/>
        <v>0.85333333333333339</v>
      </c>
    </row>
    <row r="3880" spans="1:29">
      <c r="A3880" s="8" t="s">
        <v>3188</v>
      </c>
      <c r="B3880" s="17" t="s">
        <v>7800</v>
      </c>
      <c r="C3880" s="13">
        <v>41305</v>
      </c>
      <c r="D3880" s="13" t="s">
        <v>8465</v>
      </c>
      <c r="E3880" s="10" t="s">
        <v>3189</v>
      </c>
      <c r="F3880" s="10" t="s">
        <v>3190</v>
      </c>
      <c r="H3880" s="2" t="s">
        <v>3191</v>
      </c>
      <c r="L3880" s="18">
        <v>1</v>
      </c>
      <c r="N3880" s="13">
        <v>41466</v>
      </c>
      <c r="O3880" s="29">
        <v>1.88</v>
      </c>
      <c r="P3880" s="18" t="s">
        <v>1107</v>
      </c>
      <c r="Q3880" s="18">
        <v>1</v>
      </c>
      <c r="R3880" s="13">
        <v>41598</v>
      </c>
      <c r="S3880" s="21">
        <v>5.43</v>
      </c>
      <c r="T3880" s="22">
        <v>0.9</v>
      </c>
      <c r="U3880" s="22">
        <v>0.84</v>
      </c>
      <c r="V3880" s="22">
        <f>3.8/5</f>
        <v>0.76</v>
      </c>
      <c r="W3880" s="14" t="s">
        <v>7777</v>
      </c>
      <c r="AB3880" s="18">
        <f t="shared" si="120"/>
        <v>2013</v>
      </c>
      <c r="AC3880" s="22">
        <f t="shared" si="121"/>
        <v>0.83333333333333337</v>
      </c>
    </row>
    <row r="3881" spans="1:29" ht="30">
      <c r="A3881" s="8" t="s">
        <v>3200</v>
      </c>
      <c r="B3881" s="17" t="s">
        <v>7765</v>
      </c>
      <c r="C3881" s="13">
        <v>41305</v>
      </c>
      <c r="D3881" s="13" t="s">
        <v>8465</v>
      </c>
      <c r="E3881" s="10" t="s">
        <v>3201</v>
      </c>
      <c r="F3881" s="10" t="s">
        <v>3201</v>
      </c>
      <c r="H3881" s="2" t="s">
        <v>1334</v>
      </c>
      <c r="L3881" s="18">
        <v>1</v>
      </c>
      <c r="Q3881" s="18">
        <v>1</v>
      </c>
      <c r="T3881" s="22">
        <v>0.8</v>
      </c>
      <c r="U3881" s="22">
        <v>0.84</v>
      </c>
      <c r="V3881" s="22">
        <f>3.48/5</f>
        <v>0.69599999999999995</v>
      </c>
      <c r="W3881" s="14" t="s">
        <v>6487</v>
      </c>
      <c r="AB3881" s="18">
        <f t="shared" si="120"/>
        <v>2013</v>
      </c>
      <c r="AC3881" s="22">
        <f t="shared" si="121"/>
        <v>0.77866666666666673</v>
      </c>
    </row>
    <row r="3882" spans="1:29">
      <c r="A3882" s="8" t="s">
        <v>2433</v>
      </c>
      <c r="B3882" s="17" t="s">
        <v>7749</v>
      </c>
      <c r="C3882" s="13">
        <v>41305</v>
      </c>
      <c r="D3882" s="13" t="s">
        <v>8465</v>
      </c>
      <c r="E3882" s="10" t="s">
        <v>1578</v>
      </c>
      <c r="F3882" s="10" t="s">
        <v>2476</v>
      </c>
      <c r="H3882" s="2" t="s">
        <v>151</v>
      </c>
      <c r="L3882" s="18">
        <v>1</v>
      </c>
      <c r="N3882" s="13">
        <v>41808</v>
      </c>
      <c r="O3882" s="29">
        <v>2.5</v>
      </c>
      <c r="P3882" s="18" t="s">
        <v>1107</v>
      </c>
      <c r="Q3882" s="18">
        <v>1</v>
      </c>
      <c r="R3882" s="13">
        <v>44719</v>
      </c>
      <c r="S3882" s="21">
        <f>58/60</f>
        <v>0.96666666666666667</v>
      </c>
      <c r="T3882" s="22">
        <v>0.7</v>
      </c>
      <c r="U3882" s="22">
        <v>0.72</v>
      </c>
      <c r="V3882" s="22">
        <f>3.53/5</f>
        <v>0.70599999999999996</v>
      </c>
      <c r="AB3882" s="18">
        <f t="shared" si="120"/>
        <v>2013</v>
      </c>
      <c r="AC3882" s="22">
        <f t="shared" si="121"/>
        <v>0.70866666666666667</v>
      </c>
    </row>
    <row r="3883" spans="1:29" ht="30">
      <c r="A3883" s="8" t="s">
        <v>4751</v>
      </c>
      <c r="B3883" s="17" t="s">
        <v>7800</v>
      </c>
      <c r="C3883" s="13">
        <v>41304</v>
      </c>
      <c r="D3883" s="13" t="s">
        <v>8465</v>
      </c>
      <c r="E3883" s="10" t="s">
        <v>4752</v>
      </c>
      <c r="F3883" s="10" t="s">
        <v>4753</v>
      </c>
      <c r="H3883" s="2" t="s">
        <v>67</v>
      </c>
      <c r="L3883" s="18">
        <v>1</v>
      </c>
      <c r="N3883" s="13">
        <v>41422</v>
      </c>
      <c r="P3883" s="18" t="s">
        <v>1107</v>
      </c>
      <c r="Q3883" s="18">
        <v>1</v>
      </c>
      <c r="S3883" s="21">
        <v>1.02</v>
      </c>
      <c r="T3883" s="22">
        <v>0.8</v>
      </c>
      <c r="U3883" s="22">
        <v>0.77</v>
      </c>
      <c r="V3883" s="22">
        <f>3.02/5</f>
        <v>0.60399999999999998</v>
      </c>
      <c r="W3883" s="14" t="s">
        <v>7777</v>
      </c>
      <c r="AB3883" s="18">
        <f t="shared" si="120"/>
        <v>2013</v>
      </c>
      <c r="AC3883" s="22">
        <f t="shared" si="121"/>
        <v>0.72466666666666668</v>
      </c>
    </row>
    <row r="3884" spans="1:29">
      <c r="A3884" s="8" t="s">
        <v>3686</v>
      </c>
      <c r="B3884" s="17" t="s">
        <v>7800</v>
      </c>
      <c r="C3884" s="13">
        <v>41298</v>
      </c>
      <c r="D3884" s="13" t="s">
        <v>8465</v>
      </c>
      <c r="E3884" s="10" t="s">
        <v>73</v>
      </c>
      <c r="F3884" s="10" t="s">
        <v>3687</v>
      </c>
      <c r="G3884" s="11" t="s">
        <v>3655</v>
      </c>
      <c r="H3884" s="2" t="s">
        <v>1059</v>
      </c>
      <c r="L3884" s="18">
        <v>1</v>
      </c>
      <c r="N3884" s="13">
        <v>41992</v>
      </c>
      <c r="O3884" s="29">
        <v>12.49</v>
      </c>
      <c r="P3884" s="18" t="s">
        <v>1107</v>
      </c>
      <c r="Q3884" s="18">
        <v>1</v>
      </c>
      <c r="R3884" s="13">
        <v>42097</v>
      </c>
      <c r="S3884" s="21">
        <v>6.67</v>
      </c>
      <c r="T3884" s="22">
        <v>0.8</v>
      </c>
      <c r="U3884" s="22">
        <v>0.85</v>
      </c>
      <c r="V3884" s="22">
        <f>3.59/5</f>
        <v>0.71799999999999997</v>
      </c>
      <c r="W3884" s="14" t="s">
        <v>7777</v>
      </c>
      <c r="AB3884" s="18">
        <f t="shared" si="120"/>
        <v>2013</v>
      </c>
      <c r="AC3884" s="22">
        <f t="shared" si="121"/>
        <v>0.78933333333333333</v>
      </c>
    </row>
    <row r="3885" spans="1:29" ht="30">
      <c r="A3885" s="8" t="s">
        <v>6333</v>
      </c>
      <c r="B3885" s="17" t="s">
        <v>7765</v>
      </c>
      <c r="C3885" s="13">
        <v>41297</v>
      </c>
      <c r="D3885" s="13" t="s">
        <v>8465</v>
      </c>
      <c r="E3885" s="10" t="s">
        <v>455</v>
      </c>
      <c r="F3885" s="10" t="s">
        <v>3370</v>
      </c>
      <c r="H3885" s="2" t="s">
        <v>67</v>
      </c>
      <c r="L3885" s="18">
        <v>1</v>
      </c>
      <c r="P3885" s="18" t="s">
        <v>1107</v>
      </c>
      <c r="Q3885" s="18">
        <v>1</v>
      </c>
      <c r="R3885" s="13">
        <v>41614</v>
      </c>
      <c r="T3885" s="22">
        <v>0.7</v>
      </c>
      <c r="U3885" s="22">
        <v>0.73</v>
      </c>
      <c r="V3885" s="22">
        <f>3.64/5</f>
        <v>0.72799999999999998</v>
      </c>
      <c r="AB3885" s="18">
        <f t="shared" si="120"/>
        <v>2013</v>
      </c>
      <c r="AC3885" s="22">
        <f t="shared" si="121"/>
        <v>0.71933333333333327</v>
      </c>
    </row>
    <row r="3886" spans="1:29">
      <c r="A3886" s="8" t="s">
        <v>2432</v>
      </c>
      <c r="B3886" s="17" t="s">
        <v>7749</v>
      </c>
      <c r="C3886" s="13">
        <v>41277</v>
      </c>
      <c r="D3886" s="13" t="s">
        <v>8465</v>
      </c>
      <c r="E3886" s="10" t="s">
        <v>2475</v>
      </c>
      <c r="F3886" s="10" t="s">
        <v>2475</v>
      </c>
      <c r="G3886" s="11" t="s">
        <v>2432</v>
      </c>
      <c r="H3886" s="2" t="s">
        <v>56</v>
      </c>
      <c r="L3886" s="18">
        <v>1</v>
      </c>
      <c r="N3886" s="13">
        <v>42197</v>
      </c>
      <c r="O3886" s="29">
        <v>0</v>
      </c>
      <c r="P3886" s="18" t="s">
        <v>1107</v>
      </c>
      <c r="Q3886" s="18">
        <v>1</v>
      </c>
      <c r="R3886" s="13">
        <v>44714</v>
      </c>
      <c r="S3886" s="21">
        <f>1+2/60</f>
        <v>1.0333333333333334</v>
      </c>
      <c r="T3886" s="22">
        <v>0.6</v>
      </c>
      <c r="U3886" s="22">
        <v>0.83</v>
      </c>
      <c r="V3886" s="22">
        <f>3.77/5</f>
        <v>0.754</v>
      </c>
      <c r="AB3886" s="18">
        <f t="shared" si="120"/>
        <v>2013</v>
      </c>
      <c r="AC3886" s="22">
        <f t="shared" si="121"/>
        <v>0.72800000000000009</v>
      </c>
    </row>
    <row r="3887" spans="1:29">
      <c r="A3887" s="8" t="s">
        <v>5241</v>
      </c>
      <c r="B3887" s="17" t="s">
        <v>7800</v>
      </c>
      <c r="C3887" s="13">
        <v>41274</v>
      </c>
      <c r="D3887" s="13" t="s">
        <v>8465</v>
      </c>
      <c r="E3887" s="10" t="s">
        <v>5242</v>
      </c>
      <c r="F3887" s="10" t="s">
        <v>5242</v>
      </c>
      <c r="H3887" s="2" t="s">
        <v>1518</v>
      </c>
      <c r="L3887" s="18">
        <v>1</v>
      </c>
      <c r="N3887" s="13">
        <v>41653</v>
      </c>
      <c r="P3887" s="18" t="s">
        <v>1107</v>
      </c>
      <c r="Q3887" s="18">
        <v>0</v>
      </c>
      <c r="U3887" s="22">
        <v>0.8</v>
      </c>
      <c r="V3887" s="22">
        <f>4.25/5</f>
        <v>0.85</v>
      </c>
      <c r="W3887" s="14" t="s">
        <v>7777</v>
      </c>
      <c r="X3887" s="3">
        <v>2</v>
      </c>
      <c r="Z3887" s="23">
        <v>50</v>
      </c>
      <c r="AB3887" s="18">
        <f t="shared" si="120"/>
        <v>2012</v>
      </c>
      <c r="AC3887" s="22">
        <f t="shared" si="121"/>
        <v>0.68333333333333324</v>
      </c>
    </row>
    <row r="3888" spans="1:29">
      <c r="A3888" s="8" t="s">
        <v>11368</v>
      </c>
      <c r="B3888" s="17" t="s">
        <v>7763</v>
      </c>
      <c r="C3888" s="13">
        <v>41274</v>
      </c>
      <c r="D3888" s="13" t="s">
        <v>8465</v>
      </c>
      <c r="E3888" s="10" t="s">
        <v>11369</v>
      </c>
      <c r="F3888" s="10" t="s">
        <v>11369</v>
      </c>
      <c r="H3888" s="2" t="s">
        <v>27</v>
      </c>
      <c r="L3888" s="18">
        <v>1</v>
      </c>
      <c r="N3888" s="13">
        <v>44922</v>
      </c>
      <c r="O3888" s="29">
        <v>4.99</v>
      </c>
      <c r="P3888" s="18" t="s">
        <v>1107</v>
      </c>
      <c r="Q3888" s="18">
        <v>0</v>
      </c>
      <c r="U3888" s="22">
        <v>0.44</v>
      </c>
      <c r="V3888" s="22">
        <f>2.17/5</f>
        <v>0.434</v>
      </c>
      <c r="X3888" s="3">
        <v>3</v>
      </c>
      <c r="Z3888" s="23">
        <v>7</v>
      </c>
      <c r="AB3888" s="18">
        <f t="shared" si="120"/>
        <v>2012</v>
      </c>
      <c r="AC3888" s="22">
        <f t="shared" si="121"/>
        <v>0.49133333333333334</v>
      </c>
    </row>
    <row r="3889" spans="1:29">
      <c r="A3889" s="8" t="s">
        <v>11235</v>
      </c>
      <c r="B3889" s="17" t="s">
        <v>7749</v>
      </c>
      <c r="C3889" s="13">
        <v>41270</v>
      </c>
      <c r="D3889" s="13" t="s">
        <v>8465</v>
      </c>
      <c r="E3889" s="10" t="s">
        <v>86</v>
      </c>
      <c r="F3889" s="10" t="s">
        <v>3846</v>
      </c>
      <c r="G3889" s="11" t="s">
        <v>11176</v>
      </c>
      <c r="H3889" s="2" t="s">
        <v>78</v>
      </c>
      <c r="L3889" s="18">
        <v>1</v>
      </c>
      <c r="N3889" s="13">
        <v>44624</v>
      </c>
      <c r="O3889" s="29">
        <v>10.99</v>
      </c>
      <c r="P3889" s="18" t="s">
        <v>1107</v>
      </c>
      <c r="Q3889" s="18">
        <v>0</v>
      </c>
      <c r="U3889" s="22">
        <v>0.78</v>
      </c>
      <c r="V3889" s="22">
        <f>3.74/5</f>
        <v>0.748</v>
      </c>
      <c r="X3889" s="3">
        <v>3</v>
      </c>
      <c r="Z3889" s="23">
        <v>13</v>
      </c>
      <c r="AB3889" s="18">
        <f t="shared" si="120"/>
        <v>2012</v>
      </c>
      <c r="AC3889" s="22">
        <f t="shared" si="121"/>
        <v>0.70933333333333337</v>
      </c>
    </row>
    <row r="3890" spans="1:29">
      <c r="A3890" s="8" t="s">
        <v>4258</v>
      </c>
      <c r="B3890" s="17" t="s">
        <v>7800</v>
      </c>
      <c r="C3890" s="13">
        <v>41264</v>
      </c>
      <c r="D3890" s="13" t="s">
        <v>8465</v>
      </c>
      <c r="E3890" s="10" t="s">
        <v>4259</v>
      </c>
      <c r="F3890" s="10" t="s">
        <v>4259</v>
      </c>
      <c r="H3890" s="2" t="s">
        <v>143</v>
      </c>
      <c r="L3890" s="18">
        <v>1</v>
      </c>
      <c r="N3890" s="13">
        <v>41728</v>
      </c>
      <c r="P3890" s="18" t="s">
        <v>1107</v>
      </c>
      <c r="Q3890" s="18">
        <v>0</v>
      </c>
      <c r="U3890" s="22">
        <v>0.8</v>
      </c>
      <c r="V3890" s="22">
        <f>3.5/5</f>
        <v>0.7</v>
      </c>
      <c r="W3890" s="14" t="s">
        <v>7777</v>
      </c>
      <c r="X3890" s="3">
        <v>2</v>
      </c>
      <c r="Z3890" s="23">
        <v>1.5</v>
      </c>
      <c r="AB3890" s="18">
        <f t="shared" si="120"/>
        <v>2012</v>
      </c>
      <c r="AC3890" s="22">
        <f t="shared" si="121"/>
        <v>0.6333333333333333</v>
      </c>
    </row>
    <row r="3891" spans="1:29" ht="38.25">
      <c r="A3891" s="8" t="s">
        <v>13773</v>
      </c>
      <c r="B3891" s="17" t="s">
        <v>8754</v>
      </c>
      <c r="C3891" s="13">
        <v>41263</v>
      </c>
      <c r="D3891" s="13" t="s">
        <v>8465</v>
      </c>
      <c r="E3891" s="10" t="s">
        <v>8418</v>
      </c>
      <c r="F3891" s="10" t="s">
        <v>8418</v>
      </c>
      <c r="G3891" s="11" t="s">
        <v>8417</v>
      </c>
      <c r="H3891" s="2" t="s">
        <v>171</v>
      </c>
      <c r="L3891" s="18">
        <v>0</v>
      </c>
      <c r="Q3891" s="18">
        <v>0</v>
      </c>
      <c r="V3891" s="22">
        <f>4.03/5</f>
        <v>0.80600000000000005</v>
      </c>
      <c r="W3891" s="14" t="s">
        <v>9890</v>
      </c>
      <c r="X3891" s="3">
        <v>2</v>
      </c>
      <c r="Z3891" s="23">
        <f>31/60</f>
        <v>0.51666666666666672</v>
      </c>
      <c r="AB3891" s="18">
        <f t="shared" si="120"/>
        <v>2012</v>
      </c>
      <c r="AC3891" s="22">
        <f t="shared" si="121"/>
        <v>0.60299999999999998</v>
      </c>
    </row>
    <row r="3892" spans="1:29">
      <c r="A3892" s="8" t="s">
        <v>3322</v>
      </c>
      <c r="B3892" s="17" t="s">
        <v>7800</v>
      </c>
      <c r="C3892" s="13">
        <v>41262</v>
      </c>
      <c r="D3892" s="13" t="s">
        <v>8465</v>
      </c>
      <c r="E3892" s="10" t="s">
        <v>2471</v>
      </c>
      <c r="F3892" s="10" t="s">
        <v>2471</v>
      </c>
      <c r="G3892" s="11" t="s">
        <v>1653</v>
      </c>
      <c r="H3892" s="2" t="s">
        <v>1220</v>
      </c>
      <c r="L3892" s="18">
        <v>1</v>
      </c>
      <c r="N3892" s="13">
        <v>41974</v>
      </c>
      <c r="O3892" s="29">
        <v>0.99</v>
      </c>
      <c r="P3892" s="18" t="s">
        <v>1107</v>
      </c>
      <c r="Q3892" s="18">
        <v>0</v>
      </c>
      <c r="U3892" s="22">
        <v>0.62</v>
      </c>
      <c r="V3892" s="22">
        <f>3.3/5</f>
        <v>0.65999999999999992</v>
      </c>
      <c r="W3892" s="14" t="s">
        <v>7777</v>
      </c>
      <c r="X3892" s="3">
        <v>2</v>
      </c>
      <c r="Z3892" s="23">
        <v>0.93</v>
      </c>
      <c r="AB3892" s="18">
        <f t="shared" si="120"/>
        <v>2012</v>
      </c>
      <c r="AC3892" s="22">
        <f t="shared" si="121"/>
        <v>0.55999999999999994</v>
      </c>
    </row>
    <row r="3893" spans="1:29" ht="25.5">
      <c r="A3893" s="8" t="s">
        <v>7162</v>
      </c>
      <c r="B3893" s="17" t="s">
        <v>7800</v>
      </c>
      <c r="C3893" s="13">
        <v>41260</v>
      </c>
      <c r="D3893" s="13" t="s">
        <v>8465</v>
      </c>
      <c r="E3893" s="10" t="s">
        <v>73</v>
      </c>
      <c r="F3893" s="10" t="s">
        <v>7233</v>
      </c>
      <c r="G3893" s="11" t="s">
        <v>89</v>
      </c>
      <c r="H3893" s="2" t="s">
        <v>56</v>
      </c>
      <c r="L3893" s="18">
        <v>0</v>
      </c>
      <c r="Q3893" s="18">
        <v>0</v>
      </c>
      <c r="U3893" s="22">
        <v>0.71</v>
      </c>
      <c r="V3893" s="22">
        <f>3.82/5</f>
        <v>0.76400000000000001</v>
      </c>
      <c r="W3893" s="14" t="s">
        <v>5674</v>
      </c>
      <c r="X3893" s="3">
        <v>3</v>
      </c>
      <c r="Z3893" s="23">
        <v>2</v>
      </c>
      <c r="AB3893" s="18">
        <f t="shared" si="120"/>
        <v>2012</v>
      </c>
      <c r="AC3893" s="22">
        <f t="shared" si="121"/>
        <v>0.69133333333333324</v>
      </c>
    </row>
    <row r="3894" spans="1:29">
      <c r="A3894" s="8" t="s">
        <v>5524</v>
      </c>
      <c r="B3894" s="17" t="s">
        <v>7800</v>
      </c>
      <c r="C3894" s="13">
        <v>41256</v>
      </c>
      <c r="D3894" s="13" t="s">
        <v>8465</v>
      </c>
      <c r="E3894" s="10" t="s">
        <v>5093</v>
      </c>
      <c r="F3894" s="10" t="s">
        <v>5093</v>
      </c>
      <c r="H3894" s="2" t="s">
        <v>151</v>
      </c>
      <c r="L3894" s="18">
        <v>1</v>
      </c>
      <c r="N3894" s="13">
        <v>42779</v>
      </c>
      <c r="O3894" s="29">
        <v>0</v>
      </c>
      <c r="P3894" s="18" t="s">
        <v>1107</v>
      </c>
      <c r="Q3894" s="18">
        <v>0</v>
      </c>
      <c r="U3894" s="22">
        <v>0.82</v>
      </c>
      <c r="V3894" s="22">
        <f>3.52/5</f>
        <v>0.70399999999999996</v>
      </c>
      <c r="W3894" s="14" t="s">
        <v>7777</v>
      </c>
      <c r="X3894" s="3">
        <v>2</v>
      </c>
      <c r="Z3894" s="23">
        <v>6.5</v>
      </c>
      <c r="AB3894" s="18">
        <f t="shared" si="120"/>
        <v>2012</v>
      </c>
      <c r="AC3894" s="22">
        <f t="shared" si="121"/>
        <v>0.64133333333333331</v>
      </c>
    </row>
    <row r="3895" spans="1:29">
      <c r="A3895" s="8" t="s">
        <v>7129</v>
      </c>
      <c r="B3895" s="17" t="s">
        <v>7800</v>
      </c>
      <c r="C3895" s="13">
        <v>41255</v>
      </c>
      <c r="D3895" s="13" t="s">
        <v>8465</v>
      </c>
      <c r="E3895" s="10" t="s">
        <v>7012</v>
      </c>
      <c r="F3895" s="10" t="s">
        <v>7012</v>
      </c>
      <c r="G3895" s="11" t="s">
        <v>7129</v>
      </c>
      <c r="H3895" s="2" t="s">
        <v>143</v>
      </c>
      <c r="L3895" s="18">
        <v>0</v>
      </c>
      <c r="Q3895" s="18">
        <v>0</v>
      </c>
      <c r="V3895" s="22">
        <f>3.88/5</f>
        <v>0.77600000000000002</v>
      </c>
      <c r="W3895" s="14" t="s">
        <v>5674</v>
      </c>
      <c r="X3895" s="3">
        <v>3</v>
      </c>
      <c r="Z3895" s="23">
        <v>2.5</v>
      </c>
      <c r="AB3895" s="18">
        <f t="shared" si="120"/>
        <v>2012</v>
      </c>
      <c r="AC3895" s="22">
        <f t="shared" si="121"/>
        <v>0.68799999999999994</v>
      </c>
    </row>
    <row r="3896" spans="1:29">
      <c r="A3896" s="8" t="s">
        <v>7160</v>
      </c>
      <c r="B3896" s="17" t="s">
        <v>7800</v>
      </c>
      <c r="C3896" s="13">
        <v>41255</v>
      </c>
      <c r="D3896" s="13" t="s">
        <v>8465</v>
      </c>
      <c r="E3896" s="10" t="s">
        <v>7232</v>
      </c>
      <c r="F3896" s="10" t="s">
        <v>7232</v>
      </c>
      <c r="H3896" s="2" t="s">
        <v>78</v>
      </c>
      <c r="L3896" s="18">
        <v>0</v>
      </c>
      <c r="Q3896" s="18">
        <v>0</v>
      </c>
      <c r="V3896" s="22">
        <f>3.93/5</f>
        <v>0.78600000000000003</v>
      </c>
      <c r="W3896" s="14" t="s">
        <v>5674</v>
      </c>
      <c r="X3896" s="3">
        <v>2</v>
      </c>
      <c r="Z3896" s="23">
        <v>1</v>
      </c>
      <c r="AB3896" s="18">
        <f t="shared" si="120"/>
        <v>2012</v>
      </c>
      <c r="AC3896" s="22">
        <f t="shared" si="121"/>
        <v>0.59299999999999997</v>
      </c>
    </row>
    <row r="3897" spans="1:29" ht="30">
      <c r="A3897" s="8" t="s">
        <v>9868</v>
      </c>
      <c r="B3897" s="17" t="s">
        <v>7759</v>
      </c>
      <c r="C3897" s="13">
        <v>41254</v>
      </c>
      <c r="D3897" s="13" t="s">
        <v>8465</v>
      </c>
      <c r="E3897" s="10" t="s">
        <v>5015</v>
      </c>
      <c r="F3897" s="10" t="s">
        <v>1505</v>
      </c>
      <c r="H3897" s="2" t="s">
        <v>151</v>
      </c>
      <c r="L3897" s="18">
        <v>1</v>
      </c>
      <c r="N3897" s="13">
        <v>44285</v>
      </c>
      <c r="O3897" s="29">
        <v>9.99</v>
      </c>
      <c r="P3897" s="18" t="s">
        <v>1107</v>
      </c>
      <c r="Q3897" s="18">
        <v>0</v>
      </c>
      <c r="U3897" s="22">
        <v>0.66</v>
      </c>
      <c r="V3897" s="22">
        <f>3.58/5</f>
        <v>0.71599999999999997</v>
      </c>
      <c r="X3897" s="3">
        <v>3</v>
      </c>
      <c r="Z3897" s="23">
        <v>8</v>
      </c>
      <c r="AB3897" s="18">
        <f t="shared" si="120"/>
        <v>2012</v>
      </c>
      <c r="AC3897" s="22">
        <f t="shared" si="121"/>
        <v>0.65866666666666662</v>
      </c>
    </row>
    <row r="3898" spans="1:29" ht="25.5">
      <c r="A3898" s="8" t="s">
        <v>3071</v>
      </c>
      <c r="B3898" s="17" t="s">
        <v>7800</v>
      </c>
      <c r="C3898" s="13">
        <v>41254</v>
      </c>
      <c r="D3898" s="13" t="s">
        <v>8465</v>
      </c>
      <c r="E3898" s="10" t="s">
        <v>3072</v>
      </c>
      <c r="F3898" s="10" t="s">
        <v>3072</v>
      </c>
      <c r="H3898" s="2" t="s">
        <v>67</v>
      </c>
      <c r="L3898" s="18">
        <v>1</v>
      </c>
      <c r="N3898" s="13">
        <v>41446</v>
      </c>
      <c r="P3898" s="18" t="s">
        <v>1107</v>
      </c>
      <c r="Q3898" s="18">
        <v>0</v>
      </c>
      <c r="U3898" s="22">
        <v>0.68</v>
      </c>
      <c r="V3898" s="22">
        <f>3.3/5</f>
        <v>0.65999999999999992</v>
      </c>
      <c r="W3898" s="14" t="s">
        <v>7777</v>
      </c>
      <c r="X3898" s="3">
        <v>3</v>
      </c>
      <c r="Z3898" s="23">
        <v>9</v>
      </c>
      <c r="AB3898" s="18">
        <f t="shared" si="120"/>
        <v>2012</v>
      </c>
      <c r="AC3898" s="22">
        <f t="shared" si="121"/>
        <v>0.64666666666666661</v>
      </c>
    </row>
    <row r="3899" spans="1:29" ht="30">
      <c r="A3899" s="8" t="s">
        <v>5289</v>
      </c>
      <c r="B3899" s="17" t="s">
        <v>7800</v>
      </c>
      <c r="C3899" s="13">
        <v>41250</v>
      </c>
      <c r="D3899" s="13" t="s">
        <v>8465</v>
      </c>
      <c r="E3899" s="10" t="s">
        <v>5290</v>
      </c>
      <c r="F3899" s="10" t="s">
        <v>5291</v>
      </c>
      <c r="G3899" s="11" t="s">
        <v>13809</v>
      </c>
      <c r="H3899" s="2" t="s">
        <v>67</v>
      </c>
      <c r="L3899" s="18">
        <v>1</v>
      </c>
      <c r="N3899" s="13">
        <v>41602</v>
      </c>
      <c r="P3899" s="18" t="s">
        <v>1107</v>
      </c>
      <c r="Q3899" s="18">
        <v>0</v>
      </c>
      <c r="U3899" s="22">
        <v>0.9</v>
      </c>
      <c r="V3899" s="22">
        <f>4.07/5</f>
        <v>0.81400000000000006</v>
      </c>
      <c r="W3899" s="14" t="s">
        <v>7777</v>
      </c>
      <c r="X3899" s="3">
        <v>3</v>
      </c>
      <c r="Z3899" s="23">
        <v>8</v>
      </c>
      <c r="AB3899" s="18">
        <f t="shared" si="120"/>
        <v>2012</v>
      </c>
      <c r="AC3899" s="22">
        <f t="shared" si="121"/>
        <v>0.77133333333333332</v>
      </c>
    </row>
    <row r="3900" spans="1:29">
      <c r="A3900" s="8" t="s">
        <v>3587</v>
      </c>
      <c r="B3900" s="17" t="s">
        <v>7800</v>
      </c>
      <c r="C3900" s="13">
        <v>41250</v>
      </c>
      <c r="D3900" s="13" t="s">
        <v>8465</v>
      </c>
      <c r="E3900" s="10" t="s">
        <v>3588</v>
      </c>
      <c r="F3900" s="10" t="s">
        <v>3588</v>
      </c>
      <c r="G3900" s="11" t="s">
        <v>3587</v>
      </c>
      <c r="H3900" s="2" t="s">
        <v>143</v>
      </c>
      <c r="L3900" s="18">
        <v>1</v>
      </c>
      <c r="N3900" s="13">
        <v>41362</v>
      </c>
      <c r="P3900" s="18" t="s">
        <v>1107</v>
      </c>
      <c r="Q3900" s="18">
        <v>0</v>
      </c>
      <c r="U3900" s="22">
        <v>0.82</v>
      </c>
      <c r="V3900" s="22">
        <f>3.3/5</f>
        <v>0.65999999999999992</v>
      </c>
      <c r="W3900" s="14" t="s">
        <v>7777</v>
      </c>
      <c r="X3900" s="3">
        <v>2</v>
      </c>
      <c r="Z3900" s="23">
        <v>2</v>
      </c>
      <c r="AB3900" s="18">
        <f t="shared" si="120"/>
        <v>2012</v>
      </c>
      <c r="AC3900" s="22">
        <f t="shared" si="121"/>
        <v>0.62666666666666659</v>
      </c>
    </row>
    <row r="3901" spans="1:29" ht="38.25">
      <c r="A3901" s="8" t="s">
        <v>5287</v>
      </c>
      <c r="B3901" s="17" t="s">
        <v>7800</v>
      </c>
      <c r="C3901" s="13">
        <v>41248</v>
      </c>
      <c r="D3901" s="13" t="s">
        <v>8465</v>
      </c>
      <c r="E3901" s="10" t="s">
        <v>1583</v>
      </c>
      <c r="F3901" s="10" t="s">
        <v>5286</v>
      </c>
      <c r="G3901" s="11" t="s">
        <v>5285</v>
      </c>
      <c r="H3901" s="2" t="s">
        <v>67</v>
      </c>
      <c r="L3901" s="18">
        <v>1</v>
      </c>
      <c r="N3901" s="13">
        <v>41878</v>
      </c>
      <c r="O3901" s="29">
        <v>1.6</v>
      </c>
      <c r="P3901" s="18" t="s">
        <v>1107</v>
      </c>
      <c r="Q3901" s="18">
        <v>0</v>
      </c>
      <c r="U3901" s="22">
        <v>0.79</v>
      </c>
      <c r="V3901" s="22">
        <f>3.78/5</f>
        <v>0.75600000000000001</v>
      </c>
      <c r="W3901" s="14" t="s">
        <v>7777</v>
      </c>
      <c r="X3901" s="3">
        <v>3</v>
      </c>
      <c r="Z3901" s="23">
        <v>7</v>
      </c>
      <c r="AB3901" s="18">
        <f t="shared" si="120"/>
        <v>2012</v>
      </c>
      <c r="AC3901" s="22">
        <f t="shared" si="121"/>
        <v>0.71533333333333327</v>
      </c>
    </row>
    <row r="3902" spans="1:29">
      <c r="A3902" s="8" t="s">
        <v>4742</v>
      </c>
      <c r="B3902" s="17" t="s">
        <v>7800</v>
      </c>
      <c r="C3902" s="13">
        <v>41248</v>
      </c>
      <c r="D3902" s="13" t="s">
        <v>8465</v>
      </c>
      <c r="E3902" s="10" t="s">
        <v>3066</v>
      </c>
      <c r="F3902" s="10" t="s">
        <v>4743</v>
      </c>
      <c r="H3902" s="2" t="s">
        <v>67</v>
      </c>
      <c r="L3902" s="18">
        <v>1</v>
      </c>
      <c r="N3902" s="13">
        <v>41426</v>
      </c>
      <c r="P3902" s="18" t="s">
        <v>1107</v>
      </c>
      <c r="Q3902" s="18">
        <v>0</v>
      </c>
      <c r="U3902" s="22">
        <v>0.72</v>
      </c>
      <c r="V3902" s="22">
        <f>3.88/5</f>
        <v>0.77600000000000002</v>
      </c>
      <c r="W3902" s="14" t="s">
        <v>7777</v>
      </c>
      <c r="X3902" s="3">
        <v>3</v>
      </c>
      <c r="Z3902" s="23">
        <v>6</v>
      </c>
      <c r="AB3902" s="18">
        <f t="shared" si="120"/>
        <v>2012</v>
      </c>
      <c r="AC3902" s="22">
        <f t="shared" si="121"/>
        <v>0.69866666666666666</v>
      </c>
    </row>
    <row r="3903" spans="1:29">
      <c r="A3903" s="8" t="s">
        <v>5971</v>
      </c>
      <c r="B3903" s="17" t="s">
        <v>7759</v>
      </c>
      <c r="C3903" s="13">
        <v>41247</v>
      </c>
      <c r="D3903" s="13" t="s">
        <v>8465</v>
      </c>
      <c r="E3903" s="10" t="s">
        <v>231</v>
      </c>
      <c r="F3903" s="10" t="s">
        <v>1161</v>
      </c>
      <c r="G3903" s="11" t="s">
        <v>1162</v>
      </c>
      <c r="H3903" s="2" t="s">
        <v>171</v>
      </c>
      <c r="L3903" s="18">
        <v>1</v>
      </c>
      <c r="M3903" s="14" t="s">
        <v>8462</v>
      </c>
      <c r="N3903" s="13">
        <v>43566</v>
      </c>
      <c r="O3903" s="29">
        <v>26</v>
      </c>
      <c r="P3903" s="18" t="s">
        <v>14</v>
      </c>
      <c r="Q3903" s="18">
        <v>0</v>
      </c>
      <c r="U3903" s="22">
        <v>0.9</v>
      </c>
      <c r="V3903" s="22">
        <f>4.34/5</f>
        <v>0.86799999999999999</v>
      </c>
      <c r="X3903" s="3">
        <v>2</v>
      </c>
      <c r="Z3903" s="23">
        <v>96.5</v>
      </c>
      <c r="AB3903" s="18">
        <f t="shared" si="120"/>
        <v>2012</v>
      </c>
      <c r="AC3903" s="22">
        <f t="shared" si="121"/>
        <v>0.72266666666666668</v>
      </c>
    </row>
    <row r="3904" spans="1:29" ht="25.5">
      <c r="A3904" s="8" t="s">
        <v>15093</v>
      </c>
      <c r="B3904" s="17" t="s">
        <v>7743</v>
      </c>
      <c r="C3904" s="13">
        <v>41247</v>
      </c>
      <c r="D3904" s="13" t="s">
        <v>8465</v>
      </c>
      <c r="E3904" s="10" t="s">
        <v>1047</v>
      </c>
      <c r="F3904" s="10" t="s">
        <v>1538</v>
      </c>
      <c r="G3904" s="11" t="s">
        <v>9258</v>
      </c>
      <c r="H3904" s="2" t="s">
        <v>459</v>
      </c>
      <c r="L3904" s="18">
        <v>0</v>
      </c>
      <c r="Q3904" s="18">
        <v>0</v>
      </c>
      <c r="U3904" s="22">
        <v>0.5</v>
      </c>
      <c r="V3904" s="22">
        <f>3.06/5</f>
        <v>0.61199999999999999</v>
      </c>
      <c r="X3904" s="3">
        <v>2</v>
      </c>
      <c r="Y3904" s="18">
        <v>1</v>
      </c>
      <c r="Z3904" s="23">
        <v>2</v>
      </c>
      <c r="AB3904" s="18">
        <f t="shared" si="120"/>
        <v>2012</v>
      </c>
      <c r="AC3904" s="22">
        <f t="shared" si="121"/>
        <v>0.504</v>
      </c>
    </row>
    <row r="3905" spans="1:29">
      <c r="A3905" s="8" t="s">
        <v>4226</v>
      </c>
      <c r="B3905" s="17" t="s">
        <v>7800</v>
      </c>
      <c r="C3905" s="13">
        <v>41246</v>
      </c>
      <c r="D3905" s="13" t="s">
        <v>8465</v>
      </c>
      <c r="E3905" s="10" t="s">
        <v>1721</v>
      </c>
      <c r="F3905" s="10" t="s">
        <v>4227</v>
      </c>
      <c r="G3905" s="11" t="s">
        <v>4226</v>
      </c>
      <c r="H3905" s="2" t="s">
        <v>143</v>
      </c>
      <c r="L3905" s="18">
        <v>1</v>
      </c>
      <c r="N3905" s="13">
        <v>41411</v>
      </c>
      <c r="P3905" s="18" t="s">
        <v>1107</v>
      </c>
      <c r="Q3905" s="18">
        <v>0</v>
      </c>
      <c r="U3905" s="22">
        <v>0.66</v>
      </c>
      <c r="V3905" s="22">
        <f>3.02/5</f>
        <v>0.60399999999999998</v>
      </c>
      <c r="W3905" s="14" t="s">
        <v>7777</v>
      </c>
      <c r="X3905" s="3">
        <v>3</v>
      </c>
      <c r="Z3905" s="23">
        <v>0.7</v>
      </c>
      <c r="AB3905" s="18">
        <f t="shared" ref="AB3905:AB3968" si="122">IFERROR(YEAR(C3905), "Early Access")</f>
        <v>2012</v>
      </c>
      <c r="AC3905" s="22">
        <f t="shared" ref="AC3905:AC3968" si="123">AVERAGE(T3905, U3905, V3905, IF(ISBLANK(X3905), X3905, X3905/5))</f>
        <v>0.62133333333333329</v>
      </c>
    </row>
    <row r="3906" spans="1:29">
      <c r="A3906" s="8" t="s">
        <v>2425</v>
      </c>
      <c r="B3906" s="17" t="s">
        <v>7749</v>
      </c>
      <c r="C3906" s="13">
        <v>41242</v>
      </c>
      <c r="D3906" s="13" t="s">
        <v>8465</v>
      </c>
      <c r="E3906" s="10" t="s">
        <v>2129</v>
      </c>
      <c r="F3906" s="10" t="s">
        <v>2468</v>
      </c>
      <c r="G3906" s="11" t="s">
        <v>2469</v>
      </c>
      <c r="H3906" s="2" t="s">
        <v>1334</v>
      </c>
      <c r="L3906" s="18">
        <v>1</v>
      </c>
      <c r="N3906" s="13">
        <v>41389</v>
      </c>
      <c r="O3906" s="29">
        <v>2.99</v>
      </c>
      <c r="P3906" s="18" t="s">
        <v>1107</v>
      </c>
      <c r="Q3906" s="18">
        <v>0</v>
      </c>
      <c r="U3906" s="22">
        <v>0.7</v>
      </c>
      <c r="V3906" s="22">
        <f>3.32/5</f>
        <v>0.66399999999999992</v>
      </c>
      <c r="X3906" s="3">
        <v>2</v>
      </c>
      <c r="Z3906" s="23">
        <v>4</v>
      </c>
      <c r="AB3906" s="18">
        <f t="shared" si="122"/>
        <v>2012</v>
      </c>
      <c r="AC3906" s="22">
        <f t="shared" si="123"/>
        <v>0.58799999999999997</v>
      </c>
    </row>
    <row r="3907" spans="1:29">
      <c r="A3907" s="8" t="s">
        <v>5135</v>
      </c>
      <c r="B3907" s="17" t="s">
        <v>7800</v>
      </c>
      <c r="C3907" s="13">
        <v>41241</v>
      </c>
      <c r="D3907" s="13" t="s">
        <v>8465</v>
      </c>
      <c r="E3907" s="10" t="s">
        <v>1151</v>
      </c>
      <c r="F3907" s="10" t="s">
        <v>3846</v>
      </c>
      <c r="H3907" s="2" t="s">
        <v>245</v>
      </c>
      <c r="L3907" s="18">
        <v>1</v>
      </c>
      <c r="N3907" s="13">
        <v>41443</v>
      </c>
      <c r="P3907" s="18" t="s">
        <v>1107</v>
      </c>
      <c r="Q3907" s="18">
        <v>0</v>
      </c>
      <c r="U3907" s="22">
        <v>0.8</v>
      </c>
      <c r="V3907" s="22">
        <f>3.59/5</f>
        <v>0.71799999999999997</v>
      </c>
      <c r="W3907" s="14" t="s">
        <v>7777</v>
      </c>
      <c r="X3907" s="3">
        <v>3</v>
      </c>
      <c r="Z3907" s="23">
        <v>6</v>
      </c>
      <c r="AB3907" s="18">
        <f t="shared" si="122"/>
        <v>2012</v>
      </c>
      <c r="AC3907" s="22">
        <f t="shared" si="123"/>
        <v>0.70599999999999996</v>
      </c>
    </row>
    <row r="3908" spans="1:29" ht="30">
      <c r="A3908" s="8" t="s">
        <v>6000</v>
      </c>
      <c r="B3908" s="17" t="s">
        <v>7759</v>
      </c>
      <c r="C3908" s="13">
        <v>41240</v>
      </c>
      <c r="D3908" s="13" t="s">
        <v>8465</v>
      </c>
      <c r="E3908" s="10" t="s">
        <v>2908</v>
      </c>
      <c r="F3908" s="10" t="s">
        <v>3039</v>
      </c>
      <c r="G3908" s="11" t="s">
        <v>5853</v>
      </c>
      <c r="H3908" s="2" t="s">
        <v>1040</v>
      </c>
      <c r="L3908" s="18">
        <v>1</v>
      </c>
      <c r="M3908" s="14" t="s">
        <v>8462</v>
      </c>
      <c r="N3908" s="13">
        <v>43485</v>
      </c>
      <c r="O3908" s="29">
        <v>17</v>
      </c>
      <c r="P3908" s="18" t="s">
        <v>14</v>
      </c>
      <c r="Q3908" s="18">
        <v>0</v>
      </c>
      <c r="U3908" s="22">
        <v>0.65</v>
      </c>
      <c r="V3908" s="22">
        <f>3.39/5</f>
        <v>0.67800000000000005</v>
      </c>
      <c r="X3908" s="3">
        <v>4</v>
      </c>
      <c r="Z3908" s="23">
        <v>5</v>
      </c>
      <c r="AB3908" s="18">
        <f t="shared" si="122"/>
        <v>2012</v>
      </c>
      <c r="AC3908" s="22">
        <f t="shared" si="123"/>
        <v>0.70933333333333337</v>
      </c>
    </row>
    <row r="3909" spans="1:29">
      <c r="A3909" s="8" t="s">
        <v>5197</v>
      </c>
      <c r="B3909" s="17" t="s">
        <v>7800</v>
      </c>
      <c r="C3909" s="13">
        <v>41240</v>
      </c>
      <c r="D3909" s="13" t="s">
        <v>8465</v>
      </c>
      <c r="E3909" s="10" t="s">
        <v>2824</v>
      </c>
      <c r="F3909" s="10" t="s">
        <v>2824</v>
      </c>
      <c r="H3909" s="2" t="s">
        <v>143</v>
      </c>
      <c r="L3909" s="18">
        <v>1</v>
      </c>
      <c r="N3909" s="13">
        <v>41827</v>
      </c>
      <c r="O3909" s="29">
        <v>0.74</v>
      </c>
      <c r="P3909" s="18" t="s">
        <v>1107</v>
      </c>
      <c r="Q3909" s="18">
        <v>0</v>
      </c>
      <c r="U3909" s="22">
        <v>0.93</v>
      </c>
      <c r="V3909" s="22">
        <f>3.73/5</f>
        <v>0.746</v>
      </c>
      <c r="W3909" s="14" t="s">
        <v>7777</v>
      </c>
      <c r="X3909" s="3">
        <v>2</v>
      </c>
      <c r="Z3909" s="23">
        <v>13</v>
      </c>
      <c r="AB3909" s="18">
        <f t="shared" si="122"/>
        <v>2012</v>
      </c>
      <c r="AC3909" s="22">
        <f t="shared" si="123"/>
        <v>0.69200000000000006</v>
      </c>
    </row>
    <row r="3910" spans="1:29">
      <c r="A3910" s="8" t="s">
        <v>14807</v>
      </c>
      <c r="B3910" s="17" t="s">
        <v>7759</v>
      </c>
      <c r="C3910" s="13">
        <v>41240</v>
      </c>
      <c r="D3910" s="13" t="s">
        <v>8465</v>
      </c>
      <c r="E3910" s="10" t="s">
        <v>455</v>
      </c>
      <c r="F3910" s="10" t="s">
        <v>456</v>
      </c>
      <c r="G3910" s="11" t="s">
        <v>1688</v>
      </c>
      <c r="H3910" s="2" t="s">
        <v>459</v>
      </c>
      <c r="L3910" s="18">
        <v>0</v>
      </c>
      <c r="Q3910" s="18">
        <v>0</v>
      </c>
      <c r="V3910" s="22">
        <f>3.18/5</f>
        <v>0.63600000000000001</v>
      </c>
      <c r="X3910" s="3">
        <v>2</v>
      </c>
      <c r="Y3910" s="18">
        <v>1</v>
      </c>
      <c r="Z3910" s="23">
        <f>41/60</f>
        <v>0.68333333333333335</v>
      </c>
      <c r="AB3910" s="18">
        <f t="shared" si="122"/>
        <v>2012</v>
      </c>
      <c r="AC3910" s="22">
        <f t="shared" si="123"/>
        <v>0.51800000000000002</v>
      </c>
    </row>
    <row r="3911" spans="1:29">
      <c r="A3911" s="8" t="s">
        <v>10860</v>
      </c>
      <c r="B3911" s="17" t="s">
        <v>7749</v>
      </c>
      <c r="C3911" s="13">
        <v>41235</v>
      </c>
      <c r="D3911" s="13" t="s">
        <v>8463</v>
      </c>
      <c r="E3911" s="10" t="s">
        <v>73</v>
      </c>
      <c r="F3911" s="10" t="s">
        <v>73</v>
      </c>
      <c r="G3911" s="11" t="s">
        <v>4348</v>
      </c>
      <c r="H3911" s="2" t="s">
        <v>1168</v>
      </c>
      <c r="K3911" s="18">
        <v>2</v>
      </c>
      <c r="L3911" s="18">
        <v>0</v>
      </c>
      <c r="Q3911" s="18">
        <v>0</v>
      </c>
      <c r="V3911" s="22">
        <f>4.16/5</f>
        <v>0.83200000000000007</v>
      </c>
      <c r="X3911" s="3">
        <v>3</v>
      </c>
      <c r="Z3911" s="23">
        <v>12</v>
      </c>
      <c r="AB3911" s="18">
        <f t="shared" si="122"/>
        <v>2012</v>
      </c>
      <c r="AC3911" s="22">
        <f t="shared" si="123"/>
        <v>0.71599999999999997</v>
      </c>
    </row>
    <row r="3912" spans="1:29">
      <c r="A3912" s="8" t="s">
        <v>10254</v>
      </c>
      <c r="B3912" s="17" t="s">
        <v>7749</v>
      </c>
      <c r="C3912" s="13">
        <v>41235</v>
      </c>
      <c r="D3912" s="13" t="s">
        <v>8465</v>
      </c>
      <c r="E3912" s="10" t="s">
        <v>86</v>
      </c>
      <c r="F3912" s="10" t="s">
        <v>1069</v>
      </c>
      <c r="G3912" s="11" t="s">
        <v>1149</v>
      </c>
      <c r="H3912" s="2" t="s">
        <v>78</v>
      </c>
      <c r="L3912" s="18">
        <v>1</v>
      </c>
      <c r="N3912" s="13">
        <v>44609</v>
      </c>
      <c r="O3912" s="29">
        <v>8.99</v>
      </c>
      <c r="P3912" s="18" t="s">
        <v>1107</v>
      </c>
      <c r="Q3912" s="18">
        <v>0</v>
      </c>
      <c r="U3912" s="22">
        <v>0.86</v>
      </c>
      <c r="V3912" s="22">
        <f>3.97/5</f>
        <v>0.79400000000000004</v>
      </c>
      <c r="X3912" s="3">
        <v>3</v>
      </c>
      <c r="Z3912" s="23">
        <v>10</v>
      </c>
      <c r="AB3912" s="18">
        <f t="shared" si="122"/>
        <v>2012</v>
      </c>
      <c r="AC3912" s="22">
        <f t="shared" si="123"/>
        <v>0.7513333333333333</v>
      </c>
    </row>
    <row r="3913" spans="1:29" ht="25.5">
      <c r="A3913" s="8" t="s">
        <v>88</v>
      </c>
      <c r="B3913" s="17" t="s">
        <v>7749</v>
      </c>
      <c r="C3913" s="13">
        <v>41235</v>
      </c>
      <c r="D3913" s="13" t="s">
        <v>8465</v>
      </c>
      <c r="E3913" s="10" t="s">
        <v>86</v>
      </c>
      <c r="F3913" s="10" t="s">
        <v>86</v>
      </c>
      <c r="G3913" s="11" t="s">
        <v>85</v>
      </c>
      <c r="H3913" s="2" t="s">
        <v>80</v>
      </c>
      <c r="L3913" s="18">
        <v>1</v>
      </c>
      <c r="N3913" s="13">
        <v>43184</v>
      </c>
      <c r="O3913" s="29">
        <v>4.99</v>
      </c>
      <c r="P3913" s="18" t="s">
        <v>1107</v>
      </c>
      <c r="Q3913" s="18">
        <v>0</v>
      </c>
      <c r="V3913" s="22">
        <f>3.66/5</f>
        <v>0.73199999999999998</v>
      </c>
      <c r="W3913" s="14" t="s">
        <v>1068</v>
      </c>
      <c r="X3913" s="3">
        <v>3</v>
      </c>
      <c r="Z3913" s="23">
        <v>11.5</v>
      </c>
      <c r="AB3913" s="18">
        <f t="shared" si="122"/>
        <v>2012</v>
      </c>
      <c r="AC3913" s="22">
        <f t="shared" si="123"/>
        <v>0.66599999999999993</v>
      </c>
    </row>
    <row r="3914" spans="1:29">
      <c r="A3914" s="8" t="s">
        <v>4120</v>
      </c>
      <c r="B3914" s="17" t="s">
        <v>7765</v>
      </c>
      <c r="C3914" s="13">
        <v>41233</v>
      </c>
      <c r="D3914" s="13" t="s">
        <v>8465</v>
      </c>
      <c r="E3914" s="10" t="s">
        <v>1082</v>
      </c>
      <c r="F3914" s="10" t="s">
        <v>4118</v>
      </c>
      <c r="G3914" s="11" t="s">
        <v>4117</v>
      </c>
      <c r="H3914" s="2" t="s">
        <v>245</v>
      </c>
      <c r="L3914" s="18">
        <v>1</v>
      </c>
      <c r="P3914" s="18" t="s">
        <v>1107</v>
      </c>
      <c r="Q3914" s="18">
        <v>0</v>
      </c>
      <c r="U3914" s="22">
        <v>0.79</v>
      </c>
      <c r="V3914" s="22">
        <f>3.77/5</f>
        <v>0.754</v>
      </c>
      <c r="X3914" s="3">
        <v>4</v>
      </c>
      <c r="Z3914" s="23">
        <v>12.5</v>
      </c>
      <c r="AB3914" s="18">
        <f t="shared" si="122"/>
        <v>2012</v>
      </c>
      <c r="AC3914" s="22">
        <f t="shared" si="123"/>
        <v>0.78133333333333344</v>
      </c>
    </row>
    <row r="3915" spans="1:29">
      <c r="A3915" s="8" t="s">
        <v>4120</v>
      </c>
      <c r="B3915" s="17" t="s">
        <v>7800</v>
      </c>
      <c r="C3915" s="13">
        <v>41233</v>
      </c>
      <c r="D3915" s="13" t="s">
        <v>8465</v>
      </c>
      <c r="E3915" s="10" t="s">
        <v>1082</v>
      </c>
      <c r="F3915" s="10" t="s">
        <v>4118</v>
      </c>
      <c r="G3915" s="11" t="s">
        <v>4117</v>
      </c>
      <c r="H3915" s="2" t="s">
        <v>245</v>
      </c>
      <c r="L3915" s="18">
        <v>1</v>
      </c>
      <c r="N3915" s="13">
        <v>41661</v>
      </c>
      <c r="O3915" s="29">
        <v>4.49</v>
      </c>
      <c r="P3915" s="18" t="s">
        <v>1107</v>
      </c>
      <c r="Q3915" s="18">
        <v>0</v>
      </c>
      <c r="U3915" s="22">
        <v>0.76</v>
      </c>
      <c r="V3915" s="22">
        <f>3.5/5</f>
        <v>0.7</v>
      </c>
      <c r="W3915" s="14" t="s">
        <v>7777</v>
      </c>
      <c r="X3915" s="3">
        <v>4</v>
      </c>
      <c r="Z3915" s="23">
        <v>12.5</v>
      </c>
      <c r="AB3915" s="18">
        <f t="shared" si="122"/>
        <v>2012</v>
      </c>
      <c r="AC3915" s="22">
        <f t="shared" si="123"/>
        <v>0.7533333333333333</v>
      </c>
    </row>
    <row r="3916" spans="1:29">
      <c r="A3916" s="8" t="s">
        <v>6289</v>
      </c>
      <c r="B3916" s="17" t="s">
        <v>7763</v>
      </c>
      <c r="C3916" s="13">
        <v>41233</v>
      </c>
      <c r="D3916" s="13" t="s">
        <v>8465</v>
      </c>
      <c r="E3916" s="10" t="s">
        <v>228</v>
      </c>
      <c r="F3916" s="10" t="s">
        <v>228</v>
      </c>
      <c r="G3916" s="11" t="s">
        <v>1171</v>
      </c>
      <c r="H3916" s="2" t="s">
        <v>149</v>
      </c>
      <c r="L3916" s="18">
        <v>1</v>
      </c>
      <c r="M3916" s="14" t="s">
        <v>8462</v>
      </c>
      <c r="N3916" s="13">
        <v>42236</v>
      </c>
      <c r="O3916" s="29">
        <v>25</v>
      </c>
      <c r="P3916" s="18" t="s">
        <v>8461</v>
      </c>
      <c r="Q3916" s="18">
        <v>0</v>
      </c>
      <c r="U3916" s="22">
        <v>0.94</v>
      </c>
      <c r="V3916" s="22">
        <f>4.58/5</f>
        <v>0.91600000000000004</v>
      </c>
      <c r="X3916" s="3">
        <v>3</v>
      </c>
      <c r="Z3916" s="23">
        <v>70</v>
      </c>
      <c r="AB3916" s="18">
        <f t="shared" si="122"/>
        <v>2012</v>
      </c>
      <c r="AC3916" s="22">
        <f t="shared" si="123"/>
        <v>0.81866666666666665</v>
      </c>
    </row>
    <row r="3917" spans="1:29" ht="30">
      <c r="A3917" s="8" t="s">
        <v>5989</v>
      </c>
      <c r="B3917" s="17" t="s">
        <v>7759</v>
      </c>
      <c r="C3917" s="13">
        <v>41233</v>
      </c>
      <c r="D3917" s="13" t="s">
        <v>8465</v>
      </c>
      <c r="E3917" s="10" t="s">
        <v>2908</v>
      </c>
      <c r="F3917" s="10" t="s">
        <v>5990</v>
      </c>
      <c r="H3917" s="2" t="s">
        <v>459</v>
      </c>
      <c r="L3917" s="18">
        <v>1</v>
      </c>
      <c r="M3917" s="14" t="s">
        <v>8462</v>
      </c>
      <c r="N3917" s="13">
        <v>43533</v>
      </c>
      <c r="P3917" s="18" t="s">
        <v>14</v>
      </c>
      <c r="Q3917" s="18">
        <v>0</v>
      </c>
      <c r="U3917" s="22">
        <v>0.75</v>
      </c>
      <c r="V3917" s="22">
        <f>3.61/5</f>
        <v>0.72199999999999998</v>
      </c>
      <c r="X3917" s="3">
        <v>2</v>
      </c>
      <c r="Z3917" s="23">
        <v>3</v>
      </c>
      <c r="AB3917" s="18">
        <f t="shared" si="122"/>
        <v>2012</v>
      </c>
      <c r="AC3917" s="22">
        <f t="shared" si="123"/>
        <v>0.624</v>
      </c>
    </row>
    <row r="3918" spans="1:29" ht="38.25">
      <c r="A3918" s="8" t="s">
        <v>11509</v>
      </c>
      <c r="B3918" s="17" t="s">
        <v>7749</v>
      </c>
      <c r="C3918" s="13">
        <v>41233</v>
      </c>
      <c r="D3918" s="13" t="s">
        <v>8465</v>
      </c>
      <c r="E3918" s="10" t="s">
        <v>2298</v>
      </c>
      <c r="F3918" s="10" t="s">
        <v>1084</v>
      </c>
      <c r="G3918" s="11" t="s">
        <v>11510</v>
      </c>
      <c r="H3918" s="2" t="s">
        <v>151</v>
      </c>
      <c r="L3918" s="18">
        <v>1</v>
      </c>
      <c r="M3918" s="14" t="s">
        <v>8462</v>
      </c>
      <c r="N3918" s="13">
        <v>44935</v>
      </c>
      <c r="O3918" s="29">
        <v>10.85</v>
      </c>
      <c r="P3918" s="18" t="s">
        <v>14</v>
      </c>
      <c r="Q3918" s="18">
        <v>0</v>
      </c>
      <c r="U3918" s="22">
        <v>0.67</v>
      </c>
      <c r="V3918" s="22">
        <f>3.41/5</f>
        <v>0.68200000000000005</v>
      </c>
      <c r="X3918" s="3">
        <v>2</v>
      </c>
      <c r="Z3918" s="23">
        <v>5</v>
      </c>
      <c r="AB3918" s="18">
        <f t="shared" si="122"/>
        <v>2012</v>
      </c>
      <c r="AC3918" s="22">
        <f t="shared" si="123"/>
        <v>0.58400000000000007</v>
      </c>
    </row>
    <row r="3919" spans="1:29" ht="25.5">
      <c r="A3919" s="8" t="s">
        <v>1094</v>
      </c>
      <c r="B3919" s="17" t="s">
        <v>7743</v>
      </c>
      <c r="C3919" s="13">
        <v>41231</v>
      </c>
      <c r="D3919" s="13" t="s">
        <v>8465</v>
      </c>
      <c r="E3919" s="10" t="s">
        <v>86</v>
      </c>
      <c r="F3919" s="10" t="s">
        <v>87</v>
      </c>
      <c r="G3919" s="11" t="s">
        <v>137</v>
      </c>
      <c r="H3919" s="2" t="s">
        <v>64</v>
      </c>
      <c r="L3919" s="18">
        <v>1</v>
      </c>
      <c r="M3919" s="14" t="s">
        <v>8462</v>
      </c>
      <c r="N3919" s="13">
        <v>41936</v>
      </c>
      <c r="O3919" s="29">
        <v>32.86</v>
      </c>
      <c r="P3919" s="18" t="s">
        <v>14</v>
      </c>
      <c r="Q3919" s="18">
        <v>0</v>
      </c>
      <c r="U3919" s="22">
        <v>0.84</v>
      </c>
      <c r="V3919" s="22">
        <f>3.96/5</f>
        <v>0.79200000000000004</v>
      </c>
      <c r="X3919" s="3">
        <v>4</v>
      </c>
      <c r="Z3919" s="23">
        <v>9.5</v>
      </c>
      <c r="AB3919" s="18">
        <f t="shared" si="122"/>
        <v>2012</v>
      </c>
      <c r="AC3919" s="22">
        <f t="shared" si="123"/>
        <v>0.81066666666666676</v>
      </c>
    </row>
    <row r="3920" spans="1:29" ht="25.5">
      <c r="A3920" s="8" t="s">
        <v>8087</v>
      </c>
      <c r="B3920" s="17" t="s">
        <v>7743</v>
      </c>
      <c r="C3920" s="13">
        <v>41231</v>
      </c>
      <c r="D3920" s="13" t="s">
        <v>8465</v>
      </c>
      <c r="E3920" s="10" t="s">
        <v>3568</v>
      </c>
      <c r="F3920" s="10" t="s">
        <v>3568</v>
      </c>
      <c r="G3920" s="11" t="s">
        <v>8076</v>
      </c>
      <c r="H3920" s="2" t="s">
        <v>459</v>
      </c>
      <c r="L3920" s="18">
        <v>1</v>
      </c>
      <c r="M3920" s="14" t="s">
        <v>8462</v>
      </c>
      <c r="N3920" s="13">
        <v>44639</v>
      </c>
      <c r="O3920" s="29">
        <v>49.54</v>
      </c>
      <c r="P3920" s="18" t="s">
        <v>14</v>
      </c>
      <c r="Q3920" s="18">
        <v>0</v>
      </c>
      <c r="U3920" s="22">
        <v>0.82489999999999997</v>
      </c>
      <c r="V3920" s="22">
        <f>4.09/5</f>
        <v>0.81799999999999995</v>
      </c>
      <c r="X3920" s="3">
        <v>3</v>
      </c>
      <c r="Z3920" s="23">
        <v>1.5</v>
      </c>
      <c r="AB3920" s="18">
        <f t="shared" si="122"/>
        <v>2012</v>
      </c>
      <c r="AC3920" s="22">
        <f t="shared" si="123"/>
        <v>0.74763333333333337</v>
      </c>
    </row>
    <row r="3921" spans="1:29">
      <c r="A3921" s="8" t="s">
        <v>1096</v>
      </c>
      <c r="B3921" s="17" t="s">
        <v>7743</v>
      </c>
      <c r="C3921" s="13">
        <v>41231</v>
      </c>
      <c r="D3921" s="13" t="s">
        <v>8465</v>
      </c>
      <c r="E3921" s="10" t="s">
        <v>86</v>
      </c>
      <c r="F3921" s="10" t="s">
        <v>87</v>
      </c>
      <c r="H3921" s="2" t="s">
        <v>1142</v>
      </c>
      <c r="L3921" s="18">
        <v>1</v>
      </c>
      <c r="M3921" s="14" t="s">
        <v>8462</v>
      </c>
      <c r="O3921" s="29">
        <v>0</v>
      </c>
      <c r="P3921" s="18" t="s">
        <v>14</v>
      </c>
      <c r="Q3921" s="18">
        <v>0</v>
      </c>
      <c r="U3921" s="22">
        <v>0.78</v>
      </c>
      <c r="V3921" s="22">
        <f>3.73/5</f>
        <v>0.746</v>
      </c>
      <c r="W3921" s="14" t="s">
        <v>8464</v>
      </c>
      <c r="X3921" s="3">
        <v>3</v>
      </c>
      <c r="Z3921" s="23">
        <v>10.5</v>
      </c>
      <c r="AB3921" s="18">
        <f t="shared" si="122"/>
        <v>2012</v>
      </c>
      <c r="AC3921" s="22">
        <f t="shared" si="123"/>
        <v>0.70866666666666667</v>
      </c>
    </row>
    <row r="3922" spans="1:29">
      <c r="A3922" s="8" t="s">
        <v>1101</v>
      </c>
      <c r="B3922" s="17" t="s">
        <v>7743</v>
      </c>
      <c r="C3922" s="13">
        <v>41231</v>
      </c>
      <c r="D3922" s="13" t="s">
        <v>8465</v>
      </c>
      <c r="E3922" s="10" t="s">
        <v>1047</v>
      </c>
      <c r="F3922" s="10" t="s">
        <v>1147</v>
      </c>
      <c r="H3922" s="2" t="s">
        <v>1061</v>
      </c>
      <c r="L3922" s="18">
        <v>1</v>
      </c>
      <c r="M3922" s="14" t="s">
        <v>8462</v>
      </c>
      <c r="N3922" s="13">
        <v>41816</v>
      </c>
      <c r="O3922" s="29">
        <v>14.5</v>
      </c>
      <c r="P3922" s="18" t="s">
        <v>14</v>
      </c>
      <c r="Q3922" s="18">
        <v>0</v>
      </c>
      <c r="U3922" s="22">
        <v>0.77</v>
      </c>
      <c r="V3922" s="22">
        <f>3.68/5</f>
        <v>0.73599999999999999</v>
      </c>
      <c r="X3922" s="3">
        <v>3</v>
      </c>
      <c r="Z3922" s="23">
        <v>12</v>
      </c>
      <c r="AB3922" s="18">
        <f t="shared" si="122"/>
        <v>2012</v>
      </c>
      <c r="AC3922" s="22">
        <f t="shared" si="123"/>
        <v>0.70199999999999996</v>
      </c>
    </row>
    <row r="3923" spans="1:29">
      <c r="A3923" s="8" t="s">
        <v>10279</v>
      </c>
      <c r="B3923" s="17" t="s">
        <v>7743</v>
      </c>
      <c r="C3923" s="13">
        <v>41231</v>
      </c>
      <c r="D3923" s="13" t="s">
        <v>8465</v>
      </c>
      <c r="E3923" s="10" t="s">
        <v>1733</v>
      </c>
      <c r="F3923" s="10" t="s">
        <v>1733</v>
      </c>
      <c r="G3923" s="11" t="s">
        <v>2387</v>
      </c>
      <c r="H3923" s="2" t="s">
        <v>21</v>
      </c>
      <c r="L3923" s="18">
        <v>1</v>
      </c>
      <c r="N3923" s="13">
        <v>44400</v>
      </c>
      <c r="O3923" s="29">
        <v>9.99</v>
      </c>
      <c r="P3923" s="18" t="s">
        <v>1107</v>
      </c>
      <c r="Q3923" s="18">
        <v>0</v>
      </c>
      <c r="U3923" s="22">
        <v>0.71</v>
      </c>
      <c r="V3923" s="22">
        <f>3.84/5</f>
        <v>0.76800000000000002</v>
      </c>
      <c r="X3923" s="3">
        <v>3</v>
      </c>
      <c r="Z3923" s="23">
        <v>3.5</v>
      </c>
      <c r="AB3923" s="18">
        <f t="shared" si="122"/>
        <v>2012</v>
      </c>
      <c r="AC3923" s="22">
        <f t="shared" si="123"/>
        <v>0.69266666666666665</v>
      </c>
    </row>
    <row r="3924" spans="1:29" ht="25.5">
      <c r="A3924" s="8" t="s">
        <v>9347</v>
      </c>
      <c r="B3924" s="17" t="s">
        <v>7743</v>
      </c>
      <c r="C3924" s="13">
        <v>41231</v>
      </c>
      <c r="D3924" s="13" t="s">
        <v>8465</v>
      </c>
      <c r="E3924" s="10" t="s">
        <v>2335</v>
      </c>
      <c r="F3924" s="10" t="s">
        <v>1471</v>
      </c>
      <c r="G3924" s="11" t="s">
        <v>7958</v>
      </c>
      <c r="H3924" s="2" t="s">
        <v>1059</v>
      </c>
      <c r="L3924" s="18">
        <v>1</v>
      </c>
      <c r="M3924" s="14" t="s">
        <v>8462</v>
      </c>
      <c r="N3924" s="13">
        <v>44096</v>
      </c>
      <c r="O3924" s="29">
        <v>19.52</v>
      </c>
      <c r="P3924" s="18" t="s">
        <v>14</v>
      </c>
      <c r="Q3924" s="18">
        <v>0</v>
      </c>
      <c r="U3924" s="22">
        <v>0.64</v>
      </c>
      <c r="V3924" s="22">
        <f>4.06/5</f>
        <v>0.81199999999999994</v>
      </c>
      <c r="X3924" s="3">
        <v>3</v>
      </c>
      <c r="Z3924" s="23">
        <v>9.5</v>
      </c>
      <c r="AB3924" s="18">
        <f t="shared" si="122"/>
        <v>2012</v>
      </c>
      <c r="AC3924" s="22">
        <f t="shared" si="123"/>
        <v>0.68400000000000005</v>
      </c>
    </row>
    <row r="3925" spans="1:29" ht="25.5">
      <c r="A3925" s="8" t="s">
        <v>1095</v>
      </c>
      <c r="B3925" s="17" t="s">
        <v>7743</v>
      </c>
      <c r="C3925" s="13">
        <v>41231</v>
      </c>
      <c r="D3925" s="13" t="s">
        <v>8465</v>
      </c>
      <c r="E3925" s="10" t="s">
        <v>86</v>
      </c>
      <c r="F3925" s="10" t="s">
        <v>1136</v>
      </c>
      <c r="G3925" s="11" t="s">
        <v>139</v>
      </c>
      <c r="H3925" s="2" t="s">
        <v>1059</v>
      </c>
      <c r="L3925" s="18">
        <v>1</v>
      </c>
      <c r="M3925" s="14" t="s">
        <v>8462</v>
      </c>
      <c r="N3925" s="13">
        <v>42058</v>
      </c>
      <c r="O3925" s="29">
        <v>7.53</v>
      </c>
      <c r="P3925" s="18" t="s">
        <v>14</v>
      </c>
      <c r="Q3925" s="18">
        <v>0</v>
      </c>
      <c r="U3925" s="22">
        <v>0.69</v>
      </c>
      <c r="V3925" s="22">
        <f>3.68/5</f>
        <v>0.73599999999999999</v>
      </c>
      <c r="X3925" s="3">
        <v>3</v>
      </c>
      <c r="Z3925" s="23">
        <v>8</v>
      </c>
      <c r="AB3925" s="18">
        <f t="shared" si="122"/>
        <v>2012</v>
      </c>
      <c r="AC3925" s="22">
        <f t="shared" si="123"/>
        <v>0.67533333333333323</v>
      </c>
    </row>
    <row r="3926" spans="1:29" ht="25.5">
      <c r="A3926" s="8" t="s">
        <v>7374</v>
      </c>
      <c r="B3926" s="17" t="s">
        <v>7741</v>
      </c>
      <c r="C3926" s="13">
        <v>41231</v>
      </c>
      <c r="D3926" s="13" t="s">
        <v>8465</v>
      </c>
      <c r="E3926" s="10" t="s">
        <v>1532</v>
      </c>
      <c r="F3926" s="10" t="s">
        <v>1533</v>
      </c>
      <c r="G3926" s="11" t="s">
        <v>994</v>
      </c>
      <c r="H3926" s="2" t="s">
        <v>1040</v>
      </c>
      <c r="L3926" s="18">
        <v>0</v>
      </c>
      <c r="Q3926" s="18">
        <v>0</v>
      </c>
      <c r="U3926" s="22">
        <v>0.68</v>
      </c>
      <c r="V3926" s="22">
        <f>3.56/5</f>
        <v>0.71199999999999997</v>
      </c>
      <c r="X3926" s="3">
        <v>3</v>
      </c>
      <c r="Z3926" s="23">
        <v>9.5</v>
      </c>
      <c r="AB3926" s="18">
        <f t="shared" si="122"/>
        <v>2012</v>
      </c>
      <c r="AC3926" s="22">
        <f t="shared" si="123"/>
        <v>0.66400000000000003</v>
      </c>
    </row>
    <row r="3927" spans="1:29" ht="30">
      <c r="A3927" s="8" t="s">
        <v>8834</v>
      </c>
      <c r="B3927" s="17" t="s">
        <v>7749</v>
      </c>
      <c r="C3927" s="13">
        <v>41231</v>
      </c>
      <c r="D3927" s="13" t="s">
        <v>8465</v>
      </c>
      <c r="E3927" s="10" t="s">
        <v>2317</v>
      </c>
      <c r="F3927" s="10" t="s">
        <v>2140</v>
      </c>
      <c r="G3927" s="11" t="s">
        <v>994</v>
      </c>
      <c r="H3927" s="2" t="s">
        <v>1040</v>
      </c>
      <c r="L3927" s="18">
        <v>1</v>
      </c>
      <c r="M3927" s="14" t="s">
        <v>10622</v>
      </c>
      <c r="N3927" s="13">
        <v>43988</v>
      </c>
      <c r="O3927" s="29">
        <v>13.01</v>
      </c>
      <c r="P3927" s="18" t="s">
        <v>14</v>
      </c>
      <c r="Q3927" s="18">
        <v>0</v>
      </c>
      <c r="U3927" s="22">
        <v>0.63</v>
      </c>
      <c r="V3927" s="22">
        <f>3.28/5</f>
        <v>0.65599999999999992</v>
      </c>
      <c r="X3927" s="3">
        <v>3</v>
      </c>
      <c r="Z3927" s="23">
        <v>5</v>
      </c>
      <c r="AB3927" s="18">
        <f t="shared" si="122"/>
        <v>2012</v>
      </c>
      <c r="AC3927" s="22">
        <f t="shared" si="123"/>
        <v>0.62866666666666671</v>
      </c>
    </row>
    <row r="3928" spans="1:29" ht="25.5">
      <c r="A3928" s="8" t="s">
        <v>1124</v>
      </c>
      <c r="B3928" s="17" t="s">
        <v>7743</v>
      </c>
      <c r="C3928" s="13">
        <v>41231</v>
      </c>
      <c r="D3928" s="13" t="s">
        <v>8465</v>
      </c>
      <c r="E3928" s="10" t="s">
        <v>231</v>
      </c>
      <c r="F3928" s="10" t="s">
        <v>1161</v>
      </c>
      <c r="G3928" s="11" t="s">
        <v>1162</v>
      </c>
      <c r="H3928" s="2" t="s">
        <v>171</v>
      </c>
      <c r="L3928" s="18">
        <v>1</v>
      </c>
      <c r="M3928" s="14" t="s">
        <v>8462</v>
      </c>
      <c r="N3928" s="13">
        <v>43532</v>
      </c>
      <c r="O3928" s="29">
        <v>7.82</v>
      </c>
      <c r="P3928" s="18" t="s">
        <v>14</v>
      </c>
      <c r="Q3928" s="18">
        <v>0</v>
      </c>
      <c r="U3928" s="22">
        <v>0.86</v>
      </c>
      <c r="V3928" s="22">
        <f>4.07/5</f>
        <v>0.81400000000000006</v>
      </c>
      <c r="X3928" s="3">
        <v>2</v>
      </c>
      <c r="Z3928" s="23">
        <v>24</v>
      </c>
      <c r="AB3928" s="18">
        <f t="shared" si="122"/>
        <v>2012</v>
      </c>
      <c r="AC3928" s="22">
        <f t="shared" si="123"/>
        <v>0.69133333333333324</v>
      </c>
    </row>
    <row r="3929" spans="1:29">
      <c r="A3929" s="8" t="s">
        <v>6358</v>
      </c>
      <c r="B3929" s="17" t="s">
        <v>7743</v>
      </c>
      <c r="C3929" s="13">
        <v>41231</v>
      </c>
      <c r="D3929" s="13" t="s">
        <v>8465</v>
      </c>
      <c r="E3929" s="10" t="s">
        <v>1047</v>
      </c>
      <c r="F3929" s="10" t="s">
        <v>1048</v>
      </c>
      <c r="G3929" s="11" t="s">
        <v>1563</v>
      </c>
      <c r="H3929" s="2" t="s">
        <v>80</v>
      </c>
      <c r="L3929" s="18">
        <v>1</v>
      </c>
      <c r="M3929" s="14" t="s">
        <v>8462</v>
      </c>
      <c r="N3929" s="13">
        <v>44297</v>
      </c>
      <c r="O3929" s="29">
        <v>9.27</v>
      </c>
      <c r="P3929" s="18" t="s">
        <v>14</v>
      </c>
      <c r="Q3929" s="18">
        <v>0</v>
      </c>
      <c r="U3929" s="22">
        <v>0.85</v>
      </c>
      <c r="V3929" s="22">
        <f>3.67/5</f>
        <v>0.73399999999999999</v>
      </c>
      <c r="X3929" s="3">
        <v>2</v>
      </c>
      <c r="Z3929" s="23">
        <v>16</v>
      </c>
      <c r="AB3929" s="18">
        <f t="shared" si="122"/>
        <v>2012</v>
      </c>
      <c r="AC3929" s="22">
        <f t="shared" si="123"/>
        <v>0.66133333333333333</v>
      </c>
    </row>
    <row r="3930" spans="1:29">
      <c r="A3930" s="8" t="s">
        <v>11177</v>
      </c>
      <c r="B3930" s="17" t="s">
        <v>7743</v>
      </c>
      <c r="C3930" s="13">
        <v>41231</v>
      </c>
      <c r="D3930" s="13" t="s">
        <v>8465</v>
      </c>
      <c r="E3930" s="10" t="s">
        <v>3181</v>
      </c>
      <c r="F3930" s="10" t="s">
        <v>3181</v>
      </c>
      <c r="H3930" s="2" t="s">
        <v>143</v>
      </c>
      <c r="L3930" s="18">
        <v>1</v>
      </c>
      <c r="N3930" s="13">
        <v>44611</v>
      </c>
      <c r="O3930" s="29">
        <v>7.99</v>
      </c>
      <c r="P3930" s="18" t="s">
        <v>1107</v>
      </c>
      <c r="Q3930" s="18">
        <v>0</v>
      </c>
      <c r="U3930" s="22">
        <v>0.64</v>
      </c>
      <c r="V3930" s="22">
        <f>3.68/5</f>
        <v>0.73599999999999999</v>
      </c>
      <c r="X3930" s="3">
        <v>2</v>
      </c>
      <c r="Z3930" s="23">
        <v>1</v>
      </c>
      <c r="AB3930" s="18">
        <f t="shared" si="122"/>
        <v>2012</v>
      </c>
      <c r="AC3930" s="22">
        <f t="shared" si="123"/>
        <v>0.59199999999999997</v>
      </c>
    </row>
    <row r="3931" spans="1:29" ht="45">
      <c r="A3931" s="8" t="s">
        <v>1120</v>
      </c>
      <c r="B3931" s="17" t="s">
        <v>7743</v>
      </c>
      <c r="C3931" s="13">
        <v>41231</v>
      </c>
      <c r="D3931" s="13" t="s">
        <v>8465</v>
      </c>
      <c r="E3931" s="10" t="s">
        <v>1156</v>
      </c>
      <c r="F3931" s="10" t="s">
        <v>1157</v>
      </c>
      <c r="G3931" s="11" t="s">
        <v>1158</v>
      </c>
      <c r="H3931" s="2" t="s">
        <v>1142</v>
      </c>
      <c r="L3931" s="18">
        <v>1</v>
      </c>
      <c r="M3931" s="14" t="s">
        <v>8462</v>
      </c>
      <c r="N3931" s="13">
        <v>43631</v>
      </c>
      <c r="O3931" s="29">
        <v>13.63</v>
      </c>
      <c r="P3931" s="18" t="s">
        <v>14</v>
      </c>
      <c r="Q3931" s="18">
        <v>0</v>
      </c>
      <c r="U3931" s="22">
        <v>0.16</v>
      </c>
      <c r="V3931" s="22">
        <f>3.04/5</f>
        <v>0.60799999999999998</v>
      </c>
      <c r="X3931" s="3">
        <v>3</v>
      </c>
      <c r="AB3931" s="18">
        <f t="shared" si="122"/>
        <v>2012</v>
      </c>
      <c r="AC3931" s="22">
        <f t="shared" si="123"/>
        <v>0.45599999999999996</v>
      </c>
    </row>
    <row r="3932" spans="1:29">
      <c r="A3932" s="8" t="s">
        <v>13084</v>
      </c>
      <c r="B3932" s="17" t="s">
        <v>7743</v>
      </c>
      <c r="C3932" s="13">
        <v>41231</v>
      </c>
      <c r="D3932" s="13" t="s">
        <v>8465</v>
      </c>
      <c r="E3932" s="10" t="s">
        <v>1509</v>
      </c>
      <c r="F3932" s="10" t="s">
        <v>1509</v>
      </c>
      <c r="H3932" s="2" t="s">
        <v>1168</v>
      </c>
      <c r="L3932" s="18">
        <v>1</v>
      </c>
      <c r="M3932" s="14" t="s">
        <v>8462</v>
      </c>
      <c r="N3932" s="13">
        <v>45076</v>
      </c>
      <c r="O3932" s="29">
        <v>32.590000000000003</v>
      </c>
      <c r="P3932" s="18" t="s">
        <v>14</v>
      </c>
      <c r="Q3932" s="18">
        <v>0</v>
      </c>
      <c r="U3932" s="22">
        <v>0.45</v>
      </c>
      <c r="V3932" s="22">
        <f>3.07/5</f>
        <v>0.61399999999999999</v>
      </c>
      <c r="X3932" s="3">
        <v>2</v>
      </c>
      <c r="Z3932" s="23">
        <v>6</v>
      </c>
      <c r="AB3932" s="18">
        <f t="shared" si="122"/>
        <v>2012</v>
      </c>
      <c r="AC3932" s="22">
        <f t="shared" si="123"/>
        <v>0.48799999999999999</v>
      </c>
    </row>
    <row r="3933" spans="1:29">
      <c r="A3933" s="8" t="s">
        <v>12380</v>
      </c>
      <c r="B3933" s="17" t="s">
        <v>7800</v>
      </c>
      <c r="C3933" s="13">
        <v>41228</v>
      </c>
      <c r="D3933" s="13" t="s">
        <v>8465</v>
      </c>
      <c r="E3933" s="10" t="s">
        <v>5943</v>
      </c>
      <c r="F3933" s="10" t="s">
        <v>12381</v>
      </c>
      <c r="G3933" s="11" t="s">
        <v>566</v>
      </c>
      <c r="H3933" s="2" t="s">
        <v>78</v>
      </c>
      <c r="L3933" s="18">
        <v>0</v>
      </c>
      <c r="Q3933" s="18">
        <v>0</v>
      </c>
      <c r="V3933" s="22">
        <f>3.28/5</f>
        <v>0.65599999999999992</v>
      </c>
      <c r="W3933" s="14" t="s">
        <v>9890</v>
      </c>
      <c r="X3933" s="3">
        <v>2</v>
      </c>
      <c r="Z3933" s="23">
        <v>1.5</v>
      </c>
      <c r="AB3933" s="18">
        <f t="shared" si="122"/>
        <v>2012</v>
      </c>
      <c r="AC3933" s="22">
        <f t="shared" si="123"/>
        <v>0.52800000000000002</v>
      </c>
    </row>
    <row r="3934" spans="1:29" ht="25.5">
      <c r="A3934" s="8" t="s">
        <v>6684</v>
      </c>
      <c r="B3934" s="17" t="s">
        <v>7763</v>
      </c>
      <c r="C3934" s="13">
        <v>41226</v>
      </c>
      <c r="D3934" s="13" t="s">
        <v>8465</v>
      </c>
      <c r="E3934" s="10" t="s">
        <v>1273</v>
      </c>
      <c r="F3934" s="10" t="s">
        <v>6685</v>
      </c>
      <c r="G3934" s="11" t="s">
        <v>3401</v>
      </c>
      <c r="H3934" s="2" t="s">
        <v>1050</v>
      </c>
      <c r="L3934" s="18">
        <v>1</v>
      </c>
      <c r="M3934" s="14" t="s">
        <v>10622</v>
      </c>
      <c r="N3934" s="13">
        <v>43976</v>
      </c>
      <c r="O3934" s="29">
        <v>12.29</v>
      </c>
      <c r="P3934" s="18" t="s">
        <v>14</v>
      </c>
      <c r="Q3934" s="18">
        <v>0</v>
      </c>
      <c r="U3934" s="22">
        <v>0.33</v>
      </c>
      <c r="V3934" s="22">
        <f>2.57/5</f>
        <v>0.51400000000000001</v>
      </c>
      <c r="X3934" s="3">
        <v>2</v>
      </c>
      <c r="Z3934" s="23">
        <v>2</v>
      </c>
      <c r="AB3934" s="18">
        <f t="shared" si="122"/>
        <v>2012</v>
      </c>
      <c r="AC3934" s="22">
        <f t="shared" si="123"/>
        <v>0.41466666666666674</v>
      </c>
    </row>
    <row r="3935" spans="1:29">
      <c r="A3935" s="8" t="s">
        <v>3916</v>
      </c>
      <c r="B3935" s="17" t="s">
        <v>7800</v>
      </c>
      <c r="C3935" s="13">
        <v>41222</v>
      </c>
      <c r="D3935" s="13" t="s">
        <v>8465</v>
      </c>
      <c r="E3935" s="10" t="s">
        <v>3917</v>
      </c>
      <c r="F3935" s="10" t="s">
        <v>3917</v>
      </c>
      <c r="H3935" s="2" t="s">
        <v>64</v>
      </c>
      <c r="L3935" s="18">
        <v>1</v>
      </c>
      <c r="N3935" s="13">
        <v>41800</v>
      </c>
      <c r="P3935" s="18" t="s">
        <v>1107</v>
      </c>
      <c r="Q3935" s="18">
        <v>0</v>
      </c>
      <c r="U3935" s="22">
        <v>0.78</v>
      </c>
      <c r="V3935" s="22">
        <f>3.8/5</f>
        <v>0.76</v>
      </c>
      <c r="W3935" s="14" t="s">
        <v>7777</v>
      </c>
      <c r="X3935" s="3">
        <v>2</v>
      </c>
      <c r="Z3935" s="23">
        <v>8.5</v>
      </c>
      <c r="AB3935" s="18">
        <f t="shared" si="122"/>
        <v>2012</v>
      </c>
      <c r="AC3935" s="22">
        <f t="shared" si="123"/>
        <v>0.64666666666666661</v>
      </c>
    </row>
    <row r="3936" spans="1:29">
      <c r="A3936" s="8" t="s">
        <v>4424</v>
      </c>
      <c r="B3936" s="17" t="s">
        <v>7800</v>
      </c>
      <c r="C3936" s="13">
        <v>41222</v>
      </c>
      <c r="D3936" s="13" t="s">
        <v>8465</v>
      </c>
      <c r="E3936" s="10" t="s">
        <v>4425</v>
      </c>
      <c r="F3936" s="10" t="s">
        <v>4425</v>
      </c>
      <c r="G3936" s="11" t="s">
        <v>4424</v>
      </c>
      <c r="H3936" s="2" t="s">
        <v>67</v>
      </c>
      <c r="L3936" s="18">
        <v>1</v>
      </c>
      <c r="N3936" s="13">
        <v>41449</v>
      </c>
      <c r="P3936" s="18" t="s">
        <v>1107</v>
      </c>
      <c r="Q3936" s="18">
        <v>0</v>
      </c>
      <c r="U3936" s="22">
        <v>0.66</v>
      </c>
      <c r="V3936" s="22">
        <f>3.41/5</f>
        <v>0.68200000000000005</v>
      </c>
      <c r="W3936" s="14" t="s">
        <v>7777</v>
      </c>
      <c r="X3936" s="3">
        <v>2</v>
      </c>
      <c r="Z3936" s="23">
        <v>7.5</v>
      </c>
      <c r="AB3936" s="18">
        <f t="shared" si="122"/>
        <v>2012</v>
      </c>
      <c r="AC3936" s="22">
        <f t="shared" si="123"/>
        <v>0.58066666666666666</v>
      </c>
    </row>
    <row r="3937" spans="1:29">
      <c r="A3937" s="8" t="s">
        <v>12604</v>
      </c>
      <c r="B3937" s="17" t="s">
        <v>7800</v>
      </c>
      <c r="C3937" s="13">
        <v>41222</v>
      </c>
      <c r="D3937" s="13" t="s">
        <v>8465</v>
      </c>
      <c r="E3937" s="10" t="s">
        <v>4729</v>
      </c>
      <c r="F3937" s="10" t="s">
        <v>4729</v>
      </c>
      <c r="H3937" s="2" t="s">
        <v>27</v>
      </c>
      <c r="L3937" s="18">
        <v>1</v>
      </c>
      <c r="P3937" s="18" t="s">
        <v>1107</v>
      </c>
      <c r="Q3937" s="18">
        <v>0</v>
      </c>
      <c r="V3937" s="22">
        <f>3.08/5</f>
        <v>0.61599999999999999</v>
      </c>
      <c r="W3937" s="14" t="s">
        <v>7777</v>
      </c>
      <c r="X3937" s="3">
        <v>2</v>
      </c>
      <c r="Z3937" s="23">
        <v>6</v>
      </c>
      <c r="AB3937" s="18">
        <f t="shared" si="122"/>
        <v>2012</v>
      </c>
      <c r="AC3937" s="22">
        <f t="shared" si="123"/>
        <v>0.50800000000000001</v>
      </c>
    </row>
    <row r="3938" spans="1:29" ht="25.5">
      <c r="A3938" s="8" t="s">
        <v>5178</v>
      </c>
      <c r="B3938" s="17" t="s">
        <v>7800</v>
      </c>
      <c r="C3938" s="13">
        <v>41220</v>
      </c>
      <c r="D3938" s="13" t="s">
        <v>8465</v>
      </c>
      <c r="E3938" s="10" t="s">
        <v>5179</v>
      </c>
      <c r="F3938" s="10" t="s">
        <v>5179</v>
      </c>
      <c r="G3938" s="11" t="s">
        <v>5715</v>
      </c>
      <c r="H3938" s="2" t="s">
        <v>64</v>
      </c>
      <c r="L3938" s="18">
        <v>1</v>
      </c>
      <c r="N3938" s="13">
        <v>41750</v>
      </c>
      <c r="P3938" s="18" t="s">
        <v>1107</v>
      </c>
      <c r="Q3938" s="18">
        <v>0</v>
      </c>
      <c r="U3938" s="22">
        <v>0.7</v>
      </c>
      <c r="V3938" s="22">
        <f>3.15/5</f>
        <v>0.63</v>
      </c>
      <c r="W3938" s="14" t="s">
        <v>7777</v>
      </c>
      <c r="X3938" s="3">
        <v>2</v>
      </c>
      <c r="Z3938" s="23">
        <v>2.5</v>
      </c>
      <c r="AB3938" s="18">
        <f t="shared" si="122"/>
        <v>2012</v>
      </c>
      <c r="AC3938" s="22">
        <f t="shared" si="123"/>
        <v>0.57666666666666666</v>
      </c>
    </row>
    <row r="3939" spans="1:29" ht="30">
      <c r="A3939" s="8" t="s">
        <v>5965</v>
      </c>
      <c r="B3939" s="17" t="s">
        <v>7759</v>
      </c>
      <c r="C3939" s="13">
        <v>41219</v>
      </c>
      <c r="D3939" s="13" t="s">
        <v>8465</v>
      </c>
      <c r="E3939" s="10" t="s">
        <v>2908</v>
      </c>
      <c r="F3939" s="10" t="s">
        <v>5040</v>
      </c>
      <c r="G3939" s="11" t="s">
        <v>5962</v>
      </c>
      <c r="H3939" s="2" t="s">
        <v>150</v>
      </c>
      <c r="L3939" s="18">
        <v>1</v>
      </c>
      <c r="M3939" s="14" t="s">
        <v>8462</v>
      </c>
      <c r="N3939" s="13">
        <v>43550</v>
      </c>
      <c r="O3939" s="29">
        <v>10.99</v>
      </c>
      <c r="P3939" s="18" t="s">
        <v>14</v>
      </c>
      <c r="Q3939" s="18">
        <v>0</v>
      </c>
      <c r="U3939" s="22">
        <v>0.74</v>
      </c>
      <c r="V3939" s="22">
        <f>3.43/5</f>
        <v>0.68600000000000005</v>
      </c>
      <c r="X3939" s="3">
        <v>3</v>
      </c>
      <c r="Z3939" s="23">
        <v>5</v>
      </c>
      <c r="AB3939" s="18">
        <f t="shared" si="122"/>
        <v>2012</v>
      </c>
      <c r="AC3939" s="22">
        <f t="shared" si="123"/>
        <v>0.67533333333333345</v>
      </c>
    </row>
    <row r="3940" spans="1:29">
      <c r="A3940" s="8" t="s">
        <v>3432</v>
      </c>
      <c r="B3940" s="17" t="s">
        <v>7800</v>
      </c>
      <c r="C3940" s="13">
        <v>41219</v>
      </c>
      <c r="D3940" s="13" t="s">
        <v>8465</v>
      </c>
      <c r="E3940" s="10" t="s">
        <v>3072</v>
      </c>
      <c r="F3940" s="10" t="s">
        <v>3072</v>
      </c>
      <c r="G3940" s="11" t="s">
        <v>3433</v>
      </c>
      <c r="H3940" s="2" t="s">
        <v>67</v>
      </c>
      <c r="L3940" s="18">
        <v>1</v>
      </c>
      <c r="N3940" s="13">
        <v>42284</v>
      </c>
      <c r="P3940" s="18" t="s">
        <v>1107</v>
      </c>
      <c r="Q3940" s="18">
        <v>0</v>
      </c>
      <c r="U3940" s="22">
        <v>0.75</v>
      </c>
      <c r="V3940" s="22">
        <f>3.92/5</f>
        <v>0.78400000000000003</v>
      </c>
      <c r="W3940" s="14" t="s">
        <v>7777</v>
      </c>
      <c r="X3940" s="3">
        <v>2</v>
      </c>
      <c r="Z3940" s="23">
        <v>10</v>
      </c>
      <c r="AB3940" s="18">
        <f t="shared" si="122"/>
        <v>2012</v>
      </c>
      <c r="AC3940" s="22">
        <f t="shared" si="123"/>
        <v>0.64466666666666672</v>
      </c>
    </row>
    <row r="3941" spans="1:29" ht="30">
      <c r="A3941" s="8" t="s">
        <v>9080</v>
      </c>
      <c r="B3941" s="17" t="s">
        <v>7762</v>
      </c>
      <c r="C3941" s="13">
        <v>41219</v>
      </c>
      <c r="D3941" s="13" t="s">
        <v>8465</v>
      </c>
      <c r="E3941" s="10" t="s">
        <v>1519</v>
      </c>
      <c r="F3941" s="10" t="s">
        <v>2459</v>
      </c>
      <c r="G3941" s="11" t="s">
        <v>9135</v>
      </c>
      <c r="H3941" s="2" t="s">
        <v>75</v>
      </c>
      <c r="L3941" s="18">
        <v>0</v>
      </c>
      <c r="Q3941" s="18">
        <v>0</v>
      </c>
      <c r="U3941" s="22">
        <v>0.65</v>
      </c>
      <c r="V3941" s="22">
        <f>3.63/5</f>
        <v>0.72599999999999998</v>
      </c>
      <c r="X3941" s="3">
        <v>2</v>
      </c>
      <c r="Z3941" s="23">
        <v>22</v>
      </c>
      <c r="AB3941" s="18">
        <f t="shared" si="122"/>
        <v>2012</v>
      </c>
      <c r="AC3941" s="22">
        <f t="shared" si="123"/>
        <v>0.59199999999999997</v>
      </c>
    </row>
    <row r="3942" spans="1:29" ht="25.5">
      <c r="A3942" s="8" t="s">
        <v>4645</v>
      </c>
      <c r="B3942" s="17" t="s">
        <v>7800</v>
      </c>
      <c r="C3942" s="13">
        <v>41213</v>
      </c>
      <c r="D3942" s="13" t="s">
        <v>8465</v>
      </c>
      <c r="E3942" s="10" t="s">
        <v>1583</v>
      </c>
      <c r="F3942" s="10" t="s">
        <v>4515</v>
      </c>
      <c r="G3942" s="11" t="s">
        <v>4644</v>
      </c>
      <c r="H3942" s="2" t="s">
        <v>1050</v>
      </c>
      <c r="L3942" s="18">
        <v>1</v>
      </c>
      <c r="N3942" s="13">
        <v>41786</v>
      </c>
      <c r="O3942" s="29">
        <v>3.99</v>
      </c>
      <c r="P3942" s="18" t="s">
        <v>1107</v>
      </c>
      <c r="Q3942" s="18">
        <v>0</v>
      </c>
      <c r="U3942" s="22">
        <v>0.67</v>
      </c>
      <c r="V3942" s="22">
        <f>3.12/5</f>
        <v>0.624</v>
      </c>
      <c r="W3942" s="14" t="s">
        <v>7777</v>
      </c>
      <c r="X3942" s="3">
        <v>3</v>
      </c>
      <c r="Z3942" s="23">
        <v>4.5</v>
      </c>
      <c r="AB3942" s="18">
        <f t="shared" si="122"/>
        <v>2012</v>
      </c>
      <c r="AC3942" s="22">
        <f t="shared" si="123"/>
        <v>0.63133333333333341</v>
      </c>
    </row>
    <row r="3943" spans="1:29" ht="30">
      <c r="A3943" s="8" t="s">
        <v>6055</v>
      </c>
      <c r="B3943" s="17" t="s">
        <v>7759</v>
      </c>
      <c r="C3943" s="13">
        <v>41212</v>
      </c>
      <c r="D3943" s="13" t="s">
        <v>8465</v>
      </c>
      <c r="E3943" s="10" t="s">
        <v>72</v>
      </c>
      <c r="F3943" s="10" t="s">
        <v>6056</v>
      </c>
      <c r="G3943" s="11" t="s">
        <v>1980</v>
      </c>
      <c r="H3943" s="2" t="s">
        <v>1168</v>
      </c>
      <c r="L3943" s="18">
        <v>1</v>
      </c>
      <c r="M3943" s="14" t="s">
        <v>8462</v>
      </c>
      <c r="N3943" s="13">
        <v>43458</v>
      </c>
      <c r="O3943" s="29">
        <v>6.97</v>
      </c>
      <c r="P3943" s="18" t="s">
        <v>14</v>
      </c>
      <c r="Q3943" s="18">
        <v>0</v>
      </c>
      <c r="U3943" s="22">
        <v>0.73</v>
      </c>
      <c r="V3943" s="22">
        <f>4.11/5</f>
        <v>0.82200000000000006</v>
      </c>
      <c r="X3943" s="3">
        <v>3</v>
      </c>
      <c r="Z3943" s="23">
        <v>11</v>
      </c>
      <c r="AB3943" s="18">
        <f t="shared" si="122"/>
        <v>2012</v>
      </c>
      <c r="AC3943" s="22">
        <f t="shared" si="123"/>
        <v>0.71733333333333338</v>
      </c>
    </row>
    <row r="3944" spans="1:29" ht="25.5">
      <c r="A3944" s="8" t="s">
        <v>7484</v>
      </c>
      <c r="B3944" s="17" t="s">
        <v>7763</v>
      </c>
      <c r="C3944" s="13">
        <v>41212</v>
      </c>
      <c r="D3944" s="13" t="s">
        <v>8465</v>
      </c>
      <c r="E3944" s="10" t="s">
        <v>231</v>
      </c>
      <c r="F3944" s="10" t="s">
        <v>3393</v>
      </c>
      <c r="G3944" s="11" t="s">
        <v>4518</v>
      </c>
      <c r="H3944" s="2" t="s">
        <v>150</v>
      </c>
      <c r="L3944" s="18">
        <v>1</v>
      </c>
      <c r="M3944" s="14" t="s">
        <v>8462</v>
      </c>
      <c r="N3944" s="13">
        <v>44302</v>
      </c>
      <c r="O3944" s="29">
        <v>26.54</v>
      </c>
      <c r="P3944" s="18" t="s">
        <v>14</v>
      </c>
      <c r="Q3944" s="18">
        <v>0</v>
      </c>
      <c r="U3944" s="22">
        <v>0.79</v>
      </c>
      <c r="V3944" s="22">
        <f>3.67/5</f>
        <v>0.73399999999999999</v>
      </c>
      <c r="X3944" s="3">
        <v>3</v>
      </c>
      <c r="Z3944" s="23">
        <v>10</v>
      </c>
      <c r="AB3944" s="18">
        <f t="shared" si="122"/>
        <v>2012</v>
      </c>
      <c r="AC3944" s="22">
        <f t="shared" si="123"/>
        <v>0.70800000000000007</v>
      </c>
    </row>
    <row r="3945" spans="1:29">
      <c r="A3945" s="8" t="s">
        <v>9257</v>
      </c>
      <c r="B3945" s="17" t="s">
        <v>7763</v>
      </c>
      <c r="C3945" s="13">
        <v>41212</v>
      </c>
      <c r="D3945" s="13" t="s">
        <v>8465</v>
      </c>
      <c r="E3945" s="10" t="s">
        <v>7422</v>
      </c>
      <c r="F3945" s="10" t="s">
        <v>1512</v>
      </c>
      <c r="G3945" s="11" t="s">
        <v>9135</v>
      </c>
      <c r="H3945" s="2" t="s">
        <v>171</v>
      </c>
      <c r="L3945" s="18">
        <v>1</v>
      </c>
      <c r="M3945" s="14" t="s">
        <v>8462</v>
      </c>
      <c r="N3945" s="13">
        <v>44075</v>
      </c>
      <c r="O3945" s="29">
        <v>19.52</v>
      </c>
      <c r="P3945" s="18" t="s">
        <v>14</v>
      </c>
      <c r="Q3945" s="18">
        <v>0</v>
      </c>
      <c r="U3945" s="22">
        <v>0.66</v>
      </c>
      <c r="V3945" s="22">
        <f>3.82/5</f>
        <v>0.76400000000000001</v>
      </c>
      <c r="X3945" s="3">
        <v>3</v>
      </c>
      <c r="Z3945" s="23">
        <v>33</v>
      </c>
      <c r="AB3945" s="18">
        <f t="shared" si="122"/>
        <v>2012</v>
      </c>
      <c r="AC3945" s="22">
        <f t="shared" si="123"/>
        <v>0.67466666666666664</v>
      </c>
    </row>
    <row r="3946" spans="1:29" ht="25.5">
      <c r="A3946" s="8" t="s">
        <v>9295</v>
      </c>
      <c r="B3946" s="17" t="s">
        <v>7763</v>
      </c>
      <c r="C3946" s="13">
        <v>41212</v>
      </c>
      <c r="D3946" s="13" t="s">
        <v>8465</v>
      </c>
      <c r="E3946" s="10" t="s">
        <v>1047</v>
      </c>
      <c r="F3946" s="10" t="s">
        <v>2473</v>
      </c>
      <c r="G3946" s="11" t="s">
        <v>1563</v>
      </c>
      <c r="H3946" s="2" t="s">
        <v>80</v>
      </c>
      <c r="L3946" s="18">
        <v>1</v>
      </c>
      <c r="M3946" s="14" t="s">
        <v>8462</v>
      </c>
      <c r="N3946" s="13">
        <v>44084</v>
      </c>
      <c r="O3946" s="29">
        <v>29.82</v>
      </c>
      <c r="P3946" s="18" t="s">
        <v>14</v>
      </c>
      <c r="Q3946" s="18">
        <v>0</v>
      </c>
      <c r="U3946" s="22">
        <v>0.7</v>
      </c>
      <c r="V3946" s="22">
        <f>3.44/5</f>
        <v>0.68799999999999994</v>
      </c>
      <c r="X3946" s="3">
        <v>2</v>
      </c>
      <c r="Z3946" s="23">
        <v>8.5</v>
      </c>
      <c r="AB3946" s="18">
        <f t="shared" si="122"/>
        <v>2012</v>
      </c>
      <c r="AC3946" s="22">
        <f t="shared" si="123"/>
        <v>0.59599999999999997</v>
      </c>
    </row>
    <row r="3947" spans="1:29" ht="25.5">
      <c r="A3947" s="8" t="s">
        <v>3682</v>
      </c>
      <c r="B3947" s="17" t="s">
        <v>7800</v>
      </c>
      <c r="C3947" s="13">
        <v>41211</v>
      </c>
      <c r="D3947" s="13" t="s">
        <v>8465</v>
      </c>
      <c r="E3947" s="10" t="s">
        <v>3493</v>
      </c>
      <c r="F3947" s="10" t="s">
        <v>3298</v>
      </c>
      <c r="G3947" s="11" t="s">
        <v>3299</v>
      </c>
      <c r="H3947" s="2" t="s">
        <v>171</v>
      </c>
      <c r="L3947" s="18">
        <v>1</v>
      </c>
      <c r="N3947" s="13">
        <v>41557</v>
      </c>
      <c r="P3947" s="18" t="s">
        <v>1107</v>
      </c>
      <c r="Q3947" s="18">
        <v>0</v>
      </c>
      <c r="V3947" s="22">
        <f>3.68/5</f>
        <v>0.73599999999999999</v>
      </c>
      <c r="W3947" s="14" t="s">
        <v>7777</v>
      </c>
      <c r="X3947" s="3">
        <v>3</v>
      </c>
      <c r="Z3947" s="23">
        <v>27</v>
      </c>
      <c r="AB3947" s="18">
        <f t="shared" si="122"/>
        <v>2012</v>
      </c>
      <c r="AC3947" s="22">
        <f t="shared" si="123"/>
        <v>0.66799999999999993</v>
      </c>
    </row>
    <row r="3948" spans="1:29" ht="25.5">
      <c r="A3948" s="8" t="s">
        <v>2396</v>
      </c>
      <c r="B3948" s="17" t="s">
        <v>7749</v>
      </c>
      <c r="C3948" s="13">
        <v>41210</v>
      </c>
      <c r="D3948" s="13" t="s">
        <v>8465</v>
      </c>
      <c r="E3948" s="10" t="s">
        <v>86</v>
      </c>
      <c r="F3948" s="10" t="s">
        <v>2129</v>
      </c>
      <c r="G3948" s="11" t="s">
        <v>2130</v>
      </c>
      <c r="H3948" s="2" t="s">
        <v>78</v>
      </c>
      <c r="L3948" s="18">
        <v>1</v>
      </c>
      <c r="M3948" s="14" t="s">
        <v>10622</v>
      </c>
      <c r="P3948" s="18" t="s">
        <v>14</v>
      </c>
      <c r="Q3948" s="18">
        <v>0</v>
      </c>
      <c r="U3948" s="22">
        <v>0.83</v>
      </c>
      <c r="V3948" s="22">
        <f>4.13/5</f>
        <v>0.82599999999999996</v>
      </c>
      <c r="X3948" s="3">
        <v>3</v>
      </c>
      <c r="Z3948" s="23">
        <v>17.5</v>
      </c>
      <c r="AB3948" s="18">
        <f t="shared" si="122"/>
        <v>2012</v>
      </c>
      <c r="AC3948" s="22">
        <f t="shared" si="123"/>
        <v>0.75199999999999989</v>
      </c>
    </row>
    <row r="3949" spans="1:29">
      <c r="A3949" s="8" t="s">
        <v>4442</v>
      </c>
      <c r="B3949" s="17" t="s">
        <v>7800</v>
      </c>
      <c r="C3949" s="13">
        <v>41210</v>
      </c>
      <c r="D3949" s="13" t="s">
        <v>8465</v>
      </c>
      <c r="E3949" s="10" t="s">
        <v>4443</v>
      </c>
      <c r="F3949" s="10" t="s">
        <v>4443</v>
      </c>
      <c r="H3949" s="2" t="s">
        <v>1699</v>
      </c>
      <c r="L3949" s="18">
        <v>1</v>
      </c>
      <c r="N3949" s="13">
        <v>41793</v>
      </c>
      <c r="P3949" s="18" t="s">
        <v>1107</v>
      </c>
      <c r="Q3949" s="18">
        <v>0</v>
      </c>
      <c r="U3949" s="22">
        <v>0.75</v>
      </c>
      <c r="V3949" s="22">
        <f>3.33/5</f>
        <v>0.66600000000000004</v>
      </c>
      <c r="W3949" s="14" t="s">
        <v>7777</v>
      </c>
      <c r="X3949" s="3">
        <v>3</v>
      </c>
      <c r="Z3949" s="23">
        <v>12</v>
      </c>
      <c r="AB3949" s="18">
        <f t="shared" si="122"/>
        <v>2012</v>
      </c>
      <c r="AC3949" s="22">
        <f t="shared" si="123"/>
        <v>0.67200000000000004</v>
      </c>
    </row>
    <row r="3950" spans="1:29" ht="25.5">
      <c r="A3950" s="8" t="s">
        <v>4245</v>
      </c>
      <c r="B3950" s="17" t="s">
        <v>7800</v>
      </c>
      <c r="C3950" s="13">
        <v>41208</v>
      </c>
      <c r="D3950" s="13" t="s">
        <v>8465</v>
      </c>
      <c r="E3950" s="10" t="s">
        <v>3608</v>
      </c>
      <c r="F3950" s="10" t="s">
        <v>4246</v>
      </c>
      <c r="G3950" s="11" t="s">
        <v>2571</v>
      </c>
      <c r="H3950" s="2" t="s">
        <v>1720</v>
      </c>
      <c r="L3950" s="18">
        <v>1</v>
      </c>
      <c r="N3950" s="13">
        <v>41588</v>
      </c>
      <c r="P3950" s="18" t="s">
        <v>1107</v>
      </c>
      <c r="Q3950" s="18">
        <v>0</v>
      </c>
      <c r="U3950" s="22">
        <v>0.74</v>
      </c>
      <c r="V3950" s="22">
        <f>3.6/5</f>
        <v>0.72</v>
      </c>
      <c r="W3950" s="14" t="s">
        <v>7777</v>
      </c>
      <c r="X3950" s="3">
        <v>3</v>
      </c>
      <c r="Z3950" s="23">
        <v>56</v>
      </c>
      <c r="AB3950" s="18">
        <f t="shared" si="122"/>
        <v>2012</v>
      </c>
      <c r="AC3950" s="22">
        <f t="shared" si="123"/>
        <v>0.68666666666666665</v>
      </c>
    </row>
    <row r="3951" spans="1:29">
      <c r="A3951" s="8" t="s">
        <v>4360</v>
      </c>
      <c r="B3951" s="17" t="s">
        <v>7800</v>
      </c>
      <c r="C3951" s="13">
        <v>41208</v>
      </c>
      <c r="D3951" s="13" t="s">
        <v>8465</v>
      </c>
      <c r="E3951" s="10" t="s">
        <v>4361</v>
      </c>
      <c r="F3951" s="10" t="s">
        <v>4361</v>
      </c>
      <c r="G3951" s="11" t="s">
        <v>4360</v>
      </c>
      <c r="H3951" s="2" t="s">
        <v>1061</v>
      </c>
      <c r="L3951" s="18">
        <v>1</v>
      </c>
      <c r="N3951" s="13">
        <v>41573</v>
      </c>
      <c r="P3951" s="18" t="s">
        <v>1107</v>
      </c>
      <c r="Q3951" s="18">
        <v>0</v>
      </c>
      <c r="U3951" s="22">
        <v>0.57999999999999996</v>
      </c>
      <c r="V3951" s="22">
        <f>2.65/5</f>
        <v>0.53</v>
      </c>
      <c r="W3951" s="14" t="s">
        <v>7777</v>
      </c>
      <c r="X3951" s="3">
        <v>2</v>
      </c>
      <c r="Z3951" s="23">
        <v>6</v>
      </c>
      <c r="AB3951" s="18">
        <f t="shared" si="122"/>
        <v>2012</v>
      </c>
      <c r="AC3951" s="22">
        <f t="shared" si="123"/>
        <v>0.5033333333333333</v>
      </c>
    </row>
    <row r="3952" spans="1:29">
      <c r="A3952" s="8" t="s">
        <v>3601</v>
      </c>
      <c r="B3952" s="17" t="s">
        <v>7800</v>
      </c>
      <c r="C3952" s="13">
        <v>41207</v>
      </c>
      <c r="D3952" s="13" t="s">
        <v>8465</v>
      </c>
      <c r="E3952" s="10" t="s">
        <v>3116</v>
      </c>
      <c r="F3952" s="10" t="s">
        <v>3602</v>
      </c>
      <c r="H3952" s="2" t="s">
        <v>56</v>
      </c>
      <c r="L3952" s="18">
        <v>1</v>
      </c>
      <c r="N3952" s="13">
        <v>41303</v>
      </c>
      <c r="P3952" s="18" t="s">
        <v>1107</v>
      </c>
      <c r="Q3952" s="18">
        <v>0</v>
      </c>
      <c r="U3952" s="22">
        <v>0.87</v>
      </c>
      <c r="V3952" s="22">
        <f>3.33/5</f>
        <v>0.66600000000000004</v>
      </c>
      <c r="W3952" s="14" t="s">
        <v>7777</v>
      </c>
      <c r="X3952" s="3">
        <v>3</v>
      </c>
      <c r="Z3952" s="23">
        <v>4</v>
      </c>
      <c r="AB3952" s="18">
        <f t="shared" si="122"/>
        <v>2012</v>
      </c>
      <c r="AC3952" s="22">
        <f t="shared" si="123"/>
        <v>0.71200000000000008</v>
      </c>
    </row>
    <row r="3953" spans="1:29" ht="30">
      <c r="A3953" s="8" t="s">
        <v>2434</v>
      </c>
      <c r="B3953" s="17" t="s">
        <v>7749</v>
      </c>
      <c r="C3953" s="13">
        <v>41207</v>
      </c>
      <c r="D3953" s="13" t="s">
        <v>8465</v>
      </c>
      <c r="E3953" s="10" t="s">
        <v>2129</v>
      </c>
      <c r="F3953" s="10" t="s">
        <v>1505</v>
      </c>
      <c r="G3953" s="11" t="s">
        <v>2469</v>
      </c>
      <c r="H3953" s="2" t="s">
        <v>2138</v>
      </c>
      <c r="L3953" s="18">
        <v>1</v>
      </c>
      <c r="N3953" s="13">
        <v>41385</v>
      </c>
      <c r="O3953" s="29">
        <v>4.99</v>
      </c>
      <c r="P3953" s="18" t="s">
        <v>1107</v>
      </c>
      <c r="Q3953" s="18">
        <v>0</v>
      </c>
      <c r="U3953" s="22">
        <v>0.68</v>
      </c>
      <c r="V3953" s="22">
        <f>3.74/5</f>
        <v>0.748</v>
      </c>
      <c r="X3953" s="3">
        <v>3</v>
      </c>
      <c r="Z3953" s="23">
        <v>1.5</v>
      </c>
      <c r="AB3953" s="18">
        <f t="shared" si="122"/>
        <v>2012</v>
      </c>
      <c r="AC3953" s="22">
        <f t="shared" si="123"/>
        <v>0.67600000000000005</v>
      </c>
    </row>
    <row r="3954" spans="1:29">
      <c r="A3954" s="8" t="s">
        <v>4169</v>
      </c>
      <c r="B3954" s="17" t="s">
        <v>7800</v>
      </c>
      <c r="C3954" s="13">
        <v>41207</v>
      </c>
      <c r="D3954" s="13" t="s">
        <v>8465</v>
      </c>
      <c r="E3954" s="10" t="s">
        <v>4170</v>
      </c>
      <c r="F3954" s="10" t="s">
        <v>4170</v>
      </c>
      <c r="H3954" s="2" t="s">
        <v>78</v>
      </c>
      <c r="L3954" s="18">
        <v>1</v>
      </c>
      <c r="N3954" s="13">
        <v>41562</v>
      </c>
      <c r="P3954" s="18" t="s">
        <v>1107</v>
      </c>
      <c r="Q3954" s="18">
        <v>0</v>
      </c>
      <c r="U3954" s="22">
        <v>0.76</v>
      </c>
      <c r="V3954" s="22">
        <f>2.79/5</f>
        <v>0.55800000000000005</v>
      </c>
      <c r="W3954" s="14" t="s">
        <v>7777</v>
      </c>
      <c r="X3954" s="3">
        <v>3</v>
      </c>
      <c r="Z3954" s="23">
        <v>3</v>
      </c>
      <c r="AB3954" s="18">
        <f t="shared" si="122"/>
        <v>2012</v>
      </c>
      <c r="AC3954" s="22">
        <f t="shared" si="123"/>
        <v>0.63933333333333342</v>
      </c>
    </row>
    <row r="3955" spans="1:29" ht="25.5">
      <c r="A3955" s="8" t="s">
        <v>13890</v>
      </c>
      <c r="B3955" s="17" t="s">
        <v>7800</v>
      </c>
      <c r="C3955" s="13">
        <v>41207</v>
      </c>
      <c r="D3955" s="13" t="s">
        <v>8465</v>
      </c>
      <c r="E3955" s="10" t="s">
        <v>13889</v>
      </c>
      <c r="F3955" s="10" t="s">
        <v>13889</v>
      </c>
      <c r="G3955" s="11" t="s">
        <v>13880</v>
      </c>
      <c r="H3955" s="2" t="s">
        <v>78</v>
      </c>
      <c r="L3955" s="18">
        <v>0</v>
      </c>
      <c r="Q3955" s="18">
        <v>0</v>
      </c>
      <c r="X3955" s="3">
        <v>2</v>
      </c>
      <c r="AB3955" s="18">
        <f t="shared" si="122"/>
        <v>2012</v>
      </c>
      <c r="AC3955" s="22">
        <f t="shared" si="123"/>
        <v>0.4</v>
      </c>
    </row>
    <row r="3956" spans="1:29" ht="25.5">
      <c r="A3956" s="8" t="s">
        <v>6294</v>
      </c>
      <c r="B3956" s="17" t="s">
        <v>7763</v>
      </c>
      <c r="C3956" s="13">
        <v>41205</v>
      </c>
      <c r="D3956" s="13" t="s">
        <v>8465</v>
      </c>
      <c r="E3956" s="10" t="s">
        <v>1519</v>
      </c>
      <c r="F3956" s="10" t="s">
        <v>164</v>
      </c>
      <c r="G3956" s="11" t="s">
        <v>2141</v>
      </c>
      <c r="H3956" s="2" t="s">
        <v>1057</v>
      </c>
      <c r="L3956" s="18">
        <v>1</v>
      </c>
      <c r="N3956" s="13">
        <v>43303</v>
      </c>
      <c r="O3956" s="29">
        <v>10</v>
      </c>
      <c r="P3956" s="18" t="s">
        <v>1107</v>
      </c>
      <c r="Q3956" s="18">
        <v>0</v>
      </c>
      <c r="U3956" s="22">
        <v>0.86</v>
      </c>
      <c r="V3956" s="22">
        <f>4.38/5</f>
        <v>0.876</v>
      </c>
      <c r="X3956" s="3">
        <v>4</v>
      </c>
      <c r="Z3956" s="23">
        <v>28</v>
      </c>
      <c r="AB3956" s="18">
        <f t="shared" si="122"/>
        <v>2012</v>
      </c>
      <c r="AC3956" s="22">
        <f t="shared" si="123"/>
        <v>0.84533333333333338</v>
      </c>
    </row>
    <row r="3957" spans="1:29">
      <c r="A3957" s="8" t="s">
        <v>10644</v>
      </c>
      <c r="B3957" s="17" t="s">
        <v>7765</v>
      </c>
      <c r="C3957" s="13">
        <v>41205</v>
      </c>
      <c r="D3957" s="13" t="s">
        <v>8465</v>
      </c>
      <c r="E3957" s="10" t="s">
        <v>3116</v>
      </c>
      <c r="F3957" s="10" t="s">
        <v>10641</v>
      </c>
      <c r="G3957" s="11" t="s">
        <v>10642</v>
      </c>
      <c r="H3957" s="2" t="s">
        <v>150</v>
      </c>
      <c r="L3957" s="18">
        <v>0</v>
      </c>
      <c r="Q3957" s="18">
        <v>0</v>
      </c>
      <c r="U3957" s="22">
        <v>0.85</v>
      </c>
      <c r="V3957" s="22">
        <f>4.1/5</f>
        <v>0.82</v>
      </c>
      <c r="X3957" s="3">
        <v>3</v>
      </c>
      <c r="Y3957" s="18">
        <v>1</v>
      </c>
      <c r="Z3957" s="23">
        <v>16</v>
      </c>
      <c r="AB3957" s="18">
        <f t="shared" si="122"/>
        <v>2012</v>
      </c>
      <c r="AC3957" s="22">
        <f t="shared" si="123"/>
        <v>0.75666666666666671</v>
      </c>
    </row>
    <row r="3958" spans="1:29" ht="30">
      <c r="A3958" s="8" t="s">
        <v>5961</v>
      </c>
      <c r="B3958" s="17" t="s">
        <v>7759</v>
      </c>
      <c r="C3958" s="13">
        <v>41205</v>
      </c>
      <c r="D3958" s="13" t="s">
        <v>8465</v>
      </c>
      <c r="E3958" s="10" t="s">
        <v>2908</v>
      </c>
      <c r="F3958" s="10" t="s">
        <v>5882</v>
      </c>
      <c r="G3958" s="11" t="s">
        <v>5820</v>
      </c>
      <c r="H3958" s="2" t="s">
        <v>1050</v>
      </c>
      <c r="L3958" s="18">
        <v>1</v>
      </c>
      <c r="M3958" s="14" t="s">
        <v>8462</v>
      </c>
      <c r="P3958" s="18" t="s">
        <v>14</v>
      </c>
      <c r="Q3958" s="18">
        <v>0</v>
      </c>
      <c r="U3958" s="22">
        <v>0.7</v>
      </c>
      <c r="V3958" s="22">
        <f>3.95/5</f>
        <v>0.79</v>
      </c>
      <c r="X3958" s="3">
        <v>3</v>
      </c>
      <c r="Z3958" s="23">
        <v>25.5</v>
      </c>
      <c r="AB3958" s="18">
        <f t="shared" si="122"/>
        <v>2012</v>
      </c>
      <c r="AC3958" s="22">
        <f t="shared" si="123"/>
        <v>0.69666666666666666</v>
      </c>
    </row>
    <row r="3959" spans="1:29" ht="25.5">
      <c r="A3959" s="8" t="s">
        <v>3983</v>
      </c>
      <c r="B3959" s="17" t="s">
        <v>7800</v>
      </c>
      <c r="C3959" s="13">
        <v>41204</v>
      </c>
      <c r="D3959" s="13" t="s">
        <v>8465</v>
      </c>
      <c r="E3959" s="10" t="s">
        <v>3984</v>
      </c>
      <c r="F3959" s="10" t="s">
        <v>3985</v>
      </c>
      <c r="G3959" s="11" t="s">
        <v>2289</v>
      </c>
      <c r="H3959" s="2" t="s">
        <v>64</v>
      </c>
      <c r="L3959" s="18">
        <v>1</v>
      </c>
      <c r="N3959" s="13">
        <v>41688</v>
      </c>
      <c r="P3959" s="18" t="s">
        <v>1107</v>
      </c>
      <c r="Q3959" s="18">
        <v>0</v>
      </c>
      <c r="U3959" s="22">
        <v>0.7</v>
      </c>
      <c r="V3959" s="22">
        <f>3.61/5</f>
        <v>0.72199999999999998</v>
      </c>
      <c r="W3959" s="14" t="s">
        <v>7777</v>
      </c>
      <c r="X3959" s="3">
        <v>3</v>
      </c>
      <c r="Z3959" s="23">
        <v>7.5</v>
      </c>
      <c r="AB3959" s="18">
        <f t="shared" si="122"/>
        <v>2012</v>
      </c>
      <c r="AC3959" s="22">
        <f t="shared" si="123"/>
        <v>0.67399999999999993</v>
      </c>
    </row>
    <row r="3960" spans="1:29" ht="63.75">
      <c r="A3960" s="8" t="s">
        <v>4080</v>
      </c>
      <c r="B3960" s="17" t="s">
        <v>7800</v>
      </c>
      <c r="C3960" s="13">
        <v>41204</v>
      </c>
      <c r="D3960" s="13" t="s">
        <v>8465</v>
      </c>
      <c r="E3960" s="10" t="s">
        <v>4081</v>
      </c>
      <c r="F3960" s="10" t="s">
        <v>4081</v>
      </c>
      <c r="H3960" s="2" t="s">
        <v>67</v>
      </c>
      <c r="L3960" s="18">
        <v>1</v>
      </c>
      <c r="N3960" s="13">
        <v>41248</v>
      </c>
      <c r="P3960" s="18" t="s">
        <v>1107</v>
      </c>
      <c r="Q3960" s="18">
        <v>0</v>
      </c>
      <c r="U3960" s="22">
        <v>0.67</v>
      </c>
      <c r="V3960" s="22">
        <f>2.8/5</f>
        <v>0.55999999999999994</v>
      </c>
      <c r="W3960" s="14" t="s">
        <v>7777</v>
      </c>
      <c r="X3960" s="3">
        <v>2</v>
      </c>
      <c r="Z3960" s="23">
        <v>1.5</v>
      </c>
      <c r="AB3960" s="18">
        <f t="shared" si="122"/>
        <v>2012</v>
      </c>
      <c r="AC3960" s="22">
        <f t="shared" si="123"/>
        <v>0.54333333333333333</v>
      </c>
    </row>
    <row r="3961" spans="1:29" ht="25.5">
      <c r="A3961" s="8" t="s">
        <v>9674</v>
      </c>
      <c r="B3961" s="17" t="s">
        <v>7749</v>
      </c>
      <c r="C3961" s="13">
        <v>41201</v>
      </c>
      <c r="D3961" s="13" t="s">
        <v>8465</v>
      </c>
      <c r="E3961" s="10" t="s">
        <v>66</v>
      </c>
      <c r="F3961" s="10" t="s">
        <v>4068</v>
      </c>
      <c r="G3961" s="11" t="s">
        <v>710</v>
      </c>
      <c r="H3961" s="2" t="s">
        <v>1334</v>
      </c>
      <c r="L3961" s="18">
        <v>1</v>
      </c>
      <c r="M3961" s="14" t="s">
        <v>8462</v>
      </c>
      <c r="N3961" s="13">
        <v>44211</v>
      </c>
      <c r="O3961" s="29">
        <v>19.190000000000001</v>
      </c>
      <c r="P3961" s="18" t="s">
        <v>14</v>
      </c>
      <c r="Q3961" s="18">
        <v>0</v>
      </c>
      <c r="U3961" s="22">
        <v>0.74</v>
      </c>
      <c r="V3961" s="22">
        <f>4.24/5</f>
        <v>0.84800000000000009</v>
      </c>
      <c r="X3961" s="3">
        <v>2</v>
      </c>
      <c r="Z3961" s="23">
        <v>76.5</v>
      </c>
      <c r="AB3961" s="18">
        <f t="shared" si="122"/>
        <v>2012</v>
      </c>
      <c r="AC3961" s="22">
        <f t="shared" si="123"/>
        <v>0.66266666666666663</v>
      </c>
    </row>
    <row r="3962" spans="1:29">
      <c r="A3962" s="8" t="s">
        <v>3827</v>
      </c>
      <c r="B3962" s="17" t="s">
        <v>7800</v>
      </c>
      <c r="C3962" s="13">
        <v>41201</v>
      </c>
      <c r="D3962" s="13" t="s">
        <v>8465</v>
      </c>
      <c r="E3962" s="10" t="s">
        <v>3168</v>
      </c>
      <c r="F3962" s="10" t="s">
        <v>3168</v>
      </c>
      <c r="G3962" s="11" t="s">
        <v>3169</v>
      </c>
      <c r="H3962" s="2" t="s">
        <v>1334</v>
      </c>
      <c r="L3962" s="18">
        <v>1</v>
      </c>
      <c r="N3962" s="13">
        <v>41954</v>
      </c>
      <c r="P3962" s="18" t="s">
        <v>1107</v>
      </c>
      <c r="Q3962" s="18">
        <v>0</v>
      </c>
      <c r="U3962" s="22">
        <v>0.79</v>
      </c>
      <c r="V3962" s="22">
        <f>3.99/5</f>
        <v>0.79800000000000004</v>
      </c>
      <c r="W3962" s="14" t="s">
        <v>7777</v>
      </c>
      <c r="X3962" s="3">
        <v>2</v>
      </c>
      <c r="Z3962" s="23">
        <v>40.5</v>
      </c>
      <c r="AB3962" s="18">
        <f t="shared" si="122"/>
        <v>2012</v>
      </c>
      <c r="AC3962" s="22">
        <f t="shared" si="123"/>
        <v>0.66266666666666663</v>
      </c>
    </row>
    <row r="3963" spans="1:29">
      <c r="A3963" s="8" t="s">
        <v>3859</v>
      </c>
      <c r="B3963" s="17" t="s">
        <v>7800</v>
      </c>
      <c r="C3963" s="13">
        <v>41199</v>
      </c>
      <c r="D3963" s="13" t="s">
        <v>8465</v>
      </c>
      <c r="E3963" s="10" t="s">
        <v>3159</v>
      </c>
      <c r="F3963" s="10" t="s">
        <v>3230</v>
      </c>
      <c r="H3963" s="2" t="s">
        <v>153</v>
      </c>
      <c r="L3963" s="18">
        <v>1</v>
      </c>
      <c r="N3963" s="13">
        <v>41408</v>
      </c>
      <c r="P3963" s="18" t="s">
        <v>1107</v>
      </c>
      <c r="Q3963" s="18">
        <v>0</v>
      </c>
      <c r="U3963" s="22">
        <v>0.7</v>
      </c>
      <c r="V3963" s="22">
        <f>3.51/5</f>
        <v>0.70199999999999996</v>
      </c>
      <c r="W3963" s="14" t="s">
        <v>7777</v>
      </c>
      <c r="X3963" s="3">
        <v>3</v>
      </c>
      <c r="Z3963" s="23">
        <v>3</v>
      </c>
      <c r="AB3963" s="18">
        <f t="shared" si="122"/>
        <v>2012</v>
      </c>
      <c r="AC3963" s="22">
        <f t="shared" si="123"/>
        <v>0.66733333333333322</v>
      </c>
    </row>
    <row r="3964" spans="1:29">
      <c r="A3964" s="8" t="s">
        <v>13638</v>
      </c>
      <c r="B3964" s="17" t="s">
        <v>7800</v>
      </c>
      <c r="C3964" s="13">
        <v>41199</v>
      </c>
      <c r="D3964" s="13" t="s">
        <v>8465</v>
      </c>
      <c r="E3964" s="10" t="s">
        <v>13639</v>
      </c>
      <c r="F3964" s="10" t="s">
        <v>13639</v>
      </c>
      <c r="H3964" s="2" t="s">
        <v>150</v>
      </c>
      <c r="L3964" s="18">
        <v>1</v>
      </c>
      <c r="N3964" s="13">
        <v>44986</v>
      </c>
      <c r="O3964" s="29">
        <v>0</v>
      </c>
      <c r="P3964" s="18" t="s">
        <v>1107</v>
      </c>
      <c r="Q3964" s="18">
        <v>0</v>
      </c>
      <c r="V3964" s="22">
        <f>3.32/5</f>
        <v>0.66399999999999992</v>
      </c>
      <c r="W3964" s="14" t="s">
        <v>7777</v>
      </c>
      <c r="X3964" s="3">
        <v>2</v>
      </c>
      <c r="Z3964" s="23">
        <v>5</v>
      </c>
      <c r="AB3964" s="18">
        <f t="shared" si="122"/>
        <v>2012</v>
      </c>
      <c r="AC3964" s="22">
        <f t="shared" si="123"/>
        <v>0.53200000000000003</v>
      </c>
    </row>
    <row r="3965" spans="1:29" ht="25.5">
      <c r="A3965" s="8" t="s">
        <v>12632</v>
      </c>
      <c r="B3965" s="17" t="s">
        <v>7800</v>
      </c>
      <c r="C3965" s="13">
        <v>41199</v>
      </c>
      <c r="D3965" s="13" t="s">
        <v>8465</v>
      </c>
      <c r="E3965" s="10" t="s">
        <v>455</v>
      </c>
      <c r="F3965" s="10" t="s">
        <v>3151</v>
      </c>
      <c r="H3965" s="2" t="s">
        <v>80</v>
      </c>
      <c r="L3965" s="18">
        <v>1</v>
      </c>
      <c r="P3965" s="18" t="s">
        <v>1107</v>
      </c>
      <c r="Q3965" s="18">
        <v>0</v>
      </c>
      <c r="U3965" s="22">
        <v>0.65</v>
      </c>
      <c r="V3965" s="22">
        <f>2.75/5</f>
        <v>0.55000000000000004</v>
      </c>
      <c r="W3965" s="14" t="s">
        <v>7777</v>
      </c>
      <c r="X3965" s="3">
        <v>2</v>
      </c>
      <c r="Z3965" s="23">
        <v>13.5</v>
      </c>
      <c r="AB3965" s="18">
        <f t="shared" si="122"/>
        <v>2012</v>
      </c>
      <c r="AC3965" s="22">
        <f t="shared" si="123"/>
        <v>0.53333333333333333</v>
      </c>
    </row>
    <row r="3966" spans="1:29">
      <c r="A3966" s="8" t="s">
        <v>6434</v>
      </c>
      <c r="B3966" s="17" t="s">
        <v>7759</v>
      </c>
      <c r="C3966" s="13">
        <v>41198</v>
      </c>
      <c r="D3966" s="13" t="s">
        <v>8465</v>
      </c>
      <c r="E3966" s="10" t="s">
        <v>10107</v>
      </c>
      <c r="F3966" s="10" t="s">
        <v>2293</v>
      </c>
      <c r="G3966" s="11" t="s">
        <v>6434</v>
      </c>
      <c r="H3966" s="2" t="s">
        <v>6510</v>
      </c>
      <c r="L3966" s="18">
        <v>1</v>
      </c>
      <c r="N3966" s="13">
        <v>43424</v>
      </c>
      <c r="O3966" s="29">
        <v>0</v>
      </c>
      <c r="P3966" s="18" t="s">
        <v>1107</v>
      </c>
      <c r="Q3966" s="18">
        <v>0</v>
      </c>
      <c r="V3966" s="22">
        <f>3.67/5</f>
        <v>0.73399999999999999</v>
      </c>
      <c r="W3966" s="14" t="s">
        <v>6072</v>
      </c>
      <c r="X3966" s="3">
        <v>3</v>
      </c>
      <c r="Z3966" s="23">
        <f>45/60 + 3 + 2</f>
        <v>5.75</v>
      </c>
      <c r="AB3966" s="18">
        <f t="shared" si="122"/>
        <v>2012</v>
      </c>
      <c r="AC3966" s="22">
        <f t="shared" si="123"/>
        <v>0.66700000000000004</v>
      </c>
    </row>
    <row r="3967" spans="1:29">
      <c r="A3967" s="8" t="s">
        <v>4397</v>
      </c>
      <c r="B3967" s="17" t="s">
        <v>7800</v>
      </c>
      <c r="C3967" s="13">
        <v>41198</v>
      </c>
      <c r="D3967" s="13" t="s">
        <v>8465</v>
      </c>
      <c r="E3967" s="10" t="s">
        <v>3116</v>
      </c>
      <c r="F3967" s="10" t="s">
        <v>3521</v>
      </c>
      <c r="G3967" s="11" t="s">
        <v>4397</v>
      </c>
      <c r="H3967" s="2" t="s">
        <v>245</v>
      </c>
      <c r="L3967" s="18">
        <v>1</v>
      </c>
      <c r="N3967" s="13">
        <v>41528</v>
      </c>
      <c r="O3967" s="29">
        <v>0</v>
      </c>
      <c r="P3967" s="18" t="s">
        <v>1107</v>
      </c>
      <c r="Q3967" s="18">
        <v>0</v>
      </c>
      <c r="U3967" s="22">
        <v>0.93</v>
      </c>
      <c r="V3967" s="22">
        <f>4/5</f>
        <v>0.8</v>
      </c>
      <c r="W3967" s="14" t="s">
        <v>7777</v>
      </c>
      <c r="X3967" s="3">
        <v>2</v>
      </c>
      <c r="Z3967" s="23">
        <v>8</v>
      </c>
      <c r="AB3967" s="18">
        <f t="shared" si="122"/>
        <v>2012</v>
      </c>
      <c r="AC3967" s="22">
        <f t="shared" si="123"/>
        <v>0.71</v>
      </c>
    </row>
    <row r="3968" spans="1:29" ht="25.5">
      <c r="A3968" s="8" t="s">
        <v>3776</v>
      </c>
      <c r="B3968" s="17" t="s">
        <v>7800</v>
      </c>
      <c r="C3968" s="13">
        <v>41198</v>
      </c>
      <c r="D3968" s="13" t="s">
        <v>8465</v>
      </c>
      <c r="E3968" s="10" t="s">
        <v>3072</v>
      </c>
      <c r="F3968" s="10" t="s">
        <v>3072</v>
      </c>
      <c r="G3968" s="11" t="s">
        <v>3777</v>
      </c>
      <c r="H3968" s="2" t="s">
        <v>67</v>
      </c>
      <c r="L3968" s="18">
        <v>1</v>
      </c>
      <c r="N3968" s="13">
        <v>41319</v>
      </c>
      <c r="P3968" s="18" t="s">
        <v>1107</v>
      </c>
      <c r="Q3968" s="18">
        <v>0</v>
      </c>
      <c r="U3968" s="22">
        <v>0.75</v>
      </c>
      <c r="V3968" s="22">
        <f>3.77/5</f>
        <v>0.754</v>
      </c>
      <c r="W3968" s="14" t="s">
        <v>7777</v>
      </c>
      <c r="X3968" s="3">
        <v>2</v>
      </c>
      <c r="Z3968" s="23">
        <v>7</v>
      </c>
      <c r="AB3968" s="18">
        <f t="shared" si="122"/>
        <v>2012</v>
      </c>
      <c r="AC3968" s="22">
        <f t="shared" si="123"/>
        <v>0.6346666666666666</v>
      </c>
    </row>
    <row r="3969" spans="1:29">
      <c r="A3969" s="8" t="s">
        <v>8114</v>
      </c>
      <c r="B3969" s="17" t="s">
        <v>7800</v>
      </c>
      <c r="C3969" s="13">
        <v>41198</v>
      </c>
      <c r="D3969" s="13" t="s">
        <v>8465</v>
      </c>
      <c r="E3969" s="10" t="s">
        <v>1690</v>
      </c>
      <c r="F3969" s="10" t="s">
        <v>1889</v>
      </c>
      <c r="G3969" s="11" t="s">
        <v>1890</v>
      </c>
      <c r="H3969" s="2" t="s">
        <v>1050</v>
      </c>
      <c r="L3969" s="18">
        <v>1</v>
      </c>
      <c r="N3969" s="13">
        <v>43785</v>
      </c>
      <c r="O3969" s="29">
        <v>6.59</v>
      </c>
      <c r="P3969" s="18" t="s">
        <v>1107</v>
      </c>
      <c r="Q3969" s="18">
        <v>0</v>
      </c>
      <c r="U3969" s="22">
        <v>0.51670000000000005</v>
      </c>
      <c r="V3969" s="22">
        <f>3.71/5</f>
        <v>0.74199999999999999</v>
      </c>
      <c r="W3969" s="14" t="s">
        <v>7777</v>
      </c>
      <c r="X3969" s="3">
        <v>4</v>
      </c>
      <c r="Z3969" s="23">
        <v>10</v>
      </c>
      <c r="AB3969" s="18">
        <f t="shared" ref="AB3969:AB4032" si="124">IFERROR(YEAR(C3969), "Early Access")</f>
        <v>2012</v>
      </c>
      <c r="AC3969" s="22">
        <f t="shared" ref="AC3969:AC4032" si="125">AVERAGE(T3969, U3969, V3969, IF(ISBLANK(X3969), X3969, X3969/5))</f>
        <v>0.68623333333333336</v>
      </c>
    </row>
    <row r="3970" spans="1:29">
      <c r="A3970" s="8" t="s">
        <v>10104</v>
      </c>
      <c r="B3970" s="17" t="s">
        <v>7759</v>
      </c>
      <c r="C3970" s="13">
        <v>41198</v>
      </c>
      <c r="D3970" s="13" t="s">
        <v>8465</v>
      </c>
      <c r="E3970" s="10" t="s">
        <v>1062</v>
      </c>
      <c r="F3970" s="10" t="s">
        <v>3861</v>
      </c>
      <c r="G3970" s="11" t="s">
        <v>10104</v>
      </c>
      <c r="H3970" s="2" t="s">
        <v>149</v>
      </c>
      <c r="L3970" s="18">
        <v>0</v>
      </c>
      <c r="Q3970" s="18">
        <v>0</v>
      </c>
      <c r="U3970" s="22">
        <v>0.55000000000000004</v>
      </c>
      <c r="V3970" s="22">
        <f>3.58/5</f>
        <v>0.71599999999999997</v>
      </c>
      <c r="X3970" s="3">
        <v>2</v>
      </c>
      <c r="Y3970" s="18">
        <v>1</v>
      </c>
      <c r="Z3970" s="23">
        <v>22.5</v>
      </c>
      <c r="AB3970" s="18">
        <f t="shared" si="124"/>
        <v>2012</v>
      </c>
      <c r="AC3970" s="22">
        <f t="shared" si="125"/>
        <v>0.55533333333333335</v>
      </c>
    </row>
    <row r="3971" spans="1:29" ht="30">
      <c r="A3971" s="8" t="s">
        <v>9360</v>
      </c>
      <c r="B3971" s="17" t="s">
        <v>7763</v>
      </c>
      <c r="C3971" s="13">
        <v>41198</v>
      </c>
      <c r="D3971" s="13" t="s">
        <v>8465</v>
      </c>
      <c r="E3971" s="10" t="s">
        <v>72</v>
      </c>
      <c r="F3971" s="10" t="s">
        <v>1084</v>
      </c>
      <c r="G3971" s="11" t="s">
        <v>1449</v>
      </c>
      <c r="H3971" s="2" t="s">
        <v>171</v>
      </c>
      <c r="L3971" s="18">
        <v>1</v>
      </c>
      <c r="M3971" s="14" t="s">
        <v>10622</v>
      </c>
      <c r="N3971" s="13">
        <v>44101</v>
      </c>
      <c r="O3971" s="29">
        <v>43.4</v>
      </c>
      <c r="P3971" s="18" t="s">
        <v>14</v>
      </c>
      <c r="Q3971" s="18">
        <v>0</v>
      </c>
      <c r="U3971" s="22">
        <v>0.57999999999999996</v>
      </c>
      <c r="V3971" s="22">
        <f>2.93/5</f>
        <v>0.58600000000000008</v>
      </c>
      <c r="X3971" s="3">
        <v>2</v>
      </c>
      <c r="Z3971" s="23">
        <v>20</v>
      </c>
      <c r="AB3971" s="18">
        <f t="shared" si="124"/>
        <v>2012</v>
      </c>
      <c r="AC3971" s="22">
        <f t="shared" si="125"/>
        <v>0.52199999999999991</v>
      </c>
    </row>
    <row r="3972" spans="1:29">
      <c r="A3972" s="8" t="s">
        <v>10807</v>
      </c>
      <c r="B3972" s="17" t="s">
        <v>7759</v>
      </c>
      <c r="C3972" s="13">
        <v>41198</v>
      </c>
      <c r="D3972" s="13" t="s">
        <v>8465</v>
      </c>
      <c r="E3972" s="10" t="s">
        <v>1273</v>
      </c>
      <c r="F3972" s="10" t="s">
        <v>241</v>
      </c>
      <c r="G3972" s="11" t="s">
        <v>1482</v>
      </c>
      <c r="H3972" s="2" t="s">
        <v>1050</v>
      </c>
      <c r="L3972" s="18">
        <v>0</v>
      </c>
      <c r="Q3972" s="18">
        <v>0</v>
      </c>
      <c r="U3972" s="22">
        <v>0.41</v>
      </c>
      <c r="V3972" s="22">
        <f>3.13/5</f>
        <v>0.626</v>
      </c>
      <c r="X3972" s="3">
        <v>2</v>
      </c>
      <c r="Y3972" s="18">
        <v>1</v>
      </c>
      <c r="Z3972" s="23">
        <v>6.5</v>
      </c>
      <c r="AB3972" s="18">
        <f t="shared" si="124"/>
        <v>2012</v>
      </c>
      <c r="AC3972" s="22">
        <f t="shared" si="125"/>
        <v>0.47866666666666663</v>
      </c>
    </row>
    <row r="3973" spans="1:29" ht="25.5">
      <c r="A3973" s="8" t="s">
        <v>4865</v>
      </c>
      <c r="B3973" s="17" t="s">
        <v>7800</v>
      </c>
      <c r="C3973" s="13">
        <v>41197</v>
      </c>
      <c r="D3973" s="13" t="s">
        <v>8465</v>
      </c>
      <c r="E3973" s="10" t="s">
        <v>4866</v>
      </c>
      <c r="F3973" s="10" t="s">
        <v>4866</v>
      </c>
      <c r="G3973" s="11" t="s">
        <v>4867</v>
      </c>
      <c r="H3973" s="2" t="s">
        <v>56</v>
      </c>
      <c r="L3973" s="18">
        <v>1</v>
      </c>
      <c r="N3973" s="13">
        <v>41535</v>
      </c>
      <c r="P3973" s="18" t="s">
        <v>1107</v>
      </c>
      <c r="Q3973" s="18">
        <v>0</v>
      </c>
      <c r="U3973" s="22">
        <v>0.73</v>
      </c>
      <c r="V3973" s="22">
        <f>3.29/5</f>
        <v>0.65800000000000003</v>
      </c>
      <c r="W3973" s="14" t="s">
        <v>7777</v>
      </c>
      <c r="X3973" s="3">
        <v>3</v>
      </c>
      <c r="Z3973" s="23">
        <v>3.5</v>
      </c>
      <c r="AB3973" s="18">
        <f t="shared" si="124"/>
        <v>2012</v>
      </c>
      <c r="AC3973" s="22">
        <f t="shared" si="125"/>
        <v>0.66266666666666663</v>
      </c>
    </row>
    <row r="3974" spans="1:29">
      <c r="A3974" s="8" t="s">
        <v>7119</v>
      </c>
      <c r="B3974" s="17" t="s">
        <v>7800</v>
      </c>
      <c r="C3974" s="13">
        <v>41194</v>
      </c>
      <c r="D3974" s="13" t="s">
        <v>8465</v>
      </c>
      <c r="E3974" s="10" t="s">
        <v>7207</v>
      </c>
      <c r="F3974" s="10" t="s">
        <v>7207</v>
      </c>
      <c r="H3974" s="2" t="s">
        <v>1061</v>
      </c>
      <c r="L3974" s="18">
        <v>0</v>
      </c>
      <c r="Q3974" s="18">
        <v>0</v>
      </c>
      <c r="V3974" s="22">
        <f>3.13/5</f>
        <v>0.626</v>
      </c>
      <c r="W3974" s="14" t="s">
        <v>5674</v>
      </c>
      <c r="X3974" s="3">
        <v>3</v>
      </c>
      <c r="Z3974" s="23">
        <v>0.73</v>
      </c>
      <c r="AB3974" s="18">
        <f t="shared" si="124"/>
        <v>2012</v>
      </c>
      <c r="AC3974" s="22">
        <f t="shared" si="125"/>
        <v>0.61299999999999999</v>
      </c>
    </row>
    <row r="3975" spans="1:29">
      <c r="A3975" s="8" t="s">
        <v>7284</v>
      </c>
      <c r="B3975" s="17" t="s">
        <v>7783</v>
      </c>
      <c r="C3975" s="13">
        <v>41193</v>
      </c>
      <c r="D3975" s="13" t="s">
        <v>8465</v>
      </c>
      <c r="E3975" s="10" t="s">
        <v>7285</v>
      </c>
      <c r="F3975" s="10" t="s">
        <v>7285</v>
      </c>
      <c r="H3975" s="2" t="s">
        <v>69</v>
      </c>
      <c r="L3975" s="18">
        <v>1</v>
      </c>
      <c r="N3975" s="13">
        <v>41586</v>
      </c>
      <c r="O3975" s="29">
        <v>0</v>
      </c>
      <c r="P3975" s="18" t="s">
        <v>1107</v>
      </c>
      <c r="Q3975" s="18">
        <v>0</v>
      </c>
      <c r="U3975" s="22">
        <v>0.86</v>
      </c>
      <c r="V3975" s="22">
        <f>3.83/5</f>
        <v>0.76600000000000001</v>
      </c>
      <c r="X3975" s="3">
        <v>3</v>
      </c>
      <c r="Z3975" s="23">
        <v>4</v>
      </c>
      <c r="AB3975" s="18">
        <f t="shared" si="124"/>
        <v>2012</v>
      </c>
      <c r="AC3975" s="22">
        <f t="shared" si="125"/>
        <v>0.74199999999999999</v>
      </c>
    </row>
    <row r="3976" spans="1:29">
      <c r="A3976" s="8" t="s">
        <v>4582</v>
      </c>
      <c r="B3976" s="17" t="s">
        <v>7800</v>
      </c>
      <c r="C3976" s="13">
        <v>41193</v>
      </c>
      <c r="D3976" s="13" t="s">
        <v>8465</v>
      </c>
      <c r="E3976" s="10" t="s">
        <v>3493</v>
      </c>
      <c r="F3976" s="10" t="s">
        <v>3959</v>
      </c>
      <c r="G3976" s="11" t="s">
        <v>4582</v>
      </c>
      <c r="H3976" s="2" t="s">
        <v>171</v>
      </c>
      <c r="L3976" s="18">
        <v>1</v>
      </c>
      <c r="N3976" s="13">
        <v>42129</v>
      </c>
      <c r="P3976" s="18" t="s">
        <v>1107</v>
      </c>
      <c r="Q3976" s="18">
        <v>0</v>
      </c>
      <c r="U3976" s="22">
        <v>0.75</v>
      </c>
      <c r="V3976" s="22">
        <f>3.18/5</f>
        <v>0.63600000000000001</v>
      </c>
      <c r="W3976" s="14" t="s">
        <v>7777</v>
      </c>
      <c r="X3976" s="3">
        <v>3</v>
      </c>
      <c r="Z3976" s="23">
        <v>12.5</v>
      </c>
      <c r="AB3976" s="18">
        <f t="shared" si="124"/>
        <v>2012</v>
      </c>
      <c r="AC3976" s="22">
        <f t="shared" si="125"/>
        <v>0.66200000000000003</v>
      </c>
    </row>
    <row r="3977" spans="1:29" ht="25.5">
      <c r="A3977" s="8" t="s">
        <v>5593</v>
      </c>
      <c r="B3977" s="17" t="s">
        <v>7800</v>
      </c>
      <c r="C3977" s="13">
        <v>41191</v>
      </c>
      <c r="D3977" s="13" t="s">
        <v>8465</v>
      </c>
      <c r="E3977" s="10" t="s">
        <v>3310</v>
      </c>
      <c r="F3977" s="10" t="s">
        <v>4993</v>
      </c>
      <c r="G3977" s="11" t="s">
        <v>5594</v>
      </c>
      <c r="H3977" s="2" t="s">
        <v>3937</v>
      </c>
      <c r="L3977" s="18">
        <v>1</v>
      </c>
      <c r="N3977" s="13">
        <v>41361</v>
      </c>
      <c r="O3977" s="29">
        <v>0</v>
      </c>
      <c r="P3977" s="18" t="s">
        <v>1107</v>
      </c>
      <c r="Q3977" s="18">
        <v>0</v>
      </c>
      <c r="U3977" s="22">
        <v>0.89</v>
      </c>
      <c r="V3977" s="22">
        <f>4.15/5</f>
        <v>0.83000000000000007</v>
      </c>
      <c r="W3977" s="14" t="s">
        <v>7777</v>
      </c>
      <c r="X3977" s="3">
        <v>4</v>
      </c>
      <c r="Z3977" s="23">
        <v>26</v>
      </c>
      <c r="AB3977" s="18">
        <f t="shared" si="124"/>
        <v>2012</v>
      </c>
      <c r="AC3977" s="22">
        <f t="shared" si="125"/>
        <v>0.84000000000000019</v>
      </c>
    </row>
    <row r="3978" spans="1:29">
      <c r="A3978" s="8" t="s">
        <v>4817</v>
      </c>
      <c r="B3978" s="17" t="s">
        <v>7759</v>
      </c>
      <c r="C3978" s="13">
        <v>41191</v>
      </c>
      <c r="D3978" s="13" t="s">
        <v>8465</v>
      </c>
      <c r="E3978" s="10" t="s">
        <v>4818</v>
      </c>
      <c r="F3978" s="10" t="s">
        <v>4818</v>
      </c>
      <c r="G3978" s="11" t="s">
        <v>4819</v>
      </c>
      <c r="H3978" s="2" t="s">
        <v>80</v>
      </c>
      <c r="L3978" s="18">
        <v>1</v>
      </c>
      <c r="M3978" s="14" t="s">
        <v>8462</v>
      </c>
      <c r="N3978" s="13">
        <v>44832</v>
      </c>
      <c r="O3978" s="29">
        <v>27.57</v>
      </c>
      <c r="P3978" s="18" t="s">
        <v>14</v>
      </c>
      <c r="Q3978" s="18">
        <v>0</v>
      </c>
      <c r="V3978" s="22">
        <f>3.67/5</f>
        <v>0.73399999999999999</v>
      </c>
      <c r="X3978" s="3">
        <v>3</v>
      </c>
      <c r="Z3978" s="23">
        <v>5.5</v>
      </c>
      <c r="AB3978" s="18">
        <f t="shared" si="124"/>
        <v>2012</v>
      </c>
      <c r="AC3978" s="22">
        <f t="shared" si="125"/>
        <v>0.66700000000000004</v>
      </c>
    </row>
    <row r="3979" spans="1:29">
      <c r="A3979" s="8" t="s">
        <v>14580</v>
      </c>
      <c r="B3979" s="17" t="s">
        <v>7765</v>
      </c>
      <c r="C3979" s="13">
        <v>41191</v>
      </c>
      <c r="D3979" s="13" t="s">
        <v>8465</v>
      </c>
      <c r="E3979" s="10" t="s">
        <v>3116</v>
      </c>
      <c r="F3979" s="10" t="s">
        <v>3856</v>
      </c>
      <c r="G3979" s="11" t="s">
        <v>3857</v>
      </c>
      <c r="H3979" s="2" t="s">
        <v>171</v>
      </c>
      <c r="L3979" s="18">
        <v>0</v>
      </c>
      <c r="Q3979" s="18">
        <v>0</v>
      </c>
      <c r="U3979" s="22">
        <v>0.61</v>
      </c>
      <c r="V3979" s="22">
        <f>2.84/5</f>
        <v>0.56799999999999995</v>
      </c>
      <c r="X3979" s="3">
        <v>2</v>
      </c>
      <c r="Y3979" s="18">
        <v>1</v>
      </c>
      <c r="Z3979" s="23">
        <v>9</v>
      </c>
      <c r="AB3979" s="18">
        <f t="shared" si="124"/>
        <v>2012</v>
      </c>
      <c r="AC3979" s="22">
        <f t="shared" si="125"/>
        <v>0.52599999999999991</v>
      </c>
    </row>
    <row r="3980" spans="1:29" ht="25.5">
      <c r="A3980" s="8" t="s">
        <v>14579</v>
      </c>
      <c r="B3980" s="17" t="s">
        <v>7765</v>
      </c>
      <c r="C3980" s="13">
        <v>41191</v>
      </c>
      <c r="D3980" s="13" t="s">
        <v>8465</v>
      </c>
      <c r="E3980" s="10" t="s">
        <v>1509</v>
      </c>
      <c r="F3980" s="10" t="s">
        <v>2452</v>
      </c>
      <c r="G3980" s="11" t="s">
        <v>11042</v>
      </c>
      <c r="H3980" s="2" t="s">
        <v>459</v>
      </c>
      <c r="L3980" s="18">
        <v>0</v>
      </c>
      <c r="Q3980" s="18">
        <v>0</v>
      </c>
      <c r="U3980" s="22">
        <v>0.49</v>
      </c>
      <c r="V3980" s="22">
        <f>2.23/5</f>
        <v>0.44600000000000001</v>
      </c>
      <c r="X3980" s="3">
        <v>2</v>
      </c>
      <c r="Y3980" s="18">
        <v>1</v>
      </c>
      <c r="Z3980" s="23">
        <v>4</v>
      </c>
      <c r="AB3980" s="18">
        <f t="shared" si="124"/>
        <v>2012</v>
      </c>
      <c r="AC3980" s="22">
        <f t="shared" si="125"/>
        <v>0.4453333333333333</v>
      </c>
    </row>
    <row r="3981" spans="1:29" ht="25.5">
      <c r="A3981" s="8" t="s">
        <v>13855</v>
      </c>
      <c r="B3981" s="17" t="s">
        <v>7759</v>
      </c>
      <c r="C3981" s="13">
        <v>41190</v>
      </c>
      <c r="D3981" s="13" t="s">
        <v>8465</v>
      </c>
      <c r="E3981" s="10" t="s">
        <v>1571</v>
      </c>
      <c r="F3981" s="10" t="s">
        <v>6045</v>
      </c>
      <c r="G3981" s="11" t="s">
        <v>13853</v>
      </c>
      <c r="H3981" s="2" t="s">
        <v>80</v>
      </c>
      <c r="L3981" s="18">
        <v>0</v>
      </c>
      <c r="Q3981" s="18">
        <v>0</v>
      </c>
      <c r="U3981" s="22">
        <v>0.44</v>
      </c>
      <c r="V3981" s="22">
        <f>3.13/5</f>
        <v>0.626</v>
      </c>
      <c r="X3981" s="3">
        <v>2</v>
      </c>
      <c r="Y3981" s="18">
        <v>1</v>
      </c>
      <c r="AB3981" s="18">
        <f t="shared" si="124"/>
        <v>2012</v>
      </c>
      <c r="AC3981" s="22">
        <f t="shared" si="125"/>
        <v>0.48866666666666675</v>
      </c>
    </row>
    <row r="3982" spans="1:29">
      <c r="A3982" s="8" t="s">
        <v>2345</v>
      </c>
      <c r="B3982" s="17" t="s">
        <v>7748</v>
      </c>
      <c r="C3982" s="13">
        <v>41189</v>
      </c>
      <c r="D3982" s="13" t="s">
        <v>8465</v>
      </c>
      <c r="E3982" s="10" t="s">
        <v>86</v>
      </c>
      <c r="F3982" s="10" t="s">
        <v>1354</v>
      </c>
      <c r="G3982" s="11" t="s">
        <v>1470</v>
      </c>
      <c r="H3982" s="2" t="s">
        <v>149</v>
      </c>
      <c r="L3982" s="18">
        <v>0</v>
      </c>
      <c r="Q3982" s="18">
        <v>0</v>
      </c>
      <c r="U3982" s="22">
        <v>0.81</v>
      </c>
      <c r="V3982" s="22">
        <f>4.27/5</f>
        <v>0.85399999999999987</v>
      </c>
      <c r="X3982" s="3">
        <v>4</v>
      </c>
      <c r="Z3982" s="23">
        <v>34.5</v>
      </c>
      <c r="AB3982" s="18">
        <f t="shared" si="124"/>
        <v>2012</v>
      </c>
      <c r="AC3982" s="22">
        <f t="shared" si="125"/>
        <v>0.82133333333333336</v>
      </c>
    </row>
    <row r="3983" spans="1:29">
      <c r="A3983" s="8" t="s">
        <v>3495</v>
      </c>
      <c r="B3983" s="17" t="s">
        <v>7800</v>
      </c>
      <c r="C3983" s="13">
        <v>41187</v>
      </c>
      <c r="D3983" s="13" t="s">
        <v>8465</v>
      </c>
      <c r="E3983" s="10" t="s">
        <v>3496</v>
      </c>
      <c r="F3983" s="10" t="s">
        <v>3496</v>
      </c>
      <c r="G3983" s="11" t="s">
        <v>3495</v>
      </c>
      <c r="H3983" s="2" t="s">
        <v>1334</v>
      </c>
      <c r="L3983" s="18">
        <v>1</v>
      </c>
      <c r="N3983" s="13">
        <v>41838</v>
      </c>
      <c r="P3983" s="18" t="s">
        <v>1107</v>
      </c>
      <c r="Q3983" s="18">
        <v>0</v>
      </c>
      <c r="U3983" s="22">
        <v>0.56999999999999995</v>
      </c>
      <c r="V3983" s="22">
        <f>3.82/5</f>
        <v>0.76400000000000001</v>
      </c>
      <c r="W3983" s="14" t="s">
        <v>7777</v>
      </c>
      <c r="X3983" s="3">
        <v>2</v>
      </c>
      <c r="Z3983" s="23">
        <v>18.5</v>
      </c>
      <c r="AB3983" s="18">
        <f t="shared" si="124"/>
        <v>2012</v>
      </c>
      <c r="AC3983" s="22">
        <f t="shared" si="125"/>
        <v>0.57799999999999996</v>
      </c>
    </row>
    <row r="3984" spans="1:29" ht="30">
      <c r="A3984" s="8" t="s">
        <v>8839</v>
      </c>
      <c r="B3984" s="17" t="s">
        <v>7762</v>
      </c>
      <c r="C3984" s="13">
        <v>41186</v>
      </c>
      <c r="D3984" s="13" t="s">
        <v>8463</v>
      </c>
      <c r="E3984" s="10" t="s">
        <v>6037</v>
      </c>
      <c r="F3984" s="10" t="s">
        <v>6037</v>
      </c>
      <c r="H3984" s="2" t="s">
        <v>149</v>
      </c>
      <c r="K3984" s="18">
        <v>1</v>
      </c>
      <c r="L3984" s="18">
        <v>0</v>
      </c>
      <c r="Q3984" s="18">
        <v>0</v>
      </c>
      <c r="V3984" s="22">
        <f>3.95/5</f>
        <v>0.79</v>
      </c>
      <c r="X3984" s="3">
        <v>3</v>
      </c>
      <c r="Z3984" s="23">
        <v>23</v>
      </c>
      <c r="AB3984" s="18">
        <f t="shared" si="124"/>
        <v>2012</v>
      </c>
      <c r="AC3984" s="22">
        <f t="shared" si="125"/>
        <v>0.69500000000000006</v>
      </c>
    </row>
    <row r="3985" spans="1:29">
      <c r="A3985" s="8" t="s">
        <v>4539</v>
      </c>
      <c r="B3985" s="17" t="s">
        <v>7800</v>
      </c>
      <c r="C3985" s="13">
        <v>41184</v>
      </c>
      <c r="D3985" s="13" t="s">
        <v>8465</v>
      </c>
      <c r="E3985" s="10" t="s">
        <v>455</v>
      </c>
      <c r="F3985" s="10" t="s">
        <v>1492</v>
      </c>
      <c r="G3985" s="11" t="s">
        <v>1522</v>
      </c>
      <c r="H3985" s="2" t="s">
        <v>143</v>
      </c>
      <c r="L3985" s="18">
        <v>1</v>
      </c>
      <c r="N3985" s="13">
        <v>41968</v>
      </c>
      <c r="P3985" s="18" t="s">
        <v>1107</v>
      </c>
      <c r="Q3985" s="18">
        <v>0</v>
      </c>
      <c r="U3985" s="22">
        <v>0.8</v>
      </c>
      <c r="V3985" s="22">
        <f>3.84/5</f>
        <v>0.76800000000000002</v>
      </c>
      <c r="W3985" s="14" t="s">
        <v>7777</v>
      </c>
      <c r="X3985" s="3">
        <v>3</v>
      </c>
      <c r="Z3985" s="23">
        <v>2.5</v>
      </c>
      <c r="AB3985" s="18">
        <f t="shared" si="124"/>
        <v>2012</v>
      </c>
      <c r="AC3985" s="22">
        <f t="shared" si="125"/>
        <v>0.72266666666666668</v>
      </c>
    </row>
    <row r="3986" spans="1:29">
      <c r="A3986" s="8" t="s">
        <v>5066</v>
      </c>
      <c r="B3986" s="17" t="s">
        <v>7800</v>
      </c>
      <c r="C3986" s="13">
        <v>41184</v>
      </c>
      <c r="D3986" s="13" t="s">
        <v>8465</v>
      </c>
      <c r="E3986" s="10" t="s">
        <v>455</v>
      </c>
      <c r="F3986" s="10" t="s">
        <v>1492</v>
      </c>
      <c r="G3986" s="11" t="s">
        <v>1688</v>
      </c>
      <c r="H3986" s="2" t="s">
        <v>1040</v>
      </c>
      <c r="L3986" s="18">
        <v>1</v>
      </c>
      <c r="N3986" s="13">
        <v>41765</v>
      </c>
      <c r="P3986" s="18" t="s">
        <v>1107</v>
      </c>
      <c r="Q3986" s="18">
        <v>0</v>
      </c>
      <c r="V3986" s="22">
        <f>3.79/5</f>
        <v>0.75800000000000001</v>
      </c>
      <c r="W3986" s="14" t="s">
        <v>7777</v>
      </c>
      <c r="X3986" s="3">
        <v>3</v>
      </c>
      <c r="Z3986" s="23">
        <v>10</v>
      </c>
      <c r="AB3986" s="18">
        <f t="shared" si="124"/>
        <v>2012</v>
      </c>
      <c r="AC3986" s="22">
        <f t="shared" si="125"/>
        <v>0.67900000000000005</v>
      </c>
    </row>
    <row r="3987" spans="1:29">
      <c r="A3987" s="8" t="s">
        <v>3317</v>
      </c>
      <c r="B3987" s="17" t="s">
        <v>7800</v>
      </c>
      <c r="C3987" s="13">
        <v>41184</v>
      </c>
      <c r="D3987" s="13" t="s">
        <v>8465</v>
      </c>
      <c r="E3987" s="10" t="s">
        <v>2471</v>
      </c>
      <c r="F3987" s="10" t="s">
        <v>2471</v>
      </c>
      <c r="G3987" s="11" t="s">
        <v>1653</v>
      </c>
      <c r="H3987" s="2" t="s">
        <v>1220</v>
      </c>
      <c r="L3987" s="18">
        <v>1</v>
      </c>
      <c r="N3987" s="13">
        <v>41974</v>
      </c>
      <c r="O3987" s="29">
        <v>0.99</v>
      </c>
      <c r="P3987" s="18" t="s">
        <v>1107</v>
      </c>
      <c r="Q3987" s="18">
        <v>0</v>
      </c>
      <c r="V3987" s="22">
        <f>3.37/5</f>
        <v>0.67400000000000004</v>
      </c>
      <c r="W3987" s="14" t="s">
        <v>7777</v>
      </c>
      <c r="X3987" s="3">
        <v>2</v>
      </c>
      <c r="Z3987" s="23">
        <v>1.5</v>
      </c>
      <c r="AB3987" s="18">
        <f t="shared" si="124"/>
        <v>2012</v>
      </c>
      <c r="AC3987" s="22">
        <f t="shared" si="125"/>
        <v>0.53700000000000003</v>
      </c>
    </row>
    <row r="3988" spans="1:29" ht="25.5">
      <c r="A3988" s="8" t="s">
        <v>11094</v>
      </c>
      <c r="B3988" s="17" t="s">
        <v>7741</v>
      </c>
      <c r="C3988" s="13">
        <v>41180</v>
      </c>
      <c r="D3988" s="13" t="s">
        <v>8467</v>
      </c>
      <c r="E3988" s="10" t="s">
        <v>86</v>
      </c>
      <c r="F3988" s="10" t="s">
        <v>2129</v>
      </c>
      <c r="G3988" s="11" t="s">
        <v>2181</v>
      </c>
      <c r="H3988" s="2" t="s">
        <v>255</v>
      </c>
      <c r="L3988" s="18">
        <v>0</v>
      </c>
      <c r="Q3988" s="18">
        <v>0</v>
      </c>
      <c r="U3988" s="22">
        <v>0.59</v>
      </c>
      <c r="V3988" s="22">
        <f>4.11/5</f>
        <v>0.82200000000000006</v>
      </c>
      <c r="X3988" s="3">
        <v>3</v>
      </c>
      <c r="Z3988" s="23">
        <v>6</v>
      </c>
      <c r="AB3988" s="18">
        <f t="shared" si="124"/>
        <v>2012</v>
      </c>
      <c r="AC3988" s="22">
        <f t="shared" si="125"/>
        <v>0.67066666666666663</v>
      </c>
    </row>
    <row r="3989" spans="1:29" ht="30">
      <c r="A3989" s="8" t="s">
        <v>8905</v>
      </c>
      <c r="B3989" s="17" t="s">
        <v>7762</v>
      </c>
      <c r="C3989" s="13">
        <v>41179</v>
      </c>
      <c r="D3989" s="13" t="s">
        <v>8463</v>
      </c>
      <c r="E3989" s="10" t="s">
        <v>1509</v>
      </c>
      <c r="F3989" s="10" t="s">
        <v>1509</v>
      </c>
      <c r="G3989" s="11" t="s">
        <v>1395</v>
      </c>
      <c r="H3989" s="2" t="s">
        <v>75</v>
      </c>
      <c r="K3989" s="18">
        <v>2</v>
      </c>
      <c r="L3989" s="18">
        <v>0</v>
      </c>
      <c r="Q3989" s="18">
        <v>0</v>
      </c>
      <c r="V3989" s="22">
        <f>4.24/5</f>
        <v>0.84800000000000009</v>
      </c>
      <c r="X3989" s="3">
        <v>3</v>
      </c>
      <c r="Z3989" s="23">
        <v>74</v>
      </c>
      <c r="AB3989" s="18">
        <f t="shared" si="124"/>
        <v>2012</v>
      </c>
      <c r="AC3989" s="22">
        <f t="shared" si="125"/>
        <v>0.72399999999999998</v>
      </c>
    </row>
    <row r="3990" spans="1:29" ht="25.5">
      <c r="A3990" s="8" t="s">
        <v>11230</v>
      </c>
      <c r="B3990" s="17" t="s">
        <v>7749</v>
      </c>
      <c r="C3990" s="13">
        <v>41179</v>
      </c>
      <c r="D3990" s="13" t="s">
        <v>8465</v>
      </c>
      <c r="E3990" s="10" t="s">
        <v>1490</v>
      </c>
      <c r="F3990" s="10" t="s">
        <v>1490</v>
      </c>
      <c r="G3990" s="11" t="s">
        <v>11231</v>
      </c>
      <c r="H3990" s="2" t="s">
        <v>149</v>
      </c>
      <c r="L3990" s="18">
        <v>1</v>
      </c>
      <c r="N3990" s="13">
        <v>44624</v>
      </c>
      <c r="O3990" s="29">
        <v>9.99</v>
      </c>
      <c r="P3990" s="18" t="s">
        <v>1107</v>
      </c>
      <c r="Q3990" s="18">
        <v>0</v>
      </c>
      <c r="U3990" s="22">
        <v>0.78</v>
      </c>
      <c r="V3990" s="22">
        <f>3.98/5</f>
        <v>0.79600000000000004</v>
      </c>
      <c r="X3990" s="3">
        <v>3</v>
      </c>
      <c r="Z3990" s="23">
        <v>15</v>
      </c>
      <c r="AB3990" s="18">
        <f t="shared" si="124"/>
        <v>2012</v>
      </c>
      <c r="AC3990" s="22">
        <f t="shared" si="125"/>
        <v>0.72533333333333339</v>
      </c>
    </row>
    <row r="3991" spans="1:29" ht="38.25">
      <c r="A3991" s="8" t="s">
        <v>4065</v>
      </c>
      <c r="B3991" s="17" t="s">
        <v>7800</v>
      </c>
      <c r="C3991" s="13">
        <v>41179</v>
      </c>
      <c r="D3991" s="13" t="s">
        <v>8465</v>
      </c>
      <c r="E3991" s="10" t="s">
        <v>1534</v>
      </c>
      <c r="F3991" s="10" t="s">
        <v>1953</v>
      </c>
      <c r="G3991" s="11" t="s">
        <v>4066</v>
      </c>
      <c r="H3991" s="2" t="s">
        <v>171</v>
      </c>
      <c r="L3991" s="18">
        <v>1</v>
      </c>
      <c r="N3991" s="13">
        <v>41309</v>
      </c>
      <c r="O3991" s="29">
        <v>3.39</v>
      </c>
      <c r="P3991" s="18" t="s">
        <v>1107</v>
      </c>
      <c r="Q3991" s="18">
        <v>0</v>
      </c>
      <c r="U3991" s="22">
        <v>0.77</v>
      </c>
      <c r="V3991" s="22">
        <f>3.82/5</f>
        <v>0.76400000000000001</v>
      </c>
      <c r="W3991" s="14" t="s">
        <v>7777</v>
      </c>
      <c r="X3991" s="3">
        <v>3</v>
      </c>
      <c r="Z3991" s="23">
        <v>4</v>
      </c>
      <c r="AB3991" s="18">
        <f t="shared" si="124"/>
        <v>2012</v>
      </c>
      <c r="AC3991" s="22">
        <f t="shared" si="125"/>
        <v>0.71133333333333326</v>
      </c>
    </row>
    <row r="3992" spans="1:29">
      <c r="A3992" s="8" t="s">
        <v>3415</v>
      </c>
      <c r="B3992" s="17" t="s">
        <v>7800</v>
      </c>
      <c r="C3992" s="13">
        <v>41178</v>
      </c>
      <c r="D3992" s="13" t="s">
        <v>8465</v>
      </c>
      <c r="E3992" s="10" t="s">
        <v>3275</v>
      </c>
      <c r="F3992" s="10" t="s">
        <v>3275</v>
      </c>
      <c r="H3992" s="2" t="s">
        <v>153</v>
      </c>
      <c r="L3992" s="18">
        <v>1</v>
      </c>
      <c r="N3992" s="13">
        <v>41813</v>
      </c>
      <c r="O3992" s="29">
        <v>0.53</v>
      </c>
      <c r="P3992" s="18" t="s">
        <v>1107</v>
      </c>
      <c r="Q3992" s="18">
        <v>0</v>
      </c>
      <c r="V3992" s="22">
        <f>3.72/5</f>
        <v>0.74399999999999999</v>
      </c>
      <c r="W3992" s="14" t="s">
        <v>7777</v>
      </c>
      <c r="X3992" s="3">
        <v>2</v>
      </c>
      <c r="Z3992" s="23">
        <v>7</v>
      </c>
      <c r="AB3992" s="18">
        <f t="shared" si="124"/>
        <v>2012</v>
      </c>
      <c r="AC3992" s="22">
        <f t="shared" si="125"/>
        <v>0.57200000000000006</v>
      </c>
    </row>
    <row r="3993" spans="1:29" ht="30">
      <c r="A3993" s="8" t="s">
        <v>6279</v>
      </c>
      <c r="B3993" s="17" t="s">
        <v>7763</v>
      </c>
      <c r="C3993" s="13">
        <v>41177</v>
      </c>
      <c r="D3993" s="13" t="s">
        <v>8465</v>
      </c>
      <c r="E3993" s="10" t="s">
        <v>2908</v>
      </c>
      <c r="F3993" s="10" t="s">
        <v>4709</v>
      </c>
      <c r="G3993" s="11" t="s">
        <v>5962</v>
      </c>
      <c r="H3993" s="2" t="s">
        <v>27</v>
      </c>
      <c r="L3993" s="18">
        <v>1</v>
      </c>
      <c r="M3993" s="14" t="s">
        <v>8462</v>
      </c>
      <c r="N3993" s="13">
        <v>43598</v>
      </c>
      <c r="O3993" s="29">
        <v>11.49</v>
      </c>
      <c r="P3993" s="18" t="s">
        <v>14</v>
      </c>
      <c r="Q3993" s="18">
        <v>0</v>
      </c>
      <c r="U3993" s="22">
        <v>0.89</v>
      </c>
      <c r="V3993" s="22">
        <f>3.92/5</f>
        <v>0.78400000000000003</v>
      </c>
      <c r="X3993" s="3">
        <v>3</v>
      </c>
      <c r="Z3993" s="23">
        <v>7</v>
      </c>
      <c r="AB3993" s="18">
        <f t="shared" si="124"/>
        <v>2012</v>
      </c>
      <c r="AC3993" s="22">
        <f t="shared" si="125"/>
        <v>0.75800000000000001</v>
      </c>
    </row>
    <row r="3994" spans="1:29">
      <c r="A3994" s="8" t="s">
        <v>11476</v>
      </c>
      <c r="B3994" s="17" t="s">
        <v>7749</v>
      </c>
      <c r="C3994" s="13">
        <v>41177</v>
      </c>
      <c r="D3994" s="13" t="s">
        <v>8465</v>
      </c>
      <c r="E3994" s="10" t="s">
        <v>1733</v>
      </c>
      <c r="F3994" s="10" t="s">
        <v>1733</v>
      </c>
      <c r="G3994" s="11" t="s">
        <v>11289</v>
      </c>
      <c r="H3994" s="2" t="s">
        <v>78</v>
      </c>
      <c r="L3994" s="18">
        <v>1</v>
      </c>
      <c r="N3994" s="13">
        <v>44644</v>
      </c>
      <c r="O3994" s="29">
        <v>1.99</v>
      </c>
      <c r="P3994" s="18" t="s">
        <v>1107</v>
      </c>
      <c r="Q3994" s="18">
        <v>0</v>
      </c>
      <c r="U3994" s="22">
        <v>0.82</v>
      </c>
      <c r="V3994" s="22">
        <f>3.68/5</f>
        <v>0.73599999999999999</v>
      </c>
      <c r="X3994" s="3">
        <v>3</v>
      </c>
      <c r="Z3994" s="23">
        <v>8</v>
      </c>
      <c r="AB3994" s="18">
        <f t="shared" si="124"/>
        <v>2012</v>
      </c>
      <c r="AC3994" s="22">
        <f t="shared" si="125"/>
        <v>0.71866666666666668</v>
      </c>
    </row>
    <row r="3995" spans="1:29" ht="30">
      <c r="A3995" s="8" t="s">
        <v>6065</v>
      </c>
      <c r="B3995" s="17" t="s">
        <v>7759</v>
      </c>
      <c r="C3995" s="13">
        <v>41177</v>
      </c>
      <c r="D3995" s="13" t="s">
        <v>8465</v>
      </c>
      <c r="E3995" s="10" t="s">
        <v>2908</v>
      </c>
      <c r="F3995" s="10" t="s">
        <v>6066</v>
      </c>
      <c r="G3995" s="11" t="s">
        <v>6065</v>
      </c>
      <c r="H3995" s="2" t="s">
        <v>143</v>
      </c>
      <c r="L3995" s="18">
        <v>1</v>
      </c>
      <c r="N3995" s="13">
        <v>42293</v>
      </c>
      <c r="O3995" s="29">
        <v>2.25</v>
      </c>
      <c r="P3995" s="18" t="s">
        <v>1107</v>
      </c>
      <c r="Q3995" s="18">
        <v>0</v>
      </c>
      <c r="U3995" s="22">
        <v>0.74</v>
      </c>
      <c r="V3995" s="22">
        <f>3.82/5</f>
        <v>0.76400000000000001</v>
      </c>
      <c r="X3995" s="3">
        <v>3</v>
      </c>
      <c r="Z3995" s="23">
        <v>15.5</v>
      </c>
      <c r="AB3995" s="18">
        <f t="shared" si="124"/>
        <v>2012</v>
      </c>
      <c r="AC3995" s="22">
        <f t="shared" si="125"/>
        <v>0.70133333333333336</v>
      </c>
    </row>
    <row r="3996" spans="1:29" ht="25.5">
      <c r="A3996" s="8" t="s">
        <v>8322</v>
      </c>
      <c r="B3996" s="17" t="s">
        <v>7800</v>
      </c>
      <c r="C3996" s="13">
        <v>41177</v>
      </c>
      <c r="D3996" s="13" t="s">
        <v>8465</v>
      </c>
      <c r="E3996" s="10" t="s">
        <v>6174</v>
      </c>
      <c r="F3996" s="10" t="s">
        <v>6174</v>
      </c>
      <c r="G3996" s="11" t="s">
        <v>8255</v>
      </c>
      <c r="H3996" s="2" t="s">
        <v>67</v>
      </c>
      <c r="L3996" s="18">
        <v>1</v>
      </c>
      <c r="N3996" s="13">
        <v>43860</v>
      </c>
      <c r="O3996" s="29">
        <v>0</v>
      </c>
      <c r="P3996" s="18" t="s">
        <v>1107</v>
      </c>
      <c r="Q3996" s="18">
        <v>0</v>
      </c>
      <c r="U3996" s="22">
        <v>0.73</v>
      </c>
      <c r="V3996" s="22">
        <f>3.53/5</f>
        <v>0.70599999999999996</v>
      </c>
      <c r="W3996" s="14" t="s">
        <v>7777</v>
      </c>
      <c r="X3996" s="3">
        <v>3</v>
      </c>
      <c r="Z3996" s="23">
        <v>12</v>
      </c>
      <c r="AB3996" s="18">
        <f t="shared" si="124"/>
        <v>2012</v>
      </c>
      <c r="AC3996" s="22">
        <f t="shared" si="125"/>
        <v>0.67866666666666664</v>
      </c>
    </row>
    <row r="3997" spans="1:29" ht="25.5">
      <c r="A3997" s="8" t="s">
        <v>10226</v>
      </c>
      <c r="B3997" s="17" t="s">
        <v>7759</v>
      </c>
      <c r="C3997" s="13">
        <v>41177</v>
      </c>
      <c r="D3997" s="13" t="s">
        <v>8465</v>
      </c>
      <c r="E3997" s="10" t="s">
        <v>3568</v>
      </c>
      <c r="F3997" s="10" t="s">
        <v>1471</v>
      </c>
      <c r="G3997" s="11" t="s">
        <v>9669</v>
      </c>
      <c r="H3997" s="2" t="s">
        <v>1059</v>
      </c>
      <c r="L3997" s="18">
        <v>0</v>
      </c>
      <c r="Q3997" s="18">
        <v>0</v>
      </c>
      <c r="U3997" s="22">
        <v>0.64</v>
      </c>
      <c r="V3997" s="22">
        <f>3.98/5</f>
        <v>0.79600000000000004</v>
      </c>
      <c r="X3997" s="3">
        <v>3</v>
      </c>
      <c r="Y3997" s="18">
        <v>1</v>
      </c>
      <c r="Z3997" s="23">
        <v>9</v>
      </c>
      <c r="AB3997" s="18">
        <f t="shared" si="124"/>
        <v>2012</v>
      </c>
      <c r="AC3997" s="22">
        <f t="shared" si="125"/>
        <v>0.67866666666666664</v>
      </c>
    </row>
    <row r="3998" spans="1:29">
      <c r="A3998" s="8" t="s">
        <v>11075</v>
      </c>
      <c r="B3998" s="17" t="s">
        <v>7759</v>
      </c>
      <c r="C3998" s="13">
        <v>41177</v>
      </c>
      <c r="D3998" s="13" t="s">
        <v>8465</v>
      </c>
      <c r="E3998" s="10" t="s">
        <v>2335</v>
      </c>
      <c r="F3998" s="10" t="s">
        <v>1136</v>
      </c>
      <c r="G3998" s="11" t="s">
        <v>10281</v>
      </c>
      <c r="H3998" s="2" t="s">
        <v>459</v>
      </c>
      <c r="L3998" s="18">
        <v>0</v>
      </c>
      <c r="Q3998" s="18">
        <v>0</v>
      </c>
      <c r="U3998" s="22">
        <v>0.74</v>
      </c>
      <c r="V3998" s="22">
        <f>3.9/5</f>
        <v>0.78</v>
      </c>
      <c r="X3998" s="3">
        <v>2</v>
      </c>
      <c r="Z3998" s="23">
        <v>3.5</v>
      </c>
      <c r="AB3998" s="18">
        <f t="shared" si="124"/>
        <v>2012</v>
      </c>
      <c r="AC3998" s="22">
        <f t="shared" si="125"/>
        <v>0.64</v>
      </c>
    </row>
    <row r="3999" spans="1:29">
      <c r="A3999" s="8" t="s">
        <v>10679</v>
      </c>
      <c r="B3999" s="17" t="s">
        <v>7800</v>
      </c>
      <c r="C3999" s="13">
        <v>41176</v>
      </c>
      <c r="D3999" s="13" t="s">
        <v>8465</v>
      </c>
      <c r="E3999" s="10" t="s">
        <v>10680</v>
      </c>
      <c r="F3999" s="10" t="s">
        <v>10680</v>
      </c>
      <c r="G3999" s="11" t="s">
        <v>10679</v>
      </c>
      <c r="H3999" s="2" t="s">
        <v>2820</v>
      </c>
      <c r="L3999" s="18">
        <v>0</v>
      </c>
      <c r="Q3999" s="18">
        <v>0</v>
      </c>
      <c r="V3999" s="22">
        <f>4.17/5</f>
        <v>0.83399999999999996</v>
      </c>
      <c r="W3999" s="14" t="s">
        <v>5674</v>
      </c>
      <c r="X3999" s="3">
        <v>2</v>
      </c>
      <c r="Z3999" s="23">
        <v>3</v>
      </c>
      <c r="AB3999" s="18">
        <f t="shared" si="124"/>
        <v>2012</v>
      </c>
      <c r="AC3999" s="22">
        <f t="shared" si="125"/>
        <v>0.61699999999999999</v>
      </c>
    </row>
    <row r="4000" spans="1:29" ht="25.5">
      <c r="A4000" s="8" t="s">
        <v>7710</v>
      </c>
      <c r="B4000" s="17" t="s">
        <v>7748</v>
      </c>
      <c r="C4000" s="13">
        <v>41173</v>
      </c>
      <c r="D4000" s="13" t="s">
        <v>8467</v>
      </c>
      <c r="E4000" s="10" t="s">
        <v>86</v>
      </c>
      <c r="F4000" s="10" t="s">
        <v>1490</v>
      </c>
      <c r="G4000" s="11" t="s">
        <v>1470</v>
      </c>
      <c r="H4000" s="2" t="s">
        <v>6467</v>
      </c>
      <c r="L4000" s="18">
        <v>0</v>
      </c>
      <c r="Q4000" s="18">
        <v>0</v>
      </c>
      <c r="U4000" s="22">
        <v>0.69</v>
      </c>
      <c r="V4000" s="22">
        <f>3.66/5</f>
        <v>0.73199999999999998</v>
      </c>
      <c r="X4000" s="3">
        <v>2</v>
      </c>
      <c r="Z4000" s="23">
        <v>1</v>
      </c>
      <c r="AB4000" s="18">
        <f t="shared" si="124"/>
        <v>2012</v>
      </c>
      <c r="AC4000" s="22">
        <f t="shared" si="125"/>
        <v>0.60733333333333339</v>
      </c>
    </row>
    <row r="4001" spans="1:29">
      <c r="A4001" s="8" t="s">
        <v>4201</v>
      </c>
      <c r="B4001" s="17" t="s">
        <v>7800</v>
      </c>
      <c r="C4001" s="13">
        <v>41171</v>
      </c>
      <c r="D4001" s="13" t="s">
        <v>8465</v>
      </c>
      <c r="E4001" s="10" t="s">
        <v>455</v>
      </c>
      <c r="F4001" s="10" t="s">
        <v>2772</v>
      </c>
      <c r="G4001" s="11" t="s">
        <v>4201</v>
      </c>
      <c r="H4001" s="2" t="s">
        <v>255</v>
      </c>
      <c r="L4001" s="18">
        <v>1</v>
      </c>
      <c r="N4001" s="13">
        <v>41796</v>
      </c>
      <c r="P4001" s="18" t="s">
        <v>1107</v>
      </c>
      <c r="Q4001" s="18">
        <v>0</v>
      </c>
      <c r="V4001" s="22">
        <f>3.7/5</f>
        <v>0.74</v>
      </c>
      <c r="W4001" s="14" t="s">
        <v>7777</v>
      </c>
      <c r="X4001" s="3">
        <v>4</v>
      </c>
      <c r="Z4001" s="23">
        <v>7</v>
      </c>
      <c r="AB4001" s="18">
        <f t="shared" si="124"/>
        <v>2012</v>
      </c>
      <c r="AC4001" s="22">
        <f t="shared" si="125"/>
        <v>0.77</v>
      </c>
    </row>
    <row r="4002" spans="1:29" ht="38.25">
      <c r="A4002" s="8" t="s">
        <v>1001</v>
      </c>
      <c r="B4002" s="17" t="s">
        <v>7741</v>
      </c>
      <c r="C4002" s="13">
        <v>41168</v>
      </c>
      <c r="D4002" s="13" t="s">
        <v>8465</v>
      </c>
      <c r="E4002" s="10" t="s">
        <v>86</v>
      </c>
      <c r="F4002" s="10" t="s">
        <v>30</v>
      </c>
      <c r="G4002" s="11" t="s">
        <v>223</v>
      </c>
      <c r="H4002" s="2" t="s">
        <v>64</v>
      </c>
      <c r="L4002" s="18">
        <v>0</v>
      </c>
      <c r="Q4002" s="18">
        <v>0</v>
      </c>
      <c r="U4002" s="22">
        <v>0.81</v>
      </c>
      <c r="V4002" s="22">
        <f>4.24/5</f>
        <v>0.84800000000000009</v>
      </c>
      <c r="X4002" s="3">
        <v>3</v>
      </c>
      <c r="Z4002" s="23">
        <v>14.5</v>
      </c>
      <c r="AB4002" s="18">
        <f t="shared" si="124"/>
        <v>2012</v>
      </c>
      <c r="AC4002" s="22">
        <f t="shared" si="125"/>
        <v>0.75266666666666671</v>
      </c>
    </row>
    <row r="4003" spans="1:29">
      <c r="A4003" s="8" t="s">
        <v>3938</v>
      </c>
      <c r="B4003" s="17" t="s">
        <v>7800</v>
      </c>
      <c r="C4003" s="13">
        <v>41166</v>
      </c>
      <c r="D4003" s="13" t="s">
        <v>8465</v>
      </c>
      <c r="E4003" s="10" t="s">
        <v>3939</v>
      </c>
      <c r="F4003" s="10" t="s">
        <v>3939</v>
      </c>
      <c r="H4003" s="2" t="s">
        <v>1518</v>
      </c>
      <c r="L4003" s="18">
        <v>1</v>
      </c>
      <c r="N4003" s="13">
        <v>41248</v>
      </c>
      <c r="O4003" s="29">
        <v>5.99</v>
      </c>
      <c r="P4003" s="18" t="s">
        <v>1107</v>
      </c>
      <c r="Q4003" s="18">
        <v>0</v>
      </c>
      <c r="U4003" s="22">
        <v>0.85</v>
      </c>
      <c r="V4003" s="22">
        <f>4.06/5</f>
        <v>0.81199999999999994</v>
      </c>
      <c r="W4003" s="14" t="s">
        <v>7777</v>
      </c>
      <c r="X4003" s="3">
        <v>3</v>
      </c>
      <c r="Z4003" s="23">
        <v>11.5</v>
      </c>
      <c r="AB4003" s="18">
        <f t="shared" si="124"/>
        <v>2012</v>
      </c>
      <c r="AC4003" s="22">
        <f t="shared" si="125"/>
        <v>0.754</v>
      </c>
    </row>
    <row r="4004" spans="1:29" ht="30">
      <c r="A4004" s="8" t="s">
        <v>5531</v>
      </c>
      <c r="B4004" s="17" t="s">
        <v>7800</v>
      </c>
      <c r="C4004" s="13">
        <v>41166</v>
      </c>
      <c r="D4004" s="13" t="s">
        <v>8465</v>
      </c>
      <c r="E4004" s="10" t="s">
        <v>4769</v>
      </c>
      <c r="F4004" s="10" t="s">
        <v>5532</v>
      </c>
      <c r="G4004" s="11" t="s">
        <v>5531</v>
      </c>
      <c r="H4004" s="2" t="s">
        <v>75</v>
      </c>
      <c r="L4004" s="18">
        <v>1</v>
      </c>
      <c r="N4004" s="13">
        <v>41653</v>
      </c>
      <c r="P4004" s="18" t="s">
        <v>1107</v>
      </c>
      <c r="Q4004" s="18">
        <v>0</v>
      </c>
      <c r="U4004" s="22">
        <v>0.4</v>
      </c>
      <c r="V4004" s="22">
        <f>3.88/5</f>
        <v>0.77600000000000002</v>
      </c>
      <c r="W4004" s="14" t="s">
        <v>7777</v>
      </c>
      <c r="X4004" s="3">
        <v>2</v>
      </c>
      <c r="Z4004" s="23">
        <v>4</v>
      </c>
      <c r="AB4004" s="18">
        <f t="shared" si="124"/>
        <v>2012</v>
      </c>
      <c r="AC4004" s="22">
        <f t="shared" si="125"/>
        <v>0.52533333333333332</v>
      </c>
    </row>
    <row r="4005" spans="1:29" ht="25.5">
      <c r="A4005" s="8" t="s">
        <v>4581</v>
      </c>
      <c r="B4005" s="17" t="s">
        <v>7800</v>
      </c>
      <c r="C4005" s="13">
        <v>41166</v>
      </c>
      <c r="D4005" s="13" t="s">
        <v>8465</v>
      </c>
      <c r="E4005" s="10" t="s">
        <v>4577</v>
      </c>
      <c r="F4005" s="10" t="s">
        <v>4577</v>
      </c>
      <c r="G4005" s="11" t="s">
        <v>4578</v>
      </c>
      <c r="H4005" s="2" t="s">
        <v>1050</v>
      </c>
      <c r="L4005" s="18">
        <v>1</v>
      </c>
      <c r="N4005" s="13">
        <v>40901</v>
      </c>
      <c r="P4005" s="18" t="s">
        <v>1107</v>
      </c>
      <c r="Q4005" s="18">
        <v>0</v>
      </c>
      <c r="U4005" s="22">
        <v>0.69</v>
      </c>
      <c r="V4005" s="22">
        <f>3.77/5</f>
        <v>0.754</v>
      </c>
      <c r="W4005" s="14" t="s">
        <v>7777</v>
      </c>
      <c r="X4005" s="3">
        <v>3</v>
      </c>
      <c r="Z4005" s="23">
        <v>11</v>
      </c>
      <c r="AB4005" s="18">
        <f t="shared" si="124"/>
        <v>2012</v>
      </c>
      <c r="AC4005" s="22">
        <f t="shared" si="125"/>
        <v>0.68133333333333335</v>
      </c>
    </row>
    <row r="4006" spans="1:29" ht="25.5">
      <c r="A4006" s="8" t="s">
        <v>11449</v>
      </c>
      <c r="B4006" s="17" t="s">
        <v>7749</v>
      </c>
      <c r="C4006" s="13">
        <v>41165</v>
      </c>
      <c r="D4006" s="13" t="s">
        <v>8463</v>
      </c>
      <c r="E4006" s="10" t="s">
        <v>2335</v>
      </c>
      <c r="F4006" s="10" t="s">
        <v>1471</v>
      </c>
      <c r="G4006" s="11" t="s">
        <v>2465</v>
      </c>
      <c r="H4006" s="2" t="s">
        <v>1059</v>
      </c>
      <c r="K4006" s="18">
        <v>0</v>
      </c>
      <c r="L4006" s="18">
        <v>0</v>
      </c>
      <c r="Q4006" s="18">
        <v>0</v>
      </c>
      <c r="V4006" s="22">
        <f>4.22/5</f>
        <v>0.84399999999999997</v>
      </c>
      <c r="X4006" s="3">
        <v>2</v>
      </c>
      <c r="AB4006" s="18">
        <f t="shared" si="124"/>
        <v>2012</v>
      </c>
      <c r="AC4006" s="22">
        <f t="shared" si="125"/>
        <v>0.622</v>
      </c>
    </row>
    <row r="4007" spans="1:29">
      <c r="A4007" s="8" t="s">
        <v>4187</v>
      </c>
      <c r="B4007" s="17" t="s">
        <v>7800</v>
      </c>
      <c r="C4007" s="13">
        <v>41163</v>
      </c>
      <c r="D4007" s="13" t="s">
        <v>8465</v>
      </c>
      <c r="E4007" s="10" t="s">
        <v>4188</v>
      </c>
      <c r="F4007" s="10" t="s">
        <v>4188</v>
      </c>
      <c r="G4007" s="11" t="s">
        <v>4189</v>
      </c>
      <c r="H4007" s="2" t="s">
        <v>56</v>
      </c>
      <c r="L4007" s="18">
        <v>1</v>
      </c>
      <c r="N4007" s="13">
        <v>41429</v>
      </c>
      <c r="P4007" s="18" t="s">
        <v>1107</v>
      </c>
      <c r="Q4007" s="18">
        <v>0</v>
      </c>
      <c r="U4007" s="22">
        <v>0.82</v>
      </c>
      <c r="V4007" s="22">
        <f>3.44/5</f>
        <v>0.68799999999999994</v>
      </c>
      <c r="W4007" s="14" t="s">
        <v>7777</v>
      </c>
      <c r="X4007" s="3">
        <v>3</v>
      </c>
      <c r="Z4007" s="23">
        <v>3.5</v>
      </c>
      <c r="AB4007" s="18">
        <f t="shared" si="124"/>
        <v>2012</v>
      </c>
      <c r="AC4007" s="22">
        <f t="shared" si="125"/>
        <v>0.70266666666666666</v>
      </c>
    </row>
    <row r="4008" spans="1:29" ht="30">
      <c r="A4008" s="8" t="s">
        <v>3506</v>
      </c>
      <c r="B4008" s="17" t="s">
        <v>7800</v>
      </c>
      <c r="C4008" s="13">
        <v>41163</v>
      </c>
      <c r="D4008" s="13" t="s">
        <v>8465</v>
      </c>
      <c r="E4008" s="10" t="s">
        <v>2317</v>
      </c>
      <c r="F4008" s="10" t="s">
        <v>3507</v>
      </c>
      <c r="H4008" s="2" t="s">
        <v>78</v>
      </c>
      <c r="L4008" s="18">
        <v>1</v>
      </c>
      <c r="N4008" s="13">
        <v>42236</v>
      </c>
      <c r="O4008" s="29">
        <v>1.04</v>
      </c>
      <c r="P4008" s="18" t="s">
        <v>1107</v>
      </c>
      <c r="Q4008" s="18">
        <v>0</v>
      </c>
      <c r="V4008" s="22">
        <f>3.77/5</f>
        <v>0.754</v>
      </c>
      <c r="W4008" s="14" t="s">
        <v>7777</v>
      </c>
      <c r="X4008" s="3">
        <v>2</v>
      </c>
      <c r="Z4008" s="23">
        <v>5</v>
      </c>
      <c r="AB4008" s="18">
        <f t="shared" si="124"/>
        <v>2012</v>
      </c>
      <c r="AC4008" s="22">
        <f t="shared" si="125"/>
        <v>0.57699999999999996</v>
      </c>
    </row>
    <row r="4009" spans="1:29">
      <c r="A4009" s="8" t="s">
        <v>5461</v>
      </c>
      <c r="B4009" s="17" t="s">
        <v>7800</v>
      </c>
      <c r="C4009" s="13">
        <v>41163</v>
      </c>
      <c r="D4009" s="13" t="s">
        <v>8465</v>
      </c>
      <c r="E4009" s="10" t="s">
        <v>5462</v>
      </c>
      <c r="F4009" s="10" t="s">
        <v>5462</v>
      </c>
      <c r="H4009" s="2" t="s">
        <v>1054</v>
      </c>
      <c r="L4009" s="18">
        <v>1</v>
      </c>
      <c r="N4009" s="13">
        <v>41515</v>
      </c>
      <c r="P4009" s="18" t="s">
        <v>1107</v>
      </c>
      <c r="Q4009" s="18">
        <v>0</v>
      </c>
      <c r="U4009" s="22">
        <v>0.79</v>
      </c>
      <c r="V4009" s="22">
        <f>3.17/5</f>
        <v>0.63400000000000001</v>
      </c>
      <c r="W4009" s="14" t="s">
        <v>7777</v>
      </c>
      <c r="X4009" s="3">
        <v>2</v>
      </c>
      <c r="Z4009" s="23">
        <v>4</v>
      </c>
      <c r="AB4009" s="18">
        <f t="shared" si="124"/>
        <v>2012</v>
      </c>
      <c r="AC4009" s="22">
        <f t="shared" si="125"/>
        <v>0.60799999999999998</v>
      </c>
    </row>
    <row r="4010" spans="1:29">
      <c r="A4010" s="8" t="s">
        <v>3461</v>
      </c>
      <c r="B4010" s="17" t="s">
        <v>7800</v>
      </c>
      <c r="C4010" s="13">
        <v>41159</v>
      </c>
      <c r="D4010" s="13" t="s">
        <v>8465</v>
      </c>
      <c r="E4010" s="10" t="s">
        <v>3462</v>
      </c>
      <c r="F4010" s="10" t="s">
        <v>3462</v>
      </c>
      <c r="H4010" s="2" t="s">
        <v>27</v>
      </c>
      <c r="L4010" s="18">
        <v>1</v>
      </c>
      <c r="N4010" s="13">
        <v>41262</v>
      </c>
      <c r="P4010" s="18" t="s">
        <v>1107</v>
      </c>
      <c r="Q4010" s="18">
        <v>0</v>
      </c>
      <c r="U4010" s="22">
        <v>0.82</v>
      </c>
      <c r="V4010" s="22">
        <f>3.37/5</f>
        <v>0.67400000000000004</v>
      </c>
      <c r="W4010" s="14" t="s">
        <v>7777</v>
      </c>
      <c r="X4010" s="3">
        <v>2</v>
      </c>
      <c r="Z4010" s="23">
        <v>6.5</v>
      </c>
      <c r="AB4010" s="18">
        <f t="shared" si="124"/>
        <v>2012</v>
      </c>
      <c r="AC4010" s="22">
        <f t="shared" si="125"/>
        <v>0.63133333333333341</v>
      </c>
    </row>
    <row r="4011" spans="1:29">
      <c r="A4011" s="8" t="s">
        <v>8265</v>
      </c>
      <c r="B4011" s="17" t="s">
        <v>7800</v>
      </c>
      <c r="C4011" s="13">
        <v>41158</v>
      </c>
      <c r="D4011" s="13" t="s">
        <v>8465</v>
      </c>
      <c r="E4011" s="10" t="s">
        <v>1047</v>
      </c>
      <c r="F4011" s="10" t="s">
        <v>5878</v>
      </c>
      <c r="H4011" s="2" t="s">
        <v>80</v>
      </c>
      <c r="L4011" s="18">
        <v>1</v>
      </c>
      <c r="N4011" s="13">
        <v>43827</v>
      </c>
      <c r="O4011" s="29">
        <v>2.99</v>
      </c>
      <c r="P4011" s="18" t="s">
        <v>1107</v>
      </c>
      <c r="Q4011" s="18">
        <v>0</v>
      </c>
      <c r="U4011" s="22">
        <v>0.66</v>
      </c>
      <c r="V4011" s="22">
        <f>3.04/5</f>
        <v>0.60799999999999998</v>
      </c>
      <c r="W4011" s="14" t="s">
        <v>7777</v>
      </c>
      <c r="X4011" s="3">
        <v>3</v>
      </c>
      <c r="Z4011" s="23">
        <v>5</v>
      </c>
      <c r="AB4011" s="18">
        <f t="shared" si="124"/>
        <v>2012</v>
      </c>
      <c r="AC4011" s="22">
        <f t="shared" si="125"/>
        <v>0.62266666666666659</v>
      </c>
    </row>
    <row r="4012" spans="1:29">
      <c r="A4012" s="8" t="s">
        <v>4176</v>
      </c>
      <c r="B4012" s="17" t="s">
        <v>7800</v>
      </c>
      <c r="C4012" s="13">
        <v>41157</v>
      </c>
      <c r="D4012" s="13" t="s">
        <v>8465</v>
      </c>
      <c r="E4012" s="10" t="s">
        <v>4177</v>
      </c>
      <c r="F4012" s="10" t="s">
        <v>4177</v>
      </c>
      <c r="H4012" s="2" t="s">
        <v>171</v>
      </c>
      <c r="L4012" s="18">
        <v>1</v>
      </c>
      <c r="N4012" s="13">
        <v>41800</v>
      </c>
      <c r="P4012" s="18" t="s">
        <v>1107</v>
      </c>
      <c r="Q4012" s="18">
        <v>0</v>
      </c>
      <c r="U4012" s="22">
        <v>0.67</v>
      </c>
      <c r="V4012" s="22">
        <f>3.14/5</f>
        <v>0.628</v>
      </c>
      <c r="W4012" s="14" t="s">
        <v>7777</v>
      </c>
      <c r="X4012" s="3">
        <v>2</v>
      </c>
      <c r="Z4012" s="23">
        <v>90</v>
      </c>
      <c r="AB4012" s="18">
        <f t="shared" si="124"/>
        <v>2012</v>
      </c>
      <c r="AC4012" s="22">
        <f t="shared" si="125"/>
        <v>0.56599999999999995</v>
      </c>
    </row>
    <row r="4013" spans="1:29">
      <c r="A4013" s="8" t="s">
        <v>4954</v>
      </c>
      <c r="B4013" s="17" t="s">
        <v>7800</v>
      </c>
      <c r="C4013" s="13">
        <v>41156</v>
      </c>
      <c r="D4013" s="13" t="s">
        <v>8465</v>
      </c>
      <c r="E4013" s="10" t="s">
        <v>4955</v>
      </c>
      <c r="F4013" s="10" t="s">
        <v>4955</v>
      </c>
      <c r="H4013" s="2" t="s">
        <v>1169</v>
      </c>
      <c r="L4013" s="18">
        <v>1</v>
      </c>
      <c r="N4013" s="13">
        <v>43404</v>
      </c>
      <c r="O4013" s="29">
        <v>1.24</v>
      </c>
      <c r="P4013" s="18" t="s">
        <v>1107</v>
      </c>
      <c r="Q4013" s="18">
        <v>0</v>
      </c>
      <c r="U4013" s="22">
        <v>0.68</v>
      </c>
      <c r="V4013" s="22">
        <f>2.92/5</f>
        <v>0.58399999999999996</v>
      </c>
      <c r="W4013" s="14" t="s">
        <v>7777</v>
      </c>
      <c r="X4013" s="3">
        <v>3</v>
      </c>
      <c r="Z4013" s="23">
        <v>6</v>
      </c>
      <c r="AB4013" s="18">
        <f t="shared" si="124"/>
        <v>2012</v>
      </c>
      <c r="AC4013" s="22">
        <f t="shared" si="125"/>
        <v>0.62133333333333329</v>
      </c>
    </row>
    <row r="4014" spans="1:29">
      <c r="A4014" s="8" t="s">
        <v>5197</v>
      </c>
      <c r="B4014" s="17" t="s">
        <v>7783</v>
      </c>
      <c r="C4014" s="13">
        <v>41152</v>
      </c>
      <c r="D4014" s="13" t="s">
        <v>8465</v>
      </c>
      <c r="E4014" s="10" t="s">
        <v>2824</v>
      </c>
      <c r="F4014" s="10" t="s">
        <v>2824</v>
      </c>
      <c r="H4014" s="2" t="s">
        <v>143</v>
      </c>
      <c r="L4014" s="18">
        <v>1</v>
      </c>
      <c r="N4014" s="13">
        <v>41162</v>
      </c>
      <c r="O4014" s="29">
        <v>0.99</v>
      </c>
      <c r="P4014" s="18" t="s">
        <v>1107</v>
      </c>
      <c r="Q4014" s="18">
        <v>0</v>
      </c>
      <c r="U4014" s="22">
        <v>0.89</v>
      </c>
      <c r="V4014" s="22">
        <f>3.62/5</f>
        <v>0.72399999999999998</v>
      </c>
      <c r="X4014" s="3">
        <v>3</v>
      </c>
      <c r="Z4014" s="23">
        <v>13</v>
      </c>
      <c r="AB4014" s="18">
        <f t="shared" si="124"/>
        <v>2012</v>
      </c>
      <c r="AC4014" s="22">
        <f t="shared" si="125"/>
        <v>0.73799999999999999</v>
      </c>
    </row>
    <row r="4015" spans="1:29" ht="25.5">
      <c r="A4015" s="8" t="s">
        <v>11678</v>
      </c>
      <c r="B4015" s="17" t="s">
        <v>7783</v>
      </c>
      <c r="C4015" s="13">
        <v>41152</v>
      </c>
      <c r="D4015" s="13" t="s">
        <v>8465</v>
      </c>
      <c r="E4015" s="10" t="s">
        <v>1082</v>
      </c>
      <c r="F4015" s="10" t="s">
        <v>1083</v>
      </c>
      <c r="G4015" s="11" t="s">
        <v>126</v>
      </c>
      <c r="H4015" s="2" t="s">
        <v>149</v>
      </c>
      <c r="L4015" s="18">
        <v>1</v>
      </c>
      <c r="N4015" s="13">
        <v>44678</v>
      </c>
      <c r="O4015" s="29">
        <v>6.99</v>
      </c>
      <c r="P4015" s="18" t="s">
        <v>1107</v>
      </c>
      <c r="Q4015" s="18">
        <v>0</v>
      </c>
      <c r="U4015" s="22">
        <v>0.78</v>
      </c>
      <c r="V4015" s="22">
        <f>3.93/5</f>
        <v>0.78600000000000003</v>
      </c>
      <c r="X4015" s="3">
        <v>3</v>
      </c>
      <c r="Z4015" s="23">
        <v>49.5</v>
      </c>
      <c r="AB4015" s="18">
        <f t="shared" si="124"/>
        <v>2012</v>
      </c>
      <c r="AC4015" s="22">
        <f t="shared" si="125"/>
        <v>0.72199999999999998</v>
      </c>
    </row>
    <row r="4016" spans="1:29" ht="25.5">
      <c r="A4016" s="8" t="s">
        <v>5276</v>
      </c>
      <c r="B4016" s="17" t="s">
        <v>7800</v>
      </c>
      <c r="C4016" s="13">
        <v>41152</v>
      </c>
      <c r="D4016" s="13" t="s">
        <v>8465</v>
      </c>
      <c r="E4016" s="10" t="s">
        <v>1693</v>
      </c>
      <c r="F4016" s="10" t="s">
        <v>1693</v>
      </c>
      <c r="H4016" s="2" t="s">
        <v>6510</v>
      </c>
      <c r="L4016" s="18">
        <v>1</v>
      </c>
      <c r="N4016" s="13">
        <v>41152</v>
      </c>
      <c r="O4016" s="29">
        <v>2.79</v>
      </c>
      <c r="P4016" s="18" t="s">
        <v>1107</v>
      </c>
      <c r="Q4016" s="18">
        <v>0</v>
      </c>
      <c r="V4016" s="22">
        <f>3.55/5</f>
        <v>0.71</v>
      </c>
      <c r="W4016" s="14" t="s">
        <v>7777</v>
      </c>
      <c r="X4016" s="3">
        <v>2</v>
      </c>
      <c r="Z4016" s="23">
        <v>16</v>
      </c>
      <c r="AB4016" s="18">
        <f t="shared" si="124"/>
        <v>2012</v>
      </c>
      <c r="AC4016" s="22">
        <f t="shared" si="125"/>
        <v>0.55499999999999994</v>
      </c>
    </row>
    <row r="4017" spans="1:29">
      <c r="A4017" s="8" t="s">
        <v>5045</v>
      </c>
      <c r="B4017" s="17" t="s">
        <v>7800</v>
      </c>
      <c r="C4017" s="13">
        <v>41151</v>
      </c>
      <c r="D4017" s="13" t="s">
        <v>8465</v>
      </c>
      <c r="E4017" s="10" t="s">
        <v>5046</v>
      </c>
      <c r="F4017" s="10" t="s">
        <v>5046</v>
      </c>
      <c r="H4017" s="2" t="s">
        <v>27</v>
      </c>
      <c r="L4017" s="18">
        <v>1</v>
      </c>
      <c r="N4017" s="13">
        <v>41262</v>
      </c>
      <c r="P4017" s="18" t="s">
        <v>1107</v>
      </c>
      <c r="Q4017" s="18">
        <v>0</v>
      </c>
      <c r="U4017" s="22">
        <v>0.7</v>
      </c>
      <c r="V4017" s="22">
        <f>3.22/5</f>
        <v>0.64400000000000002</v>
      </c>
      <c r="W4017" s="14" t="s">
        <v>7777</v>
      </c>
      <c r="X4017" s="3">
        <v>2</v>
      </c>
      <c r="Z4017" s="23">
        <v>5</v>
      </c>
      <c r="AB4017" s="18">
        <f t="shared" si="124"/>
        <v>2012</v>
      </c>
      <c r="AC4017" s="22">
        <f t="shared" si="125"/>
        <v>0.58133333333333326</v>
      </c>
    </row>
    <row r="4018" spans="1:29">
      <c r="A4018" s="8" t="s">
        <v>5397</v>
      </c>
      <c r="B4018" s="17" t="s">
        <v>7800</v>
      </c>
      <c r="C4018" s="13">
        <v>41150</v>
      </c>
      <c r="D4018" s="13" t="s">
        <v>8465</v>
      </c>
      <c r="E4018" s="10" t="s">
        <v>5398</v>
      </c>
      <c r="F4018" s="10" t="s">
        <v>5398</v>
      </c>
      <c r="H4018" s="2" t="s">
        <v>64</v>
      </c>
      <c r="L4018" s="18">
        <v>1</v>
      </c>
      <c r="N4018" s="13">
        <v>41211</v>
      </c>
      <c r="O4018" s="29">
        <v>3.39</v>
      </c>
      <c r="P4018" s="18" t="s">
        <v>1107</v>
      </c>
      <c r="Q4018" s="18">
        <v>0</v>
      </c>
      <c r="U4018" s="22">
        <v>0.73</v>
      </c>
      <c r="V4018" s="22">
        <f>3.61/5</f>
        <v>0.72199999999999998</v>
      </c>
      <c r="W4018" s="14" t="s">
        <v>7777</v>
      </c>
      <c r="X4018" s="3">
        <v>3</v>
      </c>
      <c r="Z4018" s="23">
        <v>9</v>
      </c>
      <c r="AB4018" s="18">
        <f t="shared" si="124"/>
        <v>2012</v>
      </c>
      <c r="AC4018" s="22">
        <f t="shared" si="125"/>
        <v>0.68400000000000005</v>
      </c>
    </row>
    <row r="4019" spans="1:29" ht="30">
      <c r="A4019" s="8" t="s">
        <v>5949</v>
      </c>
      <c r="B4019" s="17" t="s">
        <v>7759</v>
      </c>
      <c r="C4019" s="13">
        <v>41149</v>
      </c>
      <c r="D4019" s="13" t="s">
        <v>8465</v>
      </c>
      <c r="E4019" s="10" t="s">
        <v>2908</v>
      </c>
      <c r="F4019" s="10" t="s">
        <v>5719</v>
      </c>
      <c r="G4019" s="11" t="s">
        <v>5718</v>
      </c>
      <c r="H4019" s="2" t="s">
        <v>1059</v>
      </c>
      <c r="L4019" s="18">
        <v>1</v>
      </c>
      <c r="M4019" s="14" t="s">
        <v>8462</v>
      </c>
      <c r="N4019" s="13">
        <v>43458</v>
      </c>
      <c r="O4019" s="29">
        <v>12.95</v>
      </c>
      <c r="P4019" s="18" t="s">
        <v>14</v>
      </c>
      <c r="Q4019" s="18">
        <v>0</v>
      </c>
      <c r="V4019" s="22">
        <f>4.31/5</f>
        <v>0.86199999999999988</v>
      </c>
      <c r="X4019" s="3">
        <v>4</v>
      </c>
      <c r="Z4019" s="23">
        <v>34.5</v>
      </c>
      <c r="AB4019" s="18">
        <f t="shared" si="124"/>
        <v>2012</v>
      </c>
      <c r="AC4019" s="22">
        <f t="shared" si="125"/>
        <v>0.83099999999999996</v>
      </c>
    </row>
    <row r="4020" spans="1:29" ht="30">
      <c r="A4020" s="8" t="s">
        <v>5958</v>
      </c>
      <c r="B4020" s="17" t="s">
        <v>7759</v>
      </c>
      <c r="C4020" s="13">
        <v>41149</v>
      </c>
      <c r="D4020" s="13" t="s">
        <v>8465</v>
      </c>
      <c r="E4020" s="10" t="s">
        <v>2908</v>
      </c>
      <c r="F4020" s="10" t="s">
        <v>5959</v>
      </c>
      <c r="H4020" s="2" t="s">
        <v>67</v>
      </c>
      <c r="L4020" s="18">
        <v>1</v>
      </c>
      <c r="M4020" s="14" t="s">
        <v>8462</v>
      </c>
      <c r="N4020" s="13">
        <v>43473</v>
      </c>
      <c r="O4020" s="29">
        <v>15.99</v>
      </c>
      <c r="P4020" s="18" t="s">
        <v>14</v>
      </c>
      <c r="Q4020" s="18">
        <v>0</v>
      </c>
      <c r="U4020" s="22">
        <v>0.85</v>
      </c>
      <c r="V4020" s="22">
        <f>4.31/5</f>
        <v>0.86199999999999988</v>
      </c>
      <c r="X4020" s="3">
        <v>4</v>
      </c>
      <c r="Z4020" s="23">
        <v>4.5</v>
      </c>
      <c r="AB4020" s="18">
        <f t="shared" si="124"/>
        <v>2012</v>
      </c>
      <c r="AC4020" s="22">
        <f t="shared" si="125"/>
        <v>0.83733333333333315</v>
      </c>
    </row>
    <row r="4021" spans="1:29" ht="30">
      <c r="A4021" s="8" t="s">
        <v>5995</v>
      </c>
      <c r="B4021" s="17" t="s">
        <v>7759</v>
      </c>
      <c r="C4021" s="13">
        <v>41149</v>
      </c>
      <c r="D4021" s="13" t="s">
        <v>8465</v>
      </c>
      <c r="E4021" s="10" t="s">
        <v>2908</v>
      </c>
      <c r="F4021" s="10" t="s">
        <v>3039</v>
      </c>
      <c r="G4021" s="11" t="s">
        <v>5853</v>
      </c>
      <c r="H4021" s="2" t="s">
        <v>1040</v>
      </c>
      <c r="L4021" s="18">
        <v>1</v>
      </c>
      <c r="M4021" s="14" t="s">
        <v>8462</v>
      </c>
      <c r="N4021" s="13">
        <v>43483</v>
      </c>
      <c r="O4021" s="29">
        <v>19</v>
      </c>
      <c r="P4021" s="18" t="s">
        <v>14</v>
      </c>
      <c r="Q4021" s="18">
        <v>0</v>
      </c>
      <c r="U4021" s="22">
        <v>0.84</v>
      </c>
      <c r="V4021" s="22">
        <f>4.32/5</f>
        <v>0.8640000000000001</v>
      </c>
      <c r="X4021" s="3">
        <v>4</v>
      </c>
      <c r="Z4021" s="23">
        <v>45.5</v>
      </c>
      <c r="AB4021" s="18">
        <f t="shared" si="124"/>
        <v>2012</v>
      </c>
      <c r="AC4021" s="22">
        <f t="shared" si="125"/>
        <v>0.83466666666666678</v>
      </c>
    </row>
    <row r="4022" spans="1:29">
      <c r="A4022" s="8" t="s">
        <v>12625</v>
      </c>
      <c r="B4022" s="17" t="s">
        <v>7800</v>
      </c>
      <c r="C4022" s="13">
        <v>41145</v>
      </c>
      <c r="D4022" s="13" t="s">
        <v>8465</v>
      </c>
      <c r="E4022" s="10" t="s">
        <v>3559</v>
      </c>
      <c r="F4022" s="10" t="s">
        <v>12634</v>
      </c>
      <c r="G4022" s="11" t="s">
        <v>12625</v>
      </c>
      <c r="H4022" s="2" t="s">
        <v>2138</v>
      </c>
      <c r="L4022" s="18">
        <v>1</v>
      </c>
      <c r="P4022" s="18" t="s">
        <v>1107</v>
      </c>
      <c r="Q4022" s="18">
        <v>0</v>
      </c>
      <c r="U4022" s="22">
        <v>0.56999999999999995</v>
      </c>
      <c r="V4022" s="22">
        <f>3.27/5</f>
        <v>0.65400000000000003</v>
      </c>
      <c r="W4022" s="14" t="s">
        <v>7777</v>
      </c>
      <c r="X4022" s="3">
        <v>2</v>
      </c>
      <c r="Z4022" s="23">
        <v>3.5</v>
      </c>
      <c r="AB4022" s="18">
        <f t="shared" si="124"/>
        <v>2012</v>
      </c>
      <c r="AC4022" s="22">
        <f t="shared" si="125"/>
        <v>0.54133333333333333</v>
      </c>
    </row>
    <row r="4023" spans="1:29" ht="30">
      <c r="A4023" s="8" t="s">
        <v>12339</v>
      </c>
      <c r="B4023" s="17" t="s">
        <v>7762</v>
      </c>
      <c r="C4023" s="13">
        <v>41144</v>
      </c>
      <c r="D4023" s="13" t="s">
        <v>8463</v>
      </c>
      <c r="E4023" s="10" t="s">
        <v>3568</v>
      </c>
      <c r="F4023" s="10" t="s">
        <v>3568</v>
      </c>
      <c r="H4023" s="2" t="s">
        <v>1057</v>
      </c>
      <c r="K4023" s="18">
        <v>2</v>
      </c>
      <c r="L4023" s="18">
        <v>0</v>
      </c>
      <c r="Q4023" s="18">
        <v>0</v>
      </c>
      <c r="V4023" s="22">
        <f>3.82/5</f>
        <v>0.76400000000000001</v>
      </c>
      <c r="X4023" s="3">
        <v>3</v>
      </c>
      <c r="AB4023" s="18">
        <f t="shared" si="124"/>
        <v>2012</v>
      </c>
      <c r="AC4023" s="22">
        <f t="shared" si="125"/>
        <v>0.68199999999999994</v>
      </c>
    </row>
    <row r="4024" spans="1:29" ht="25.5">
      <c r="A4024" s="8" t="s">
        <v>8937</v>
      </c>
      <c r="B4024" s="17" t="s">
        <v>7759</v>
      </c>
      <c r="C4024" s="13">
        <v>41142</v>
      </c>
      <c r="D4024" s="13" t="s">
        <v>8465</v>
      </c>
      <c r="E4024" s="10" t="s">
        <v>1273</v>
      </c>
      <c r="F4024" s="10" t="s">
        <v>5879</v>
      </c>
      <c r="G4024" s="11" t="s">
        <v>6198</v>
      </c>
      <c r="H4024" s="2" t="s">
        <v>1168</v>
      </c>
      <c r="L4024" s="18">
        <v>1</v>
      </c>
      <c r="M4024" s="14" t="s">
        <v>8462</v>
      </c>
      <c r="N4024" s="13">
        <v>44011</v>
      </c>
      <c r="O4024" s="29">
        <v>9.2200000000000006</v>
      </c>
      <c r="P4024" s="18" t="s">
        <v>14</v>
      </c>
      <c r="Q4024" s="18">
        <v>0</v>
      </c>
      <c r="U4024" s="22">
        <v>0.77</v>
      </c>
      <c r="V4024" s="22">
        <f>4.23/5</f>
        <v>0.84600000000000009</v>
      </c>
      <c r="X4024" s="3">
        <v>3</v>
      </c>
      <c r="Z4024" s="23">
        <v>7.5</v>
      </c>
      <c r="AB4024" s="18">
        <f t="shared" si="124"/>
        <v>2012</v>
      </c>
      <c r="AC4024" s="22">
        <f t="shared" si="125"/>
        <v>0.73866666666666669</v>
      </c>
    </row>
    <row r="4025" spans="1:29">
      <c r="A4025" s="8" t="s">
        <v>10233</v>
      </c>
      <c r="B4025" s="17" t="s">
        <v>7759</v>
      </c>
      <c r="C4025" s="13">
        <v>41142</v>
      </c>
      <c r="D4025" s="13" t="s">
        <v>8465</v>
      </c>
      <c r="E4025" s="10" t="s">
        <v>1062</v>
      </c>
      <c r="F4025" s="10" t="s">
        <v>10247</v>
      </c>
      <c r="H4025" s="2" t="s">
        <v>1377</v>
      </c>
      <c r="L4025" s="18">
        <v>0</v>
      </c>
      <c r="Q4025" s="18">
        <v>0</v>
      </c>
      <c r="U4025" s="22">
        <v>0.68</v>
      </c>
      <c r="V4025" s="22">
        <f>3.68/5</f>
        <v>0.73599999999999999</v>
      </c>
      <c r="X4025" s="3">
        <v>2</v>
      </c>
      <c r="Y4025" s="18">
        <v>1</v>
      </c>
      <c r="Z4025" s="23">
        <v>12</v>
      </c>
      <c r="AB4025" s="18">
        <f t="shared" si="124"/>
        <v>2012</v>
      </c>
      <c r="AC4025" s="22">
        <f t="shared" si="125"/>
        <v>0.60533333333333328</v>
      </c>
    </row>
    <row r="4026" spans="1:29">
      <c r="A4026" s="8" t="s">
        <v>3955</v>
      </c>
      <c r="B4026" s="17" t="s">
        <v>7800</v>
      </c>
      <c r="C4026" s="13">
        <v>41142</v>
      </c>
      <c r="D4026" s="13" t="s">
        <v>8465</v>
      </c>
      <c r="E4026" s="10" t="s">
        <v>3669</v>
      </c>
      <c r="F4026" s="10" t="s">
        <v>3956</v>
      </c>
      <c r="G4026" s="11" t="s">
        <v>3957</v>
      </c>
      <c r="H4026" s="2" t="s">
        <v>7594</v>
      </c>
      <c r="L4026" s="18">
        <v>1</v>
      </c>
      <c r="N4026" s="13">
        <v>41711</v>
      </c>
      <c r="P4026" s="18" t="s">
        <v>1107</v>
      </c>
      <c r="Q4026" s="18">
        <v>0</v>
      </c>
      <c r="U4026" s="22">
        <v>0.56999999999999995</v>
      </c>
      <c r="V4026" s="22">
        <f>2.64/5</f>
        <v>0.52800000000000002</v>
      </c>
      <c r="W4026" s="14" t="s">
        <v>7777</v>
      </c>
      <c r="X4026" s="3">
        <v>2</v>
      </c>
      <c r="Z4026" s="23">
        <v>8.5</v>
      </c>
      <c r="AB4026" s="18">
        <f t="shared" si="124"/>
        <v>2012</v>
      </c>
      <c r="AC4026" s="22">
        <f t="shared" si="125"/>
        <v>0.49933333333333324</v>
      </c>
    </row>
    <row r="4027" spans="1:29" ht="30">
      <c r="A4027" s="8" t="s">
        <v>2388</v>
      </c>
      <c r="B4027" s="17" t="s">
        <v>7749</v>
      </c>
      <c r="C4027" s="13">
        <v>41140</v>
      </c>
      <c r="D4027" s="13" t="s">
        <v>8465</v>
      </c>
      <c r="E4027" s="10" t="s">
        <v>86</v>
      </c>
      <c r="F4027" s="10" t="s">
        <v>2457</v>
      </c>
      <c r="G4027" s="11" t="s">
        <v>137</v>
      </c>
      <c r="H4027" s="2" t="s">
        <v>64</v>
      </c>
      <c r="L4027" s="18">
        <v>1</v>
      </c>
      <c r="M4027" s="14" t="s">
        <v>8462</v>
      </c>
      <c r="N4027" s="13">
        <v>42071</v>
      </c>
      <c r="O4027" s="29">
        <v>18.78</v>
      </c>
      <c r="P4027" s="18" t="s">
        <v>14</v>
      </c>
      <c r="Q4027" s="18">
        <v>0</v>
      </c>
      <c r="U4027" s="22">
        <v>0.78</v>
      </c>
      <c r="V4027" s="22">
        <f>3.75/5</f>
        <v>0.75</v>
      </c>
      <c r="X4027" s="3">
        <v>3</v>
      </c>
      <c r="Z4027" s="23">
        <v>5.5</v>
      </c>
      <c r="AB4027" s="18">
        <f t="shared" si="124"/>
        <v>2012</v>
      </c>
      <c r="AC4027" s="22">
        <f t="shared" si="125"/>
        <v>0.71</v>
      </c>
    </row>
    <row r="4028" spans="1:29" ht="25.5">
      <c r="A4028" s="8" t="s">
        <v>5237</v>
      </c>
      <c r="B4028" s="17" t="s">
        <v>7800</v>
      </c>
      <c r="C4028" s="13">
        <v>41136</v>
      </c>
      <c r="D4028" s="13" t="s">
        <v>8465</v>
      </c>
      <c r="E4028" s="10" t="s">
        <v>4045</v>
      </c>
      <c r="F4028" s="10" t="s">
        <v>4045</v>
      </c>
      <c r="G4028" s="11" t="s">
        <v>5238</v>
      </c>
      <c r="H4028" s="2" t="s">
        <v>27</v>
      </c>
      <c r="L4028" s="18">
        <v>1</v>
      </c>
      <c r="N4028" s="13">
        <v>41366</v>
      </c>
      <c r="O4028" s="29">
        <v>1.99</v>
      </c>
      <c r="P4028" s="18" t="s">
        <v>1107</v>
      </c>
      <c r="Q4028" s="18">
        <v>0</v>
      </c>
      <c r="U4028" s="22">
        <v>0.84</v>
      </c>
      <c r="V4028" s="22">
        <f>3.48/5</f>
        <v>0.69599999999999995</v>
      </c>
      <c r="W4028" s="14" t="s">
        <v>7777</v>
      </c>
      <c r="X4028" s="3">
        <v>3</v>
      </c>
      <c r="Z4028" s="23">
        <v>4</v>
      </c>
      <c r="AB4028" s="18">
        <f t="shared" si="124"/>
        <v>2012</v>
      </c>
      <c r="AC4028" s="22">
        <f t="shared" si="125"/>
        <v>0.71200000000000008</v>
      </c>
    </row>
    <row r="4029" spans="1:29">
      <c r="A4029" s="8" t="s">
        <v>1029</v>
      </c>
      <c r="B4029" s="17" t="s">
        <v>7741</v>
      </c>
      <c r="C4029" s="13">
        <v>41135</v>
      </c>
      <c r="D4029" s="13" t="s">
        <v>8465</v>
      </c>
      <c r="E4029" s="10" t="s">
        <v>1534</v>
      </c>
      <c r="F4029" s="10" t="s">
        <v>1548</v>
      </c>
      <c r="H4029" s="2" t="s">
        <v>149</v>
      </c>
      <c r="L4029" s="18">
        <v>0</v>
      </c>
      <c r="Q4029" s="18">
        <v>0</v>
      </c>
      <c r="U4029" s="22">
        <v>0.78</v>
      </c>
      <c r="V4029" s="22">
        <f>4.12/5</f>
        <v>0.82400000000000007</v>
      </c>
      <c r="X4029" s="3">
        <v>4</v>
      </c>
      <c r="Z4029" s="23">
        <v>21.5</v>
      </c>
      <c r="AB4029" s="18">
        <f t="shared" si="124"/>
        <v>2012</v>
      </c>
      <c r="AC4029" s="22">
        <f t="shared" si="125"/>
        <v>0.80133333333333334</v>
      </c>
    </row>
    <row r="4030" spans="1:29">
      <c r="A4030" s="8" t="s">
        <v>5455</v>
      </c>
      <c r="B4030" s="17" t="s">
        <v>7800</v>
      </c>
      <c r="C4030" s="13">
        <v>41135</v>
      </c>
      <c r="D4030" s="13" t="s">
        <v>8465</v>
      </c>
      <c r="E4030" s="10" t="s">
        <v>5456</v>
      </c>
      <c r="F4030" s="10" t="s">
        <v>5456</v>
      </c>
      <c r="H4030" s="2" t="s">
        <v>1169</v>
      </c>
      <c r="L4030" s="18">
        <v>1</v>
      </c>
      <c r="N4030" s="13">
        <v>41711</v>
      </c>
      <c r="P4030" s="18" t="s">
        <v>1107</v>
      </c>
      <c r="Q4030" s="18">
        <v>0</v>
      </c>
      <c r="U4030" s="22">
        <v>0.6</v>
      </c>
      <c r="V4030" s="22">
        <f>2.85/5</f>
        <v>0.57000000000000006</v>
      </c>
      <c r="W4030" s="14" t="s">
        <v>7777</v>
      </c>
      <c r="X4030" s="3">
        <v>2</v>
      </c>
      <c r="Z4030" s="23">
        <v>3</v>
      </c>
      <c r="AB4030" s="18">
        <f t="shared" si="124"/>
        <v>2012</v>
      </c>
      <c r="AC4030" s="22">
        <f t="shared" si="125"/>
        <v>0.52333333333333332</v>
      </c>
    </row>
    <row r="4031" spans="1:29" ht="30">
      <c r="A4031" s="8" t="s">
        <v>4191</v>
      </c>
      <c r="B4031" s="17" t="s">
        <v>7800</v>
      </c>
      <c r="C4031" s="13">
        <v>41134</v>
      </c>
      <c r="D4031" s="13" t="s">
        <v>8465</v>
      </c>
      <c r="E4031" s="10" t="s">
        <v>3370</v>
      </c>
      <c r="F4031" s="10" t="s">
        <v>3370</v>
      </c>
      <c r="H4031" s="2" t="s">
        <v>1169</v>
      </c>
      <c r="L4031" s="18">
        <v>1</v>
      </c>
      <c r="N4031" s="13">
        <v>41303</v>
      </c>
      <c r="P4031" s="18" t="s">
        <v>1107</v>
      </c>
      <c r="Q4031" s="18">
        <v>0</v>
      </c>
      <c r="U4031" s="22">
        <v>0.85</v>
      </c>
      <c r="V4031" s="22">
        <f>3.89/5</f>
        <v>0.77800000000000002</v>
      </c>
      <c r="W4031" s="14" t="s">
        <v>7777</v>
      </c>
      <c r="X4031" s="3">
        <v>3</v>
      </c>
      <c r="Z4031" s="23">
        <v>6.5</v>
      </c>
      <c r="AB4031" s="18">
        <f t="shared" si="124"/>
        <v>2012</v>
      </c>
      <c r="AC4031" s="22">
        <f t="shared" si="125"/>
        <v>0.7426666666666667</v>
      </c>
    </row>
    <row r="4032" spans="1:29">
      <c r="A4032" s="8" t="s">
        <v>7278</v>
      </c>
      <c r="B4032" s="17" t="s">
        <v>7783</v>
      </c>
      <c r="C4032" s="13">
        <v>41131</v>
      </c>
      <c r="D4032" s="13" t="s">
        <v>8465</v>
      </c>
      <c r="E4032" s="10" t="s">
        <v>7279</v>
      </c>
      <c r="F4032" s="10" t="s">
        <v>7279</v>
      </c>
      <c r="H4032" s="2" t="s">
        <v>1334</v>
      </c>
      <c r="L4032" s="18">
        <v>1</v>
      </c>
      <c r="N4032" s="13">
        <v>41381</v>
      </c>
      <c r="O4032" s="29">
        <v>0.99</v>
      </c>
      <c r="P4032" s="18" t="s">
        <v>1107</v>
      </c>
      <c r="Q4032" s="18">
        <v>0</v>
      </c>
      <c r="U4032" s="22">
        <v>0.65</v>
      </c>
      <c r="V4032" s="22">
        <f>4.25/5</f>
        <v>0.85</v>
      </c>
      <c r="X4032" s="3">
        <v>3</v>
      </c>
      <c r="Z4032" s="23">
        <v>10</v>
      </c>
      <c r="AB4032" s="18">
        <f t="shared" si="124"/>
        <v>2012</v>
      </c>
      <c r="AC4032" s="22">
        <f t="shared" si="125"/>
        <v>0.70000000000000007</v>
      </c>
    </row>
    <row r="4033" spans="1:29">
      <c r="A4033" s="8" t="s">
        <v>5486</v>
      </c>
      <c r="B4033" s="17" t="s">
        <v>7800</v>
      </c>
      <c r="C4033" s="13">
        <v>41129</v>
      </c>
      <c r="D4033" s="13" t="s">
        <v>8465</v>
      </c>
      <c r="E4033" s="10" t="s">
        <v>5271</v>
      </c>
      <c r="F4033" s="10" t="s">
        <v>5487</v>
      </c>
      <c r="H4033" s="2" t="s">
        <v>27</v>
      </c>
      <c r="L4033" s="18">
        <v>1</v>
      </c>
      <c r="N4033" s="13">
        <v>41413</v>
      </c>
      <c r="P4033" s="18" t="s">
        <v>1107</v>
      </c>
      <c r="Q4033" s="18">
        <v>0</v>
      </c>
      <c r="U4033" s="22">
        <v>0.76</v>
      </c>
      <c r="V4033" s="22">
        <f>3.7/5</f>
        <v>0.74</v>
      </c>
      <c r="W4033" s="14" t="s">
        <v>7777</v>
      </c>
      <c r="X4033" s="3">
        <v>2</v>
      </c>
      <c r="Z4033" s="23">
        <v>2.5</v>
      </c>
      <c r="AB4033" s="18">
        <f t="shared" ref="AB4033:AB4096" si="126">IFERROR(YEAR(C4033), "Early Access")</f>
        <v>2012</v>
      </c>
      <c r="AC4033" s="22">
        <f t="shared" ref="AC4033:AC4096" si="127">AVERAGE(T4033, U4033, V4033, IF(ISBLANK(X4033), X4033, X4033/5))</f>
        <v>0.6333333333333333</v>
      </c>
    </row>
    <row r="4034" spans="1:29">
      <c r="A4034" s="8" t="s">
        <v>5987</v>
      </c>
      <c r="B4034" s="17" t="s">
        <v>7759</v>
      </c>
      <c r="C4034" s="13">
        <v>41128</v>
      </c>
      <c r="D4034" s="13" t="s">
        <v>8465</v>
      </c>
      <c r="E4034" s="10" t="s">
        <v>2461</v>
      </c>
      <c r="F4034" s="10" t="s">
        <v>479</v>
      </c>
      <c r="G4034" s="11" t="s">
        <v>1171</v>
      </c>
      <c r="H4034" s="2" t="s">
        <v>459</v>
      </c>
      <c r="L4034" s="18">
        <v>1</v>
      </c>
      <c r="M4034" s="14" t="s">
        <v>8462</v>
      </c>
      <c r="N4034" s="13">
        <v>43546</v>
      </c>
      <c r="O4034" s="29">
        <v>14</v>
      </c>
      <c r="P4034" s="18" t="s">
        <v>14</v>
      </c>
      <c r="Q4034" s="18">
        <v>0</v>
      </c>
      <c r="U4034" s="22">
        <v>0.86</v>
      </c>
      <c r="V4034" s="22">
        <f>4.02/5</f>
        <v>0.80399999999999994</v>
      </c>
      <c r="X4034" s="3">
        <v>3</v>
      </c>
      <c r="Z4034" s="23">
        <v>8.5</v>
      </c>
      <c r="AB4034" s="18">
        <f t="shared" si="126"/>
        <v>2012</v>
      </c>
      <c r="AC4034" s="22">
        <f t="shared" si="127"/>
        <v>0.7546666666666666</v>
      </c>
    </row>
    <row r="4035" spans="1:29">
      <c r="A4035" s="8" t="s">
        <v>3433</v>
      </c>
      <c r="B4035" s="17" t="s">
        <v>7800</v>
      </c>
      <c r="C4035" s="13">
        <v>41128</v>
      </c>
      <c r="D4035" s="13" t="s">
        <v>8465</v>
      </c>
      <c r="E4035" s="10" t="s">
        <v>3072</v>
      </c>
      <c r="F4035" s="10" t="s">
        <v>3072</v>
      </c>
      <c r="G4035" s="11" t="s">
        <v>3433</v>
      </c>
      <c r="H4035" s="2" t="s">
        <v>67</v>
      </c>
      <c r="L4035" s="18">
        <v>1</v>
      </c>
      <c r="N4035" s="13">
        <v>41585</v>
      </c>
      <c r="P4035" s="18" t="s">
        <v>1107</v>
      </c>
      <c r="Q4035" s="18">
        <v>0</v>
      </c>
      <c r="U4035" s="22">
        <v>0.73</v>
      </c>
      <c r="V4035" s="22">
        <f>3.64/5</f>
        <v>0.72799999999999998</v>
      </c>
      <c r="W4035" s="14" t="s">
        <v>7777</v>
      </c>
      <c r="X4035" s="3">
        <v>2</v>
      </c>
      <c r="Z4035" s="23">
        <v>8</v>
      </c>
      <c r="AB4035" s="18">
        <f t="shared" si="126"/>
        <v>2012</v>
      </c>
      <c r="AC4035" s="22">
        <f t="shared" si="127"/>
        <v>0.6193333333333334</v>
      </c>
    </row>
    <row r="4036" spans="1:29">
      <c r="A4036" s="8" t="s">
        <v>5231</v>
      </c>
      <c r="B4036" s="17" t="s">
        <v>7800</v>
      </c>
      <c r="C4036" s="13">
        <v>41127</v>
      </c>
      <c r="D4036" s="13" t="s">
        <v>8465</v>
      </c>
      <c r="E4036" s="10" t="s">
        <v>5232</v>
      </c>
      <c r="F4036" s="10" t="s">
        <v>5232</v>
      </c>
      <c r="H4036" s="2" t="s">
        <v>1220</v>
      </c>
      <c r="L4036" s="18">
        <v>1</v>
      </c>
      <c r="N4036" s="13">
        <v>41721</v>
      </c>
      <c r="P4036" s="18" t="s">
        <v>1107</v>
      </c>
      <c r="Q4036" s="18">
        <v>0</v>
      </c>
      <c r="U4036" s="22">
        <v>0.78</v>
      </c>
      <c r="V4036" s="22">
        <f>3.66/5</f>
        <v>0.73199999999999998</v>
      </c>
      <c r="W4036" s="14" t="s">
        <v>7777</v>
      </c>
      <c r="X4036" s="3">
        <v>2</v>
      </c>
      <c r="Z4036" s="23">
        <v>8</v>
      </c>
      <c r="AB4036" s="18">
        <f t="shared" si="126"/>
        <v>2012</v>
      </c>
      <c r="AC4036" s="22">
        <f t="shared" si="127"/>
        <v>0.63733333333333331</v>
      </c>
    </row>
    <row r="4037" spans="1:29" ht="38.25">
      <c r="A4037" s="8" t="s">
        <v>3257</v>
      </c>
      <c r="B4037" s="17" t="s">
        <v>7800</v>
      </c>
      <c r="C4037" s="13">
        <v>41127</v>
      </c>
      <c r="D4037" s="13" t="s">
        <v>8465</v>
      </c>
      <c r="E4037" s="10" t="s">
        <v>3258</v>
      </c>
      <c r="F4037" s="10" t="s">
        <v>3259</v>
      </c>
      <c r="H4037" s="2" t="s">
        <v>153</v>
      </c>
      <c r="L4037" s="18">
        <v>1</v>
      </c>
      <c r="N4037" s="13">
        <v>42043</v>
      </c>
      <c r="P4037" s="18" t="s">
        <v>1107</v>
      </c>
      <c r="Q4037" s="18">
        <v>0</v>
      </c>
      <c r="V4037" s="22">
        <f>2.68/5</f>
        <v>0.53600000000000003</v>
      </c>
      <c r="W4037" s="14" t="s">
        <v>7777</v>
      </c>
      <c r="X4037" s="3">
        <v>2</v>
      </c>
      <c r="Z4037" s="23">
        <v>1.5</v>
      </c>
      <c r="AB4037" s="18">
        <f t="shared" si="126"/>
        <v>2012</v>
      </c>
      <c r="AC4037" s="22">
        <f t="shared" si="127"/>
        <v>0.46800000000000003</v>
      </c>
    </row>
    <row r="4038" spans="1:29" ht="38.25">
      <c r="A4038" s="8" t="s">
        <v>3842</v>
      </c>
      <c r="B4038" s="17" t="s">
        <v>7800</v>
      </c>
      <c r="C4038" s="13">
        <v>41123</v>
      </c>
      <c r="D4038" s="13" t="s">
        <v>8465</v>
      </c>
      <c r="E4038" s="10" t="s">
        <v>3159</v>
      </c>
      <c r="F4038" s="10" t="s">
        <v>3840</v>
      </c>
      <c r="G4038" s="11" t="s">
        <v>3841</v>
      </c>
      <c r="H4038" s="2" t="s">
        <v>21</v>
      </c>
      <c r="L4038" s="18">
        <v>1</v>
      </c>
      <c r="N4038" s="13">
        <v>41502</v>
      </c>
      <c r="P4038" s="18" t="s">
        <v>1107</v>
      </c>
      <c r="Q4038" s="18">
        <v>0</v>
      </c>
      <c r="V4038" s="22">
        <f>3.84/5</f>
        <v>0.76800000000000002</v>
      </c>
      <c r="W4038" s="14" t="s">
        <v>7777</v>
      </c>
      <c r="X4038" s="3">
        <v>2</v>
      </c>
      <c r="Z4038" s="23">
        <v>3</v>
      </c>
      <c r="AB4038" s="18">
        <f t="shared" si="126"/>
        <v>2012</v>
      </c>
      <c r="AC4038" s="22">
        <f t="shared" si="127"/>
        <v>0.58400000000000007</v>
      </c>
    </row>
    <row r="4039" spans="1:29" ht="25.5">
      <c r="A4039" s="8" t="s">
        <v>3839</v>
      </c>
      <c r="B4039" s="17" t="s">
        <v>7800</v>
      </c>
      <c r="C4039" s="13">
        <v>41123</v>
      </c>
      <c r="D4039" s="13" t="s">
        <v>8465</v>
      </c>
      <c r="E4039" s="10" t="s">
        <v>3159</v>
      </c>
      <c r="F4039" s="10" t="s">
        <v>3840</v>
      </c>
      <c r="G4039" s="11" t="s">
        <v>3841</v>
      </c>
      <c r="H4039" s="2" t="s">
        <v>21</v>
      </c>
      <c r="L4039" s="18">
        <v>1</v>
      </c>
      <c r="N4039" s="13">
        <v>41502</v>
      </c>
      <c r="P4039" s="18" t="s">
        <v>1107</v>
      </c>
      <c r="Q4039" s="18">
        <v>0</v>
      </c>
      <c r="V4039" s="22">
        <f>3.41/5</f>
        <v>0.68200000000000005</v>
      </c>
      <c r="W4039" s="14" t="s">
        <v>7777</v>
      </c>
      <c r="X4039" s="3">
        <v>2</v>
      </c>
      <c r="Z4039" s="23">
        <v>3.5</v>
      </c>
      <c r="AB4039" s="18">
        <f t="shared" si="126"/>
        <v>2012</v>
      </c>
      <c r="AC4039" s="22">
        <f t="shared" si="127"/>
        <v>0.54100000000000004</v>
      </c>
    </row>
    <row r="4040" spans="1:29" ht="25.5">
      <c r="A4040" s="8" t="s">
        <v>3843</v>
      </c>
      <c r="B4040" s="17" t="s">
        <v>7800</v>
      </c>
      <c r="C4040" s="13">
        <v>41123</v>
      </c>
      <c r="D4040" s="13" t="s">
        <v>8465</v>
      </c>
      <c r="E4040" s="10" t="s">
        <v>3159</v>
      </c>
      <c r="F4040" s="10" t="s">
        <v>3844</v>
      </c>
      <c r="G4040" s="11" t="s">
        <v>3841</v>
      </c>
      <c r="H4040" s="2" t="s">
        <v>21</v>
      </c>
      <c r="L4040" s="18">
        <v>1</v>
      </c>
      <c r="N4040" s="13">
        <v>41502</v>
      </c>
      <c r="P4040" s="18" t="s">
        <v>1107</v>
      </c>
      <c r="Q4040" s="18">
        <v>0</v>
      </c>
      <c r="V4040" s="22">
        <f>2.68/5</f>
        <v>0.53600000000000003</v>
      </c>
      <c r="W4040" s="14" t="s">
        <v>7777</v>
      </c>
      <c r="X4040" s="3">
        <v>2</v>
      </c>
      <c r="Z4040" s="23">
        <v>1.5</v>
      </c>
      <c r="AB4040" s="18">
        <f t="shared" si="126"/>
        <v>2012</v>
      </c>
      <c r="AC4040" s="22">
        <f t="shared" si="127"/>
        <v>0.46800000000000003</v>
      </c>
    </row>
    <row r="4041" spans="1:29">
      <c r="A4041" s="8" t="s">
        <v>3083</v>
      </c>
      <c r="B4041" s="17" t="s">
        <v>7800</v>
      </c>
      <c r="C4041" s="13">
        <v>41122</v>
      </c>
      <c r="D4041" s="13" t="s">
        <v>8465</v>
      </c>
      <c r="E4041" s="10" t="s">
        <v>3084</v>
      </c>
      <c r="F4041" s="10" t="s">
        <v>3084</v>
      </c>
      <c r="H4041" s="2" t="s">
        <v>78</v>
      </c>
      <c r="L4041" s="18">
        <v>1</v>
      </c>
      <c r="N4041" s="13">
        <v>41535</v>
      </c>
      <c r="P4041" s="18" t="s">
        <v>1107</v>
      </c>
      <c r="Q4041" s="18">
        <v>0</v>
      </c>
      <c r="U4041" s="22">
        <v>0.64</v>
      </c>
      <c r="V4041" s="22">
        <f>3.05/5</f>
        <v>0.61</v>
      </c>
      <c r="W4041" s="14" t="s">
        <v>7777</v>
      </c>
      <c r="X4041" s="3">
        <v>2</v>
      </c>
      <c r="Z4041" s="23">
        <v>4</v>
      </c>
      <c r="AB4041" s="18">
        <f t="shared" si="126"/>
        <v>2012</v>
      </c>
      <c r="AC4041" s="22">
        <f t="shared" si="127"/>
        <v>0.54999999999999993</v>
      </c>
    </row>
    <row r="4042" spans="1:29" ht="25.5">
      <c r="A4042" s="8" t="s">
        <v>12586</v>
      </c>
      <c r="B4042" s="17" t="s">
        <v>7800</v>
      </c>
      <c r="C4042" s="13">
        <v>41122</v>
      </c>
      <c r="D4042" s="13" t="s">
        <v>8465</v>
      </c>
      <c r="E4042" s="10" t="s">
        <v>1082</v>
      </c>
      <c r="F4042" s="10" t="s">
        <v>4118</v>
      </c>
      <c r="G4042" s="11" t="s">
        <v>4117</v>
      </c>
      <c r="H4042" s="2" t="s">
        <v>1050</v>
      </c>
      <c r="L4042" s="18">
        <v>1</v>
      </c>
      <c r="P4042" s="18" t="s">
        <v>1107</v>
      </c>
      <c r="Q4042" s="18">
        <v>0</v>
      </c>
      <c r="V4042" s="22">
        <f>3.19/5</f>
        <v>0.63800000000000001</v>
      </c>
      <c r="W4042" s="14" t="s">
        <v>7777</v>
      </c>
      <c r="X4042" s="3">
        <v>2</v>
      </c>
      <c r="Z4042" s="23">
        <f>25/60</f>
        <v>0.41666666666666669</v>
      </c>
      <c r="AB4042" s="18">
        <f t="shared" si="126"/>
        <v>2012</v>
      </c>
      <c r="AC4042" s="22">
        <f t="shared" si="127"/>
        <v>0.51900000000000002</v>
      </c>
    </row>
    <row r="4043" spans="1:29" ht="30">
      <c r="A4043" s="8" t="s">
        <v>6086</v>
      </c>
      <c r="B4043" s="17" t="s">
        <v>7762</v>
      </c>
      <c r="C4043" s="13">
        <v>41121</v>
      </c>
      <c r="D4043" s="13" t="s">
        <v>8465</v>
      </c>
      <c r="E4043" s="10" t="s">
        <v>228</v>
      </c>
      <c r="F4043" s="10" t="s">
        <v>2660</v>
      </c>
      <c r="G4043" s="11" t="s">
        <v>5868</v>
      </c>
      <c r="H4043" s="2" t="s">
        <v>75</v>
      </c>
      <c r="L4043" s="18">
        <v>0</v>
      </c>
      <c r="Q4043" s="18">
        <v>0</v>
      </c>
      <c r="U4043" s="22">
        <v>0.71</v>
      </c>
      <c r="V4043" s="22">
        <f>4.16/5</f>
        <v>0.83200000000000007</v>
      </c>
      <c r="X4043" s="3">
        <v>2</v>
      </c>
      <c r="Z4043" s="23">
        <v>48.5</v>
      </c>
      <c r="AB4043" s="18">
        <f t="shared" si="126"/>
        <v>2012</v>
      </c>
      <c r="AC4043" s="22">
        <f t="shared" si="127"/>
        <v>0.64733333333333343</v>
      </c>
    </row>
    <row r="4044" spans="1:29">
      <c r="A4044" s="8" t="s">
        <v>4605</v>
      </c>
      <c r="B4044" s="17" t="s">
        <v>7800</v>
      </c>
      <c r="C4044" s="13">
        <v>41120</v>
      </c>
      <c r="D4044" s="13" t="s">
        <v>8465</v>
      </c>
      <c r="E4044" s="10" t="s">
        <v>4604</v>
      </c>
      <c r="F4044" s="10" t="s">
        <v>4604</v>
      </c>
      <c r="G4044" s="11" t="s">
        <v>4603</v>
      </c>
      <c r="H4044" s="2" t="s">
        <v>1169</v>
      </c>
      <c r="L4044" s="18">
        <v>1</v>
      </c>
      <c r="N4044" s="13">
        <v>41862</v>
      </c>
      <c r="P4044" s="18" t="s">
        <v>1107</v>
      </c>
      <c r="Q4044" s="18">
        <v>0</v>
      </c>
      <c r="U4044" s="22">
        <v>0.85</v>
      </c>
      <c r="V4044" s="22">
        <f>3.77/5</f>
        <v>0.754</v>
      </c>
      <c r="W4044" s="14" t="s">
        <v>7777</v>
      </c>
      <c r="X4044" s="3">
        <v>3</v>
      </c>
      <c r="Z4044" s="23">
        <v>7.5</v>
      </c>
      <c r="AB4044" s="18">
        <f t="shared" si="126"/>
        <v>2012</v>
      </c>
      <c r="AC4044" s="22">
        <f t="shared" si="127"/>
        <v>0.73466666666666669</v>
      </c>
    </row>
    <row r="4045" spans="1:29" ht="30">
      <c r="A4045" s="8" t="s">
        <v>8891</v>
      </c>
      <c r="B4045" s="17" t="s">
        <v>7762</v>
      </c>
      <c r="C4045" s="13">
        <v>41116</v>
      </c>
      <c r="D4045" s="13" t="s">
        <v>8463</v>
      </c>
      <c r="E4045" s="10" t="s">
        <v>1245</v>
      </c>
      <c r="F4045" s="10" t="s">
        <v>1245</v>
      </c>
      <c r="G4045" s="11" t="s">
        <v>2892</v>
      </c>
      <c r="H4045" s="2" t="s">
        <v>171</v>
      </c>
      <c r="K4045" s="18">
        <v>2</v>
      </c>
      <c r="L4045" s="18">
        <v>0</v>
      </c>
      <c r="Q4045" s="18">
        <v>0</v>
      </c>
      <c r="V4045" s="22">
        <f>4.2/5</f>
        <v>0.84000000000000008</v>
      </c>
      <c r="X4045" s="3">
        <v>3</v>
      </c>
      <c r="Z4045" s="23">
        <v>20.5</v>
      </c>
      <c r="AB4045" s="18">
        <f t="shared" si="126"/>
        <v>2012</v>
      </c>
      <c r="AC4045" s="22">
        <f t="shared" si="127"/>
        <v>0.72</v>
      </c>
    </row>
    <row r="4046" spans="1:29">
      <c r="A4046" s="8" t="s">
        <v>4815</v>
      </c>
      <c r="B4046" s="17" t="s">
        <v>7800</v>
      </c>
      <c r="C4046" s="13">
        <v>41115</v>
      </c>
      <c r="D4046" s="13" t="s">
        <v>8465</v>
      </c>
      <c r="E4046" s="10" t="s">
        <v>3066</v>
      </c>
      <c r="F4046" s="10" t="s">
        <v>4816</v>
      </c>
      <c r="H4046" s="2" t="s">
        <v>67</v>
      </c>
      <c r="L4046" s="18">
        <v>1</v>
      </c>
      <c r="N4046" s="13">
        <v>41346</v>
      </c>
      <c r="P4046" s="18" t="s">
        <v>1107</v>
      </c>
      <c r="Q4046" s="18">
        <v>0</v>
      </c>
      <c r="U4046" s="22">
        <v>0.78</v>
      </c>
      <c r="V4046" s="22">
        <f>3.8/5</f>
        <v>0.76</v>
      </c>
      <c r="W4046" s="14" t="s">
        <v>7777</v>
      </c>
      <c r="X4046" s="3">
        <v>3</v>
      </c>
      <c r="Z4046" s="23">
        <v>8</v>
      </c>
      <c r="AB4046" s="18">
        <f t="shared" si="126"/>
        <v>2012</v>
      </c>
      <c r="AC4046" s="22">
        <f t="shared" si="127"/>
        <v>0.71333333333333337</v>
      </c>
    </row>
    <row r="4047" spans="1:29">
      <c r="A4047" s="8" t="s">
        <v>14388</v>
      </c>
      <c r="B4047" s="17" t="s">
        <v>7765</v>
      </c>
      <c r="C4047" s="13">
        <v>41115</v>
      </c>
      <c r="D4047" s="13" t="s">
        <v>8465</v>
      </c>
      <c r="E4047" s="10" t="s">
        <v>3116</v>
      </c>
      <c r="F4047" s="10" t="s">
        <v>3743</v>
      </c>
      <c r="H4047" s="2" t="s">
        <v>31</v>
      </c>
      <c r="L4047" s="18">
        <v>1</v>
      </c>
      <c r="P4047" s="18" t="s">
        <v>1107</v>
      </c>
      <c r="Q4047" s="18">
        <v>0</v>
      </c>
      <c r="U4047" s="22">
        <v>0.67</v>
      </c>
      <c r="V4047" s="22">
        <f>2.88/5</f>
        <v>0.57599999999999996</v>
      </c>
      <c r="X4047" s="3">
        <v>2</v>
      </c>
      <c r="AB4047" s="18">
        <f t="shared" si="126"/>
        <v>2012</v>
      </c>
      <c r="AC4047" s="22">
        <f t="shared" si="127"/>
        <v>0.54866666666666664</v>
      </c>
    </row>
    <row r="4048" spans="1:29" ht="25.5">
      <c r="A4048" s="8" t="s">
        <v>4264</v>
      </c>
      <c r="B4048" s="17" t="s">
        <v>7800</v>
      </c>
      <c r="C4048" s="13">
        <v>41114</v>
      </c>
      <c r="D4048" s="13" t="s">
        <v>8465</v>
      </c>
      <c r="E4048" s="10" t="s">
        <v>4265</v>
      </c>
      <c r="F4048" s="10" t="s">
        <v>4266</v>
      </c>
      <c r="H4048" s="2" t="s">
        <v>153</v>
      </c>
      <c r="L4048" s="18">
        <v>1</v>
      </c>
      <c r="N4048" s="13">
        <v>41193</v>
      </c>
      <c r="P4048" s="18" t="s">
        <v>1107</v>
      </c>
      <c r="Q4048" s="18">
        <v>0</v>
      </c>
      <c r="U4048" s="22">
        <v>0.63</v>
      </c>
      <c r="V4048" s="22">
        <f>3.11/5</f>
        <v>0.622</v>
      </c>
      <c r="W4048" s="14" t="s">
        <v>7777</v>
      </c>
      <c r="X4048" s="3">
        <v>2</v>
      </c>
      <c r="Z4048" s="23">
        <v>4.5</v>
      </c>
      <c r="AB4048" s="18">
        <f t="shared" si="126"/>
        <v>2012</v>
      </c>
      <c r="AC4048" s="22">
        <f t="shared" si="127"/>
        <v>0.55066666666666675</v>
      </c>
    </row>
    <row r="4049" spans="1:29" ht="30">
      <c r="A4049" s="8" t="s">
        <v>8876</v>
      </c>
      <c r="B4049" s="17" t="s">
        <v>7762</v>
      </c>
      <c r="C4049" s="13">
        <v>41109</v>
      </c>
      <c r="D4049" s="13" t="s">
        <v>8463</v>
      </c>
      <c r="E4049" s="10" t="s">
        <v>3568</v>
      </c>
      <c r="F4049" s="10" t="s">
        <v>5947</v>
      </c>
      <c r="G4049" s="11" t="s">
        <v>8877</v>
      </c>
      <c r="H4049" s="2" t="s">
        <v>149</v>
      </c>
      <c r="K4049" s="18">
        <v>2</v>
      </c>
      <c r="L4049" s="18">
        <v>0</v>
      </c>
      <c r="Q4049" s="18">
        <v>0</v>
      </c>
      <c r="V4049" s="22">
        <f>4.17/5</f>
        <v>0.83399999999999996</v>
      </c>
      <c r="X4049" s="3">
        <v>3</v>
      </c>
      <c r="Z4049" s="23">
        <v>30.5</v>
      </c>
      <c r="AB4049" s="18">
        <f t="shared" si="126"/>
        <v>2012</v>
      </c>
      <c r="AC4049" s="22">
        <f t="shared" si="127"/>
        <v>0.71699999999999997</v>
      </c>
    </row>
    <row r="4050" spans="1:29">
      <c r="A4050" s="8" t="s">
        <v>2374</v>
      </c>
      <c r="B4050" s="17" t="s">
        <v>7749</v>
      </c>
      <c r="C4050" s="13">
        <v>41107</v>
      </c>
      <c r="D4050" s="13" t="s">
        <v>8465</v>
      </c>
      <c r="E4050" s="10" t="s">
        <v>1082</v>
      </c>
      <c r="F4050" s="10" t="s">
        <v>2454</v>
      </c>
      <c r="H4050" s="2" t="s">
        <v>171</v>
      </c>
      <c r="L4050" s="18">
        <v>1</v>
      </c>
      <c r="M4050" s="14" t="s">
        <v>8462</v>
      </c>
      <c r="N4050" s="13">
        <v>43627</v>
      </c>
      <c r="O4050" s="29">
        <v>11.99</v>
      </c>
      <c r="P4050" s="18" t="s">
        <v>14</v>
      </c>
      <c r="Q4050" s="18">
        <v>0</v>
      </c>
      <c r="U4050" s="22">
        <v>0.68</v>
      </c>
      <c r="V4050" s="22">
        <f>3.43/5</f>
        <v>0.68600000000000005</v>
      </c>
      <c r="X4050" s="3">
        <v>3</v>
      </c>
      <c r="Z4050" s="23">
        <v>9</v>
      </c>
      <c r="AB4050" s="18">
        <f t="shared" si="126"/>
        <v>2012</v>
      </c>
      <c r="AC4050" s="22">
        <f t="shared" si="127"/>
        <v>0.65533333333333343</v>
      </c>
    </row>
    <row r="4051" spans="1:29">
      <c r="A4051" s="8" t="s">
        <v>13070</v>
      </c>
      <c r="B4051" s="17" t="s">
        <v>7749</v>
      </c>
      <c r="C4051" s="13">
        <v>41102</v>
      </c>
      <c r="D4051" s="13" t="s">
        <v>8463</v>
      </c>
      <c r="E4051" s="10" t="s">
        <v>2129</v>
      </c>
      <c r="F4051" s="10" t="s">
        <v>2129</v>
      </c>
      <c r="H4051" s="2" t="s">
        <v>1057</v>
      </c>
      <c r="K4051" s="18">
        <v>1</v>
      </c>
      <c r="L4051" s="18">
        <v>0</v>
      </c>
      <c r="Q4051" s="18">
        <v>0</v>
      </c>
      <c r="V4051" s="22">
        <f>3.76/5</f>
        <v>0.752</v>
      </c>
      <c r="X4051" s="3">
        <v>3</v>
      </c>
      <c r="Z4051" s="23">
        <v>11.5</v>
      </c>
      <c r="AB4051" s="18">
        <f t="shared" si="126"/>
        <v>2012</v>
      </c>
      <c r="AC4051" s="22">
        <f t="shared" si="127"/>
        <v>0.67599999999999993</v>
      </c>
    </row>
    <row r="4052" spans="1:29" ht="25.5">
      <c r="A4052" s="8" t="s">
        <v>9884</v>
      </c>
      <c r="B4052" s="17" t="s">
        <v>7749</v>
      </c>
      <c r="C4052" s="13">
        <v>41100</v>
      </c>
      <c r="D4052" s="13" t="s">
        <v>8465</v>
      </c>
      <c r="E4052" s="10" t="s">
        <v>455</v>
      </c>
      <c r="F4052" s="10" t="s">
        <v>8609</v>
      </c>
      <c r="H4052" s="2" t="s">
        <v>1220</v>
      </c>
      <c r="L4052" s="18">
        <v>1</v>
      </c>
      <c r="N4052" s="13">
        <v>44287</v>
      </c>
      <c r="O4052" s="29">
        <v>9.99</v>
      </c>
      <c r="P4052" s="18" t="s">
        <v>1107</v>
      </c>
      <c r="Q4052" s="18">
        <v>0</v>
      </c>
      <c r="U4052" s="22">
        <v>0.76</v>
      </c>
      <c r="V4052" s="22">
        <f>3.95/5</f>
        <v>0.79</v>
      </c>
      <c r="X4052" s="3">
        <v>3</v>
      </c>
      <c r="Z4052" s="23">
        <v>7.5</v>
      </c>
      <c r="AB4052" s="18">
        <f t="shared" si="126"/>
        <v>2012</v>
      </c>
      <c r="AC4052" s="22">
        <f t="shared" si="127"/>
        <v>0.71666666666666667</v>
      </c>
    </row>
    <row r="4053" spans="1:29">
      <c r="A4053" s="8" t="s">
        <v>85</v>
      </c>
      <c r="B4053" s="17" t="s">
        <v>7749</v>
      </c>
      <c r="C4053" s="13">
        <v>41095</v>
      </c>
      <c r="D4053" s="13" t="s">
        <v>8465</v>
      </c>
      <c r="E4053" s="10" t="s">
        <v>86</v>
      </c>
      <c r="F4053" s="10" t="s">
        <v>87</v>
      </c>
      <c r="G4053" s="11" t="s">
        <v>85</v>
      </c>
      <c r="H4053" s="2" t="s">
        <v>80</v>
      </c>
      <c r="L4053" s="18">
        <v>1</v>
      </c>
      <c r="N4053" s="13">
        <v>41554</v>
      </c>
      <c r="P4053" s="18" t="s">
        <v>1107</v>
      </c>
      <c r="Q4053" s="18">
        <v>0</v>
      </c>
      <c r="V4053" s="22">
        <f>4.19/5</f>
        <v>0.83800000000000008</v>
      </c>
      <c r="W4053" s="14" t="s">
        <v>1068</v>
      </c>
      <c r="X4053" s="3">
        <v>3</v>
      </c>
      <c r="Z4053" s="23">
        <v>9</v>
      </c>
      <c r="AB4053" s="18">
        <f t="shared" si="126"/>
        <v>2012</v>
      </c>
      <c r="AC4053" s="22">
        <f t="shared" si="127"/>
        <v>0.71900000000000008</v>
      </c>
    </row>
    <row r="4054" spans="1:29">
      <c r="A4054" s="8" t="s">
        <v>5090</v>
      </c>
      <c r="B4054" s="17" t="s">
        <v>7765</v>
      </c>
      <c r="C4054" s="13">
        <v>41094</v>
      </c>
      <c r="D4054" s="13" t="s">
        <v>8465</v>
      </c>
      <c r="E4054" s="10" t="s">
        <v>3116</v>
      </c>
      <c r="F4054" s="10" t="s">
        <v>6332</v>
      </c>
      <c r="G4054" s="11" t="s">
        <v>5090</v>
      </c>
      <c r="H4054" s="2" t="s">
        <v>1518</v>
      </c>
      <c r="L4054" s="18">
        <v>1</v>
      </c>
      <c r="P4054" s="18" t="s">
        <v>1107</v>
      </c>
      <c r="Q4054" s="18">
        <v>0</v>
      </c>
      <c r="U4054" s="22">
        <v>0.86</v>
      </c>
      <c r="V4054" s="22">
        <f>3.88/5</f>
        <v>0.77600000000000002</v>
      </c>
      <c r="X4054" s="3">
        <v>3</v>
      </c>
      <c r="Z4054" s="23">
        <v>18.5</v>
      </c>
      <c r="AB4054" s="18">
        <f t="shared" si="126"/>
        <v>2012</v>
      </c>
      <c r="AC4054" s="22">
        <f t="shared" si="127"/>
        <v>0.7453333333333334</v>
      </c>
    </row>
    <row r="4055" spans="1:29">
      <c r="A4055" s="8" t="s">
        <v>3795</v>
      </c>
      <c r="B4055" s="17" t="s">
        <v>7800</v>
      </c>
      <c r="C4055" s="13">
        <v>41094</v>
      </c>
      <c r="D4055" s="13" t="s">
        <v>8465</v>
      </c>
      <c r="E4055" s="10" t="s">
        <v>3734</v>
      </c>
      <c r="F4055" s="10" t="s">
        <v>3734</v>
      </c>
      <c r="G4055" s="11" t="s">
        <v>3735</v>
      </c>
      <c r="H4055" s="2" t="s">
        <v>3123</v>
      </c>
      <c r="L4055" s="18">
        <v>1</v>
      </c>
      <c r="N4055" s="13">
        <v>42217</v>
      </c>
      <c r="P4055" s="18" t="s">
        <v>1107</v>
      </c>
      <c r="Q4055" s="18">
        <v>0</v>
      </c>
      <c r="U4055" s="22">
        <v>0.8</v>
      </c>
      <c r="V4055" s="22">
        <f>3.61/5</f>
        <v>0.72199999999999998</v>
      </c>
      <c r="W4055" s="14" t="s">
        <v>7777</v>
      </c>
      <c r="X4055" s="3">
        <v>3</v>
      </c>
      <c r="Z4055" s="23">
        <v>15</v>
      </c>
      <c r="AB4055" s="18">
        <f t="shared" si="126"/>
        <v>2012</v>
      </c>
      <c r="AC4055" s="22">
        <f t="shared" si="127"/>
        <v>0.70733333333333326</v>
      </c>
    </row>
    <row r="4056" spans="1:29" ht="25.5">
      <c r="A4056" s="8" t="s">
        <v>2418</v>
      </c>
      <c r="B4056" s="17" t="s">
        <v>7749</v>
      </c>
      <c r="C4056" s="13">
        <v>41093</v>
      </c>
      <c r="D4056" s="13" t="s">
        <v>8465</v>
      </c>
      <c r="E4056" s="10" t="s">
        <v>1082</v>
      </c>
      <c r="F4056" s="10" t="s">
        <v>1165</v>
      </c>
      <c r="G4056" s="11" t="s">
        <v>126</v>
      </c>
      <c r="H4056" s="2" t="s">
        <v>1220</v>
      </c>
      <c r="L4056" s="18">
        <v>1</v>
      </c>
      <c r="M4056" s="14" t="s">
        <v>8462</v>
      </c>
      <c r="N4056" s="13">
        <v>43513</v>
      </c>
      <c r="O4056" s="29">
        <v>13.49</v>
      </c>
      <c r="P4056" s="18" t="s">
        <v>14</v>
      </c>
      <c r="Q4056" s="18">
        <v>0</v>
      </c>
      <c r="U4056" s="22">
        <v>0.8</v>
      </c>
      <c r="V4056" s="22">
        <f>4.07/5</f>
        <v>0.81400000000000006</v>
      </c>
      <c r="W4056" s="14" t="s">
        <v>8464</v>
      </c>
      <c r="X4056" s="3">
        <v>3</v>
      </c>
      <c r="Z4056" s="23">
        <v>6</v>
      </c>
      <c r="AB4056" s="18">
        <f t="shared" si="126"/>
        <v>2012</v>
      </c>
      <c r="AC4056" s="22">
        <f t="shared" si="127"/>
        <v>0.73799999999999999</v>
      </c>
    </row>
    <row r="4057" spans="1:29" ht="25.5">
      <c r="A4057" s="8" t="s">
        <v>7403</v>
      </c>
      <c r="B4057" s="17" t="s">
        <v>7741</v>
      </c>
      <c r="C4057" s="13">
        <v>41089</v>
      </c>
      <c r="D4057" s="13" t="s">
        <v>8467</v>
      </c>
      <c r="E4057" s="10" t="s">
        <v>86</v>
      </c>
      <c r="F4057" s="10" t="s">
        <v>7416</v>
      </c>
      <c r="G4057" s="11" t="s">
        <v>1550</v>
      </c>
      <c r="H4057" s="2" t="s">
        <v>1061</v>
      </c>
      <c r="L4057" s="18">
        <v>0</v>
      </c>
      <c r="Q4057" s="18">
        <v>0</v>
      </c>
      <c r="U4057" s="22">
        <v>0.78</v>
      </c>
      <c r="V4057" s="22">
        <f>4.17/5</f>
        <v>0.83399999999999996</v>
      </c>
      <c r="X4057" s="3">
        <v>4</v>
      </c>
      <c r="Z4057" s="23">
        <v>11.5</v>
      </c>
      <c r="AB4057" s="18">
        <f t="shared" si="126"/>
        <v>2012</v>
      </c>
      <c r="AC4057" s="22">
        <f t="shared" si="127"/>
        <v>0.80466666666666653</v>
      </c>
    </row>
    <row r="4058" spans="1:29" ht="25.5">
      <c r="A4058" s="8" t="s">
        <v>5428</v>
      </c>
      <c r="B4058" s="17" t="s">
        <v>7800</v>
      </c>
      <c r="C4058" s="13">
        <v>41086</v>
      </c>
      <c r="D4058" s="13" t="s">
        <v>8465</v>
      </c>
      <c r="E4058" s="10" t="s">
        <v>1047</v>
      </c>
      <c r="F4058" s="10" t="s">
        <v>1539</v>
      </c>
      <c r="G4058" s="11" t="s">
        <v>2474</v>
      </c>
      <c r="H4058" s="2" t="s">
        <v>1168</v>
      </c>
      <c r="L4058" s="18">
        <v>1</v>
      </c>
      <c r="N4058" s="13">
        <v>41691</v>
      </c>
      <c r="O4058" s="29">
        <v>4.99</v>
      </c>
      <c r="P4058" s="18" t="s">
        <v>1107</v>
      </c>
      <c r="Q4058" s="18">
        <v>0</v>
      </c>
      <c r="U4058" s="22">
        <v>0.67</v>
      </c>
      <c r="V4058" s="22">
        <f>3.49/5</f>
        <v>0.69800000000000006</v>
      </c>
      <c r="W4058" s="14" t="s">
        <v>7777</v>
      </c>
      <c r="X4058" s="3">
        <v>3</v>
      </c>
      <c r="Z4058" s="23">
        <v>10</v>
      </c>
      <c r="AB4058" s="18">
        <f t="shared" si="126"/>
        <v>2012</v>
      </c>
      <c r="AC4058" s="22">
        <f t="shared" si="127"/>
        <v>0.65600000000000003</v>
      </c>
    </row>
    <row r="4059" spans="1:29" ht="25.5">
      <c r="A4059" s="8" t="s">
        <v>7622</v>
      </c>
      <c r="B4059" s="17" t="s">
        <v>7743</v>
      </c>
      <c r="C4059" s="13">
        <v>41086</v>
      </c>
      <c r="D4059" s="13" t="s">
        <v>8465</v>
      </c>
      <c r="E4059" s="10" t="s">
        <v>1273</v>
      </c>
      <c r="F4059" s="10" t="s">
        <v>6103</v>
      </c>
      <c r="G4059" s="11" t="s">
        <v>1264</v>
      </c>
      <c r="H4059" s="2" t="s">
        <v>80</v>
      </c>
      <c r="L4059" s="18">
        <v>0</v>
      </c>
      <c r="Q4059" s="18">
        <v>0</v>
      </c>
      <c r="U4059" s="22">
        <v>0.66</v>
      </c>
      <c r="V4059" s="22">
        <f>3.75/5</f>
        <v>0.75</v>
      </c>
      <c r="W4059" s="14" t="s">
        <v>9890</v>
      </c>
      <c r="X4059" s="3">
        <v>2</v>
      </c>
      <c r="Y4059" s="18">
        <v>1</v>
      </c>
      <c r="Z4059" s="23">
        <v>8.5</v>
      </c>
      <c r="AB4059" s="18">
        <f t="shared" si="126"/>
        <v>2012</v>
      </c>
      <c r="AC4059" s="22">
        <f t="shared" si="127"/>
        <v>0.60333333333333339</v>
      </c>
    </row>
    <row r="4060" spans="1:29" ht="38.25">
      <c r="A4060" s="8" t="s">
        <v>4678</v>
      </c>
      <c r="B4060" s="17" t="s">
        <v>7800</v>
      </c>
      <c r="C4060" s="13">
        <v>41085</v>
      </c>
      <c r="D4060" s="13" t="s">
        <v>8465</v>
      </c>
      <c r="E4060" s="10" t="s">
        <v>4679</v>
      </c>
      <c r="F4060" s="10" t="s">
        <v>3366</v>
      </c>
      <c r="G4060" s="11" t="s">
        <v>4676</v>
      </c>
      <c r="H4060" s="2" t="s">
        <v>149</v>
      </c>
      <c r="L4060" s="18">
        <v>1</v>
      </c>
      <c r="N4060" s="13">
        <v>41379</v>
      </c>
      <c r="O4060" s="29">
        <v>0.99</v>
      </c>
      <c r="P4060" s="18" t="s">
        <v>1107</v>
      </c>
      <c r="Q4060" s="18">
        <v>0</v>
      </c>
      <c r="U4060" s="22">
        <v>0.78</v>
      </c>
      <c r="V4060" s="22">
        <f>3.65/5</f>
        <v>0.73</v>
      </c>
      <c r="W4060" s="14" t="s">
        <v>7777</v>
      </c>
      <c r="X4060" s="3">
        <v>3</v>
      </c>
      <c r="Z4060" s="23">
        <v>8</v>
      </c>
      <c r="AB4060" s="18">
        <f t="shared" si="126"/>
        <v>2012</v>
      </c>
      <c r="AC4060" s="22">
        <f t="shared" si="127"/>
        <v>0.70333333333333325</v>
      </c>
    </row>
    <row r="4061" spans="1:29" ht="25.5">
      <c r="A4061" s="8" t="s">
        <v>6976</v>
      </c>
      <c r="B4061" s="17" t="s">
        <v>7800</v>
      </c>
      <c r="C4061" s="13">
        <v>41082</v>
      </c>
      <c r="D4061" s="13" t="s">
        <v>8465</v>
      </c>
      <c r="E4061" s="10" t="s">
        <v>1163</v>
      </c>
      <c r="F4061" s="10" t="s">
        <v>3072</v>
      </c>
      <c r="G4061" s="11" t="s">
        <v>3326</v>
      </c>
      <c r="H4061" s="2" t="s">
        <v>67</v>
      </c>
      <c r="L4061" s="18">
        <v>1</v>
      </c>
      <c r="N4061" s="13">
        <v>41661</v>
      </c>
      <c r="O4061" s="29">
        <v>0</v>
      </c>
      <c r="P4061" s="18" t="s">
        <v>1107</v>
      </c>
      <c r="Q4061" s="18">
        <v>0</v>
      </c>
      <c r="U4061" s="22">
        <v>0.73</v>
      </c>
      <c r="V4061" s="22">
        <f>3.68/5</f>
        <v>0.73599999999999999</v>
      </c>
      <c r="W4061" s="14" t="s">
        <v>7778</v>
      </c>
      <c r="X4061" s="3">
        <v>3</v>
      </c>
      <c r="Z4061" s="23">
        <v>9.5</v>
      </c>
      <c r="AB4061" s="18">
        <f t="shared" si="126"/>
        <v>2012</v>
      </c>
      <c r="AC4061" s="22">
        <f t="shared" si="127"/>
        <v>0.68866666666666665</v>
      </c>
    </row>
    <row r="4062" spans="1:29">
      <c r="A4062" s="8" t="s">
        <v>4770</v>
      </c>
      <c r="B4062" s="17" t="s">
        <v>7800</v>
      </c>
      <c r="C4062" s="13">
        <v>41081</v>
      </c>
      <c r="D4062" s="13" t="s">
        <v>8465</v>
      </c>
      <c r="E4062" s="10" t="s">
        <v>1082</v>
      </c>
      <c r="F4062" s="10" t="s">
        <v>4771</v>
      </c>
      <c r="H4062" s="2" t="s">
        <v>27</v>
      </c>
      <c r="L4062" s="18">
        <v>1</v>
      </c>
      <c r="N4062" s="13">
        <v>41196</v>
      </c>
      <c r="P4062" s="18" t="s">
        <v>1107</v>
      </c>
      <c r="Q4062" s="18">
        <v>0</v>
      </c>
      <c r="U4062" s="22">
        <v>0.78</v>
      </c>
      <c r="V4062" s="22">
        <f>3.44/5</f>
        <v>0.68799999999999994</v>
      </c>
      <c r="W4062" s="14" t="s">
        <v>7777</v>
      </c>
      <c r="X4062" s="3">
        <v>3</v>
      </c>
      <c r="Z4062" s="23">
        <v>6</v>
      </c>
      <c r="AB4062" s="18">
        <f t="shared" si="126"/>
        <v>2012</v>
      </c>
      <c r="AC4062" s="22">
        <f t="shared" si="127"/>
        <v>0.68933333333333335</v>
      </c>
    </row>
    <row r="4063" spans="1:29">
      <c r="A4063" s="8" t="s">
        <v>4597</v>
      </c>
      <c r="B4063" s="17" t="s">
        <v>7800</v>
      </c>
      <c r="C4063" s="13">
        <v>41081</v>
      </c>
      <c r="D4063" s="13" t="s">
        <v>8465</v>
      </c>
      <c r="E4063" s="10" t="s">
        <v>4574</v>
      </c>
      <c r="F4063" s="10" t="s">
        <v>4574</v>
      </c>
      <c r="H4063" s="2" t="s">
        <v>56</v>
      </c>
      <c r="L4063" s="18">
        <v>1</v>
      </c>
      <c r="N4063" s="13">
        <v>41699</v>
      </c>
      <c r="P4063" s="18" t="s">
        <v>1107</v>
      </c>
      <c r="Q4063" s="18">
        <v>0</v>
      </c>
      <c r="U4063" s="22">
        <v>0.7</v>
      </c>
      <c r="V4063" s="22">
        <f>3.57/5</f>
        <v>0.71399999999999997</v>
      </c>
      <c r="W4063" s="14" t="s">
        <v>7777</v>
      </c>
      <c r="X4063" s="3">
        <v>3</v>
      </c>
      <c r="Z4063" s="23">
        <v>3.5</v>
      </c>
      <c r="AB4063" s="18">
        <f t="shared" si="126"/>
        <v>2012</v>
      </c>
      <c r="AC4063" s="22">
        <f t="shared" si="127"/>
        <v>0.67133333333333323</v>
      </c>
    </row>
    <row r="4064" spans="1:29">
      <c r="A4064" s="8" t="s">
        <v>3450</v>
      </c>
      <c r="B4064" s="17" t="s">
        <v>7800</v>
      </c>
      <c r="C4064" s="13">
        <v>41080</v>
      </c>
      <c r="D4064" s="13" t="s">
        <v>8465</v>
      </c>
      <c r="E4064" s="10" t="s">
        <v>3451</v>
      </c>
      <c r="F4064" s="10" t="s">
        <v>3451</v>
      </c>
      <c r="H4064" s="2" t="s">
        <v>1057</v>
      </c>
      <c r="L4064" s="18">
        <v>1</v>
      </c>
      <c r="N4064" s="13">
        <v>41823</v>
      </c>
      <c r="P4064" s="18" t="s">
        <v>1107</v>
      </c>
      <c r="Q4064" s="18">
        <v>0</v>
      </c>
      <c r="U4064" s="22">
        <v>0.91</v>
      </c>
      <c r="V4064" s="22">
        <f>3.67/5</f>
        <v>0.73399999999999999</v>
      </c>
      <c r="W4064" s="14" t="s">
        <v>7777</v>
      </c>
      <c r="X4064" s="3">
        <v>3</v>
      </c>
      <c r="Z4064" s="23">
        <v>3.5</v>
      </c>
      <c r="AB4064" s="18">
        <f t="shared" si="126"/>
        <v>2012</v>
      </c>
      <c r="AC4064" s="22">
        <f t="shared" si="127"/>
        <v>0.74800000000000011</v>
      </c>
    </row>
    <row r="4065" spans="1:29" ht="45">
      <c r="A4065" s="8" t="s">
        <v>4293</v>
      </c>
      <c r="B4065" s="17" t="s">
        <v>7800</v>
      </c>
      <c r="C4065" s="13">
        <v>41079</v>
      </c>
      <c r="D4065" s="13" t="s">
        <v>8465</v>
      </c>
      <c r="E4065" s="10" t="s">
        <v>1156</v>
      </c>
      <c r="F4065" s="10" t="s">
        <v>1309</v>
      </c>
      <c r="G4065" s="11" t="s">
        <v>4294</v>
      </c>
      <c r="H4065" s="2" t="s">
        <v>80</v>
      </c>
      <c r="L4065" s="18">
        <v>1</v>
      </c>
      <c r="N4065" s="13">
        <v>42048</v>
      </c>
      <c r="O4065" s="29">
        <v>1.81</v>
      </c>
      <c r="P4065" s="18" t="s">
        <v>1107</v>
      </c>
      <c r="Q4065" s="18">
        <v>0</v>
      </c>
      <c r="U4065" s="22">
        <v>0.78</v>
      </c>
      <c r="V4065" s="22">
        <f>3.7/5</f>
        <v>0.74</v>
      </c>
      <c r="W4065" s="14" t="s">
        <v>7777</v>
      </c>
      <c r="X4065" s="3">
        <v>3</v>
      </c>
      <c r="Z4065" s="23">
        <v>9</v>
      </c>
      <c r="AB4065" s="18">
        <f t="shared" si="126"/>
        <v>2012</v>
      </c>
      <c r="AC4065" s="22">
        <f t="shared" si="127"/>
        <v>0.70666666666666667</v>
      </c>
    </row>
    <row r="4066" spans="1:29" ht="25.5">
      <c r="A4066" s="8" t="s">
        <v>5411</v>
      </c>
      <c r="B4066" s="17" t="s">
        <v>7800</v>
      </c>
      <c r="C4066" s="13">
        <v>41079</v>
      </c>
      <c r="D4066" s="13" t="s">
        <v>8465</v>
      </c>
      <c r="E4066" s="10" t="s">
        <v>5412</v>
      </c>
      <c r="F4066" s="10" t="s">
        <v>5412</v>
      </c>
      <c r="H4066" s="2" t="s">
        <v>1040</v>
      </c>
      <c r="L4066" s="18">
        <v>1</v>
      </c>
      <c r="N4066" s="13">
        <v>41429</v>
      </c>
      <c r="P4066" s="18" t="s">
        <v>1107</v>
      </c>
      <c r="Q4066" s="18">
        <v>0</v>
      </c>
      <c r="U4066" s="22">
        <v>0.77</v>
      </c>
      <c r="V4066" s="22">
        <f>3.53/5</f>
        <v>0.70599999999999996</v>
      </c>
      <c r="W4066" s="14" t="s">
        <v>7777</v>
      </c>
      <c r="X4066" s="3">
        <v>3</v>
      </c>
      <c r="Z4066" s="23">
        <v>2.5</v>
      </c>
      <c r="AB4066" s="18">
        <f t="shared" si="126"/>
        <v>2012</v>
      </c>
      <c r="AC4066" s="22">
        <f t="shared" si="127"/>
        <v>0.69200000000000006</v>
      </c>
    </row>
    <row r="4067" spans="1:29" ht="25.5">
      <c r="A4067" s="8" t="s">
        <v>14585</v>
      </c>
      <c r="B4067" s="17" t="s">
        <v>7765</v>
      </c>
      <c r="C4067" s="13">
        <v>41079</v>
      </c>
      <c r="D4067" s="13" t="s">
        <v>8465</v>
      </c>
      <c r="E4067" s="10" t="s">
        <v>73</v>
      </c>
      <c r="F4067" s="10" t="s">
        <v>1580</v>
      </c>
      <c r="G4067" s="11" t="s">
        <v>14586</v>
      </c>
      <c r="H4067" s="2" t="s">
        <v>1204</v>
      </c>
      <c r="L4067" s="18">
        <v>0</v>
      </c>
      <c r="Q4067" s="18">
        <v>0</v>
      </c>
      <c r="U4067" s="22">
        <v>0.38</v>
      </c>
      <c r="V4067" s="22">
        <f>2.16/5</f>
        <v>0.43200000000000005</v>
      </c>
      <c r="X4067" s="3">
        <v>2</v>
      </c>
      <c r="Y4067" s="18">
        <v>1</v>
      </c>
      <c r="Z4067" s="23">
        <v>16</v>
      </c>
      <c r="AB4067" s="18">
        <f t="shared" si="126"/>
        <v>2012</v>
      </c>
      <c r="AC4067" s="22">
        <f t="shared" si="127"/>
        <v>0.40400000000000008</v>
      </c>
    </row>
    <row r="4068" spans="1:29">
      <c r="A4068" s="8" t="s">
        <v>2279</v>
      </c>
      <c r="B4068" s="17" t="s">
        <v>7748</v>
      </c>
      <c r="C4068" s="13">
        <v>41078</v>
      </c>
      <c r="D4068" s="13" t="s">
        <v>8465</v>
      </c>
      <c r="E4068" s="10" t="s">
        <v>86</v>
      </c>
      <c r="F4068" s="10" t="s">
        <v>2335</v>
      </c>
      <c r="G4068" s="11" t="s">
        <v>1470</v>
      </c>
      <c r="H4068" s="2" t="s">
        <v>75</v>
      </c>
      <c r="L4068" s="18">
        <v>0</v>
      </c>
      <c r="Q4068" s="18">
        <v>0</v>
      </c>
      <c r="U4068" s="22">
        <v>0.82</v>
      </c>
      <c r="V4068" s="22">
        <f>3.98/5</f>
        <v>0.79600000000000004</v>
      </c>
      <c r="X4068" s="3">
        <v>4</v>
      </c>
      <c r="Z4068" s="23">
        <v>13</v>
      </c>
      <c r="AB4068" s="18">
        <f t="shared" si="126"/>
        <v>2012</v>
      </c>
      <c r="AC4068" s="22">
        <f t="shared" si="127"/>
        <v>0.80533333333333346</v>
      </c>
    </row>
    <row r="4069" spans="1:29" ht="30">
      <c r="A4069" s="8" t="s">
        <v>6214</v>
      </c>
      <c r="B4069" s="17" t="s">
        <v>7762</v>
      </c>
      <c r="C4069" s="13">
        <v>41072</v>
      </c>
      <c r="D4069" s="13" t="s">
        <v>8465</v>
      </c>
      <c r="E4069" s="10" t="s">
        <v>228</v>
      </c>
      <c r="F4069" s="10" t="s">
        <v>1416</v>
      </c>
      <c r="G4069" s="11" t="s">
        <v>1987</v>
      </c>
      <c r="H4069" s="2" t="s">
        <v>75</v>
      </c>
      <c r="L4069" s="18">
        <v>0</v>
      </c>
      <c r="Q4069" s="18">
        <v>0</v>
      </c>
      <c r="U4069" s="22">
        <v>0.7</v>
      </c>
      <c r="V4069" s="22">
        <f>3.68/5</f>
        <v>0.73599999999999999</v>
      </c>
      <c r="X4069" s="3">
        <v>4</v>
      </c>
      <c r="Z4069" s="23">
        <v>23</v>
      </c>
      <c r="AB4069" s="18">
        <f t="shared" si="126"/>
        <v>2012</v>
      </c>
      <c r="AC4069" s="22">
        <f t="shared" si="127"/>
        <v>0.74533333333333329</v>
      </c>
    </row>
    <row r="4070" spans="1:29" ht="45">
      <c r="A4070" s="8" t="s">
        <v>5966</v>
      </c>
      <c r="B4070" s="17" t="s">
        <v>7759</v>
      </c>
      <c r="C4070" s="13">
        <v>41072</v>
      </c>
      <c r="D4070" s="13" t="s">
        <v>8465</v>
      </c>
      <c r="E4070" s="10" t="s">
        <v>1156</v>
      </c>
      <c r="F4070" s="10" t="s">
        <v>1505</v>
      </c>
      <c r="H4070" s="2" t="s">
        <v>1059</v>
      </c>
      <c r="L4070" s="18">
        <v>1</v>
      </c>
      <c r="M4070" s="14" t="s">
        <v>8462</v>
      </c>
      <c r="N4070" s="13">
        <v>43414</v>
      </c>
      <c r="O4070" s="29">
        <v>13.46</v>
      </c>
      <c r="P4070" s="18" t="s">
        <v>14</v>
      </c>
      <c r="Q4070" s="18">
        <v>0</v>
      </c>
      <c r="U4070" s="22">
        <v>0.68</v>
      </c>
      <c r="V4070" s="22">
        <f>3.72/5</f>
        <v>0.74399999999999999</v>
      </c>
      <c r="X4070" s="3">
        <v>3</v>
      </c>
      <c r="Z4070" s="23">
        <v>6.5</v>
      </c>
      <c r="AB4070" s="18">
        <f t="shared" si="126"/>
        <v>2012</v>
      </c>
      <c r="AC4070" s="22">
        <f t="shared" si="127"/>
        <v>0.67466666666666664</v>
      </c>
    </row>
    <row r="4071" spans="1:29" ht="25.5">
      <c r="A4071" s="8" t="s">
        <v>5018</v>
      </c>
      <c r="B4071" s="17" t="s">
        <v>7800</v>
      </c>
      <c r="C4071" s="13">
        <v>41072</v>
      </c>
      <c r="D4071" s="13" t="s">
        <v>8465</v>
      </c>
      <c r="E4071" s="10" t="s">
        <v>5019</v>
      </c>
      <c r="F4071" s="10" t="s">
        <v>5020</v>
      </c>
      <c r="G4071" s="11" t="s">
        <v>5021</v>
      </c>
      <c r="H4071" s="2" t="s">
        <v>1143</v>
      </c>
      <c r="L4071" s="18">
        <v>1</v>
      </c>
      <c r="N4071" s="13">
        <v>43419</v>
      </c>
      <c r="P4071" s="18" t="s">
        <v>1107</v>
      </c>
      <c r="Q4071" s="18">
        <v>0</v>
      </c>
      <c r="U4071" s="22">
        <v>0.83</v>
      </c>
      <c r="V4071" s="22">
        <f>3.82/5</f>
        <v>0.76400000000000001</v>
      </c>
      <c r="W4071" s="14" t="s">
        <v>7777</v>
      </c>
      <c r="X4071" s="3">
        <v>2</v>
      </c>
      <c r="Z4071" s="23">
        <v>15</v>
      </c>
      <c r="AB4071" s="18">
        <f t="shared" si="126"/>
        <v>2012</v>
      </c>
      <c r="AC4071" s="22">
        <f t="shared" si="127"/>
        <v>0.66466666666666663</v>
      </c>
    </row>
    <row r="4072" spans="1:29">
      <c r="A4072" s="8" t="s">
        <v>4256</v>
      </c>
      <c r="B4072" s="17" t="s">
        <v>7800</v>
      </c>
      <c r="C4072" s="13">
        <v>41072</v>
      </c>
      <c r="D4072" s="13" t="s">
        <v>8465</v>
      </c>
      <c r="E4072" s="10" t="s">
        <v>4257</v>
      </c>
      <c r="F4072" s="10" t="s">
        <v>4257</v>
      </c>
      <c r="H4072" s="2" t="s">
        <v>75</v>
      </c>
      <c r="L4072" s="18">
        <v>1</v>
      </c>
      <c r="N4072" s="13">
        <v>41704</v>
      </c>
      <c r="P4072" s="18" t="s">
        <v>1107</v>
      </c>
      <c r="Q4072" s="18">
        <v>0</v>
      </c>
      <c r="U4072" s="22">
        <v>0.56000000000000005</v>
      </c>
      <c r="V4072" s="22">
        <f>3.2/5</f>
        <v>0.64</v>
      </c>
      <c r="W4072" s="14" t="s">
        <v>7777</v>
      </c>
      <c r="X4072" s="3">
        <v>2</v>
      </c>
      <c r="Z4072" s="23">
        <v>17.5</v>
      </c>
      <c r="AB4072" s="18">
        <f t="shared" si="126"/>
        <v>2012</v>
      </c>
      <c r="AC4072" s="22">
        <f t="shared" si="127"/>
        <v>0.53333333333333333</v>
      </c>
    </row>
    <row r="4073" spans="1:29" ht="25.5">
      <c r="A4073" s="8" t="s">
        <v>13065</v>
      </c>
      <c r="B4073" s="17" t="s">
        <v>7763</v>
      </c>
      <c r="C4073" s="13">
        <v>41067</v>
      </c>
      <c r="D4073" s="13" t="s">
        <v>8463</v>
      </c>
      <c r="E4073" s="10" t="s">
        <v>3568</v>
      </c>
      <c r="F4073" s="10" t="s">
        <v>8933</v>
      </c>
      <c r="G4073" s="11" t="s">
        <v>1395</v>
      </c>
      <c r="H4073" s="2" t="s">
        <v>1204</v>
      </c>
      <c r="K4073" s="18">
        <v>0</v>
      </c>
      <c r="L4073" s="18">
        <v>0</v>
      </c>
      <c r="Q4073" s="18">
        <v>0</v>
      </c>
      <c r="V4073" s="22">
        <f>4.25/5</f>
        <v>0.85</v>
      </c>
      <c r="X4073" s="3">
        <v>2</v>
      </c>
      <c r="AB4073" s="18">
        <f t="shared" si="126"/>
        <v>2012</v>
      </c>
      <c r="AC4073" s="22">
        <f t="shared" si="127"/>
        <v>0.625</v>
      </c>
    </row>
    <row r="4074" spans="1:29">
      <c r="A4074" s="8" t="s">
        <v>5614</v>
      </c>
      <c r="B4074" s="17" t="s">
        <v>7800</v>
      </c>
      <c r="C4074" s="13">
        <v>41060</v>
      </c>
      <c r="D4074" s="13" t="s">
        <v>8465</v>
      </c>
      <c r="E4074" s="10" t="s">
        <v>1534</v>
      </c>
      <c r="F4074" s="10" t="s">
        <v>1245</v>
      </c>
      <c r="G4074" s="11" t="s">
        <v>304</v>
      </c>
      <c r="H4074" s="2" t="s">
        <v>171</v>
      </c>
      <c r="L4074" s="18">
        <v>1</v>
      </c>
      <c r="N4074" s="13">
        <v>41829</v>
      </c>
      <c r="O4074" s="29">
        <v>4.99</v>
      </c>
      <c r="P4074" s="18" t="s">
        <v>1107</v>
      </c>
      <c r="Q4074" s="18">
        <v>0</v>
      </c>
      <c r="U4074" s="22">
        <v>0.8</v>
      </c>
      <c r="V4074" s="22">
        <f>4.17/5</f>
        <v>0.83399999999999996</v>
      </c>
      <c r="W4074" s="14" t="s">
        <v>7777</v>
      </c>
      <c r="X4074" s="3">
        <v>4</v>
      </c>
      <c r="Z4074" s="23">
        <v>11.5</v>
      </c>
      <c r="AB4074" s="18">
        <f t="shared" si="126"/>
        <v>2012</v>
      </c>
      <c r="AC4074" s="22">
        <f t="shared" si="127"/>
        <v>0.81133333333333335</v>
      </c>
    </row>
    <row r="4075" spans="1:29">
      <c r="A4075" s="8" t="s">
        <v>4408</v>
      </c>
      <c r="B4075" s="17" t="s">
        <v>7800</v>
      </c>
      <c r="C4075" s="13">
        <v>41058</v>
      </c>
      <c r="D4075" s="13" t="s">
        <v>8465</v>
      </c>
      <c r="E4075" s="10" t="s">
        <v>1618</v>
      </c>
      <c r="F4075" s="10" t="s">
        <v>4409</v>
      </c>
      <c r="G4075" s="11" t="s">
        <v>4406</v>
      </c>
      <c r="H4075" s="2" t="s">
        <v>1168</v>
      </c>
      <c r="L4075" s="18">
        <v>1</v>
      </c>
      <c r="N4075" s="13">
        <v>41608</v>
      </c>
      <c r="O4075" s="29">
        <v>3.99</v>
      </c>
      <c r="P4075" s="18" t="s">
        <v>1107</v>
      </c>
      <c r="Q4075" s="18">
        <v>0</v>
      </c>
      <c r="U4075" s="22">
        <v>0.86</v>
      </c>
      <c r="V4075" s="22">
        <f>3.94/5</f>
        <v>0.78800000000000003</v>
      </c>
      <c r="W4075" s="14" t="s">
        <v>7777</v>
      </c>
      <c r="X4075" s="3">
        <v>4</v>
      </c>
      <c r="Z4075" s="23">
        <v>10</v>
      </c>
      <c r="AB4075" s="18">
        <f t="shared" si="126"/>
        <v>2012</v>
      </c>
      <c r="AC4075" s="22">
        <f t="shared" si="127"/>
        <v>0.81600000000000017</v>
      </c>
    </row>
    <row r="4076" spans="1:29" ht="25.5">
      <c r="A4076" s="8" t="s">
        <v>5926</v>
      </c>
      <c r="B4076" s="17" t="s">
        <v>7759</v>
      </c>
      <c r="C4076" s="13">
        <v>41058</v>
      </c>
      <c r="D4076" s="13" t="s">
        <v>8465</v>
      </c>
      <c r="E4076" s="10" t="s">
        <v>1062</v>
      </c>
      <c r="F4076" s="10" t="s">
        <v>1566</v>
      </c>
      <c r="G4076" s="11" t="s">
        <v>1567</v>
      </c>
      <c r="H4076" s="2" t="s">
        <v>149</v>
      </c>
      <c r="L4076" s="18">
        <v>1</v>
      </c>
      <c r="M4076" s="14" t="s">
        <v>8462</v>
      </c>
      <c r="N4076" s="13">
        <v>43533</v>
      </c>
      <c r="O4076" s="29">
        <v>15.5</v>
      </c>
      <c r="P4076" s="18" t="s">
        <v>14</v>
      </c>
      <c r="Q4076" s="18">
        <v>0</v>
      </c>
      <c r="U4076" s="22">
        <v>0.72</v>
      </c>
      <c r="V4076" s="22">
        <f>4.06/5</f>
        <v>0.81199999999999994</v>
      </c>
      <c r="X4076" s="3">
        <v>3</v>
      </c>
      <c r="Z4076" s="23">
        <v>29.5</v>
      </c>
      <c r="AB4076" s="18">
        <f t="shared" si="126"/>
        <v>2012</v>
      </c>
      <c r="AC4076" s="22">
        <f t="shared" si="127"/>
        <v>0.71066666666666667</v>
      </c>
    </row>
    <row r="4077" spans="1:29" ht="30">
      <c r="A4077" s="8" t="s">
        <v>6283</v>
      </c>
      <c r="B4077" s="17" t="s">
        <v>7763</v>
      </c>
      <c r="C4077" s="13">
        <v>41058</v>
      </c>
      <c r="D4077" s="13" t="s">
        <v>8465</v>
      </c>
      <c r="E4077" s="10" t="s">
        <v>2908</v>
      </c>
      <c r="F4077" s="10" t="s">
        <v>6284</v>
      </c>
      <c r="G4077" s="11" t="s">
        <v>6005</v>
      </c>
      <c r="H4077" s="2" t="s">
        <v>1050</v>
      </c>
      <c r="L4077" s="18">
        <v>1</v>
      </c>
      <c r="M4077" s="14" t="s">
        <v>8462</v>
      </c>
      <c r="N4077" s="13">
        <v>43643</v>
      </c>
      <c r="O4077" s="29">
        <v>20.45</v>
      </c>
      <c r="P4077" s="18" t="s">
        <v>14</v>
      </c>
      <c r="Q4077" s="18">
        <v>0</v>
      </c>
      <c r="U4077" s="22">
        <v>0.59</v>
      </c>
      <c r="V4077" s="22">
        <f>3.32/5</f>
        <v>0.66399999999999992</v>
      </c>
      <c r="X4077" s="3">
        <v>3</v>
      </c>
      <c r="Z4077" s="23">
        <v>6</v>
      </c>
      <c r="AB4077" s="18">
        <f t="shared" si="126"/>
        <v>2012</v>
      </c>
      <c r="AC4077" s="22">
        <f t="shared" si="127"/>
        <v>0.61799999999999999</v>
      </c>
    </row>
    <row r="4078" spans="1:29">
      <c r="A4078" s="8" t="s">
        <v>3885</v>
      </c>
      <c r="B4078" s="17" t="s">
        <v>7800</v>
      </c>
      <c r="C4078" s="13">
        <v>41053</v>
      </c>
      <c r="D4078" s="13" t="s">
        <v>8465</v>
      </c>
      <c r="E4078" s="10" t="s">
        <v>3886</v>
      </c>
      <c r="F4078" s="10" t="s">
        <v>3886</v>
      </c>
      <c r="G4078" s="11" t="s">
        <v>3885</v>
      </c>
      <c r="H4078" s="2" t="s">
        <v>1169</v>
      </c>
      <c r="L4078" s="18">
        <v>1</v>
      </c>
      <c r="N4078" s="13">
        <v>41136</v>
      </c>
      <c r="P4078" s="18" t="s">
        <v>1107</v>
      </c>
      <c r="Q4078" s="18">
        <v>0</v>
      </c>
      <c r="V4078" s="22">
        <f>3.31/5</f>
        <v>0.66200000000000003</v>
      </c>
      <c r="W4078" s="14" t="s">
        <v>7777</v>
      </c>
      <c r="X4078" s="3">
        <v>2</v>
      </c>
      <c r="Z4078" s="23">
        <v>6.5</v>
      </c>
      <c r="AB4078" s="18">
        <f t="shared" si="126"/>
        <v>2012</v>
      </c>
      <c r="AC4078" s="22">
        <f t="shared" si="127"/>
        <v>0.53100000000000003</v>
      </c>
    </row>
    <row r="4079" spans="1:29">
      <c r="A4079" s="8" t="s">
        <v>3667</v>
      </c>
      <c r="B4079" s="17" t="s">
        <v>7800</v>
      </c>
      <c r="C4079" s="13">
        <v>41052</v>
      </c>
      <c r="D4079" s="13" t="s">
        <v>8465</v>
      </c>
      <c r="E4079" s="10" t="s">
        <v>1513</v>
      </c>
      <c r="F4079" s="10" t="s">
        <v>1513</v>
      </c>
      <c r="G4079" s="11" t="s">
        <v>3666</v>
      </c>
      <c r="H4079" s="2" t="s">
        <v>150</v>
      </c>
      <c r="L4079" s="18">
        <v>1</v>
      </c>
      <c r="N4079" s="13">
        <v>41672</v>
      </c>
      <c r="P4079" s="18" t="s">
        <v>1107</v>
      </c>
      <c r="Q4079" s="18">
        <v>0</v>
      </c>
      <c r="U4079" s="22">
        <v>0.7</v>
      </c>
      <c r="V4079" s="22">
        <f>3.19/5</f>
        <v>0.63800000000000001</v>
      </c>
      <c r="W4079" s="14" t="s">
        <v>7777</v>
      </c>
      <c r="X4079" s="3">
        <v>2</v>
      </c>
      <c r="Z4079" s="23">
        <v>9.5</v>
      </c>
      <c r="AB4079" s="18">
        <f t="shared" si="126"/>
        <v>2012</v>
      </c>
      <c r="AC4079" s="22">
        <f t="shared" si="127"/>
        <v>0.57933333333333337</v>
      </c>
    </row>
    <row r="4080" spans="1:29" ht="25.5">
      <c r="A4080" s="8" t="s">
        <v>14315</v>
      </c>
      <c r="B4080" s="17" t="s">
        <v>7759</v>
      </c>
      <c r="C4080" s="13">
        <v>41052</v>
      </c>
      <c r="D4080" s="13" t="s">
        <v>8465</v>
      </c>
      <c r="E4080" s="10" t="s">
        <v>14316</v>
      </c>
      <c r="F4080" s="10" t="s">
        <v>6200</v>
      </c>
      <c r="G4080" s="11" t="s">
        <v>3692</v>
      </c>
      <c r="H4080" s="2" t="s">
        <v>80</v>
      </c>
      <c r="L4080" s="18">
        <v>0</v>
      </c>
      <c r="Q4080" s="18">
        <v>0</v>
      </c>
      <c r="U4080" s="22">
        <v>0.39</v>
      </c>
      <c r="V4080" s="22">
        <f>3.01/5</f>
        <v>0.60199999999999998</v>
      </c>
      <c r="X4080" s="3">
        <v>2</v>
      </c>
      <c r="Y4080" s="18">
        <v>1</v>
      </c>
      <c r="Z4080" s="23">
        <v>7.5</v>
      </c>
      <c r="AB4080" s="18">
        <f t="shared" si="126"/>
        <v>2012</v>
      </c>
      <c r="AC4080" s="22">
        <f t="shared" si="127"/>
        <v>0.46399999999999997</v>
      </c>
    </row>
    <row r="4081" spans="1:29" ht="30">
      <c r="A4081" s="8" t="s">
        <v>10626</v>
      </c>
      <c r="B4081" s="17" t="s">
        <v>7759</v>
      </c>
      <c r="C4081" s="13">
        <v>41051</v>
      </c>
      <c r="D4081" s="13" t="s">
        <v>8465</v>
      </c>
      <c r="E4081" s="10" t="s">
        <v>2908</v>
      </c>
      <c r="F4081" s="10" t="s">
        <v>10627</v>
      </c>
      <c r="H4081" s="2" t="s">
        <v>80</v>
      </c>
      <c r="L4081" s="18">
        <v>0</v>
      </c>
      <c r="Q4081" s="18">
        <v>0</v>
      </c>
      <c r="U4081" s="22">
        <v>0.7</v>
      </c>
      <c r="V4081" s="22">
        <f>3.18/5</f>
        <v>0.63600000000000001</v>
      </c>
      <c r="X4081" s="3">
        <v>2</v>
      </c>
      <c r="Y4081" s="18">
        <v>1</v>
      </c>
      <c r="Z4081" s="23">
        <v>6.5</v>
      </c>
      <c r="AB4081" s="18">
        <f t="shared" si="126"/>
        <v>2012</v>
      </c>
      <c r="AC4081" s="22">
        <f t="shared" si="127"/>
        <v>0.57866666666666655</v>
      </c>
    </row>
    <row r="4082" spans="1:29" ht="25.5">
      <c r="A4082" s="8" t="s">
        <v>15752</v>
      </c>
      <c r="B4082" s="17" t="s">
        <v>7759</v>
      </c>
      <c r="C4082" s="13">
        <v>41051</v>
      </c>
      <c r="D4082" s="13" t="s">
        <v>8465</v>
      </c>
      <c r="E4082" s="10" t="s">
        <v>311</v>
      </c>
      <c r="F4082" s="10" t="s">
        <v>15753</v>
      </c>
      <c r="G4082" s="11" t="s">
        <v>445</v>
      </c>
      <c r="H4082" s="2" t="s">
        <v>171</v>
      </c>
      <c r="L4082" s="18">
        <v>0</v>
      </c>
      <c r="Q4082" s="18">
        <v>0</v>
      </c>
      <c r="U4082" s="22">
        <v>0.46</v>
      </c>
      <c r="V4082" s="22">
        <f>1.89/5</f>
        <v>0.378</v>
      </c>
      <c r="X4082" s="3">
        <v>2</v>
      </c>
      <c r="Y4082" s="18">
        <v>1</v>
      </c>
      <c r="Z4082" s="23">
        <v>7</v>
      </c>
      <c r="AB4082" s="18">
        <f t="shared" si="126"/>
        <v>2012</v>
      </c>
      <c r="AC4082" s="22">
        <f t="shared" si="127"/>
        <v>0.41266666666666668</v>
      </c>
    </row>
    <row r="4083" spans="1:29" ht="30">
      <c r="A4083" s="8" t="s">
        <v>9675</v>
      </c>
      <c r="B4083" s="17" t="s">
        <v>7749</v>
      </c>
      <c r="C4083" s="13">
        <v>41049</v>
      </c>
      <c r="D4083" s="13" t="s">
        <v>8465</v>
      </c>
      <c r="E4083" s="10" t="s">
        <v>86</v>
      </c>
      <c r="F4083" s="10" t="s">
        <v>1160</v>
      </c>
      <c r="G4083" s="11" t="s">
        <v>877</v>
      </c>
      <c r="H4083" s="2" t="s">
        <v>255</v>
      </c>
      <c r="L4083" s="18">
        <v>1</v>
      </c>
      <c r="M4083" s="14" t="s">
        <v>10622</v>
      </c>
      <c r="N4083" s="13">
        <v>44211</v>
      </c>
      <c r="O4083" s="29">
        <v>7.49</v>
      </c>
      <c r="P4083" s="18" t="s">
        <v>14</v>
      </c>
      <c r="Q4083" s="18">
        <v>0</v>
      </c>
      <c r="U4083" s="22">
        <v>0.69</v>
      </c>
      <c r="V4083" s="22">
        <f>3.61/5</f>
        <v>0.72199999999999998</v>
      </c>
      <c r="X4083" s="3">
        <v>3</v>
      </c>
      <c r="Z4083" s="23">
        <v>6</v>
      </c>
      <c r="AB4083" s="18">
        <f t="shared" si="126"/>
        <v>2012</v>
      </c>
      <c r="AC4083" s="22">
        <f t="shared" si="127"/>
        <v>0.67066666666666663</v>
      </c>
    </row>
    <row r="4084" spans="1:29" ht="25.5">
      <c r="A4084" s="8" t="s">
        <v>3144</v>
      </c>
      <c r="B4084" s="17" t="s">
        <v>7800</v>
      </c>
      <c r="C4084" s="13">
        <v>41047</v>
      </c>
      <c r="D4084" s="13" t="s">
        <v>8465</v>
      </c>
      <c r="E4084" s="10" t="s">
        <v>3143</v>
      </c>
      <c r="F4084" s="10" t="s">
        <v>3143</v>
      </c>
      <c r="G4084" s="11" t="s">
        <v>3142</v>
      </c>
      <c r="H4084" s="2" t="s">
        <v>2138</v>
      </c>
      <c r="L4084" s="18">
        <v>1</v>
      </c>
      <c r="N4084" s="13">
        <v>41443</v>
      </c>
      <c r="P4084" s="18" t="s">
        <v>1107</v>
      </c>
      <c r="Q4084" s="18">
        <v>0</v>
      </c>
      <c r="V4084" s="22">
        <f>3.23/5</f>
        <v>0.64600000000000002</v>
      </c>
      <c r="W4084" s="14" t="s">
        <v>7777</v>
      </c>
      <c r="X4084" s="3">
        <v>2</v>
      </c>
      <c r="Z4084" s="23">
        <v>2</v>
      </c>
      <c r="AB4084" s="18">
        <f t="shared" si="126"/>
        <v>2012</v>
      </c>
      <c r="AC4084" s="22">
        <f t="shared" si="127"/>
        <v>0.52300000000000002</v>
      </c>
    </row>
    <row r="4085" spans="1:29" ht="25.5">
      <c r="A4085" s="8" t="s">
        <v>5075</v>
      </c>
      <c r="B4085" s="17" t="s">
        <v>7800</v>
      </c>
      <c r="C4085" s="13">
        <v>41044</v>
      </c>
      <c r="D4085" s="13" t="s">
        <v>8465</v>
      </c>
      <c r="E4085" s="10" t="s">
        <v>455</v>
      </c>
      <c r="F4085" s="10" t="s">
        <v>1232</v>
      </c>
      <c r="G4085" s="11" t="s">
        <v>1688</v>
      </c>
      <c r="H4085" s="2" t="s">
        <v>64</v>
      </c>
      <c r="L4085" s="18">
        <v>1</v>
      </c>
      <c r="N4085" s="13">
        <v>41765</v>
      </c>
      <c r="P4085" s="18" t="s">
        <v>1107</v>
      </c>
      <c r="Q4085" s="18">
        <v>0</v>
      </c>
      <c r="U4085" s="22">
        <v>0.52</v>
      </c>
      <c r="V4085" s="22">
        <f>3.29/5</f>
        <v>0.65800000000000003</v>
      </c>
      <c r="W4085" s="14" t="s">
        <v>7777</v>
      </c>
      <c r="X4085" s="3">
        <v>3</v>
      </c>
      <c r="Z4085" s="23">
        <v>2.5</v>
      </c>
      <c r="AB4085" s="18">
        <f t="shared" si="126"/>
        <v>2012</v>
      </c>
      <c r="AC4085" s="22">
        <f t="shared" si="127"/>
        <v>0.59266666666666667</v>
      </c>
    </row>
    <row r="4086" spans="1:29">
      <c r="A4086" s="8" t="s">
        <v>3958</v>
      </c>
      <c r="B4086" s="17" t="s">
        <v>7800</v>
      </c>
      <c r="C4086" s="13">
        <v>41044</v>
      </c>
      <c r="D4086" s="13" t="s">
        <v>8465</v>
      </c>
      <c r="E4086" s="10" t="s">
        <v>2461</v>
      </c>
      <c r="F4086" s="10" t="s">
        <v>3959</v>
      </c>
      <c r="G4086" s="11" t="s">
        <v>3958</v>
      </c>
      <c r="H4086" s="2" t="s">
        <v>171</v>
      </c>
      <c r="L4086" s="18">
        <v>1</v>
      </c>
      <c r="N4086" s="13">
        <v>41557</v>
      </c>
      <c r="P4086" s="18" t="s">
        <v>1107</v>
      </c>
      <c r="Q4086" s="18">
        <v>0</v>
      </c>
      <c r="U4086" s="22">
        <v>0.56999999999999995</v>
      </c>
      <c r="V4086" s="22">
        <f>2.69/5</f>
        <v>0.53800000000000003</v>
      </c>
      <c r="W4086" s="14" t="s">
        <v>7777</v>
      </c>
      <c r="X4086" s="3">
        <v>2</v>
      </c>
      <c r="Z4086" s="23">
        <v>19.5</v>
      </c>
      <c r="AB4086" s="18">
        <f t="shared" si="126"/>
        <v>2012</v>
      </c>
      <c r="AC4086" s="22">
        <f t="shared" si="127"/>
        <v>0.50266666666666671</v>
      </c>
    </row>
    <row r="4087" spans="1:29">
      <c r="A4087" s="8" t="s">
        <v>5299</v>
      </c>
      <c r="B4087" s="17" t="s">
        <v>7800</v>
      </c>
      <c r="C4087" s="13">
        <v>41040</v>
      </c>
      <c r="D4087" s="13" t="s">
        <v>8465</v>
      </c>
      <c r="E4087" s="10" t="s">
        <v>5300</v>
      </c>
      <c r="F4087" s="10" t="s">
        <v>5301</v>
      </c>
      <c r="G4087" s="11" t="s">
        <v>5299</v>
      </c>
      <c r="H4087" s="2" t="s">
        <v>67</v>
      </c>
      <c r="L4087" s="18">
        <v>1</v>
      </c>
      <c r="N4087" s="13">
        <v>41683</v>
      </c>
      <c r="P4087" s="18" t="s">
        <v>1107</v>
      </c>
      <c r="Q4087" s="18">
        <v>0</v>
      </c>
      <c r="U4087" s="22">
        <v>0.76</v>
      </c>
      <c r="V4087" s="22">
        <f>3.83/5</f>
        <v>0.76600000000000001</v>
      </c>
      <c r="W4087" s="14" t="s">
        <v>7777</v>
      </c>
      <c r="X4087" s="3">
        <v>3</v>
      </c>
      <c r="Z4087" s="23">
        <v>13.5</v>
      </c>
      <c r="AB4087" s="18">
        <f t="shared" si="126"/>
        <v>2012</v>
      </c>
      <c r="AC4087" s="22">
        <f t="shared" si="127"/>
        <v>0.70866666666666667</v>
      </c>
    </row>
    <row r="4088" spans="1:29" ht="25.5">
      <c r="A4088" s="8" t="s">
        <v>5155</v>
      </c>
      <c r="B4088" s="17" t="s">
        <v>7800</v>
      </c>
      <c r="C4088" s="13">
        <v>41040</v>
      </c>
      <c r="D4088" s="13" t="s">
        <v>8465</v>
      </c>
      <c r="E4088" s="10" t="s">
        <v>73</v>
      </c>
      <c r="F4088" s="10" t="s">
        <v>73</v>
      </c>
      <c r="G4088" s="11" t="s">
        <v>227</v>
      </c>
      <c r="H4088" s="2" t="s">
        <v>459</v>
      </c>
      <c r="L4088" s="18">
        <v>1</v>
      </c>
      <c r="N4088" s="13">
        <v>43158</v>
      </c>
      <c r="P4088" s="18" t="s">
        <v>1107</v>
      </c>
      <c r="Q4088" s="18">
        <v>0</v>
      </c>
      <c r="U4088" s="22">
        <v>0.75</v>
      </c>
      <c r="V4088" s="22">
        <f>3.55/5</f>
        <v>0.71</v>
      </c>
      <c r="W4088" s="14" t="s">
        <v>7777</v>
      </c>
      <c r="X4088" s="3">
        <v>3</v>
      </c>
      <c r="Z4088" s="23">
        <v>2</v>
      </c>
      <c r="AB4088" s="18">
        <f t="shared" si="126"/>
        <v>2012</v>
      </c>
      <c r="AC4088" s="22">
        <f t="shared" si="127"/>
        <v>0.68666666666666665</v>
      </c>
    </row>
    <row r="4089" spans="1:29" ht="30">
      <c r="A4089" s="8" t="s">
        <v>6024</v>
      </c>
      <c r="B4089" s="17" t="s">
        <v>7759</v>
      </c>
      <c r="C4089" s="13">
        <v>41037</v>
      </c>
      <c r="D4089" s="13" t="s">
        <v>8465</v>
      </c>
      <c r="E4089" s="10" t="s">
        <v>2908</v>
      </c>
      <c r="F4089" s="10" t="s">
        <v>6025</v>
      </c>
      <c r="G4089" s="11" t="s">
        <v>6026</v>
      </c>
      <c r="H4089" s="2" t="s">
        <v>1168</v>
      </c>
      <c r="L4089" s="18">
        <v>1</v>
      </c>
      <c r="M4089" s="14" t="s">
        <v>8462</v>
      </c>
      <c r="N4089" s="13">
        <v>43534</v>
      </c>
      <c r="O4089" s="29">
        <v>7.89</v>
      </c>
      <c r="P4089" s="18" t="s">
        <v>14</v>
      </c>
      <c r="Q4089" s="18">
        <v>0</v>
      </c>
      <c r="U4089" s="22">
        <v>0.79</v>
      </c>
      <c r="V4089" s="22">
        <f>3.61/5</f>
        <v>0.72199999999999998</v>
      </c>
      <c r="X4089" s="3">
        <v>3</v>
      </c>
      <c r="Z4089" s="23">
        <v>5.5</v>
      </c>
      <c r="AB4089" s="18">
        <f t="shared" si="126"/>
        <v>2012</v>
      </c>
      <c r="AC4089" s="22">
        <f t="shared" si="127"/>
        <v>0.70400000000000007</v>
      </c>
    </row>
    <row r="4090" spans="1:29" ht="30">
      <c r="A4090" s="8" t="s">
        <v>15265</v>
      </c>
      <c r="B4090" s="17" t="s">
        <v>7759</v>
      </c>
      <c r="C4090" s="13">
        <v>41037</v>
      </c>
      <c r="D4090" s="13" t="s">
        <v>8465</v>
      </c>
      <c r="E4090" s="10" t="s">
        <v>2908</v>
      </c>
      <c r="F4090" s="10" t="s">
        <v>15266</v>
      </c>
      <c r="H4090" s="2" t="s">
        <v>67</v>
      </c>
      <c r="L4090" s="18">
        <v>0</v>
      </c>
      <c r="Q4090" s="18">
        <v>0</v>
      </c>
      <c r="U4090" s="22">
        <v>0.56999999999999995</v>
      </c>
      <c r="V4090" s="22">
        <f>2.65/5</f>
        <v>0.53</v>
      </c>
      <c r="X4090" s="3">
        <v>2</v>
      </c>
      <c r="Z4090" s="23">
        <v>1.5</v>
      </c>
      <c r="AB4090" s="18">
        <f t="shared" si="126"/>
        <v>2012</v>
      </c>
      <c r="AC4090" s="22">
        <f t="shared" si="127"/>
        <v>0.5</v>
      </c>
    </row>
    <row r="4091" spans="1:29" ht="30">
      <c r="A4091" s="8" t="s">
        <v>5612</v>
      </c>
      <c r="B4091" s="17" t="s">
        <v>7800</v>
      </c>
      <c r="C4091" s="13">
        <v>41035</v>
      </c>
      <c r="D4091" s="13" t="s">
        <v>8465</v>
      </c>
      <c r="E4091" s="10" t="s">
        <v>3780</v>
      </c>
      <c r="F4091" s="10" t="s">
        <v>3780</v>
      </c>
      <c r="G4091" s="11" t="s">
        <v>5612</v>
      </c>
      <c r="H4091" s="2" t="s">
        <v>151</v>
      </c>
      <c r="L4091" s="18">
        <v>1</v>
      </c>
      <c r="N4091" s="13">
        <v>43317</v>
      </c>
      <c r="P4091" s="18" t="s">
        <v>1107</v>
      </c>
      <c r="Q4091" s="18">
        <v>0</v>
      </c>
      <c r="U4091" s="22">
        <v>0.7</v>
      </c>
      <c r="V4091" s="22">
        <f>3.53/5</f>
        <v>0.70599999999999996</v>
      </c>
      <c r="W4091" s="14" t="s">
        <v>7777</v>
      </c>
      <c r="X4091" s="3">
        <v>3</v>
      </c>
      <c r="Z4091" s="23">
        <v>1.5</v>
      </c>
      <c r="AB4091" s="18">
        <f t="shared" si="126"/>
        <v>2012</v>
      </c>
      <c r="AC4091" s="22">
        <f t="shared" si="127"/>
        <v>0.66866666666666663</v>
      </c>
    </row>
    <row r="4092" spans="1:29" ht="30">
      <c r="A4092" s="8" t="s">
        <v>5051</v>
      </c>
      <c r="B4092" s="17" t="s">
        <v>7800</v>
      </c>
      <c r="C4092" s="13">
        <v>41029</v>
      </c>
      <c r="D4092" s="13" t="s">
        <v>8465</v>
      </c>
      <c r="E4092" s="10" t="s">
        <v>3152</v>
      </c>
      <c r="F4092" s="10" t="s">
        <v>3152</v>
      </c>
      <c r="G4092" s="11" t="s">
        <v>5047</v>
      </c>
      <c r="H4092" s="2" t="s">
        <v>245</v>
      </c>
      <c r="L4092" s="18">
        <v>1</v>
      </c>
      <c r="N4092" s="13">
        <v>41794</v>
      </c>
      <c r="O4092" s="29">
        <v>0</v>
      </c>
      <c r="P4092" s="18" t="s">
        <v>1107</v>
      </c>
      <c r="Q4092" s="18">
        <v>0</v>
      </c>
      <c r="U4092" s="22">
        <v>0.66</v>
      </c>
      <c r="V4092" s="22">
        <f>3.42/5</f>
        <v>0.68399999999999994</v>
      </c>
      <c r="W4092" s="14" t="s">
        <v>7777</v>
      </c>
      <c r="X4092" s="3">
        <v>3</v>
      </c>
      <c r="Z4092" s="23">
        <v>7</v>
      </c>
      <c r="AB4092" s="18">
        <f t="shared" si="126"/>
        <v>2012</v>
      </c>
      <c r="AC4092" s="22">
        <f t="shared" si="127"/>
        <v>0.64800000000000002</v>
      </c>
    </row>
    <row r="4093" spans="1:29">
      <c r="A4093" s="8" t="s">
        <v>3302</v>
      </c>
      <c r="B4093" s="17" t="s">
        <v>7800</v>
      </c>
      <c r="C4093" s="13">
        <v>41026</v>
      </c>
      <c r="D4093" s="13" t="s">
        <v>8465</v>
      </c>
      <c r="E4093" s="10" t="s">
        <v>455</v>
      </c>
      <c r="F4093" s="10" t="s">
        <v>455</v>
      </c>
      <c r="H4093" s="2" t="s">
        <v>1168</v>
      </c>
      <c r="L4093" s="18">
        <v>1</v>
      </c>
      <c r="N4093" s="13">
        <v>41669</v>
      </c>
      <c r="O4093" s="29">
        <v>2.9</v>
      </c>
      <c r="P4093" s="18" t="s">
        <v>1107</v>
      </c>
      <c r="Q4093" s="18">
        <v>0</v>
      </c>
      <c r="U4093" s="22">
        <v>0.63</v>
      </c>
      <c r="V4093" s="22">
        <f>3.7/5</f>
        <v>0.74</v>
      </c>
      <c r="W4093" s="14" t="s">
        <v>7777</v>
      </c>
      <c r="X4093" s="3">
        <v>4</v>
      </c>
      <c r="Z4093" s="23">
        <v>9</v>
      </c>
      <c r="AB4093" s="18">
        <f t="shared" si="126"/>
        <v>2012</v>
      </c>
      <c r="AC4093" s="22">
        <f t="shared" si="127"/>
        <v>0.72333333333333327</v>
      </c>
    </row>
    <row r="4094" spans="1:29">
      <c r="A4094" s="8" t="s">
        <v>5459</v>
      </c>
      <c r="B4094" s="17" t="s">
        <v>7800</v>
      </c>
      <c r="C4094" s="13">
        <v>41026</v>
      </c>
      <c r="D4094" s="13" t="s">
        <v>8465</v>
      </c>
      <c r="E4094" s="10" t="s">
        <v>3116</v>
      </c>
      <c r="F4094" s="10" t="s">
        <v>5460</v>
      </c>
      <c r="G4094" s="11" t="s">
        <v>5459</v>
      </c>
      <c r="H4094" s="2" t="s">
        <v>1169</v>
      </c>
      <c r="L4094" s="18">
        <v>1</v>
      </c>
      <c r="N4094" s="13">
        <v>41303</v>
      </c>
      <c r="P4094" s="18" t="s">
        <v>1107</v>
      </c>
      <c r="Q4094" s="18">
        <v>0</v>
      </c>
      <c r="U4094" s="22">
        <v>0.72</v>
      </c>
      <c r="V4094" s="22">
        <f>3.17/5</f>
        <v>0.63400000000000001</v>
      </c>
      <c r="W4094" s="14" t="s">
        <v>7777</v>
      </c>
      <c r="X4094" s="3">
        <v>3</v>
      </c>
      <c r="Z4094" s="23">
        <v>6</v>
      </c>
      <c r="AB4094" s="18">
        <f t="shared" si="126"/>
        <v>2012</v>
      </c>
      <c r="AC4094" s="22">
        <f t="shared" si="127"/>
        <v>0.65133333333333343</v>
      </c>
    </row>
    <row r="4095" spans="1:29" ht="25.5">
      <c r="A4095" s="8" t="s">
        <v>3437</v>
      </c>
      <c r="B4095" s="17" t="s">
        <v>7800</v>
      </c>
      <c r="C4095" s="13">
        <v>41026</v>
      </c>
      <c r="D4095" s="13" t="s">
        <v>8465</v>
      </c>
      <c r="E4095" s="10" t="s">
        <v>3159</v>
      </c>
      <c r="F4095" s="10">
        <v>773</v>
      </c>
      <c r="G4095" s="11" t="s">
        <v>3438</v>
      </c>
      <c r="H4095" s="2" t="s">
        <v>67</v>
      </c>
      <c r="L4095" s="18">
        <v>1</v>
      </c>
      <c r="N4095" s="13">
        <v>41494</v>
      </c>
      <c r="P4095" s="18" t="s">
        <v>1107</v>
      </c>
      <c r="Q4095" s="18">
        <v>0</v>
      </c>
      <c r="U4095" s="22">
        <v>0.57999999999999996</v>
      </c>
      <c r="V4095" s="22">
        <f>3.32/5</f>
        <v>0.66399999999999992</v>
      </c>
      <c r="W4095" s="14" t="s">
        <v>7777</v>
      </c>
      <c r="X4095" s="3">
        <v>3</v>
      </c>
      <c r="Z4095" s="23">
        <v>3.5</v>
      </c>
      <c r="AB4095" s="18">
        <f t="shared" si="126"/>
        <v>2012</v>
      </c>
      <c r="AC4095" s="22">
        <f t="shared" si="127"/>
        <v>0.61466666666666658</v>
      </c>
    </row>
    <row r="4096" spans="1:29">
      <c r="A4096" s="8" t="s">
        <v>4848</v>
      </c>
      <c r="B4096" s="17" t="s">
        <v>7800</v>
      </c>
      <c r="C4096" s="13">
        <v>41025</v>
      </c>
      <c r="D4096" s="13" t="s">
        <v>8465</v>
      </c>
      <c r="E4096" s="10" t="s">
        <v>1163</v>
      </c>
      <c r="F4096" s="10" t="s">
        <v>4847</v>
      </c>
      <c r="G4096" s="11" t="s">
        <v>4846</v>
      </c>
      <c r="H4096" s="2" t="s">
        <v>171</v>
      </c>
      <c r="L4096" s="18">
        <v>1</v>
      </c>
      <c r="N4096" s="13">
        <v>41485</v>
      </c>
      <c r="P4096" s="18" t="s">
        <v>1107</v>
      </c>
      <c r="Q4096" s="18">
        <v>0</v>
      </c>
      <c r="U4096" s="22">
        <v>0.68</v>
      </c>
      <c r="V4096" s="22">
        <f>3.47/5</f>
        <v>0.69400000000000006</v>
      </c>
      <c r="W4096" s="14" t="s">
        <v>7777</v>
      </c>
      <c r="X4096" s="3">
        <v>3</v>
      </c>
      <c r="Z4096" s="23">
        <v>27</v>
      </c>
      <c r="AB4096" s="18">
        <f t="shared" si="126"/>
        <v>2012</v>
      </c>
      <c r="AC4096" s="22">
        <f t="shared" si="127"/>
        <v>0.65800000000000003</v>
      </c>
    </row>
    <row r="4097" spans="1:29">
      <c r="A4097" s="8" t="s">
        <v>5991</v>
      </c>
      <c r="B4097" s="17" t="s">
        <v>7759</v>
      </c>
      <c r="C4097" s="13">
        <v>41023</v>
      </c>
      <c r="D4097" s="13" t="s">
        <v>8465</v>
      </c>
      <c r="E4097" s="10" t="s">
        <v>1273</v>
      </c>
      <c r="F4097" s="10" t="s">
        <v>1501</v>
      </c>
      <c r="G4097" s="11" t="s">
        <v>5992</v>
      </c>
      <c r="H4097" s="2" t="s">
        <v>80</v>
      </c>
      <c r="L4097" s="18">
        <v>1</v>
      </c>
      <c r="M4097" s="14" t="s">
        <v>8462</v>
      </c>
      <c r="N4097" s="13">
        <v>43485</v>
      </c>
      <c r="O4097" s="29">
        <v>6.99</v>
      </c>
      <c r="P4097" s="18" t="s">
        <v>14</v>
      </c>
      <c r="Q4097" s="18">
        <v>0</v>
      </c>
      <c r="U4097" s="22">
        <v>0.8</v>
      </c>
      <c r="V4097" s="22">
        <f>3.81/5</f>
        <v>0.76200000000000001</v>
      </c>
      <c r="X4097" s="3">
        <v>3</v>
      </c>
      <c r="Z4097" s="23">
        <v>10</v>
      </c>
      <c r="AB4097" s="18">
        <f t="shared" ref="AB4097:AB4160" si="128">IFERROR(YEAR(C4097), "Early Access")</f>
        <v>2012</v>
      </c>
      <c r="AC4097" s="22">
        <f t="shared" ref="AC4097:AC4160" si="129">AVERAGE(T4097, U4097, V4097, IF(ISBLANK(X4097), X4097, X4097/5))</f>
        <v>0.72066666666666668</v>
      </c>
    </row>
    <row r="4098" spans="1:29" ht="25.5">
      <c r="A4098" s="8" t="s">
        <v>4548</v>
      </c>
      <c r="B4098" s="17" t="s">
        <v>7800</v>
      </c>
      <c r="C4098" s="13">
        <v>41022</v>
      </c>
      <c r="D4098" s="13" t="s">
        <v>8465</v>
      </c>
      <c r="E4098" s="10" t="s">
        <v>1612</v>
      </c>
      <c r="F4098" s="10" t="s">
        <v>1612</v>
      </c>
      <c r="G4098" s="11" t="s">
        <v>4549</v>
      </c>
      <c r="H4098" s="2" t="s">
        <v>153</v>
      </c>
      <c r="L4098" s="18">
        <v>1</v>
      </c>
      <c r="N4098" s="13">
        <v>41078</v>
      </c>
      <c r="P4098" s="18" t="s">
        <v>1107</v>
      </c>
      <c r="Q4098" s="18">
        <v>0</v>
      </c>
      <c r="U4098" s="22">
        <v>0.8</v>
      </c>
      <c r="V4098" s="22">
        <f>3.94/5</f>
        <v>0.78800000000000003</v>
      </c>
      <c r="W4098" s="14" t="s">
        <v>7777</v>
      </c>
      <c r="X4098" s="3">
        <v>3</v>
      </c>
      <c r="Z4098" s="23">
        <v>1.5</v>
      </c>
      <c r="AB4098" s="18">
        <f t="shared" si="128"/>
        <v>2012</v>
      </c>
      <c r="AC4098" s="22">
        <f t="shared" si="129"/>
        <v>0.72933333333333339</v>
      </c>
    </row>
    <row r="4099" spans="1:29" ht="25.5">
      <c r="A4099" s="8" t="s">
        <v>10855</v>
      </c>
      <c r="B4099" s="17" t="s">
        <v>6317</v>
      </c>
      <c r="C4099" s="13">
        <v>41019</v>
      </c>
      <c r="D4099" s="13" t="s">
        <v>8463</v>
      </c>
      <c r="E4099" s="10" t="s">
        <v>467</v>
      </c>
      <c r="F4099" s="10" t="s">
        <v>467</v>
      </c>
      <c r="G4099" s="11" t="s">
        <v>323</v>
      </c>
      <c r="H4099" s="2" t="s">
        <v>21</v>
      </c>
      <c r="K4099" s="18">
        <v>0</v>
      </c>
      <c r="L4099" s="18">
        <v>0</v>
      </c>
      <c r="Q4099" s="18">
        <v>0</v>
      </c>
      <c r="V4099" s="22">
        <f>3.1/5</f>
        <v>0.62</v>
      </c>
      <c r="X4099" s="3">
        <v>3</v>
      </c>
      <c r="Z4099" s="23">
        <f>35/60</f>
        <v>0.58333333333333337</v>
      </c>
      <c r="AB4099" s="18">
        <f t="shared" si="128"/>
        <v>2012</v>
      </c>
      <c r="AC4099" s="22">
        <f t="shared" si="129"/>
        <v>0.61</v>
      </c>
    </row>
    <row r="4100" spans="1:29">
      <c r="A4100" s="8" t="s">
        <v>3332</v>
      </c>
      <c r="B4100" s="17" t="s">
        <v>7800</v>
      </c>
      <c r="C4100" s="13">
        <v>41019</v>
      </c>
      <c r="D4100" s="13" t="s">
        <v>8465</v>
      </c>
      <c r="E4100" s="10" t="s">
        <v>3333</v>
      </c>
      <c r="F4100" s="10" t="s">
        <v>3333</v>
      </c>
      <c r="H4100" s="2" t="s">
        <v>1059</v>
      </c>
      <c r="L4100" s="18">
        <v>1</v>
      </c>
      <c r="N4100" s="13">
        <v>41411</v>
      </c>
      <c r="P4100" s="18" t="s">
        <v>1107</v>
      </c>
      <c r="Q4100" s="18">
        <v>0</v>
      </c>
      <c r="U4100" s="22">
        <v>0.6</v>
      </c>
      <c r="V4100" s="22">
        <f>3.27/5</f>
        <v>0.65400000000000003</v>
      </c>
      <c r="W4100" s="14" t="s">
        <v>7777</v>
      </c>
      <c r="X4100" s="3">
        <v>2</v>
      </c>
      <c r="Z4100" s="23">
        <v>9</v>
      </c>
      <c r="AB4100" s="18">
        <f t="shared" si="128"/>
        <v>2012</v>
      </c>
      <c r="AC4100" s="22">
        <f t="shared" si="129"/>
        <v>0.55133333333333334</v>
      </c>
    </row>
    <row r="4101" spans="1:29">
      <c r="A4101" s="8" t="s">
        <v>3362</v>
      </c>
      <c r="B4101" s="17" t="s">
        <v>7800</v>
      </c>
      <c r="C4101" s="13">
        <v>41018</v>
      </c>
      <c r="D4101" s="13" t="s">
        <v>8465</v>
      </c>
      <c r="E4101" s="10" t="s">
        <v>1625</v>
      </c>
      <c r="F4101" s="10" t="s">
        <v>1625</v>
      </c>
      <c r="H4101" s="2" t="s">
        <v>67</v>
      </c>
      <c r="L4101" s="18">
        <v>1</v>
      </c>
      <c r="N4101" s="13">
        <v>41103</v>
      </c>
      <c r="O4101" s="29">
        <v>1.99</v>
      </c>
      <c r="P4101" s="18" t="s">
        <v>1107</v>
      </c>
      <c r="Q4101" s="18">
        <v>0</v>
      </c>
      <c r="U4101" s="22">
        <v>0.82</v>
      </c>
      <c r="V4101" s="22">
        <f>3.8/5</f>
        <v>0.76</v>
      </c>
      <c r="W4101" s="14" t="s">
        <v>7777</v>
      </c>
      <c r="X4101" s="3">
        <v>3</v>
      </c>
      <c r="Z4101" s="23">
        <v>3.5</v>
      </c>
      <c r="AB4101" s="18">
        <f t="shared" si="128"/>
        <v>2012</v>
      </c>
      <c r="AC4101" s="22">
        <f t="shared" si="129"/>
        <v>0.72666666666666668</v>
      </c>
    </row>
    <row r="4102" spans="1:29">
      <c r="A4102" s="8" t="s">
        <v>14422</v>
      </c>
      <c r="B4102" s="17" t="s">
        <v>6317</v>
      </c>
      <c r="C4102" s="13">
        <v>41017</v>
      </c>
      <c r="D4102" s="13" t="s">
        <v>8465</v>
      </c>
      <c r="E4102" s="10" t="s">
        <v>455</v>
      </c>
      <c r="F4102" s="10" t="s">
        <v>455</v>
      </c>
      <c r="G4102" s="11" t="s">
        <v>7380</v>
      </c>
      <c r="H4102" s="2" t="s">
        <v>1170</v>
      </c>
      <c r="L4102" s="18">
        <v>0</v>
      </c>
      <c r="Q4102" s="18">
        <v>0</v>
      </c>
      <c r="V4102" s="22">
        <f>4.13/5</f>
        <v>0.82599999999999996</v>
      </c>
      <c r="X4102" s="3">
        <v>2</v>
      </c>
      <c r="AB4102" s="18">
        <f t="shared" si="128"/>
        <v>2012</v>
      </c>
      <c r="AC4102" s="22">
        <f t="shared" si="129"/>
        <v>0.61299999999999999</v>
      </c>
    </row>
    <row r="4103" spans="1:29" ht="25.5">
      <c r="A4103" s="8" t="s">
        <v>9870</v>
      </c>
      <c r="B4103" s="17" t="s">
        <v>7759</v>
      </c>
      <c r="C4103" s="13">
        <v>41016</v>
      </c>
      <c r="D4103" s="13" t="s">
        <v>8465</v>
      </c>
      <c r="E4103" s="10" t="s">
        <v>455</v>
      </c>
      <c r="F4103" s="10" t="s">
        <v>2741</v>
      </c>
      <c r="G4103" s="11" t="s">
        <v>1524</v>
      </c>
      <c r="H4103" s="2" t="s">
        <v>1170</v>
      </c>
      <c r="L4103" s="18">
        <v>1</v>
      </c>
      <c r="N4103" s="13">
        <v>44285</v>
      </c>
      <c r="O4103" s="29">
        <v>9.99</v>
      </c>
      <c r="P4103" s="18" t="s">
        <v>1107</v>
      </c>
      <c r="Q4103" s="18">
        <v>0</v>
      </c>
      <c r="U4103" s="22">
        <v>0.73</v>
      </c>
      <c r="V4103" s="22">
        <f>3.67/5</f>
        <v>0.73399999999999999</v>
      </c>
      <c r="X4103" s="3">
        <v>3</v>
      </c>
      <c r="Z4103" s="23">
        <v>2</v>
      </c>
      <c r="AB4103" s="18">
        <f t="shared" si="128"/>
        <v>2012</v>
      </c>
      <c r="AC4103" s="22">
        <f t="shared" si="129"/>
        <v>0.68800000000000006</v>
      </c>
    </row>
    <row r="4104" spans="1:29" ht="30">
      <c r="A4104" s="8" t="s">
        <v>4178</v>
      </c>
      <c r="B4104" s="17" t="s">
        <v>7800</v>
      </c>
      <c r="C4104" s="13">
        <v>41016</v>
      </c>
      <c r="D4104" s="13" t="s">
        <v>8465</v>
      </c>
      <c r="E4104" s="10" t="s">
        <v>3116</v>
      </c>
      <c r="F4104" s="10" t="s">
        <v>4179</v>
      </c>
      <c r="H4104" s="2" t="s">
        <v>151</v>
      </c>
      <c r="L4104" s="18">
        <v>1</v>
      </c>
      <c r="N4104" s="13">
        <v>41303</v>
      </c>
      <c r="P4104" s="18" t="s">
        <v>1107</v>
      </c>
      <c r="Q4104" s="18">
        <v>0</v>
      </c>
      <c r="U4104" s="22">
        <v>0.74</v>
      </c>
      <c r="V4104" s="22">
        <f>3.52/5</f>
        <v>0.70399999999999996</v>
      </c>
      <c r="W4104" s="14" t="s">
        <v>7777</v>
      </c>
      <c r="X4104" s="3">
        <v>3</v>
      </c>
      <c r="Z4104" s="23">
        <v>5.5</v>
      </c>
      <c r="AB4104" s="18">
        <f t="shared" si="128"/>
        <v>2012</v>
      </c>
      <c r="AC4104" s="22">
        <f t="shared" si="129"/>
        <v>0.68133333333333335</v>
      </c>
    </row>
    <row r="4105" spans="1:29" ht="25.5">
      <c r="A4105" s="8" t="s">
        <v>5211</v>
      </c>
      <c r="B4105" s="17" t="s">
        <v>7800</v>
      </c>
      <c r="C4105" s="13">
        <v>41015</v>
      </c>
      <c r="D4105" s="13" t="s">
        <v>8465</v>
      </c>
      <c r="E4105" s="10" t="s">
        <v>3507</v>
      </c>
      <c r="F4105" s="10" t="s">
        <v>3507</v>
      </c>
      <c r="H4105" s="2" t="s">
        <v>67</v>
      </c>
      <c r="L4105" s="18">
        <v>1</v>
      </c>
      <c r="N4105" s="13">
        <v>41060</v>
      </c>
      <c r="P4105" s="18" t="s">
        <v>1107</v>
      </c>
      <c r="Q4105" s="18">
        <v>0</v>
      </c>
      <c r="U4105" s="22">
        <v>0.77</v>
      </c>
      <c r="V4105" s="22">
        <f>3.35/5</f>
        <v>0.67</v>
      </c>
      <c r="W4105" s="14" t="s">
        <v>7777</v>
      </c>
      <c r="X4105" s="3">
        <v>3</v>
      </c>
      <c r="Z4105" s="23">
        <v>4</v>
      </c>
      <c r="AB4105" s="18">
        <f t="shared" si="128"/>
        <v>2012</v>
      </c>
      <c r="AC4105" s="22">
        <f t="shared" si="129"/>
        <v>0.68</v>
      </c>
    </row>
    <row r="4106" spans="1:29">
      <c r="A4106" s="8" t="s">
        <v>7253</v>
      </c>
      <c r="B4106" s="17" t="s">
        <v>7781</v>
      </c>
      <c r="C4106" s="13">
        <v>41013</v>
      </c>
      <c r="D4106" s="13" t="s">
        <v>8465</v>
      </c>
      <c r="E4106" s="10" t="s">
        <v>7264</v>
      </c>
      <c r="F4106" s="10" t="s">
        <v>7264</v>
      </c>
      <c r="H4106" s="2" t="s">
        <v>56</v>
      </c>
      <c r="L4106" s="18">
        <v>0</v>
      </c>
      <c r="Q4106" s="18">
        <v>0</v>
      </c>
      <c r="W4106" s="15" t="str">
        <f>HYPERLINK("https://ded.increpare.com/~locus/MMMMMM/", "Link")</f>
        <v>Link</v>
      </c>
      <c r="X4106" s="3">
        <v>3</v>
      </c>
      <c r="AB4106" s="18">
        <f t="shared" si="128"/>
        <v>2012</v>
      </c>
      <c r="AC4106" s="22">
        <f t="shared" si="129"/>
        <v>0.6</v>
      </c>
    </row>
    <row r="4107" spans="1:29" ht="25.5">
      <c r="A4107" s="8" t="s">
        <v>10251</v>
      </c>
      <c r="B4107" s="17" t="s">
        <v>7749</v>
      </c>
      <c r="C4107" s="13">
        <v>41012</v>
      </c>
      <c r="D4107" s="13" t="s">
        <v>8465</v>
      </c>
      <c r="E4107" s="10" t="s">
        <v>86</v>
      </c>
      <c r="F4107" s="10" t="s">
        <v>2335</v>
      </c>
      <c r="G4107" s="11" t="s">
        <v>1550</v>
      </c>
      <c r="H4107" s="2" t="s">
        <v>1061</v>
      </c>
      <c r="L4107" s="18">
        <v>1</v>
      </c>
      <c r="M4107" s="14" t="s">
        <v>8462</v>
      </c>
      <c r="N4107" s="13">
        <v>44564</v>
      </c>
      <c r="O4107" s="29">
        <v>34.72</v>
      </c>
      <c r="P4107" s="18" t="s">
        <v>14</v>
      </c>
      <c r="Q4107" s="18">
        <v>0</v>
      </c>
      <c r="U4107" s="22">
        <v>0.54</v>
      </c>
      <c r="V4107" s="22">
        <f>3.29/5</f>
        <v>0.65800000000000003</v>
      </c>
      <c r="X4107" s="3">
        <v>3</v>
      </c>
      <c r="Z4107" s="23">
        <v>3</v>
      </c>
      <c r="AB4107" s="18">
        <f t="shared" si="128"/>
        <v>2012</v>
      </c>
      <c r="AC4107" s="22">
        <f t="shared" si="129"/>
        <v>0.59933333333333338</v>
      </c>
    </row>
    <row r="4108" spans="1:29">
      <c r="A4108" s="8" t="s">
        <v>11269</v>
      </c>
      <c r="B4108" s="17" t="s">
        <v>7749</v>
      </c>
      <c r="C4108" s="13">
        <v>41011</v>
      </c>
      <c r="D4108" s="13" t="s">
        <v>8465</v>
      </c>
      <c r="E4108" s="10" t="s">
        <v>86</v>
      </c>
      <c r="F4108" s="10" t="s">
        <v>11268</v>
      </c>
      <c r="G4108" s="11" t="s">
        <v>11267</v>
      </c>
      <c r="H4108" s="2" t="s">
        <v>78</v>
      </c>
      <c r="L4108" s="18">
        <v>1</v>
      </c>
      <c r="N4108" s="13">
        <v>44626</v>
      </c>
      <c r="O4108" s="29">
        <v>6.99</v>
      </c>
      <c r="P4108" s="18" t="s">
        <v>1107</v>
      </c>
      <c r="Q4108" s="18">
        <v>0</v>
      </c>
      <c r="U4108" s="22">
        <v>0.76</v>
      </c>
      <c r="V4108" s="22">
        <f>3.66/5</f>
        <v>0.73199999999999998</v>
      </c>
      <c r="X4108" s="3">
        <v>2</v>
      </c>
      <c r="Z4108" s="23">
        <v>2.5</v>
      </c>
      <c r="AB4108" s="18">
        <f t="shared" si="128"/>
        <v>2012</v>
      </c>
      <c r="AC4108" s="22">
        <f t="shared" si="129"/>
        <v>0.6306666666666666</v>
      </c>
    </row>
    <row r="4109" spans="1:29" ht="25.5">
      <c r="A4109" s="8" t="s">
        <v>4430</v>
      </c>
      <c r="B4109" s="17" t="s">
        <v>7800</v>
      </c>
      <c r="C4109" s="13">
        <v>41011</v>
      </c>
      <c r="D4109" s="13" t="s">
        <v>8465</v>
      </c>
      <c r="E4109" s="10" t="s">
        <v>3608</v>
      </c>
      <c r="F4109" s="10" t="s">
        <v>4246</v>
      </c>
      <c r="G4109" s="11" t="s">
        <v>4429</v>
      </c>
      <c r="H4109" s="2" t="s">
        <v>3279</v>
      </c>
      <c r="L4109" s="18">
        <v>1</v>
      </c>
      <c r="N4109" s="13">
        <v>41249</v>
      </c>
      <c r="P4109" s="18" t="s">
        <v>1107</v>
      </c>
      <c r="Q4109" s="18">
        <v>0</v>
      </c>
      <c r="U4109" s="22">
        <v>0.53</v>
      </c>
      <c r="V4109" s="22">
        <f>3.62/5</f>
        <v>0.72399999999999998</v>
      </c>
      <c r="W4109" s="14" t="s">
        <v>7777</v>
      </c>
      <c r="X4109" s="3">
        <v>2</v>
      </c>
      <c r="Z4109" s="23">
        <v>17</v>
      </c>
      <c r="AB4109" s="18">
        <f t="shared" si="128"/>
        <v>2012</v>
      </c>
      <c r="AC4109" s="22">
        <f t="shared" si="129"/>
        <v>0.55133333333333334</v>
      </c>
    </row>
    <row r="4110" spans="1:29">
      <c r="A4110" s="8" t="s">
        <v>4289</v>
      </c>
      <c r="B4110" s="17" t="s">
        <v>7800</v>
      </c>
      <c r="C4110" s="13">
        <v>41010</v>
      </c>
      <c r="D4110" s="13" t="s">
        <v>8465</v>
      </c>
      <c r="E4110" s="10" t="s">
        <v>4290</v>
      </c>
      <c r="F4110" s="10" t="s">
        <v>4290</v>
      </c>
      <c r="G4110" s="11" t="s">
        <v>4289</v>
      </c>
      <c r="H4110" s="2" t="s">
        <v>1377</v>
      </c>
      <c r="L4110" s="18">
        <v>1</v>
      </c>
      <c r="N4110" s="13">
        <v>41239</v>
      </c>
      <c r="O4110" s="29">
        <v>3.74</v>
      </c>
      <c r="P4110" s="18" t="s">
        <v>1107</v>
      </c>
      <c r="Q4110" s="18">
        <v>0</v>
      </c>
      <c r="U4110" s="22">
        <v>0.81</v>
      </c>
      <c r="V4110" s="22">
        <f>3.86/5</f>
        <v>0.77200000000000002</v>
      </c>
      <c r="W4110" s="14" t="s">
        <v>7777</v>
      </c>
      <c r="X4110" s="3">
        <v>3</v>
      </c>
      <c r="Z4110" s="23">
        <v>16.5</v>
      </c>
      <c r="AB4110" s="18">
        <f t="shared" si="128"/>
        <v>2012</v>
      </c>
      <c r="AC4110" s="22">
        <f t="shared" si="129"/>
        <v>0.72733333333333328</v>
      </c>
    </row>
    <row r="4111" spans="1:29">
      <c r="A4111" s="8" t="s">
        <v>15467</v>
      </c>
      <c r="B4111" s="17" t="s">
        <v>7759</v>
      </c>
      <c r="C4111" s="13">
        <v>41009</v>
      </c>
      <c r="D4111" s="13" t="s">
        <v>8465</v>
      </c>
      <c r="E4111" s="10" t="s">
        <v>73</v>
      </c>
      <c r="F4111" s="10" t="s">
        <v>5001</v>
      </c>
      <c r="H4111" s="2" t="s">
        <v>64</v>
      </c>
      <c r="L4111" s="18">
        <v>0</v>
      </c>
      <c r="Q4111" s="18">
        <v>0</v>
      </c>
      <c r="U4111" s="22">
        <v>0.61</v>
      </c>
      <c r="V4111" s="22">
        <f>3/5</f>
        <v>0.6</v>
      </c>
      <c r="W4111" s="14" t="s">
        <v>9890</v>
      </c>
      <c r="X4111" s="3">
        <v>2</v>
      </c>
      <c r="Z4111" s="23">
        <v>3</v>
      </c>
      <c r="AB4111" s="18">
        <f t="shared" si="128"/>
        <v>2012</v>
      </c>
      <c r="AC4111" s="22">
        <f t="shared" si="129"/>
        <v>0.53666666666666663</v>
      </c>
    </row>
    <row r="4112" spans="1:29">
      <c r="A4112" s="8" t="s">
        <v>4928</v>
      </c>
      <c r="B4112" s="17" t="s">
        <v>7800</v>
      </c>
      <c r="C4112" s="13">
        <v>41008</v>
      </c>
      <c r="D4112" s="13" t="s">
        <v>8465</v>
      </c>
      <c r="E4112" s="10" t="s">
        <v>1082</v>
      </c>
      <c r="F4112" s="10" t="s">
        <v>4929</v>
      </c>
      <c r="H4112" s="2" t="s">
        <v>56</v>
      </c>
      <c r="L4112" s="18">
        <v>1</v>
      </c>
      <c r="N4112" s="13">
        <v>43318</v>
      </c>
      <c r="O4112" s="29">
        <v>0.97</v>
      </c>
      <c r="P4112" s="18" t="s">
        <v>1107</v>
      </c>
      <c r="Q4112" s="18">
        <v>0</v>
      </c>
      <c r="V4112" s="22">
        <f>2.04/5</f>
        <v>0.40800000000000003</v>
      </c>
      <c r="W4112" s="14" t="s">
        <v>7777</v>
      </c>
      <c r="X4112" s="3">
        <v>2</v>
      </c>
      <c r="Z4112" s="23">
        <v>5</v>
      </c>
      <c r="AB4112" s="18">
        <f t="shared" si="128"/>
        <v>2012</v>
      </c>
      <c r="AC4112" s="22">
        <f t="shared" si="129"/>
        <v>0.40400000000000003</v>
      </c>
    </row>
    <row r="4113" spans="1:29" ht="25.5">
      <c r="A4113" s="8" t="s">
        <v>7156</v>
      </c>
      <c r="B4113" s="17" t="s">
        <v>7800</v>
      </c>
      <c r="C4113" s="13">
        <v>41008</v>
      </c>
      <c r="D4113" s="13" t="s">
        <v>8465</v>
      </c>
      <c r="E4113" s="10" t="s">
        <v>7229</v>
      </c>
      <c r="F4113" s="10" t="s">
        <v>7229</v>
      </c>
      <c r="H4113" s="2" t="s">
        <v>56</v>
      </c>
      <c r="L4113" s="18">
        <v>0</v>
      </c>
      <c r="Q4113" s="18">
        <v>0</v>
      </c>
      <c r="W4113" s="14" t="s">
        <v>5674</v>
      </c>
      <c r="X4113" s="3">
        <v>2</v>
      </c>
      <c r="AB4113" s="18">
        <f t="shared" si="128"/>
        <v>2012</v>
      </c>
      <c r="AC4113" s="22">
        <f t="shared" si="129"/>
        <v>0.4</v>
      </c>
    </row>
    <row r="4114" spans="1:29">
      <c r="A4114" s="8" t="s">
        <v>4060</v>
      </c>
      <c r="B4114" s="17" t="s">
        <v>7800</v>
      </c>
      <c r="C4114" s="13">
        <v>41004</v>
      </c>
      <c r="D4114" s="13" t="s">
        <v>8465</v>
      </c>
      <c r="E4114" s="10" t="s">
        <v>4061</v>
      </c>
      <c r="F4114" s="10" t="s">
        <v>4061</v>
      </c>
      <c r="H4114" s="2" t="s">
        <v>1518</v>
      </c>
      <c r="L4114" s="18">
        <v>1</v>
      </c>
      <c r="N4114" s="13">
        <v>41534</v>
      </c>
      <c r="P4114" s="18" t="s">
        <v>1107</v>
      </c>
      <c r="Q4114" s="18">
        <v>0</v>
      </c>
      <c r="U4114" s="22">
        <v>0.53</v>
      </c>
      <c r="V4114" s="22">
        <f>2.64/5</f>
        <v>0.52800000000000002</v>
      </c>
      <c r="W4114" s="14" t="s">
        <v>7777</v>
      </c>
      <c r="X4114" s="3">
        <v>2</v>
      </c>
      <c r="Z4114" s="23">
        <v>1.5</v>
      </c>
      <c r="AB4114" s="18">
        <f t="shared" si="128"/>
        <v>2012</v>
      </c>
      <c r="AC4114" s="22">
        <f t="shared" si="129"/>
        <v>0.48600000000000004</v>
      </c>
    </row>
    <row r="4115" spans="1:29">
      <c r="A4115" s="8" t="s">
        <v>6971</v>
      </c>
      <c r="B4115" s="17" t="s">
        <v>7800</v>
      </c>
      <c r="C4115" s="13">
        <v>40997</v>
      </c>
      <c r="D4115" s="13" t="s">
        <v>8465</v>
      </c>
      <c r="E4115" s="10" t="s">
        <v>1047</v>
      </c>
      <c r="F4115" s="10" t="s">
        <v>1147</v>
      </c>
      <c r="G4115" s="11" t="s">
        <v>1477</v>
      </c>
      <c r="H4115" s="2" t="s">
        <v>64</v>
      </c>
      <c r="L4115" s="18">
        <v>1</v>
      </c>
      <c r="N4115" s="13">
        <v>41591</v>
      </c>
      <c r="O4115" s="29">
        <v>4.99</v>
      </c>
      <c r="P4115" s="18" t="s">
        <v>1107</v>
      </c>
      <c r="Q4115" s="18">
        <v>0</v>
      </c>
      <c r="U4115" s="22">
        <v>0.87</v>
      </c>
      <c r="V4115" s="22">
        <f>3.95/5</f>
        <v>0.79</v>
      </c>
      <c r="W4115" s="14" t="s">
        <v>7778</v>
      </c>
      <c r="X4115" s="3">
        <v>4</v>
      </c>
      <c r="Z4115" s="23">
        <v>11</v>
      </c>
      <c r="AB4115" s="18">
        <f t="shared" si="128"/>
        <v>2012</v>
      </c>
      <c r="AC4115" s="22">
        <f t="shared" si="129"/>
        <v>0.82</v>
      </c>
    </row>
    <row r="4116" spans="1:29" ht="25.5">
      <c r="A4116" s="8" t="s">
        <v>8046</v>
      </c>
      <c r="B4116" s="17" t="s">
        <v>7759</v>
      </c>
      <c r="C4116" s="13">
        <v>40995</v>
      </c>
      <c r="D4116" s="13" t="s">
        <v>8465</v>
      </c>
      <c r="E4116" s="10" t="s">
        <v>1509</v>
      </c>
      <c r="F4116" s="10" t="s">
        <v>8047</v>
      </c>
      <c r="G4116" s="11" t="s">
        <v>8037</v>
      </c>
      <c r="H4116" s="2" t="s">
        <v>150</v>
      </c>
      <c r="L4116" s="18">
        <v>0</v>
      </c>
      <c r="Q4116" s="18">
        <v>0</v>
      </c>
      <c r="U4116" s="22">
        <v>0.75649999999999995</v>
      </c>
      <c r="V4116" s="22">
        <f>3.13/5</f>
        <v>0.626</v>
      </c>
      <c r="X4116" s="3">
        <v>3</v>
      </c>
      <c r="Y4116" s="18">
        <v>1</v>
      </c>
      <c r="Z4116" s="23">
        <v>8</v>
      </c>
      <c r="AB4116" s="18">
        <f t="shared" si="128"/>
        <v>2012</v>
      </c>
      <c r="AC4116" s="22">
        <f t="shared" si="129"/>
        <v>0.66083333333333327</v>
      </c>
    </row>
    <row r="4117" spans="1:29">
      <c r="A4117" s="8" t="s">
        <v>2423</v>
      </c>
      <c r="B4117" s="17" t="s">
        <v>7749</v>
      </c>
      <c r="C4117" s="13">
        <v>40991</v>
      </c>
      <c r="D4117" s="13" t="s">
        <v>8465</v>
      </c>
      <c r="E4117" s="10" t="s">
        <v>86</v>
      </c>
      <c r="F4117" s="10" t="s">
        <v>142</v>
      </c>
      <c r="G4117" s="11" t="s">
        <v>110</v>
      </c>
      <c r="H4117" s="2" t="s">
        <v>64</v>
      </c>
      <c r="L4117" s="18">
        <v>1</v>
      </c>
      <c r="N4117" s="13">
        <v>41365</v>
      </c>
      <c r="P4117" s="18" t="s">
        <v>1107</v>
      </c>
      <c r="Q4117" s="18">
        <v>0</v>
      </c>
      <c r="U4117" s="22">
        <v>0.82</v>
      </c>
      <c r="V4117" s="22">
        <f>3.65/5</f>
        <v>0.73</v>
      </c>
      <c r="X4117" s="3">
        <v>2</v>
      </c>
      <c r="Z4117" s="23">
        <v>4</v>
      </c>
      <c r="AB4117" s="18">
        <f t="shared" si="128"/>
        <v>2012</v>
      </c>
      <c r="AC4117" s="22">
        <f t="shared" si="129"/>
        <v>0.64999999999999991</v>
      </c>
    </row>
    <row r="4118" spans="1:29">
      <c r="A4118" s="8" t="s">
        <v>7349</v>
      </c>
      <c r="B4118" s="17" t="s">
        <v>7783</v>
      </c>
      <c r="C4118" s="13">
        <v>40990</v>
      </c>
      <c r="D4118" s="13" t="s">
        <v>8465</v>
      </c>
      <c r="E4118" s="10" t="s">
        <v>7350</v>
      </c>
      <c r="F4118" s="10" t="s">
        <v>7350</v>
      </c>
      <c r="H4118" s="2" t="s">
        <v>56</v>
      </c>
      <c r="L4118" s="18">
        <v>1</v>
      </c>
      <c r="N4118" s="13">
        <v>41272</v>
      </c>
      <c r="O4118" s="29">
        <v>0</v>
      </c>
      <c r="P4118" s="18" t="s">
        <v>1107</v>
      </c>
      <c r="Q4118" s="18">
        <v>0</v>
      </c>
      <c r="U4118" s="22">
        <v>0.9</v>
      </c>
      <c r="V4118" s="22">
        <f>3.92/5</f>
        <v>0.78400000000000003</v>
      </c>
      <c r="X4118" s="3">
        <v>3</v>
      </c>
      <c r="Z4118" s="23">
        <v>4</v>
      </c>
      <c r="AB4118" s="18">
        <f t="shared" si="128"/>
        <v>2012</v>
      </c>
      <c r="AC4118" s="22">
        <f t="shared" si="129"/>
        <v>0.76133333333333342</v>
      </c>
    </row>
    <row r="4119" spans="1:29" ht="30">
      <c r="A4119" s="8" t="s">
        <v>10484</v>
      </c>
      <c r="B4119" s="17" t="s">
        <v>7762</v>
      </c>
      <c r="C4119" s="13">
        <v>40990</v>
      </c>
      <c r="D4119" s="13" t="s">
        <v>8463</v>
      </c>
      <c r="E4119" s="10" t="s">
        <v>455</v>
      </c>
      <c r="F4119" s="10" t="s">
        <v>6137</v>
      </c>
      <c r="G4119" s="11" t="s">
        <v>5600</v>
      </c>
      <c r="H4119" s="2" t="s">
        <v>80</v>
      </c>
      <c r="K4119" s="18">
        <v>1</v>
      </c>
      <c r="L4119" s="18">
        <v>0</v>
      </c>
      <c r="Q4119" s="18">
        <v>0</v>
      </c>
      <c r="V4119" s="22">
        <f>4.19/5</f>
        <v>0.83800000000000008</v>
      </c>
      <c r="X4119" s="3">
        <v>3</v>
      </c>
      <c r="Z4119" s="23">
        <v>19</v>
      </c>
      <c r="AB4119" s="18">
        <f t="shared" si="128"/>
        <v>2012</v>
      </c>
      <c r="AC4119" s="22">
        <f t="shared" si="129"/>
        <v>0.71900000000000008</v>
      </c>
    </row>
    <row r="4120" spans="1:29">
      <c r="A4120" s="8" t="s">
        <v>5542</v>
      </c>
      <c r="B4120" s="17" t="s">
        <v>7800</v>
      </c>
      <c r="C4120" s="13">
        <v>40989</v>
      </c>
      <c r="D4120" s="13" t="s">
        <v>8465</v>
      </c>
      <c r="E4120" s="10" t="s">
        <v>231</v>
      </c>
      <c r="F4120" s="10" t="s">
        <v>5543</v>
      </c>
      <c r="H4120" s="2" t="s">
        <v>245</v>
      </c>
      <c r="L4120" s="18">
        <v>1</v>
      </c>
      <c r="N4120" s="13">
        <v>43404</v>
      </c>
      <c r="O4120" s="29">
        <v>1.99</v>
      </c>
      <c r="P4120" s="18" t="s">
        <v>1107</v>
      </c>
      <c r="Q4120" s="18">
        <v>0</v>
      </c>
      <c r="U4120" s="22">
        <v>0.76</v>
      </c>
      <c r="V4120" s="22">
        <f>3.55/5</f>
        <v>0.71</v>
      </c>
      <c r="W4120" s="14" t="s">
        <v>7777</v>
      </c>
      <c r="X4120" s="3">
        <v>3</v>
      </c>
      <c r="Z4120" s="23">
        <v>5</v>
      </c>
      <c r="AB4120" s="18">
        <f t="shared" si="128"/>
        <v>2012</v>
      </c>
      <c r="AC4120" s="22">
        <f t="shared" si="129"/>
        <v>0.69</v>
      </c>
    </row>
    <row r="4121" spans="1:29">
      <c r="A4121" s="8" t="s">
        <v>13414</v>
      </c>
      <c r="B4121" s="17" t="s">
        <v>7800</v>
      </c>
      <c r="C4121" s="13">
        <v>40989</v>
      </c>
      <c r="D4121" s="13" t="s">
        <v>8465</v>
      </c>
      <c r="E4121" s="10" t="s">
        <v>4831</v>
      </c>
      <c r="F4121" s="10" t="s">
        <v>4831</v>
      </c>
      <c r="G4121" s="11" t="s">
        <v>4832</v>
      </c>
      <c r="H4121" s="2" t="s">
        <v>67</v>
      </c>
      <c r="L4121" s="18">
        <v>1</v>
      </c>
      <c r="N4121" s="13">
        <v>44963</v>
      </c>
      <c r="O4121" s="29">
        <v>0.3</v>
      </c>
      <c r="P4121" s="18" t="s">
        <v>1107</v>
      </c>
      <c r="Q4121" s="18">
        <v>0</v>
      </c>
      <c r="V4121" s="22">
        <f>3.23/5</f>
        <v>0.64600000000000002</v>
      </c>
      <c r="W4121" s="14" t="s">
        <v>7777</v>
      </c>
      <c r="X4121" s="3">
        <v>2</v>
      </c>
      <c r="Z4121" s="23">
        <v>1</v>
      </c>
      <c r="AB4121" s="18">
        <f t="shared" si="128"/>
        <v>2012</v>
      </c>
      <c r="AC4121" s="22">
        <f t="shared" si="129"/>
        <v>0.52300000000000002</v>
      </c>
    </row>
    <row r="4122" spans="1:29">
      <c r="A4122" s="8" t="s">
        <v>7960</v>
      </c>
      <c r="B4122" s="17" t="s">
        <v>7759</v>
      </c>
      <c r="C4122" s="13">
        <v>40988</v>
      </c>
      <c r="D4122" s="13" t="s">
        <v>8465</v>
      </c>
      <c r="E4122" s="10" t="s">
        <v>2335</v>
      </c>
      <c r="F4122" s="10" t="s">
        <v>1471</v>
      </c>
      <c r="G4122" s="11" t="s">
        <v>7958</v>
      </c>
      <c r="H4122" s="2" t="s">
        <v>1059</v>
      </c>
      <c r="L4122" s="18">
        <v>0</v>
      </c>
      <c r="Q4122" s="18">
        <v>0</v>
      </c>
      <c r="U4122" s="22">
        <v>0.74199999999999999</v>
      </c>
      <c r="V4122" s="22">
        <f>4.06/5</f>
        <v>0.81199999999999994</v>
      </c>
      <c r="X4122" s="3">
        <v>2</v>
      </c>
      <c r="Y4122" s="18">
        <v>1</v>
      </c>
      <c r="Z4122" s="23">
        <v>26</v>
      </c>
      <c r="AB4122" s="18">
        <f t="shared" si="128"/>
        <v>2012</v>
      </c>
      <c r="AC4122" s="22">
        <f t="shared" si="129"/>
        <v>0.65133333333333321</v>
      </c>
    </row>
    <row r="4123" spans="1:29" ht="38.25">
      <c r="A4123" s="8" t="s">
        <v>6002</v>
      </c>
      <c r="B4123" s="17" t="s">
        <v>7759</v>
      </c>
      <c r="C4123" s="13">
        <v>40988</v>
      </c>
      <c r="D4123" s="13" t="s">
        <v>8465</v>
      </c>
      <c r="E4123" s="10" t="s">
        <v>73</v>
      </c>
      <c r="F4123" s="10" t="s">
        <v>6003</v>
      </c>
      <c r="G4123" s="11" t="s">
        <v>943</v>
      </c>
      <c r="H4123" s="2" t="s">
        <v>1168</v>
      </c>
      <c r="L4123" s="18">
        <v>1</v>
      </c>
      <c r="M4123" s="14" t="s">
        <v>8462</v>
      </c>
      <c r="N4123" s="13">
        <v>43534</v>
      </c>
      <c r="O4123" s="29">
        <v>7.99</v>
      </c>
      <c r="P4123" s="18" t="s">
        <v>14</v>
      </c>
      <c r="Q4123" s="18">
        <v>0</v>
      </c>
      <c r="U4123" s="22">
        <v>0.48</v>
      </c>
      <c r="V4123" s="22">
        <f>3.06/5</f>
        <v>0.61199999999999999</v>
      </c>
      <c r="X4123" s="3">
        <v>3</v>
      </c>
      <c r="Z4123" s="23">
        <v>6</v>
      </c>
      <c r="AB4123" s="18">
        <f t="shared" si="128"/>
        <v>2012</v>
      </c>
      <c r="AC4123" s="22">
        <f t="shared" si="129"/>
        <v>0.56400000000000006</v>
      </c>
    </row>
    <row r="4124" spans="1:29" ht="30">
      <c r="A4124" s="8" t="s">
        <v>5916</v>
      </c>
      <c r="B4124" s="17" t="s">
        <v>7759</v>
      </c>
      <c r="C4124" s="13">
        <v>40988</v>
      </c>
      <c r="D4124" s="13" t="s">
        <v>8465</v>
      </c>
      <c r="E4124" s="10" t="s">
        <v>1604</v>
      </c>
      <c r="F4124" s="10" t="s">
        <v>1580</v>
      </c>
      <c r="G4124" s="11" t="s">
        <v>5915</v>
      </c>
      <c r="H4124" s="2" t="s">
        <v>1204</v>
      </c>
      <c r="L4124" s="18">
        <v>1</v>
      </c>
      <c r="M4124" s="14" t="s">
        <v>11016</v>
      </c>
      <c r="N4124" s="13">
        <v>43550</v>
      </c>
      <c r="O4124" s="29">
        <f>13.75+14.99</f>
        <v>28.740000000000002</v>
      </c>
      <c r="P4124" s="18" t="s">
        <v>14</v>
      </c>
      <c r="Q4124" s="18">
        <v>0</v>
      </c>
      <c r="U4124" s="22">
        <v>0.65</v>
      </c>
      <c r="V4124" s="22">
        <f>3.64/5</f>
        <v>0.72799999999999998</v>
      </c>
      <c r="W4124" s="14" t="s">
        <v>8464</v>
      </c>
      <c r="X4124" s="3">
        <v>2</v>
      </c>
      <c r="Z4124" s="23">
        <v>13</v>
      </c>
      <c r="AB4124" s="18">
        <f t="shared" si="128"/>
        <v>2012</v>
      </c>
      <c r="AC4124" s="22">
        <f t="shared" si="129"/>
        <v>0.59266666666666667</v>
      </c>
    </row>
    <row r="4125" spans="1:29" ht="25.5">
      <c r="A4125" s="8" t="s">
        <v>11095</v>
      </c>
      <c r="B4125" s="17" t="s">
        <v>7748</v>
      </c>
      <c r="C4125" s="13">
        <v>40984</v>
      </c>
      <c r="D4125" s="13" t="s">
        <v>8467</v>
      </c>
      <c r="E4125" s="10" t="s">
        <v>86</v>
      </c>
      <c r="F4125" s="10" t="s">
        <v>2129</v>
      </c>
      <c r="G4125" s="11" t="s">
        <v>2181</v>
      </c>
      <c r="H4125" s="2" t="s">
        <v>255</v>
      </c>
      <c r="L4125" s="18">
        <v>0</v>
      </c>
      <c r="Q4125" s="18">
        <v>0</v>
      </c>
      <c r="U4125" s="22">
        <v>0.74</v>
      </c>
      <c r="V4125" s="22">
        <f>4.29/5</f>
        <v>0.85799999999999998</v>
      </c>
      <c r="X4125" s="3">
        <v>3</v>
      </c>
      <c r="Z4125" s="23">
        <v>20.5</v>
      </c>
      <c r="AB4125" s="18">
        <f t="shared" si="128"/>
        <v>2012</v>
      </c>
      <c r="AC4125" s="22">
        <f t="shared" si="129"/>
        <v>0.73266666666666669</v>
      </c>
    </row>
    <row r="4126" spans="1:29" ht="30">
      <c r="A4126" s="8" t="s">
        <v>9049</v>
      </c>
      <c r="B4126" s="17" t="s">
        <v>7762</v>
      </c>
      <c r="C4126" s="13">
        <v>40983</v>
      </c>
      <c r="D4126" s="13" t="s">
        <v>8463</v>
      </c>
      <c r="E4126" s="10" t="s">
        <v>3568</v>
      </c>
      <c r="F4126" s="10" t="s">
        <v>9050</v>
      </c>
      <c r="G4126" s="11" t="s">
        <v>9051</v>
      </c>
      <c r="H4126" s="2" t="s">
        <v>149</v>
      </c>
      <c r="K4126" s="18">
        <v>1</v>
      </c>
      <c r="L4126" s="18">
        <v>0</v>
      </c>
      <c r="Q4126" s="18">
        <v>0</v>
      </c>
      <c r="V4126" s="22">
        <f>4.23/5</f>
        <v>0.84600000000000009</v>
      </c>
      <c r="X4126" s="3">
        <v>3</v>
      </c>
      <c r="AB4126" s="18">
        <f t="shared" si="128"/>
        <v>2012</v>
      </c>
      <c r="AC4126" s="22">
        <f t="shared" si="129"/>
        <v>0.72300000000000009</v>
      </c>
    </row>
    <row r="4127" spans="1:29" ht="25.5">
      <c r="A4127" s="8" t="s">
        <v>5202</v>
      </c>
      <c r="B4127" s="17" t="s">
        <v>7800</v>
      </c>
      <c r="C4127" s="13">
        <v>40983</v>
      </c>
      <c r="D4127" s="13" t="s">
        <v>8465</v>
      </c>
      <c r="E4127" s="10" t="s">
        <v>5203</v>
      </c>
      <c r="F4127" s="10" t="s">
        <v>5203</v>
      </c>
      <c r="H4127" s="2" t="s">
        <v>64</v>
      </c>
      <c r="L4127" s="18">
        <v>1</v>
      </c>
      <c r="N4127" s="13">
        <v>41836</v>
      </c>
      <c r="P4127" s="18" t="s">
        <v>1107</v>
      </c>
      <c r="Q4127" s="18">
        <v>0</v>
      </c>
      <c r="V4127" s="22">
        <f>4.06/5</f>
        <v>0.81199999999999994</v>
      </c>
      <c r="W4127" s="14" t="s">
        <v>7777</v>
      </c>
      <c r="X4127" s="3">
        <v>2</v>
      </c>
      <c r="Z4127" s="23">
        <v>1.5</v>
      </c>
      <c r="AB4127" s="18">
        <f t="shared" si="128"/>
        <v>2012</v>
      </c>
      <c r="AC4127" s="22">
        <f t="shared" si="129"/>
        <v>0.60599999999999998</v>
      </c>
    </row>
    <row r="4128" spans="1:29" ht="30">
      <c r="A4128" s="8" t="s">
        <v>8185</v>
      </c>
      <c r="B4128" s="17" t="s">
        <v>7762</v>
      </c>
      <c r="C4128" s="13">
        <v>40983</v>
      </c>
      <c r="D4128" s="13" t="s">
        <v>8463</v>
      </c>
      <c r="E4128" s="10" t="s">
        <v>455</v>
      </c>
      <c r="F4128" s="10" t="s">
        <v>6092</v>
      </c>
      <c r="G4128" s="11" t="s">
        <v>1661</v>
      </c>
      <c r="H4128" s="2" t="s">
        <v>75</v>
      </c>
      <c r="K4128" s="18">
        <v>0</v>
      </c>
      <c r="L4128" s="18">
        <v>0</v>
      </c>
      <c r="Q4128" s="18">
        <v>0</v>
      </c>
      <c r="U4128" s="22">
        <v>0.6</v>
      </c>
      <c r="V4128" s="22">
        <f>4.03/5</f>
        <v>0.80600000000000005</v>
      </c>
      <c r="X4128" s="3">
        <v>2</v>
      </c>
      <c r="AB4128" s="18">
        <f t="shared" si="128"/>
        <v>2012</v>
      </c>
      <c r="AC4128" s="22">
        <f t="shared" si="129"/>
        <v>0.60199999999999998</v>
      </c>
    </row>
    <row r="4129" spans="1:29">
      <c r="A4129" s="8" t="s">
        <v>5568</v>
      </c>
      <c r="B4129" s="17" t="s">
        <v>7800</v>
      </c>
      <c r="C4129" s="13">
        <v>40982</v>
      </c>
      <c r="D4129" s="13" t="s">
        <v>8465</v>
      </c>
      <c r="E4129" s="10" t="s">
        <v>4432</v>
      </c>
      <c r="F4129" s="10" t="s">
        <v>4432</v>
      </c>
      <c r="H4129" s="2" t="s">
        <v>143</v>
      </c>
      <c r="L4129" s="18">
        <v>1</v>
      </c>
      <c r="N4129" s="13">
        <v>41096</v>
      </c>
      <c r="O4129" s="29">
        <v>1.49</v>
      </c>
      <c r="P4129" s="18" t="s">
        <v>1107</v>
      </c>
      <c r="Q4129" s="18">
        <v>0</v>
      </c>
      <c r="U4129" s="22">
        <v>0.83</v>
      </c>
      <c r="V4129" s="22">
        <f>3.1/5</f>
        <v>0.62</v>
      </c>
      <c r="W4129" s="14" t="s">
        <v>7777</v>
      </c>
      <c r="X4129" s="3">
        <v>3</v>
      </c>
      <c r="Z4129" s="23">
        <v>4</v>
      </c>
      <c r="AB4129" s="18">
        <f t="shared" si="128"/>
        <v>2012</v>
      </c>
      <c r="AC4129" s="22">
        <f t="shared" si="129"/>
        <v>0.68333333333333324</v>
      </c>
    </row>
    <row r="4130" spans="1:29">
      <c r="A4130" s="8" t="s">
        <v>6027</v>
      </c>
      <c r="B4130" s="17" t="s">
        <v>7759</v>
      </c>
      <c r="C4130" s="13">
        <v>40981</v>
      </c>
      <c r="D4130" s="13" t="s">
        <v>8465</v>
      </c>
      <c r="E4130" s="10" t="s">
        <v>1509</v>
      </c>
      <c r="F4130" s="10" t="s">
        <v>1500</v>
      </c>
      <c r="G4130" s="11" t="s">
        <v>1422</v>
      </c>
      <c r="H4130" s="2" t="s">
        <v>171</v>
      </c>
      <c r="L4130" s="18">
        <v>1</v>
      </c>
      <c r="M4130" s="14" t="s">
        <v>8462</v>
      </c>
      <c r="N4130" s="13">
        <v>43483</v>
      </c>
      <c r="O4130" s="29">
        <v>16.5</v>
      </c>
      <c r="P4130" s="18" t="s">
        <v>14</v>
      </c>
      <c r="Q4130" s="18">
        <v>0</v>
      </c>
      <c r="U4130" s="22">
        <v>0.79</v>
      </c>
      <c r="V4130" s="22">
        <f>4.25/5</f>
        <v>0.85</v>
      </c>
      <c r="X4130" s="3">
        <v>4</v>
      </c>
      <c r="Z4130" s="23">
        <v>47</v>
      </c>
      <c r="AB4130" s="18">
        <f t="shared" si="128"/>
        <v>2012</v>
      </c>
      <c r="AC4130" s="22">
        <f t="shared" si="129"/>
        <v>0.81333333333333346</v>
      </c>
    </row>
    <row r="4131" spans="1:29">
      <c r="A4131" s="8" t="s">
        <v>6011</v>
      </c>
      <c r="B4131" s="17" t="s">
        <v>7759</v>
      </c>
      <c r="C4131" s="13">
        <v>40981</v>
      </c>
      <c r="D4131" s="13" t="s">
        <v>8465</v>
      </c>
      <c r="E4131" s="10" t="s">
        <v>72</v>
      </c>
      <c r="F4131" s="10" t="s">
        <v>6012</v>
      </c>
      <c r="G4131" s="11" t="s">
        <v>1449</v>
      </c>
      <c r="H4131" s="2" t="s">
        <v>1061</v>
      </c>
      <c r="L4131" s="18">
        <v>1</v>
      </c>
      <c r="M4131" s="14" t="s">
        <v>8462</v>
      </c>
      <c r="N4131" s="13">
        <v>43579</v>
      </c>
      <c r="O4131" s="29">
        <v>14.99</v>
      </c>
      <c r="P4131" s="18" t="s">
        <v>14</v>
      </c>
      <c r="Q4131" s="18">
        <v>0</v>
      </c>
      <c r="U4131" s="22">
        <v>0.67</v>
      </c>
      <c r="V4131" s="22">
        <f>3.58/5</f>
        <v>0.71599999999999997</v>
      </c>
      <c r="X4131" s="3">
        <v>3</v>
      </c>
      <c r="Z4131" s="23">
        <v>9</v>
      </c>
      <c r="AB4131" s="18">
        <f t="shared" si="128"/>
        <v>2012</v>
      </c>
      <c r="AC4131" s="22">
        <f t="shared" si="129"/>
        <v>0.66200000000000003</v>
      </c>
    </row>
    <row r="4132" spans="1:29">
      <c r="A4132" s="8" t="s">
        <v>6054</v>
      </c>
      <c r="B4132" s="17" t="s">
        <v>7759</v>
      </c>
      <c r="C4132" s="13">
        <v>40981</v>
      </c>
      <c r="D4132" s="13" t="s">
        <v>8465</v>
      </c>
      <c r="E4132" s="10" t="s">
        <v>455</v>
      </c>
      <c r="F4132" s="10" t="s">
        <v>455</v>
      </c>
      <c r="G4132" s="11" t="s">
        <v>5600</v>
      </c>
      <c r="H4132" s="2" t="s">
        <v>1061</v>
      </c>
      <c r="L4132" s="18">
        <v>1</v>
      </c>
      <c r="M4132" s="14" t="s">
        <v>8462</v>
      </c>
      <c r="N4132" s="13">
        <v>43484</v>
      </c>
      <c r="O4132" s="29">
        <v>16.989999999999998</v>
      </c>
      <c r="P4132" s="18" t="s">
        <v>14</v>
      </c>
      <c r="Q4132" s="18">
        <v>0</v>
      </c>
      <c r="U4132" s="22">
        <v>0.64</v>
      </c>
      <c r="V4132" s="22">
        <f>3.74/5</f>
        <v>0.748</v>
      </c>
      <c r="X4132" s="3">
        <v>2</v>
      </c>
      <c r="Z4132" s="23">
        <v>14</v>
      </c>
      <c r="AB4132" s="18">
        <f t="shared" si="128"/>
        <v>2012</v>
      </c>
      <c r="AC4132" s="22">
        <f t="shared" si="129"/>
        <v>0.59599999999999997</v>
      </c>
    </row>
    <row r="4133" spans="1:29">
      <c r="A4133" s="8" t="s">
        <v>8037</v>
      </c>
      <c r="B4133" s="17" t="s">
        <v>7763</v>
      </c>
      <c r="C4133" s="13">
        <v>40981</v>
      </c>
      <c r="D4133" s="13" t="s">
        <v>8465</v>
      </c>
      <c r="E4133" s="10" t="s">
        <v>158</v>
      </c>
      <c r="F4133" s="10" t="s">
        <v>8051</v>
      </c>
      <c r="G4133" s="11" t="s">
        <v>8037</v>
      </c>
      <c r="H4133" s="2" t="s">
        <v>150</v>
      </c>
      <c r="L4133" s="18">
        <v>1</v>
      </c>
      <c r="M4133" s="14" t="s">
        <v>8462</v>
      </c>
      <c r="N4133" s="13">
        <v>44084</v>
      </c>
      <c r="O4133" s="29">
        <v>29.82</v>
      </c>
      <c r="P4133" s="18" t="s">
        <v>14</v>
      </c>
      <c r="Q4133" s="18">
        <v>0</v>
      </c>
      <c r="U4133" s="22">
        <v>0.46779999999999999</v>
      </c>
      <c r="V4133" s="22">
        <f>3.32/5</f>
        <v>0.66399999999999992</v>
      </c>
      <c r="X4133" s="3">
        <v>2</v>
      </c>
      <c r="AB4133" s="18">
        <f t="shared" si="128"/>
        <v>2012</v>
      </c>
      <c r="AC4133" s="22">
        <f t="shared" si="129"/>
        <v>0.51060000000000005</v>
      </c>
    </row>
    <row r="4134" spans="1:29" ht="30">
      <c r="A4134" s="8" t="s">
        <v>13103</v>
      </c>
      <c r="B4134" s="17" t="s">
        <v>7763</v>
      </c>
      <c r="C4134" s="13">
        <v>40981</v>
      </c>
      <c r="D4134" s="13" t="s">
        <v>8465</v>
      </c>
      <c r="E4134" s="10" t="s">
        <v>2908</v>
      </c>
      <c r="F4134" s="10" t="s">
        <v>13104</v>
      </c>
      <c r="H4134" s="2" t="s">
        <v>459</v>
      </c>
      <c r="L4134" s="18">
        <v>1</v>
      </c>
      <c r="M4134" s="14" t="s">
        <v>8462</v>
      </c>
      <c r="N4134" s="13">
        <v>45108</v>
      </c>
      <c r="O4134" s="29">
        <v>12.35</v>
      </c>
      <c r="P4134" s="18" t="s">
        <v>14</v>
      </c>
      <c r="Q4134" s="18">
        <v>0</v>
      </c>
      <c r="U4134" s="22">
        <v>0.54</v>
      </c>
      <c r="V4134" s="22">
        <f>2.82/5</f>
        <v>0.56399999999999995</v>
      </c>
      <c r="X4134" s="3">
        <v>2</v>
      </c>
      <c r="Z4134" s="23">
        <v>3</v>
      </c>
      <c r="AB4134" s="18">
        <f t="shared" si="128"/>
        <v>2012</v>
      </c>
      <c r="AC4134" s="22">
        <f t="shared" si="129"/>
        <v>0.5013333333333333</v>
      </c>
    </row>
    <row r="4135" spans="1:29">
      <c r="A4135" s="8" t="s">
        <v>7389</v>
      </c>
      <c r="B4135" s="17" t="s">
        <v>7741</v>
      </c>
      <c r="C4135" s="13">
        <v>40979</v>
      </c>
      <c r="D4135" s="13" t="s">
        <v>8465</v>
      </c>
      <c r="E4135" s="10" t="s">
        <v>86</v>
      </c>
      <c r="F4135" s="10" t="s">
        <v>1159</v>
      </c>
      <c r="G4135" s="11" t="s">
        <v>860</v>
      </c>
      <c r="H4135" s="2" t="s">
        <v>1142</v>
      </c>
      <c r="L4135" s="18">
        <v>0</v>
      </c>
      <c r="Q4135" s="18">
        <v>0</v>
      </c>
      <c r="U4135" s="22">
        <v>0.75</v>
      </c>
      <c r="V4135" s="22">
        <f>3.48/5</f>
        <v>0.69599999999999995</v>
      </c>
      <c r="X4135" s="3">
        <v>3</v>
      </c>
      <c r="Z4135" s="23">
        <v>5</v>
      </c>
      <c r="AB4135" s="18">
        <f t="shared" si="128"/>
        <v>2012</v>
      </c>
      <c r="AC4135" s="22">
        <f t="shared" si="129"/>
        <v>0.68199999999999994</v>
      </c>
    </row>
    <row r="4136" spans="1:29" ht="30">
      <c r="A4136" s="8" t="s">
        <v>5107</v>
      </c>
      <c r="B4136" s="17" t="s">
        <v>7800</v>
      </c>
      <c r="C4136" s="13">
        <v>40974</v>
      </c>
      <c r="D4136" s="13" t="s">
        <v>8465</v>
      </c>
      <c r="E4136" s="10" t="s">
        <v>3370</v>
      </c>
      <c r="F4136" s="10" t="s">
        <v>3370</v>
      </c>
      <c r="H4136" s="2" t="s">
        <v>78</v>
      </c>
      <c r="L4136" s="18">
        <v>1</v>
      </c>
      <c r="N4136" s="13">
        <v>41401</v>
      </c>
      <c r="P4136" s="18" t="s">
        <v>1107</v>
      </c>
      <c r="Q4136" s="18">
        <v>0</v>
      </c>
      <c r="U4136" s="22">
        <v>0.85</v>
      </c>
      <c r="V4136" s="22">
        <f>3.56/5</f>
        <v>0.71199999999999997</v>
      </c>
      <c r="W4136" s="14" t="s">
        <v>7777</v>
      </c>
      <c r="X4136" s="3">
        <v>3</v>
      </c>
      <c r="Z4136" s="23">
        <v>4</v>
      </c>
      <c r="AB4136" s="18">
        <f t="shared" si="128"/>
        <v>2012</v>
      </c>
      <c r="AC4136" s="22">
        <f t="shared" si="129"/>
        <v>0.72066666666666668</v>
      </c>
    </row>
    <row r="4137" spans="1:29" ht="30">
      <c r="A4137" s="8" t="s">
        <v>9871</v>
      </c>
      <c r="B4137" s="17" t="s">
        <v>7763</v>
      </c>
      <c r="C4137" s="13">
        <v>40974</v>
      </c>
      <c r="D4137" s="13" t="s">
        <v>8465</v>
      </c>
      <c r="E4137" s="10" t="s">
        <v>2908</v>
      </c>
      <c r="F4137" s="10" t="s">
        <v>5976</v>
      </c>
      <c r="G4137" s="11" t="s">
        <v>5975</v>
      </c>
      <c r="H4137" s="2" t="s">
        <v>150</v>
      </c>
      <c r="L4137" s="18">
        <v>1</v>
      </c>
      <c r="N4137" s="13">
        <v>44285</v>
      </c>
      <c r="O4137" s="29">
        <v>4.99</v>
      </c>
      <c r="P4137" s="18" t="s">
        <v>1107</v>
      </c>
      <c r="Q4137" s="18">
        <v>0</v>
      </c>
      <c r="U4137" s="22">
        <v>0.78</v>
      </c>
      <c r="V4137" s="22">
        <f>3.28/5</f>
        <v>0.65599999999999992</v>
      </c>
      <c r="X4137" s="3">
        <v>3</v>
      </c>
      <c r="Z4137" s="23">
        <v>6</v>
      </c>
      <c r="AB4137" s="18">
        <f t="shared" si="128"/>
        <v>2012</v>
      </c>
      <c r="AC4137" s="22">
        <f t="shared" si="129"/>
        <v>0.67866666666666664</v>
      </c>
    </row>
    <row r="4138" spans="1:29">
      <c r="A4138" s="8" t="s">
        <v>5970</v>
      </c>
      <c r="B4138" s="17" t="s">
        <v>7759</v>
      </c>
      <c r="C4138" s="13">
        <v>40974</v>
      </c>
      <c r="D4138" s="13" t="s">
        <v>8465</v>
      </c>
      <c r="E4138" s="10" t="s">
        <v>231</v>
      </c>
      <c r="F4138" s="10" t="s">
        <v>1161</v>
      </c>
      <c r="G4138" s="11" t="s">
        <v>1162</v>
      </c>
      <c r="H4138" s="2" t="s">
        <v>171</v>
      </c>
      <c r="L4138" s="18">
        <v>1</v>
      </c>
      <c r="M4138" s="14" t="s">
        <v>8462</v>
      </c>
      <c r="N4138" s="13">
        <v>43534</v>
      </c>
      <c r="O4138" s="29">
        <v>7.69</v>
      </c>
      <c r="P4138" s="18" t="s">
        <v>14</v>
      </c>
      <c r="Q4138" s="18">
        <v>0</v>
      </c>
      <c r="U4138" s="22">
        <v>0.92</v>
      </c>
      <c r="V4138" s="22">
        <f>4.12/5</f>
        <v>0.82400000000000007</v>
      </c>
      <c r="X4138" s="3">
        <v>2</v>
      </c>
      <c r="Z4138" s="23">
        <v>24</v>
      </c>
      <c r="AB4138" s="18">
        <f t="shared" si="128"/>
        <v>2012</v>
      </c>
      <c r="AC4138" s="22">
        <f t="shared" si="129"/>
        <v>0.71466666666666667</v>
      </c>
    </row>
    <row r="4139" spans="1:29">
      <c r="A4139" s="8" t="s">
        <v>5970</v>
      </c>
      <c r="B4139" s="17" t="s">
        <v>7800</v>
      </c>
      <c r="C4139" s="13">
        <v>40974</v>
      </c>
      <c r="D4139" s="13" t="s">
        <v>8465</v>
      </c>
      <c r="E4139" s="10" t="s">
        <v>231</v>
      </c>
      <c r="F4139" s="10" t="s">
        <v>1161</v>
      </c>
      <c r="G4139" s="11" t="s">
        <v>1162</v>
      </c>
      <c r="H4139" s="2" t="s">
        <v>171</v>
      </c>
      <c r="L4139" s="18">
        <v>1</v>
      </c>
      <c r="N4139" s="13">
        <v>41760</v>
      </c>
      <c r="O4139" s="29">
        <v>2.5</v>
      </c>
      <c r="P4139" s="18" t="s">
        <v>1107</v>
      </c>
      <c r="Q4139" s="18">
        <v>0</v>
      </c>
      <c r="U4139" s="22">
        <v>0.88</v>
      </c>
      <c r="V4139" s="22">
        <f>3.92/5</f>
        <v>0.78400000000000003</v>
      </c>
      <c r="W4139" s="14" t="s">
        <v>7796</v>
      </c>
      <c r="X4139" s="3">
        <v>2</v>
      </c>
      <c r="Z4139" s="23">
        <v>24</v>
      </c>
      <c r="AB4139" s="18">
        <f t="shared" si="128"/>
        <v>2012</v>
      </c>
      <c r="AC4139" s="22">
        <f t="shared" si="129"/>
        <v>0.68800000000000006</v>
      </c>
    </row>
    <row r="4140" spans="1:29" ht="30">
      <c r="A4140" s="8" t="s">
        <v>9174</v>
      </c>
      <c r="B4140" s="17" t="s">
        <v>7763</v>
      </c>
      <c r="C4140" s="13">
        <v>40974</v>
      </c>
      <c r="D4140" s="13" t="s">
        <v>8465</v>
      </c>
      <c r="E4140" s="10" t="s">
        <v>2908</v>
      </c>
      <c r="F4140" s="10" t="s">
        <v>7550</v>
      </c>
      <c r="H4140" s="2" t="s">
        <v>1168</v>
      </c>
      <c r="L4140" s="18">
        <v>1</v>
      </c>
      <c r="M4140" s="14" t="s">
        <v>8462</v>
      </c>
      <c r="N4140" s="13">
        <v>44051</v>
      </c>
      <c r="O4140" s="29">
        <v>14.21</v>
      </c>
      <c r="P4140" s="18" t="s">
        <v>14</v>
      </c>
      <c r="Q4140" s="18">
        <v>0</v>
      </c>
      <c r="U4140" s="22">
        <v>0.71</v>
      </c>
      <c r="V4140" s="22">
        <f>3.63/5</f>
        <v>0.72599999999999998</v>
      </c>
      <c r="X4140" s="3">
        <v>2</v>
      </c>
      <c r="Z4140" s="23">
        <v>9</v>
      </c>
      <c r="AB4140" s="18">
        <f t="shared" si="128"/>
        <v>2012</v>
      </c>
      <c r="AC4140" s="22">
        <f t="shared" si="129"/>
        <v>0.61199999999999999</v>
      </c>
    </row>
    <row r="4141" spans="1:29">
      <c r="A4141" s="8" t="s">
        <v>5510</v>
      </c>
      <c r="B4141" s="17" t="s">
        <v>7800</v>
      </c>
      <c r="C4141" s="13">
        <v>40969</v>
      </c>
      <c r="D4141" s="13" t="s">
        <v>8465</v>
      </c>
      <c r="E4141" s="10" t="s">
        <v>5511</v>
      </c>
      <c r="F4141" s="10" t="s">
        <v>5512</v>
      </c>
      <c r="H4141" s="2" t="s">
        <v>27</v>
      </c>
      <c r="L4141" s="18">
        <v>1</v>
      </c>
      <c r="N4141" s="13">
        <v>41170</v>
      </c>
      <c r="P4141" s="18" t="s">
        <v>1107</v>
      </c>
      <c r="Q4141" s="18">
        <v>0</v>
      </c>
      <c r="U4141" s="22">
        <v>0.81</v>
      </c>
      <c r="V4141" s="22">
        <f>3.45/5</f>
        <v>0.69000000000000006</v>
      </c>
      <c r="W4141" s="14" t="s">
        <v>7777</v>
      </c>
      <c r="X4141" s="3">
        <v>2</v>
      </c>
      <c r="Z4141" s="23">
        <v>9.5</v>
      </c>
      <c r="AB4141" s="18">
        <f t="shared" si="128"/>
        <v>2012</v>
      </c>
      <c r="AC4141" s="22">
        <f t="shared" si="129"/>
        <v>0.6333333333333333</v>
      </c>
    </row>
    <row r="4142" spans="1:29" ht="30">
      <c r="A4142" s="8" t="s">
        <v>11565</v>
      </c>
      <c r="B4142" s="17" t="s">
        <v>7762</v>
      </c>
      <c r="C4142" s="13">
        <v>40969</v>
      </c>
      <c r="D4142" s="13" t="s">
        <v>8463</v>
      </c>
      <c r="E4142" s="10" t="s">
        <v>3568</v>
      </c>
      <c r="F4142" s="10" t="s">
        <v>1070</v>
      </c>
      <c r="G4142" s="11" t="s">
        <v>11566</v>
      </c>
      <c r="H4142" s="2" t="s">
        <v>153</v>
      </c>
      <c r="K4142" s="18">
        <v>0</v>
      </c>
      <c r="L4142" s="18">
        <v>0</v>
      </c>
      <c r="Q4142" s="18">
        <v>0</v>
      </c>
      <c r="V4142" s="22">
        <f>3.48/5</f>
        <v>0.69599999999999995</v>
      </c>
      <c r="X4142" s="3">
        <v>2</v>
      </c>
      <c r="AB4142" s="18">
        <f t="shared" si="128"/>
        <v>2012</v>
      </c>
      <c r="AC4142" s="22">
        <f t="shared" si="129"/>
        <v>0.54800000000000004</v>
      </c>
    </row>
    <row r="4143" spans="1:29" ht="25.5">
      <c r="A4143" s="8" t="s">
        <v>4648</v>
      </c>
      <c r="B4143" s="17" t="s">
        <v>7800</v>
      </c>
      <c r="C4143" s="13">
        <v>40968</v>
      </c>
      <c r="D4143" s="13" t="s">
        <v>8465</v>
      </c>
      <c r="E4143" s="10" t="s">
        <v>1583</v>
      </c>
      <c r="F4143" s="10" t="s">
        <v>4649</v>
      </c>
      <c r="G4143" s="11" t="s">
        <v>4644</v>
      </c>
      <c r="H4143" s="2" t="s">
        <v>1050</v>
      </c>
      <c r="L4143" s="18">
        <v>1</v>
      </c>
      <c r="N4143" s="13">
        <v>41502</v>
      </c>
      <c r="P4143" s="18" t="s">
        <v>1107</v>
      </c>
      <c r="Q4143" s="18">
        <v>0</v>
      </c>
      <c r="V4143" s="22">
        <f>2.64/5</f>
        <v>0.52800000000000002</v>
      </c>
      <c r="W4143" s="14" t="s">
        <v>7777</v>
      </c>
      <c r="X4143" s="3">
        <v>3</v>
      </c>
      <c r="Z4143" s="23">
        <v>3.5</v>
      </c>
      <c r="AB4143" s="18">
        <f t="shared" si="128"/>
        <v>2012</v>
      </c>
      <c r="AC4143" s="22">
        <f t="shared" si="129"/>
        <v>0.56400000000000006</v>
      </c>
    </row>
    <row r="4144" spans="1:29" ht="25.5">
      <c r="A4144" s="8" t="s">
        <v>2283</v>
      </c>
      <c r="B4144" s="17" t="s">
        <v>7748</v>
      </c>
      <c r="C4144" s="13">
        <v>40967</v>
      </c>
      <c r="D4144" s="13" t="s">
        <v>8465</v>
      </c>
      <c r="E4144" s="10" t="s">
        <v>228</v>
      </c>
      <c r="F4144" s="10" t="s">
        <v>228</v>
      </c>
      <c r="G4144" s="11" t="s">
        <v>1171</v>
      </c>
      <c r="H4144" s="2" t="s">
        <v>75</v>
      </c>
      <c r="L4144" s="18">
        <v>0</v>
      </c>
      <c r="Q4144" s="18">
        <v>0</v>
      </c>
      <c r="U4144" s="22">
        <v>0.81</v>
      </c>
      <c r="V4144" s="22">
        <f>4.28/5</f>
        <v>0.85600000000000009</v>
      </c>
      <c r="X4144" s="3">
        <v>4</v>
      </c>
      <c r="Z4144" s="23">
        <v>32</v>
      </c>
      <c r="AB4144" s="18">
        <f t="shared" si="128"/>
        <v>2012</v>
      </c>
      <c r="AC4144" s="22">
        <f t="shared" si="129"/>
        <v>0.82200000000000006</v>
      </c>
    </row>
    <row r="4145" spans="1:29">
      <c r="A4145" s="8" t="s">
        <v>6021</v>
      </c>
      <c r="B4145" s="17" t="s">
        <v>7759</v>
      </c>
      <c r="C4145" s="13">
        <v>40967</v>
      </c>
      <c r="D4145" s="13" t="s">
        <v>8465</v>
      </c>
      <c r="E4145" s="10" t="s">
        <v>6022</v>
      </c>
      <c r="F4145" s="10" t="s">
        <v>6023</v>
      </c>
      <c r="G4145" s="11" t="s">
        <v>6021</v>
      </c>
      <c r="H4145" s="2" t="s">
        <v>255</v>
      </c>
      <c r="L4145" s="18">
        <v>1</v>
      </c>
      <c r="M4145" s="14" t="s">
        <v>8462</v>
      </c>
      <c r="N4145" s="13">
        <v>43550</v>
      </c>
      <c r="O4145" s="29">
        <v>8</v>
      </c>
      <c r="P4145" s="18" t="s">
        <v>14</v>
      </c>
      <c r="Q4145" s="18">
        <v>0</v>
      </c>
      <c r="U4145" s="22">
        <v>0.82</v>
      </c>
      <c r="V4145" s="22">
        <f>3.73/5</f>
        <v>0.746</v>
      </c>
      <c r="W4145" s="14" t="s">
        <v>11020</v>
      </c>
      <c r="X4145" s="3">
        <v>3</v>
      </c>
      <c r="Z4145" s="23">
        <v>8</v>
      </c>
      <c r="AB4145" s="18">
        <f t="shared" si="128"/>
        <v>2012</v>
      </c>
      <c r="AC4145" s="22">
        <f t="shared" si="129"/>
        <v>0.72199999999999998</v>
      </c>
    </row>
    <row r="4146" spans="1:29" ht="25.5">
      <c r="A4146" s="8" t="s">
        <v>7706</v>
      </c>
      <c r="B4146" s="17" t="s">
        <v>7741</v>
      </c>
      <c r="C4146" s="13">
        <v>40966</v>
      </c>
      <c r="D4146" s="13" t="s">
        <v>8465</v>
      </c>
      <c r="E4146" s="10" t="s">
        <v>86</v>
      </c>
      <c r="F4146" s="10" t="s">
        <v>2451</v>
      </c>
      <c r="G4146" s="11" t="s">
        <v>1470</v>
      </c>
      <c r="H4146" s="2" t="s">
        <v>80</v>
      </c>
      <c r="L4146" s="18">
        <v>0</v>
      </c>
      <c r="Q4146" s="18">
        <v>0</v>
      </c>
      <c r="U4146" s="22">
        <v>0.65</v>
      </c>
      <c r="V4146" s="22">
        <f>3.78/5</f>
        <v>0.75600000000000001</v>
      </c>
      <c r="X4146" s="3">
        <v>3</v>
      </c>
      <c r="Z4146" s="23">
        <v>8</v>
      </c>
      <c r="AB4146" s="18">
        <f t="shared" si="128"/>
        <v>2012</v>
      </c>
      <c r="AC4146" s="22">
        <f t="shared" si="129"/>
        <v>0.66866666666666674</v>
      </c>
    </row>
    <row r="4147" spans="1:29" ht="30">
      <c r="A4147" s="8" t="s">
        <v>10072</v>
      </c>
      <c r="B4147" s="17" t="s">
        <v>7762</v>
      </c>
      <c r="C4147" s="13">
        <v>40962</v>
      </c>
      <c r="D4147" s="13" t="s">
        <v>8463</v>
      </c>
      <c r="E4147" s="10" t="s">
        <v>3568</v>
      </c>
      <c r="F4147" s="10" t="s">
        <v>3568</v>
      </c>
      <c r="G4147" s="11" t="s">
        <v>1422</v>
      </c>
      <c r="H4147" s="2" t="s">
        <v>1059</v>
      </c>
      <c r="K4147" s="18">
        <v>0</v>
      </c>
      <c r="L4147" s="18">
        <v>0</v>
      </c>
      <c r="Q4147" s="18">
        <v>0</v>
      </c>
      <c r="V4147" s="22">
        <f>3.86/5</f>
        <v>0.77200000000000002</v>
      </c>
      <c r="X4147" s="3">
        <v>3</v>
      </c>
      <c r="Z4147" s="23">
        <v>16</v>
      </c>
      <c r="AB4147" s="18">
        <f t="shared" si="128"/>
        <v>2012</v>
      </c>
      <c r="AC4147" s="22">
        <f t="shared" si="129"/>
        <v>0.68599999999999994</v>
      </c>
    </row>
    <row r="4148" spans="1:29">
      <c r="A4148" s="8" t="s">
        <v>9294</v>
      </c>
      <c r="B4148" s="17" t="s">
        <v>7759</v>
      </c>
      <c r="C4148" s="13">
        <v>40962</v>
      </c>
      <c r="D4148" s="13" t="s">
        <v>8463</v>
      </c>
      <c r="E4148" s="10" t="s">
        <v>10244</v>
      </c>
      <c r="F4148" s="10" t="s">
        <v>1070</v>
      </c>
      <c r="G4148" s="11" t="s">
        <v>9294</v>
      </c>
      <c r="H4148" s="2" t="s">
        <v>1170</v>
      </c>
      <c r="K4148" s="18">
        <v>0</v>
      </c>
      <c r="L4148" s="18">
        <v>0</v>
      </c>
      <c r="Q4148" s="18">
        <v>0</v>
      </c>
      <c r="V4148" s="22">
        <f>3.38/5</f>
        <v>0.67599999999999993</v>
      </c>
      <c r="X4148" s="3">
        <v>2</v>
      </c>
      <c r="Y4148" s="18">
        <v>1</v>
      </c>
      <c r="Z4148" s="23">
        <v>3</v>
      </c>
      <c r="AB4148" s="18">
        <f t="shared" si="128"/>
        <v>2012</v>
      </c>
      <c r="AC4148" s="22">
        <f t="shared" si="129"/>
        <v>0.53800000000000003</v>
      </c>
    </row>
    <row r="4149" spans="1:29" ht="30">
      <c r="A4149" s="8" t="s">
        <v>7834</v>
      </c>
      <c r="B4149" s="17" t="s">
        <v>7763</v>
      </c>
      <c r="C4149" s="13">
        <v>40961</v>
      </c>
      <c r="D4149" s="13" t="s">
        <v>8465</v>
      </c>
      <c r="E4149" s="10" t="s">
        <v>2908</v>
      </c>
      <c r="F4149" s="10" t="s">
        <v>7831</v>
      </c>
      <c r="G4149" s="11" t="s">
        <v>6050</v>
      </c>
      <c r="H4149" s="2" t="s">
        <v>150</v>
      </c>
      <c r="L4149" s="18">
        <v>1</v>
      </c>
      <c r="M4149" s="14" t="s">
        <v>8462</v>
      </c>
      <c r="N4149" s="13">
        <v>44043</v>
      </c>
      <c r="O4149" s="29">
        <v>22.35</v>
      </c>
      <c r="P4149" s="18" t="s">
        <v>14</v>
      </c>
      <c r="Q4149" s="18">
        <v>0</v>
      </c>
      <c r="U4149" s="22">
        <v>0.80210000000000004</v>
      </c>
      <c r="V4149" s="22">
        <f>3.82/5</f>
        <v>0.76400000000000001</v>
      </c>
      <c r="X4149" s="3">
        <v>3</v>
      </c>
      <c r="Z4149" s="23">
        <v>5</v>
      </c>
      <c r="AB4149" s="18">
        <f t="shared" si="128"/>
        <v>2012</v>
      </c>
      <c r="AC4149" s="22">
        <f t="shared" si="129"/>
        <v>0.72203333333333342</v>
      </c>
    </row>
    <row r="4150" spans="1:29">
      <c r="A4150" s="8" t="s">
        <v>9179</v>
      </c>
      <c r="B4150" s="17" t="s">
        <v>7763</v>
      </c>
      <c r="C4150" s="13">
        <v>40961</v>
      </c>
      <c r="D4150" s="13" t="s">
        <v>8465</v>
      </c>
      <c r="E4150" s="10" t="s">
        <v>1509</v>
      </c>
      <c r="F4150" s="10" t="s">
        <v>1509</v>
      </c>
      <c r="G4150" s="11" t="s">
        <v>1615</v>
      </c>
      <c r="H4150" s="2" t="s">
        <v>31</v>
      </c>
      <c r="L4150" s="18">
        <v>1</v>
      </c>
      <c r="M4150" s="14" t="s">
        <v>8462</v>
      </c>
      <c r="N4150" s="13">
        <v>44049</v>
      </c>
      <c r="O4150" s="29">
        <v>32.54</v>
      </c>
      <c r="P4150" s="18" t="s">
        <v>14</v>
      </c>
      <c r="Q4150" s="18">
        <v>0</v>
      </c>
      <c r="U4150" s="22">
        <v>0.69</v>
      </c>
      <c r="V4150" s="22">
        <f>3.46/5</f>
        <v>0.69199999999999995</v>
      </c>
      <c r="X4150" s="3">
        <v>3</v>
      </c>
      <c r="Z4150" s="23">
        <v>2.5</v>
      </c>
      <c r="AB4150" s="18">
        <f t="shared" si="128"/>
        <v>2012</v>
      </c>
      <c r="AC4150" s="22">
        <f t="shared" si="129"/>
        <v>0.66066666666666662</v>
      </c>
    </row>
    <row r="4151" spans="1:29" ht="25.5">
      <c r="A4151" s="8" t="s">
        <v>2429</v>
      </c>
      <c r="B4151" s="17" t="s">
        <v>7749</v>
      </c>
      <c r="C4151" s="13">
        <v>40961</v>
      </c>
      <c r="D4151" s="13" t="s">
        <v>8465</v>
      </c>
      <c r="E4151" s="10" t="s">
        <v>86</v>
      </c>
      <c r="F4151" s="10" t="s">
        <v>2304</v>
      </c>
      <c r="G4151" s="11" t="s">
        <v>2429</v>
      </c>
      <c r="H4151" s="2" t="s">
        <v>80</v>
      </c>
      <c r="L4151" s="18">
        <v>1</v>
      </c>
      <c r="N4151" s="13">
        <v>41627</v>
      </c>
      <c r="P4151" s="18" t="s">
        <v>1107</v>
      </c>
      <c r="Q4151" s="18">
        <v>0</v>
      </c>
      <c r="U4151" s="22">
        <v>0.64</v>
      </c>
      <c r="V4151" s="22">
        <f>3.57/5</f>
        <v>0.71399999999999997</v>
      </c>
      <c r="X4151" s="3">
        <v>3</v>
      </c>
      <c r="Z4151" s="23">
        <v>25</v>
      </c>
      <c r="AB4151" s="18">
        <f t="shared" si="128"/>
        <v>2012</v>
      </c>
      <c r="AC4151" s="22">
        <f t="shared" si="129"/>
        <v>0.65133333333333343</v>
      </c>
    </row>
    <row r="4152" spans="1:29">
      <c r="A4152" s="8" t="s">
        <v>7947</v>
      </c>
      <c r="B4152" s="17" t="s">
        <v>7763</v>
      </c>
      <c r="C4152" s="13">
        <v>40961</v>
      </c>
      <c r="D4152" s="13" t="s">
        <v>8465</v>
      </c>
      <c r="E4152" s="10" t="s">
        <v>68</v>
      </c>
      <c r="F4152" s="10" t="s">
        <v>1471</v>
      </c>
      <c r="G4152" s="11" t="s">
        <v>7935</v>
      </c>
      <c r="H4152" s="2" t="s">
        <v>1059</v>
      </c>
      <c r="L4152" s="18">
        <v>1</v>
      </c>
      <c r="M4152" s="14" t="s">
        <v>8462</v>
      </c>
      <c r="N4152" s="13">
        <v>44082</v>
      </c>
      <c r="O4152" s="29">
        <v>21.69</v>
      </c>
      <c r="P4152" s="18" t="s">
        <v>14</v>
      </c>
      <c r="Q4152" s="18">
        <v>0</v>
      </c>
      <c r="U4152" s="22">
        <v>0.68310000000000004</v>
      </c>
      <c r="V4152" s="22">
        <f>3.8/5</f>
        <v>0.76</v>
      </c>
      <c r="X4152" s="3">
        <v>2</v>
      </c>
      <c r="Z4152" s="23">
        <v>20</v>
      </c>
      <c r="AB4152" s="18">
        <f t="shared" si="128"/>
        <v>2012</v>
      </c>
      <c r="AC4152" s="22">
        <f t="shared" si="129"/>
        <v>0.61436666666666673</v>
      </c>
    </row>
    <row r="4153" spans="1:29" ht="30">
      <c r="A4153" s="8" t="s">
        <v>9885</v>
      </c>
      <c r="B4153" s="17" t="s">
        <v>7763</v>
      </c>
      <c r="C4153" s="13">
        <v>40961</v>
      </c>
      <c r="D4153" s="13" t="s">
        <v>8465</v>
      </c>
      <c r="E4153" s="10" t="s">
        <v>2908</v>
      </c>
      <c r="F4153" s="10" t="s">
        <v>9886</v>
      </c>
      <c r="G4153" s="11" t="s">
        <v>9887</v>
      </c>
      <c r="H4153" s="2" t="s">
        <v>150</v>
      </c>
      <c r="L4153" s="18">
        <v>1</v>
      </c>
      <c r="M4153" s="14" t="s">
        <v>8462</v>
      </c>
      <c r="N4153" s="13">
        <v>44285</v>
      </c>
      <c r="O4153" s="29">
        <v>17.32</v>
      </c>
      <c r="P4153" s="18" t="s">
        <v>14</v>
      </c>
      <c r="Q4153" s="18">
        <v>0</v>
      </c>
      <c r="U4153" s="22">
        <v>0.62</v>
      </c>
      <c r="V4153" s="22">
        <f>3.06/5</f>
        <v>0.61199999999999999</v>
      </c>
      <c r="X4153" s="3">
        <v>2</v>
      </c>
      <c r="Z4153" s="23">
        <v>3.5</v>
      </c>
      <c r="AB4153" s="18">
        <f t="shared" si="128"/>
        <v>2012</v>
      </c>
      <c r="AC4153" s="22">
        <f t="shared" si="129"/>
        <v>0.54400000000000004</v>
      </c>
    </row>
    <row r="4154" spans="1:29">
      <c r="A4154" s="8" t="s">
        <v>9100</v>
      </c>
      <c r="B4154" s="17" t="s">
        <v>7763</v>
      </c>
      <c r="C4154" s="13">
        <v>40961</v>
      </c>
      <c r="D4154" s="13" t="s">
        <v>8465</v>
      </c>
      <c r="E4154" s="10" t="s">
        <v>1082</v>
      </c>
      <c r="F4154" s="10" t="s">
        <v>9101</v>
      </c>
      <c r="H4154" s="2" t="s">
        <v>143</v>
      </c>
      <c r="L4154" s="18">
        <v>1</v>
      </c>
      <c r="M4154" s="14" t="s">
        <v>8462</v>
      </c>
      <c r="N4154" s="13">
        <v>44036</v>
      </c>
      <c r="O4154" s="29">
        <v>12.42</v>
      </c>
      <c r="P4154" s="18" t="s">
        <v>14</v>
      </c>
      <c r="Q4154" s="18">
        <v>0</v>
      </c>
      <c r="U4154" s="22">
        <v>0.56999999999999995</v>
      </c>
      <c r="V4154" s="22">
        <f>3.07/5</f>
        <v>0.61399999999999999</v>
      </c>
      <c r="X4154" s="3">
        <v>2</v>
      </c>
      <c r="Z4154" s="23">
        <v>45</v>
      </c>
      <c r="AB4154" s="18">
        <f t="shared" si="128"/>
        <v>2012</v>
      </c>
      <c r="AC4154" s="22">
        <f t="shared" si="129"/>
        <v>0.52800000000000002</v>
      </c>
    </row>
    <row r="4155" spans="1:29" ht="30">
      <c r="A4155" s="8" t="s">
        <v>10088</v>
      </c>
      <c r="B4155" s="17" t="s">
        <v>7749</v>
      </c>
      <c r="C4155" s="13">
        <v>40960</v>
      </c>
      <c r="D4155" s="13" t="s">
        <v>8465</v>
      </c>
      <c r="E4155" s="10" t="s">
        <v>72</v>
      </c>
      <c r="F4155" s="10" t="s">
        <v>6056</v>
      </c>
      <c r="G4155" s="11" t="s">
        <v>220</v>
      </c>
      <c r="H4155" s="2" t="s">
        <v>245</v>
      </c>
      <c r="L4155" s="18">
        <v>1</v>
      </c>
      <c r="M4155" s="14" t="s">
        <v>8462</v>
      </c>
      <c r="N4155" s="13">
        <v>44293</v>
      </c>
      <c r="O4155" s="29">
        <v>32.549999999999997</v>
      </c>
      <c r="P4155" s="18" t="s">
        <v>14</v>
      </c>
      <c r="Q4155" s="18">
        <v>0</v>
      </c>
      <c r="U4155" s="22">
        <v>0.78</v>
      </c>
      <c r="V4155" s="22">
        <f>4.19/5</f>
        <v>0.83800000000000008</v>
      </c>
      <c r="X4155" s="3">
        <v>4</v>
      </c>
      <c r="Z4155" s="23">
        <v>16.5</v>
      </c>
      <c r="AB4155" s="18">
        <f t="shared" si="128"/>
        <v>2012</v>
      </c>
      <c r="AC4155" s="22">
        <f t="shared" si="129"/>
        <v>0.80600000000000005</v>
      </c>
    </row>
    <row r="4156" spans="1:29">
      <c r="A4156" s="8" t="s">
        <v>5923</v>
      </c>
      <c r="B4156" s="17" t="s">
        <v>7759</v>
      </c>
      <c r="C4156" s="13">
        <v>40960</v>
      </c>
      <c r="D4156" s="13" t="s">
        <v>8465</v>
      </c>
      <c r="E4156" s="10" t="s">
        <v>73</v>
      </c>
      <c r="F4156" s="10" t="s">
        <v>2314</v>
      </c>
      <c r="H4156" s="2" t="s">
        <v>153</v>
      </c>
      <c r="L4156" s="18">
        <v>1</v>
      </c>
      <c r="M4156" s="14" t="s">
        <v>8462</v>
      </c>
      <c r="N4156" s="13">
        <v>43532</v>
      </c>
      <c r="O4156" s="29">
        <v>19.95</v>
      </c>
      <c r="P4156" s="18" t="s">
        <v>14</v>
      </c>
      <c r="Q4156" s="18">
        <v>0</v>
      </c>
      <c r="U4156" s="22">
        <v>0.73</v>
      </c>
      <c r="V4156" s="22">
        <f>3.82/5</f>
        <v>0.76400000000000001</v>
      </c>
      <c r="X4156" s="3">
        <v>4</v>
      </c>
      <c r="Z4156" s="23">
        <v>7</v>
      </c>
      <c r="AB4156" s="18">
        <f t="shared" si="128"/>
        <v>2012</v>
      </c>
      <c r="AC4156" s="22">
        <f t="shared" si="129"/>
        <v>0.76466666666666672</v>
      </c>
    </row>
    <row r="4157" spans="1:29" ht="25.5">
      <c r="A4157" s="8" t="s">
        <v>9180</v>
      </c>
      <c r="B4157" s="17" t="s">
        <v>7763</v>
      </c>
      <c r="C4157" s="13">
        <v>40960</v>
      </c>
      <c r="D4157" s="13" t="s">
        <v>8465</v>
      </c>
      <c r="E4157" s="10" t="s">
        <v>1509</v>
      </c>
      <c r="F4157" s="10" t="s">
        <v>3029</v>
      </c>
      <c r="G4157" s="11" t="s">
        <v>9074</v>
      </c>
      <c r="H4157" s="2" t="s">
        <v>245</v>
      </c>
      <c r="L4157" s="18">
        <v>1</v>
      </c>
      <c r="M4157" s="14" t="s">
        <v>8462</v>
      </c>
      <c r="N4157" s="13">
        <v>44050</v>
      </c>
      <c r="O4157" s="29">
        <v>25.11</v>
      </c>
      <c r="P4157" s="18" t="s">
        <v>14</v>
      </c>
      <c r="Q4157" s="18">
        <v>0</v>
      </c>
      <c r="U4157" s="22">
        <v>0.55000000000000004</v>
      </c>
      <c r="V4157" s="22">
        <f>3.74/5</f>
        <v>0.748</v>
      </c>
      <c r="X4157" s="3">
        <v>3</v>
      </c>
      <c r="Z4157" s="23">
        <v>8</v>
      </c>
      <c r="AB4157" s="18">
        <f t="shared" si="128"/>
        <v>2012</v>
      </c>
      <c r="AC4157" s="22">
        <f t="shared" si="129"/>
        <v>0.63266666666666671</v>
      </c>
    </row>
    <row r="4158" spans="1:29" ht="30">
      <c r="A4158" s="8" t="s">
        <v>6287</v>
      </c>
      <c r="B4158" s="17" t="s">
        <v>7763</v>
      </c>
      <c r="C4158" s="13">
        <v>40960</v>
      </c>
      <c r="D4158" s="13" t="s">
        <v>8465</v>
      </c>
      <c r="E4158" s="10" t="s">
        <v>4045</v>
      </c>
      <c r="F4158" s="10" t="s">
        <v>4045</v>
      </c>
      <c r="G4158" s="11" t="s">
        <v>5238</v>
      </c>
      <c r="H4158" s="2" t="s">
        <v>64</v>
      </c>
      <c r="L4158" s="18">
        <v>1</v>
      </c>
      <c r="M4158" s="14" t="s">
        <v>8462</v>
      </c>
      <c r="N4158" s="13">
        <v>43642</v>
      </c>
      <c r="O4158" s="29">
        <v>35.06</v>
      </c>
      <c r="P4158" s="18" t="s">
        <v>14</v>
      </c>
      <c r="Q4158" s="18">
        <v>0</v>
      </c>
      <c r="U4158" s="22">
        <v>0.85</v>
      </c>
      <c r="V4158" s="22">
        <f>3.78/5</f>
        <v>0.75600000000000001</v>
      </c>
      <c r="W4158" s="14" t="s">
        <v>1134</v>
      </c>
      <c r="X4158" s="3">
        <v>2</v>
      </c>
      <c r="Z4158" s="23">
        <v>4</v>
      </c>
      <c r="AB4158" s="18">
        <f t="shared" si="128"/>
        <v>2012</v>
      </c>
      <c r="AC4158" s="22">
        <f t="shared" si="129"/>
        <v>0.66866666666666663</v>
      </c>
    </row>
    <row r="4159" spans="1:29" ht="25.5">
      <c r="A4159" s="8" t="s">
        <v>6280</v>
      </c>
      <c r="B4159" s="17" t="s">
        <v>7763</v>
      </c>
      <c r="C4159" s="13">
        <v>40954</v>
      </c>
      <c r="D4159" s="13" t="s">
        <v>8465</v>
      </c>
      <c r="E4159" s="10" t="s">
        <v>1047</v>
      </c>
      <c r="F4159" s="10" t="s">
        <v>2139</v>
      </c>
      <c r="G4159" s="11" t="s">
        <v>1623</v>
      </c>
      <c r="H4159" s="2" t="s">
        <v>1220</v>
      </c>
      <c r="L4159" s="18">
        <v>1</v>
      </c>
      <c r="M4159" s="14" t="s">
        <v>8462</v>
      </c>
      <c r="N4159" s="13">
        <v>43598</v>
      </c>
      <c r="O4159" s="29">
        <v>11.49</v>
      </c>
      <c r="P4159" s="18" t="s">
        <v>14</v>
      </c>
      <c r="Q4159" s="18">
        <v>0</v>
      </c>
      <c r="U4159" s="22">
        <v>0.84</v>
      </c>
      <c r="V4159" s="22">
        <f>3.89/5</f>
        <v>0.77800000000000002</v>
      </c>
      <c r="X4159" s="3">
        <v>3</v>
      </c>
      <c r="Z4159" s="23">
        <v>3</v>
      </c>
      <c r="AB4159" s="18">
        <f t="shared" si="128"/>
        <v>2012</v>
      </c>
      <c r="AC4159" s="22">
        <f t="shared" si="129"/>
        <v>0.73933333333333329</v>
      </c>
    </row>
    <row r="4160" spans="1:29" ht="30">
      <c r="A4160" s="8" t="s">
        <v>9579</v>
      </c>
      <c r="B4160" s="17" t="s">
        <v>7763</v>
      </c>
      <c r="C4160" s="13">
        <v>40954</v>
      </c>
      <c r="D4160" s="13" t="s">
        <v>8465</v>
      </c>
      <c r="E4160" s="10" t="s">
        <v>6107</v>
      </c>
      <c r="F4160" s="10" t="s">
        <v>4535</v>
      </c>
      <c r="G4160" s="11" t="s">
        <v>9580</v>
      </c>
      <c r="H4160" s="2" t="s">
        <v>1054</v>
      </c>
      <c r="L4160" s="18">
        <v>1</v>
      </c>
      <c r="N4160" s="13">
        <v>44213</v>
      </c>
      <c r="O4160" s="29">
        <v>9.99</v>
      </c>
      <c r="P4160" s="18" t="s">
        <v>1107</v>
      </c>
      <c r="Q4160" s="18">
        <v>0</v>
      </c>
      <c r="U4160" s="22">
        <v>0.82</v>
      </c>
      <c r="V4160" s="22">
        <f>3.99/5</f>
        <v>0.79800000000000004</v>
      </c>
      <c r="X4160" s="3">
        <v>3</v>
      </c>
      <c r="Z4160" s="23">
        <v>2</v>
      </c>
      <c r="AB4160" s="18">
        <f t="shared" si="128"/>
        <v>2012</v>
      </c>
      <c r="AC4160" s="22">
        <f t="shared" si="129"/>
        <v>0.73933333333333329</v>
      </c>
    </row>
    <row r="4161" spans="1:29" ht="30">
      <c r="A4161" s="8" t="s">
        <v>9952</v>
      </c>
      <c r="B4161" s="17" t="s">
        <v>7763</v>
      </c>
      <c r="C4161" s="13">
        <v>40954</v>
      </c>
      <c r="D4161" s="13" t="s">
        <v>8465</v>
      </c>
      <c r="E4161" s="10" t="s">
        <v>2908</v>
      </c>
      <c r="F4161" s="10" t="s">
        <v>10091</v>
      </c>
      <c r="G4161" s="11" t="s">
        <v>11029</v>
      </c>
      <c r="H4161" s="2" t="s">
        <v>255</v>
      </c>
      <c r="L4161" s="18">
        <v>1</v>
      </c>
      <c r="M4161" s="14" t="s">
        <v>8462</v>
      </c>
      <c r="N4161" s="13">
        <v>44292</v>
      </c>
      <c r="O4161" s="29">
        <v>33.64</v>
      </c>
      <c r="P4161" s="18" t="s">
        <v>14</v>
      </c>
      <c r="Q4161" s="18">
        <v>0</v>
      </c>
      <c r="U4161" s="22">
        <v>0.76</v>
      </c>
      <c r="V4161" s="22">
        <f>4.04/5</f>
        <v>0.80800000000000005</v>
      </c>
      <c r="X4161" s="3">
        <v>3</v>
      </c>
      <c r="Z4161" s="23">
        <v>12.5</v>
      </c>
      <c r="AB4161" s="18">
        <f t="shared" ref="AB4161:AB4224" si="130">IFERROR(YEAR(C4161), "Early Access")</f>
        <v>2012</v>
      </c>
      <c r="AC4161" s="22">
        <f t="shared" ref="AC4161:AC4224" si="131">AVERAGE(T4161, U4161, V4161, IF(ISBLANK(X4161), X4161, X4161/5))</f>
        <v>0.72266666666666668</v>
      </c>
    </row>
    <row r="4162" spans="1:29" ht="25.5">
      <c r="A4162" s="8" t="s">
        <v>7138</v>
      </c>
      <c r="B4162" s="17" t="s">
        <v>7800</v>
      </c>
      <c r="C4162" s="13">
        <v>40954</v>
      </c>
      <c r="D4162" s="13" t="s">
        <v>8465</v>
      </c>
      <c r="E4162" s="10" t="s">
        <v>7012</v>
      </c>
      <c r="F4162" s="10" t="s">
        <v>7012</v>
      </c>
      <c r="H4162" s="2" t="s">
        <v>21</v>
      </c>
      <c r="L4162" s="18">
        <v>0</v>
      </c>
      <c r="Q4162" s="18">
        <v>0</v>
      </c>
      <c r="V4162" s="22">
        <f>2.6/5</f>
        <v>0.52</v>
      </c>
      <c r="W4162" s="14" t="s">
        <v>5674</v>
      </c>
      <c r="X4162" s="3">
        <v>3</v>
      </c>
      <c r="AB4162" s="18">
        <f t="shared" si="130"/>
        <v>2012</v>
      </c>
      <c r="AC4162" s="22">
        <f t="shared" si="131"/>
        <v>0.56000000000000005</v>
      </c>
    </row>
    <row r="4163" spans="1:29" ht="30">
      <c r="A4163" s="8" t="s">
        <v>13101</v>
      </c>
      <c r="B4163" s="17" t="s">
        <v>7763</v>
      </c>
      <c r="C4163" s="13">
        <v>40954</v>
      </c>
      <c r="D4163" s="13" t="s">
        <v>8465</v>
      </c>
      <c r="E4163" s="10" t="s">
        <v>2908</v>
      </c>
      <c r="F4163" s="10" t="s">
        <v>13102</v>
      </c>
      <c r="H4163" s="2" t="s">
        <v>1142</v>
      </c>
      <c r="L4163" s="18">
        <v>1</v>
      </c>
      <c r="M4163" s="14" t="s">
        <v>8462</v>
      </c>
      <c r="N4163" s="13">
        <v>45109</v>
      </c>
      <c r="O4163" s="29">
        <v>11.77</v>
      </c>
      <c r="P4163" s="18" t="s">
        <v>14</v>
      </c>
      <c r="Q4163" s="18">
        <v>0</v>
      </c>
      <c r="U4163" s="22">
        <v>0.56999999999999995</v>
      </c>
      <c r="V4163" s="22">
        <f>2.85/5</f>
        <v>0.57000000000000006</v>
      </c>
      <c r="X4163" s="3">
        <v>2</v>
      </c>
      <c r="Z4163" s="23">
        <v>3</v>
      </c>
      <c r="AB4163" s="18">
        <f t="shared" si="130"/>
        <v>2012</v>
      </c>
      <c r="AC4163" s="22">
        <f t="shared" si="131"/>
        <v>0.51333333333333331</v>
      </c>
    </row>
    <row r="4164" spans="1:29" ht="25.5">
      <c r="A4164" s="8" t="s">
        <v>10084</v>
      </c>
      <c r="B4164" s="17" t="s">
        <v>7763</v>
      </c>
      <c r="C4164" s="13">
        <v>40954</v>
      </c>
      <c r="D4164" s="13" t="s">
        <v>8465</v>
      </c>
      <c r="E4164" s="10" t="s">
        <v>1047</v>
      </c>
      <c r="F4164" s="10" t="s">
        <v>10085</v>
      </c>
      <c r="G4164" s="11" t="s">
        <v>10086</v>
      </c>
      <c r="H4164" s="2" t="s">
        <v>171</v>
      </c>
      <c r="L4164" s="18">
        <v>1</v>
      </c>
      <c r="M4164" s="14" t="s">
        <v>8462</v>
      </c>
      <c r="N4164" s="13">
        <v>44292</v>
      </c>
      <c r="O4164" s="29">
        <v>18.989999999999998</v>
      </c>
      <c r="P4164" s="18" t="s">
        <v>14</v>
      </c>
      <c r="Q4164" s="18">
        <v>0</v>
      </c>
      <c r="U4164" s="22">
        <v>0.49</v>
      </c>
      <c r="V4164" s="22">
        <f>3.25/5</f>
        <v>0.65</v>
      </c>
      <c r="X4164" s="3">
        <v>2</v>
      </c>
      <c r="Z4164" s="23">
        <v>17</v>
      </c>
      <c r="AB4164" s="18">
        <f t="shared" si="130"/>
        <v>2012</v>
      </c>
      <c r="AC4164" s="22">
        <f t="shared" si="131"/>
        <v>0.51333333333333331</v>
      </c>
    </row>
    <row r="4165" spans="1:29">
      <c r="A4165" s="8" t="s">
        <v>11085</v>
      </c>
      <c r="B4165" s="17" t="s">
        <v>7763</v>
      </c>
      <c r="C4165" s="13">
        <v>40954</v>
      </c>
      <c r="D4165" s="13" t="s">
        <v>8465</v>
      </c>
      <c r="E4165" s="10" t="s">
        <v>1047</v>
      </c>
      <c r="F4165" s="10" t="s">
        <v>7461</v>
      </c>
      <c r="G4165" s="11" t="s">
        <v>11086</v>
      </c>
      <c r="H4165" s="2" t="s">
        <v>150</v>
      </c>
      <c r="L4165" s="18">
        <v>1</v>
      </c>
      <c r="M4165" s="14" t="s">
        <v>8462</v>
      </c>
      <c r="N4165" s="13">
        <v>44875</v>
      </c>
      <c r="O4165" s="29">
        <v>27.72</v>
      </c>
      <c r="P4165" s="18" t="s">
        <v>14</v>
      </c>
      <c r="Q4165" s="18">
        <v>0</v>
      </c>
      <c r="U4165" s="22">
        <v>0.49</v>
      </c>
      <c r="V4165" s="22">
        <f>3.24/5</f>
        <v>0.64800000000000002</v>
      </c>
      <c r="X4165" s="3">
        <v>2</v>
      </c>
      <c r="Z4165" s="23">
        <v>3</v>
      </c>
      <c r="AB4165" s="18">
        <f t="shared" si="130"/>
        <v>2012</v>
      </c>
      <c r="AC4165" s="22">
        <f t="shared" si="131"/>
        <v>0.5126666666666666</v>
      </c>
    </row>
    <row r="4166" spans="1:29">
      <c r="A4166" s="8" t="s">
        <v>5095</v>
      </c>
      <c r="B4166" s="17" t="s">
        <v>7800</v>
      </c>
      <c r="C4166" s="13">
        <v>40954</v>
      </c>
      <c r="D4166" s="13" t="s">
        <v>8465</v>
      </c>
      <c r="E4166" s="10" t="s">
        <v>5096</v>
      </c>
      <c r="F4166" s="10" t="s">
        <v>5096</v>
      </c>
      <c r="H4166" s="2" t="s">
        <v>78</v>
      </c>
      <c r="L4166" s="18">
        <v>1</v>
      </c>
      <c r="N4166" s="13">
        <v>41226</v>
      </c>
      <c r="P4166" s="18" t="s">
        <v>1107</v>
      </c>
      <c r="Q4166" s="18">
        <v>0</v>
      </c>
      <c r="U4166" s="22">
        <v>0.5</v>
      </c>
      <c r="V4166" s="22">
        <f>2.43/5</f>
        <v>0.48600000000000004</v>
      </c>
      <c r="W4166" s="14" t="s">
        <v>7777</v>
      </c>
      <c r="X4166" s="3">
        <v>2</v>
      </c>
      <c r="Z4166" s="23">
        <v>3.5</v>
      </c>
      <c r="AB4166" s="18">
        <f t="shared" si="130"/>
        <v>2012</v>
      </c>
      <c r="AC4166" s="22">
        <f t="shared" si="131"/>
        <v>0.46200000000000002</v>
      </c>
    </row>
    <row r="4167" spans="1:29">
      <c r="A4167" s="8" t="s">
        <v>5844</v>
      </c>
      <c r="B4167" s="17" t="s">
        <v>7749</v>
      </c>
      <c r="C4167" s="13">
        <v>40953</v>
      </c>
      <c r="D4167" s="13" t="s">
        <v>8465</v>
      </c>
      <c r="E4167" s="10" t="s">
        <v>1509</v>
      </c>
      <c r="F4167" s="10" t="s">
        <v>1500</v>
      </c>
      <c r="G4167" s="11" t="s">
        <v>1422</v>
      </c>
      <c r="H4167" s="2" t="s">
        <v>171</v>
      </c>
      <c r="L4167" s="18">
        <v>1</v>
      </c>
      <c r="M4167" s="14" t="s">
        <v>8462</v>
      </c>
      <c r="N4167" s="13">
        <v>43891</v>
      </c>
      <c r="O4167" s="29">
        <v>14.92</v>
      </c>
      <c r="P4167" s="18" t="s">
        <v>14</v>
      </c>
      <c r="Q4167" s="18">
        <v>0</v>
      </c>
      <c r="U4167" s="22">
        <v>0.75</v>
      </c>
      <c r="V4167" s="22">
        <f>4.24/5</f>
        <v>0.84800000000000009</v>
      </c>
      <c r="X4167" s="3">
        <v>4</v>
      </c>
      <c r="Z4167" s="23">
        <v>49</v>
      </c>
      <c r="AB4167" s="18">
        <f t="shared" si="130"/>
        <v>2012</v>
      </c>
      <c r="AC4167" s="22">
        <f t="shared" si="131"/>
        <v>0.79933333333333334</v>
      </c>
    </row>
    <row r="4168" spans="1:29" ht="30">
      <c r="A4168" s="8" t="s">
        <v>6288</v>
      </c>
      <c r="B4168" s="17" t="s">
        <v>7763</v>
      </c>
      <c r="C4168" s="13">
        <v>40953</v>
      </c>
      <c r="D4168" s="13" t="s">
        <v>8465</v>
      </c>
      <c r="E4168" s="10" t="s">
        <v>2908</v>
      </c>
      <c r="F4168" s="10" t="s">
        <v>3028</v>
      </c>
      <c r="G4168" s="11" t="s">
        <v>6040</v>
      </c>
      <c r="H4168" s="2" t="s">
        <v>80</v>
      </c>
      <c r="L4168" s="18">
        <v>1</v>
      </c>
      <c r="M4168" s="14" t="s">
        <v>8462</v>
      </c>
      <c r="N4168" s="13">
        <v>43600</v>
      </c>
      <c r="O4168" s="29">
        <v>18.5</v>
      </c>
      <c r="P4168" s="18" t="s">
        <v>14</v>
      </c>
      <c r="Q4168" s="18">
        <v>0</v>
      </c>
      <c r="U4168" s="22">
        <v>0.81</v>
      </c>
      <c r="V4168" s="22">
        <f>3.85/5</f>
        <v>0.77</v>
      </c>
      <c r="X4168" s="3">
        <v>4</v>
      </c>
      <c r="Z4168" s="23">
        <v>10</v>
      </c>
      <c r="AB4168" s="18">
        <f t="shared" si="130"/>
        <v>2012</v>
      </c>
      <c r="AC4168" s="22">
        <f t="shared" si="131"/>
        <v>0.79333333333333333</v>
      </c>
    </row>
    <row r="4169" spans="1:29" ht="30">
      <c r="A4169" s="8" t="s">
        <v>6067</v>
      </c>
      <c r="B4169" s="17" t="s">
        <v>7759</v>
      </c>
      <c r="C4169" s="13">
        <v>40953</v>
      </c>
      <c r="D4169" s="13" t="s">
        <v>8465</v>
      </c>
      <c r="E4169" s="10" t="s">
        <v>2908</v>
      </c>
      <c r="F4169" s="10" t="s">
        <v>6068</v>
      </c>
      <c r="G4169" s="11" t="s">
        <v>6067</v>
      </c>
      <c r="H4169" s="2" t="s">
        <v>1204</v>
      </c>
      <c r="L4169" s="18">
        <v>1</v>
      </c>
      <c r="N4169" s="13">
        <v>42249</v>
      </c>
      <c r="O4169" s="29">
        <v>0</v>
      </c>
      <c r="P4169" s="18" t="s">
        <v>1107</v>
      </c>
      <c r="Q4169" s="18">
        <v>0</v>
      </c>
      <c r="U4169" s="22">
        <v>0.76</v>
      </c>
      <c r="V4169" s="22">
        <f>3.78/5</f>
        <v>0.75600000000000001</v>
      </c>
      <c r="W4169" s="14" t="s">
        <v>6072</v>
      </c>
      <c r="X4169" s="3">
        <v>3</v>
      </c>
      <c r="Z4169" s="23">
        <v>4.5</v>
      </c>
      <c r="AB4169" s="18">
        <f t="shared" si="130"/>
        <v>2012</v>
      </c>
      <c r="AC4169" s="22">
        <f t="shared" si="131"/>
        <v>0.70533333333333337</v>
      </c>
    </row>
    <row r="4170" spans="1:29" ht="25.5">
      <c r="A4170" s="8" t="s">
        <v>8088</v>
      </c>
      <c r="B4170" s="17" t="s">
        <v>7749</v>
      </c>
      <c r="C4170" s="13">
        <v>40953</v>
      </c>
      <c r="D4170" s="13" t="s">
        <v>8465</v>
      </c>
      <c r="E4170" s="10" t="s">
        <v>1509</v>
      </c>
      <c r="F4170" s="10" t="s">
        <v>1046</v>
      </c>
      <c r="G4170" s="11" t="s">
        <v>8076</v>
      </c>
      <c r="H4170" s="2" t="s">
        <v>459</v>
      </c>
      <c r="L4170" s="18">
        <v>0</v>
      </c>
      <c r="Q4170" s="18">
        <v>0</v>
      </c>
      <c r="U4170" s="22">
        <v>0.65959999999999996</v>
      </c>
      <c r="V4170" s="22">
        <f>3.34/5</f>
        <v>0.66799999999999993</v>
      </c>
      <c r="X4170" s="3">
        <v>3</v>
      </c>
      <c r="Y4170" s="18">
        <v>1</v>
      </c>
      <c r="Z4170" s="23">
        <v>15</v>
      </c>
      <c r="AB4170" s="18">
        <f t="shared" si="130"/>
        <v>2012</v>
      </c>
      <c r="AC4170" s="22">
        <f t="shared" si="131"/>
        <v>0.64253333333333329</v>
      </c>
    </row>
    <row r="4171" spans="1:29" ht="30">
      <c r="A4171" s="8" t="s">
        <v>3517</v>
      </c>
      <c r="B4171" s="17" t="s">
        <v>7800</v>
      </c>
      <c r="C4171" s="13">
        <v>40953</v>
      </c>
      <c r="D4171" s="13" t="s">
        <v>8465</v>
      </c>
      <c r="E4171" s="10" t="s">
        <v>3453</v>
      </c>
      <c r="F4171" s="10" t="s">
        <v>3516</v>
      </c>
      <c r="G4171" s="11" t="s">
        <v>3515</v>
      </c>
      <c r="H4171" s="2" t="s">
        <v>1271</v>
      </c>
      <c r="L4171" s="18">
        <v>1</v>
      </c>
      <c r="N4171" s="13">
        <v>41870</v>
      </c>
      <c r="P4171" s="18" t="s">
        <v>1107</v>
      </c>
      <c r="Q4171" s="18">
        <v>0</v>
      </c>
      <c r="U4171" s="22">
        <v>0.81</v>
      </c>
      <c r="V4171" s="22">
        <f>4.15/5</f>
        <v>0.83000000000000007</v>
      </c>
      <c r="W4171" s="14" t="s">
        <v>7777</v>
      </c>
      <c r="X4171" s="3">
        <v>2</v>
      </c>
      <c r="Z4171" s="23">
        <v>65</v>
      </c>
      <c r="AB4171" s="18">
        <f t="shared" si="130"/>
        <v>2012</v>
      </c>
      <c r="AC4171" s="22">
        <f t="shared" si="131"/>
        <v>0.68</v>
      </c>
    </row>
    <row r="4172" spans="1:29" ht="30">
      <c r="A4172" s="8" t="s">
        <v>15264</v>
      </c>
      <c r="B4172" s="17" t="s">
        <v>7763</v>
      </c>
      <c r="C4172" s="13">
        <v>40953</v>
      </c>
      <c r="D4172" s="13" t="s">
        <v>8465</v>
      </c>
      <c r="E4172" s="10" t="s">
        <v>2908</v>
      </c>
      <c r="F4172" s="10" t="s">
        <v>14071</v>
      </c>
      <c r="H4172" s="2" t="s">
        <v>78</v>
      </c>
      <c r="L4172" s="18">
        <v>0</v>
      </c>
      <c r="Q4172" s="18">
        <v>0</v>
      </c>
      <c r="U4172" s="22">
        <v>0.71</v>
      </c>
      <c r="V4172" s="22">
        <f>3.47/5</f>
        <v>0.69400000000000006</v>
      </c>
      <c r="X4172" s="3">
        <v>2</v>
      </c>
      <c r="Z4172" s="23">
        <v>4</v>
      </c>
      <c r="AB4172" s="18">
        <f t="shared" si="130"/>
        <v>2012</v>
      </c>
      <c r="AC4172" s="22">
        <f t="shared" si="131"/>
        <v>0.60133333333333328</v>
      </c>
    </row>
    <row r="4173" spans="1:29">
      <c r="A4173" s="8" t="s">
        <v>1022</v>
      </c>
      <c r="B4173" s="17" t="s">
        <v>7741</v>
      </c>
      <c r="C4173" s="13">
        <v>40952</v>
      </c>
      <c r="D4173" s="13" t="s">
        <v>8465</v>
      </c>
      <c r="E4173" s="10" t="s">
        <v>86</v>
      </c>
      <c r="F4173" s="10" t="s">
        <v>1515</v>
      </c>
      <c r="G4173" s="11" t="s">
        <v>1547</v>
      </c>
      <c r="H4173" s="2" t="s">
        <v>1220</v>
      </c>
      <c r="L4173" s="18">
        <v>0</v>
      </c>
      <c r="Q4173" s="18">
        <v>0</v>
      </c>
      <c r="U4173" s="22">
        <v>0.82</v>
      </c>
      <c r="V4173" s="22">
        <f>4.24/5</f>
        <v>0.84800000000000009</v>
      </c>
      <c r="X4173" s="3">
        <v>4</v>
      </c>
      <c r="Z4173" s="23">
        <v>8</v>
      </c>
      <c r="AB4173" s="18">
        <f t="shared" si="130"/>
        <v>2012</v>
      </c>
      <c r="AC4173" s="22">
        <f t="shared" si="131"/>
        <v>0.82266666666666666</v>
      </c>
    </row>
    <row r="4174" spans="1:29" ht="38.25">
      <c r="A4174" s="8" t="s">
        <v>10487</v>
      </c>
      <c r="B4174" s="17" t="s">
        <v>7762</v>
      </c>
      <c r="C4174" s="13">
        <v>40948</v>
      </c>
      <c r="D4174" s="13" t="s">
        <v>8463</v>
      </c>
      <c r="E4174" s="10" t="s">
        <v>72</v>
      </c>
      <c r="F4174" s="10" t="s">
        <v>72</v>
      </c>
      <c r="G4174" s="11" t="s">
        <v>2318</v>
      </c>
      <c r="H4174" s="2" t="s">
        <v>75</v>
      </c>
      <c r="K4174" s="18">
        <v>2</v>
      </c>
      <c r="L4174" s="18">
        <v>0</v>
      </c>
      <c r="Q4174" s="18">
        <v>0</v>
      </c>
      <c r="V4174" s="22">
        <f>3.58/5</f>
        <v>0.71599999999999997</v>
      </c>
      <c r="X4174" s="3">
        <v>3</v>
      </c>
      <c r="Z4174" s="23">
        <v>22</v>
      </c>
      <c r="AB4174" s="18">
        <f t="shared" si="130"/>
        <v>2012</v>
      </c>
      <c r="AC4174" s="22">
        <f t="shared" si="131"/>
        <v>0.65799999999999992</v>
      </c>
    </row>
    <row r="4175" spans="1:29" ht="30">
      <c r="A4175" s="8" t="s">
        <v>5956</v>
      </c>
      <c r="B4175" s="17" t="s">
        <v>7759</v>
      </c>
      <c r="C4175" s="13">
        <v>40946</v>
      </c>
      <c r="D4175" s="13" t="s">
        <v>8465</v>
      </c>
      <c r="E4175" s="10" t="s">
        <v>2908</v>
      </c>
      <c r="F4175" s="10" t="s">
        <v>5957</v>
      </c>
      <c r="G4175" s="11" t="s">
        <v>5880</v>
      </c>
      <c r="H4175" s="2" t="s">
        <v>1040</v>
      </c>
      <c r="L4175" s="18">
        <v>1</v>
      </c>
      <c r="M4175" s="14" t="s">
        <v>8462</v>
      </c>
      <c r="N4175" s="13">
        <v>43473</v>
      </c>
      <c r="O4175" s="29">
        <v>16</v>
      </c>
      <c r="P4175" s="18" t="s">
        <v>14</v>
      </c>
      <c r="Q4175" s="18">
        <v>0</v>
      </c>
      <c r="U4175" s="22">
        <v>0.8</v>
      </c>
      <c r="V4175" s="22">
        <f>4.17/5</f>
        <v>0.83399999999999996</v>
      </c>
      <c r="X4175" s="3">
        <v>4</v>
      </c>
      <c r="Z4175" s="23">
        <v>46</v>
      </c>
      <c r="AB4175" s="18">
        <f t="shared" si="130"/>
        <v>2012</v>
      </c>
      <c r="AC4175" s="22">
        <f t="shared" si="131"/>
        <v>0.81133333333333335</v>
      </c>
    </row>
    <row r="4176" spans="1:29" ht="25.5">
      <c r="A4176" s="8" t="s">
        <v>4240</v>
      </c>
      <c r="B4176" s="17" t="s">
        <v>7800</v>
      </c>
      <c r="C4176" s="13">
        <v>40946</v>
      </c>
      <c r="D4176" s="13" t="s">
        <v>8465</v>
      </c>
      <c r="E4176" s="10" t="s">
        <v>4241</v>
      </c>
      <c r="F4176" s="10" t="s">
        <v>4241</v>
      </c>
      <c r="G4176" s="11" t="s">
        <v>12870</v>
      </c>
      <c r="H4176" s="2" t="s">
        <v>171</v>
      </c>
      <c r="L4176" s="18">
        <v>1</v>
      </c>
      <c r="N4176" s="13">
        <v>41669</v>
      </c>
      <c r="O4176" s="29">
        <v>5.73</v>
      </c>
      <c r="P4176" s="18" t="s">
        <v>1107</v>
      </c>
      <c r="Q4176" s="18">
        <v>0</v>
      </c>
      <c r="U4176" s="22">
        <v>0.77</v>
      </c>
      <c r="V4176" s="22">
        <f>3.81/5</f>
        <v>0.76200000000000001</v>
      </c>
      <c r="W4176" s="14" t="s">
        <v>7777</v>
      </c>
      <c r="X4176" s="3">
        <v>4</v>
      </c>
      <c r="Z4176" s="23">
        <v>31.5</v>
      </c>
      <c r="AB4176" s="18">
        <f t="shared" si="130"/>
        <v>2012</v>
      </c>
      <c r="AC4176" s="22">
        <f t="shared" si="131"/>
        <v>0.77733333333333332</v>
      </c>
    </row>
    <row r="4177" spans="1:29">
      <c r="A4177" s="8" t="s">
        <v>5292</v>
      </c>
      <c r="B4177" s="17" t="s">
        <v>7800</v>
      </c>
      <c r="C4177" s="13">
        <v>40946</v>
      </c>
      <c r="D4177" s="13" t="s">
        <v>8465</v>
      </c>
      <c r="E4177" s="10" t="s">
        <v>3310</v>
      </c>
      <c r="F4177" s="10" t="s">
        <v>3564</v>
      </c>
      <c r="G4177" s="11" t="s">
        <v>5293</v>
      </c>
      <c r="H4177" s="2" t="s">
        <v>1050</v>
      </c>
      <c r="L4177" s="18">
        <v>1</v>
      </c>
      <c r="N4177" s="13">
        <v>41649</v>
      </c>
      <c r="O4177" s="29">
        <v>3.22</v>
      </c>
      <c r="P4177" s="18" t="s">
        <v>1107</v>
      </c>
      <c r="Q4177" s="18">
        <v>0</v>
      </c>
      <c r="U4177" s="22">
        <v>0.77</v>
      </c>
      <c r="V4177" s="22">
        <f>3.67/5</f>
        <v>0.73399999999999999</v>
      </c>
      <c r="W4177" s="14" t="s">
        <v>7777</v>
      </c>
      <c r="X4177" s="3">
        <v>3</v>
      </c>
      <c r="Z4177" s="23">
        <v>6</v>
      </c>
      <c r="AB4177" s="18">
        <f t="shared" si="130"/>
        <v>2012</v>
      </c>
      <c r="AC4177" s="22">
        <f t="shared" si="131"/>
        <v>0.70133333333333336</v>
      </c>
    </row>
    <row r="4178" spans="1:29">
      <c r="A4178" s="8" t="s">
        <v>5415</v>
      </c>
      <c r="B4178" s="17" t="s">
        <v>7800</v>
      </c>
      <c r="C4178" s="13">
        <v>40942</v>
      </c>
      <c r="D4178" s="13" t="s">
        <v>8465</v>
      </c>
      <c r="E4178" s="10" t="s">
        <v>3719</v>
      </c>
      <c r="F4178" s="10" t="s">
        <v>3719</v>
      </c>
      <c r="H4178" s="2" t="s">
        <v>2138</v>
      </c>
      <c r="L4178" s="18">
        <v>1</v>
      </c>
      <c r="N4178" s="13">
        <v>41627</v>
      </c>
      <c r="P4178" s="18" t="s">
        <v>1107</v>
      </c>
      <c r="Q4178" s="18">
        <v>0</v>
      </c>
      <c r="U4178" s="22">
        <v>0.78</v>
      </c>
      <c r="V4178" s="22">
        <f>3.41/5</f>
        <v>0.68200000000000005</v>
      </c>
      <c r="W4178" s="14" t="s">
        <v>7777</v>
      </c>
      <c r="X4178" s="3">
        <v>2</v>
      </c>
      <c r="Z4178" s="23">
        <v>1.5</v>
      </c>
      <c r="AB4178" s="18">
        <f t="shared" si="130"/>
        <v>2012</v>
      </c>
      <c r="AC4178" s="22">
        <f t="shared" si="131"/>
        <v>0.6206666666666667</v>
      </c>
    </row>
    <row r="4179" spans="1:29">
      <c r="A4179" s="8" t="s">
        <v>5055</v>
      </c>
      <c r="B4179" s="17" t="s">
        <v>7800</v>
      </c>
      <c r="C4179" s="13">
        <v>40942</v>
      </c>
      <c r="D4179" s="13" t="s">
        <v>8465</v>
      </c>
      <c r="E4179" s="10" t="s">
        <v>3760</v>
      </c>
      <c r="F4179" s="10" t="s">
        <v>3760</v>
      </c>
      <c r="H4179" s="2" t="s">
        <v>143</v>
      </c>
      <c r="L4179" s="18">
        <v>1</v>
      </c>
      <c r="N4179" s="13">
        <v>41409</v>
      </c>
      <c r="P4179" s="18" t="s">
        <v>1107</v>
      </c>
      <c r="Q4179" s="18">
        <v>0</v>
      </c>
      <c r="U4179" s="22">
        <v>0.45</v>
      </c>
      <c r="V4179" s="22">
        <f>3.59/5</f>
        <v>0.71799999999999997</v>
      </c>
      <c r="W4179" s="14" t="s">
        <v>7777</v>
      </c>
      <c r="X4179" s="3">
        <v>2</v>
      </c>
      <c r="Z4179" s="23">
        <v>2</v>
      </c>
      <c r="AB4179" s="18">
        <f t="shared" si="130"/>
        <v>2012</v>
      </c>
      <c r="AC4179" s="22">
        <f t="shared" si="131"/>
        <v>0.52266666666666672</v>
      </c>
    </row>
    <row r="4180" spans="1:29">
      <c r="A4180" s="8" t="s">
        <v>4706</v>
      </c>
      <c r="B4180" s="17" t="s">
        <v>7800</v>
      </c>
      <c r="C4180" s="13">
        <v>40941</v>
      </c>
      <c r="D4180" s="13" t="s">
        <v>8465</v>
      </c>
      <c r="E4180" s="10" t="s">
        <v>2127</v>
      </c>
      <c r="F4180" s="10" t="s">
        <v>2127</v>
      </c>
      <c r="G4180" s="11" t="s">
        <v>4707</v>
      </c>
      <c r="H4180" s="2" t="s">
        <v>64</v>
      </c>
      <c r="L4180" s="18">
        <v>1</v>
      </c>
      <c r="N4180" s="13">
        <v>41078</v>
      </c>
      <c r="P4180" s="18" t="s">
        <v>1107</v>
      </c>
      <c r="Q4180" s="18">
        <v>0</v>
      </c>
      <c r="U4180" s="22">
        <v>0.86</v>
      </c>
      <c r="V4180" s="22">
        <f>3.46/5</f>
        <v>0.69199999999999995</v>
      </c>
      <c r="W4180" s="14" t="s">
        <v>7777</v>
      </c>
      <c r="X4180" s="3">
        <v>3</v>
      </c>
      <c r="Z4180" s="23">
        <v>8.5</v>
      </c>
      <c r="AB4180" s="18">
        <f t="shared" si="130"/>
        <v>2012</v>
      </c>
      <c r="AC4180" s="22">
        <f t="shared" si="131"/>
        <v>0.71733333333333338</v>
      </c>
    </row>
    <row r="4181" spans="1:29">
      <c r="A4181" s="8" t="s">
        <v>4693</v>
      </c>
      <c r="B4181" s="17" t="s">
        <v>7800</v>
      </c>
      <c r="C4181" s="13">
        <v>40941</v>
      </c>
      <c r="D4181" s="13" t="s">
        <v>8465</v>
      </c>
      <c r="E4181" s="10" t="s">
        <v>4694</v>
      </c>
      <c r="F4181" s="10" t="s">
        <v>4694</v>
      </c>
      <c r="H4181" s="2" t="s">
        <v>80</v>
      </c>
      <c r="L4181" s="18">
        <v>1</v>
      </c>
      <c r="N4181" s="13">
        <v>41226</v>
      </c>
      <c r="P4181" s="18" t="s">
        <v>1107</v>
      </c>
      <c r="Q4181" s="18">
        <v>0</v>
      </c>
      <c r="U4181" s="22">
        <v>0.62</v>
      </c>
      <c r="V4181" s="22">
        <f>3.58/5</f>
        <v>0.71599999999999997</v>
      </c>
      <c r="W4181" s="14" t="s">
        <v>7777</v>
      </c>
      <c r="X4181" s="3">
        <v>3</v>
      </c>
      <c r="Z4181" s="23">
        <v>3</v>
      </c>
      <c r="AB4181" s="18">
        <f t="shared" si="130"/>
        <v>2012</v>
      </c>
      <c r="AC4181" s="22">
        <f t="shared" si="131"/>
        <v>0.64533333333333331</v>
      </c>
    </row>
    <row r="4182" spans="1:29" ht="45">
      <c r="A4182" s="8" t="s">
        <v>4484</v>
      </c>
      <c r="B4182" s="17" t="s">
        <v>7800</v>
      </c>
      <c r="C4182" s="13">
        <v>40940</v>
      </c>
      <c r="D4182" s="13" t="s">
        <v>8465</v>
      </c>
      <c r="E4182" s="10" t="s">
        <v>1156</v>
      </c>
      <c r="F4182" s="10" t="s">
        <v>1632</v>
      </c>
      <c r="G4182" s="11" t="s">
        <v>17</v>
      </c>
      <c r="H4182" s="2" t="s">
        <v>459</v>
      </c>
      <c r="L4182" s="18">
        <v>1</v>
      </c>
      <c r="N4182" s="13">
        <v>41794</v>
      </c>
      <c r="P4182" s="18" t="s">
        <v>1107</v>
      </c>
      <c r="Q4182" s="18">
        <v>0</v>
      </c>
      <c r="U4182" s="22">
        <v>0.4</v>
      </c>
      <c r="V4182" s="22">
        <f>3.4/5</f>
        <v>0.67999999999999994</v>
      </c>
      <c r="W4182" s="14" t="s">
        <v>7777</v>
      </c>
      <c r="X4182" s="3">
        <v>2</v>
      </c>
      <c r="Z4182" s="23">
        <v>7</v>
      </c>
      <c r="AB4182" s="18">
        <f t="shared" si="130"/>
        <v>2012</v>
      </c>
      <c r="AC4182" s="22">
        <f t="shared" si="131"/>
        <v>0.49333333333333335</v>
      </c>
    </row>
    <row r="4183" spans="1:29">
      <c r="A4183" s="8" t="s">
        <v>6731</v>
      </c>
      <c r="B4183" s="17" t="s">
        <v>7759</v>
      </c>
      <c r="C4183" s="13">
        <v>40939</v>
      </c>
      <c r="D4183" s="13" t="s">
        <v>8465</v>
      </c>
      <c r="E4183" s="10" t="s">
        <v>1509</v>
      </c>
      <c r="F4183" s="10" t="s">
        <v>6724</v>
      </c>
      <c r="G4183" s="11" t="s">
        <v>6161</v>
      </c>
      <c r="H4183" s="2" t="s">
        <v>459</v>
      </c>
      <c r="L4183" s="18">
        <v>0</v>
      </c>
      <c r="Q4183" s="18">
        <v>0</v>
      </c>
      <c r="U4183" s="22">
        <v>0.8</v>
      </c>
      <c r="V4183" s="22">
        <f>3.58/5</f>
        <v>0.71599999999999997</v>
      </c>
      <c r="X4183" s="3">
        <v>3</v>
      </c>
      <c r="Y4183" s="18">
        <v>1</v>
      </c>
      <c r="Z4183" s="23">
        <v>2.5</v>
      </c>
      <c r="AB4183" s="18">
        <f t="shared" si="130"/>
        <v>2012</v>
      </c>
      <c r="AC4183" s="22">
        <f t="shared" si="131"/>
        <v>0.70533333333333337</v>
      </c>
    </row>
    <row r="4184" spans="1:29" ht="30">
      <c r="A4184" s="8" t="s">
        <v>5979</v>
      </c>
      <c r="B4184" s="17" t="s">
        <v>7759</v>
      </c>
      <c r="C4184" s="13">
        <v>40939</v>
      </c>
      <c r="D4184" s="13" t="s">
        <v>8465</v>
      </c>
      <c r="E4184" s="10" t="s">
        <v>72</v>
      </c>
      <c r="F4184" s="10" t="s">
        <v>3152</v>
      </c>
      <c r="H4184" s="2" t="s">
        <v>143</v>
      </c>
      <c r="L4184" s="18">
        <v>1</v>
      </c>
      <c r="M4184" s="14" t="s">
        <v>8462</v>
      </c>
      <c r="N4184" s="13">
        <v>43541</v>
      </c>
      <c r="O4184" s="29">
        <v>9.99</v>
      </c>
      <c r="P4184" s="18" t="s">
        <v>14</v>
      </c>
      <c r="Q4184" s="18">
        <v>0</v>
      </c>
      <c r="U4184" s="22">
        <v>0.5</v>
      </c>
      <c r="V4184" s="22">
        <f>2.8/5</f>
        <v>0.55999999999999994</v>
      </c>
      <c r="X4184" s="3">
        <v>2</v>
      </c>
      <c r="Z4184" s="23">
        <v>8</v>
      </c>
      <c r="AB4184" s="18">
        <f t="shared" si="130"/>
        <v>2012</v>
      </c>
      <c r="AC4184" s="22">
        <f t="shared" si="131"/>
        <v>0.48666666666666664</v>
      </c>
    </row>
    <row r="4185" spans="1:29" ht="38.25">
      <c r="A4185" s="8" t="s">
        <v>3924</v>
      </c>
      <c r="B4185" s="17" t="s">
        <v>7800</v>
      </c>
      <c r="C4185" s="13">
        <v>40938</v>
      </c>
      <c r="D4185" s="13" t="s">
        <v>8465</v>
      </c>
      <c r="E4185" s="10" t="s">
        <v>3430</v>
      </c>
      <c r="F4185" s="10" t="s">
        <v>3925</v>
      </c>
      <c r="H4185" s="2" t="s">
        <v>171</v>
      </c>
      <c r="L4185" s="18">
        <v>1</v>
      </c>
      <c r="N4185" s="13">
        <v>42006</v>
      </c>
      <c r="O4185" s="29">
        <v>4.99</v>
      </c>
      <c r="P4185" s="18" t="s">
        <v>1107</v>
      </c>
      <c r="Q4185" s="18">
        <v>0</v>
      </c>
      <c r="U4185" s="22">
        <v>0.61</v>
      </c>
      <c r="V4185" s="22">
        <f>4/5</f>
        <v>0.8</v>
      </c>
      <c r="W4185" s="14" t="s">
        <v>7777</v>
      </c>
      <c r="X4185" s="3">
        <v>3</v>
      </c>
      <c r="Z4185" s="23">
        <v>20.5</v>
      </c>
      <c r="AB4185" s="18">
        <f t="shared" si="130"/>
        <v>2012</v>
      </c>
      <c r="AC4185" s="22">
        <f t="shared" si="131"/>
        <v>0.67</v>
      </c>
    </row>
    <row r="4186" spans="1:29">
      <c r="A4186" s="8" t="s">
        <v>14203</v>
      </c>
      <c r="B4186" s="17" t="s">
        <v>7800</v>
      </c>
      <c r="C4186" s="13">
        <v>40934</v>
      </c>
      <c r="D4186" s="13" t="s">
        <v>8465</v>
      </c>
      <c r="E4186" s="10" t="s">
        <v>14204</v>
      </c>
      <c r="F4186" s="10" t="s">
        <v>14204</v>
      </c>
      <c r="H4186" s="2" t="s">
        <v>64</v>
      </c>
      <c r="L4186" s="18">
        <v>1</v>
      </c>
      <c r="O4186" s="29">
        <v>0</v>
      </c>
      <c r="P4186" s="18" t="s">
        <v>1107</v>
      </c>
      <c r="Q4186" s="18">
        <v>0</v>
      </c>
      <c r="V4186" s="22">
        <f>4/5</f>
        <v>0.8</v>
      </c>
      <c r="W4186" s="14" t="s">
        <v>8765</v>
      </c>
      <c r="X4186" s="3">
        <v>2</v>
      </c>
      <c r="Z4186" s="23">
        <v>1.5</v>
      </c>
      <c r="AB4186" s="18">
        <f t="shared" si="130"/>
        <v>2012</v>
      </c>
      <c r="AC4186" s="22">
        <f t="shared" si="131"/>
        <v>0.60000000000000009</v>
      </c>
    </row>
    <row r="4187" spans="1:29" ht="30">
      <c r="A4187" s="8" t="s">
        <v>7342</v>
      </c>
      <c r="B4187" s="17" t="s">
        <v>7783</v>
      </c>
      <c r="C4187" s="13">
        <v>40928</v>
      </c>
      <c r="D4187" s="13" t="s">
        <v>8465</v>
      </c>
      <c r="E4187" s="10" t="s">
        <v>7343</v>
      </c>
      <c r="F4187" s="10" t="s">
        <v>7343</v>
      </c>
      <c r="H4187" s="2" t="s">
        <v>67</v>
      </c>
      <c r="L4187" s="18">
        <v>1</v>
      </c>
      <c r="N4187" s="13">
        <v>41403</v>
      </c>
      <c r="O4187" s="29">
        <v>0</v>
      </c>
      <c r="P4187" s="18" t="s">
        <v>1107</v>
      </c>
      <c r="Q4187" s="18">
        <v>0</v>
      </c>
      <c r="U4187" s="22">
        <v>0.74</v>
      </c>
      <c r="X4187" s="3">
        <v>2</v>
      </c>
      <c r="AB4187" s="18">
        <f t="shared" si="130"/>
        <v>2012</v>
      </c>
      <c r="AC4187" s="22">
        <f t="shared" si="131"/>
        <v>0.57000000000000006</v>
      </c>
    </row>
    <row r="4188" spans="1:29" ht="30">
      <c r="A4188" s="8" t="s">
        <v>8427</v>
      </c>
      <c r="B4188" s="17" t="s">
        <v>7762</v>
      </c>
      <c r="C4188" s="13">
        <v>40927</v>
      </c>
      <c r="D4188" s="13" t="s">
        <v>8463</v>
      </c>
      <c r="E4188" s="10" t="s">
        <v>1604</v>
      </c>
      <c r="F4188" s="10" t="s">
        <v>8428</v>
      </c>
      <c r="H4188" s="2" t="s">
        <v>149</v>
      </c>
      <c r="K4188" s="18">
        <v>1</v>
      </c>
      <c r="L4188" s="18">
        <v>0</v>
      </c>
      <c r="Q4188" s="18">
        <v>0</v>
      </c>
      <c r="V4188" s="22">
        <f>3.96/5</f>
        <v>0.79200000000000004</v>
      </c>
      <c r="X4188" s="3">
        <v>3</v>
      </c>
      <c r="AB4188" s="18">
        <f t="shared" si="130"/>
        <v>2012</v>
      </c>
      <c r="AC4188" s="22">
        <f t="shared" si="131"/>
        <v>0.69599999999999995</v>
      </c>
    </row>
    <row r="4189" spans="1:29">
      <c r="A4189" s="8" t="s">
        <v>2704</v>
      </c>
      <c r="B4189" s="17" t="s">
        <v>7800</v>
      </c>
      <c r="C4189" s="13">
        <v>40927</v>
      </c>
      <c r="D4189" s="13" t="s">
        <v>8465</v>
      </c>
      <c r="E4189" s="10" t="s">
        <v>455</v>
      </c>
      <c r="F4189" s="10" t="s">
        <v>5068</v>
      </c>
      <c r="G4189" s="11" t="s">
        <v>1688</v>
      </c>
      <c r="H4189" s="2" t="s">
        <v>64</v>
      </c>
      <c r="L4189" s="18">
        <v>1</v>
      </c>
      <c r="N4189" s="13">
        <v>41765</v>
      </c>
      <c r="P4189" s="18" t="s">
        <v>1107</v>
      </c>
      <c r="Q4189" s="18">
        <v>0</v>
      </c>
      <c r="V4189" s="22">
        <f>3.93/5</f>
        <v>0.78600000000000003</v>
      </c>
      <c r="W4189" s="14" t="s">
        <v>7777</v>
      </c>
      <c r="X4189" s="3">
        <v>3</v>
      </c>
      <c r="Z4189" s="23">
        <v>2</v>
      </c>
      <c r="AB4189" s="18">
        <f t="shared" si="130"/>
        <v>2012</v>
      </c>
      <c r="AC4189" s="22">
        <f t="shared" si="131"/>
        <v>0.69300000000000006</v>
      </c>
    </row>
    <row r="4190" spans="1:29">
      <c r="A4190" s="8" t="s">
        <v>8440</v>
      </c>
      <c r="B4190" s="17" t="s">
        <v>7749</v>
      </c>
      <c r="C4190" s="13">
        <v>40927</v>
      </c>
      <c r="D4190" s="13" t="s">
        <v>8463</v>
      </c>
      <c r="E4190" s="10" t="s">
        <v>72</v>
      </c>
      <c r="F4190" s="10" t="s">
        <v>1423</v>
      </c>
      <c r="H4190" s="2" t="s">
        <v>171</v>
      </c>
      <c r="K4190" s="18">
        <v>2</v>
      </c>
      <c r="L4190" s="18">
        <v>0</v>
      </c>
      <c r="Q4190" s="18">
        <v>0</v>
      </c>
      <c r="V4190" s="22">
        <f>3.86/5</f>
        <v>0.77200000000000002</v>
      </c>
      <c r="X4190" s="3">
        <v>3</v>
      </c>
      <c r="Z4190" s="23">
        <v>29.5</v>
      </c>
      <c r="AB4190" s="18">
        <f t="shared" si="130"/>
        <v>2012</v>
      </c>
      <c r="AC4190" s="22">
        <f t="shared" si="131"/>
        <v>0.68599999999999994</v>
      </c>
    </row>
    <row r="4191" spans="1:29" ht="25.5">
      <c r="A4191" s="8" t="s">
        <v>5074</v>
      </c>
      <c r="B4191" s="17" t="s">
        <v>7800</v>
      </c>
      <c r="C4191" s="13">
        <v>40927</v>
      </c>
      <c r="D4191" s="13" t="s">
        <v>8465</v>
      </c>
      <c r="E4191" s="10" t="s">
        <v>455</v>
      </c>
      <c r="F4191" s="10" t="s">
        <v>1232</v>
      </c>
      <c r="G4191" s="11" t="s">
        <v>1688</v>
      </c>
      <c r="H4191" s="2" t="s">
        <v>64</v>
      </c>
      <c r="L4191" s="18">
        <v>1</v>
      </c>
      <c r="N4191" s="13">
        <v>41765</v>
      </c>
      <c r="P4191" s="18" t="s">
        <v>1107</v>
      </c>
      <c r="Q4191" s="18">
        <v>0</v>
      </c>
      <c r="U4191" s="22">
        <v>0.6</v>
      </c>
      <c r="V4191" s="22">
        <f>3.14/5</f>
        <v>0.628</v>
      </c>
      <c r="W4191" s="14" t="s">
        <v>7777</v>
      </c>
      <c r="X4191" s="3">
        <v>3</v>
      </c>
      <c r="Z4191" s="23">
        <v>2.5</v>
      </c>
      <c r="AB4191" s="18">
        <f t="shared" si="130"/>
        <v>2012</v>
      </c>
      <c r="AC4191" s="22">
        <f t="shared" si="131"/>
        <v>0.60933333333333328</v>
      </c>
    </row>
    <row r="4192" spans="1:29">
      <c r="A4192" s="8" t="s">
        <v>14582</v>
      </c>
      <c r="B4192" s="17" t="s">
        <v>7765</v>
      </c>
      <c r="C4192" s="13">
        <v>40926</v>
      </c>
      <c r="D4192" s="13" t="s">
        <v>8465</v>
      </c>
      <c r="E4192" s="10" t="s">
        <v>3116</v>
      </c>
      <c r="F4192" s="10" t="s">
        <v>1219</v>
      </c>
      <c r="H4192" s="2" t="s">
        <v>1061</v>
      </c>
      <c r="L4192" s="18">
        <v>1</v>
      </c>
      <c r="N4192" s="13">
        <v>45052</v>
      </c>
      <c r="O4192" s="29">
        <v>9.99</v>
      </c>
      <c r="P4192" s="18" t="s">
        <v>1107</v>
      </c>
      <c r="Q4192" s="18">
        <v>0</v>
      </c>
      <c r="U4192" s="22">
        <v>0.7</v>
      </c>
      <c r="V4192" s="22">
        <f>2.94/5</f>
        <v>0.58799999999999997</v>
      </c>
      <c r="X4192" s="3">
        <v>2</v>
      </c>
      <c r="Z4192" s="23">
        <v>3</v>
      </c>
      <c r="AB4192" s="18">
        <f t="shared" si="130"/>
        <v>2012</v>
      </c>
      <c r="AC4192" s="22">
        <f t="shared" si="131"/>
        <v>0.56266666666666654</v>
      </c>
    </row>
    <row r="4193" spans="1:29">
      <c r="A4193" s="8" t="s">
        <v>3751</v>
      </c>
      <c r="B4193" s="17" t="s">
        <v>7800</v>
      </c>
      <c r="C4193" s="13">
        <v>40925</v>
      </c>
      <c r="D4193" s="13" t="s">
        <v>8465</v>
      </c>
      <c r="E4193" s="10" t="s">
        <v>3752</v>
      </c>
      <c r="F4193" s="10" t="s">
        <v>3752</v>
      </c>
      <c r="H4193" s="2" t="s">
        <v>56</v>
      </c>
      <c r="L4193" s="18">
        <v>1</v>
      </c>
      <c r="N4193" s="13">
        <v>41170</v>
      </c>
      <c r="P4193" s="18" t="s">
        <v>1107</v>
      </c>
      <c r="Q4193" s="18">
        <v>0</v>
      </c>
      <c r="U4193" s="22">
        <v>0.81</v>
      </c>
      <c r="V4193" s="22">
        <f>3.78/5</f>
        <v>0.75600000000000001</v>
      </c>
      <c r="W4193" s="14" t="s">
        <v>7777</v>
      </c>
      <c r="X4193" s="3">
        <v>3</v>
      </c>
      <c r="Z4193" s="23">
        <v>37</v>
      </c>
      <c r="AB4193" s="18">
        <f t="shared" si="130"/>
        <v>2012</v>
      </c>
      <c r="AC4193" s="22">
        <f t="shared" si="131"/>
        <v>0.72199999999999998</v>
      </c>
    </row>
    <row r="4194" spans="1:29">
      <c r="A4194" s="8" t="s">
        <v>7115</v>
      </c>
      <c r="B4194" s="17" t="s">
        <v>7800</v>
      </c>
      <c r="C4194" s="13">
        <v>40919</v>
      </c>
      <c r="D4194" s="13" t="s">
        <v>8465</v>
      </c>
      <c r="E4194" s="10" t="s">
        <v>7203</v>
      </c>
      <c r="F4194" s="10" t="s">
        <v>7203</v>
      </c>
      <c r="H4194" s="2" t="s">
        <v>153</v>
      </c>
      <c r="L4194" s="18">
        <v>0</v>
      </c>
      <c r="Q4194" s="18">
        <v>0</v>
      </c>
      <c r="V4194" s="22">
        <f>3.91/5</f>
        <v>0.78200000000000003</v>
      </c>
      <c r="W4194" s="14" t="s">
        <v>5674</v>
      </c>
      <c r="X4194" s="3">
        <v>3</v>
      </c>
      <c r="Z4194" s="23">
        <v>1.5</v>
      </c>
      <c r="AB4194" s="18">
        <f t="shared" si="130"/>
        <v>2012</v>
      </c>
      <c r="AC4194" s="22">
        <f t="shared" si="131"/>
        <v>0.69100000000000006</v>
      </c>
    </row>
    <row r="4195" spans="1:29">
      <c r="A4195" s="8" t="s">
        <v>7151</v>
      </c>
      <c r="B4195" s="17" t="s">
        <v>7800</v>
      </c>
      <c r="C4195" s="13">
        <v>40912</v>
      </c>
      <c r="D4195" s="13" t="s">
        <v>8465</v>
      </c>
      <c r="E4195" s="10" t="s">
        <v>7227</v>
      </c>
      <c r="F4195" s="10" t="s">
        <v>7227</v>
      </c>
      <c r="H4195" s="2" t="s">
        <v>1057</v>
      </c>
      <c r="L4195" s="18">
        <v>0</v>
      </c>
      <c r="Q4195" s="18">
        <v>0</v>
      </c>
      <c r="V4195" s="22">
        <f>4.35/5</f>
        <v>0.86999999999999988</v>
      </c>
      <c r="W4195" s="14" t="s">
        <v>5674</v>
      </c>
      <c r="X4195" s="3">
        <v>3</v>
      </c>
      <c r="Z4195" s="23">
        <v>7.5</v>
      </c>
      <c r="AB4195" s="18">
        <f t="shared" si="130"/>
        <v>2012</v>
      </c>
      <c r="AC4195" s="22">
        <f t="shared" si="131"/>
        <v>0.73499999999999988</v>
      </c>
    </row>
    <row r="4196" spans="1:29">
      <c r="A4196" s="8" t="s">
        <v>198</v>
      </c>
      <c r="B4196" s="17" t="s">
        <v>7734</v>
      </c>
      <c r="C4196" s="13">
        <v>40909</v>
      </c>
      <c r="D4196" s="13" t="s">
        <v>8465</v>
      </c>
      <c r="E4196" s="10" t="s">
        <v>247</v>
      </c>
      <c r="F4196" s="10" t="s">
        <v>247</v>
      </c>
      <c r="H4196" s="2" t="s">
        <v>56</v>
      </c>
      <c r="L4196" s="18">
        <v>0</v>
      </c>
      <c r="Q4196" s="18">
        <v>0</v>
      </c>
      <c r="V4196" s="22">
        <f>3.38/5</f>
        <v>0.67599999999999993</v>
      </c>
      <c r="X4196" s="3">
        <v>3</v>
      </c>
      <c r="AB4196" s="18">
        <f t="shared" si="130"/>
        <v>2012</v>
      </c>
      <c r="AC4196" s="22">
        <f t="shared" si="131"/>
        <v>0.6379999999999999</v>
      </c>
    </row>
    <row r="4197" spans="1:29" ht="25.5">
      <c r="A4197" s="8" t="s">
        <v>5670</v>
      </c>
      <c r="B4197" s="17" t="s">
        <v>7800</v>
      </c>
      <c r="C4197" s="13">
        <v>41264</v>
      </c>
      <c r="D4197" s="13" t="s">
        <v>8465</v>
      </c>
      <c r="E4197" s="10" t="s">
        <v>5704</v>
      </c>
      <c r="F4197" s="10" t="s">
        <v>5704</v>
      </c>
      <c r="H4197" s="2" t="s">
        <v>2820</v>
      </c>
      <c r="L4197" s="18">
        <v>1</v>
      </c>
      <c r="N4197" s="13">
        <v>41549</v>
      </c>
      <c r="O4197" s="29">
        <v>0.5</v>
      </c>
      <c r="P4197" s="18" t="s">
        <v>1107</v>
      </c>
      <c r="Q4197" s="18">
        <v>1</v>
      </c>
      <c r="R4197" s="13">
        <v>41549</v>
      </c>
      <c r="S4197" s="21">
        <v>0.17</v>
      </c>
      <c r="T4197" s="22">
        <v>0.7</v>
      </c>
      <c r="U4197" s="22">
        <v>0.7</v>
      </c>
      <c r="V4197" s="22">
        <f>3.86/5</f>
        <v>0.77200000000000002</v>
      </c>
      <c r="W4197" s="14" t="s">
        <v>3069</v>
      </c>
      <c r="AB4197" s="18">
        <f t="shared" si="130"/>
        <v>2012</v>
      </c>
      <c r="AC4197" s="22">
        <f t="shared" si="131"/>
        <v>0.72399999999999987</v>
      </c>
    </row>
    <row r="4198" spans="1:29">
      <c r="A4198" s="8" t="s">
        <v>2428</v>
      </c>
      <c r="B4198" s="17" t="s">
        <v>7749</v>
      </c>
      <c r="C4198" s="13">
        <v>41256</v>
      </c>
      <c r="D4198" s="13" t="s">
        <v>8465</v>
      </c>
      <c r="E4198" s="10" t="s">
        <v>2129</v>
      </c>
      <c r="F4198" s="10" t="s">
        <v>2472</v>
      </c>
      <c r="G4198" s="11" t="s">
        <v>2469</v>
      </c>
      <c r="H4198" s="2" t="s">
        <v>149</v>
      </c>
      <c r="L4198" s="18">
        <v>1</v>
      </c>
      <c r="N4198" s="13">
        <v>41382</v>
      </c>
      <c r="O4198" s="29">
        <v>4.99</v>
      </c>
      <c r="P4198" s="18" t="s">
        <v>1107</v>
      </c>
      <c r="Q4198" s="18">
        <v>1</v>
      </c>
      <c r="S4198" s="21">
        <v>7.08</v>
      </c>
      <c r="T4198" s="22">
        <v>0.8</v>
      </c>
      <c r="U4198" s="22">
        <v>0.75</v>
      </c>
      <c r="V4198" s="22">
        <f>3.77/5</f>
        <v>0.754</v>
      </c>
      <c r="AB4198" s="18">
        <f t="shared" si="130"/>
        <v>2012</v>
      </c>
      <c r="AC4198" s="22">
        <f t="shared" si="131"/>
        <v>0.76800000000000013</v>
      </c>
    </row>
    <row r="4199" spans="1:29">
      <c r="A4199" s="8" t="s">
        <v>3869</v>
      </c>
      <c r="B4199" s="17" t="s">
        <v>7800</v>
      </c>
      <c r="C4199" s="13">
        <v>41247</v>
      </c>
      <c r="D4199" s="13" t="s">
        <v>8465</v>
      </c>
      <c r="E4199" s="10" t="s">
        <v>1047</v>
      </c>
      <c r="F4199" s="10" t="s">
        <v>1048</v>
      </c>
      <c r="G4199" s="11" t="s">
        <v>1049</v>
      </c>
      <c r="H4199" s="2" t="s">
        <v>1050</v>
      </c>
      <c r="L4199" s="18">
        <v>1</v>
      </c>
      <c r="N4199" s="13">
        <v>41609</v>
      </c>
      <c r="O4199" s="29">
        <v>7.49</v>
      </c>
      <c r="P4199" s="18" t="s">
        <v>1107</v>
      </c>
      <c r="Q4199" s="18">
        <v>1</v>
      </c>
      <c r="R4199" s="13">
        <v>41683</v>
      </c>
      <c r="S4199" s="21">
        <v>21.32</v>
      </c>
      <c r="T4199" s="22">
        <v>0.9</v>
      </c>
      <c r="U4199" s="22">
        <v>0.88</v>
      </c>
      <c r="V4199" s="22">
        <f>3.97/5</f>
        <v>0.79400000000000004</v>
      </c>
      <c r="W4199" s="14" t="s">
        <v>7777</v>
      </c>
      <c r="AB4199" s="18">
        <f t="shared" si="130"/>
        <v>2012</v>
      </c>
      <c r="AC4199" s="22">
        <f t="shared" si="131"/>
        <v>0.85799999999999998</v>
      </c>
    </row>
    <row r="4200" spans="1:29" ht="45">
      <c r="A4200" s="8" t="s">
        <v>4314</v>
      </c>
      <c r="B4200" s="17" t="s">
        <v>7800</v>
      </c>
      <c r="C4200" s="13">
        <v>41240</v>
      </c>
      <c r="D4200" s="13" t="s">
        <v>8465</v>
      </c>
      <c r="E4200" s="10" t="s">
        <v>1156</v>
      </c>
      <c r="F4200" s="10" t="s">
        <v>1309</v>
      </c>
      <c r="G4200" s="11" t="s">
        <v>4314</v>
      </c>
      <c r="H4200" s="2" t="s">
        <v>80</v>
      </c>
      <c r="L4200" s="18">
        <v>1</v>
      </c>
      <c r="N4200" s="13">
        <v>41744</v>
      </c>
      <c r="O4200" s="29">
        <v>4.99</v>
      </c>
      <c r="P4200" s="18" t="s">
        <v>1107</v>
      </c>
      <c r="Q4200" s="18">
        <v>1</v>
      </c>
      <c r="R4200" s="13">
        <v>41863</v>
      </c>
      <c r="S4200" s="21">
        <v>8.1</v>
      </c>
      <c r="T4200" s="22">
        <v>0.7</v>
      </c>
      <c r="U4200" s="22">
        <v>0.84</v>
      </c>
      <c r="V4200" s="22">
        <f>3.78/5</f>
        <v>0.75600000000000001</v>
      </c>
      <c r="W4200" s="14" t="s">
        <v>7777</v>
      </c>
      <c r="AB4200" s="18">
        <f t="shared" si="130"/>
        <v>2012</v>
      </c>
      <c r="AC4200" s="22">
        <f t="shared" si="131"/>
        <v>0.76533333333333342</v>
      </c>
    </row>
    <row r="4201" spans="1:29" ht="45">
      <c r="A4201" s="8" t="s">
        <v>4935</v>
      </c>
      <c r="B4201" s="17" t="s">
        <v>7800</v>
      </c>
      <c r="C4201" s="13">
        <v>41232</v>
      </c>
      <c r="D4201" s="13" t="s">
        <v>8465</v>
      </c>
      <c r="E4201" s="10" t="s">
        <v>1156</v>
      </c>
      <c r="F4201" s="10" t="s">
        <v>2311</v>
      </c>
      <c r="G4201" s="11" t="s">
        <v>2212</v>
      </c>
      <c r="H4201" s="2" t="s">
        <v>78</v>
      </c>
      <c r="L4201" s="18">
        <v>1</v>
      </c>
      <c r="N4201" s="13">
        <v>41583</v>
      </c>
      <c r="P4201" s="18" t="s">
        <v>1107</v>
      </c>
      <c r="Q4201" s="18">
        <v>1</v>
      </c>
      <c r="R4201" s="13">
        <v>41600</v>
      </c>
      <c r="S4201" s="21">
        <v>4.45</v>
      </c>
      <c r="T4201" s="22">
        <v>0.8</v>
      </c>
      <c r="U4201" s="22">
        <v>0.8</v>
      </c>
      <c r="V4201" s="22">
        <f>3.78/5</f>
        <v>0.75600000000000001</v>
      </c>
      <c r="W4201" s="14" t="s">
        <v>7777</v>
      </c>
      <c r="AB4201" s="18">
        <f t="shared" si="130"/>
        <v>2012</v>
      </c>
      <c r="AC4201" s="22">
        <f t="shared" si="131"/>
        <v>0.78533333333333333</v>
      </c>
    </row>
    <row r="4202" spans="1:29">
      <c r="A4202" s="8" t="s">
        <v>4335</v>
      </c>
      <c r="B4202" s="17" t="s">
        <v>7800</v>
      </c>
      <c r="C4202" s="13">
        <v>41232</v>
      </c>
      <c r="D4202" s="13" t="s">
        <v>8465</v>
      </c>
      <c r="E4202" s="10" t="s">
        <v>4143</v>
      </c>
      <c r="F4202" s="10" t="s">
        <v>4143</v>
      </c>
      <c r="H4202" s="2" t="s">
        <v>78</v>
      </c>
      <c r="L4202" s="18">
        <v>1</v>
      </c>
      <c r="N4202" s="13">
        <v>41422</v>
      </c>
      <c r="P4202" s="18" t="s">
        <v>1107</v>
      </c>
      <c r="Q4202" s="18">
        <v>1</v>
      </c>
      <c r="S4202" s="21">
        <v>0.97</v>
      </c>
      <c r="T4202" s="22">
        <v>0.8</v>
      </c>
      <c r="U4202" s="22">
        <v>0.67</v>
      </c>
      <c r="V4202" s="22">
        <f>3.5/5</f>
        <v>0.7</v>
      </c>
      <c r="W4202" s="14" t="s">
        <v>7777</v>
      </c>
      <c r="AB4202" s="18">
        <f t="shared" si="130"/>
        <v>2012</v>
      </c>
      <c r="AC4202" s="22">
        <f t="shared" si="131"/>
        <v>0.72333333333333327</v>
      </c>
    </row>
    <row r="4203" spans="1:29">
      <c r="A4203" s="8" t="s">
        <v>7291</v>
      </c>
      <c r="B4203" s="17" t="s">
        <v>7783</v>
      </c>
      <c r="C4203" s="13">
        <v>41228</v>
      </c>
      <c r="D4203" s="13" t="s">
        <v>8465</v>
      </c>
      <c r="E4203" s="10" t="s">
        <v>7292</v>
      </c>
      <c r="F4203" s="10" t="s">
        <v>7292</v>
      </c>
      <c r="H4203" s="2" t="s">
        <v>78</v>
      </c>
      <c r="L4203" s="18">
        <v>1</v>
      </c>
      <c r="N4203" s="13">
        <v>41229</v>
      </c>
      <c r="O4203" s="29">
        <v>0.99</v>
      </c>
      <c r="P4203" s="18" t="s">
        <v>1107</v>
      </c>
      <c r="Q4203" s="18">
        <v>1</v>
      </c>
      <c r="T4203" s="22">
        <v>0.7</v>
      </c>
      <c r="U4203" s="22">
        <v>0.81</v>
      </c>
      <c r="V4203" s="22">
        <f>3.5/5</f>
        <v>0.7</v>
      </c>
      <c r="AB4203" s="18">
        <f t="shared" si="130"/>
        <v>2012</v>
      </c>
      <c r="AC4203" s="22">
        <f t="shared" si="131"/>
        <v>0.73666666666666669</v>
      </c>
    </row>
    <row r="4204" spans="1:29" ht="25.5">
      <c r="A4204" s="8" t="s">
        <v>6359</v>
      </c>
      <c r="B4204" s="17" t="s">
        <v>7765</v>
      </c>
      <c r="C4204" s="13">
        <v>41226</v>
      </c>
      <c r="D4204" s="13" t="s">
        <v>8465</v>
      </c>
      <c r="E4204" s="10" t="s">
        <v>1273</v>
      </c>
      <c r="F4204" s="10" t="s">
        <v>1508</v>
      </c>
      <c r="G4204" s="11" t="s">
        <v>3401</v>
      </c>
      <c r="H4204" s="2" t="s">
        <v>1050</v>
      </c>
      <c r="L4204" s="18">
        <v>0</v>
      </c>
      <c r="Q4204" s="18">
        <v>1</v>
      </c>
      <c r="R4204" s="13">
        <v>41453</v>
      </c>
      <c r="T4204" s="22">
        <v>0.7</v>
      </c>
      <c r="U4204" s="22">
        <v>0.86</v>
      </c>
      <c r="V4204" s="22">
        <f>3.6/5</f>
        <v>0.72</v>
      </c>
      <c r="AB4204" s="18">
        <f t="shared" si="130"/>
        <v>2012</v>
      </c>
      <c r="AC4204" s="22">
        <f t="shared" si="131"/>
        <v>0.76000000000000012</v>
      </c>
    </row>
    <row r="4205" spans="1:29">
      <c r="A4205" s="8" t="s">
        <v>5407</v>
      </c>
      <c r="B4205" s="17" t="s">
        <v>7800</v>
      </c>
      <c r="C4205" s="13">
        <v>41225</v>
      </c>
      <c r="D4205" s="13" t="s">
        <v>8465</v>
      </c>
      <c r="E4205" s="10" t="s">
        <v>4773</v>
      </c>
      <c r="F4205" s="10" t="s">
        <v>4773</v>
      </c>
      <c r="H4205" s="2" t="s">
        <v>64</v>
      </c>
      <c r="L4205" s="18">
        <v>1</v>
      </c>
      <c r="N4205" s="13">
        <v>41422</v>
      </c>
      <c r="P4205" s="18" t="s">
        <v>1107</v>
      </c>
      <c r="Q4205" s="18">
        <v>1</v>
      </c>
      <c r="S4205" s="21">
        <v>2</v>
      </c>
      <c r="T4205" s="22">
        <v>0.8</v>
      </c>
      <c r="U4205" s="22">
        <v>0.77</v>
      </c>
      <c r="V4205" s="22">
        <f>3.63/5</f>
        <v>0.72599999999999998</v>
      </c>
      <c r="W4205" s="14" t="s">
        <v>7777</v>
      </c>
      <c r="AB4205" s="18">
        <f t="shared" si="130"/>
        <v>2012</v>
      </c>
      <c r="AC4205" s="22">
        <f t="shared" si="131"/>
        <v>0.76533333333333342</v>
      </c>
    </row>
    <row r="4206" spans="1:29" ht="25.5">
      <c r="A4206" s="8" t="s">
        <v>2389</v>
      </c>
      <c r="B4206" s="17" t="s">
        <v>7749</v>
      </c>
      <c r="C4206" s="13">
        <v>41224</v>
      </c>
      <c r="D4206" s="13" t="s">
        <v>8465</v>
      </c>
      <c r="E4206" s="10" t="s">
        <v>86</v>
      </c>
      <c r="F4206" s="10" t="s">
        <v>1069</v>
      </c>
      <c r="G4206" s="11" t="s">
        <v>880</v>
      </c>
      <c r="H4206" s="2" t="s">
        <v>149</v>
      </c>
      <c r="L4206" s="18">
        <v>1</v>
      </c>
      <c r="M4206" s="14" t="s">
        <v>8462</v>
      </c>
      <c r="N4206" s="13">
        <v>41850</v>
      </c>
      <c r="P4206" s="18" t="s">
        <v>14</v>
      </c>
      <c r="Q4206" s="18">
        <v>1</v>
      </c>
      <c r="R4206" s="13">
        <v>43484</v>
      </c>
      <c r="S4206" s="21">
        <v>13.58</v>
      </c>
      <c r="T4206" s="22">
        <v>0.5</v>
      </c>
      <c r="U4206" s="22">
        <v>0.76</v>
      </c>
      <c r="V4206" s="22">
        <f>3.19/5</f>
        <v>0.63800000000000001</v>
      </c>
      <c r="AB4206" s="18">
        <f t="shared" si="130"/>
        <v>2012</v>
      </c>
      <c r="AC4206" s="22">
        <f t="shared" si="131"/>
        <v>0.63266666666666671</v>
      </c>
    </row>
    <row r="4207" spans="1:29">
      <c r="A4207" s="8" t="s">
        <v>4688</v>
      </c>
      <c r="B4207" s="17" t="s">
        <v>7800</v>
      </c>
      <c r="C4207" s="13">
        <v>41213</v>
      </c>
      <c r="D4207" s="13" t="s">
        <v>8465</v>
      </c>
      <c r="E4207" s="10" t="s">
        <v>4689</v>
      </c>
      <c r="F4207" s="10" t="s">
        <v>4689</v>
      </c>
      <c r="H4207" s="2" t="s">
        <v>27</v>
      </c>
      <c r="L4207" s="18">
        <v>1</v>
      </c>
      <c r="N4207" s="13">
        <v>41369</v>
      </c>
      <c r="P4207" s="18" t="s">
        <v>1107</v>
      </c>
      <c r="Q4207" s="18">
        <v>1</v>
      </c>
      <c r="S4207" s="21">
        <v>8.4</v>
      </c>
      <c r="T4207" s="22">
        <v>0.6</v>
      </c>
      <c r="U4207" s="22">
        <v>0.63</v>
      </c>
      <c r="V4207" s="22">
        <f>3.31/5</f>
        <v>0.66200000000000003</v>
      </c>
      <c r="W4207" s="14" t="s">
        <v>7777</v>
      </c>
      <c r="AB4207" s="18">
        <f t="shared" si="130"/>
        <v>2012</v>
      </c>
      <c r="AC4207" s="22">
        <f t="shared" si="131"/>
        <v>0.6306666666666666</v>
      </c>
    </row>
    <row r="4208" spans="1:29" ht="25.5">
      <c r="A4208" s="8" t="s">
        <v>3616</v>
      </c>
      <c r="B4208" s="17" t="s">
        <v>7800</v>
      </c>
      <c r="C4208" s="13">
        <v>41212</v>
      </c>
      <c r="D4208" s="13" t="s">
        <v>8465</v>
      </c>
      <c r="E4208" s="10" t="s">
        <v>3617</v>
      </c>
      <c r="F4208" s="10" t="s">
        <v>3617</v>
      </c>
      <c r="G4208" s="11" t="s">
        <v>3618</v>
      </c>
      <c r="H4208" s="2" t="s">
        <v>1169</v>
      </c>
      <c r="L4208" s="18">
        <v>1</v>
      </c>
      <c r="N4208" s="13">
        <v>41449</v>
      </c>
      <c r="O4208" s="29">
        <v>4.95</v>
      </c>
      <c r="P4208" s="18" t="s">
        <v>1107</v>
      </c>
      <c r="Q4208" s="18">
        <v>1</v>
      </c>
      <c r="S4208" s="21">
        <v>14.05</v>
      </c>
      <c r="T4208" s="22">
        <v>0.8</v>
      </c>
      <c r="U4208" s="22">
        <v>0.88</v>
      </c>
      <c r="V4208" s="22">
        <f>3.8/5</f>
        <v>0.76</v>
      </c>
      <c r="W4208" s="14" t="s">
        <v>7777</v>
      </c>
      <c r="AB4208" s="18">
        <f t="shared" si="130"/>
        <v>2012</v>
      </c>
      <c r="AC4208" s="22">
        <f t="shared" si="131"/>
        <v>0.81333333333333346</v>
      </c>
    </row>
    <row r="4209" spans="1:29">
      <c r="A4209" s="8" t="s">
        <v>6358</v>
      </c>
      <c r="B4209" s="17" t="s">
        <v>7765</v>
      </c>
      <c r="C4209" s="13">
        <v>41212</v>
      </c>
      <c r="D4209" s="13" t="s">
        <v>8465</v>
      </c>
      <c r="E4209" s="10" t="s">
        <v>1047</v>
      </c>
      <c r="F4209" s="10" t="s">
        <v>1048</v>
      </c>
      <c r="G4209" s="11" t="s">
        <v>1563</v>
      </c>
      <c r="H4209" s="2" t="s">
        <v>80</v>
      </c>
      <c r="L4209" s="18">
        <v>0</v>
      </c>
      <c r="Q4209" s="18">
        <v>1</v>
      </c>
      <c r="R4209" s="13">
        <v>41410</v>
      </c>
      <c r="T4209" s="22">
        <v>0.8</v>
      </c>
      <c r="U4209" s="22">
        <v>0.85</v>
      </c>
      <c r="V4209" s="22">
        <f>3.8/5</f>
        <v>0.76</v>
      </c>
      <c r="AB4209" s="18">
        <f t="shared" si="130"/>
        <v>2012</v>
      </c>
      <c r="AC4209" s="22">
        <f t="shared" si="131"/>
        <v>0.80333333333333334</v>
      </c>
    </row>
    <row r="4210" spans="1:29">
      <c r="A4210" s="8" t="s">
        <v>7334</v>
      </c>
      <c r="B4210" s="17" t="s">
        <v>7783</v>
      </c>
      <c r="C4210" s="13">
        <v>41207</v>
      </c>
      <c r="D4210" s="13" t="s">
        <v>8465</v>
      </c>
      <c r="E4210" s="10" t="s">
        <v>7335</v>
      </c>
      <c r="F4210" s="10" t="s">
        <v>7335</v>
      </c>
      <c r="H4210" s="2" t="s">
        <v>4640</v>
      </c>
      <c r="L4210" s="18">
        <v>1</v>
      </c>
      <c r="N4210" s="13">
        <v>41211</v>
      </c>
      <c r="O4210" s="29">
        <v>0</v>
      </c>
      <c r="P4210" s="18" t="s">
        <v>1107</v>
      </c>
      <c r="Q4210" s="18">
        <v>1</v>
      </c>
      <c r="R4210" s="13">
        <v>41580</v>
      </c>
      <c r="S4210" s="21">
        <v>2.37</v>
      </c>
      <c r="T4210" s="22">
        <v>0.7</v>
      </c>
      <c r="U4210" s="22">
        <v>0.91</v>
      </c>
      <c r="V4210" s="22">
        <f>3.61/5</f>
        <v>0.72199999999999998</v>
      </c>
      <c r="AB4210" s="18">
        <f t="shared" si="130"/>
        <v>2012</v>
      </c>
      <c r="AC4210" s="22">
        <f t="shared" si="131"/>
        <v>0.77733333333333332</v>
      </c>
    </row>
    <row r="4211" spans="1:29">
      <c r="A4211" s="8" t="s">
        <v>2807</v>
      </c>
      <c r="B4211" s="17" t="s">
        <v>7781</v>
      </c>
      <c r="C4211" s="13">
        <v>41207</v>
      </c>
      <c r="D4211" s="13" t="s">
        <v>8465</v>
      </c>
      <c r="E4211" s="10" t="s">
        <v>2819</v>
      </c>
      <c r="F4211" s="10" t="s">
        <v>2819</v>
      </c>
      <c r="G4211" s="11" t="s">
        <v>2807</v>
      </c>
      <c r="H4211" s="2" t="s">
        <v>2820</v>
      </c>
      <c r="L4211" s="18">
        <v>0</v>
      </c>
      <c r="Q4211" s="18">
        <v>1</v>
      </c>
      <c r="T4211" s="22">
        <v>0.7</v>
      </c>
      <c r="V4211" s="22">
        <f>3.83/5</f>
        <v>0.76600000000000001</v>
      </c>
      <c r="AB4211" s="18">
        <f t="shared" si="130"/>
        <v>2012</v>
      </c>
      <c r="AC4211" s="22">
        <f t="shared" si="131"/>
        <v>0.73299999999999998</v>
      </c>
    </row>
    <row r="4212" spans="1:29" ht="38.25">
      <c r="A4212" s="8" t="s">
        <v>7305</v>
      </c>
      <c r="B4212" s="17" t="s">
        <v>7783</v>
      </c>
      <c r="C4212" s="13">
        <v>41207</v>
      </c>
      <c r="D4212" s="13" t="s">
        <v>8465</v>
      </c>
      <c r="E4212" s="10" t="s">
        <v>2816</v>
      </c>
      <c r="F4212" s="10" t="s">
        <v>7306</v>
      </c>
      <c r="G4212" s="11" t="s">
        <v>7307</v>
      </c>
      <c r="H4212" s="2" t="s">
        <v>56</v>
      </c>
      <c r="L4212" s="18">
        <v>1</v>
      </c>
      <c r="N4212" s="13">
        <v>41353</v>
      </c>
      <c r="O4212" s="29">
        <v>0</v>
      </c>
      <c r="P4212" s="18" t="s">
        <v>1107</v>
      </c>
      <c r="Q4212" s="18">
        <v>1</v>
      </c>
      <c r="T4212" s="22">
        <v>0.5</v>
      </c>
      <c r="U4212" s="22">
        <v>0.67</v>
      </c>
      <c r="V4212" s="22">
        <f>1.64/5</f>
        <v>0.32799999999999996</v>
      </c>
      <c r="AB4212" s="18">
        <f t="shared" si="130"/>
        <v>2012</v>
      </c>
      <c r="AC4212" s="22">
        <f t="shared" si="131"/>
        <v>0.49933333333333324</v>
      </c>
    </row>
    <row r="4213" spans="1:29">
      <c r="A4213" s="8" t="s">
        <v>7340</v>
      </c>
      <c r="B4213" s="17" t="s">
        <v>7783</v>
      </c>
      <c r="C4213" s="13">
        <v>41206</v>
      </c>
      <c r="D4213" s="13" t="s">
        <v>8465</v>
      </c>
      <c r="E4213" s="10" t="s">
        <v>7341</v>
      </c>
      <c r="F4213" s="10" t="s">
        <v>7341</v>
      </c>
      <c r="H4213" s="2" t="s">
        <v>78</v>
      </c>
      <c r="L4213" s="18">
        <v>1</v>
      </c>
      <c r="P4213" s="18" t="s">
        <v>1107</v>
      </c>
      <c r="Q4213" s="18">
        <v>1</v>
      </c>
      <c r="R4213" s="13">
        <v>41651</v>
      </c>
      <c r="T4213" s="22">
        <v>0.8</v>
      </c>
      <c r="U4213" s="22">
        <v>0.77</v>
      </c>
      <c r="AB4213" s="18">
        <f t="shared" si="130"/>
        <v>2012</v>
      </c>
      <c r="AC4213" s="22">
        <f t="shared" si="131"/>
        <v>0.78500000000000003</v>
      </c>
    </row>
    <row r="4214" spans="1:29">
      <c r="A4214" s="8" t="s">
        <v>4134</v>
      </c>
      <c r="B4214" s="17" t="s">
        <v>7800</v>
      </c>
      <c r="C4214" s="13">
        <v>41205</v>
      </c>
      <c r="D4214" s="13" t="s">
        <v>8465</v>
      </c>
      <c r="E4214" s="10" t="s">
        <v>3063</v>
      </c>
      <c r="F4214" s="10" t="s">
        <v>4135</v>
      </c>
      <c r="G4214" s="11" t="s">
        <v>4134</v>
      </c>
      <c r="H4214" s="2" t="s">
        <v>2138</v>
      </c>
      <c r="L4214" s="18">
        <v>1</v>
      </c>
      <c r="N4214" s="13">
        <v>41237</v>
      </c>
      <c r="O4214" s="29">
        <v>4.99</v>
      </c>
      <c r="P4214" s="18" t="s">
        <v>1107</v>
      </c>
      <c r="Q4214" s="18">
        <v>1</v>
      </c>
      <c r="S4214" s="21">
        <v>7.65</v>
      </c>
      <c r="T4214" s="22">
        <v>0.9</v>
      </c>
      <c r="U4214" s="22">
        <v>0.85</v>
      </c>
      <c r="V4214" s="22">
        <f>4.01/5</f>
        <v>0.80199999999999994</v>
      </c>
      <c r="W4214" s="14" t="s">
        <v>7777</v>
      </c>
      <c r="AB4214" s="18">
        <f t="shared" si="130"/>
        <v>2012</v>
      </c>
      <c r="AC4214" s="22">
        <f t="shared" si="131"/>
        <v>0.85066666666666668</v>
      </c>
    </row>
    <row r="4215" spans="1:29" ht="25.5">
      <c r="A4215" s="8" t="s">
        <v>6293</v>
      </c>
      <c r="B4215" s="17" t="s">
        <v>7763</v>
      </c>
      <c r="C4215" s="13">
        <v>41205</v>
      </c>
      <c r="D4215" s="13" t="s">
        <v>8465</v>
      </c>
      <c r="E4215" s="10" t="s">
        <v>455</v>
      </c>
      <c r="F4215" s="10" t="s">
        <v>4068</v>
      </c>
      <c r="G4215" s="11" t="s">
        <v>1065</v>
      </c>
      <c r="H4215" s="2" t="s">
        <v>1040</v>
      </c>
      <c r="L4215" s="18">
        <v>1</v>
      </c>
      <c r="N4215" s="13">
        <v>43214</v>
      </c>
      <c r="O4215" s="29">
        <v>0</v>
      </c>
      <c r="P4215" s="18" t="s">
        <v>1107</v>
      </c>
      <c r="Q4215" s="18">
        <v>1</v>
      </c>
      <c r="R4215" s="13">
        <v>44234</v>
      </c>
      <c r="T4215" s="22">
        <v>0.6</v>
      </c>
      <c r="U4215" s="22">
        <v>0.66</v>
      </c>
      <c r="V4215" s="22">
        <f>3.45/5</f>
        <v>0.69000000000000006</v>
      </c>
      <c r="W4215" s="14" t="s">
        <v>6072</v>
      </c>
      <c r="AB4215" s="18">
        <f t="shared" si="130"/>
        <v>2012</v>
      </c>
      <c r="AC4215" s="22">
        <f t="shared" si="131"/>
        <v>0.65</v>
      </c>
    </row>
    <row r="4216" spans="1:29">
      <c r="A4216" s="8" t="s">
        <v>7347</v>
      </c>
      <c r="B4216" s="17" t="s">
        <v>7783</v>
      </c>
      <c r="C4216" s="13">
        <v>41200</v>
      </c>
      <c r="D4216" s="13" t="s">
        <v>8465</v>
      </c>
      <c r="E4216" s="10" t="s">
        <v>2816</v>
      </c>
      <c r="F4216" s="10" t="s">
        <v>6438</v>
      </c>
      <c r="G4216" s="11" t="s">
        <v>7348</v>
      </c>
      <c r="H4216" s="2" t="s">
        <v>2138</v>
      </c>
      <c r="L4216" s="18">
        <v>1</v>
      </c>
      <c r="N4216" s="13">
        <v>41078</v>
      </c>
      <c r="O4216" s="29">
        <v>0.99</v>
      </c>
      <c r="P4216" s="18" t="s">
        <v>1107</v>
      </c>
      <c r="Q4216" s="18">
        <v>1</v>
      </c>
      <c r="T4216" s="22">
        <v>0.7</v>
      </c>
      <c r="U4216" s="22">
        <v>0.87</v>
      </c>
      <c r="V4216" s="22">
        <f>3.5/5</f>
        <v>0.7</v>
      </c>
      <c r="AB4216" s="18">
        <f t="shared" si="130"/>
        <v>2012</v>
      </c>
      <c r="AC4216" s="22">
        <f t="shared" si="131"/>
        <v>0.75666666666666649</v>
      </c>
    </row>
    <row r="4217" spans="1:29" ht="25.5">
      <c r="A4217" s="8" t="s">
        <v>7320</v>
      </c>
      <c r="B4217" s="17" t="s">
        <v>7783</v>
      </c>
      <c r="C4217" s="13">
        <v>41199</v>
      </c>
      <c r="D4217" s="13" t="s">
        <v>8465</v>
      </c>
      <c r="E4217" s="10" t="s">
        <v>7318</v>
      </c>
      <c r="F4217" s="10" t="s">
        <v>7318</v>
      </c>
      <c r="G4217" s="11" t="s">
        <v>7319</v>
      </c>
      <c r="H4217" s="2" t="s">
        <v>64</v>
      </c>
      <c r="L4217" s="18">
        <v>1</v>
      </c>
      <c r="N4217" s="13">
        <v>41229</v>
      </c>
      <c r="O4217" s="29">
        <v>0</v>
      </c>
      <c r="P4217" s="18" t="s">
        <v>1107</v>
      </c>
      <c r="Q4217" s="18">
        <v>1</v>
      </c>
      <c r="T4217" s="22">
        <v>0.8</v>
      </c>
      <c r="U4217" s="22">
        <v>0.7</v>
      </c>
      <c r="V4217" s="22">
        <f>3.86/5</f>
        <v>0.77200000000000002</v>
      </c>
      <c r="AB4217" s="18">
        <f t="shared" si="130"/>
        <v>2012</v>
      </c>
      <c r="AC4217" s="22">
        <f t="shared" si="131"/>
        <v>0.75733333333333341</v>
      </c>
    </row>
    <row r="4218" spans="1:29">
      <c r="A4218" s="8" t="s">
        <v>7286</v>
      </c>
      <c r="B4218" s="17" t="s">
        <v>7783</v>
      </c>
      <c r="C4218" s="13">
        <v>41198</v>
      </c>
      <c r="D4218" s="13" t="s">
        <v>8465</v>
      </c>
      <c r="E4218" s="10" t="s">
        <v>2824</v>
      </c>
      <c r="F4218" s="10" t="s">
        <v>2824</v>
      </c>
      <c r="H4218" s="2" t="s">
        <v>67</v>
      </c>
      <c r="L4218" s="18">
        <v>1</v>
      </c>
      <c r="N4218" s="13">
        <v>41198</v>
      </c>
      <c r="O4218" s="29">
        <v>0</v>
      </c>
      <c r="P4218" s="18" t="s">
        <v>1107</v>
      </c>
      <c r="Q4218" s="18">
        <v>1</v>
      </c>
      <c r="T4218" s="22">
        <v>0.6</v>
      </c>
      <c r="U4218" s="22">
        <v>0.7</v>
      </c>
      <c r="V4218" s="22">
        <f>3.75/5</f>
        <v>0.75</v>
      </c>
      <c r="AB4218" s="18">
        <f t="shared" si="130"/>
        <v>2012</v>
      </c>
      <c r="AC4218" s="22">
        <f t="shared" si="131"/>
        <v>0.68333333333333324</v>
      </c>
    </row>
    <row r="4219" spans="1:29">
      <c r="A4219" s="8" t="s">
        <v>7329</v>
      </c>
      <c r="B4219" s="17" t="s">
        <v>7783</v>
      </c>
      <c r="C4219" s="13">
        <v>41193</v>
      </c>
      <c r="D4219" s="13" t="s">
        <v>8465</v>
      </c>
      <c r="E4219" s="10" t="s">
        <v>7330</v>
      </c>
      <c r="F4219" s="10" t="s">
        <v>7330</v>
      </c>
      <c r="H4219" s="2" t="s">
        <v>64</v>
      </c>
      <c r="L4219" s="18">
        <v>1</v>
      </c>
      <c r="N4219" s="13">
        <v>41242</v>
      </c>
      <c r="O4219" s="29">
        <v>0.99</v>
      </c>
      <c r="P4219" s="18" t="s">
        <v>1107</v>
      </c>
      <c r="Q4219" s="18">
        <v>1</v>
      </c>
      <c r="T4219" s="22">
        <v>0.7</v>
      </c>
      <c r="U4219" s="22">
        <v>0.83</v>
      </c>
      <c r="V4219" s="22">
        <f>3/5</f>
        <v>0.6</v>
      </c>
      <c r="AB4219" s="18">
        <f t="shared" si="130"/>
        <v>2012</v>
      </c>
      <c r="AC4219" s="22">
        <f t="shared" si="131"/>
        <v>0.71</v>
      </c>
    </row>
    <row r="4220" spans="1:29">
      <c r="A4220" s="8" t="s">
        <v>3674</v>
      </c>
      <c r="B4220" s="17" t="s">
        <v>7800</v>
      </c>
      <c r="C4220" s="13">
        <v>41190</v>
      </c>
      <c r="D4220" s="13" t="s">
        <v>8465</v>
      </c>
      <c r="E4220" s="10" t="s">
        <v>1690</v>
      </c>
      <c r="F4220" s="10" t="s">
        <v>3218</v>
      </c>
      <c r="G4220" s="11" t="s">
        <v>3674</v>
      </c>
      <c r="H4220" s="2" t="s">
        <v>245</v>
      </c>
      <c r="L4220" s="18">
        <v>1</v>
      </c>
      <c r="N4220" s="13">
        <v>41745</v>
      </c>
      <c r="P4220" s="18" t="s">
        <v>1107</v>
      </c>
      <c r="Q4220" s="18">
        <v>1</v>
      </c>
      <c r="R4220" s="13">
        <v>41930</v>
      </c>
      <c r="S4220" s="21">
        <v>9.25</v>
      </c>
      <c r="T4220" s="22">
        <v>0.8</v>
      </c>
      <c r="U4220" s="22">
        <v>0.91</v>
      </c>
      <c r="V4220" s="22">
        <f>4.03/5</f>
        <v>0.80600000000000005</v>
      </c>
      <c r="W4220" s="14" t="s">
        <v>7777</v>
      </c>
      <c r="AB4220" s="18">
        <f t="shared" si="130"/>
        <v>2012</v>
      </c>
      <c r="AC4220" s="22">
        <f t="shared" si="131"/>
        <v>0.83866666666666667</v>
      </c>
    </row>
    <row r="4221" spans="1:29" ht="25.5">
      <c r="A4221" s="8" t="s">
        <v>4102</v>
      </c>
      <c r="B4221" s="17" t="s">
        <v>7800</v>
      </c>
      <c r="C4221" s="13">
        <v>41185</v>
      </c>
      <c r="D4221" s="13" t="s">
        <v>8465</v>
      </c>
      <c r="E4221" s="10" t="s">
        <v>455</v>
      </c>
      <c r="F4221" s="10" t="s">
        <v>2137</v>
      </c>
      <c r="H4221" s="2" t="s">
        <v>56</v>
      </c>
      <c r="L4221" s="18">
        <v>1</v>
      </c>
      <c r="N4221" s="13">
        <v>41211</v>
      </c>
      <c r="O4221" s="29">
        <v>7.49</v>
      </c>
      <c r="P4221" s="18" t="s">
        <v>1107</v>
      </c>
      <c r="Q4221" s="18">
        <v>1</v>
      </c>
      <c r="S4221" s="21">
        <v>9.1</v>
      </c>
      <c r="T4221" s="22">
        <v>0.8</v>
      </c>
      <c r="U4221" s="22">
        <v>0.69</v>
      </c>
      <c r="V4221" s="22">
        <f>3.26/5</f>
        <v>0.65199999999999991</v>
      </c>
      <c r="W4221" s="14" t="s">
        <v>7777</v>
      </c>
      <c r="AB4221" s="18">
        <f t="shared" si="130"/>
        <v>2012</v>
      </c>
      <c r="AC4221" s="22">
        <f t="shared" si="131"/>
        <v>0.71399999999999997</v>
      </c>
    </row>
    <row r="4222" spans="1:29" ht="25.5">
      <c r="A4222" s="8" t="s">
        <v>7359</v>
      </c>
      <c r="B4222" s="17" t="s">
        <v>7783</v>
      </c>
      <c r="C4222" s="13">
        <v>41180</v>
      </c>
      <c r="D4222" s="13" t="s">
        <v>8465</v>
      </c>
      <c r="E4222" s="10" t="s">
        <v>7360</v>
      </c>
      <c r="F4222" s="10" t="s">
        <v>7360</v>
      </c>
      <c r="H4222" s="2" t="s">
        <v>27</v>
      </c>
      <c r="L4222" s="18">
        <v>1</v>
      </c>
      <c r="N4222" s="13">
        <v>41245</v>
      </c>
      <c r="O4222" s="29">
        <v>0.99</v>
      </c>
      <c r="P4222" s="18" t="s">
        <v>1107</v>
      </c>
      <c r="Q4222" s="18">
        <v>1</v>
      </c>
      <c r="T4222" s="22">
        <v>0.9</v>
      </c>
      <c r="U4222" s="22">
        <v>0.88</v>
      </c>
      <c r="V4222" s="22">
        <f>4/5</f>
        <v>0.8</v>
      </c>
      <c r="AB4222" s="18">
        <f t="shared" si="130"/>
        <v>2012</v>
      </c>
      <c r="AC4222" s="22">
        <f t="shared" si="131"/>
        <v>0.86</v>
      </c>
    </row>
    <row r="4223" spans="1:29">
      <c r="A4223" s="8" t="s">
        <v>4415</v>
      </c>
      <c r="B4223" s="17" t="s">
        <v>7800</v>
      </c>
      <c r="C4223" s="13">
        <v>41177</v>
      </c>
      <c r="D4223" s="13" t="s">
        <v>8465</v>
      </c>
      <c r="E4223" s="10" t="s">
        <v>4416</v>
      </c>
      <c r="F4223" s="10" t="s">
        <v>4416</v>
      </c>
      <c r="G4223" s="11" t="s">
        <v>4415</v>
      </c>
      <c r="H4223" s="2" t="s">
        <v>67</v>
      </c>
      <c r="L4223" s="18">
        <v>1</v>
      </c>
      <c r="N4223" s="13">
        <v>41450</v>
      </c>
      <c r="P4223" s="18" t="s">
        <v>1107</v>
      </c>
      <c r="Q4223" s="18">
        <v>1</v>
      </c>
      <c r="S4223" s="21">
        <v>0.93</v>
      </c>
      <c r="T4223" s="22">
        <v>0.8</v>
      </c>
      <c r="U4223" s="22">
        <v>0.79</v>
      </c>
      <c r="V4223" s="22">
        <f>3/5</f>
        <v>0.6</v>
      </c>
      <c r="W4223" s="14" t="s">
        <v>7777</v>
      </c>
      <c r="AB4223" s="18">
        <f t="shared" si="130"/>
        <v>2012</v>
      </c>
      <c r="AC4223" s="22">
        <f t="shared" si="131"/>
        <v>0.73</v>
      </c>
    </row>
    <row r="4224" spans="1:29">
      <c r="A4224" s="8" t="s">
        <v>5444</v>
      </c>
      <c r="B4224" s="17" t="s">
        <v>7800</v>
      </c>
      <c r="C4224" s="13">
        <v>41172</v>
      </c>
      <c r="D4224" s="13" t="s">
        <v>8465</v>
      </c>
      <c r="E4224" s="10" t="s">
        <v>5443</v>
      </c>
      <c r="F4224" s="10" t="s">
        <v>5443</v>
      </c>
      <c r="G4224" s="11" t="s">
        <v>5442</v>
      </c>
      <c r="H4224" s="2" t="s">
        <v>171</v>
      </c>
      <c r="L4224" s="18">
        <v>1</v>
      </c>
      <c r="N4224" s="13">
        <v>41174</v>
      </c>
      <c r="P4224" s="18" t="s">
        <v>1107</v>
      </c>
      <c r="Q4224" s="18">
        <v>1</v>
      </c>
      <c r="S4224" s="21">
        <v>37.5</v>
      </c>
      <c r="T4224" s="22">
        <v>0.9</v>
      </c>
      <c r="U4224" s="22">
        <v>0.89</v>
      </c>
      <c r="V4224" s="22">
        <f>3.99/5</f>
        <v>0.79800000000000004</v>
      </c>
      <c r="W4224" s="14" t="s">
        <v>7777</v>
      </c>
      <c r="AB4224" s="18">
        <f t="shared" si="130"/>
        <v>2012</v>
      </c>
      <c r="AC4224" s="22">
        <f t="shared" si="131"/>
        <v>0.86266666666666669</v>
      </c>
    </row>
    <row r="4225" spans="1:29">
      <c r="A4225" s="8" t="s">
        <v>7337</v>
      </c>
      <c r="B4225" s="17" t="s">
        <v>7783</v>
      </c>
      <c r="C4225" s="13">
        <v>41172</v>
      </c>
      <c r="D4225" s="13" t="s">
        <v>8465</v>
      </c>
      <c r="E4225" s="10" t="s">
        <v>1047</v>
      </c>
      <c r="F4225" s="10" t="s">
        <v>4703</v>
      </c>
      <c r="G4225" s="11" t="s">
        <v>1477</v>
      </c>
      <c r="H4225" s="2" t="s">
        <v>64</v>
      </c>
      <c r="L4225" s="18">
        <v>1</v>
      </c>
      <c r="N4225" s="13">
        <v>41246</v>
      </c>
      <c r="O4225" s="29">
        <v>0.99</v>
      </c>
      <c r="P4225" s="18" t="s">
        <v>1107</v>
      </c>
      <c r="Q4225" s="18">
        <v>1</v>
      </c>
      <c r="T4225" s="22">
        <v>0.8</v>
      </c>
      <c r="U4225" s="22">
        <v>0.87</v>
      </c>
      <c r="V4225" s="22">
        <f>3.85/5</f>
        <v>0.77</v>
      </c>
      <c r="AB4225" s="18">
        <f t="shared" ref="AB4225:AB4288" si="132">IFERROR(YEAR(C4225), "Early Access")</f>
        <v>2012</v>
      </c>
      <c r="AC4225" s="22">
        <f t="shared" ref="AC4225:AC4288" si="133">AVERAGE(T4225, U4225, V4225, IF(ISBLANK(X4225), X4225, X4225/5))</f>
        <v>0.81333333333333335</v>
      </c>
    </row>
    <row r="4226" spans="1:29">
      <c r="A4226" s="8" t="s">
        <v>3357</v>
      </c>
      <c r="B4226" s="17" t="s">
        <v>7765</v>
      </c>
      <c r="C4226" s="13">
        <v>41170</v>
      </c>
      <c r="D4226" s="13" t="s">
        <v>8465</v>
      </c>
      <c r="E4226" s="10" t="s">
        <v>3310</v>
      </c>
      <c r="F4226" s="10" t="s">
        <v>3154</v>
      </c>
      <c r="G4226" s="11" t="s">
        <v>3356</v>
      </c>
      <c r="H4226" s="2" t="s">
        <v>1050</v>
      </c>
      <c r="L4226" s="18">
        <v>0</v>
      </c>
      <c r="Q4226" s="18">
        <v>1</v>
      </c>
      <c r="T4226" s="22">
        <v>0.9</v>
      </c>
      <c r="U4226" s="22">
        <v>0.89</v>
      </c>
      <c r="V4226" s="22">
        <f>4.3/5</f>
        <v>0.86</v>
      </c>
      <c r="AB4226" s="18">
        <f t="shared" si="132"/>
        <v>2012</v>
      </c>
      <c r="AC4226" s="22">
        <f t="shared" si="133"/>
        <v>0.8833333333333333</v>
      </c>
    </row>
    <row r="4227" spans="1:29">
      <c r="A4227" s="8" t="s">
        <v>3357</v>
      </c>
      <c r="B4227" s="17" t="s">
        <v>7800</v>
      </c>
      <c r="C4227" s="13">
        <v>41169</v>
      </c>
      <c r="D4227" s="13" t="s">
        <v>8465</v>
      </c>
      <c r="E4227" s="10" t="s">
        <v>3310</v>
      </c>
      <c r="F4227" s="10" t="s">
        <v>3154</v>
      </c>
      <c r="G4227" s="11" t="s">
        <v>3356</v>
      </c>
      <c r="H4227" s="2" t="s">
        <v>1050</v>
      </c>
      <c r="L4227" s="18">
        <v>1</v>
      </c>
      <c r="N4227" s="13">
        <v>41714</v>
      </c>
      <c r="O4227" s="29">
        <v>8.75</v>
      </c>
      <c r="P4227" s="18" t="s">
        <v>1107</v>
      </c>
      <c r="Q4227" s="18">
        <v>1</v>
      </c>
      <c r="R4227" s="13">
        <v>41744</v>
      </c>
      <c r="S4227" s="21">
        <v>51.67</v>
      </c>
      <c r="T4227" s="22">
        <v>1</v>
      </c>
      <c r="U4227" s="22">
        <v>0.9</v>
      </c>
      <c r="V4227" s="22">
        <f>4.05/5</f>
        <v>0.80999999999999994</v>
      </c>
      <c r="W4227" s="14" t="s">
        <v>7777</v>
      </c>
      <c r="AB4227" s="18">
        <f t="shared" si="132"/>
        <v>2012</v>
      </c>
      <c r="AC4227" s="22">
        <f t="shared" si="133"/>
        <v>0.90333333333333332</v>
      </c>
    </row>
    <row r="4228" spans="1:29" ht="30">
      <c r="A4228" s="8" t="s">
        <v>6431</v>
      </c>
      <c r="B4228" s="17" t="s">
        <v>7765</v>
      </c>
      <c r="C4228" s="13">
        <v>41165</v>
      </c>
      <c r="D4228" s="13" t="s">
        <v>8465</v>
      </c>
      <c r="E4228" s="10" t="s">
        <v>6485</v>
      </c>
      <c r="F4228" s="10" t="s">
        <v>6485</v>
      </c>
      <c r="H4228" s="2" t="s">
        <v>31</v>
      </c>
      <c r="L4228" s="18">
        <v>1</v>
      </c>
      <c r="Q4228" s="18">
        <v>1</v>
      </c>
      <c r="R4228" s="13">
        <v>41552</v>
      </c>
      <c r="T4228" s="22">
        <v>0.8</v>
      </c>
      <c r="U4228" s="22">
        <v>0.9</v>
      </c>
      <c r="V4228" s="22">
        <f>3.55/5</f>
        <v>0.71</v>
      </c>
      <c r="W4228" s="14" t="s">
        <v>6487</v>
      </c>
      <c r="AB4228" s="18">
        <f t="shared" si="132"/>
        <v>2012</v>
      </c>
      <c r="AC4228" s="22">
        <f t="shared" si="133"/>
        <v>0.80333333333333334</v>
      </c>
    </row>
    <row r="4229" spans="1:29">
      <c r="A4229" s="8" t="s">
        <v>11361</v>
      </c>
      <c r="B4229" s="17" t="s">
        <v>7749</v>
      </c>
      <c r="C4229" s="13">
        <v>41165</v>
      </c>
      <c r="D4229" s="13" t="s">
        <v>8463</v>
      </c>
      <c r="E4229" s="10" t="s">
        <v>86</v>
      </c>
      <c r="F4229" s="10" t="s">
        <v>1794</v>
      </c>
      <c r="G4229" s="11" t="s">
        <v>10286</v>
      </c>
      <c r="H4229" s="2" t="s">
        <v>78</v>
      </c>
      <c r="K4229" s="18">
        <v>2</v>
      </c>
      <c r="L4229" s="18">
        <v>0</v>
      </c>
      <c r="Q4229" s="18">
        <v>1</v>
      </c>
      <c r="R4229" s="13">
        <v>44755</v>
      </c>
      <c r="T4229" s="22">
        <v>0.7</v>
      </c>
      <c r="V4229" s="22">
        <f>3.5/5</f>
        <v>0.7</v>
      </c>
      <c r="AB4229" s="18">
        <f t="shared" si="132"/>
        <v>2012</v>
      </c>
      <c r="AC4229" s="22">
        <f t="shared" si="133"/>
        <v>0.7</v>
      </c>
    </row>
    <row r="4230" spans="1:29">
      <c r="A4230" s="8" t="s">
        <v>7353</v>
      </c>
      <c r="B4230" s="17" t="s">
        <v>7783</v>
      </c>
      <c r="C4230" s="13">
        <v>41163</v>
      </c>
      <c r="D4230" s="13" t="s">
        <v>8465</v>
      </c>
      <c r="E4230" s="10" t="s">
        <v>7354</v>
      </c>
      <c r="F4230" s="10" t="s">
        <v>7354</v>
      </c>
      <c r="G4230" s="11" t="s">
        <v>7353</v>
      </c>
      <c r="H4230" s="2" t="s">
        <v>78</v>
      </c>
      <c r="L4230" s="18">
        <v>1</v>
      </c>
      <c r="N4230" s="13">
        <v>41572</v>
      </c>
      <c r="O4230" s="29">
        <v>1.99</v>
      </c>
      <c r="P4230" s="18" t="s">
        <v>1107</v>
      </c>
      <c r="Q4230" s="18">
        <v>1</v>
      </c>
      <c r="R4230" s="13">
        <v>41573</v>
      </c>
      <c r="T4230" s="22">
        <v>0.7</v>
      </c>
      <c r="U4230" s="22">
        <v>0.89</v>
      </c>
      <c r="V4230" s="22">
        <f>4.28/5</f>
        <v>0.85600000000000009</v>
      </c>
      <c r="AB4230" s="18">
        <f t="shared" si="132"/>
        <v>2012</v>
      </c>
      <c r="AC4230" s="22">
        <f t="shared" si="133"/>
        <v>0.81533333333333324</v>
      </c>
    </row>
    <row r="4231" spans="1:29">
      <c r="A4231" s="8" t="s">
        <v>4397</v>
      </c>
      <c r="B4231" s="17" t="s">
        <v>7765</v>
      </c>
      <c r="C4231" s="13">
        <v>41159</v>
      </c>
      <c r="D4231" s="13" t="s">
        <v>8465</v>
      </c>
      <c r="E4231" s="10" t="s">
        <v>3116</v>
      </c>
      <c r="F4231" s="10" t="s">
        <v>3521</v>
      </c>
      <c r="H4231" s="2" t="s">
        <v>245</v>
      </c>
      <c r="L4231" s="18">
        <v>0</v>
      </c>
      <c r="Q4231" s="18">
        <v>1</v>
      </c>
      <c r="R4231" s="13">
        <v>41197</v>
      </c>
      <c r="T4231" s="22">
        <v>0.9</v>
      </c>
      <c r="U4231" s="22">
        <v>0.9</v>
      </c>
      <c r="V4231" s="22">
        <f>4.13/5</f>
        <v>0.82599999999999996</v>
      </c>
      <c r="AB4231" s="18">
        <f t="shared" si="132"/>
        <v>2012</v>
      </c>
      <c r="AC4231" s="22">
        <f t="shared" si="133"/>
        <v>0.8753333333333333</v>
      </c>
    </row>
    <row r="4232" spans="1:29">
      <c r="A4232" s="8">
        <v>10000000</v>
      </c>
      <c r="B4232" s="17" t="s">
        <v>7783</v>
      </c>
      <c r="C4232" s="13">
        <v>41150</v>
      </c>
      <c r="D4232" s="13" t="s">
        <v>8465</v>
      </c>
      <c r="E4232" s="10" t="s">
        <v>7271</v>
      </c>
      <c r="F4232" s="10" t="s">
        <v>7271</v>
      </c>
      <c r="G4232" s="11">
        <v>10000000</v>
      </c>
      <c r="H4232" s="2" t="s">
        <v>78</v>
      </c>
      <c r="L4232" s="18">
        <v>1</v>
      </c>
      <c r="N4232" s="13">
        <v>41215</v>
      </c>
      <c r="O4232" s="29">
        <v>0.99</v>
      </c>
      <c r="P4232" s="18" t="s">
        <v>1107</v>
      </c>
      <c r="Q4232" s="18">
        <v>1</v>
      </c>
      <c r="T4232" s="22">
        <v>0.8</v>
      </c>
      <c r="U4232" s="22">
        <v>0.74</v>
      </c>
      <c r="V4232" s="22">
        <f>3.64/5</f>
        <v>0.72799999999999998</v>
      </c>
      <c r="AB4232" s="18">
        <f t="shared" si="132"/>
        <v>2012</v>
      </c>
      <c r="AC4232" s="22">
        <f t="shared" si="133"/>
        <v>0.75599999999999989</v>
      </c>
    </row>
    <row r="4233" spans="1:29" ht="30">
      <c r="A4233" s="8" t="s">
        <v>3570</v>
      </c>
      <c r="B4233" s="17" t="s">
        <v>7800</v>
      </c>
      <c r="C4233" s="13">
        <v>41145</v>
      </c>
      <c r="D4233" s="13" t="s">
        <v>8465</v>
      </c>
      <c r="E4233" s="10" t="s">
        <v>1604</v>
      </c>
      <c r="F4233" s="10" t="s">
        <v>1580</v>
      </c>
      <c r="G4233" s="11" t="s">
        <v>3566</v>
      </c>
      <c r="H4233" s="2" t="s">
        <v>171</v>
      </c>
      <c r="L4233" s="18">
        <v>1</v>
      </c>
      <c r="N4233" s="13">
        <v>41606</v>
      </c>
      <c r="O4233" s="29">
        <v>5.99</v>
      </c>
      <c r="P4233" s="18" t="s">
        <v>1107</v>
      </c>
      <c r="Q4233" s="18">
        <v>1</v>
      </c>
      <c r="R4233" s="13">
        <v>41735</v>
      </c>
      <c r="S4233" s="21">
        <v>23.9</v>
      </c>
      <c r="T4233" s="22">
        <v>1</v>
      </c>
      <c r="U4233" s="22">
        <v>0.85</v>
      </c>
      <c r="V4233" s="22">
        <f>4.33/5</f>
        <v>0.86599999999999999</v>
      </c>
      <c r="W4233" s="14" t="s">
        <v>7777</v>
      </c>
      <c r="AB4233" s="18">
        <f t="shared" si="132"/>
        <v>2012</v>
      </c>
      <c r="AC4233" s="22">
        <f t="shared" si="133"/>
        <v>0.90533333333333343</v>
      </c>
    </row>
    <row r="4234" spans="1:29">
      <c r="A4234" s="8" t="s">
        <v>5405</v>
      </c>
      <c r="B4234" s="17" t="s">
        <v>7800</v>
      </c>
      <c r="C4234" s="13">
        <v>41141</v>
      </c>
      <c r="D4234" s="13" t="s">
        <v>8465</v>
      </c>
      <c r="E4234" s="10" t="s">
        <v>3915</v>
      </c>
      <c r="F4234" s="10" t="s">
        <v>3915</v>
      </c>
      <c r="G4234" s="11" t="s">
        <v>5664</v>
      </c>
      <c r="H4234" s="2" t="s">
        <v>67</v>
      </c>
      <c r="L4234" s="18">
        <v>1</v>
      </c>
      <c r="N4234" s="13">
        <v>41373</v>
      </c>
      <c r="P4234" s="18" t="s">
        <v>1107</v>
      </c>
      <c r="Q4234" s="18">
        <v>1</v>
      </c>
      <c r="S4234" s="21">
        <v>0.25</v>
      </c>
      <c r="T4234" s="22">
        <v>0.7</v>
      </c>
      <c r="U4234" s="22">
        <v>0.88</v>
      </c>
      <c r="V4234" s="22">
        <f>3.03/5</f>
        <v>0.60599999999999998</v>
      </c>
      <c r="W4234" s="14" t="s">
        <v>7777</v>
      </c>
      <c r="AB4234" s="18">
        <f t="shared" si="132"/>
        <v>2012</v>
      </c>
      <c r="AC4234" s="22">
        <f t="shared" si="133"/>
        <v>0.72866666666666668</v>
      </c>
    </row>
    <row r="4235" spans="1:29">
      <c r="A4235" s="8" t="s">
        <v>7319</v>
      </c>
      <c r="B4235" s="17" t="s">
        <v>7783</v>
      </c>
      <c r="C4235" s="13">
        <v>41138</v>
      </c>
      <c r="D4235" s="13" t="s">
        <v>8465</v>
      </c>
      <c r="E4235" s="10" t="s">
        <v>7318</v>
      </c>
      <c r="F4235" s="10" t="s">
        <v>7318</v>
      </c>
      <c r="G4235" s="11" t="s">
        <v>7319</v>
      </c>
      <c r="H4235" s="2" t="s">
        <v>64</v>
      </c>
      <c r="L4235" s="18">
        <v>1</v>
      </c>
      <c r="N4235" s="13">
        <v>41234</v>
      </c>
      <c r="O4235" s="29">
        <v>0.99</v>
      </c>
      <c r="P4235" s="18" t="s">
        <v>1107</v>
      </c>
      <c r="Q4235" s="18">
        <v>1</v>
      </c>
      <c r="T4235" s="22">
        <v>0.8</v>
      </c>
      <c r="U4235" s="22">
        <v>0.89</v>
      </c>
      <c r="V4235" s="22">
        <f>4.05/5</f>
        <v>0.80999999999999994</v>
      </c>
      <c r="AB4235" s="18">
        <f t="shared" si="132"/>
        <v>2012</v>
      </c>
      <c r="AC4235" s="22">
        <f t="shared" si="133"/>
        <v>0.83333333333333337</v>
      </c>
    </row>
    <row r="4236" spans="1:29">
      <c r="A4236" s="8" t="s">
        <v>3749</v>
      </c>
      <c r="B4236" s="17" t="s">
        <v>7765</v>
      </c>
      <c r="C4236" s="13">
        <v>41136</v>
      </c>
      <c r="D4236" s="13" t="s">
        <v>8465</v>
      </c>
      <c r="E4236" s="10" t="s">
        <v>3116</v>
      </c>
      <c r="F4236" s="10" t="s">
        <v>3750</v>
      </c>
      <c r="H4236" s="2" t="s">
        <v>171</v>
      </c>
      <c r="L4236" s="18">
        <v>0</v>
      </c>
      <c r="Q4236" s="18">
        <v>1</v>
      </c>
      <c r="R4236" s="13">
        <v>41139</v>
      </c>
      <c r="T4236" s="22">
        <v>0.9</v>
      </c>
      <c r="U4236" s="22">
        <v>0.84</v>
      </c>
      <c r="V4236" s="22">
        <f>4.14/5</f>
        <v>0.82799999999999996</v>
      </c>
      <c r="AB4236" s="18">
        <f t="shared" si="132"/>
        <v>2012</v>
      </c>
      <c r="AC4236" s="22">
        <f t="shared" si="133"/>
        <v>0.85599999999999998</v>
      </c>
    </row>
    <row r="4237" spans="1:29">
      <c r="A4237" s="8" t="s">
        <v>5039</v>
      </c>
      <c r="B4237" s="17" t="s">
        <v>7800</v>
      </c>
      <c r="C4237" s="13">
        <v>41135</v>
      </c>
      <c r="D4237" s="13" t="s">
        <v>8465</v>
      </c>
      <c r="E4237" s="10" t="s">
        <v>1082</v>
      </c>
      <c r="F4237" s="10" t="s">
        <v>5040</v>
      </c>
      <c r="H4237" s="2" t="s">
        <v>80</v>
      </c>
      <c r="L4237" s="18">
        <v>1</v>
      </c>
      <c r="N4237" s="13">
        <v>41692</v>
      </c>
      <c r="O4237" s="29">
        <v>4.99</v>
      </c>
      <c r="P4237" s="18" t="s">
        <v>1107</v>
      </c>
      <c r="Q4237" s="18">
        <v>1</v>
      </c>
      <c r="R4237" s="13">
        <v>41808</v>
      </c>
      <c r="S4237" s="21">
        <v>26.92</v>
      </c>
      <c r="T4237" s="22">
        <v>0.9</v>
      </c>
      <c r="U4237" s="22">
        <v>0.84</v>
      </c>
      <c r="V4237" s="22">
        <f>4.02/5</f>
        <v>0.80399999999999994</v>
      </c>
      <c r="W4237" s="14" t="s">
        <v>7777</v>
      </c>
      <c r="AB4237" s="18">
        <f t="shared" si="132"/>
        <v>2012</v>
      </c>
      <c r="AC4237" s="22">
        <f t="shared" si="133"/>
        <v>0.84799999999999998</v>
      </c>
    </row>
    <row r="4238" spans="1:29">
      <c r="A4238" s="8" t="s">
        <v>5039</v>
      </c>
      <c r="B4238" s="17" t="s">
        <v>7765</v>
      </c>
      <c r="C4238" s="13">
        <v>41135</v>
      </c>
      <c r="D4238" s="13" t="s">
        <v>8465</v>
      </c>
      <c r="E4238" s="10" t="s">
        <v>1082</v>
      </c>
      <c r="F4238" s="10" t="s">
        <v>5040</v>
      </c>
      <c r="G4238" s="11" t="s">
        <v>5039</v>
      </c>
      <c r="H4238" s="2" t="s">
        <v>1168</v>
      </c>
      <c r="L4238" s="18">
        <v>0</v>
      </c>
      <c r="Q4238" s="18">
        <v>1</v>
      </c>
      <c r="R4238" s="13">
        <v>41471</v>
      </c>
      <c r="T4238" s="22">
        <v>0.9</v>
      </c>
      <c r="U4238" s="22">
        <v>0.82</v>
      </c>
      <c r="V4238" s="22">
        <f>4.06/5</f>
        <v>0.81199999999999994</v>
      </c>
      <c r="AB4238" s="18">
        <f t="shared" si="132"/>
        <v>2012</v>
      </c>
      <c r="AC4238" s="22">
        <f t="shared" si="133"/>
        <v>0.84399999999999997</v>
      </c>
    </row>
    <row r="4239" spans="1:29">
      <c r="A4239" s="8" t="s">
        <v>6357</v>
      </c>
      <c r="B4239" s="17" t="s">
        <v>7765</v>
      </c>
      <c r="C4239" s="13">
        <v>41135</v>
      </c>
      <c r="D4239" s="13" t="s">
        <v>8465</v>
      </c>
      <c r="E4239" s="10" t="s">
        <v>1342</v>
      </c>
      <c r="F4239" s="10" t="s">
        <v>6353</v>
      </c>
      <c r="G4239" s="11" t="s">
        <v>1585</v>
      </c>
      <c r="H4239" s="2" t="s">
        <v>80</v>
      </c>
      <c r="L4239" s="18">
        <v>0</v>
      </c>
      <c r="Q4239" s="18">
        <v>1</v>
      </c>
      <c r="R4239" s="13">
        <v>41379</v>
      </c>
      <c r="T4239" s="22">
        <v>0.8</v>
      </c>
      <c r="U4239" s="22">
        <v>0.83</v>
      </c>
      <c r="V4239" s="22">
        <f>3.93/5</f>
        <v>0.78600000000000003</v>
      </c>
      <c r="AB4239" s="18">
        <f t="shared" si="132"/>
        <v>2012</v>
      </c>
      <c r="AC4239" s="22">
        <f t="shared" si="133"/>
        <v>0.80533333333333335</v>
      </c>
    </row>
    <row r="4240" spans="1:29">
      <c r="A4240" s="8" t="s">
        <v>7313</v>
      </c>
      <c r="B4240" s="17" t="s">
        <v>7783</v>
      </c>
      <c r="C4240" s="13">
        <v>41123</v>
      </c>
      <c r="D4240" s="13" t="s">
        <v>8465</v>
      </c>
      <c r="E4240" s="10" t="s">
        <v>7314</v>
      </c>
      <c r="F4240" s="10" t="s">
        <v>7314</v>
      </c>
      <c r="H4240" s="2" t="s">
        <v>64</v>
      </c>
      <c r="L4240" s="18">
        <v>1</v>
      </c>
      <c r="N4240" s="13">
        <v>41254</v>
      </c>
      <c r="O4240" s="29">
        <v>0.99</v>
      </c>
      <c r="P4240" s="18" t="s">
        <v>1107</v>
      </c>
      <c r="Q4240" s="18">
        <v>1</v>
      </c>
      <c r="R4240" s="13">
        <v>41585</v>
      </c>
      <c r="T4240" s="22">
        <v>0.8</v>
      </c>
      <c r="U4240" s="22">
        <v>0.78</v>
      </c>
      <c r="AB4240" s="18">
        <f t="shared" si="132"/>
        <v>2012</v>
      </c>
      <c r="AC4240" s="22">
        <f t="shared" si="133"/>
        <v>0.79</v>
      </c>
    </row>
    <row r="4241" spans="1:29">
      <c r="A4241" s="8" t="s">
        <v>3139</v>
      </c>
      <c r="B4241" s="17" t="s">
        <v>7783</v>
      </c>
      <c r="C4241" s="13">
        <v>41123</v>
      </c>
      <c r="D4241" s="13" t="s">
        <v>8465</v>
      </c>
      <c r="E4241" s="10" t="s">
        <v>1634</v>
      </c>
      <c r="F4241" s="10" t="s">
        <v>1634</v>
      </c>
      <c r="G4241" s="11" t="s">
        <v>3139</v>
      </c>
      <c r="H4241" s="2" t="s">
        <v>2138</v>
      </c>
      <c r="L4241" s="18">
        <v>1</v>
      </c>
      <c r="N4241" s="13">
        <v>41133</v>
      </c>
      <c r="O4241" s="29">
        <v>0.99</v>
      </c>
      <c r="P4241" s="18" t="s">
        <v>1107</v>
      </c>
      <c r="Q4241" s="18">
        <v>1</v>
      </c>
      <c r="T4241" s="22">
        <v>0.6</v>
      </c>
      <c r="U4241" s="22">
        <v>0.86</v>
      </c>
      <c r="V4241" s="22">
        <f>2/5</f>
        <v>0.4</v>
      </c>
      <c r="AB4241" s="18">
        <f t="shared" si="132"/>
        <v>2012</v>
      </c>
      <c r="AC4241" s="22">
        <f t="shared" si="133"/>
        <v>0.62</v>
      </c>
    </row>
    <row r="4242" spans="1:29" ht="30">
      <c r="A4242" s="8" t="s">
        <v>4617</v>
      </c>
      <c r="B4242" s="17" t="s">
        <v>7783</v>
      </c>
      <c r="C4242" s="13">
        <v>41094</v>
      </c>
      <c r="D4242" s="13" t="s">
        <v>8465</v>
      </c>
      <c r="E4242" s="10" t="s">
        <v>7326</v>
      </c>
      <c r="F4242" s="10" t="s">
        <v>4616</v>
      </c>
      <c r="G4242" s="11" t="s">
        <v>4617</v>
      </c>
      <c r="H4242" s="2" t="s">
        <v>64</v>
      </c>
      <c r="L4242" s="18">
        <v>1</v>
      </c>
      <c r="N4242" s="13">
        <v>41097</v>
      </c>
      <c r="O4242" s="29">
        <v>0.99</v>
      </c>
      <c r="P4242" s="18" t="s">
        <v>1107</v>
      </c>
      <c r="Q4242" s="18">
        <v>1</v>
      </c>
      <c r="T4242" s="22">
        <v>0.7</v>
      </c>
      <c r="U4242" s="22">
        <v>0.79</v>
      </c>
      <c r="V4242" s="22">
        <f>2.5/5</f>
        <v>0.5</v>
      </c>
      <c r="AB4242" s="18">
        <f t="shared" si="132"/>
        <v>2012</v>
      </c>
      <c r="AC4242" s="22">
        <f t="shared" si="133"/>
        <v>0.66333333333333333</v>
      </c>
    </row>
    <row r="4243" spans="1:29">
      <c r="A4243" s="8" t="s">
        <v>4541</v>
      </c>
      <c r="B4243" s="17" t="s">
        <v>7783</v>
      </c>
      <c r="C4243" s="13">
        <v>41087</v>
      </c>
      <c r="D4243" s="13" t="s">
        <v>8465</v>
      </c>
      <c r="E4243" s="10" t="s">
        <v>4542</v>
      </c>
      <c r="F4243" s="10" t="s">
        <v>4542</v>
      </c>
      <c r="G4243" s="11" t="s">
        <v>4541</v>
      </c>
      <c r="H4243" s="2" t="s">
        <v>64</v>
      </c>
      <c r="L4243" s="18">
        <v>1</v>
      </c>
      <c r="N4243" s="13">
        <v>41448</v>
      </c>
      <c r="O4243" s="29">
        <v>0</v>
      </c>
      <c r="P4243" s="18" t="s">
        <v>1107</v>
      </c>
      <c r="Q4243" s="18">
        <v>1</v>
      </c>
      <c r="T4243" s="22">
        <v>0.6</v>
      </c>
      <c r="U4243" s="22">
        <v>0.86</v>
      </c>
      <c r="V4243" s="22">
        <f>3.92/5</f>
        <v>0.78400000000000003</v>
      </c>
      <c r="AB4243" s="18">
        <f t="shared" si="132"/>
        <v>2012</v>
      </c>
      <c r="AC4243" s="22">
        <f t="shared" si="133"/>
        <v>0.74799999999999989</v>
      </c>
    </row>
    <row r="4244" spans="1:29">
      <c r="A4244" s="8" t="s">
        <v>7282</v>
      </c>
      <c r="B4244" s="17" t="s">
        <v>7783</v>
      </c>
      <c r="C4244" s="13">
        <v>41086</v>
      </c>
      <c r="D4244" s="13" t="s">
        <v>8465</v>
      </c>
      <c r="E4244" s="10" t="s">
        <v>7283</v>
      </c>
      <c r="F4244" s="10" t="s">
        <v>7283</v>
      </c>
      <c r="G4244" s="11" t="s">
        <v>7282</v>
      </c>
      <c r="H4244" s="2" t="s">
        <v>1050</v>
      </c>
      <c r="L4244" s="18">
        <v>1</v>
      </c>
      <c r="N4244" s="13">
        <v>41103</v>
      </c>
      <c r="O4244" s="29">
        <v>0.99</v>
      </c>
      <c r="P4244" s="18" t="s">
        <v>1107</v>
      </c>
      <c r="Q4244" s="18">
        <v>1</v>
      </c>
      <c r="T4244" s="22">
        <v>0.5</v>
      </c>
      <c r="U4244" s="22">
        <v>0.67</v>
      </c>
      <c r="V4244" s="22">
        <f>3.33/5</f>
        <v>0.66600000000000004</v>
      </c>
      <c r="AB4244" s="18">
        <f t="shared" si="132"/>
        <v>2012</v>
      </c>
      <c r="AC4244" s="22">
        <f t="shared" si="133"/>
        <v>0.61199999999999999</v>
      </c>
    </row>
    <row r="4245" spans="1:29">
      <c r="A4245" s="8" t="s">
        <v>5086</v>
      </c>
      <c r="B4245" s="17" t="s">
        <v>7800</v>
      </c>
      <c r="C4245" s="13">
        <v>41085</v>
      </c>
      <c r="D4245" s="13" t="s">
        <v>8465</v>
      </c>
      <c r="E4245" s="10" t="s">
        <v>3310</v>
      </c>
      <c r="F4245" s="10" t="s">
        <v>5087</v>
      </c>
      <c r="G4245" s="11" t="s">
        <v>5714</v>
      </c>
      <c r="H4245" s="2" t="s">
        <v>1168</v>
      </c>
      <c r="L4245" s="18">
        <v>1</v>
      </c>
      <c r="N4245" s="13">
        <v>41703</v>
      </c>
      <c r="P4245" s="18" t="s">
        <v>1107</v>
      </c>
      <c r="Q4245" s="18">
        <v>1</v>
      </c>
      <c r="R4245" s="13">
        <v>41718</v>
      </c>
      <c r="S4245" s="21">
        <v>5.75</v>
      </c>
      <c r="T4245" s="22">
        <v>0.8</v>
      </c>
      <c r="U4245" s="22">
        <v>0.78</v>
      </c>
      <c r="V4245" s="22">
        <f>3.8/5</f>
        <v>0.76</v>
      </c>
      <c r="W4245" s="14" t="s">
        <v>7777</v>
      </c>
      <c r="AB4245" s="18">
        <f t="shared" si="132"/>
        <v>2012</v>
      </c>
      <c r="AC4245" s="22">
        <f t="shared" si="133"/>
        <v>0.77999999999999992</v>
      </c>
    </row>
    <row r="4246" spans="1:29">
      <c r="A4246" s="8" t="s">
        <v>7362</v>
      </c>
      <c r="B4246" s="17" t="s">
        <v>7783</v>
      </c>
      <c r="C4246" s="13">
        <v>41081</v>
      </c>
      <c r="D4246" s="13" t="s">
        <v>8465</v>
      </c>
      <c r="E4246" s="10" t="s">
        <v>3493</v>
      </c>
      <c r="F4246" s="10" t="s">
        <v>4877</v>
      </c>
      <c r="G4246" s="11" t="s">
        <v>7362</v>
      </c>
      <c r="H4246" s="2" t="s">
        <v>67</v>
      </c>
      <c r="L4246" s="18">
        <v>1</v>
      </c>
      <c r="N4246" s="13">
        <v>41094</v>
      </c>
      <c r="O4246" s="29">
        <v>4.99</v>
      </c>
      <c r="P4246" s="18" t="s">
        <v>1107</v>
      </c>
      <c r="Q4246" s="18">
        <v>1</v>
      </c>
      <c r="T4246" s="22">
        <v>0.9</v>
      </c>
      <c r="U4246" s="22">
        <v>0.78</v>
      </c>
      <c r="V4246" s="22">
        <f>4.27/5</f>
        <v>0.85399999999999987</v>
      </c>
      <c r="AB4246" s="18">
        <f t="shared" si="132"/>
        <v>2012</v>
      </c>
      <c r="AC4246" s="22">
        <f t="shared" si="133"/>
        <v>0.84466666666666657</v>
      </c>
    </row>
    <row r="4247" spans="1:29">
      <c r="A4247" s="8" t="s">
        <v>7351</v>
      </c>
      <c r="B4247" s="17" t="s">
        <v>7783</v>
      </c>
      <c r="C4247" s="13">
        <v>41081</v>
      </c>
      <c r="D4247" s="13" t="s">
        <v>8465</v>
      </c>
      <c r="E4247" s="10" t="s">
        <v>2816</v>
      </c>
      <c r="F4247" s="10" t="s">
        <v>7352</v>
      </c>
      <c r="H4247" s="2" t="s">
        <v>67</v>
      </c>
      <c r="L4247" s="18">
        <v>1</v>
      </c>
      <c r="N4247" s="13">
        <v>41097</v>
      </c>
      <c r="O4247" s="29">
        <v>0.99</v>
      </c>
      <c r="P4247" s="18" t="s">
        <v>1107</v>
      </c>
      <c r="Q4247" s="18">
        <v>1</v>
      </c>
      <c r="T4247" s="22">
        <v>0.9</v>
      </c>
      <c r="U4247" s="22">
        <v>0.64</v>
      </c>
      <c r="V4247" s="22">
        <f>3/5</f>
        <v>0.6</v>
      </c>
      <c r="AB4247" s="18">
        <f t="shared" si="132"/>
        <v>2012</v>
      </c>
      <c r="AC4247" s="22">
        <f t="shared" si="133"/>
        <v>0.71333333333333337</v>
      </c>
    </row>
    <row r="4248" spans="1:29">
      <c r="A4248" s="8" t="s">
        <v>3812</v>
      </c>
      <c r="B4248" s="17" t="s">
        <v>7800</v>
      </c>
      <c r="C4248" s="13">
        <v>41074</v>
      </c>
      <c r="D4248" s="13" t="s">
        <v>8465</v>
      </c>
      <c r="E4248" s="10" t="s">
        <v>3813</v>
      </c>
      <c r="F4248" s="10" t="s">
        <v>3813</v>
      </c>
      <c r="G4248" s="11" t="s">
        <v>3812</v>
      </c>
      <c r="H4248" s="2" t="s">
        <v>27</v>
      </c>
      <c r="L4248" s="18">
        <v>1</v>
      </c>
      <c r="N4248" s="13">
        <v>41551</v>
      </c>
      <c r="P4248" s="18" t="s">
        <v>1107</v>
      </c>
      <c r="Q4248" s="18">
        <v>1</v>
      </c>
      <c r="T4248" s="22">
        <v>0.8</v>
      </c>
      <c r="U4248" s="22">
        <v>0.8</v>
      </c>
      <c r="V4248" s="22">
        <f>3.78/5</f>
        <v>0.75600000000000001</v>
      </c>
      <c r="W4248" s="14" t="s">
        <v>7777</v>
      </c>
      <c r="AB4248" s="18">
        <f t="shared" si="132"/>
        <v>2012</v>
      </c>
      <c r="AC4248" s="22">
        <f t="shared" si="133"/>
        <v>0.78533333333333333</v>
      </c>
    </row>
    <row r="4249" spans="1:29">
      <c r="A4249" s="8" t="s">
        <v>5097</v>
      </c>
      <c r="B4249" s="17" t="s">
        <v>7800</v>
      </c>
      <c r="C4249" s="13">
        <v>41073</v>
      </c>
      <c r="D4249" s="13" t="s">
        <v>8465</v>
      </c>
      <c r="E4249" s="10" t="s">
        <v>3232</v>
      </c>
      <c r="F4249" s="10" t="s">
        <v>3232</v>
      </c>
      <c r="H4249" s="2" t="s">
        <v>78</v>
      </c>
      <c r="L4249" s="18">
        <v>1</v>
      </c>
      <c r="N4249" s="13">
        <v>41103</v>
      </c>
      <c r="O4249" s="29">
        <v>1.99</v>
      </c>
      <c r="P4249" s="18" t="s">
        <v>1107</v>
      </c>
      <c r="Q4249" s="18">
        <v>1</v>
      </c>
      <c r="S4249" s="21">
        <v>1.2</v>
      </c>
      <c r="T4249" s="22">
        <v>0.8</v>
      </c>
      <c r="U4249" s="22">
        <v>0.74</v>
      </c>
      <c r="V4249" s="22">
        <f>3.14/5</f>
        <v>0.628</v>
      </c>
      <c r="W4249" s="14" t="s">
        <v>7777</v>
      </c>
      <c r="AB4249" s="18">
        <f t="shared" si="132"/>
        <v>2012</v>
      </c>
      <c r="AC4249" s="22">
        <f t="shared" si="133"/>
        <v>0.72266666666666668</v>
      </c>
    </row>
    <row r="4250" spans="1:29">
      <c r="A4250" s="8" t="s">
        <v>7331</v>
      </c>
      <c r="B4250" s="17" t="s">
        <v>7783</v>
      </c>
      <c r="C4250" s="13">
        <v>41066</v>
      </c>
      <c r="D4250" s="13" t="s">
        <v>8465</v>
      </c>
      <c r="E4250" s="10" t="s">
        <v>7332</v>
      </c>
      <c r="F4250" s="10" t="s">
        <v>7333</v>
      </c>
      <c r="H4250" s="2" t="s">
        <v>56</v>
      </c>
      <c r="L4250" s="18">
        <v>1</v>
      </c>
      <c r="N4250" s="13">
        <v>41128</v>
      </c>
      <c r="O4250" s="29">
        <v>0</v>
      </c>
      <c r="P4250" s="18" t="s">
        <v>1107</v>
      </c>
      <c r="Q4250" s="18">
        <v>1</v>
      </c>
      <c r="T4250" s="22">
        <v>0.8</v>
      </c>
      <c r="U4250" s="22">
        <v>0.79</v>
      </c>
      <c r="V4250" s="22">
        <f>2.5/5</f>
        <v>0.5</v>
      </c>
      <c r="AB4250" s="18">
        <f t="shared" si="132"/>
        <v>2012</v>
      </c>
      <c r="AC4250" s="22">
        <f t="shared" si="133"/>
        <v>0.69666666666666666</v>
      </c>
    </row>
    <row r="4251" spans="1:29">
      <c r="A4251" s="8" t="s">
        <v>7293</v>
      </c>
      <c r="B4251" s="17" t="s">
        <v>7783</v>
      </c>
      <c r="C4251" s="13">
        <v>41061</v>
      </c>
      <c r="D4251" s="13" t="s">
        <v>8465</v>
      </c>
      <c r="E4251" s="10" t="s">
        <v>7279</v>
      </c>
      <c r="F4251" s="10" t="s">
        <v>7279</v>
      </c>
      <c r="H4251" s="2" t="s">
        <v>1334</v>
      </c>
      <c r="L4251" s="18">
        <v>1</v>
      </c>
      <c r="N4251" s="13">
        <v>41269</v>
      </c>
      <c r="O4251" s="29">
        <v>3.99</v>
      </c>
      <c r="P4251" s="18" t="s">
        <v>1107</v>
      </c>
      <c r="Q4251" s="18">
        <v>1</v>
      </c>
      <c r="T4251" s="22">
        <v>0.9</v>
      </c>
      <c r="U4251" s="22">
        <v>0.85</v>
      </c>
      <c r="V4251" s="22">
        <f>4.27/5</f>
        <v>0.85399999999999987</v>
      </c>
      <c r="AB4251" s="18">
        <f t="shared" si="132"/>
        <v>2012</v>
      </c>
      <c r="AC4251" s="22">
        <f t="shared" si="133"/>
        <v>0.86799999999999999</v>
      </c>
    </row>
    <row r="4252" spans="1:29">
      <c r="A4252" s="8" t="s">
        <v>4130</v>
      </c>
      <c r="B4252" s="17" t="s">
        <v>7800</v>
      </c>
      <c r="C4252" s="13">
        <v>41061</v>
      </c>
      <c r="D4252" s="13" t="s">
        <v>8465</v>
      </c>
      <c r="E4252" s="10" t="s">
        <v>4131</v>
      </c>
      <c r="F4252" s="10" t="s">
        <v>4131</v>
      </c>
      <c r="H4252" s="2" t="s">
        <v>1061</v>
      </c>
      <c r="L4252" s="18">
        <v>1</v>
      </c>
      <c r="N4252" s="13">
        <v>41208</v>
      </c>
      <c r="P4252" s="18" t="s">
        <v>1107</v>
      </c>
      <c r="Q4252" s="18">
        <v>1</v>
      </c>
      <c r="S4252" s="21">
        <v>1.3</v>
      </c>
      <c r="T4252" s="22">
        <v>0.6</v>
      </c>
      <c r="U4252" s="22">
        <v>0.69</v>
      </c>
      <c r="V4252" s="22">
        <f>3.05/5</f>
        <v>0.61</v>
      </c>
      <c r="W4252" s="14" t="s">
        <v>7777</v>
      </c>
      <c r="AB4252" s="18">
        <f t="shared" si="132"/>
        <v>2012</v>
      </c>
      <c r="AC4252" s="22">
        <f t="shared" si="133"/>
        <v>0.6333333333333333</v>
      </c>
    </row>
    <row r="4253" spans="1:29" ht="25.5">
      <c r="A4253" s="8" t="s">
        <v>3129</v>
      </c>
      <c r="B4253" s="17" t="s">
        <v>7800</v>
      </c>
      <c r="C4253" s="13">
        <v>41051</v>
      </c>
      <c r="D4253" s="13" t="s">
        <v>8465</v>
      </c>
      <c r="E4253" s="10" t="s">
        <v>3130</v>
      </c>
      <c r="F4253" s="10" t="s">
        <v>3130</v>
      </c>
      <c r="G4253" s="11" t="s">
        <v>3131</v>
      </c>
      <c r="H4253" s="2" t="s">
        <v>80</v>
      </c>
      <c r="L4253" s="18">
        <v>1</v>
      </c>
      <c r="N4253" s="13">
        <v>41138</v>
      </c>
      <c r="O4253" s="29">
        <v>3.75</v>
      </c>
      <c r="P4253" s="18" t="s">
        <v>1107</v>
      </c>
      <c r="Q4253" s="18">
        <v>1</v>
      </c>
      <c r="R4253" s="13">
        <v>41858</v>
      </c>
      <c r="S4253" s="21">
        <v>3.33</v>
      </c>
      <c r="T4253" s="22">
        <v>0.7</v>
      </c>
      <c r="U4253" s="22">
        <v>0.73</v>
      </c>
      <c r="V4253" s="22">
        <f>3.26/5</f>
        <v>0.65199999999999991</v>
      </c>
      <c r="W4253" s="14" t="s">
        <v>7777</v>
      </c>
      <c r="AB4253" s="18">
        <f t="shared" si="132"/>
        <v>2012</v>
      </c>
      <c r="AC4253" s="22">
        <f t="shared" si="133"/>
        <v>0.69399999999999995</v>
      </c>
    </row>
    <row r="4254" spans="1:29">
      <c r="A4254" s="8" t="s">
        <v>6980</v>
      </c>
      <c r="B4254" s="17" t="s">
        <v>7800</v>
      </c>
      <c r="C4254" s="13">
        <v>41044</v>
      </c>
      <c r="D4254" s="13" t="s">
        <v>8465</v>
      </c>
      <c r="E4254" s="10" t="s">
        <v>1296</v>
      </c>
      <c r="F4254" s="10" t="s">
        <v>1296</v>
      </c>
      <c r="G4254" s="11" t="s">
        <v>1589</v>
      </c>
      <c r="H4254" s="2" t="s">
        <v>171</v>
      </c>
      <c r="L4254" s="18">
        <v>1</v>
      </c>
      <c r="N4254" s="13">
        <v>41734</v>
      </c>
      <c r="O4254" s="29">
        <v>0</v>
      </c>
      <c r="P4254" s="18" t="s">
        <v>1107</v>
      </c>
      <c r="Q4254" s="18">
        <v>1</v>
      </c>
      <c r="R4254" s="13">
        <v>41782</v>
      </c>
      <c r="T4254" s="22">
        <v>0.8</v>
      </c>
      <c r="U4254" s="22">
        <v>0.88</v>
      </c>
      <c r="V4254" s="22">
        <f>3.58/5</f>
        <v>0.71599999999999997</v>
      </c>
      <c r="W4254" s="14" t="s">
        <v>7797</v>
      </c>
      <c r="AB4254" s="18">
        <f t="shared" si="132"/>
        <v>2012</v>
      </c>
      <c r="AC4254" s="22">
        <f t="shared" si="133"/>
        <v>0.79866666666666664</v>
      </c>
    </row>
    <row r="4255" spans="1:29">
      <c r="A4255" s="8" t="s">
        <v>4583</v>
      </c>
      <c r="B4255" s="17" t="s">
        <v>7800</v>
      </c>
      <c r="C4255" s="13">
        <v>41040</v>
      </c>
      <c r="D4255" s="13" t="s">
        <v>8465</v>
      </c>
      <c r="E4255" s="10" t="s">
        <v>4584</v>
      </c>
      <c r="F4255" s="10" t="s">
        <v>4584</v>
      </c>
      <c r="H4255" s="2" t="s">
        <v>27</v>
      </c>
      <c r="L4255" s="18">
        <v>1</v>
      </c>
      <c r="N4255" s="13">
        <v>41097</v>
      </c>
      <c r="O4255" s="29">
        <v>3.99</v>
      </c>
      <c r="P4255" s="18" t="s">
        <v>1107</v>
      </c>
      <c r="Q4255" s="18">
        <v>1</v>
      </c>
      <c r="S4255" s="21">
        <v>4.62</v>
      </c>
      <c r="T4255" s="22">
        <v>0.7</v>
      </c>
      <c r="U4255" s="22">
        <v>0.75</v>
      </c>
      <c r="V4255" s="22">
        <f>3.46/5</f>
        <v>0.69199999999999995</v>
      </c>
      <c r="W4255" s="14" t="s">
        <v>7777</v>
      </c>
      <c r="AB4255" s="18">
        <f t="shared" si="132"/>
        <v>2012</v>
      </c>
      <c r="AC4255" s="22">
        <f t="shared" si="133"/>
        <v>0.71399999999999997</v>
      </c>
    </row>
    <row r="4256" spans="1:29">
      <c r="A4256" s="8" t="s">
        <v>3757</v>
      </c>
      <c r="B4256" s="17" t="s">
        <v>7800</v>
      </c>
      <c r="C4256" s="13">
        <v>41039</v>
      </c>
      <c r="D4256" s="13" t="s">
        <v>8465</v>
      </c>
      <c r="E4256" s="10" t="s">
        <v>3758</v>
      </c>
      <c r="F4256" s="10" t="s">
        <v>3758</v>
      </c>
      <c r="H4256" s="2" t="s">
        <v>78</v>
      </c>
      <c r="L4256" s="18">
        <v>1</v>
      </c>
      <c r="N4256" s="13">
        <v>41338</v>
      </c>
      <c r="P4256" s="18" t="s">
        <v>1107</v>
      </c>
      <c r="Q4256" s="18">
        <v>1</v>
      </c>
      <c r="S4256" s="21">
        <v>1.9</v>
      </c>
      <c r="T4256" s="22">
        <v>0.7</v>
      </c>
      <c r="V4256" s="22">
        <f>2.5/5</f>
        <v>0.5</v>
      </c>
      <c r="W4256" s="14" t="s">
        <v>7777</v>
      </c>
      <c r="AB4256" s="18">
        <f t="shared" si="132"/>
        <v>2012</v>
      </c>
      <c r="AC4256" s="22">
        <f t="shared" si="133"/>
        <v>0.6</v>
      </c>
    </row>
    <row r="4257" spans="1:29">
      <c r="A4257" s="8" t="s">
        <v>975</v>
      </c>
      <c r="B4257" s="17" t="s">
        <v>7741</v>
      </c>
      <c r="C4257" s="13">
        <v>41035</v>
      </c>
      <c r="D4257" s="13" t="s">
        <v>8465</v>
      </c>
      <c r="E4257" s="10" t="s">
        <v>86</v>
      </c>
      <c r="F4257" s="10" t="s">
        <v>1145</v>
      </c>
      <c r="G4257" s="11" t="s">
        <v>1146</v>
      </c>
      <c r="H4257" s="2" t="s">
        <v>149</v>
      </c>
      <c r="L4257" s="18">
        <v>0</v>
      </c>
      <c r="Q4257" s="18">
        <v>1</v>
      </c>
      <c r="R4257" s="13">
        <v>41767</v>
      </c>
      <c r="S4257" s="21">
        <v>54.9</v>
      </c>
      <c r="T4257" s="22">
        <v>0.9</v>
      </c>
      <c r="U4257" s="22">
        <v>0.92</v>
      </c>
      <c r="V4257" s="22">
        <f>4.54/5</f>
        <v>0.90800000000000003</v>
      </c>
      <c r="AB4257" s="18">
        <f t="shared" si="132"/>
        <v>2012</v>
      </c>
      <c r="AC4257" s="22">
        <f t="shared" si="133"/>
        <v>0.90933333333333344</v>
      </c>
    </row>
    <row r="4258" spans="1:29" ht="30">
      <c r="A4258" s="8" t="s">
        <v>3177</v>
      </c>
      <c r="B4258" s="17" t="s">
        <v>7800</v>
      </c>
      <c r="C4258" s="13">
        <v>41026</v>
      </c>
      <c r="D4258" s="13" t="s">
        <v>8465</v>
      </c>
      <c r="E4258" s="10" t="s">
        <v>3178</v>
      </c>
      <c r="F4258" s="10" t="s">
        <v>3178</v>
      </c>
      <c r="G4258" s="11" t="s">
        <v>3179</v>
      </c>
      <c r="H4258" s="2" t="s">
        <v>1057</v>
      </c>
      <c r="L4258" s="18">
        <v>1</v>
      </c>
      <c r="N4258" s="13">
        <v>41149</v>
      </c>
      <c r="P4258" s="18" t="s">
        <v>1107</v>
      </c>
      <c r="Q4258" s="18">
        <v>1</v>
      </c>
      <c r="S4258" s="21">
        <v>2.5</v>
      </c>
      <c r="T4258" s="22">
        <v>0.7</v>
      </c>
      <c r="U4258" s="22">
        <v>0.69</v>
      </c>
      <c r="V4258" s="22">
        <f>3.73/5</f>
        <v>0.746</v>
      </c>
      <c r="W4258" s="14" t="s">
        <v>7777</v>
      </c>
      <c r="AB4258" s="18">
        <f t="shared" si="132"/>
        <v>2012</v>
      </c>
      <c r="AC4258" s="22">
        <f t="shared" si="133"/>
        <v>0.71200000000000008</v>
      </c>
    </row>
    <row r="4259" spans="1:29">
      <c r="A4259" s="8" t="s">
        <v>5388</v>
      </c>
      <c r="B4259" s="17" t="s">
        <v>7800</v>
      </c>
      <c r="C4259" s="13">
        <v>41023</v>
      </c>
      <c r="D4259" s="13" t="s">
        <v>8465</v>
      </c>
      <c r="E4259" s="10" t="s">
        <v>3246</v>
      </c>
      <c r="F4259" s="10" t="s">
        <v>3246</v>
      </c>
      <c r="G4259" s="11" t="s">
        <v>5388</v>
      </c>
      <c r="H4259" s="2" t="s">
        <v>67</v>
      </c>
      <c r="L4259" s="18">
        <v>1</v>
      </c>
      <c r="N4259" s="13">
        <v>41305</v>
      </c>
      <c r="O4259" s="29">
        <v>12.49</v>
      </c>
      <c r="P4259" s="18" t="s">
        <v>1107</v>
      </c>
      <c r="Q4259" s="18">
        <v>1</v>
      </c>
      <c r="S4259" s="21">
        <v>12</v>
      </c>
      <c r="T4259" s="22">
        <v>1</v>
      </c>
      <c r="U4259" s="22">
        <v>0.93</v>
      </c>
      <c r="V4259" s="22">
        <f>4.28/5</f>
        <v>0.85600000000000009</v>
      </c>
      <c r="W4259" s="14" t="s">
        <v>7777</v>
      </c>
      <c r="AB4259" s="18">
        <f t="shared" si="132"/>
        <v>2012</v>
      </c>
      <c r="AC4259" s="22">
        <f t="shared" si="133"/>
        <v>0.92866666666666686</v>
      </c>
    </row>
    <row r="4260" spans="1:29" ht="25.5">
      <c r="A4260" s="8" t="s">
        <v>4340</v>
      </c>
      <c r="B4260" s="17" t="s">
        <v>7800</v>
      </c>
      <c r="C4260" s="13">
        <v>41022</v>
      </c>
      <c r="D4260" s="13" t="s">
        <v>8465</v>
      </c>
      <c r="E4260" s="10" t="s">
        <v>4341</v>
      </c>
      <c r="F4260" s="10" t="s">
        <v>4342</v>
      </c>
      <c r="H4260" s="2" t="s">
        <v>1061</v>
      </c>
      <c r="L4260" s="18">
        <v>1</v>
      </c>
      <c r="N4260" s="13">
        <v>41067</v>
      </c>
      <c r="P4260" s="18" t="s">
        <v>1107</v>
      </c>
      <c r="Q4260" s="18">
        <v>1</v>
      </c>
      <c r="S4260" s="21">
        <v>7.3</v>
      </c>
      <c r="T4260" s="22">
        <v>0.7</v>
      </c>
      <c r="U4260" s="22">
        <v>0.81</v>
      </c>
      <c r="V4260" s="22">
        <f>3.63/5</f>
        <v>0.72599999999999998</v>
      </c>
      <c r="W4260" s="14" t="s">
        <v>7777</v>
      </c>
      <c r="AB4260" s="18">
        <f t="shared" si="132"/>
        <v>2012</v>
      </c>
      <c r="AC4260" s="22">
        <f t="shared" si="133"/>
        <v>0.74533333333333329</v>
      </c>
    </row>
    <row r="4261" spans="1:29">
      <c r="A4261" s="8" t="s">
        <v>2488</v>
      </c>
      <c r="B4261" s="17" t="s">
        <v>7749</v>
      </c>
      <c r="C4261" s="13">
        <v>40991</v>
      </c>
      <c r="D4261" s="13" t="s">
        <v>8465</v>
      </c>
      <c r="E4261" s="10" t="s">
        <v>86</v>
      </c>
      <c r="F4261" s="10" t="s">
        <v>2490</v>
      </c>
      <c r="G4261" s="11" t="s">
        <v>110</v>
      </c>
      <c r="H4261" s="2" t="s">
        <v>1170</v>
      </c>
      <c r="L4261" s="18">
        <v>0</v>
      </c>
      <c r="Q4261" s="18">
        <v>1</v>
      </c>
      <c r="S4261" s="21">
        <v>7.02</v>
      </c>
      <c r="T4261" s="22">
        <v>0.8</v>
      </c>
      <c r="U4261" s="22">
        <v>0.85</v>
      </c>
      <c r="V4261" s="22">
        <f>4.28/5</f>
        <v>0.85600000000000009</v>
      </c>
      <c r="Y4261" s="18">
        <v>1</v>
      </c>
      <c r="AB4261" s="18">
        <f t="shared" si="132"/>
        <v>2012</v>
      </c>
      <c r="AC4261" s="22">
        <f t="shared" si="133"/>
        <v>0.83533333333333337</v>
      </c>
    </row>
    <row r="4262" spans="1:29" ht="25.5">
      <c r="A4262" s="8" t="s">
        <v>5616</v>
      </c>
      <c r="B4262" s="17" t="s">
        <v>7800</v>
      </c>
      <c r="C4262" s="13">
        <v>40987</v>
      </c>
      <c r="D4262" s="13" t="s">
        <v>8465</v>
      </c>
      <c r="E4262" s="10" t="s">
        <v>1534</v>
      </c>
      <c r="F4262" s="10" t="s">
        <v>1245</v>
      </c>
      <c r="G4262" s="11" t="s">
        <v>304</v>
      </c>
      <c r="H4262" s="2" t="s">
        <v>171</v>
      </c>
      <c r="L4262" s="18">
        <v>1</v>
      </c>
      <c r="N4262" s="13">
        <v>41829</v>
      </c>
      <c r="O4262" s="29">
        <v>3.74</v>
      </c>
      <c r="P4262" s="18" t="s">
        <v>1107</v>
      </c>
      <c r="Q4262" s="18">
        <v>1</v>
      </c>
      <c r="R4262" s="13">
        <v>41852</v>
      </c>
      <c r="S4262" s="21">
        <v>15.45</v>
      </c>
      <c r="T4262" s="22">
        <v>0.9</v>
      </c>
      <c r="U4262" s="22">
        <v>0.78</v>
      </c>
      <c r="V4262" s="22">
        <f>4.18/5</f>
        <v>0.83599999999999997</v>
      </c>
      <c r="W4262" s="14" t="s">
        <v>7777</v>
      </c>
      <c r="AB4262" s="18">
        <f t="shared" si="132"/>
        <v>2012</v>
      </c>
      <c r="AC4262" s="22">
        <f t="shared" si="133"/>
        <v>0.83866666666666667</v>
      </c>
    </row>
    <row r="4263" spans="1:29">
      <c r="A4263" s="8" t="s">
        <v>2808</v>
      </c>
      <c r="B4263" s="17" t="s">
        <v>7781</v>
      </c>
      <c r="C4263" s="13">
        <v>40977</v>
      </c>
      <c r="D4263" s="13" t="s">
        <v>8465</v>
      </c>
      <c r="E4263" s="10" t="s">
        <v>2821</v>
      </c>
      <c r="F4263" s="10" t="s">
        <v>2821</v>
      </c>
      <c r="H4263" s="2" t="s">
        <v>2820</v>
      </c>
      <c r="L4263" s="18">
        <v>0</v>
      </c>
      <c r="Q4263" s="18">
        <v>1</v>
      </c>
      <c r="T4263" s="22">
        <v>0.7</v>
      </c>
      <c r="V4263" s="22">
        <f>2.56/5</f>
        <v>0.51200000000000001</v>
      </c>
      <c r="AB4263" s="18">
        <f t="shared" si="132"/>
        <v>2012</v>
      </c>
      <c r="AC4263" s="22">
        <f t="shared" si="133"/>
        <v>0.60599999999999998</v>
      </c>
    </row>
    <row r="4264" spans="1:29">
      <c r="A4264" s="8" t="s">
        <v>7296</v>
      </c>
      <c r="B4264" s="17" t="s">
        <v>7783</v>
      </c>
      <c r="C4264" s="13">
        <v>40975</v>
      </c>
      <c r="D4264" s="13" t="s">
        <v>8465</v>
      </c>
      <c r="E4264" s="10" t="s">
        <v>7279</v>
      </c>
      <c r="F4264" s="10" t="s">
        <v>7279</v>
      </c>
      <c r="H4264" s="2" t="s">
        <v>1334</v>
      </c>
      <c r="L4264" s="18">
        <v>1</v>
      </c>
      <c r="N4264" s="13">
        <v>41538</v>
      </c>
      <c r="O4264" s="29">
        <v>0.99</v>
      </c>
      <c r="P4264" s="18" t="s">
        <v>1107</v>
      </c>
      <c r="Q4264" s="18">
        <v>1</v>
      </c>
      <c r="R4264" s="13">
        <v>41550</v>
      </c>
      <c r="T4264" s="22">
        <v>0.8</v>
      </c>
      <c r="U4264" s="22">
        <v>0.93</v>
      </c>
      <c r="V4264" s="22">
        <f>4.33/5</f>
        <v>0.86599999999999999</v>
      </c>
      <c r="AB4264" s="18">
        <f t="shared" si="132"/>
        <v>2012</v>
      </c>
      <c r="AC4264" s="22">
        <f t="shared" si="133"/>
        <v>0.8653333333333334</v>
      </c>
    </row>
    <row r="4265" spans="1:29">
      <c r="A4265" s="8" t="s">
        <v>5970</v>
      </c>
      <c r="B4265" s="17" t="s">
        <v>7765</v>
      </c>
      <c r="C4265" s="13">
        <v>40974</v>
      </c>
      <c r="D4265" s="13" t="s">
        <v>8465</v>
      </c>
      <c r="E4265" s="10" t="s">
        <v>231</v>
      </c>
      <c r="F4265" s="10" t="s">
        <v>1161</v>
      </c>
      <c r="G4265" s="11" t="s">
        <v>1162</v>
      </c>
      <c r="H4265" s="2" t="s">
        <v>171</v>
      </c>
      <c r="L4265" s="18">
        <v>0</v>
      </c>
      <c r="Q4265" s="18">
        <v>1</v>
      </c>
      <c r="R4265" s="13">
        <v>41282</v>
      </c>
      <c r="T4265" s="22">
        <v>0.9</v>
      </c>
      <c r="U4265" s="22">
        <v>0.92</v>
      </c>
      <c r="V4265" s="22">
        <f>4.15/5</f>
        <v>0.83000000000000007</v>
      </c>
      <c r="AB4265" s="18">
        <f t="shared" si="132"/>
        <v>2012</v>
      </c>
      <c r="AC4265" s="22">
        <f t="shared" si="133"/>
        <v>0.88333333333333341</v>
      </c>
    </row>
    <row r="4266" spans="1:29">
      <c r="A4266" s="8" t="s">
        <v>7315</v>
      </c>
      <c r="B4266" s="17" t="s">
        <v>7783</v>
      </c>
      <c r="C4266" s="13">
        <v>40974</v>
      </c>
      <c r="D4266" s="13" t="s">
        <v>8465</v>
      </c>
      <c r="E4266" s="10" t="s">
        <v>231</v>
      </c>
      <c r="F4266" s="10" t="s">
        <v>7281</v>
      </c>
      <c r="G4266" s="11" t="s">
        <v>1162</v>
      </c>
      <c r="H4266" s="2" t="s">
        <v>1168</v>
      </c>
      <c r="L4266" s="18">
        <v>1</v>
      </c>
      <c r="N4266" s="13">
        <v>41211</v>
      </c>
      <c r="O4266" s="29">
        <v>0.99</v>
      </c>
      <c r="P4266" s="18" t="s">
        <v>1107</v>
      </c>
      <c r="Q4266" s="18">
        <v>1</v>
      </c>
      <c r="T4266" s="22">
        <v>0.7</v>
      </c>
      <c r="U4266" s="22">
        <v>0.69</v>
      </c>
      <c r="V4266" s="22">
        <f>3.09/5</f>
        <v>0.61799999999999999</v>
      </c>
      <c r="AB4266" s="18">
        <f t="shared" si="132"/>
        <v>2012</v>
      </c>
      <c r="AC4266" s="22">
        <f t="shared" si="133"/>
        <v>0.66933333333333334</v>
      </c>
    </row>
    <row r="4267" spans="1:29">
      <c r="A4267" s="8" t="s">
        <v>3231</v>
      </c>
      <c r="B4267" s="17" t="s">
        <v>7800</v>
      </c>
      <c r="C4267" s="13">
        <v>40967</v>
      </c>
      <c r="D4267" s="13" t="s">
        <v>8465</v>
      </c>
      <c r="E4267" s="10" t="s">
        <v>3232</v>
      </c>
      <c r="F4267" s="10" t="s">
        <v>3232</v>
      </c>
      <c r="H4267" s="2" t="s">
        <v>1220</v>
      </c>
      <c r="L4267" s="18">
        <v>1</v>
      </c>
      <c r="N4267" s="13">
        <v>41078</v>
      </c>
      <c r="P4267" s="18" t="s">
        <v>1107</v>
      </c>
      <c r="Q4267" s="18">
        <v>1</v>
      </c>
      <c r="R4267" s="13">
        <v>41497</v>
      </c>
      <c r="S4267" s="21">
        <v>2.5</v>
      </c>
      <c r="T4267" s="22">
        <v>0.7</v>
      </c>
      <c r="V4267" s="22">
        <f>3.71/5</f>
        <v>0.74199999999999999</v>
      </c>
      <c r="W4267" s="14" t="s">
        <v>7777</v>
      </c>
      <c r="AB4267" s="18">
        <f t="shared" si="132"/>
        <v>2012</v>
      </c>
      <c r="AC4267" s="22">
        <f t="shared" si="133"/>
        <v>0.72099999999999997</v>
      </c>
    </row>
    <row r="4268" spans="1:29">
      <c r="A4268" s="8" t="s">
        <v>5669</v>
      </c>
      <c r="B4268" s="17" t="s">
        <v>7800</v>
      </c>
      <c r="C4268" s="13">
        <v>40966</v>
      </c>
      <c r="D4268" s="13" t="s">
        <v>8465</v>
      </c>
      <c r="E4268" s="10" t="s">
        <v>5703</v>
      </c>
      <c r="F4268" s="10" t="s">
        <v>5703</v>
      </c>
      <c r="H4268" s="2" t="s">
        <v>1061</v>
      </c>
      <c r="L4268" s="18">
        <v>0</v>
      </c>
      <c r="Q4268" s="18">
        <v>1</v>
      </c>
      <c r="R4268" s="13">
        <v>41498</v>
      </c>
      <c r="T4268" s="22">
        <v>0.7</v>
      </c>
      <c r="V4268" s="22">
        <f>4.13/5</f>
        <v>0.82599999999999996</v>
      </c>
      <c r="W4268" s="14" t="s">
        <v>5674</v>
      </c>
      <c r="AB4268" s="18">
        <f t="shared" si="132"/>
        <v>2012</v>
      </c>
      <c r="AC4268" s="22">
        <f t="shared" si="133"/>
        <v>0.7629999999999999</v>
      </c>
    </row>
    <row r="4269" spans="1:29">
      <c r="A4269" s="8" t="s">
        <v>5524</v>
      </c>
      <c r="B4269" s="17" t="s">
        <v>7783</v>
      </c>
      <c r="C4269" s="13">
        <v>40963</v>
      </c>
      <c r="D4269" s="13" t="s">
        <v>8465</v>
      </c>
      <c r="E4269" s="10" t="s">
        <v>5093</v>
      </c>
      <c r="F4269" s="10" t="s">
        <v>5093</v>
      </c>
      <c r="H4269" s="2" t="s">
        <v>151</v>
      </c>
      <c r="L4269" s="18">
        <v>1</v>
      </c>
      <c r="N4269" s="13">
        <v>41128</v>
      </c>
      <c r="O4269" s="29">
        <v>1.99</v>
      </c>
      <c r="P4269" s="18" t="s">
        <v>1107</v>
      </c>
      <c r="Q4269" s="18">
        <v>1</v>
      </c>
      <c r="T4269" s="22">
        <v>0.8</v>
      </c>
      <c r="U4269" s="22">
        <v>0.83</v>
      </c>
      <c r="V4269" s="22">
        <f>2.95/5</f>
        <v>0.59000000000000008</v>
      </c>
      <c r="AB4269" s="18">
        <f t="shared" si="132"/>
        <v>2012</v>
      </c>
      <c r="AC4269" s="22">
        <f t="shared" si="133"/>
        <v>0.73999999999999988</v>
      </c>
    </row>
    <row r="4270" spans="1:29">
      <c r="A4270" s="8" t="s">
        <v>6556</v>
      </c>
      <c r="B4270" s="17" t="s">
        <v>7800</v>
      </c>
      <c r="C4270" s="13">
        <v>40960</v>
      </c>
      <c r="D4270" s="13" t="s">
        <v>8465</v>
      </c>
      <c r="E4270" s="10" t="s">
        <v>231</v>
      </c>
      <c r="F4270" s="10" t="s">
        <v>3381</v>
      </c>
      <c r="G4270" s="11" t="s">
        <v>6556</v>
      </c>
      <c r="H4270" s="2" t="s">
        <v>1050</v>
      </c>
      <c r="L4270" s="18">
        <v>1</v>
      </c>
      <c r="N4270" s="13">
        <v>41644</v>
      </c>
      <c r="O4270" s="29">
        <v>3.99</v>
      </c>
      <c r="P4270" s="18" t="s">
        <v>1107</v>
      </c>
      <c r="Q4270" s="18">
        <v>1</v>
      </c>
      <c r="R4270" s="13">
        <v>41979</v>
      </c>
      <c r="S4270" s="21">
        <v>6</v>
      </c>
      <c r="T4270" s="22">
        <v>0.8</v>
      </c>
      <c r="U4270" s="22">
        <v>0.68</v>
      </c>
      <c r="V4270" s="22">
        <f>3.22/5</f>
        <v>0.64400000000000002</v>
      </c>
      <c r="W4270" s="14" t="s">
        <v>7796</v>
      </c>
      <c r="AB4270" s="18">
        <f t="shared" si="132"/>
        <v>2012</v>
      </c>
      <c r="AC4270" s="22">
        <f t="shared" si="133"/>
        <v>0.70800000000000007</v>
      </c>
    </row>
    <row r="4271" spans="1:29">
      <c r="A4271" s="8" t="s">
        <v>3604</v>
      </c>
      <c r="B4271" s="17" t="s">
        <v>7800</v>
      </c>
      <c r="C4271" s="13">
        <v>40953</v>
      </c>
      <c r="D4271" s="13" t="s">
        <v>8465</v>
      </c>
      <c r="E4271" s="10" t="s">
        <v>3172</v>
      </c>
      <c r="F4271" s="10" t="s">
        <v>3172</v>
      </c>
      <c r="H4271" s="2" t="s">
        <v>67</v>
      </c>
      <c r="L4271" s="18">
        <v>1</v>
      </c>
      <c r="N4271" s="13">
        <v>41106</v>
      </c>
      <c r="O4271" s="29">
        <v>2.4900000000000002</v>
      </c>
      <c r="P4271" s="18" t="s">
        <v>1107</v>
      </c>
      <c r="Q4271" s="18">
        <v>1</v>
      </c>
      <c r="S4271" s="21">
        <v>1.3</v>
      </c>
      <c r="T4271" s="22">
        <v>0.4</v>
      </c>
      <c r="U4271" s="22">
        <v>0.72</v>
      </c>
      <c r="V4271" s="22">
        <f>3.12/5</f>
        <v>0.624</v>
      </c>
      <c r="W4271" s="14" t="s">
        <v>7777</v>
      </c>
      <c r="AB4271" s="18">
        <f t="shared" si="132"/>
        <v>2012</v>
      </c>
      <c r="AC4271" s="22">
        <f t="shared" si="133"/>
        <v>0.58133333333333337</v>
      </c>
    </row>
    <row r="4272" spans="1:29" ht="25.5">
      <c r="A4272" s="8" t="s">
        <v>2402</v>
      </c>
      <c r="B4272" s="17" t="s">
        <v>7749</v>
      </c>
      <c r="C4272" s="13">
        <v>40946</v>
      </c>
      <c r="D4272" s="13" t="s">
        <v>8465</v>
      </c>
      <c r="E4272" s="10" t="s">
        <v>73</v>
      </c>
      <c r="F4272" s="10" t="s">
        <v>73</v>
      </c>
      <c r="G4272" s="11" t="s">
        <v>943</v>
      </c>
      <c r="H4272" s="2" t="s">
        <v>1061</v>
      </c>
      <c r="L4272" s="18">
        <v>1</v>
      </c>
      <c r="M4272" s="14" t="s">
        <v>8462</v>
      </c>
      <c r="P4272" s="18" t="s">
        <v>14</v>
      </c>
      <c r="Q4272" s="18">
        <v>1</v>
      </c>
      <c r="S4272" s="21">
        <v>9.18</v>
      </c>
      <c r="T4272" s="22">
        <v>0.8</v>
      </c>
      <c r="U4272" s="22">
        <v>0.84</v>
      </c>
      <c r="V4272" s="22">
        <f>4.16/5</f>
        <v>0.83200000000000007</v>
      </c>
      <c r="AB4272" s="18">
        <f t="shared" si="132"/>
        <v>2012</v>
      </c>
      <c r="AC4272" s="22">
        <f t="shared" si="133"/>
        <v>0.82400000000000018</v>
      </c>
    </row>
    <row r="4273" spans="1:29">
      <c r="A4273" s="8" t="s">
        <v>4975</v>
      </c>
      <c r="B4273" s="17" t="s">
        <v>7800</v>
      </c>
      <c r="C4273" s="13">
        <v>40946</v>
      </c>
      <c r="D4273" s="13" t="s">
        <v>8465</v>
      </c>
      <c r="E4273" s="10" t="s">
        <v>3521</v>
      </c>
      <c r="F4273" s="10" t="s">
        <v>3521</v>
      </c>
      <c r="G4273" s="11" t="s">
        <v>4974</v>
      </c>
      <c r="H4273" s="2" t="s">
        <v>153</v>
      </c>
      <c r="L4273" s="18">
        <v>1</v>
      </c>
      <c r="N4273" s="13">
        <v>41262</v>
      </c>
      <c r="P4273" s="18" t="s">
        <v>1107</v>
      </c>
      <c r="Q4273" s="18">
        <v>1</v>
      </c>
      <c r="R4273" s="13">
        <v>41510</v>
      </c>
      <c r="S4273" s="21">
        <v>3.27</v>
      </c>
      <c r="T4273" s="22">
        <v>0.7</v>
      </c>
      <c r="U4273" s="22">
        <v>0.72</v>
      </c>
      <c r="V4273" s="22">
        <f>3.25/5</f>
        <v>0.65</v>
      </c>
      <c r="W4273" s="14" t="s">
        <v>7777</v>
      </c>
      <c r="AB4273" s="18">
        <f t="shared" si="132"/>
        <v>2012</v>
      </c>
      <c r="AC4273" s="22">
        <f t="shared" si="133"/>
        <v>0.69</v>
      </c>
    </row>
    <row r="4274" spans="1:29" ht="25.5">
      <c r="A4274" s="8" t="s">
        <v>2245</v>
      </c>
      <c r="B4274" s="17" t="s">
        <v>7783</v>
      </c>
      <c r="C4274" s="13">
        <v>40941</v>
      </c>
      <c r="D4274" s="13" t="s">
        <v>8465</v>
      </c>
      <c r="E4274" s="10" t="s">
        <v>73</v>
      </c>
      <c r="F4274" s="10" t="s">
        <v>73</v>
      </c>
      <c r="G4274" s="11" t="s">
        <v>2354</v>
      </c>
      <c r="H4274" s="2" t="s">
        <v>67</v>
      </c>
      <c r="L4274" s="18">
        <v>1</v>
      </c>
      <c r="N4274" s="13">
        <v>41624</v>
      </c>
      <c r="O4274" s="29">
        <v>0.99</v>
      </c>
      <c r="P4274" s="18" t="s">
        <v>1107</v>
      </c>
      <c r="Q4274" s="18">
        <v>1</v>
      </c>
      <c r="R4274" s="13">
        <v>41675</v>
      </c>
      <c r="T4274" s="22">
        <v>0.9</v>
      </c>
      <c r="U4274" s="22">
        <v>0.9</v>
      </c>
      <c r="V4274" s="22">
        <f>3.44/5</f>
        <v>0.68799999999999994</v>
      </c>
      <c r="AB4274" s="18">
        <f t="shared" si="132"/>
        <v>2012</v>
      </c>
      <c r="AC4274" s="22">
        <f t="shared" si="133"/>
        <v>0.82933333333333337</v>
      </c>
    </row>
    <row r="4275" spans="1:29" ht="25.5">
      <c r="A4275" s="8" t="s">
        <v>2442</v>
      </c>
      <c r="B4275" s="17" t="s">
        <v>7749</v>
      </c>
      <c r="C4275" s="13">
        <v>40941</v>
      </c>
      <c r="D4275" s="13" t="s">
        <v>8465</v>
      </c>
      <c r="E4275" s="10" t="s">
        <v>86</v>
      </c>
      <c r="F4275" s="10" t="s">
        <v>2479</v>
      </c>
      <c r="H4275" s="2" t="s">
        <v>80</v>
      </c>
      <c r="L4275" s="18">
        <v>1</v>
      </c>
      <c r="N4275" s="13">
        <v>41476</v>
      </c>
      <c r="P4275" s="18" t="s">
        <v>1107</v>
      </c>
      <c r="Q4275" s="18">
        <v>1</v>
      </c>
      <c r="R4275" s="13">
        <v>41503</v>
      </c>
      <c r="S4275" s="21">
        <v>3.38</v>
      </c>
      <c r="T4275" s="22">
        <v>0.7</v>
      </c>
      <c r="U4275" s="22">
        <v>0.71</v>
      </c>
      <c r="V4275" s="22">
        <f>3.7/5</f>
        <v>0.74</v>
      </c>
      <c r="AB4275" s="18">
        <f t="shared" si="132"/>
        <v>2012</v>
      </c>
      <c r="AC4275" s="22">
        <f t="shared" si="133"/>
        <v>0.71666666666666667</v>
      </c>
    </row>
    <row r="4276" spans="1:29">
      <c r="A4276" s="8" t="s">
        <v>5150</v>
      </c>
      <c r="B4276" s="17" t="s">
        <v>7800</v>
      </c>
      <c r="C4276" s="13">
        <v>40927</v>
      </c>
      <c r="D4276" s="13" t="s">
        <v>8465</v>
      </c>
      <c r="E4276" s="10" t="s">
        <v>5151</v>
      </c>
      <c r="F4276" s="10" t="s">
        <v>5151</v>
      </c>
      <c r="H4276" s="2" t="s">
        <v>64</v>
      </c>
      <c r="L4276" s="18">
        <v>1</v>
      </c>
      <c r="N4276" s="13">
        <v>41354</v>
      </c>
      <c r="P4276" s="18" t="s">
        <v>1107</v>
      </c>
      <c r="Q4276" s="18">
        <v>1</v>
      </c>
      <c r="S4276" s="21">
        <v>1.2</v>
      </c>
      <c r="T4276" s="22">
        <v>0.6</v>
      </c>
      <c r="U4276" s="22">
        <v>0.82</v>
      </c>
      <c r="V4276" s="22">
        <f>2.08/5</f>
        <v>0.41600000000000004</v>
      </c>
      <c r="W4276" s="14" t="s">
        <v>7777</v>
      </c>
      <c r="AB4276" s="18">
        <f t="shared" si="132"/>
        <v>2012</v>
      </c>
      <c r="AC4276" s="22">
        <f t="shared" si="133"/>
        <v>0.61199999999999999</v>
      </c>
    </row>
    <row r="4277" spans="1:29">
      <c r="A4277" s="8" t="s">
        <v>7328</v>
      </c>
      <c r="B4277" s="17" t="s">
        <v>7783</v>
      </c>
      <c r="C4277" s="13">
        <v>40912</v>
      </c>
      <c r="D4277" s="13" t="s">
        <v>8465</v>
      </c>
      <c r="E4277" s="10" t="s">
        <v>7279</v>
      </c>
      <c r="F4277" s="10" t="s">
        <v>7279</v>
      </c>
      <c r="H4277" s="2" t="s">
        <v>1334</v>
      </c>
      <c r="L4277" s="18">
        <v>1</v>
      </c>
      <c r="N4277" s="13">
        <v>41381</v>
      </c>
      <c r="O4277" s="29">
        <v>0.99</v>
      </c>
      <c r="P4277" s="18" t="s">
        <v>1107</v>
      </c>
      <c r="Q4277" s="18">
        <v>1</v>
      </c>
      <c r="R4277" s="13">
        <v>41485</v>
      </c>
      <c r="T4277" s="22">
        <v>0.8</v>
      </c>
      <c r="U4277" s="22">
        <v>0.75</v>
      </c>
      <c r="V4277" s="22">
        <f>4.18/5</f>
        <v>0.83599999999999997</v>
      </c>
      <c r="AB4277" s="18">
        <f t="shared" si="132"/>
        <v>2012</v>
      </c>
      <c r="AC4277" s="22">
        <f t="shared" si="133"/>
        <v>0.79533333333333334</v>
      </c>
    </row>
    <row r="4278" spans="1:29" ht="30">
      <c r="A4278" s="8" t="s">
        <v>4581</v>
      </c>
      <c r="B4278" s="17" t="s">
        <v>7759</v>
      </c>
      <c r="C4278" s="13">
        <v>40904</v>
      </c>
      <c r="D4278" s="13" t="s">
        <v>8465</v>
      </c>
      <c r="E4278" s="10" t="s">
        <v>4577</v>
      </c>
      <c r="F4278" s="10" t="s">
        <v>5986</v>
      </c>
      <c r="G4278" s="11" t="s">
        <v>4578</v>
      </c>
      <c r="H4278" s="2" t="s">
        <v>1050</v>
      </c>
      <c r="L4278" s="18">
        <v>1</v>
      </c>
      <c r="M4278" s="14" t="s">
        <v>8462</v>
      </c>
      <c r="N4278" s="13">
        <v>43635</v>
      </c>
      <c r="O4278" s="29">
        <v>35.36</v>
      </c>
      <c r="P4278" s="18" t="s">
        <v>14</v>
      </c>
      <c r="Q4278" s="18">
        <v>0</v>
      </c>
      <c r="U4278" s="22">
        <v>0.83</v>
      </c>
      <c r="V4278" s="22">
        <f>3.7/5</f>
        <v>0.74</v>
      </c>
      <c r="W4278" s="14" t="s">
        <v>1134</v>
      </c>
      <c r="X4278" s="3">
        <v>3</v>
      </c>
      <c r="Z4278" s="23">
        <v>11</v>
      </c>
      <c r="AB4278" s="18">
        <f t="shared" si="132"/>
        <v>2011</v>
      </c>
      <c r="AC4278" s="22">
        <f t="shared" si="133"/>
        <v>0.72333333333333327</v>
      </c>
    </row>
    <row r="4279" spans="1:29" ht="45">
      <c r="A4279" s="8" t="s">
        <v>1909</v>
      </c>
      <c r="B4279" s="17" t="s">
        <v>7749</v>
      </c>
      <c r="C4279" s="13">
        <v>40893</v>
      </c>
      <c r="D4279" s="13" t="s">
        <v>8465</v>
      </c>
      <c r="E4279" s="10" t="s">
        <v>86</v>
      </c>
      <c r="F4279" s="10" t="s">
        <v>73</v>
      </c>
      <c r="G4279" s="11" t="s">
        <v>85</v>
      </c>
      <c r="H4279" s="2" t="s">
        <v>80</v>
      </c>
      <c r="L4279" s="18">
        <v>0</v>
      </c>
      <c r="Q4279" s="18">
        <v>0</v>
      </c>
      <c r="V4279" s="22">
        <f>4.19/5</f>
        <v>0.83800000000000008</v>
      </c>
      <c r="W4279" s="14" t="s">
        <v>12379</v>
      </c>
      <c r="X4279" s="3">
        <v>3</v>
      </c>
      <c r="Z4279" s="23">
        <v>15.5</v>
      </c>
      <c r="AB4279" s="18">
        <f t="shared" si="132"/>
        <v>2011</v>
      </c>
      <c r="AC4279" s="22">
        <f t="shared" si="133"/>
        <v>0.71900000000000008</v>
      </c>
    </row>
    <row r="4280" spans="1:29">
      <c r="A4280" s="8" t="s">
        <v>4917</v>
      </c>
      <c r="B4280" s="17" t="s">
        <v>7800</v>
      </c>
      <c r="C4280" s="13">
        <v>40893</v>
      </c>
      <c r="D4280" s="13" t="s">
        <v>8465</v>
      </c>
      <c r="E4280" s="10" t="s">
        <v>3159</v>
      </c>
      <c r="F4280" s="10" t="s">
        <v>3210</v>
      </c>
      <c r="H4280" s="2" t="s">
        <v>21</v>
      </c>
      <c r="L4280" s="18">
        <v>1</v>
      </c>
      <c r="N4280" s="13">
        <v>41375</v>
      </c>
      <c r="P4280" s="18" t="s">
        <v>1107</v>
      </c>
      <c r="Q4280" s="18">
        <v>0</v>
      </c>
      <c r="U4280" s="22">
        <v>0.65</v>
      </c>
      <c r="V4280" s="22">
        <f>3.67/5</f>
        <v>0.73399999999999999</v>
      </c>
      <c r="W4280" s="14" t="s">
        <v>7777</v>
      </c>
      <c r="X4280" s="3">
        <v>3</v>
      </c>
      <c r="Z4280" s="23">
        <v>1.5</v>
      </c>
      <c r="AB4280" s="18">
        <f t="shared" si="132"/>
        <v>2011</v>
      </c>
      <c r="AC4280" s="22">
        <f t="shared" si="133"/>
        <v>0.66133333333333333</v>
      </c>
    </row>
    <row r="4281" spans="1:29" ht="25.5">
      <c r="A4281" s="8" t="s">
        <v>3774</v>
      </c>
      <c r="B4281" s="17" t="s">
        <v>7800</v>
      </c>
      <c r="C4281" s="13">
        <v>40891</v>
      </c>
      <c r="D4281" s="13" t="s">
        <v>8465</v>
      </c>
      <c r="E4281" s="10" t="s">
        <v>2298</v>
      </c>
      <c r="F4281" s="10" t="s">
        <v>3775</v>
      </c>
      <c r="G4281" s="11" t="s">
        <v>665</v>
      </c>
      <c r="H4281" s="2" t="s">
        <v>1168</v>
      </c>
      <c r="L4281" s="18">
        <v>1</v>
      </c>
      <c r="N4281" s="13">
        <v>41344</v>
      </c>
      <c r="P4281" s="18" t="s">
        <v>1107</v>
      </c>
      <c r="Q4281" s="18">
        <v>0</v>
      </c>
      <c r="U4281" s="22">
        <v>0.72</v>
      </c>
      <c r="V4281" s="22">
        <f>3.35/5</f>
        <v>0.67</v>
      </c>
      <c r="W4281" s="14" t="s">
        <v>7777</v>
      </c>
      <c r="X4281" s="3">
        <v>3</v>
      </c>
      <c r="Z4281" s="23">
        <v>5</v>
      </c>
      <c r="AB4281" s="18">
        <f t="shared" si="132"/>
        <v>2011</v>
      </c>
      <c r="AC4281" s="22">
        <f t="shared" si="133"/>
        <v>0.66333333333333344</v>
      </c>
    </row>
    <row r="4282" spans="1:29" ht="25.5">
      <c r="A4282" s="8" t="s">
        <v>3241</v>
      </c>
      <c r="B4282" s="17" t="s">
        <v>7800</v>
      </c>
      <c r="C4282" s="13">
        <v>40891</v>
      </c>
      <c r="D4282" s="13" t="s">
        <v>8465</v>
      </c>
      <c r="E4282" s="10" t="s">
        <v>3234</v>
      </c>
      <c r="F4282" s="10" t="s">
        <v>3234</v>
      </c>
      <c r="G4282" s="11" t="s">
        <v>3238</v>
      </c>
      <c r="H4282" s="2" t="s">
        <v>1720</v>
      </c>
      <c r="L4282" s="18">
        <v>1</v>
      </c>
      <c r="N4282" s="13">
        <v>41627</v>
      </c>
      <c r="P4282" s="18" t="s">
        <v>1107</v>
      </c>
      <c r="Q4282" s="18">
        <v>0</v>
      </c>
      <c r="U4282" s="22">
        <v>0.81</v>
      </c>
      <c r="V4282" s="22">
        <f>3.75/5</f>
        <v>0.75</v>
      </c>
      <c r="W4282" s="14" t="s">
        <v>7777</v>
      </c>
      <c r="X4282" s="3">
        <v>2</v>
      </c>
      <c r="Z4282" s="23">
        <v>41</v>
      </c>
      <c r="AB4282" s="18">
        <f t="shared" si="132"/>
        <v>2011</v>
      </c>
      <c r="AC4282" s="22">
        <f t="shared" si="133"/>
        <v>0.65333333333333332</v>
      </c>
    </row>
    <row r="4283" spans="1:29" ht="25.5">
      <c r="A4283" s="8" t="s">
        <v>7120</v>
      </c>
      <c r="B4283" s="17" t="s">
        <v>7800</v>
      </c>
      <c r="C4283" s="13">
        <v>40888</v>
      </c>
      <c r="D4283" s="13" t="s">
        <v>8465</v>
      </c>
      <c r="E4283" s="10" t="s">
        <v>7208</v>
      </c>
      <c r="F4283" s="10" t="s">
        <v>7208</v>
      </c>
      <c r="H4283" s="2" t="s">
        <v>64</v>
      </c>
      <c r="L4283" s="18">
        <v>0</v>
      </c>
      <c r="Q4283" s="18">
        <v>0</v>
      </c>
      <c r="W4283" s="14" t="s">
        <v>5674</v>
      </c>
      <c r="X4283" s="3">
        <v>3</v>
      </c>
      <c r="AB4283" s="18">
        <f t="shared" si="132"/>
        <v>2011</v>
      </c>
      <c r="AC4283" s="22">
        <f t="shared" si="133"/>
        <v>0.6</v>
      </c>
    </row>
    <row r="4284" spans="1:29">
      <c r="A4284" s="8" t="s">
        <v>12361</v>
      </c>
      <c r="B4284" s="17" t="s">
        <v>12362</v>
      </c>
      <c r="C4284" s="13">
        <v>40887</v>
      </c>
      <c r="D4284" s="13" t="s">
        <v>8465</v>
      </c>
      <c r="E4284" s="10" t="s">
        <v>12363</v>
      </c>
      <c r="F4284" s="10" t="s">
        <v>12363</v>
      </c>
      <c r="G4284" s="11" t="s">
        <v>12361</v>
      </c>
      <c r="H4284" s="2" t="s">
        <v>64</v>
      </c>
      <c r="L4284" s="18">
        <v>0</v>
      </c>
      <c r="Q4284" s="18">
        <v>0</v>
      </c>
      <c r="V4284" s="22">
        <f>3.5/5</f>
        <v>0.7</v>
      </c>
      <c r="X4284" s="3">
        <v>2</v>
      </c>
      <c r="AB4284" s="18">
        <f t="shared" si="132"/>
        <v>2011</v>
      </c>
      <c r="AC4284" s="22">
        <f t="shared" si="133"/>
        <v>0.55000000000000004</v>
      </c>
    </row>
    <row r="4285" spans="1:29">
      <c r="A4285" s="8" t="s">
        <v>10781</v>
      </c>
      <c r="B4285" s="17" t="s">
        <v>7748</v>
      </c>
      <c r="C4285" s="13">
        <v>40885</v>
      </c>
      <c r="D4285" s="13" t="s">
        <v>8463</v>
      </c>
      <c r="E4285" s="10" t="s">
        <v>1167</v>
      </c>
      <c r="F4285" s="10" t="s">
        <v>1087</v>
      </c>
      <c r="G4285" s="11" t="s">
        <v>1392</v>
      </c>
      <c r="H4285" s="2" t="s">
        <v>75</v>
      </c>
      <c r="K4285" s="18">
        <v>2</v>
      </c>
      <c r="L4285" s="18">
        <v>0</v>
      </c>
      <c r="Q4285" s="18">
        <v>0</v>
      </c>
      <c r="V4285" s="22">
        <f>4.15/5</f>
        <v>0.83000000000000007</v>
      </c>
      <c r="X4285" s="3">
        <v>3</v>
      </c>
      <c r="AB4285" s="18">
        <f t="shared" si="132"/>
        <v>2011</v>
      </c>
      <c r="AC4285" s="22">
        <f t="shared" si="133"/>
        <v>0.71500000000000008</v>
      </c>
    </row>
    <row r="4286" spans="1:29" ht="25.5">
      <c r="A4286" s="8" t="s">
        <v>2367</v>
      </c>
      <c r="B4286" s="17" t="s">
        <v>7749</v>
      </c>
      <c r="C4286" s="13">
        <v>40883</v>
      </c>
      <c r="D4286" s="13" t="s">
        <v>8465</v>
      </c>
      <c r="E4286" s="10" t="s">
        <v>72</v>
      </c>
      <c r="F4286" s="10" t="s">
        <v>72</v>
      </c>
      <c r="H4286" s="2" t="s">
        <v>67</v>
      </c>
      <c r="L4286" s="18">
        <v>1</v>
      </c>
      <c r="M4286" s="14" t="s">
        <v>8462</v>
      </c>
      <c r="N4286" s="13">
        <v>43525</v>
      </c>
      <c r="O4286" s="29">
        <v>8.99</v>
      </c>
      <c r="P4286" s="18" t="s">
        <v>14</v>
      </c>
      <c r="Q4286" s="18">
        <v>0</v>
      </c>
      <c r="U4286" s="22">
        <v>0.56000000000000005</v>
      </c>
      <c r="V4286" s="22">
        <f>3.24/5</f>
        <v>0.64800000000000002</v>
      </c>
      <c r="X4286" s="3">
        <v>2</v>
      </c>
      <c r="Z4286" s="23">
        <v>27.5</v>
      </c>
      <c r="AB4286" s="18">
        <f t="shared" si="132"/>
        <v>2011</v>
      </c>
      <c r="AC4286" s="22">
        <f t="shared" si="133"/>
        <v>0.53600000000000003</v>
      </c>
    </row>
    <row r="4287" spans="1:29">
      <c r="A4287" s="8" t="s">
        <v>7379</v>
      </c>
      <c r="B4287" s="17" t="s">
        <v>7741</v>
      </c>
      <c r="C4287" s="13">
        <v>40882</v>
      </c>
      <c r="D4287" s="13" t="s">
        <v>8465</v>
      </c>
      <c r="E4287" s="10" t="s">
        <v>86</v>
      </c>
      <c r="F4287" s="10" t="s">
        <v>1082</v>
      </c>
      <c r="G4287" s="11" t="s">
        <v>7407</v>
      </c>
      <c r="H4287" s="2" t="s">
        <v>1142</v>
      </c>
      <c r="L4287" s="18">
        <v>0</v>
      </c>
      <c r="Q4287" s="18">
        <v>0</v>
      </c>
      <c r="U4287" s="22">
        <v>0.7</v>
      </c>
      <c r="V4287" s="22">
        <f>3.85/5</f>
        <v>0.77</v>
      </c>
      <c r="X4287" s="3">
        <v>2</v>
      </c>
      <c r="Z4287" s="23">
        <v>10.5</v>
      </c>
      <c r="AB4287" s="18">
        <f t="shared" si="132"/>
        <v>2011</v>
      </c>
      <c r="AC4287" s="22">
        <f t="shared" si="133"/>
        <v>0.62333333333333341</v>
      </c>
    </row>
    <row r="4288" spans="1:29">
      <c r="A4288" s="8" t="s">
        <v>2384</v>
      </c>
      <c r="B4288" s="17" t="s">
        <v>7749</v>
      </c>
      <c r="C4288" s="13">
        <v>40881</v>
      </c>
      <c r="D4288" s="13" t="s">
        <v>8465</v>
      </c>
      <c r="E4288" s="10" t="s">
        <v>86</v>
      </c>
      <c r="F4288" s="10" t="s">
        <v>87</v>
      </c>
      <c r="G4288" s="11" t="s">
        <v>1135</v>
      </c>
      <c r="H4288" s="2" t="s">
        <v>150</v>
      </c>
      <c r="L4288" s="18">
        <v>1</v>
      </c>
      <c r="M4288" s="14" t="s">
        <v>8462</v>
      </c>
      <c r="N4288" s="13">
        <v>42061</v>
      </c>
      <c r="O4288" s="29">
        <v>22.28</v>
      </c>
      <c r="P4288" s="18" t="s">
        <v>14</v>
      </c>
      <c r="Q4288" s="18">
        <v>0</v>
      </c>
      <c r="U4288" s="22">
        <v>0.85</v>
      </c>
      <c r="V4288" s="22">
        <f>4.11/5</f>
        <v>0.82200000000000006</v>
      </c>
      <c r="X4288" s="3">
        <v>3</v>
      </c>
      <c r="Z4288" s="23">
        <v>9</v>
      </c>
      <c r="AB4288" s="18">
        <f t="shared" si="132"/>
        <v>2011</v>
      </c>
      <c r="AC4288" s="22">
        <f t="shared" si="133"/>
        <v>0.75733333333333341</v>
      </c>
    </row>
    <row r="4289" spans="1:29">
      <c r="A4289" s="8" t="s">
        <v>7311</v>
      </c>
      <c r="B4289" s="17" t="s">
        <v>7783</v>
      </c>
      <c r="C4289" s="13">
        <v>40878</v>
      </c>
      <c r="D4289" s="13" t="s">
        <v>8465</v>
      </c>
      <c r="E4289" s="10" t="s">
        <v>6304</v>
      </c>
      <c r="F4289" s="10" t="s">
        <v>6331</v>
      </c>
      <c r="G4289" s="11" t="s">
        <v>7310</v>
      </c>
      <c r="H4289" s="2" t="s">
        <v>171</v>
      </c>
      <c r="L4289" s="18">
        <v>1</v>
      </c>
      <c r="N4289" s="13">
        <v>41123</v>
      </c>
      <c r="O4289" s="29">
        <v>2.99</v>
      </c>
      <c r="P4289" s="18" t="s">
        <v>1107</v>
      </c>
      <c r="Q4289" s="18">
        <v>0</v>
      </c>
      <c r="U4289" s="22">
        <v>0.92</v>
      </c>
      <c r="V4289" s="22">
        <f>4.01/5</f>
        <v>0.80199999999999994</v>
      </c>
      <c r="X4289" s="3">
        <v>3</v>
      </c>
      <c r="Z4289" s="23">
        <v>8</v>
      </c>
      <c r="AB4289" s="18">
        <f t="shared" ref="AB4289:AB4352" si="134">IFERROR(YEAR(C4289), "Early Access")</f>
        <v>2011</v>
      </c>
      <c r="AC4289" s="22">
        <f t="shared" ref="AC4289:AC4352" si="135">AVERAGE(T4289, U4289, V4289, IF(ISBLANK(X4289), X4289, X4289/5))</f>
        <v>0.77400000000000002</v>
      </c>
    </row>
    <row r="4290" spans="1:29">
      <c r="A4290" s="8" t="s">
        <v>2387</v>
      </c>
      <c r="B4290" s="17" t="s">
        <v>7749</v>
      </c>
      <c r="C4290" s="13">
        <v>40878</v>
      </c>
      <c r="D4290" s="13" t="s">
        <v>8465</v>
      </c>
      <c r="E4290" s="10" t="s">
        <v>1551</v>
      </c>
      <c r="F4290" s="10" t="s">
        <v>1733</v>
      </c>
      <c r="G4290" s="11" t="s">
        <v>2204</v>
      </c>
      <c r="H4290" s="2" t="s">
        <v>2138</v>
      </c>
      <c r="L4290" s="18">
        <v>1</v>
      </c>
      <c r="M4290" s="14" t="s">
        <v>8462</v>
      </c>
      <c r="N4290" s="13">
        <v>43526</v>
      </c>
      <c r="O4290" s="29">
        <v>16.95</v>
      </c>
      <c r="P4290" s="18" t="s">
        <v>14</v>
      </c>
      <c r="Q4290" s="18">
        <v>0</v>
      </c>
      <c r="U4290" s="22">
        <v>0.74</v>
      </c>
      <c r="V4290" s="22">
        <f>3.77/5</f>
        <v>0.754</v>
      </c>
      <c r="X4290" s="3">
        <v>3</v>
      </c>
      <c r="Z4290" s="23">
        <v>3.5</v>
      </c>
      <c r="AB4290" s="18">
        <f t="shared" si="134"/>
        <v>2011</v>
      </c>
      <c r="AC4290" s="22">
        <f t="shared" si="135"/>
        <v>0.69799999999999995</v>
      </c>
    </row>
    <row r="4291" spans="1:29">
      <c r="A4291" s="8" t="s">
        <v>3798</v>
      </c>
      <c r="B4291" s="17" t="s">
        <v>7800</v>
      </c>
      <c r="C4291" s="13">
        <v>40872</v>
      </c>
      <c r="D4291" s="13" t="s">
        <v>8465</v>
      </c>
      <c r="E4291" s="10" t="s">
        <v>3799</v>
      </c>
      <c r="F4291" s="10" t="s">
        <v>3799</v>
      </c>
      <c r="H4291" s="2" t="s">
        <v>78</v>
      </c>
      <c r="L4291" s="18">
        <v>1</v>
      </c>
      <c r="N4291" s="13">
        <v>41429</v>
      </c>
      <c r="P4291" s="18" t="s">
        <v>1107</v>
      </c>
      <c r="Q4291" s="18">
        <v>0</v>
      </c>
      <c r="U4291" s="22">
        <v>0.83</v>
      </c>
      <c r="V4291" s="22">
        <f>3.43/5</f>
        <v>0.68600000000000005</v>
      </c>
      <c r="W4291" s="14" t="s">
        <v>7777</v>
      </c>
      <c r="X4291" s="3">
        <v>2</v>
      </c>
      <c r="Z4291" s="23">
        <v>9</v>
      </c>
      <c r="AB4291" s="18">
        <f t="shared" si="134"/>
        <v>2011</v>
      </c>
      <c r="AC4291" s="22">
        <f t="shared" si="135"/>
        <v>0.6386666666666666</v>
      </c>
    </row>
    <row r="4292" spans="1:29" ht="30">
      <c r="A4292" s="8" t="s">
        <v>3108</v>
      </c>
      <c r="B4292" s="17" t="s">
        <v>7800</v>
      </c>
      <c r="C4292" s="13">
        <v>40872</v>
      </c>
      <c r="D4292" s="13" t="s">
        <v>8465</v>
      </c>
      <c r="E4292" s="10" t="s">
        <v>3109</v>
      </c>
      <c r="F4292" s="10" t="s">
        <v>3110</v>
      </c>
      <c r="H4292" s="2" t="s">
        <v>1168</v>
      </c>
      <c r="L4292" s="18">
        <v>1</v>
      </c>
      <c r="N4292" s="13">
        <v>41711</v>
      </c>
      <c r="P4292" s="18" t="s">
        <v>1107</v>
      </c>
      <c r="Q4292" s="18">
        <v>0</v>
      </c>
      <c r="U4292" s="22">
        <v>0.5</v>
      </c>
      <c r="V4292" s="22">
        <f>2.43/5</f>
        <v>0.48600000000000004</v>
      </c>
      <c r="W4292" s="14" t="s">
        <v>7777</v>
      </c>
      <c r="X4292" s="3">
        <v>2</v>
      </c>
      <c r="Z4292" s="23">
        <v>6.5</v>
      </c>
      <c r="AB4292" s="18">
        <f t="shared" si="134"/>
        <v>2011</v>
      </c>
      <c r="AC4292" s="22">
        <f t="shared" si="135"/>
        <v>0.46200000000000002</v>
      </c>
    </row>
    <row r="4293" spans="1:29" ht="25.5">
      <c r="A4293" s="8" t="s">
        <v>1742</v>
      </c>
      <c r="B4293" s="17" t="s">
        <v>7749</v>
      </c>
      <c r="C4293" s="13">
        <v>40871</v>
      </c>
      <c r="D4293" s="13" t="s">
        <v>8465</v>
      </c>
      <c r="E4293" s="10" t="s">
        <v>86</v>
      </c>
      <c r="F4293" s="10" t="s">
        <v>142</v>
      </c>
      <c r="G4293" s="11" t="s">
        <v>109</v>
      </c>
      <c r="H4293" s="2" t="s">
        <v>151</v>
      </c>
      <c r="L4293" s="18">
        <v>1</v>
      </c>
      <c r="N4293" s="13">
        <v>41393</v>
      </c>
      <c r="O4293" s="29">
        <v>3.99</v>
      </c>
      <c r="P4293" s="18" t="s">
        <v>1107</v>
      </c>
      <c r="Q4293" s="18">
        <v>0</v>
      </c>
      <c r="V4293" s="22">
        <f>3.75/5</f>
        <v>0.75</v>
      </c>
      <c r="W4293" s="14" t="s">
        <v>1068</v>
      </c>
      <c r="X4293" s="3">
        <v>2</v>
      </c>
      <c r="Z4293" s="23">
        <v>4.5</v>
      </c>
      <c r="AB4293" s="18">
        <f t="shared" si="134"/>
        <v>2011</v>
      </c>
      <c r="AC4293" s="22">
        <f t="shared" si="135"/>
        <v>0.57499999999999996</v>
      </c>
    </row>
    <row r="4294" spans="1:29" ht="30">
      <c r="A4294" s="8" t="s">
        <v>8746</v>
      </c>
      <c r="B4294" s="17" t="s">
        <v>7762</v>
      </c>
      <c r="C4294" s="13">
        <v>40870</v>
      </c>
      <c r="D4294" s="13" t="s">
        <v>8463</v>
      </c>
      <c r="E4294" s="10" t="s">
        <v>455</v>
      </c>
      <c r="F4294" s="10" t="s">
        <v>6037</v>
      </c>
      <c r="G4294" s="11" t="s">
        <v>2448</v>
      </c>
      <c r="H4294" s="2" t="s">
        <v>149</v>
      </c>
      <c r="K4294" s="18">
        <v>2</v>
      </c>
      <c r="L4294" s="18">
        <v>0</v>
      </c>
      <c r="Q4294" s="18">
        <v>0</v>
      </c>
      <c r="V4294" s="22">
        <f>4.2/5</f>
        <v>0.84000000000000008</v>
      </c>
      <c r="X4294" s="3">
        <v>3</v>
      </c>
      <c r="Z4294" s="23">
        <v>34</v>
      </c>
      <c r="AB4294" s="18">
        <f t="shared" si="134"/>
        <v>2011</v>
      </c>
      <c r="AC4294" s="22">
        <f t="shared" si="135"/>
        <v>0.72</v>
      </c>
    </row>
    <row r="4295" spans="1:29" ht="30">
      <c r="A4295" s="8" t="s">
        <v>6231</v>
      </c>
      <c r="B4295" s="17" t="s">
        <v>7762</v>
      </c>
      <c r="C4295" s="13">
        <v>40869</v>
      </c>
      <c r="D4295" s="13" t="s">
        <v>8465</v>
      </c>
      <c r="E4295" s="10" t="s">
        <v>1534</v>
      </c>
      <c r="F4295" s="10" t="s">
        <v>6268</v>
      </c>
      <c r="G4295" s="11" t="s">
        <v>6231</v>
      </c>
      <c r="H4295" s="2" t="s">
        <v>1061</v>
      </c>
      <c r="L4295" s="18">
        <v>0</v>
      </c>
      <c r="Q4295" s="18">
        <v>0</v>
      </c>
      <c r="U4295" s="22">
        <v>0.73</v>
      </c>
      <c r="V4295" s="22">
        <f>4.15/5</f>
        <v>0.83000000000000007</v>
      </c>
      <c r="X4295" s="3">
        <v>4</v>
      </c>
      <c r="Z4295" s="23">
        <v>10</v>
      </c>
      <c r="AB4295" s="18">
        <f t="shared" si="134"/>
        <v>2011</v>
      </c>
      <c r="AC4295" s="22">
        <f t="shared" si="135"/>
        <v>0.78666666666666674</v>
      </c>
    </row>
    <row r="4296" spans="1:29">
      <c r="A4296" s="8" t="s">
        <v>5070</v>
      </c>
      <c r="B4296" s="17" t="s">
        <v>7749</v>
      </c>
      <c r="C4296" s="13">
        <v>40869</v>
      </c>
      <c r="D4296" s="13" t="s">
        <v>8465</v>
      </c>
      <c r="E4296" s="10" t="s">
        <v>455</v>
      </c>
      <c r="F4296" s="10" t="s">
        <v>1232</v>
      </c>
      <c r="G4296" s="11" t="s">
        <v>1688</v>
      </c>
      <c r="H4296" s="2" t="s">
        <v>64</v>
      </c>
      <c r="L4296" s="18">
        <v>1</v>
      </c>
      <c r="N4296" s="13">
        <v>44652</v>
      </c>
      <c r="O4296" s="29">
        <v>9.99</v>
      </c>
      <c r="P4296" s="18" t="s">
        <v>1107</v>
      </c>
      <c r="Q4296" s="18">
        <v>0</v>
      </c>
      <c r="U4296" s="22">
        <v>0.66</v>
      </c>
      <c r="V4296" s="22">
        <f>3.52/5</f>
        <v>0.70399999999999996</v>
      </c>
      <c r="X4296" s="3">
        <v>3</v>
      </c>
      <c r="Z4296" s="23">
        <v>5.5</v>
      </c>
      <c r="AB4296" s="18">
        <f t="shared" si="134"/>
        <v>2011</v>
      </c>
      <c r="AC4296" s="22">
        <f t="shared" si="135"/>
        <v>0.65466666666666662</v>
      </c>
    </row>
    <row r="4297" spans="1:29" ht="45">
      <c r="A4297" s="8" t="s">
        <v>3265</v>
      </c>
      <c r="B4297" s="17" t="s">
        <v>7800</v>
      </c>
      <c r="C4297" s="13">
        <v>40869</v>
      </c>
      <c r="D4297" s="13" t="s">
        <v>8465</v>
      </c>
      <c r="E4297" s="10" t="s">
        <v>1156</v>
      </c>
      <c r="F4297" s="10" t="s">
        <v>3263</v>
      </c>
      <c r="G4297" s="11" t="s">
        <v>3264</v>
      </c>
      <c r="H4297" s="2" t="s">
        <v>80</v>
      </c>
      <c r="L4297" s="18">
        <v>1</v>
      </c>
      <c r="N4297" s="13">
        <v>41583</v>
      </c>
      <c r="P4297" s="18" t="s">
        <v>1107</v>
      </c>
      <c r="Q4297" s="18">
        <v>0</v>
      </c>
      <c r="U4297" s="22">
        <v>0.9</v>
      </c>
      <c r="V4297" s="22">
        <f>4.26/5</f>
        <v>0.85199999999999998</v>
      </c>
      <c r="W4297" s="14" t="s">
        <v>7777</v>
      </c>
      <c r="X4297" s="3">
        <v>2</v>
      </c>
      <c r="Z4297" s="23">
        <v>13.5</v>
      </c>
      <c r="AB4297" s="18">
        <f t="shared" si="134"/>
        <v>2011</v>
      </c>
      <c r="AC4297" s="22">
        <f t="shared" si="135"/>
        <v>0.71733333333333338</v>
      </c>
    </row>
    <row r="4298" spans="1:29">
      <c r="A4298" s="8" t="s">
        <v>4944</v>
      </c>
      <c r="B4298" s="17" t="s">
        <v>7800</v>
      </c>
      <c r="C4298" s="13">
        <v>40869</v>
      </c>
      <c r="D4298" s="13" t="s">
        <v>8465</v>
      </c>
      <c r="E4298" s="10" t="s">
        <v>3063</v>
      </c>
      <c r="F4298" s="10" t="s">
        <v>4942</v>
      </c>
      <c r="G4298" s="11" t="s">
        <v>4943</v>
      </c>
      <c r="H4298" s="2" t="s">
        <v>1050</v>
      </c>
      <c r="L4298" s="18">
        <v>1</v>
      </c>
      <c r="N4298" s="13">
        <v>41431</v>
      </c>
      <c r="P4298" s="18" t="s">
        <v>1107</v>
      </c>
      <c r="Q4298" s="18">
        <v>0</v>
      </c>
      <c r="U4298" s="22">
        <v>0.76</v>
      </c>
      <c r="V4298" s="22">
        <f>3.5/5</f>
        <v>0.7</v>
      </c>
      <c r="W4298" s="14" t="s">
        <v>7777</v>
      </c>
      <c r="X4298" s="3">
        <v>3</v>
      </c>
      <c r="Z4298" s="23">
        <v>10</v>
      </c>
      <c r="AB4298" s="18">
        <f t="shared" si="134"/>
        <v>2011</v>
      </c>
      <c r="AC4298" s="22">
        <f t="shared" si="135"/>
        <v>0.68666666666666665</v>
      </c>
    </row>
    <row r="4299" spans="1:29" ht="30">
      <c r="A4299" s="8" t="s">
        <v>8437</v>
      </c>
      <c r="B4299" s="17" t="s">
        <v>7762</v>
      </c>
      <c r="C4299" s="13">
        <v>40868</v>
      </c>
      <c r="D4299" s="13" t="s">
        <v>8465</v>
      </c>
      <c r="E4299" s="10" t="s">
        <v>1519</v>
      </c>
      <c r="F4299" s="10" t="s">
        <v>8438</v>
      </c>
      <c r="G4299" s="11" t="s">
        <v>8439</v>
      </c>
      <c r="H4299" s="2" t="s">
        <v>149</v>
      </c>
      <c r="L4299" s="18">
        <v>0</v>
      </c>
      <c r="Q4299" s="18">
        <v>0</v>
      </c>
      <c r="U4299" s="22">
        <v>0.57999999999999996</v>
      </c>
      <c r="V4299" s="22">
        <f>3.98/5</f>
        <v>0.79600000000000004</v>
      </c>
      <c r="X4299" s="3">
        <v>3</v>
      </c>
      <c r="Z4299" s="23">
        <v>27.5</v>
      </c>
      <c r="AB4299" s="18">
        <f t="shared" si="134"/>
        <v>2011</v>
      </c>
      <c r="AC4299" s="22">
        <f t="shared" si="135"/>
        <v>0.65866666666666662</v>
      </c>
    </row>
    <row r="4300" spans="1:29" ht="25.5">
      <c r="A4300" s="8" t="s">
        <v>11202</v>
      </c>
      <c r="B4300" s="17" t="s">
        <v>7749</v>
      </c>
      <c r="C4300" s="13">
        <v>40864</v>
      </c>
      <c r="D4300" s="13" t="s">
        <v>8465</v>
      </c>
      <c r="E4300" s="10" t="s">
        <v>86</v>
      </c>
      <c r="F4300" s="10" t="s">
        <v>30</v>
      </c>
      <c r="G4300" s="11" t="s">
        <v>223</v>
      </c>
      <c r="H4300" s="2" t="s">
        <v>64</v>
      </c>
      <c r="L4300" s="18">
        <v>1</v>
      </c>
      <c r="N4300" s="13">
        <v>44614</v>
      </c>
      <c r="O4300" s="29">
        <v>6.99</v>
      </c>
      <c r="P4300" s="18" t="s">
        <v>1107</v>
      </c>
      <c r="Q4300" s="18">
        <v>0</v>
      </c>
      <c r="U4300" s="22">
        <v>0.77</v>
      </c>
      <c r="V4300" s="22">
        <f>3.93/5</f>
        <v>0.78600000000000003</v>
      </c>
      <c r="X4300" s="3">
        <v>3</v>
      </c>
      <c r="Z4300" s="23">
        <v>3.5</v>
      </c>
      <c r="AB4300" s="18">
        <f t="shared" si="134"/>
        <v>2011</v>
      </c>
      <c r="AC4300" s="22">
        <f t="shared" si="135"/>
        <v>0.71866666666666668</v>
      </c>
    </row>
    <row r="4301" spans="1:29" ht="25.5">
      <c r="A4301" s="8" t="s">
        <v>12403</v>
      </c>
      <c r="B4301" s="17" t="s">
        <v>8754</v>
      </c>
      <c r="C4301" s="13">
        <v>40864</v>
      </c>
      <c r="D4301" s="13" t="s">
        <v>8465</v>
      </c>
      <c r="E4301" s="10" t="s">
        <v>2298</v>
      </c>
      <c r="F4301" s="10" t="s">
        <v>11255</v>
      </c>
      <c r="G4301" s="11" t="s">
        <v>12398</v>
      </c>
      <c r="H4301" s="2" t="s">
        <v>67</v>
      </c>
      <c r="L4301" s="18">
        <v>1</v>
      </c>
      <c r="N4301" s="13">
        <v>44990</v>
      </c>
      <c r="O4301" s="29">
        <v>4.99</v>
      </c>
      <c r="P4301" s="18" t="s">
        <v>1107</v>
      </c>
      <c r="Q4301" s="18">
        <v>0</v>
      </c>
      <c r="U4301" s="22">
        <v>0.41</v>
      </c>
      <c r="V4301" s="22">
        <f>3.76/5</f>
        <v>0.752</v>
      </c>
      <c r="X4301" s="3">
        <v>2</v>
      </c>
      <c r="AB4301" s="18">
        <f t="shared" si="134"/>
        <v>2011</v>
      </c>
      <c r="AC4301" s="22">
        <f t="shared" si="135"/>
        <v>0.52066666666666661</v>
      </c>
    </row>
    <row r="4302" spans="1:29">
      <c r="A4302" s="8" t="s">
        <v>13230</v>
      </c>
      <c r="B4302" s="17" t="s">
        <v>7800</v>
      </c>
      <c r="C4302" s="13">
        <v>40863</v>
      </c>
      <c r="D4302" s="13" t="s">
        <v>8465</v>
      </c>
      <c r="E4302" s="10" t="s">
        <v>13231</v>
      </c>
      <c r="F4302" s="10" t="s">
        <v>13231</v>
      </c>
      <c r="G4302" s="11" t="s">
        <v>13230</v>
      </c>
      <c r="H4302" s="2" t="s">
        <v>1054</v>
      </c>
      <c r="L4302" s="18">
        <v>1</v>
      </c>
      <c r="P4302" s="18" t="s">
        <v>1107</v>
      </c>
      <c r="Q4302" s="18">
        <v>0</v>
      </c>
      <c r="U4302" s="22">
        <v>0.82</v>
      </c>
      <c r="V4302" s="22">
        <f>3.64/5</f>
        <v>0.72799999999999998</v>
      </c>
      <c r="W4302" s="14" t="s">
        <v>7777</v>
      </c>
      <c r="X4302" s="3">
        <v>3</v>
      </c>
      <c r="Z4302" s="23">
        <v>1</v>
      </c>
      <c r="AB4302" s="18">
        <f t="shared" si="134"/>
        <v>2011</v>
      </c>
      <c r="AC4302" s="22">
        <f t="shared" si="135"/>
        <v>0.71600000000000008</v>
      </c>
    </row>
    <row r="4303" spans="1:29" ht="25.5">
      <c r="A4303" s="8" t="s">
        <v>4214</v>
      </c>
      <c r="B4303" s="17" t="s">
        <v>7800</v>
      </c>
      <c r="C4303" s="13">
        <v>40863</v>
      </c>
      <c r="D4303" s="13" t="s">
        <v>8465</v>
      </c>
      <c r="E4303" s="10" t="s">
        <v>3246</v>
      </c>
      <c r="F4303" s="10" t="s">
        <v>3246</v>
      </c>
      <c r="G4303" s="11" t="s">
        <v>2569</v>
      </c>
      <c r="H4303" s="2" t="s">
        <v>67</v>
      </c>
      <c r="L4303" s="18">
        <v>1</v>
      </c>
      <c r="N4303" s="13">
        <v>42481</v>
      </c>
      <c r="P4303" s="18" t="s">
        <v>1107</v>
      </c>
      <c r="Q4303" s="18">
        <v>0</v>
      </c>
      <c r="U4303" s="22">
        <v>0.56000000000000005</v>
      </c>
      <c r="V4303" s="22">
        <f>3.22/5</f>
        <v>0.64400000000000002</v>
      </c>
      <c r="W4303" s="14" t="s">
        <v>7777</v>
      </c>
      <c r="X4303" s="3">
        <v>3</v>
      </c>
      <c r="Z4303" s="23">
        <v>6.5</v>
      </c>
      <c r="AB4303" s="18">
        <f t="shared" si="134"/>
        <v>2011</v>
      </c>
      <c r="AC4303" s="22">
        <f t="shared" si="135"/>
        <v>0.60133333333333339</v>
      </c>
    </row>
    <row r="4304" spans="1:29">
      <c r="A4304" s="8" t="s">
        <v>5000</v>
      </c>
      <c r="B4304" s="17" t="s">
        <v>7800</v>
      </c>
      <c r="C4304" s="13">
        <v>40862</v>
      </c>
      <c r="D4304" s="13" t="s">
        <v>8465</v>
      </c>
      <c r="E4304" s="10" t="s">
        <v>5001</v>
      </c>
      <c r="F4304" s="10" t="s">
        <v>5002</v>
      </c>
      <c r="H4304" s="2" t="s">
        <v>64</v>
      </c>
      <c r="L4304" s="18">
        <v>1</v>
      </c>
      <c r="N4304" s="13">
        <v>41103</v>
      </c>
      <c r="O4304" s="29">
        <v>3</v>
      </c>
      <c r="P4304" s="18" t="s">
        <v>1107</v>
      </c>
      <c r="Q4304" s="18">
        <v>0</v>
      </c>
      <c r="U4304" s="22">
        <v>0.8</v>
      </c>
      <c r="V4304" s="22">
        <f>3.25/5</f>
        <v>0.65</v>
      </c>
      <c r="W4304" s="14" t="s">
        <v>7777</v>
      </c>
      <c r="X4304" s="3">
        <v>3</v>
      </c>
      <c r="Z4304" s="23">
        <v>4</v>
      </c>
      <c r="AB4304" s="18">
        <f t="shared" si="134"/>
        <v>2011</v>
      </c>
      <c r="AC4304" s="22">
        <f t="shared" si="135"/>
        <v>0.68333333333333346</v>
      </c>
    </row>
    <row r="4305" spans="1:29">
      <c r="A4305" s="8" t="s">
        <v>2407</v>
      </c>
      <c r="B4305" s="17" t="s">
        <v>7749</v>
      </c>
      <c r="C4305" s="13">
        <v>40862</v>
      </c>
      <c r="D4305" s="13" t="s">
        <v>8465</v>
      </c>
      <c r="E4305" s="10" t="s">
        <v>455</v>
      </c>
      <c r="F4305" s="10" t="s">
        <v>2143</v>
      </c>
      <c r="G4305" s="11" t="s">
        <v>2407</v>
      </c>
      <c r="H4305" s="2" t="s">
        <v>1059</v>
      </c>
      <c r="L4305" s="18">
        <v>1</v>
      </c>
      <c r="M4305" s="14" t="s">
        <v>8462</v>
      </c>
      <c r="N4305" s="13">
        <v>43531</v>
      </c>
      <c r="O4305" s="29">
        <v>12.58</v>
      </c>
      <c r="P4305" s="18" t="s">
        <v>14</v>
      </c>
      <c r="Q4305" s="18">
        <v>0</v>
      </c>
      <c r="U4305" s="22">
        <v>0.71</v>
      </c>
      <c r="V4305" s="22">
        <f>3.67/5</f>
        <v>0.73399999999999999</v>
      </c>
      <c r="X4305" s="3">
        <v>3</v>
      </c>
      <c r="Z4305" s="23">
        <v>2.5</v>
      </c>
      <c r="AB4305" s="18">
        <f t="shared" si="134"/>
        <v>2011</v>
      </c>
      <c r="AC4305" s="22">
        <f t="shared" si="135"/>
        <v>0.68133333333333335</v>
      </c>
    </row>
    <row r="4306" spans="1:29" ht="25.5">
      <c r="A4306" s="8" t="s">
        <v>7920</v>
      </c>
      <c r="B4306" s="17" t="s">
        <v>7749</v>
      </c>
      <c r="C4306" s="13">
        <v>40862</v>
      </c>
      <c r="D4306" s="13" t="s">
        <v>8465</v>
      </c>
      <c r="E4306" s="10" t="s">
        <v>1509</v>
      </c>
      <c r="F4306" s="10" t="s">
        <v>3539</v>
      </c>
      <c r="G4306" s="11" t="s">
        <v>3101</v>
      </c>
      <c r="H4306" s="2" t="s">
        <v>7594</v>
      </c>
      <c r="L4306" s="18">
        <v>1</v>
      </c>
      <c r="M4306" s="14" t="s">
        <v>8462</v>
      </c>
      <c r="N4306" s="13">
        <v>44171</v>
      </c>
      <c r="O4306" s="29">
        <v>23.19</v>
      </c>
      <c r="P4306" s="18" t="s">
        <v>14</v>
      </c>
      <c r="Q4306" s="18">
        <v>0</v>
      </c>
      <c r="U4306" s="22">
        <v>0.7228</v>
      </c>
      <c r="V4306" s="22">
        <f>3.97/5</f>
        <v>0.79400000000000004</v>
      </c>
      <c r="X4306" s="3">
        <v>2</v>
      </c>
      <c r="Z4306" s="23">
        <v>4</v>
      </c>
      <c r="AB4306" s="18">
        <f t="shared" si="134"/>
        <v>2011</v>
      </c>
      <c r="AC4306" s="22">
        <f t="shared" si="135"/>
        <v>0.63893333333333324</v>
      </c>
    </row>
    <row r="4307" spans="1:29" ht="25.5">
      <c r="A4307" s="8" t="s">
        <v>11446</v>
      </c>
      <c r="B4307" s="17" t="s">
        <v>7759</v>
      </c>
      <c r="C4307" s="13">
        <v>40862</v>
      </c>
      <c r="D4307" s="13" t="s">
        <v>8465</v>
      </c>
      <c r="E4307" s="10" t="s">
        <v>2335</v>
      </c>
      <c r="F4307" s="10" t="s">
        <v>1471</v>
      </c>
      <c r="G4307" s="11" t="s">
        <v>7935</v>
      </c>
      <c r="H4307" s="2" t="s">
        <v>1059</v>
      </c>
      <c r="L4307" s="18">
        <v>0</v>
      </c>
      <c r="Q4307" s="18">
        <v>0</v>
      </c>
      <c r="U4307" s="22">
        <v>0.64</v>
      </c>
      <c r="V4307" s="22">
        <f>4.09/5</f>
        <v>0.81799999999999995</v>
      </c>
      <c r="X4307" s="3">
        <v>2</v>
      </c>
      <c r="Y4307" s="18">
        <v>1</v>
      </c>
      <c r="Z4307" s="23">
        <v>10.5</v>
      </c>
      <c r="AB4307" s="18">
        <f t="shared" si="134"/>
        <v>2011</v>
      </c>
      <c r="AC4307" s="22">
        <f t="shared" si="135"/>
        <v>0.6193333333333334</v>
      </c>
    </row>
    <row r="4308" spans="1:29" ht="25.5">
      <c r="A4308" s="8" t="s">
        <v>13423</v>
      </c>
      <c r="B4308" s="17" t="s">
        <v>7748</v>
      </c>
      <c r="C4308" s="13">
        <v>40862</v>
      </c>
      <c r="D4308" s="13" t="s">
        <v>8465</v>
      </c>
      <c r="E4308" s="10" t="s">
        <v>72</v>
      </c>
      <c r="F4308" s="10" t="s">
        <v>62</v>
      </c>
      <c r="G4308" s="11" t="s">
        <v>13424</v>
      </c>
      <c r="H4308" s="2" t="s">
        <v>171</v>
      </c>
      <c r="L4308" s="18">
        <v>0</v>
      </c>
      <c r="Q4308" s="18">
        <v>0</v>
      </c>
      <c r="U4308" s="22">
        <v>0.65</v>
      </c>
      <c r="V4308" s="22">
        <f>3.52/5</f>
        <v>0.70399999999999996</v>
      </c>
      <c r="X4308" s="3">
        <v>2</v>
      </c>
      <c r="Z4308" s="23">
        <f>23/60</f>
        <v>0.38333333333333336</v>
      </c>
      <c r="AB4308" s="18">
        <f t="shared" si="134"/>
        <v>2011</v>
      </c>
      <c r="AC4308" s="22">
        <f t="shared" si="135"/>
        <v>0.58466666666666667</v>
      </c>
    </row>
    <row r="4309" spans="1:29" ht="25.5">
      <c r="A4309" s="8" t="s">
        <v>7491</v>
      </c>
      <c r="B4309" s="17" t="s">
        <v>7759</v>
      </c>
      <c r="C4309" s="13">
        <v>40862</v>
      </c>
      <c r="D4309" s="13" t="s">
        <v>8465</v>
      </c>
      <c r="E4309" s="10" t="s">
        <v>231</v>
      </c>
      <c r="F4309" s="10" t="s">
        <v>6015</v>
      </c>
      <c r="G4309" s="11" t="s">
        <v>4518</v>
      </c>
      <c r="H4309" s="2" t="s">
        <v>150</v>
      </c>
      <c r="L4309" s="18">
        <v>0</v>
      </c>
      <c r="Q4309" s="18">
        <v>0</v>
      </c>
      <c r="U4309" s="22">
        <v>0.64</v>
      </c>
      <c r="V4309" s="22">
        <f>3.42/5</f>
        <v>0.68399999999999994</v>
      </c>
      <c r="X4309" s="3">
        <v>2</v>
      </c>
      <c r="Y4309" s="18">
        <v>1</v>
      </c>
      <c r="Z4309" s="23">
        <v>4</v>
      </c>
      <c r="AB4309" s="18">
        <f t="shared" si="134"/>
        <v>2011</v>
      </c>
      <c r="AC4309" s="22">
        <f t="shared" si="135"/>
        <v>0.57466666666666655</v>
      </c>
    </row>
    <row r="4310" spans="1:29" ht="30">
      <c r="A4310" s="8" t="s">
        <v>15258</v>
      </c>
      <c r="B4310" s="17" t="s">
        <v>7759</v>
      </c>
      <c r="C4310" s="13">
        <v>40862</v>
      </c>
      <c r="D4310" s="13" t="s">
        <v>8465</v>
      </c>
      <c r="E4310" s="10" t="s">
        <v>2908</v>
      </c>
      <c r="F4310" s="10" t="s">
        <v>15259</v>
      </c>
      <c r="H4310" s="2" t="s">
        <v>80</v>
      </c>
      <c r="L4310" s="18">
        <v>0</v>
      </c>
      <c r="Q4310" s="18">
        <v>0</v>
      </c>
      <c r="U4310" s="22">
        <v>0.61</v>
      </c>
      <c r="V4310" s="22">
        <f>2.9/5</f>
        <v>0.57999999999999996</v>
      </c>
      <c r="X4310" s="3">
        <v>2</v>
      </c>
      <c r="Z4310" s="23">
        <v>7.5</v>
      </c>
      <c r="AB4310" s="18">
        <f t="shared" si="134"/>
        <v>2011</v>
      </c>
      <c r="AC4310" s="22">
        <f t="shared" si="135"/>
        <v>0.52999999999999992</v>
      </c>
    </row>
    <row r="4311" spans="1:29" ht="25.5">
      <c r="A4311" s="8" t="s">
        <v>11210</v>
      </c>
      <c r="B4311" s="17" t="s">
        <v>7748</v>
      </c>
      <c r="C4311" s="13">
        <v>40861</v>
      </c>
      <c r="D4311" s="13" t="s">
        <v>8465</v>
      </c>
      <c r="E4311" s="10" t="s">
        <v>86</v>
      </c>
      <c r="F4311" s="10" t="s">
        <v>1515</v>
      </c>
      <c r="G4311" s="11" t="s">
        <v>2178</v>
      </c>
      <c r="H4311" s="2" t="s">
        <v>149</v>
      </c>
      <c r="L4311" s="18">
        <v>0</v>
      </c>
      <c r="Q4311" s="18">
        <v>0</v>
      </c>
      <c r="U4311" s="22">
        <v>0.68</v>
      </c>
      <c r="V4311" s="22">
        <f>4.27/5</f>
        <v>0.85399999999999987</v>
      </c>
      <c r="X4311" s="3">
        <v>3</v>
      </c>
      <c r="Z4311" s="23">
        <v>26</v>
      </c>
      <c r="AB4311" s="18">
        <f t="shared" si="134"/>
        <v>2011</v>
      </c>
      <c r="AC4311" s="22">
        <f t="shared" si="135"/>
        <v>0.71133333333333326</v>
      </c>
    </row>
    <row r="4312" spans="1:29" ht="25.5">
      <c r="A4312" s="8" t="s">
        <v>1689</v>
      </c>
      <c r="B4312" s="17" t="s">
        <v>7800</v>
      </c>
      <c r="C4312" s="13">
        <v>40858</v>
      </c>
      <c r="D4312" s="13" t="s">
        <v>8465</v>
      </c>
      <c r="E4312" s="10" t="s">
        <v>1690</v>
      </c>
      <c r="F4312" s="10" t="s">
        <v>1691</v>
      </c>
      <c r="G4312" s="11" t="s">
        <v>1207</v>
      </c>
      <c r="H4312" s="2" t="s">
        <v>171</v>
      </c>
      <c r="L4312" s="18">
        <v>1</v>
      </c>
      <c r="N4312" s="13">
        <v>41641</v>
      </c>
      <c r="O4312" s="29">
        <v>20.260000000000002</v>
      </c>
      <c r="P4312" s="18" t="s">
        <v>1107</v>
      </c>
      <c r="Q4312" s="18">
        <v>0</v>
      </c>
      <c r="U4312" s="22">
        <v>0.94</v>
      </c>
      <c r="V4312" s="22">
        <f>4.3/5</f>
        <v>0.86</v>
      </c>
      <c r="W4312" s="14" t="s">
        <v>7777</v>
      </c>
      <c r="X4312" s="3">
        <v>3</v>
      </c>
      <c r="Z4312" s="23">
        <v>33</v>
      </c>
      <c r="AB4312" s="18">
        <f t="shared" si="134"/>
        <v>2011</v>
      </c>
      <c r="AC4312" s="22">
        <f t="shared" si="135"/>
        <v>0.79999999999999993</v>
      </c>
    </row>
    <row r="4313" spans="1:29" ht="45">
      <c r="A4313" s="8" t="s">
        <v>4299</v>
      </c>
      <c r="B4313" s="17" t="s">
        <v>7800</v>
      </c>
      <c r="C4313" s="13">
        <v>40858</v>
      </c>
      <c r="D4313" s="13" t="s">
        <v>8465</v>
      </c>
      <c r="E4313" s="10" t="s">
        <v>1156</v>
      </c>
      <c r="F4313" s="10" t="s">
        <v>1309</v>
      </c>
      <c r="G4313" s="11" t="s">
        <v>4298</v>
      </c>
      <c r="H4313" s="2" t="s">
        <v>80</v>
      </c>
      <c r="L4313" s="18">
        <v>1</v>
      </c>
      <c r="N4313" s="13">
        <v>42048</v>
      </c>
      <c r="O4313" s="29">
        <v>1.81</v>
      </c>
      <c r="P4313" s="18" t="s">
        <v>1107</v>
      </c>
      <c r="Q4313" s="18">
        <v>0</v>
      </c>
      <c r="U4313" s="22">
        <v>0.7</v>
      </c>
      <c r="V4313" s="22">
        <f>3.8/5</f>
        <v>0.76</v>
      </c>
      <c r="W4313" s="14" t="s">
        <v>7777</v>
      </c>
      <c r="X4313" s="3">
        <v>3</v>
      </c>
      <c r="Z4313" s="23">
        <v>11</v>
      </c>
      <c r="AB4313" s="18">
        <f t="shared" si="134"/>
        <v>2011</v>
      </c>
      <c r="AC4313" s="22">
        <f t="shared" si="135"/>
        <v>0.68666666666666665</v>
      </c>
    </row>
    <row r="4314" spans="1:29" ht="38.25">
      <c r="A4314" s="8" t="s">
        <v>14365</v>
      </c>
      <c r="B4314" s="17" t="s">
        <v>7741</v>
      </c>
      <c r="C4314" s="13">
        <v>40858</v>
      </c>
      <c r="D4314" s="13" t="s">
        <v>8465</v>
      </c>
      <c r="E4314" s="10" t="s">
        <v>455</v>
      </c>
      <c r="F4314" s="10" t="s">
        <v>14363</v>
      </c>
      <c r="G4314" s="11" t="s">
        <v>14364</v>
      </c>
      <c r="H4314" s="2" t="s">
        <v>255</v>
      </c>
      <c r="L4314" s="18">
        <v>0</v>
      </c>
      <c r="Q4314" s="18">
        <v>0</v>
      </c>
      <c r="U4314" s="22">
        <v>0.66</v>
      </c>
      <c r="V4314" s="22">
        <f>3.66/5</f>
        <v>0.73199999999999998</v>
      </c>
      <c r="X4314" s="3">
        <v>2</v>
      </c>
      <c r="Z4314" s="23">
        <v>7.5</v>
      </c>
      <c r="AB4314" s="18">
        <f t="shared" si="134"/>
        <v>2011</v>
      </c>
      <c r="AC4314" s="22">
        <f t="shared" si="135"/>
        <v>0.59733333333333327</v>
      </c>
    </row>
    <row r="4315" spans="1:29" ht="25.5">
      <c r="A4315" s="8" t="s">
        <v>6676</v>
      </c>
      <c r="B4315" s="17" t="s">
        <v>7748</v>
      </c>
      <c r="C4315" s="13">
        <v>40855</v>
      </c>
      <c r="D4315" s="13" t="s">
        <v>8465</v>
      </c>
      <c r="E4315" s="10" t="s">
        <v>1273</v>
      </c>
      <c r="F4315" s="10" t="s">
        <v>2454</v>
      </c>
      <c r="G4315" s="11" t="s">
        <v>3401</v>
      </c>
      <c r="H4315" s="2" t="s">
        <v>1050</v>
      </c>
      <c r="L4315" s="18">
        <v>0</v>
      </c>
      <c r="Q4315" s="18">
        <v>0</v>
      </c>
      <c r="U4315" s="22">
        <v>0.59</v>
      </c>
      <c r="V4315" s="22">
        <f>3.34/5</f>
        <v>0.66799999999999993</v>
      </c>
      <c r="X4315" s="3">
        <v>2</v>
      </c>
      <c r="Z4315" s="23">
        <v>4</v>
      </c>
      <c r="AB4315" s="18">
        <f t="shared" si="134"/>
        <v>2011</v>
      </c>
      <c r="AC4315" s="22">
        <f t="shared" si="135"/>
        <v>0.55266666666666664</v>
      </c>
    </row>
    <row r="4316" spans="1:29">
      <c r="A4316" s="8" t="s">
        <v>1617</v>
      </c>
      <c r="B4316" s="17" t="s">
        <v>7800</v>
      </c>
      <c r="C4316" s="13">
        <v>40855</v>
      </c>
      <c r="D4316" s="13" t="s">
        <v>8465</v>
      </c>
      <c r="E4316" s="10" t="s">
        <v>1618</v>
      </c>
      <c r="F4316" s="10" t="s">
        <v>1619</v>
      </c>
      <c r="H4316" s="2" t="s">
        <v>80</v>
      </c>
      <c r="L4316" s="18">
        <v>1</v>
      </c>
      <c r="N4316" s="13">
        <v>41108</v>
      </c>
      <c r="O4316" s="29">
        <v>4.99</v>
      </c>
      <c r="P4316" s="18" t="s">
        <v>1107</v>
      </c>
      <c r="Q4316" s="18">
        <v>0</v>
      </c>
      <c r="U4316" s="22">
        <v>0.82</v>
      </c>
      <c r="V4316" s="22">
        <f>3.88/5</f>
        <v>0.77600000000000002</v>
      </c>
      <c r="W4316" s="14" t="s">
        <v>7777</v>
      </c>
      <c r="X4316" s="3">
        <v>4</v>
      </c>
      <c r="Z4316" s="23">
        <v>21</v>
      </c>
      <c r="AB4316" s="18">
        <f t="shared" si="134"/>
        <v>2011</v>
      </c>
      <c r="AC4316" s="22">
        <f t="shared" si="135"/>
        <v>0.79866666666666664</v>
      </c>
    </row>
    <row r="4317" spans="1:29">
      <c r="A4317" s="8" t="s">
        <v>11266</v>
      </c>
      <c r="B4317" s="17" t="s">
        <v>7749</v>
      </c>
      <c r="C4317" s="13">
        <v>40855</v>
      </c>
      <c r="D4317" s="13" t="s">
        <v>8465</v>
      </c>
      <c r="E4317" s="10" t="s">
        <v>2285</v>
      </c>
      <c r="F4317" s="10" t="s">
        <v>1578</v>
      </c>
      <c r="G4317" s="11" t="s">
        <v>3428</v>
      </c>
      <c r="H4317" s="2" t="s">
        <v>151</v>
      </c>
      <c r="L4317" s="18">
        <v>0</v>
      </c>
      <c r="Q4317" s="18">
        <v>0</v>
      </c>
      <c r="U4317" s="22">
        <v>0.82</v>
      </c>
      <c r="V4317" s="22">
        <f>4.25/5</f>
        <v>0.85</v>
      </c>
      <c r="X4317" s="3">
        <v>2</v>
      </c>
      <c r="Y4317" s="18">
        <v>1</v>
      </c>
      <c r="Z4317" s="23">
        <v>6</v>
      </c>
      <c r="AB4317" s="18">
        <f t="shared" si="134"/>
        <v>2011</v>
      </c>
      <c r="AC4317" s="22">
        <f t="shared" si="135"/>
        <v>0.69</v>
      </c>
    </row>
    <row r="4318" spans="1:29" ht="38.25">
      <c r="A4318" s="8" t="s">
        <v>13178</v>
      </c>
      <c r="B4318" s="17" t="s">
        <v>7741</v>
      </c>
      <c r="C4318" s="13">
        <v>40855</v>
      </c>
      <c r="D4318" s="13" t="s">
        <v>8465</v>
      </c>
      <c r="E4318" s="10" t="s">
        <v>311</v>
      </c>
      <c r="F4318" s="10" t="s">
        <v>13010</v>
      </c>
      <c r="H4318" s="2" t="s">
        <v>1040</v>
      </c>
      <c r="L4318" s="18">
        <v>0</v>
      </c>
      <c r="Q4318" s="18">
        <v>0</v>
      </c>
      <c r="U4318" s="22">
        <v>0.7</v>
      </c>
      <c r="V4318" s="22">
        <f>3.66/5</f>
        <v>0.73199999999999998</v>
      </c>
      <c r="X4318" s="3">
        <v>2</v>
      </c>
      <c r="Z4318" s="23">
        <v>6</v>
      </c>
      <c r="AB4318" s="18">
        <f t="shared" si="134"/>
        <v>2011</v>
      </c>
      <c r="AC4318" s="22">
        <f t="shared" si="135"/>
        <v>0.61066666666666658</v>
      </c>
    </row>
    <row r="4319" spans="1:29">
      <c r="A4319" s="8" t="s">
        <v>5070</v>
      </c>
      <c r="B4319" s="17" t="s">
        <v>7800</v>
      </c>
      <c r="C4319" s="13">
        <v>40850</v>
      </c>
      <c r="D4319" s="13" t="s">
        <v>8465</v>
      </c>
      <c r="E4319" s="10" t="s">
        <v>455</v>
      </c>
      <c r="F4319" s="10" t="s">
        <v>1492</v>
      </c>
      <c r="G4319" s="11" t="s">
        <v>1688</v>
      </c>
      <c r="H4319" s="2" t="s">
        <v>1040</v>
      </c>
      <c r="L4319" s="18">
        <v>1</v>
      </c>
      <c r="N4319" s="13">
        <v>41765</v>
      </c>
      <c r="P4319" s="18" t="s">
        <v>1107</v>
      </c>
      <c r="Q4319" s="18">
        <v>0</v>
      </c>
      <c r="U4319" s="22">
        <v>0.78</v>
      </c>
      <c r="V4319" s="22">
        <f>4/5</f>
        <v>0.8</v>
      </c>
      <c r="W4319" s="14" t="s">
        <v>7777</v>
      </c>
      <c r="X4319" s="3">
        <v>4</v>
      </c>
      <c r="Z4319" s="23">
        <v>5.5</v>
      </c>
      <c r="AB4319" s="18">
        <f t="shared" si="134"/>
        <v>2011</v>
      </c>
      <c r="AC4319" s="22">
        <f t="shared" si="135"/>
        <v>0.79333333333333333</v>
      </c>
    </row>
    <row r="4320" spans="1:29">
      <c r="A4320" s="8" t="s">
        <v>3845</v>
      </c>
      <c r="B4320" s="17" t="s">
        <v>7800</v>
      </c>
      <c r="C4320" s="13">
        <v>40850</v>
      </c>
      <c r="D4320" s="13" t="s">
        <v>8465</v>
      </c>
      <c r="E4320" s="10" t="s">
        <v>3846</v>
      </c>
      <c r="F4320" s="10" t="s">
        <v>3846</v>
      </c>
      <c r="H4320" s="2" t="s">
        <v>64</v>
      </c>
      <c r="L4320" s="18">
        <v>1</v>
      </c>
      <c r="N4320" s="13">
        <v>41842</v>
      </c>
      <c r="P4320" s="18" t="s">
        <v>1107</v>
      </c>
      <c r="Q4320" s="18">
        <v>0</v>
      </c>
      <c r="V4320" s="22">
        <f>2.42/5</f>
        <v>0.48399999999999999</v>
      </c>
      <c r="W4320" s="14" t="s">
        <v>7777</v>
      </c>
      <c r="X4320" s="3">
        <v>2</v>
      </c>
      <c r="Z4320" s="23">
        <v>3.5</v>
      </c>
      <c r="AB4320" s="18">
        <f t="shared" si="134"/>
        <v>2011</v>
      </c>
      <c r="AC4320" s="22">
        <f t="shared" si="135"/>
        <v>0.442</v>
      </c>
    </row>
    <row r="4321" spans="1:29" ht="51">
      <c r="A4321" s="8" t="s">
        <v>7610</v>
      </c>
      <c r="B4321" s="17" t="s">
        <v>7749</v>
      </c>
      <c r="C4321" s="13">
        <v>40849</v>
      </c>
      <c r="D4321" s="13" t="s">
        <v>8463</v>
      </c>
      <c r="E4321" s="10" t="s">
        <v>1082</v>
      </c>
      <c r="F4321" s="10" t="s">
        <v>1082</v>
      </c>
      <c r="G4321" s="11" t="s">
        <v>140</v>
      </c>
      <c r="H4321" s="2" t="s">
        <v>171</v>
      </c>
      <c r="K4321" s="18">
        <v>2</v>
      </c>
      <c r="L4321" s="18">
        <v>0</v>
      </c>
      <c r="Q4321" s="18">
        <v>0</v>
      </c>
      <c r="V4321" s="22">
        <f>4.15/5</f>
        <v>0.83000000000000007</v>
      </c>
      <c r="X4321" s="3">
        <v>3</v>
      </c>
      <c r="Z4321" s="23">
        <v>20.5</v>
      </c>
      <c r="AB4321" s="18">
        <f t="shared" si="134"/>
        <v>2011</v>
      </c>
      <c r="AC4321" s="22">
        <f t="shared" si="135"/>
        <v>0.71500000000000008</v>
      </c>
    </row>
    <row r="4322" spans="1:29" ht="30">
      <c r="A4322" s="8" t="s">
        <v>6041</v>
      </c>
      <c r="B4322" s="17" t="s">
        <v>7759</v>
      </c>
      <c r="C4322" s="13">
        <v>40848</v>
      </c>
      <c r="D4322" s="13" t="s">
        <v>8465</v>
      </c>
      <c r="E4322" s="10" t="s">
        <v>2908</v>
      </c>
      <c r="F4322" s="10" t="s">
        <v>2646</v>
      </c>
      <c r="G4322" s="11" t="s">
        <v>6040</v>
      </c>
      <c r="H4322" s="2" t="s">
        <v>80</v>
      </c>
      <c r="L4322" s="18">
        <v>1</v>
      </c>
      <c r="M4322" s="14" t="s">
        <v>8462</v>
      </c>
      <c r="P4322" s="18" t="s">
        <v>14</v>
      </c>
      <c r="Q4322" s="18">
        <v>0</v>
      </c>
      <c r="U4322" s="22">
        <v>0.92</v>
      </c>
      <c r="V4322" s="22">
        <f>4.2/5</f>
        <v>0.84000000000000008</v>
      </c>
      <c r="X4322" s="3">
        <v>4</v>
      </c>
      <c r="Z4322" s="23">
        <v>9</v>
      </c>
      <c r="AB4322" s="18">
        <f t="shared" si="134"/>
        <v>2011</v>
      </c>
      <c r="AC4322" s="22">
        <f t="shared" si="135"/>
        <v>0.8533333333333335</v>
      </c>
    </row>
    <row r="4323" spans="1:29" ht="25.5">
      <c r="A4323" s="8" t="s">
        <v>9664</v>
      </c>
      <c r="B4323" s="17" t="s">
        <v>7749</v>
      </c>
      <c r="C4323" s="13">
        <v>40848</v>
      </c>
      <c r="D4323" s="13" t="s">
        <v>8465</v>
      </c>
      <c r="E4323" s="10" t="s">
        <v>66</v>
      </c>
      <c r="F4323" s="10" t="s">
        <v>6645</v>
      </c>
      <c r="G4323" s="11" t="s">
        <v>710</v>
      </c>
      <c r="H4323" s="2" t="s">
        <v>1334</v>
      </c>
      <c r="L4323" s="18">
        <v>1</v>
      </c>
      <c r="M4323" s="14" t="s">
        <v>8462</v>
      </c>
      <c r="N4323" s="13">
        <v>44211</v>
      </c>
      <c r="O4323" s="29">
        <v>7.49</v>
      </c>
      <c r="P4323" s="18" t="s">
        <v>14</v>
      </c>
      <c r="Q4323" s="18">
        <v>0</v>
      </c>
      <c r="U4323" s="22">
        <v>0.63</v>
      </c>
      <c r="V4323" s="22">
        <f>3.67/5</f>
        <v>0.73399999999999999</v>
      </c>
      <c r="X4323" s="3">
        <v>3</v>
      </c>
      <c r="Z4323" s="23">
        <v>48</v>
      </c>
      <c r="AB4323" s="18">
        <f t="shared" si="134"/>
        <v>2011</v>
      </c>
      <c r="AC4323" s="22">
        <f t="shared" si="135"/>
        <v>0.65466666666666662</v>
      </c>
    </row>
    <row r="4324" spans="1:29" ht="45">
      <c r="A4324" s="8" t="s">
        <v>5341</v>
      </c>
      <c r="B4324" s="17" t="s">
        <v>7800</v>
      </c>
      <c r="C4324" s="13">
        <v>40848</v>
      </c>
      <c r="D4324" s="13" t="s">
        <v>8465</v>
      </c>
      <c r="E4324" s="10" t="s">
        <v>1156</v>
      </c>
      <c r="F4324" s="10" t="s">
        <v>5342</v>
      </c>
      <c r="G4324" s="11" t="s">
        <v>4445</v>
      </c>
      <c r="H4324" s="2" t="s">
        <v>171</v>
      </c>
      <c r="L4324" s="18">
        <v>1</v>
      </c>
      <c r="N4324" s="13">
        <v>41583</v>
      </c>
      <c r="P4324" s="18" t="s">
        <v>1107</v>
      </c>
      <c r="Q4324" s="18">
        <v>0</v>
      </c>
      <c r="U4324" s="22">
        <v>0.65</v>
      </c>
      <c r="V4324" s="22">
        <f>3.33/5</f>
        <v>0.66600000000000004</v>
      </c>
      <c r="W4324" s="14" t="s">
        <v>7777</v>
      </c>
      <c r="X4324" s="3">
        <v>3</v>
      </c>
      <c r="Z4324" s="23">
        <v>12</v>
      </c>
      <c r="AB4324" s="18">
        <f t="shared" si="134"/>
        <v>2011</v>
      </c>
      <c r="AC4324" s="22">
        <f t="shared" si="135"/>
        <v>0.6386666666666666</v>
      </c>
    </row>
    <row r="4325" spans="1:29">
      <c r="A4325" s="8" t="s">
        <v>11707</v>
      </c>
      <c r="B4325" s="17" t="s">
        <v>7765</v>
      </c>
      <c r="C4325" s="13">
        <v>40848</v>
      </c>
      <c r="D4325" s="13" t="s">
        <v>8465</v>
      </c>
      <c r="E4325" s="10" t="s">
        <v>72</v>
      </c>
      <c r="F4325" s="10" t="s">
        <v>72</v>
      </c>
      <c r="G4325" s="11" t="s">
        <v>11706</v>
      </c>
      <c r="H4325" s="2" t="s">
        <v>21</v>
      </c>
      <c r="L4325" s="18">
        <v>0</v>
      </c>
      <c r="Q4325" s="18">
        <v>0</v>
      </c>
      <c r="U4325" s="22">
        <v>0.48</v>
      </c>
      <c r="V4325" s="22">
        <f>3.63/5</f>
        <v>0.72599999999999998</v>
      </c>
      <c r="X4325" s="3">
        <v>2</v>
      </c>
      <c r="Y4325" s="18">
        <v>1</v>
      </c>
      <c r="Z4325" s="23">
        <f>58/60</f>
        <v>0.96666666666666667</v>
      </c>
      <c r="AB4325" s="18">
        <f t="shared" si="134"/>
        <v>2011</v>
      </c>
      <c r="AC4325" s="22">
        <f t="shared" si="135"/>
        <v>0.53533333333333333</v>
      </c>
    </row>
    <row r="4326" spans="1:29" ht="25.5">
      <c r="A4326" s="8" t="s">
        <v>3690</v>
      </c>
      <c r="B4326" s="17" t="s">
        <v>7800</v>
      </c>
      <c r="C4326" s="13">
        <v>40847</v>
      </c>
      <c r="D4326" s="13" t="s">
        <v>8465</v>
      </c>
      <c r="E4326" s="10" t="s">
        <v>3691</v>
      </c>
      <c r="F4326" s="10" t="s">
        <v>1687</v>
      </c>
      <c r="G4326" s="11" t="s">
        <v>3692</v>
      </c>
      <c r="H4326" s="2" t="s">
        <v>67</v>
      </c>
      <c r="L4326" s="18">
        <v>1</v>
      </c>
      <c r="N4326" s="13">
        <v>41728</v>
      </c>
      <c r="P4326" s="18" t="s">
        <v>1107</v>
      </c>
      <c r="Q4326" s="18">
        <v>0</v>
      </c>
      <c r="U4326" s="22">
        <v>0.8</v>
      </c>
      <c r="V4326" s="22">
        <f>3.21/5</f>
        <v>0.64200000000000002</v>
      </c>
      <c r="W4326" s="14" t="s">
        <v>7777</v>
      </c>
      <c r="X4326" s="3">
        <v>2</v>
      </c>
      <c r="Z4326" s="23">
        <v>8</v>
      </c>
      <c r="AB4326" s="18">
        <f t="shared" si="134"/>
        <v>2011</v>
      </c>
      <c r="AC4326" s="22">
        <f t="shared" si="135"/>
        <v>0.61399999999999999</v>
      </c>
    </row>
    <row r="4327" spans="1:29" ht="30">
      <c r="A4327" s="8" t="s">
        <v>5285</v>
      </c>
      <c r="B4327" s="17" t="s">
        <v>7800</v>
      </c>
      <c r="C4327" s="13">
        <v>40844</v>
      </c>
      <c r="D4327" s="13" t="s">
        <v>8465</v>
      </c>
      <c r="E4327" s="10" t="s">
        <v>1583</v>
      </c>
      <c r="F4327" s="10" t="s">
        <v>5286</v>
      </c>
      <c r="G4327" s="11" t="s">
        <v>5285</v>
      </c>
      <c r="H4327" s="2" t="s">
        <v>67</v>
      </c>
      <c r="L4327" s="18">
        <v>1</v>
      </c>
      <c r="N4327" s="13">
        <v>41795</v>
      </c>
      <c r="O4327" s="29">
        <v>1.6</v>
      </c>
      <c r="P4327" s="18" t="s">
        <v>1107</v>
      </c>
      <c r="Q4327" s="18">
        <v>0</v>
      </c>
      <c r="U4327" s="22">
        <v>0.81</v>
      </c>
      <c r="V4327" s="22">
        <f>3.85/5</f>
        <v>0.77</v>
      </c>
      <c r="W4327" s="14" t="s">
        <v>7777</v>
      </c>
      <c r="X4327" s="3">
        <v>3</v>
      </c>
      <c r="Z4327" s="23">
        <v>13</v>
      </c>
      <c r="AB4327" s="18">
        <f t="shared" si="134"/>
        <v>2011</v>
      </c>
      <c r="AC4327" s="22">
        <f t="shared" si="135"/>
        <v>0.72666666666666668</v>
      </c>
    </row>
    <row r="4328" spans="1:29" ht="25.5">
      <c r="A4328" s="8" t="s">
        <v>5220</v>
      </c>
      <c r="B4328" s="17" t="s">
        <v>7800</v>
      </c>
      <c r="C4328" s="13">
        <v>40844</v>
      </c>
      <c r="D4328" s="13" t="s">
        <v>8465</v>
      </c>
      <c r="E4328" s="10" t="s">
        <v>3453</v>
      </c>
      <c r="F4328" s="10" t="s">
        <v>5219</v>
      </c>
      <c r="G4328" s="11" t="s">
        <v>5218</v>
      </c>
      <c r="H4328" s="2" t="s">
        <v>69</v>
      </c>
      <c r="L4328" s="18">
        <v>1</v>
      </c>
      <c r="N4328" s="13">
        <v>41446</v>
      </c>
      <c r="P4328" s="18" t="s">
        <v>1107</v>
      </c>
      <c r="Q4328" s="18">
        <v>0</v>
      </c>
      <c r="U4328" s="22">
        <v>0.43</v>
      </c>
      <c r="V4328" s="22">
        <f>2.68/5</f>
        <v>0.53600000000000003</v>
      </c>
      <c r="W4328" s="14" t="s">
        <v>7777</v>
      </c>
      <c r="X4328" s="3">
        <v>2</v>
      </c>
      <c r="Z4328" s="23">
        <v>129</v>
      </c>
      <c r="AB4328" s="18">
        <f t="shared" si="134"/>
        <v>2011</v>
      </c>
      <c r="AC4328" s="22">
        <f t="shared" si="135"/>
        <v>0.45533333333333337</v>
      </c>
    </row>
    <row r="4329" spans="1:29" ht="30">
      <c r="A4329" s="8" t="s">
        <v>9273</v>
      </c>
      <c r="B4329" s="17" t="s">
        <v>7762</v>
      </c>
      <c r="C4329" s="13">
        <v>40843</v>
      </c>
      <c r="D4329" s="13" t="s">
        <v>8463</v>
      </c>
      <c r="E4329" s="10" t="s">
        <v>72</v>
      </c>
      <c r="F4329" s="10" t="s">
        <v>9274</v>
      </c>
      <c r="H4329" s="2" t="s">
        <v>171</v>
      </c>
      <c r="K4329" s="18">
        <v>0</v>
      </c>
      <c r="L4329" s="18">
        <v>0</v>
      </c>
      <c r="Q4329" s="18">
        <v>0</v>
      </c>
      <c r="V4329" s="22">
        <f>3.98/5</f>
        <v>0.79600000000000004</v>
      </c>
      <c r="X4329" s="3">
        <v>3</v>
      </c>
      <c r="Z4329" s="23">
        <v>10.5</v>
      </c>
      <c r="AB4329" s="18">
        <f t="shared" si="134"/>
        <v>2011</v>
      </c>
      <c r="AC4329" s="22">
        <f t="shared" si="135"/>
        <v>0.69799999999999995</v>
      </c>
    </row>
    <row r="4330" spans="1:29" ht="30">
      <c r="A4330" s="8" t="s">
        <v>6240</v>
      </c>
      <c r="B4330" s="17" t="s">
        <v>7762</v>
      </c>
      <c r="C4330" s="13">
        <v>40843</v>
      </c>
      <c r="D4330" s="13" t="s">
        <v>8463</v>
      </c>
      <c r="E4330" s="10" t="s">
        <v>1082</v>
      </c>
      <c r="F4330" s="10" t="s">
        <v>1082</v>
      </c>
      <c r="G4330" s="11" t="s">
        <v>126</v>
      </c>
      <c r="H4330" s="2" t="s">
        <v>171</v>
      </c>
      <c r="K4330" s="18">
        <v>2</v>
      </c>
      <c r="L4330" s="18">
        <v>0</v>
      </c>
      <c r="Q4330" s="18">
        <v>0</v>
      </c>
      <c r="U4330" s="22">
        <v>0.8</v>
      </c>
      <c r="V4330" s="22">
        <f>4.24/5</f>
        <v>0.84800000000000009</v>
      </c>
      <c r="X4330" s="3">
        <v>2</v>
      </c>
      <c r="Z4330" s="23">
        <v>29</v>
      </c>
      <c r="AB4330" s="18">
        <f t="shared" si="134"/>
        <v>2011</v>
      </c>
      <c r="AC4330" s="22">
        <f t="shared" si="135"/>
        <v>0.68266666666666664</v>
      </c>
    </row>
    <row r="4331" spans="1:29">
      <c r="A4331" s="8" t="s">
        <v>7325</v>
      </c>
      <c r="B4331" s="17" t="s">
        <v>7783</v>
      </c>
      <c r="C4331" s="13">
        <v>40842</v>
      </c>
      <c r="D4331" s="13" t="s">
        <v>8465</v>
      </c>
      <c r="E4331" s="10" t="s">
        <v>7279</v>
      </c>
      <c r="F4331" s="10" t="s">
        <v>7279</v>
      </c>
      <c r="H4331" s="2" t="s">
        <v>1334</v>
      </c>
      <c r="L4331" s="18">
        <v>1</v>
      </c>
      <c r="N4331" s="13">
        <v>41403</v>
      </c>
      <c r="O4331" s="29">
        <v>0.99</v>
      </c>
      <c r="P4331" s="18" t="s">
        <v>1107</v>
      </c>
      <c r="Q4331" s="18">
        <v>0</v>
      </c>
      <c r="U4331" s="22">
        <v>0.78</v>
      </c>
      <c r="V4331" s="22">
        <f>4/5</f>
        <v>0.8</v>
      </c>
      <c r="X4331" s="3">
        <v>3</v>
      </c>
      <c r="Z4331" s="23">
        <v>7.5</v>
      </c>
      <c r="AB4331" s="18">
        <f t="shared" si="134"/>
        <v>2011</v>
      </c>
      <c r="AC4331" s="22">
        <f t="shared" si="135"/>
        <v>0.72666666666666668</v>
      </c>
    </row>
    <row r="4332" spans="1:29">
      <c r="A4332" s="8" t="s">
        <v>6531</v>
      </c>
      <c r="B4332" s="17" t="s">
        <v>7800</v>
      </c>
      <c r="C4332" s="13">
        <v>40841</v>
      </c>
      <c r="D4332" s="13" t="s">
        <v>8465</v>
      </c>
      <c r="E4332" s="10" t="s">
        <v>231</v>
      </c>
      <c r="F4332" s="10" t="s">
        <v>4461</v>
      </c>
      <c r="G4332" s="11" t="s">
        <v>6350</v>
      </c>
      <c r="H4332" s="2" t="s">
        <v>1050</v>
      </c>
      <c r="L4332" s="18">
        <v>1</v>
      </c>
      <c r="N4332" s="13">
        <v>41502</v>
      </c>
      <c r="O4332" s="29">
        <v>0</v>
      </c>
      <c r="P4332" s="18" t="s">
        <v>1107</v>
      </c>
      <c r="Q4332" s="18">
        <v>0</v>
      </c>
      <c r="U4332" s="22">
        <v>0.87</v>
      </c>
      <c r="V4332" s="22">
        <f>3.92/5</f>
        <v>0.78400000000000003</v>
      </c>
      <c r="W4332" s="14" t="s">
        <v>7796</v>
      </c>
      <c r="X4332" s="3">
        <v>3</v>
      </c>
      <c r="Z4332" s="23">
        <v>6</v>
      </c>
      <c r="AB4332" s="18">
        <f t="shared" si="134"/>
        <v>2011</v>
      </c>
      <c r="AC4332" s="22">
        <f t="shared" si="135"/>
        <v>0.7513333333333333</v>
      </c>
    </row>
    <row r="4333" spans="1:29" ht="30">
      <c r="A4333" s="8" t="s">
        <v>10095</v>
      </c>
      <c r="B4333" s="17" t="s">
        <v>7759</v>
      </c>
      <c r="C4333" s="13">
        <v>40841</v>
      </c>
      <c r="D4333" s="13" t="s">
        <v>8465</v>
      </c>
      <c r="E4333" s="10" t="s">
        <v>2908</v>
      </c>
      <c r="F4333" s="10" t="s">
        <v>2127</v>
      </c>
      <c r="G4333" s="11" t="s">
        <v>4707</v>
      </c>
      <c r="H4333" s="2" t="s">
        <v>21</v>
      </c>
      <c r="L4333" s="18">
        <v>0</v>
      </c>
      <c r="Q4333" s="18">
        <v>0</v>
      </c>
      <c r="U4333" s="22">
        <v>0.76</v>
      </c>
      <c r="V4333" s="22">
        <f>3.71/5</f>
        <v>0.74199999999999999</v>
      </c>
      <c r="W4333" s="14" t="s">
        <v>9890</v>
      </c>
      <c r="X4333" s="3">
        <v>3</v>
      </c>
      <c r="Z4333" s="23">
        <v>2.5</v>
      </c>
      <c r="AB4333" s="18">
        <f t="shared" si="134"/>
        <v>2011</v>
      </c>
      <c r="AC4333" s="22">
        <f t="shared" si="135"/>
        <v>0.70066666666666666</v>
      </c>
    </row>
    <row r="4334" spans="1:29">
      <c r="A4334" s="8" t="s">
        <v>14578</v>
      </c>
      <c r="B4334" s="17" t="s">
        <v>7765</v>
      </c>
      <c r="C4334" s="13">
        <v>40841</v>
      </c>
      <c r="D4334" s="13" t="s">
        <v>8465</v>
      </c>
      <c r="E4334" s="10" t="s">
        <v>1571</v>
      </c>
      <c r="F4334" s="10" t="s">
        <v>9288</v>
      </c>
      <c r="H4334" s="2" t="s">
        <v>1050</v>
      </c>
      <c r="L4334" s="18">
        <v>0</v>
      </c>
      <c r="Q4334" s="18">
        <v>0</v>
      </c>
      <c r="U4334" s="22">
        <v>0.37</v>
      </c>
      <c r="V4334" s="22">
        <f>1.64/5</f>
        <v>0.32799999999999996</v>
      </c>
      <c r="X4334" s="3">
        <v>2</v>
      </c>
      <c r="Y4334" s="18">
        <v>1</v>
      </c>
      <c r="Z4334" s="23">
        <v>2</v>
      </c>
      <c r="AB4334" s="18">
        <f t="shared" si="134"/>
        <v>2011</v>
      </c>
      <c r="AC4334" s="22">
        <f t="shared" si="135"/>
        <v>0.36599999999999994</v>
      </c>
    </row>
    <row r="4335" spans="1:29" ht="25.5">
      <c r="A4335" s="8" t="s">
        <v>1002</v>
      </c>
      <c r="B4335" s="17" t="s">
        <v>7741</v>
      </c>
      <c r="C4335" s="13">
        <v>40840</v>
      </c>
      <c r="D4335" s="13" t="s">
        <v>8465</v>
      </c>
      <c r="E4335" s="10" t="s">
        <v>86</v>
      </c>
      <c r="F4335" s="10" t="s">
        <v>30</v>
      </c>
      <c r="G4335" s="11" t="s">
        <v>223</v>
      </c>
      <c r="H4335" s="2" t="s">
        <v>64</v>
      </c>
      <c r="L4335" s="18">
        <v>0</v>
      </c>
      <c r="Q4335" s="18">
        <v>0</v>
      </c>
      <c r="U4335" s="22">
        <v>0.81</v>
      </c>
      <c r="V4335" s="22">
        <f>4.22/5</f>
        <v>0.84399999999999997</v>
      </c>
      <c r="X4335" s="3">
        <v>4</v>
      </c>
      <c r="Z4335" s="23">
        <v>6.5</v>
      </c>
      <c r="AB4335" s="18">
        <f t="shared" si="134"/>
        <v>2011</v>
      </c>
      <c r="AC4335" s="22">
        <f t="shared" si="135"/>
        <v>0.81799999999999995</v>
      </c>
    </row>
    <row r="4336" spans="1:29" ht="25.5">
      <c r="A4336" s="8" t="s">
        <v>4950</v>
      </c>
      <c r="B4336" s="17" t="s">
        <v>7800</v>
      </c>
      <c r="C4336" s="13">
        <v>40840</v>
      </c>
      <c r="D4336" s="13" t="s">
        <v>8465</v>
      </c>
      <c r="E4336" s="10" t="s">
        <v>3063</v>
      </c>
      <c r="F4336" s="10" t="s">
        <v>4364</v>
      </c>
      <c r="G4336" s="11" t="s">
        <v>4943</v>
      </c>
      <c r="H4336" s="2" t="s">
        <v>149</v>
      </c>
      <c r="L4336" s="18">
        <v>1</v>
      </c>
      <c r="N4336" s="13">
        <v>41226</v>
      </c>
      <c r="P4336" s="18" t="s">
        <v>1107</v>
      </c>
      <c r="Q4336" s="18">
        <v>0</v>
      </c>
      <c r="U4336" s="22">
        <v>0.64</v>
      </c>
      <c r="V4336" s="22">
        <f>2.7/5</f>
        <v>0.54</v>
      </c>
      <c r="W4336" s="14" t="s">
        <v>7777</v>
      </c>
      <c r="X4336" s="3">
        <v>3</v>
      </c>
      <c r="Z4336" s="23">
        <v>1.5</v>
      </c>
      <c r="AB4336" s="18">
        <f t="shared" si="134"/>
        <v>2011</v>
      </c>
      <c r="AC4336" s="22">
        <f t="shared" si="135"/>
        <v>0.59333333333333338</v>
      </c>
    </row>
    <row r="4337" spans="1:29">
      <c r="A4337" s="8" t="s">
        <v>7708</v>
      </c>
      <c r="B4337" s="17" t="s">
        <v>7749</v>
      </c>
      <c r="C4337" s="13">
        <v>40840</v>
      </c>
      <c r="D4337" s="13" t="s">
        <v>8465</v>
      </c>
      <c r="E4337" s="10" t="s">
        <v>86</v>
      </c>
      <c r="F4337" s="10" t="s">
        <v>7701</v>
      </c>
      <c r="G4337" s="11" t="s">
        <v>1470</v>
      </c>
      <c r="H4337" s="2" t="s">
        <v>153</v>
      </c>
      <c r="L4337" s="18">
        <v>1</v>
      </c>
      <c r="M4337" s="14" t="s">
        <v>8462</v>
      </c>
      <c r="N4337" s="13">
        <v>44223</v>
      </c>
      <c r="O4337" s="29">
        <v>15.16</v>
      </c>
      <c r="P4337" s="18" t="s">
        <v>14</v>
      </c>
      <c r="Q4337" s="18">
        <v>0</v>
      </c>
      <c r="U4337" s="22">
        <v>0.57999999999999996</v>
      </c>
      <c r="V4337" s="22">
        <f>3.72/5</f>
        <v>0.74399999999999999</v>
      </c>
      <c r="X4337" s="3">
        <v>2</v>
      </c>
      <c r="Z4337" s="23">
        <v>14</v>
      </c>
      <c r="AB4337" s="18">
        <f t="shared" si="134"/>
        <v>2011</v>
      </c>
      <c r="AC4337" s="22">
        <f t="shared" si="135"/>
        <v>0.57466666666666655</v>
      </c>
    </row>
    <row r="4338" spans="1:29">
      <c r="A4338" s="8" t="s">
        <v>3282</v>
      </c>
      <c r="B4338" s="17" t="s">
        <v>7800</v>
      </c>
      <c r="C4338" s="13">
        <v>40836</v>
      </c>
      <c r="D4338" s="13" t="s">
        <v>8465</v>
      </c>
      <c r="E4338" s="10" t="s">
        <v>3283</v>
      </c>
      <c r="F4338" s="10" t="s">
        <v>3283</v>
      </c>
      <c r="H4338" s="2" t="s">
        <v>1220</v>
      </c>
      <c r="L4338" s="18">
        <v>1</v>
      </c>
      <c r="N4338" s="13">
        <v>41102</v>
      </c>
      <c r="O4338" s="29">
        <v>1.99</v>
      </c>
      <c r="P4338" s="18" t="s">
        <v>1107</v>
      </c>
      <c r="Q4338" s="18">
        <v>0</v>
      </c>
      <c r="U4338" s="22">
        <v>0.67</v>
      </c>
      <c r="V4338" s="22">
        <f>3.76/5</f>
        <v>0.752</v>
      </c>
      <c r="W4338" s="14" t="s">
        <v>7777</v>
      </c>
      <c r="X4338" s="3">
        <v>3</v>
      </c>
      <c r="Z4338" s="23">
        <v>9.5</v>
      </c>
      <c r="AB4338" s="18">
        <f t="shared" si="134"/>
        <v>2011</v>
      </c>
      <c r="AC4338" s="22">
        <f t="shared" si="135"/>
        <v>0.67400000000000004</v>
      </c>
    </row>
    <row r="4339" spans="1:29" ht="30">
      <c r="A4339" s="8" t="s">
        <v>5999</v>
      </c>
      <c r="B4339" s="17" t="s">
        <v>7759</v>
      </c>
      <c r="C4339" s="13">
        <v>40834</v>
      </c>
      <c r="D4339" s="13" t="s">
        <v>8465</v>
      </c>
      <c r="E4339" s="10" t="s">
        <v>2908</v>
      </c>
      <c r="F4339" s="10" t="s">
        <v>3039</v>
      </c>
      <c r="G4339" s="11" t="s">
        <v>5853</v>
      </c>
      <c r="H4339" s="2" t="s">
        <v>1040</v>
      </c>
      <c r="L4339" s="18">
        <v>1</v>
      </c>
      <c r="M4339" s="14" t="s">
        <v>8462</v>
      </c>
      <c r="N4339" s="13">
        <v>43485</v>
      </c>
      <c r="O4339" s="29">
        <v>9.49</v>
      </c>
      <c r="P4339" s="18" t="s">
        <v>14</v>
      </c>
      <c r="Q4339" s="18">
        <v>0</v>
      </c>
      <c r="U4339" s="22">
        <v>0.71</v>
      </c>
      <c r="V4339" s="22">
        <f>3.51/5</f>
        <v>0.70199999999999996</v>
      </c>
      <c r="X4339" s="3">
        <v>4</v>
      </c>
      <c r="Z4339" s="23">
        <v>10.5</v>
      </c>
      <c r="AB4339" s="18">
        <f t="shared" si="134"/>
        <v>2011</v>
      </c>
      <c r="AC4339" s="22">
        <f t="shared" si="135"/>
        <v>0.73733333333333329</v>
      </c>
    </row>
    <row r="4340" spans="1:29" ht="25.5">
      <c r="A4340" s="8" t="s">
        <v>2280</v>
      </c>
      <c r="B4340" s="17" t="s">
        <v>7748</v>
      </c>
      <c r="C4340" s="13">
        <v>40833</v>
      </c>
      <c r="D4340" s="13" t="s">
        <v>8465</v>
      </c>
      <c r="E4340" s="10" t="s">
        <v>86</v>
      </c>
      <c r="F4340" s="10" t="s">
        <v>2129</v>
      </c>
      <c r="G4340" s="11" t="s">
        <v>2130</v>
      </c>
      <c r="H4340" s="2" t="s">
        <v>78</v>
      </c>
      <c r="L4340" s="18">
        <v>0</v>
      </c>
      <c r="Q4340" s="18">
        <v>0</v>
      </c>
      <c r="U4340" s="22">
        <v>0.84</v>
      </c>
      <c r="V4340" s="22">
        <f>4.12/5</f>
        <v>0.82400000000000007</v>
      </c>
      <c r="X4340" s="3">
        <v>4</v>
      </c>
      <c r="Z4340" s="23">
        <v>12.5</v>
      </c>
      <c r="AB4340" s="18">
        <f t="shared" si="134"/>
        <v>2011</v>
      </c>
      <c r="AC4340" s="22">
        <f t="shared" si="135"/>
        <v>0.82133333333333347</v>
      </c>
    </row>
    <row r="4341" spans="1:29" ht="30">
      <c r="A4341" s="8" t="s">
        <v>3500</v>
      </c>
      <c r="B4341" s="17" t="s">
        <v>7800</v>
      </c>
      <c r="C4341" s="13">
        <v>40830</v>
      </c>
      <c r="D4341" s="13" t="s">
        <v>8465</v>
      </c>
      <c r="E4341" s="10" t="s">
        <v>3370</v>
      </c>
      <c r="F4341" s="10" t="s">
        <v>3370</v>
      </c>
      <c r="G4341" s="11" t="s">
        <v>3500</v>
      </c>
      <c r="H4341" s="2" t="s">
        <v>149</v>
      </c>
      <c r="L4341" s="18">
        <v>1</v>
      </c>
      <c r="N4341" s="13">
        <v>41401</v>
      </c>
      <c r="P4341" s="18" t="s">
        <v>1107</v>
      </c>
      <c r="Q4341" s="18">
        <v>0</v>
      </c>
      <c r="U4341" s="22">
        <v>0.74</v>
      </c>
      <c r="V4341" s="22">
        <f>3.58/5</f>
        <v>0.71599999999999997</v>
      </c>
      <c r="W4341" s="14" t="s">
        <v>7777</v>
      </c>
      <c r="X4341" s="3">
        <v>3</v>
      </c>
      <c r="Z4341" s="23">
        <v>5.5</v>
      </c>
      <c r="AB4341" s="18">
        <f t="shared" si="134"/>
        <v>2011</v>
      </c>
      <c r="AC4341" s="22">
        <f t="shared" si="135"/>
        <v>0.68533333333333335</v>
      </c>
    </row>
    <row r="4342" spans="1:29">
      <c r="A4342" s="8" t="s">
        <v>10650</v>
      </c>
      <c r="B4342" s="17" t="s">
        <v>7765</v>
      </c>
      <c r="C4342" s="13">
        <v>40829</v>
      </c>
      <c r="D4342" s="13" t="s">
        <v>8465</v>
      </c>
      <c r="E4342" s="10" t="s">
        <v>3116</v>
      </c>
      <c r="F4342" s="10" t="s">
        <v>10651</v>
      </c>
      <c r="G4342" s="11" t="s">
        <v>10642</v>
      </c>
      <c r="H4342" s="2" t="s">
        <v>150</v>
      </c>
      <c r="L4342" s="18">
        <v>0</v>
      </c>
      <c r="Q4342" s="18">
        <v>0</v>
      </c>
      <c r="U4342" s="22">
        <v>0.91</v>
      </c>
      <c r="V4342" s="22">
        <f>4.3/5</f>
        <v>0.86</v>
      </c>
      <c r="X4342" s="3">
        <v>2</v>
      </c>
      <c r="Y4342" s="18">
        <v>1</v>
      </c>
      <c r="Z4342" s="23">
        <v>29</v>
      </c>
      <c r="AB4342" s="18">
        <f t="shared" si="134"/>
        <v>2011</v>
      </c>
      <c r="AC4342" s="22">
        <f t="shared" si="135"/>
        <v>0.72333333333333327</v>
      </c>
    </row>
    <row r="4343" spans="1:29">
      <c r="A4343" s="8" t="s">
        <v>4603</v>
      </c>
      <c r="B4343" s="17" t="s">
        <v>7800</v>
      </c>
      <c r="C4343" s="13">
        <v>40828</v>
      </c>
      <c r="D4343" s="13" t="s">
        <v>8465</v>
      </c>
      <c r="E4343" s="10" t="s">
        <v>4604</v>
      </c>
      <c r="F4343" s="10" t="s">
        <v>4604</v>
      </c>
      <c r="G4343" s="11" t="s">
        <v>4603</v>
      </c>
      <c r="H4343" s="2" t="s">
        <v>1169</v>
      </c>
      <c r="L4343" s="18">
        <v>1</v>
      </c>
      <c r="N4343" s="13">
        <v>41204</v>
      </c>
      <c r="O4343" s="29">
        <v>3.24</v>
      </c>
      <c r="P4343" s="18" t="s">
        <v>1107</v>
      </c>
      <c r="Q4343" s="18">
        <v>0</v>
      </c>
      <c r="U4343" s="22">
        <v>0.83</v>
      </c>
      <c r="V4343" s="22">
        <f>3.66/5</f>
        <v>0.73199999999999998</v>
      </c>
      <c r="W4343" s="14" t="s">
        <v>7777</v>
      </c>
      <c r="X4343" s="3">
        <v>3</v>
      </c>
      <c r="Z4343" s="23">
        <v>8.5</v>
      </c>
      <c r="AB4343" s="18">
        <f t="shared" si="134"/>
        <v>2011</v>
      </c>
      <c r="AC4343" s="22">
        <f t="shared" si="135"/>
        <v>0.72066666666666668</v>
      </c>
    </row>
    <row r="4344" spans="1:29" ht="25.5">
      <c r="A4344" s="8" t="s">
        <v>5281</v>
      </c>
      <c r="B4344" s="17" t="s">
        <v>7800</v>
      </c>
      <c r="C4344" s="13">
        <v>40828</v>
      </c>
      <c r="D4344" s="13" t="s">
        <v>8465</v>
      </c>
      <c r="E4344" s="10" t="s">
        <v>3066</v>
      </c>
      <c r="F4344" s="10" t="s">
        <v>3066</v>
      </c>
      <c r="G4344" s="11" t="s">
        <v>3329</v>
      </c>
      <c r="H4344" s="2" t="s">
        <v>67</v>
      </c>
      <c r="L4344" s="18">
        <v>1</v>
      </c>
      <c r="N4344" s="13">
        <v>41201</v>
      </c>
      <c r="P4344" s="18" t="s">
        <v>1107</v>
      </c>
      <c r="Q4344" s="18">
        <v>0</v>
      </c>
      <c r="U4344" s="22">
        <v>0.81</v>
      </c>
      <c r="V4344" s="22">
        <f>3.64/5</f>
        <v>0.72799999999999998</v>
      </c>
      <c r="W4344" s="14" t="s">
        <v>7777</v>
      </c>
      <c r="X4344" s="3">
        <v>3</v>
      </c>
      <c r="Z4344" s="23">
        <v>4.5</v>
      </c>
      <c r="AB4344" s="18">
        <f t="shared" si="134"/>
        <v>2011</v>
      </c>
      <c r="AC4344" s="22">
        <f t="shared" si="135"/>
        <v>0.71266666666666667</v>
      </c>
    </row>
    <row r="4345" spans="1:29" ht="30">
      <c r="A4345" s="8" t="s">
        <v>2156</v>
      </c>
      <c r="B4345" s="17" t="s">
        <v>7748</v>
      </c>
      <c r="C4345" s="13">
        <v>40827</v>
      </c>
      <c r="D4345" s="13" t="s">
        <v>8465</v>
      </c>
      <c r="E4345" s="10" t="s">
        <v>455</v>
      </c>
      <c r="F4345" s="10" t="s">
        <v>1084</v>
      </c>
      <c r="G4345" s="11" t="s">
        <v>442</v>
      </c>
      <c r="H4345" s="2" t="s">
        <v>143</v>
      </c>
      <c r="L4345" s="18">
        <v>0</v>
      </c>
      <c r="Q4345" s="18">
        <v>0</v>
      </c>
      <c r="U4345" s="22">
        <v>0.77</v>
      </c>
      <c r="V4345" s="22">
        <f>3.74/5</f>
        <v>0.748</v>
      </c>
      <c r="X4345" s="3">
        <v>3</v>
      </c>
      <c r="Z4345" s="23">
        <v>6</v>
      </c>
      <c r="AB4345" s="18">
        <f t="shared" si="134"/>
        <v>2011</v>
      </c>
      <c r="AC4345" s="22">
        <f t="shared" si="135"/>
        <v>0.70599999999999996</v>
      </c>
    </row>
    <row r="4346" spans="1:29" ht="25.5">
      <c r="A4346" s="8" t="s">
        <v>6009</v>
      </c>
      <c r="B4346" s="17" t="s">
        <v>7759</v>
      </c>
      <c r="C4346" s="13">
        <v>40823</v>
      </c>
      <c r="D4346" s="13" t="s">
        <v>8465</v>
      </c>
      <c r="E4346" s="10" t="s">
        <v>66</v>
      </c>
      <c r="F4346" s="10" t="s">
        <v>1269</v>
      </c>
      <c r="G4346" s="11" t="s">
        <v>1540</v>
      </c>
      <c r="H4346" s="2" t="s">
        <v>171</v>
      </c>
      <c r="L4346" s="18">
        <v>1</v>
      </c>
      <c r="M4346" s="14" t="s">
        <v>8462</v>
      </c>
      <c r="N4346" s="13">
        <v>43597</v>
      </c>
      <c r="O4346" s="29">
        <v>9.99</v>
      </c>
      <c r="P4346" s="18" t="s">
        <v>14</v>
      </c>
      <c r="Q4346" s="18">
        <v>0</v>
      </c>
      <c r="U4346" s="22">
        <v>0.55000000000000004</v>
      </c>
      <c r="V4346" s="22">
        <f>4/5</f>
        <v>0.8</v>
      </c>
      <c r="X4346" s="3">
        <v>2</v>
      </c>
      <c r="Z4346" s="23">
        <v>63</v>
      </c>
      <c r="AB4346" s="18">
        <f t="shared" si="134"/>
        <v>2011</v>
      </c>
      <c r="AC4346" s="22">
        <f t="shared" si="135"/>
        <v>0.58333333333333337</v>
      </c>
    </row>
    <row r="4347" spans="1:29" ht="30">
      <c r="A4347" s="8" t="s">
        <v>581</v>
      </c>
      <c r="B4347" s="17" t="s">
        <v>7825</v>
      </c>
      <c r="C4347" s="13">
        <v>40820</v>
      </c>
      <c r="D4347" s="13" t="s">
        <v>8465</v>
      </c>
      <c r="E4347" s="10" t="s">
        <v>1082</v>
      </c>
      <c r="F4347" s="10" t="s">
        <v>1082</v>
      </c>
      <c r="G4347" s="11" t="s">
        <v>1251</v>
      </c>
      <c r="H4347" s="2" t="s">
        <v>149</v>
      </c>
      <c r="L4347" s="18">
        <v>1</v>
      </c>
      <c r="N4347" s="13">
        <v>43587</v>
      </c>
      <c r="O4347" s="29">
        <v>9.99</v>
      </c>
      <c r="P4347" s="18" t="s">
        <v>1107</v>
      </c>
      <c r="Q4347" s="18">
        <v>0</v>
      </c>
      <c r="V4347" s="22">
        <f>4.34/5</f>
        <v>0.86799999999999999</v>
      </c>
      <c r="X4347" s="3">
        <v>3</v>
      </c>
      <c r="Z4347" s="23">
        <v>23</v>
      </c>
      <c r="AB4347" s="18">
        <f t="shared" si="134"/>
        <v>2011</v>
      </c>
      <c r="AC4347" s="22">
        <f t="shared" si="135"/>
        <v>0.73399999999999999</v>
      </c>
    </row>
    <row r="4348" spans="1:29" ht="30">
      <c r="A4348" s="8" t="s">
        <v>14215</v>
      </c>
      <c r="B4348" s="17" t="s">
        <v>7749</v>
      </c>
      <c r="C4348" s="13">
        <v>40820</v>
      </c>
      <c r="D4348" s="13" t="s">
        <v>8465</v>
      </c>
      <c r="E4348" s="10" t="s">
        <v>66</v>
      </c>
      <c r="F4348" s="10" t="s">
        <v>14216</v>
      </c>
      <c r="G4348" s="11" t="s">
        <v>14217</v>
      </c>
      <c r="H4348" s="2" t="s">
        <v>1220</v>
      </c>
      <c r="L4348" s="18">
        <v>0</v>
      </c>
      <c r="Q4348" s="18">
        <v>0</v>
      </c>
      <c r="U4348" s="22">
        <v>0.62</v>
      </c>
      <c r="V4348" s="22">
        <f>3.53/5</f>
        <v>0.70599999999999996</v>
      </c>
      <c r="X4348" s="3">
        <v>2</v>
      </c>
      <c r="Y4348" s="18">
        <v>1</v>
      </c>
      <c r="Z4348" s="23">
        <v>3</v>
      </c>
      <c r="AB4348" s="18">
        <f t="shared" si="134"/>
        <v>2011</v>
      </c>
      <c r="AC4348" s="22">
        <f t="shared" si="135"/>
        <v>0.57533333333333336</v>
      </c>
    </row>
    <row r="4349" spans="1:29" ht="25.5">
      <c r="A4349" s="8" t="s">
        <v>15087</v>
      </c>
      <c r="B4349" s="17" t="s">
        <v>7759</v>
      </c>
      <c r="C4349" s="13">
        <v>40820</v>
      </c>
      <c r="D4349" s="13" t="s">
        <v>8465</v>
      </c>
      <c r="E4349" s="10" t="s">
        <v>1273</v>
      </c>
      <c r="F4349" s="10" t="s">
        <v>6103</v>
      </c>
      <c r="G4349" s="11" t="s">
        <v>1264</v>
      </c>
      <c r="H4349" s="2" t="s">
        <v>80</v>
      </c>
      <c r="L4349" s="18">
        <v>0</v>
      </c>
      <c r="Q4349" s="18">
        <v>0</v>
      </c>
      <c r="U4349" s="22">
        <v>0.57999999999999996</v>
      </c>
      <c r="V4349" s="22">
        <f>3.46/5</f>
        <v>0.69199999999999995</v>
      </c>
      <c r="X4349" s="3">
        <v>2</v>
      </c>
      <c r="Y4349" s="18">
        <v>1</v>
      </c>
      <c r="Z4349" s="23">
        <v>7</v>
      </c>
      <c r="AB4349" s="18">
        <f t="shared" si="134"/>
        <v>2011</v>
      </c>
      <c r="AC4349" s="22">
        <f t="shared" si="135"/>
        <v>0.55733333333333324</v>
      </c>
    </row>
    <row r="4350" spans="1:29">
      <c r="A4350" s="8" t="s">
        <v>4778</v>
      </c>
      <c r="B4350" s="17" t="s">
        <v>7800</v>
      </c>
      <c r="C4350" s="13">
        <v>40820</v>
      </c>
      <c r="D4350" s="13" t="s">
        <v>8465</v>
      </c>
      <c r="E4350" s="10" t="s">
        <v>1690</v>
      </c>
      <c r="F4350" s="10" t="s">
        <v>1889</v>
      </c>
      <c r="G4350" s="11" t="s">
        <v>4778</v>
      </c>
      <c r="H4350" s="2" t="s">
        <v>1050</v>
      </c>
      <c r="L4350" s="18">
        <v>1</v>
      </c>
      <c r="N4350" s="13">
        <v>41747</v>
      </c>
      <c r="O4350" s="29">
        <v>4</v>
      </c>
      <c r="P4350" s="18" t="s">
        <v>1107</v>
      </c>
      <c r="Q4350" s="18">
        <v>0</v>
      </c>
      <c r="U4350" s="22">
        <v>0.78</v>
      </c>
      <c r="V4350" s="22">
        <f>3.28/5</f>
        <v>0.65599999999999992</v>
      </c>
      <c r="W4350" s="14" t="s">
        <v>7777</v>
      </c>
      <c r="X4350" s="3">
        <v>3</v>
      </c>
      <c r="Z4350" s="23">
        <v>11</v>
      </c>
      <c r="AB4350" s="18">
        <f t="shared" si="134"/>
        <v>2011</v>
      </c>
      <c r="AC4350" s="22">
        <f t="shared" si="135"/>
        <v>0.67866666666666664</v>
      </c>
    </row>
    <row r="4351" spans="1:29" ht="25.5">
      <c r="A4351" s="8" t="s">
        <v>3997</v>
      </c>
      <c r="B4351" s="17" t="s">
        <v>7800</v>
      </c>
      <c r="C4351" s="13">
        <v>40816</v>
      </c>
      <c r="D4351" s="13" t="s">
        <v>8465</v>
      </c>
      <c r="E4351" s="10" t="s">
        <v>3998</v>
      </c>
      <c r="F4351" s="10" t="s">
        <v>3999</v>
      </c>
      <c r="G4351" s="11" t="s">
        <v>5712</v>
      </c>
      <c r="H4351" s="2" t="s">
        <v>1057</v>
      </c>
      <c r="L4351" s="18">
        <v>1</v>
      </c>
      <c r="N4351" s="13">
        <v>42047</v>
      </c>
      <c r="P4351" s="18" t="s">
        <v>1107</v>
      </c>
      <c r="Q4351" s="18">
        <v>0</v>
      </c>
      <c r="U4351" s="22">
        <v>0.6</v>
      </c>
      <c r="V4351" s="22">
        <f>3.24/5</f>
        <v>0.64800000000000002</v>
      </c>
      <c r="W4351" s="14" t="s">
        <v>7777</v>
      </c>
      <c r="X4351" s="3">
        <v>2</v>
      </c>
      <c r="Z4351" s="23">
        <v>3</v>
      </c>
      <c r="AB4351" s="18">
        <f t="shared" si="134"/>
        <v>2011</v>
      </c>
      <c r="AC4351" s="22">
        <f t="shared" si="135"/>
        <v>0.54933333333333334</v>
      </c>
    </row>
    <row r="4352" spans="1:29" ht="30">
      <c r="A4352" s="8" t="s">
        <v>7866</v>
      </c>
      <c r="B4352" s="17" t="s">
        <v>7762</v>
      </c>
      <c r="C4352" s="13">
        <v>40815</v>
      </c>
      <c r="D4352" s="13" t="s">
        <v>8463</v>
      </c>
      <c r="E4352" s="10" t="s">
        <v>1245</v>
      </c>
      <c r="F4352" s="10" t="s">
        <v>1245</v>
      </c>
      <c r="G4352" s="11" t="s">
        <v>2892</v>
      </c>
      <c r="H4352" s="2" t="s">
        <v>149</v>
      </c>
      <c r="K4352" s="18">
        <v>2</v>
      </c>
      <c r="L4352" s="18">
        <v>0</v>
      </c>
      <c r="Q4352" s="18">
        <v>0</v>
      </c>
      <c r="V4352" s="22">
        <f>4.23/5</f>
        <v>0.84600000000000009</v>
      </c>
      <c r="X4352" s="3">
        <v>4</v>
      </c>
      <c r="Z4352" s="23">
        <v>51.5</v>
      </c>
      <c r="AB4352" s="18">
        <f t="shared" si="134"/>
        <v>2011</v>
      </c>
      <c r="AC4352" s="22">
        <f t="shared" si="135"/>
        <v>0.82300000000000006</v>
      </c>
    </row>
    <row r="4353" spans="1:29">
      <c r="A4353" s="8" t="s">
        <v>5279</v>
      </c>
      <c r="B4353" s="17" t="s">
        <v>7800</v>
      </c>
      <c r="C4353" s="13">
        <v>40814</v>
      </c>
      <c r="D4353" s="13" t="s">
        <v>8465</v>
      </c>
      <c r="E4353" s="10" t="s">
        <v>1693</v>
      </c>
      <c r="F4353" s="10" t="s">
        <v>1693</v>
      </c>
      <c r="G4353" s="11" t="s">
        <v>5279</v>
      </c>
      <c r="H4353" s="2" t="s">
        <v>1518</v>
      </c>
      <c r="L4353" s="18">
        <v>1</v>
      </c>
      <c r="N4353" s="13">
        <v>40859</v>
      </c>
      <c r="P4353" s="18" t="s">
        <v>1107</v>
      </c>
      <c r="Q4353" s="18">
        <v>0</v>
      </c>
      <c r="U4353" s="22">
        <v>0.84</v>
      </c>
      <c r="V4353" s="22">
        <f>3.92/5</f>
        <v>0.78400000000000003</v>
      </c>
      <c r="W4353" s="14" t="s">
        <v>7777</v>
      </c>
      <c r="X4353" s="3">
        <v>3</v>
      </c>
      <c r="Z4353" s="23">
        <v>11</v>
      </c>
      <c r="AB4353" s="18">
        <f t="shared" ref="AB4353:AB4416" si="136">IFERROR(YEAR(C4353), "Early Access")</f>
        <v>2011</v>
      </c>
      <c r="AC4353" s="22">
        <f t="shared" ref="AC4353:AC4416" si="137">AVERAGE(T4353, U4353, V4353, IF(ISBLANK(X4353), X4353, X4353/5))</f>
        <v>0.7413333333333334</v>
      </c>
    </row>
    <row r="4354" spans="1:29" ht="25.5">
      <c r="A4354" s="8" t="s">
        <v>2213</v>
      </c>
      <c r="B4354" s="17" t="s">
        <v>7748</v>
      </c>
      <c r="C4354" s="13">
        <v>40813</v>
      </c>
      <c r="D4354" s="13" t="s">
        <v>8465</v>
      </c>
      <c r="E4354" s="10" t="s">
        <v>1534</v>
      </c>
      <c r="F4354" s="10" t="s">
        <v>2314</v>
      </c>
      <c r="G4354" s="11" t="s">
        <v>10377</v>
      </c>
      <c r="H4354" s="2" t="s">
        <v>171</v>
      </c>
      <c r="L4354" s="18">
        <v>0</v>
      </c>
      <c r="Q4354" s="18">
        <v>0</v>
      </c>
      <c r="U4354" s="22">
        <v>0.76</v>
      </c>
      <c r="V4354" s="22">
        <f>4.16/5</f>
        <v>0.83200000000000007</v>
      </c>
      <c r="X4354" s="3">
        <v>3</v>
      </c>
      <c r="Z4354" s="23">
        <v>18.5</v>
      </c>
      <c r="AB4354" s="18">
        <f t="shared" si="136"/>
        <v>2011</v>
      </c>
      <c r="AC4354" s="22">
        <f t="shared" si="137"/>
        <v>0.73066666666666669</v>
      </c>
    </row>
    <row r="4355" spans="1:29" ht="25.5">
      <c r="A4355" s="8" t="s">
        <v>5929</v>
      </c>
      <c r="B4355" s="17" t="s">
        <v>7759</v>
      </c>
      <c r="C4355" s="13">
        <v>40813</v>
      </c>
      <c r="D4355" s="13" t="s">
        <v>8465</v>
      </c>
      <c r="E4355" s="10" t="s">
        <v>1062</v>
      </c>
      <c r="F4355" s="10" t="s">
        <v>1566</v>
      </c>
      <c r="G4355" s="11" t="s">
        <v>1567</v>
      </c>
      <c r="H4355" s="2" t="s">
        <v>149</v>
      </c>
      <c r="L4355" s="18">
        <v>1</v>
      </c>
      <c r="M4355" s="14" t="s">
        <v>8462</v>
      </c>
      <c r="N4355" s="13">
        <v>43533</v>
      </c>
      <c r="O4355" s="29">
        <v>15.5</v>
      </c>
      <c r="P4355" s="18" t="s">
        <v>14</v>
      </c>
      <c r="Q4355" s="18">
        <v>0</v>
      </c>
      <c r="U4355" s="22">
        <v>0.78</v>
      </c>
      <c r="V4355" s="22">
        <f>3.92/5</f>
        <v>0.78400000000000003</v>
      </c>
      <c r="X4355" s="3">
        <v>3</v>
      </c>
      <c r="Z4355" s="23">
        <v>22</v>
      </c>
      <c r="AB4355" s="18">
        <f t="shared" si="136"/>
        <v>2011</v>
      </c>
      <c r="AC4355" s="22">
        <f t="shared" si="137"/>
        <v>0.72133333333333338</v>
      </c>
    </row>
    <row r="4356" spans="1:29">
      <c r="A4356" s="8" t="s">
        <v>14310</v>
      </c>
      <c r="B4356" s="17" t="s">
        <v>7759</v>
      </c>
      <c r="C4356" s="13">
        <v>40813</v>
      </c>
      <c r="D4356" s="13" t="s">
        <v>8465</v>
      </c>
      <c r="E4356" s="10" t="s">
        <v>1047</v>
      </c>
      <c r="F4356" s="10" t="s">
        <v>2139</v>
      </c>
      <c r="H4356" s="2" t="s">
        <v>1170</v>
      </c>
      <c r="L4356" s="18">
        <v>0</v>
      </c>
      <c r="Q4356" s="18">
        <v>0</v>
      </c>
      <c r="U4356" s="22">
        <v>0.81</v>
      </c>
      <c r="V4356" s="22">
        <f>3.68/5</f>
        <v>0.73599999999999999</v>
      </c>
      <c r="X4356" s="3">
        <v>3</v>
      </c>
      <c r="Y4356" s="18">
        <v>1</v>
      </c>
      <c r="Z4356" s="23">
        <v>4</v>
      </c>
      <c r="AB4356" s="18">
        <f t="shared" si="136"/>
        <v>2011</v>
      </c>
      <c r="AC4356" s="22">
        <f t="shared" si="137"/>
        <v>0.71533333333333327</v>
      </c>
    </row>
    <row r="4357" spans="1:29">
      <c r="A4357" s="8" t="s">
        <v>5939</v>
      </c>
      <c r="B4357" s="17" t="s">
        <v>7800</v>
      </c>
      <c r="C4357" s="13">
        <v>40813</v>
      </c>
      <c r="D4357" s="13" t="s">
        <v>8465</v>
      </c>
      <c r="E4357" s="10" t="s">
        <v>1047</v>
      </c>
      <c r="F4357" s="10" t="s">
        <v>4042</v>
      </c>
      <c r="G4357" s="11" t="s">
        <v>5940</v>
      </c>
      <c r="H4357" s="2" t="s">
        <v>150</v>
      </c>
      <c r="L4357" s="18">
        <v>1</v>
      </c>
      <c r="P4357" s="18" t="s">
        <v>1107</v>
      </c>
      <c r="Q4357" s="18">
        <v>0</v>
      </c>
      <c r="U4357" s="22">
        <v>0.77</v>
      </c>
      <c r="V4357" s="22">
        <f>3.79/5</f>
        <v>0.75800000000000001</v>
      </c>
      <c r="W4357" s="14" t="s">
        <v>7798</v>
      </c>
      <c r="X4357" s="3">
        <v>3</v>
      </c>
      <c r="Z4357" s="23">
        <v>9</v>
      </c>
      <c r="AB4357" s="18">
        <f t="shared" si="136"/>
        <v>2011</v>
      </c>
      <c r="AC4357" s="22">
        <f t="shared" si="137"/>
        <v>0.70933333333333337</v>
      </c>
    </row>
    <row r="4358" spans="1:29">
      <c r="A4358" s="8" t="s">
        <v>4052</v>
      </c>
      <c r="B4358" s="17" t="s">
        <v>7800</v>
      </c>
      <c r="C4358" s="13">
        <v>40813</v>
      </c>
      <c r="D4358" s="13" t="s">
        <v>8465</v>
      </c>
      <c r="E4358" s="10" t="s">
        <v>3096</v>
      </c>
      <c r="F4358" s="10" t="s">
        <v>1217</v>
      </c>
      <c r="G4358" s="11" t="s">
        <v>4053</v>
      </c>
      <c r="H4358" s="2" t="s">
        <v>21</v>
      </c>
      <c r="L4358" s="18">
        <v>1</v>
      </c>
      <c r="N4358" s="13">
        <v>41090</v>
      </c>
      <c r="P4358" s="18" t="s">
        <v>1107</v>
      </c>
      <c r="Q4358" s="18">
        <v>0</v>
      </c>
      <c r="V4358" s="22">
        <f>3.81/5</f>
        <v>0.76200000000000001</v>
      </c>
      <c r="W4358" s="14" t="s">
        <v>7777</v>
      </c>
      <c r="X4358" s="3">
        <v>2</v>
      </c>
      <c r="Z4358" s="23">
        <v>0.56999999999999995</v>
      </c>
      <c r="AB4358" s="18">
        <f t="shared" si="136"/>
        <v>2011</v>
      </c>
      <c r="AC4358" s="22">
        <f t="shared" si="137"/>
        <v>0.58099999999999996</v>
      </c>
    </row>
    <row r="4359" spans="1:29">
      <c r="A4359" s="8" t="s">
        <v>4124</v>
      </c>
      <c r="B4359" s="17" t="s">
        <v>7800</v>
      </c>
      <c r="C4359" s="13">
        <v>40813</v>
      </c>
      <c r="D4359" s="13" t="s">
        <v>8465</v>
      </c>
      <c r="E4359" s="10" t="s">
        <v>3096</v>
      </c>
      <c r="F4359" s="10" t="s">
        <v>1217</v>
      </c>
      <c r="G4359" s="11" t="s">
        <v>4053</v>
      </c>
      <c r="H4359" s="2" t="s">
        <v>21</v>
      </c>
      <c r="L4359" s="18">
        <v>1</v>
      </c>
      <c r="N4359" s="13">
        <v>41090</v>
      </c>
      <c r="P4359" s="18" t="s">
        <v>1107</v>
      </c>
      <c r="Q4359" s="18">
        <v>0</v>
      </c>
      <c r="V4359" s="22">
        <f>3.68/5</f>
        <v>0.73599999999999999</v>
      </c>
      <c r="W4359" s="14" t="s">
        <v>7777</v>
      </c>
      <c r="X4359" s="3">
        <v>2</v>
      </c>
      <c r="Z4359" s="23">
        <v>1.5</v>
      </c>
      <c r="AB4359" s="18">
        <f t="shared" si="136"/>
        <v>2011</v>
      </c>
      <c r="AC4359" s="22">
        <f t="shared" si="137"/>
        <v>0.56800000000000006</v>
      </c>
    </row>
    <row r="4360" spans="1:29">
      <c r="A4360" s="8" t="s">
        <v>15103</v>
      </c>
      <c r="B4360" s="17" t="s">
        <v>7759</v>
      </c>
      <c r="C4360" s="13">
        <v>40813</v>
      </c>
      <c r="D4360" s="13" t="s">
        <v>8465</v>
      </c>
      <c r="E4360" s="10" t="s">
        <v>1273</v>
      </c>
      <c r="F4360" s="10" t="s">
        <v>1489</v>
      </c>
      <c r="G4360" s="11" t="s">
        <v>440</v>
      </c>
      <c r="H4360" s="2" t="s">
        <v>171</v>
      </c>
      <c r="L4360" s="18">
        <v>0</v>
      </c>
      <c r="Q4360" s="18">
        <v>0</v>
      </c>
      <c r="U4360" s="22">
        <v>0.5</v>
      </c>
      <c r="V4360" s="22">
        <f>3.16/5</f>
        <v>0.63200000000000001</v>
      </c>
      <c r="X4360" s="3">
        <v>2</v>
      </c>
      <c r="Y4360" s="18">
        <v>1</v>
      </c>
      <c r="Z4360" s="23">
        <v>5.5</v>
      </c>
      <c r="AB4360" s="18">
        <f t="shared" si="136"/>
        <v>2011</v>
      </c>
      <c r="AC4360" s="22">
        <f t="shared" si="137"/>
        <v>0.51066666666666671</v>
      </c>
    </row>
    <row r="4361" spans="1:29" ht="25.5">
      <c r="A4361" s="8" t="s">
        <v>4054</v>
      </c>
      <c r="B4361" s="17" t="s">
        <v>7800</v>
      </c>
      <c r="C4361" s="13">
        <v>40813</v>
      </c>
      <c r="D4361" s="13" t="s">
        <v>8465</v>
      </c>
      <c r="E4361" s="10" t="s">
        <v>3096</v>
      </c>
      <c r="F4361" s="10" t="s">
        <v>1217</v>
      </c>
      <c r="G4361" s="11" t="s">
        <v>4053</v>
      </c>
      <c r="H4361" s="2" t="s">
        <v>21</v>
      </c>
      <c r="L4361" s="18">
        <v>1</v>
      </c>
      <c r="N4361" s="13">
        <v>41090</v>
      </c>
      <c r="P4361" s="18" t="s">
        <v>1107</v>
      </c>
      <c r="Q4361" s="18">
        <v>0</v>
      </c>
      <c r="U4361" s="22">
        <v>0.3</v>
      </c>
      <c r="V4361" s="22">
        <f>3.71/5</f>
        <v>0.74199999999999999</v>
      </c>
      <c r="W4361" s="14" t="s">
        <v>7777</v>
      </c>
      <c r="X4361" s="3">
        <v>2</v>
      </c>
      <c r="Z4361" s="23">
        <v>2</v>
      </c>
      <c r="AB4361" s="18">
        <f t="shared" si="136"/>
        <v>2011</v>
      </c>
      <c r="AC4361" s="22">
        <f t="shared" si="137"/>
        <v>0.48066666666666674</v>
      </c>
    </row>
    <row r="4362" spans="1:29" ht="25.5">
      <c r="A4362" s="8" t="s">
        <v>4447</v>
      </c>
      <c r="B4362" s="17" t="s">
        <v>7800</v>
      </c>
      <c r="C4362" s="13">
        <v>40808</v>
      </c>
      <c r="D4362" s="13" t="s">
        <v>8465</v>
      </c>
      <c r="E4362" s="10" t="s">
        <v>1047</v>
      </c>
      <c r="F4362" s="10" t="s">
        <v>3507</v>
      </c>
      <c r="G4362" s="11" t="s">
        <v>3562</v>
      </c>
      <c r="H4362" s="2" t="s">
        <v>75</v>
      </c>
      <c r="L4362" s="18">
        <v>1</v>
      </c>
      <c r="N4362" s="13">
        <v>41396</v>
      </c>
      <c r="O4362" s="29">
        <v>2.4900000000000002</v>
      </c>
      <c r="P4362" s="18" t="s">
        <v>1107</v>
      </c>
      <c r="Q4362" s="18">
        <v>0</v>
      </c>
      <c r="U4362" s="22">
        <v>0.72</v>
      </c>
      <c r="V4362" s="22">
        <f>3.84/5</f>
        <v>0.76800000000000002</v>
      </c>
      <c r="W4362" s="14" t="s">
        <v>7777</v>
      </c>
      <c r="X4362" s="3">
        <v>4</v>
      </c>
      <c r="Z4362" s="23">
        <v>24.5</v>
      </c>
      <c r="AB4362" s="18">
        <f t="shared" si="136"/>
        <v>2011</v>
      </c>
      <c r="AC4362" s="22">
        <f t="shared" si="137"/>
        <v>0.76266666666666671</v>
      </c>
    </row>
    <row r="4363" spans="1:29">
      <c r="A4363" s="8" t="s">
        <v>11385</v>
      </c>
      <c r="B4363" s="17" t="s">
        <v>7749</v>
      </c>
      <c r="C4363" s="13">
        <v>40808</v>
      </c>
      <c r="D4363" s="13" t="s">
        <v>8465</v>
      </c>
      <c r="E4363" s="10" t="s">
        <v>86</v>
      </c>
      <c r="F4363" s="10" t="s">
        <v>1046</v>
      </c>
      <c r="G4363" s="11" t="s">
        <v>230</v>
      </c>
      <c r="H4363" s="2" t="s">
        <v>21</v>
      </c>
      <c r="L4363" s="18">
        <v>1</v>
      </c>
      <c r="N4363" s="13">
        <v>44639</v>
      </c>
      <c r="O4363" s="29">
        <v>4.99</v>
      </c>
      <c r="P4363" s="18" t="s">
        <v>1107</v>
      </c>
      <c r="Q4363" s="18">
        <v>0</v>
      </c>
      <c r="U4363" s="22">
        <v>0.68</v>
      </c>
      <c r="V4363" s="22">
        <f>3.5/5</f>
        <v>0.7</v>
      </c>
      <c r="X4363" s="3">
        <v>3</v>
      </c>
      <c r="Z4363" s="23">
        <f>44/60</f>
        <v>0.73333333333333328</v>
      </c>
      <c r="AB4363" s="18">
        <f t="shared" si="136"/>
        <v>2011</v>
      </c>
      <c r="AC4363" s="22">
        <f t="shared" si="137"/>
        <v>0.66</v>
      </c>
    </row>
    <row r="4364" spans="1:29" ht="25.5">
      <c r="A4364" s="8" t="s">
        <v>12402</v>
      </c>
      <c r="B4364" s="17" t="s">
        <v>8754</v>
      </c>
      <c r="C4364" s="13">
        <v>40808</v>
      </c>
      <c r="D4364" s="13" t="s">
        <v>8465</v>
      </c>
      <c r="E4364" s="10" t="s">
        <v>2298</v>
      </c>
      <c r="F4364" s="10" t="s">
        <v>11255</v>
      </c>
      <c r="G4364" s="11" t="s">
        <v>12398</v>
      </c>
      <c r="H4364" s="2" t="s">
        <v>67</v>
      </c>
      <c r="L4364" s="18">
        <v>1</v>
      </c>
      <c r="N4364" s="13">
        <v>44990</v>
      </c>
      <c r="O4364" s="29">
        <v>4.99</v>
      </c>
      <c r="P4364" s="18" t="s">
        <v>1107</v>
      </c>
      <c r="Q4364" s="18">
        <v>0</v>
      </c>
      <c r="V4364" s="22">
        <f>3.7/5</f>
        <v>0.74</v>
      </c>
      <c r="X4364" s="3">
        <v>2</v>
      </c>
      <c r="AB4364" s="18">
        <f t="shared" si="136"/>
        <v>2011</v>
      </c>
      <c r="AC4364" s="22">
        <f t="shared" si="137"/>
        <v>0.57000000000000006</v>
      </c>
    </row>
    <row r="4365" spans="1:29" ht="38.25">
      <c r="A4365" s="8" t="s">
        <v>7820</v>
      </c>
      <c r="B4365" s="17" t="s">
        <v>7762</v>
      </c>
      <c r="C4365" s="13">
        <v>40806</v>
      </c>
      <c r="D4365" s="13" t="s">
        <v>8465</v>
      </c>
      <c r="E4365" s="10" t="s">
        <v>228</v>
      </c>
      <c r="F4365" s="10" t="s">
        <v>228</v>
      </c>
      <c r="G4365" s="11" t="s">
        <v>1171</v>
      </c>
      <c r="H4365" s="2" t="s">
        <v>149</v>
      </c>
      <c r="L4365" s="18">
        <v>0</v>
      </c>
      <c r="Q4365" s="18">
        <v>0</v>
      </c>
      <c r="U4365" s="22">
        <v>0.76290000000000002</v>
      </c>
      <c r="V4365" s="22">
        <f>4.02/5</f>
        <v>0.80399999999999994</v>
      </c>
      <c r="X4365" s="3">
        <v>4</v>
      </c>
      <c r="Z4365" s="23">
        <v>34</v>
      </c>
      <c r="AB4365" s="18">
        <f t="shared" si="136"/>
        <v>2011</v>
      </c>
      <c r="AC4365" s="22">
        <f t="shared" si="137"/>
        <v>0.7889666666666667</v>
      </c>
    </row>
    <row r="4366" spans="1:29" ht="25.5">
      <c r="A4366" s="8" t="s">
        <v>2172</v>
      </c>
      <c r="B4366" s="17" t="s">
        <v>7748</v>
      </c>
      <c r="C4366" s="13">
        <v>40805</v>
      </c>
      <c r="D4366" s="13" t="s">
        <v>8465</v>
      </c>
      <c r="E4366" s="10" t="s">
        <v>86</v>
      </c>
      <c r="F4366" s="10" t="s">
        <v>58</v>
      </c>
      <c r="G4366" s="11" t="s">
        <v>140</v>
      </c>
      <c r="H4366" s="2" t="s">
        <v>149</v>
      </c>
      <c r="L4366" s="18">
        <v>0</v>
      </c>
      <c r="Q4366" s="18">
        <v>0</v>
      </c>
      <c r="U4366" s="22">
        <v>0.8</v>
      </c>
      <c r="V4366" s="22">
        <f>4.15/5</f>
        <v>0.83000000000000007</v>
      </c>
      <c r="X4366" s="3">
        <v>3</v>
      </c>
      <c r="Z4366" s="23">
        <v>23.5</v>
      </c>
      <c r="AB4366" s="18">
        <f t="shared" si="136"/>
        <v>2011</v>
      </c>
      <c r="AC4366" s="22">
        <f t="shared" si="137"/>
        <v>0.74333333333333329</v>
      </c>
    </row>
    <row r="4367" spans="1:29">
      <c r="A4367" s="8" t="s">
        <v>2190</v>
      </c>
      <c r="B4367" s="17" t="s">
        <v>7748</v>
      </c>
      <c r="C4367" s="13">
        <v>40805</v>
      </c>
      <c r="D4367" s="13" t="s">
        <v>8465</v>
      </c>
      <c r="E4367" s="10" t="s">
        <v>86</v>
      </c>
      <c r="F4367" s="10" t="s">
        <v>30</v>
      </c>
      <c r="G4367" s="11" t="s">
        <v>223</v>
      </c>
      <c r="H4367" s="2" t="s">
        <v>64</v>
      </c>
      <c r="L4367" s="18">
        <v>0</v>
      </c>
      <c r="Q4367" s="18">
        <v>0</v>
      </c>
      <c r="U4367" s="22">
        <v>0.84</v>
      </c>
      <c r="V4367" s="22">
        <f>3.85/5</f>
        <v>0.77</v>
      </c>
      <c r="X4367" s="3">
        <v>3</v>
      </c>
      <c r="Z4367" s="23">
        <v>10.5</v>
      </c>
      <c r="AB4367" s="18">
        <f t="shared" si="136"/>
        <v>2011</v>
      </c>
      <c r="AC4367" s="22">
        <f t="shared" si="137"/>
        <v>0.73666666666666669</v>
      </c>
    </row>
    <row r="4368" spans="1:29">
      <c r="A4368" s="8" t="s">
        <v>6059</v>
      </c>
      <c r="B4368" s="17" t="s">
        <v>7759</v>
      </c>
      <c r="C4368" s="13">
        <v>40799</v>
      </c>
      <c r="D4368" s="13" t="s">
        <v>8465</v>
      </c>
      <c r="E4368" s="10" t="s">
        <v>1047</v>
      </c>
      <c r="F4368" s="10" t="s">
        <v>1147</v>
      </c>
      <c r="H4368" s="2" t="s">
        <v>1334</v>
      </c>
      <c r="L4368" s="18">
        <v>1</v>
      </c>
      <c r="N4368" s="13">
        <v>42652</v>
      </c>
      <c r="O4368" s="29">
        <v>0</v>
      </c>
      <c r="P4368" s="18" t="s">
        <v>1107</v>
      </c>
      <c r="Q4368" s="18">
        <v>0</v>
      </c>
      <c r="U4368" s="22">
        <v>0.79</v>
      </c>
      <c r="V4368" s="22">
        <f>3.7/5</f>
        <v>0.74</v>
      </c>
      <c r="W4368" s="14" t="s">
        <v>6072</v>
      </c>
      <c r="X4368" s="3">
        <v>2</v>
      </c>
      <c r="Z4368" s="23">
        <v>6.5</v>
      </c>
      <c r="AB4368" s="18">
        <f t="shared" si="136"/>
        <v>2011</v>
      </c>
      <c r="AC4368" s="22">
        <f t="shared" si="137"/>
        <v>0.64333333333333342</v>
      </c>
    </row>
    <row r="4369" spans="1:29">
      <c r="A4369" s="8" t="s">
        <v>2427</v>
      </c>
      <c r="B4369" s="17" t="s">
        <v>7749</v>
      </c>
      <c r="C4369" s="13">
        <v>40799</v>
      </c>
      <c r="D4369" s="13" t="s">
        <v>8465</v>
      </c>
      <c r="E4369" s="10" t="s">
        <v>1519</v>
      </c>
      <c r="F4369" s="10" t="s">
        <v>2471</v>
      </c>
      <c r="G4369" s="11" t="s">
        <v>1653</v>
      </c>
      <c r="H4369" s="2" t="s">
        <v>1220</v>
      </c>
      <c r="L4369" s="18">
        <v>1</v>
      </c>
      <c r="N4369" s="13">
        <v>41519</v>
      </c>
      <c r="O4369" s="29">
        <v>4.99</v>
      </c>
      <c r="P4369" s="18" t="s">
        <v>1107</v>
      </c>
      <c r="Q4369" s="18">
        <v>0</v>
      </c>
      <c r="U4369" s="22">
        <v>0.77</v>
      </c>
      <c r="V4369" s="22">
        <f>3.74/5</f>
        <v>0.748</v>
      </c>
      <c r="X4369" s="3">
        <v>2</v>
      </c>
      <c r="Z4369" s="23">
        <v>10.5</v>
      </c>
      <c r="AB4369" s="18">
        <f t="shared" si="136"/>
        <v>2011</v>
      </c>
      <c r="AC4369" s="22">
        <f t="shared" si="137"/>
        <v>0.63933333333333342</v>
      </c>
    </row>
    <row r="4370" spans="1:29">
      <c r="A4370" s="8" t="s">
        <v>14581</v>
      </c>
      <c r="B4370" s="17" t="s">
        <v>7765</v>
      </c>
      <c r="C4370" s="13">
        <v>40799</v>
      </c>
      <c r="D4370" s="13" t="s">
        <v>8465</v>
      </c>
      <c r="E4370" s="10" t="s">
        <v>3116</v>
      </c>
      <c r="F4370" s="10" t="s">
        <v>4339</v>
      </c>
      <c r="H4370" s="2" t="s">
        <v>1170</v>
      </c>
      <c r="L4370" s="18">
        <v>0</v>
      </c>
      <c r="Q4370" s="18">
        <v>0</v>
      </c>
      <c r="U4370" s="22">
        <v>0.77</v>
      </c>
      <c r="V4370" s="22">
        <f>3.44/5</f>
        <v>0.68799999999999994</v>
      </c>
      <c r="X4370" s="3">
        <v>2</v>
      </c>
      <c r="Y4370" s="18">
        <v>1</v>
      </c>
      <c r="Z4370" s="23">
        <v>6</v>
      </c>
      <c r="AB4370" s="18">
        <f t="shared" si="136"/>
        <v>2011</v>
      </c>
      <c r="AC4370" s="22">
        <f t="shared" si="137"/>
        <v>0.6193333333333334</v>
      </c>
    </row>
    <row r="4371" spans="1:29" ht="25.5">
      <c r="A4371" s="8" t="s">
        <v>6047</v>
      </c>
      <c r="B4371" s="17" t="s">
        <v>7759</v>
      </c>
      <c r="C4371" s="13">
        <v>40799</v>
      </c>
      <c r="D4371" s="13" t="s">
        <v>8465</v>
      </c>
      <c r="E4371" s="10" t="s">
        <v>2298</v>
      </c>
      <c r="F4371" s="10" t="s">
        <v>2129</v>
      </c>
      <c r="G4371" s="11" t="s">
        <v>6046</v>
      </c>
      <c r="H4371" s="2" t="s">
        <v>149</v>
      </c>
      <c r="L4371" s="18">
        <v>1</v>
      </c>
      <c r="M4371" s="14" t="s">
        <v>8462</v>
      </c>
      <c r="N4371" s="13">
        <v>43458</v>
      </c>
      <c r="O4371" s="29">
        <v>7.99</v>
      </c>
      <c r="P4371" s="18" t="s">
        <v>14</v>
      </c>
      <c r="Q4371" s="18">
        <v>0</v>
      </c>
      <c r="U4371" s="22">
        <v>0.6</v>
      </c>
      <c r="V4371" s="22">
        <f>3.84/5</f>
        <v>0.76800000000000002</v>
      </c>
      <c r="X4371" s="3">
        <v>2</v>
      </c>
      <c r="Z4371" s="23">
        <v>40</v>
      </c>
      <c r="AB4371" s="18">
        <f t="shared" si="136"/>
        <v>2011</v>
      </c>
      <c r="AC4371" s="22">
        <f t="shared" si="137"/>
        <v>0.58933333333333326</v>
      </c>
    </row>
    <row r="4372" spans="1:29">
      <c r="A4372" s="8" t="s">
        <v>4086</v>
      </c>
      <c r="B4372" s="17" t="s">
        <v>7800</v>
      </c>
      <c r="C4372" s="13">
        <v>40799</v>
      </c>
      <c r="D4372" s="13" t="s">
        <v>8465</v>
      </c>
      <c r="E4372" s="10" t="s">
        <v>4087</v>
      </c>
      <c r="F4372" s="10" t="s">
        <v>4087</v>
      </c>
      <c r="G4372" s="11" t="s">
        <v>4086</v>
      </c>
      <c r="H4372" s="2" t="s">
        <v>1050</v>
      </c>
      <c r="L4372" s="18">
        <v>1</v>
      </c>
      <c r="N4372" s="13">
        <v>41107</v>
      </c>
      <c r="O4372" s="29">
        <v>3.75</v>
      </c>
      <c r="P4372" s="18" t="s">
        <v>1107</v>
      </c>
      <c r="Q4372" s="18">
        <v>0</v>
      </c>
      <c r="U4372" s="22">
        <v>0.74</v>
      </c>
      <c r="V4372" s="22">
        <f>3.35/5</f>
        <v>0.67</v>
      </c>
      <c r="W4372" s="14" t="s">
        <v>7777</v>
      </c>
      <c r="X4372" s="3">
        <v>3</v>
      </c>
      <c r="Z4372" s="23">
        <v>5.5</v>
      </c>
      <c r="AB4372" s="18">
        <f t="shared" si="136"/>
        <v>2011</v>
      </c>
      <c r="AC4372" s="22">
        <f t="shared" si="137"/>
        <v>0.67</v>
      </c>
    </row>
    <row r="4373" spans="1:29" ht="25.5">
      <c r="A4373" s="8" t="s">
        <v>4797</v>
      </c>
      <c r="B4373" s="17" t="s">
        <v>7800</v>
      </c>
      <c r="C4373" s="13">
        <v>40799</v>
      </c>
      <c r="D4373" s="13" t="s">
        <v>8465</v>
      </c>
      <c r="E4373" s="10" t="s">
        <v>3608</v>
      </c>
      <c r="F4373" s="10" t="s">
        <v>4798</v>
      </c>
      <c r="G4373" s="11" t="s">
        <v>4799</v>
      </c>
      <c r="H4373" s="2" t="s">
        <v>1050</v>
      </c>
      <c r="L4373" s="18">
        <v>1</v>
      </c>
      <c r="N4373" s="13">
        <v>41366</v>
      </c>
      <c r="P4373" s="18" t="s">
        <v>1107</v>
      </c>
      <c r="Q4373" s="18">
        <v>0</v>
      </c>
      <c r="U4373" s="22">
        <v>0.74</v>
      </c>
      <c r="V4373" s="22">
        <f>3.77/5</f>
        <v>0.754</v>
      </c>
      <c r="W4373" s="14" t="s">
        <v>7777</v>
      </c>
      <c r="X4373" s="3">
        <v>3</v>
      </c>
      <c r="Z4373" s="23">
        <v>12</v>
      </c>
      <c r="AB4373" s="18">
        <f t="shared" si="136"/>
        <v>2011</v>
      </c>
      <c r="AC4373" s="22">
        <f t="shared" si="137"/>
        <v>0.69799999999999995</v>
      </c>
    </row>
    <row r="4374" spans="1:29" ht="60">
      <c r="A4374" s="8" t="s">
        <v>2408</v>
      </c>
      <c r="B4374" s="17" t="s">
        <v>7749</v>
      </c>
      <c r="C4374" s="13">
        <v>40795</v>
      </c>
      <c r="D4374" s="13" t="s">
        <v>8465</v>
      </c>
      <c r="E4374" s="10" t="s">
        <v>86</v>
      </c>
      <c r="F4374" s="10" t="s">
        <v>2127</v>
      </c>
      <c r="G4374" s="11" t="s">
        <v>578</v>
      </c>
      <c r="H4374" s="2" t="s">
        <v>2138</v>
      </c>
      <c r="L4374" s="18">
        <v>1</v>
      </c>
      <c r="M4374" s="14" t="s">
        <v>11016</v>
      </c>
      <c r="O4374" s="29">
        <v>21.24</v>
      </c>
      <c r="P4374" s="18" t="s">
        <v>14</v>
      </c>
      <c r="Q4374" s="18">
        <v>0</v>
      </c>
      <c r="U4374" s="22">
        <v>0.82</v>
      </c>
      <c r="V4374" s="22">
        <f>4.03/5</f>
        <v>0.80600000000000005</v>
      </c>
      <c r="W4374" s="14" t="s">
        <v>11017</v>
      </c>
      <c r="X4374" s="3">
        <v>4</v>
      </c>
      <c r="Z4374" s="23">
        <v>2</v>
      </c>
      <c r="AB4374" s="18">
        <f t="shared" si="136"/>
        <v>2011</v>
      </c>
      <c r="AC4374" s="22">
        <f t="shared" si="137"/>
        <v>0.80866666666666676</v>
      </c>
    </row>
    <row r="4375" spans="1:29">
      <c r="A4375" s="8" t="s">
        <v>4862</v>
      </c>
      <c r="B4375" s="17" t="s">
        <v>7800</v>
      </c>
      <c r="C4375" s="13">
        <v>40793</v>
      </c>
      <c r="D4375" s="13" t="s">
        <v>8465</v>
      </c>
      <c r="E4375" s="10" t="s">
        <v>2461</v>
      </c>
      <c r="F4375" s="10" t="s">
        <v>3094</v>
      </c>
      <c r="G4375" s="11" t="s">
        <v>4862</v>
      </c>
      <c r="H4375" s="2" t="s">
        <v>1169</v>
      </c>
      <c r="L4375" s="18">
        <v>1</v>
      </c>
      <c r="N4375" s="13">
        <v>41869</v>
      </c>
      <c r="O4375" s="29">
        <v>1.99</v>
      </c>
      <c r="P4375" s="18" t="s">
        <v>1107</v>
      </c>
      <c r="Q4375" s="18">
        <v>0</v>
      </c>
      <c r="U4375" s="22">
        <v>0.79</v>
      </c>
      <c r="V4375" s="22">
        <f>3.42/5</f>
        <v>0.68399999999999994</v>
      </c>
      <c r="W4375" s="14" t="s">
        <v>7777</v>
      </c>
      <c r="X4375" s="3">
        <v>3</v>
      </c>
      <c r="Z4375" s="23">
        <v>4</v>
      </c>
      <c r="AB4375" s="18">
        <f t="shared" si="136"/>
        <v>2011</v>
      </c>
      <c r="AC4375" s="22">
        <f t="shared" si="137"/>
        <v>0.69133333333333324</v>
      </c>
    </row>
    <row r="4376" spans="1:29" ht="25.5">
      <c r="A4376" s="8" t="s">
        <v>5936</v>
      </c>
      <c r="B4376" s="17" t="s">
        <v>7759</v>
      </c>
      <c r="C4376" s="13">
        <v>40792</v>
      </c>
      <c r="D4376" s="13" t="s">
        <v>8465</v>
      </c>
      <c r="E4376" s="10" t="s">
        <v>1062</v>
      </c>
      <c r="F4376" s="10" t="s">
        <v>2285</v>
      </c>
      <c r="G4376" s="11" t="s">
        <v>2302</v>
      </c>
      <c r="H4376" s="2" t="s">
        <v>75</v>
      </c>
      <c r="L4376" s="18">
        <v>1</v>
      </c>
      <c r="M4376" s="14" t="s">
        <v>8462</v>
      </c>
      <c r="N4376" s="13">
        <v>43467</v>
      </c>
      <c r="O4376" s="29">
        <v>14.99</v>
      </c>
      <c r="P4376" s="18" t="s">
        <v>14</v>
      </c>
      <c r="Q4376" s="18">
        <v>0</v>
      </c>
      <c r="U4376" s="22">
        <v>0.83</v>
      </c>
      <c r="V4376" s="22">
        <f>4.39/5</f>
        <v>0.87799999999999989</v>
      </c>
      <c r="X4376" s="3">
        <v>3</v>
      </c>
      <c r="Z4376" s="23">
        <v>38</v>
      </c>
      <c r="AB4376" s="18">
        <f t="shared" si="136"/>
        <v>2011</v>
      </c>
      <c r="AC4376" s="22">
        <f t="shared" si="137"/>
        <v>0.76933333333333331</v>
      </c>
    </row>
    <row r="4377" spans="1:29">
      <c r="A4377" s="8" t="s">
        <v>5939</v>
      </c>
      <c r="B4377" s="17" t="s">
        <v>7759</v>
      </c>
      <c r="C4377" s="13">
        <v>40792</v>
      </c>
      <c r="D4377" s="13" t="s">
        <v>8465</v>
      </c>
      <c r="E4377" s="10" t="s">
        <v>1047</v>
      </c>
      <c r="F4377" s="10" t="s">
        <v>4042</v>
      </c>
      <c r="G4377" s="11" t="s">
        <v>5940</v>
      </c>
      <c r="H4377" s="2" t="s">
        <v>150</v>
      </c>
      <c r="L4377" s="18">
        <v>1</v>
      </c>
      <c r="M4377" s="14" t="s">
        <v>8462</v>
      </c>
      <c r="N4377" s="13">
        <v>43601</v>
      </c>
      <c r="O4377" s="29">
        <v>14</v>
      </c>
      <c r="P4377" s="18" t="s">
        <v>14</v>
      </c>
      <c r="Q4377" s="18">
        <v>0</v>
      </c>
      <c r="U4377" s="22">
        <v>0.8</v>
      </c>
      <c r="V4377" s="22">
        <f>3.94/5</f>
        <v>0.78800000000000003</v>
      </c>
      <c r="X4377" s="3">
        <v>3</v>
      </c>
      <c r="Z4377" s="23">
        <v>9</v>
      </c>
      <c r="AB4377" s="18">
        <f t="shared" si="136"/>
        <v>2011</v>
      </c>
      <c r="AC4377" s="22">
        <f t="shared" si="137"/>
        <v>0.72933333333333339</v>
      </c>
    </row>
    <row r="4378" spans="1:29" ht="25.5">
      <c r="A4378" s="8" t="s">
        <v>5539</v>
      </c>
      <c r="B4378" s="17" t="s">
        <v>7800</v>
      </c>
      <c r="C4378" s="13">
        <v>40792</v>
      </c>
      <c r="D4378" s="13" t="s">
        <v>8465</v>
      </c>
      <c r="E4378" s="10" t="s">
        <v>455</v>
      </c>
      <c r="F4378" s="10" t="s">
        <v>3480</v>
      </c>
      <c r="G4378" s="11" t="s">
        <v>5534</v>
      </c>
      <c r="H4378" s="2" t="s">
        <v>1168</v>
      </c>
      <c r="L4378" s="18">
        <v>1</v>
      </c>
      <c r="N4378" s="13">
        <v>43342</v>
      </c>
      <c r="O4378" s="29">
        <v>0</v>
      </c>
      <c r="P4378" s="18" t="s">
        <v>1107</v>
      </c>
      <c r="Q4378" s="18">
        <v>0</v>
      </c>
      <c r="U4378" s="22">
        <v>0.77</v>
      </c>
      <c r="V4378" s="22">
        <f>3.55/5</f>
        <v>0.71</v>
      </c>
      <c r="W4378" s="14" t="s">
        <v>7777</v>
      </c>
      <c r="X4378" s="3">
        <v>3</v>
      </c>
      <c r="Z4378" s="23">
        <v>8</v>
      </c>
      <c r="AB4378" s="18">
        <f t="shared" si="136"/>
        <v>2011</v>
      </c>
      <c r="AC4378" s="22">
        <f t="shared" si="137"/>
        <v>0.69333333333333336</v>
      </c>
    </row>
    <row r="4379" spans="1:29">
      <c r="A4379" s="8" t="s">
        <v>3585</v>
      </c>
      <c r="B4379" s="17" t="s">
        <v>7800</v>
      </c>
      <c r="C4379" s="13">
        <v>40792</v>
      </c>
      <c r="D4379" s="13" t="s">
        <v>8465</v>
      </c>
      <c r="E4379" s="10" t="s">
        <v>1163</v>
      </c>
      <c r="F4379" s="10" t="s">
        <v>3405</v>
      </c>
      <c r="G4379" s="11" t="s">
        <v>3585</v>
      </c>
      <c r="H4379" s="2" t="s">
        <v>171</v>
      </c>
      <c r="L4379" s="18">
        <v>1</v>
      </c>
      <c r="N4379" s="13">
        <v>41844</v>
      </c>
      <c r="O4379" s="29">
        <v>0.38</v>
      </c>
      <c r="P4379" s="18" t="s">
        <v>1107</v>
      </c>
      <c r="Q4379" s="18">
        <v>0</v>
      </c>
      <c r="U4379" s="22">
        <v>0.78</v>
      </c>
      <c r="V4379" s="22">
        <f>3.44/5</f>
        <v>0.68799999999999994</v>
      </c>
      <c r="W4379" s="14" t="s">
        <v>7777</v>
      </c>
      <c r="X4379" s="3">
        <v>3</v>
      </c>
      <c r="Z4379" s="23">
        <v>18</v>
      </c>
      <c r="AB4379" s="18">
        <f t="shared" si="136"/>
        <v>2011</v>
      </c>
      <c r="AC4379" s="22">
        <f t="shared" si="137"/>
        <v>0.68933333333333335</v>
      </c>
    </row>
    <row r="4380" spans="1:29">
      <c r="A4380" s="8" t="s">
        <v>14583</v>
      </c>
      <c r="B4380" s="17" t="s">
        <v>7765</v>
      </c>
      <c r="C4380" s="13">
        <v>40792</v>
      </c>
      <c r="D4380" s="13" t="s">
        <v>8465</v>
      </c>
      <c r="E4380" s="10" t="s">
        <v>455</v>
      </c>
      <c r="F4380" s="10" t="s">
        <v>455</v>
      </c>
      <c r="H4380" s="2" t="s">
        <v>1061</v>
      </c>
      <c r="L4380" s="18">
        <v>0</v>
      </c>
      <c r="Q4380" s="18">
        <v>0</v>
      </c>
      <c r="U4380" s="22">
        <v>0.54</v>
      </c>
      <c r="V4380" s="22">
        <f>3.32/5</f>
        <v>0.66399999999999992</v>
      </c>
      <c r="X4380" s="3">
        <v>2</v>
      </c>
      <c r="Y4380" s="18">
        <v>1</v>
      </c>
      <c r="Z4380" s="23">
        <v>7</v>
      </c>
      <c r="AB4380" s="18">
        <f t="shared" si="136"/>
        <v>2011</v>
      </c>
      <c r="AC4380" s="22">
        <f t="shared" si="137"/>
        <v>0.53466666666666673</v>
      </c>
    </row>
    <row r="4381" spans="1:29">
      <c r="A4381" s="8" t="s">
        <v>11657</v>
      </c>
      <c r="B4381" s="17" t="s">
        <v>7749</v>
      </c>
      <c r="C4381" s="13">
        <v>40792</v>
      </c>
      <c r="D4381" s="13" t="s">
        <v>8465</v>
      </c>
      <c r="E4381" s="10" t="s">
        <v>1047</v>
      </c>
      <c r="F4381" s="10" t="s">
        <v>10287</v>
      </c>
      <c r="G4381" s="11" t="s">
        <v>5940</v>
      </c>
      <c r="H4381" s="2" t="s">
        <v>150</v>
      </c>
      <c r="L4381" s="18">
        <v>1</v>
      </c>
      <c r="M4381" s="14" t="s">
        <v>8462</v>
      </c>
      <c r="N4381" s="13">
        <v>44668</v>
      </c>
      <c r="O4381" s="29">
        <v>42.76</v>
      </c>
      <c r="P4381" s="18" t="s">
        <v>14</v>
      </c>
      <c r="Q4381" s="18">
        <v>0</v>
      </c>
      <c r="U4381" s="22">
        <v>0.48</v>
      </c>
      <c r="V4381" s="22">
        <f>3.29/5</f>
        <v>0.65800000000000003</v>
      </c>
      <c r="X4381" s="3">
        <v>2</v>
      </c>
      <c r="Z4381" s="23">
        <v>3</v>
      </c>
      <c r="AB4381" s="18">
        <f t="shared" si="136"/>
        <v>2011</v>
      </c>
      <c r="AC4381" s="22">
        <f t="shared" si="137"/>
        <v>0.5126666666666666</v>
      </c>
    </row>
    <row r="4382" spans="1:29" ht="30">
      <c r="A4382" s="8" t="s">
        <v>6006</v>
      </c>
      <c r="B4382" s="17" t="s">
        <v>7759</v>
      </c>
      <c r="C4382" s="13">
        <v>40792</v>
      </c>
      <c r="D4382" s="13" t="s">
        <v>8465</v>
      </c>
      <c r="E4382" s="10" t="s">
        <v>2908</v>
      </c>
      <c r="F4382" s="10" t="s">
        <v>3039</v>
      </c>
      <c r="G4382" s="11" t="s">
        <v>6005</v>
      </c>
      <c r="H4382" s="2" t="s">
        <v>1050</v>
      </c>
      <c r="L4382" s="18">
        <v>1</v>
      </c>
      <c r="M4382" s="14" t="s">
        <v>8462</v>
      </c>
      <c r="N4382" s="13">
        <v>43377</v>
      </c>
      <c r="O4382" s="29">
        <v>9.94</v>
      </c>
      <c r="P4382" s="18" t="s">
        <v>14</v>
      </c>
      <c r="Q4382" s="18">
        <v>0</v>
      </c>
      <c r="U4382" s="22">
        <v>0.84</v>
      </c>
      <c r="V4382" s="22">
        <f>3.89/5</f>
        <v>0.77800000000000002</v>
      </c>
      <c r="X4382" s="3">
        <v>3</v>
      </c>
      <c r="Z4382" s="23">
        <v>8</v>
      </c>
      <c r="AB4382" s="18">
        <f t="shared" si="136"/>
        <v>2011</v>
      </c>
      <c r="AC4382" s="22">
        <f t="shared" si="137"/>
        <v>0.73933333333333329</v>
      </c>
    </row>
    <row r="4383" spans="1:29">
      <c r="A4383" s="8" t="s">
        <v>7124</v>
      </c>
      <c r="B4383" s="17" t="s">
        <v>7800</v>
      </c>
      <c r="C4383" s="13">
        <v>40791</v>
      </c>
      <c r="D4383" s="13" t="s">
        <v>8465</v>
      </c>
      <c r="E4383" s="10" t="s">
        <v>7213</v>
      </c>
      <c r="F4383" s="10" t="s">
        <v>7213</v>
      </c>
      <c r="H4383" s="2" t="s">
        <v>64</v>
      </c>
      <c r="L4383" s="18">
        <v>0</v>
      </c>
      <c r="Q4383" s="18">
        <v>0</v>
      </c>
      <c r="W4383" s="14" t="s">
        <v>5674</v>
      </c>
      <c r="X4383" s="3">
        <v>3</v>
      </c>
      <c r="AB4383" s="18">
        <f t="shared" si="136"/>
        <v>2011</v>
      </c>
      <c r="AC4383" s="22">
        <f t="shared" si="137"/>
        <v>0.6</v>
      </c>
    </row>
    <row r="4384" spans="1:29" ht="30">
      <c r="A4384" s="8" t="s">
        <v>6243</v>
      </c>
      <c r="B4384" s="17" t="s">
        <v>7762</v>
      </c>
      <c r="C4384" s="13">
        <v>40787</v>
      </c>
      <c r="D4384" s="13" t="s">
        <v>8463</v>
      </c>
      <c r="E4384" s="10" t="s">
        <v>1953</v>
      </c>
      <c r="F4384" s="10" t="s">
        <v>1553</v>
      </c>
      <c r="H4384" s="2" t="s">
        <v>149</v>
      </c>
      <c r="K4384" s="18">
        <v>2</v>
      </c>
      <c r="L4384" s="18">
        <v>0</v>
      </c>
      <c r="Q4384" s="18">
        <v>0</v>
      </c>
      <c r="V4384" s="22">
        <f>4.13/5</f>
        <v>0.82599999999999996</v>
      </c>
      <c r="X4384" s="3">
        <v>4</v>
      </c>
      <c r="Z4384" s="23">
        <v>21.5</v>
      </c>
      <c r="AB4384" s="18">
        <f t="shared" si="136"/>
        <v>2011</v>
      </c>
      <c r="AC4384" s="22">
        <f t="shared" si="137"/>
        <v>0.81299999999999994</v>
      </c>
    </row>
    <row r="4385" spans="1:29">
      <c r="A4385" s="8" t="s">
        <v>5269</v>
      </c>
      <c r="B4385" s="17" t="s">
        <v>7800</v>
      </c>
      <c r="C4385" s="13">
        <v>40786</v>
      </c>
      <c r="D4385" s="13" t="s">
        <v>8465</v>
      </c>
      <c r="E4385" s="10" t="s">
        <v>231</v>
      </c>
      <c r="F4385" s="10" t="s">
        <v>3612</v>
      </c>
      <c r="G4385" s="11" t="s">
        <v>3611</v>
      </c>
      <c r="H4385" s="2" t="s">
        <v>171</v>
      </c>
      <c r="L4385" s="18">
        <v>1</v>
      </c>
      <c r="N4385" s="13">
        <v>41928</v>
      </c>
      <c r="P4385" s="18" t="s">
        <v>1107</v>
      </c>
      <c r="Q4385" s="18">
        <v>0</v>
      </c>
      <c r="U4385" s="22">
        <v>0.61</v>
      </c>
      <c r="V4385" s="22">
        <f>3.49/5</f>
        <v>0.69800000000000006</v>
      </c>
      <c r="W4385" s="14" t="s">
        <v>7777</v>
      </c>
      <c r="X4385" s="3">
        <v>2</v>
      </c>
      <c r="Z4385" s="23">
        <v>9.5</v>
      </c>
      <c r="AB4385" s="18">
        <f t="shared" si="136"/>
        <v>2011</v>
      </c>
      <c r="AC4385" s="22">
        <f t="shared" si="137"/>
        <v>0.56933333333333336</v>
      </c>
    </row>
    <row r="4386" spans="1:29" ht="25.5">
      <c r="A4386" s="8" t="s">
        <v>4945</v>
      </c>
      <c r="B4386" s="17" t="s">
        <v>7800</v>
      </c>
      <c r="C4386" s="13">
        <v>40785</v>
      </c>
      <c r="D4386" s="13" t="s">
        <v>8465</v>
      </c>
      <c r="E4386" s="10" t="s">
        <v>3063</v>
      </c>
      <c r="F4386" s="10" t="s">
        <v>4946</v>
      </c>
      <c r="G4386" s="11" t="s">
        <v>4943</v>
      </c>
      <c r="H4386" s="2" t="s">
        <v>56</v>
      </c>
      <c r="L4386" s="18">
        <v>1</v>
      </c>
      <c r="N4386" s="13">
        <v>41431</v>
      </c>
      <c r="P4386" s="18" t="s">
        <v>1107</v>
      </c>
      <c r="Q4386" s="18">
        <v>0</v>
      </c>
      <c r="U4386" s="22">
        <v>0.72</v>
      </c>
      <c r="V4386" s="22">
        <f>3.25/5</f>
        <v>0.65</v>
      </c>
      <c r="W4386" s="14" t="s">
        <v>7777</v>
      </c>
      <c r="X4386" s="3">
        <v>3</v>
      </c>
      <c r="Z4386" s="23">
        <v>2.5</v>
      </c>
      <c r="AB4386" s="18">
        <f t="shared" si="136"/>
        <v>2011</v>
      </c>
      <c r="AC4386" s="22">
        <f t="shared" si="137"/>
        <v>0.65666666666666673</v>
      </c>
    </row>
    <row r="4387" spans="1:29">
      <c r="A4387" s="8" t="s">
        <v>3695</v>
      </c>
      <c r="B4387" s="17" t="s">
        <v>7800</v>
      </c>
      <c r="C4387" s="13">
        <v>40781</v>
      </c>
      <c r="D4387" s="13" t="s">
        <v>8465</v>
      </c>
      <c r="E4387" s="10" t="s">
        <v>3696</v>
      </c>
      <c r="F4387" s="10" t="s">
        <v>3696</v>
      </c>
      <c r="H4387" s="2" t="s">
        <v>149</v>
      </c>
      <c r="L4387" s="18">
        <v>1</v>
      </c>
      <c r="N4387" s="13">
        <v>42098</v>
      </c>
      <c r="P4387" s="18" t="s">
        <v>1107</v>
      </c>
      <c r="Q4387" s="18">
        <v>0</v>
      </c>
      <c r="V4387" s="22">
        <f>4.09/5</f>
        <v>0.81799999999999995</v>
      </c>
      <c r="W4387" s="14" t="s">
        <v>7777</v>
      </c>
      <c r="X4387" s="3">
        <v>2</v>
      </c>
      <c r="Z4387" s="23">
        <v>14</v>
      </c>
      <c r="AB4387" s="18">
        <f t="shared" si="136"/>
        <v>2011</v>
      </c>
      <c r="AC4387" s="22">
        <f t="shared" si="137"/>
        <v>0.60899999999999999</v>
      </c>
    </row>
    <row r="4388" spans="1:29" ht="38.25">
      <c r="A4388" s="8" t="s">
        <v>10140</v>
      </c>
      <c r="B4388" s="17" t="s">
        <v>7749</v>
      </c>
      <c r="C4388" s="13">
        <v>40778</v>
      </c>
      <c r="D4388" s="13" t="s">
        <v>8465</v>
      </c>
      <c r="E4388" s="10" t="s">
        <v>228</v>
      </c>
      <c r="F4388" s="10" t="s">
        <v>228</v>
      </c>
      <c r="G4388" s="11" t="s">
        <v>1171</v>
      </c>
      <c r="H4388" s="2" t="s">
        <v>75</v>
      </c>
      <c r="L4388" s="18">
        <v>1</v>
      </c>
      <c r="M4388" s="14" t="s">
        <v>8462</v>
      </c>
      <c r="N4388" s="13">
        <v>44311</v>
      </c>
      <c r="O4388" s="29">
        <v>81.150000000000006</v>
      </c>
      <c r="P4388" s="18" t="s">
        <v>14</v>
      </c>
      <c r="Q4388" s="18">
        <v>0</v>
      </c>
      <c r="U4388" s="22">
        <v>0.78</v>
      </c>
      <c r="V4388" s="22">
        <f>4.19/5</f>
        <v>0.83800000000000008</v>
      </c>
      <c r="X4388" s="3">
        <v>4</v>
      </c>
      <c r="Z4388" s="23">
        <v>43.5</v>
      </c>
      <c r="AB4388" s="18">
        <f t="shared" si="136"/>
        <v>2011</v>
      </c>
      <c r="AC4388" s="22">
        <f t="shared" si="137"/>
        <v>0.80600000000000005</v>
      </c>
    </row>
    <row r="4389" spans="1:29" ht="25.5">
      <c r="A4389" s="8" t="s">
        <v>11386</v>
      </c>
      <c r="B4389" s="17" t="s">
        <v>7749</v>
      </c>
      <c r="C4389" s="13">
        <v>40773</v>
      </c>
      <c r="D4389" s="13" t="s">
        <v>8465</v>
      </c>
      <c r="E4389" s="10" t="s">
        <v>86</v>
      </c>
      <c r="F4389" s="10" t="s">
        <v>1046</v>
      </c>
      <c r="H4389" s="2" t="s">
        <v>459</v>
      </c>
      <c r="L4389" s="18">
        <v>1</v>
      </c>
      <c r="N4389" s="13">
        <v>44639</v>
      </c>
      <c r="O4389" s="29">
        <v>4.99</v>
      </c>
      <c r="P4389" s="18" t="s">
        <v>1107</v>
      </c>
      <c r="Q4389" s="18">
        <v>0</v>
      </c>
      <c r="U4389" s="22">
        <v>0.56000000000000005</v>
      </c>
      <c r="V4389" s="22">
        <f>3.12/5</f>
        <v>0.624</v>
      </c>
      <c r="X4389" s="3">
        <v>2</v>
      </c>
      <c r="Z4389" s="23">
        <f>39/60</f>
        <v>0.65</v>
      </c>
      <c r="AB4389" s="18">
        <f t="shared" si="136"/>
        <v>2011</v>
      </c>
      <c r="AC4389" s="22">
        <f t="shared" si="137"/>
        <v>0.52800000000000002</v>
      </c>
    </row>
    <row r="4390" spans="1:29" ht="25.5">
      <c r="A4390" s="8" t="s">
        <v>5983</v>
      </c>
      <c r="B4390" s="17" t="s">
        <v>7759</v>
      </c>
      <c r="C4390" s="13">
        <v>40771</v>
      </c>
      <c r="D4390" s="13" t="s">
        <v>8465</v>
      </c>
      <c r="E4390" s="10" t="s">
        <v>72</v>
      </c>
      <c r="F4390" s="10" t="s">
        <v>5984</v>
      </c>
      <c r="G4390" s="11" t="s">
        <v>1012</v>
      </c>
      <c r="H4390" s="2" t="s">
        <v>1059</v>
      </c>
      <c r="L4390" s="18">
        <v>1</v>
      </c>
      <c r="M4390" s="14" t="s">
        <v>8462</v>
      </c>
      <c r="N4390" s="13">
        <v>43601</v>
      </c>
      <c r="O4390" s="29">
        <v>35</v>
      </c>
      <c r="P4390" s="18" t="s">
        <v>14</v>
      </c>
      <c r="Q4390" s="18">
        <v>0</v>
      </c>
      <c r="U4390" s="22">
        <v>0.72</v>
      </c>
      <c r="V4390" s="22">
        <f>3.78/5</f>
        <v>0.75600000000000001</v>
      </c>
      <c r="X4390" s="3">
        <v>4</v>
      </c>
      <c r="Z4390" s="23">
        <v>12.5</v>
      </c>
      <c r="AB4390" s="18">
        <f t="shared" si="136"/>
        <v>2011</v>
      </c>
      <c r="AC4390" s="22">
        <f t="shared" si="137"/>
        <v>0.7586666666666666</v>
      </c>
    </row>
    <row r="4391" spans="1:29" ht="25.5">
      <c r="A4391" s="8" t="s">
        <v>5942</v>
      </c>
      <c r="B4391" s="17" t="s">
        <v>7759</v>
      </c>
      <c r="C4391" s="13">
        <v>40771</v>
      </c>
      <c r="D4391" s="13" t="s">
        <v>8465</v>
      </c>
      <c r="E4391" s="10" t="s">
        <v>5943</v>
      </c>
      <c r="F4391" s="10" t="s">
        <v>5944</v>
      </c>
      <c r="G4391" s="11" t="s">
        <v>8720</v>
      </c>
      <c r="H4391" s="2" t="s">
        <v>143</v>
      </c>
      <c r="L4391" s="18">
        <v>1</v>
      </c>
      <c r="M4391" s="14" t="s">
        <v>8462</v>
      </c>
      <c r="N4391" s="13">
        <v>43362</v>
      </c>
      <c r="O4391" s="29">
        <v>16.989999999999998</v>
      </c>
      <c r="P4391" s="18" t="s">
        <v>14</v>
      </c>
      <c r="Q4391" s="18">
        <v>0</v>
      </c>
      <c r="U4391" s="22">
        <v>0.79</v>
      </c>
      <c r="V4391" s="22">
        <f>3.54/5</f>
        <v>0.70799999999999996</v>
      </c>
      <c r="X4391" s="3">
        <v>3</v>
      </c>
      <c r="Z4391" s="23">
        <v>8.5</v>
      </c>
      <c r="AB4391" s="18">
        <f t="shared" si="136"/>
        <v>2011</v>
      </c>
      <c r="AC4391" s="22">
        <f t="shared" si="137"/>
        <v>0.69933333333333325</v>
      </c>
    </row>
    <row r="4392" spans="1:29" ht="30">
      <c r="A4392" s="8" t="s">
        <v>5081</v>
      </c>
      <c r="B4392" s="17" t="s">
        <v>7800</v>
      </c>
      <c r="C4392" s="13">
        <v>40770</v>
      </c>
      <c r="D4392" s="13" t="s">
        <v>8465</v>
      </c>
      <c r="E4392" s="10" t="s">
        <v>5082</v>
      </c>
      <c r="F4392" s="10" t="s">
        <v>5082</v>
      </c>
      <c r="G4392" s="11" t="s">
        <v>5081</v>
      </c>
      <c r="H4392" s="2" t="s">
        <v>3279</v>
      </c>
      <c r="L4392" s="18">
        <v>1</v>
      </c>
      <c r="N4392" s="13">
        <v>41170</v>
      </c>
      <c r="P4392" s="18" t="s">
        <v>1107</v>
      </c>
      <c r="Q4392" s="18">
        <v>0</v>
      </c>
      <c r="U4392" s="22">
        <v>0.76</v>
      </c>
      <c r="V4392" s="22">
        <f>3.68/5</f>
        <v>0.73599999999999999</v>
      </c>
      <c r="W4392" s="14" t="s">
        <v>7777</v>
      </c>
      <c r="X4392" s="3">
        <v>3</v>
      </c>
      <c r="Z4392" s="23">
        <v>28.5</v>
      </c>
      <c r="AB4392" s="18">
        <f t="shared" si="136"/>
        <v>2011</v>
      </c>
      <c r="AC4392" s="22">
        <f t="shared" si="137"/>
        <v>0.69866666666666666</v>
      </c>
    </row>
    <row r="4393" spans="1:29" ht="25.5">
      <c r="A4393" s="8" t="s">
        <v>10240</v>
      </c>
      <c r="B4393" s="17" t="s">
        <v>7759</v>
      </c>
      <c r="C4393" s="13">
        <v>40758</v>
      </c>
      <c r="D4393" s="13" t="s">
        <v>8465</v>
      </c>
      <c r="E4393" s="10" t="s">
        <v>1062</v>
      </c>
      <c r="F4393" s="10" t="s">
        <v>6034</v>
      </c>
      <c r="G4393" s="11" t="s">
        <v>2296</v>
      </c>
      <c r="H4393" s="2" t="s">
        <v>1059</v>
      </c>
      <c r="L4393" s="18">
        <v>0</v>
      </c>
      <c r="Q4393" s="18">
        <v>0</v>
      </c>
      <c r="U4393" s="22">
        <v>0.57999999999999996</v>
      </c>
      <c r="V4393" s="22">
        <f>3.81/5</f>
        <v>0.76200000000000001</v>
      </c>
      <c r="X4393" s="3">
        <v>3</v>
      </c>
      <c r="Y4393" s="18">
        <v>1</v>
      </c>
      <c r="Z4393" s="23">
        <v>4</v>
      </c>
      <c r="AB4393" s="18">
        <f t="shared" si="136"/>
        <v>2011</v>
      </c>
      <c r="AC4393" s="22">
        <f t="shared" si="137"/>
        <v>0.64733333333333343</v>
      </c>
    </row>
    <row r="4394" spans="1:29" ht="25.5">
      <c r="A4394" s="8" t="s">
        <v>14862</v>
      </c>
      <c r="B4394" s="17" t="s">
        <v>7759</v>
      </c>
      <c r="C4394" s="13">
        <v>40757</v>
      </c>
      <c r="D4394" s="13" t="s">
        <v>8465</v>
      </c>
      <c r="E4394" s="10" t="s">
        <v>1342</v>
      </c>
      <c r="F4394" s="10" t="s">
        <v>14863</v>
      </c>
      <c r="G4394" s="11" t="s">
        <v>5534</v>
      </c>
      <c r="H4394" s="2" t="s">
        <v>1054</v>
      </c>
      <c r="L4394" s="18">
        <v>0</v>
      </c>
      <c r="Q4394" s="18">
        <v>0</v>
      </c>
      <c r="U4394" s="22">
        <v>0.65</v>
      </c>
      <c r="V4394" s="22">
        <f>3.58/5</f>
        <v>0.71599999999999997</v>
      </c>
      <c r="X4394" s="3">
        <v>2</v>
      </c>
      <c r="Y4394" s="18">
        <v>1</v>
      </c>
      <c r="Z4394" s="23">
        <v>3.5</v>
      </c>
      <c r="AB4394" s="18">
        <f t="shared" si="136"/>
        <v>2011</v>
      </c>
      <c r="AC4394" s="22">
        <f t="shared" si="137"/>
        <v>0.58866666666666667</v>
      </c>
    </row>
    <row r="4395" spans="1:29" ht="25.5">
      <c r="A4395" s="8" t="s">
        <v>3764</v>
      </c>
      <c r="B4395" s="17" t="s">
        <v>7800</v>
      </c>
      <c r="C4395" s="13">
        <v>40753</v>
      </c>
      <c r="D4395" s="13" t="s">
        <v>8465</v>
      </c>
      <c r="E4395" s="10" t="s">
        <v>3765</v>
      </c>
      <c r="F4395" s="10" t="s">
        <v>3765</v>
      </c>
      <c r="H4395" s="2" t="s">
        <v>1050</v>
      </c>
      <c r="L4395" s="18">
        <v>1</v>
      </c>
      <c r="N4395" s="13">
        <v>41103</v>
      </c>
      <c r="O4395" s="29">
        <v>1.99</v>
      </c>
      <c r="P4395" s="18" t="s">
        <v>1107</v>
      </c>
      <c r="Q4395" s="18">
        <v>0</v>
      </c>
      <c r="U4395" s="22">
        <v>0.63</v>
      </c>
      <c r="V4395" s="22">
        <f>3.42/5</f>
        <v>0.68399999999999994</v>
      </c>
      <c r="W4395" s="14" t="s">
        <v>7777</v>
      </c>
      <c r="X4395" s="3">
        <v>3</v>
      </c>
      <c r="Z4395" s="23">
        <v>11.5</v>
      </c>
      <c r="AB4395" s="18">
        <f t="shared" si="136"/>
        <v>2011</v>
      </c>
      <c r="AC4395" s="22">
        <f t="shared" si="137"/>
        <v>0.63800000000000001</v>
      </c>
    </row>
    <row r="4396" spans="1:29" ht="25.5">
      <c r="A4396" s="8" t="s">
        <v>3429</v>
      </c>
      <c r="B4396" s="17" t="s">
        <v>7800</v>
      </c>
      <c r="C4396" s="13">
        <v>40753</v>
      </c>
      <c r="D4396" s="13" t="s">
        <v>8465</v>
      </c>
      <c r="E4396" s="10" t="s">
        <v>3430</v>
      </c>
      <c r="F4396" s="10" t="s">
        <v>3431</v>
      </c>
      <c r="H4396" s="2" t="s">
        <v>171</v>
      </c>
      <c r="L4396" s="18">
        <v>1</v>
      </c>
      <c r="N4396" s="13">
        <v>42006</v>
      </c>
      <c r="O4396" s="29">
        <v>2.4900000000000002</v>
      </c>
      <c r="P4396" s="18" t="s">
        <v>1107</v>
      </c>
      <c r="Q4396" s="18">
        <v>0</v>
      </c>
      <c r="U4396" s="22">
        <v>0.66</v>
      </c>
      <c r="V4396" s="22">
        <f>3.55/5</f>
        <v>0.71</v>
      </c>
      <c r="W4396" s="14" t="s">
        <v>7777</v>
      </c>
      <c r="X4396" s="3">
        <v>3</v>
      </c>
      <c r="Z4396" s="23">
        <v>10</v>
      </c>
      <c r="AB4396" s="18">
        <f t="shared" si="136"/>
        <v>2011</v>
      </c>
      <c r="AC4396" s="22">
        <f t="shared" si="137"/>
        <v>0.65666666666666673</v>
      </c>
    </row>
    <row r="4397" spans="1:29" ht="30">
      <c r="A4397" s="8" t="s">
        <v>13602</v>
      </c>
      <c r="B4397" s="17" t="s">
        <v>7762</v>
      </c>
      <c r="C4397" s="13">
        <v>40752</v>
      </c>
      <c r="D4397" s="13" t="s">
        <v>8463</v>
      </c>
      <c r="E4397" s="10" t="s">
        <v>3568</v>
      </c>
      <c r="F4397" s="10" t="s">
        <v>11049</v>
      </c>
      <c r="G4397" s="11" t="s">
        <v>13603</v>
      </c>
      <c r="H4397" s="2" t="s">
        <v>75</v>
      </c>
      <c r="K4397" s="18">
        <v>0</v>
      </c>
      <c r="L4397" s="18">
        <v>0</v>
      </c>
      <c r="Q4397" s="18">
        <v>0</v>
      </c>
      <c r="V4397" s="22">
        <f>4.23/5</f>
        <v>0.84600000000000009</v>
      </c>
      <c r="X4397" s="3">
        <v>2</v>
      </c>
      <c r="AB4397" s="18">
        <f t="shared" si="136"/>
        <v>2011</v>
      </c>
      <c r="AC4397" s="22">
        <f t="shared" si="137"/>
        <v>0.623</v>
      </c>
    </row>
    <row r="4398" spans="1:29">
      <c r="A4398" s="8" t="s">
        <v>4235</v>
      </c>
      <c r="B4398" s="17" t="s">
        <v>7800</v>
      </c>
      <c r="C4398" s="13">
        <v>40752</v>
      </c>
      <c r="D4398" s="13" t="s">
        <v>8465</v>
      </c>
      <c r="E4398" s="10" t="s">
        <v>3641</v>
      </c>
      <c r="F4398" s="10" t="s">
        <v>4236</v>
      </c>
      <c r="G4398" s="11" t="s">
        <v>4235</v>
      </c>
      <c r="H4398" s="2" t="s">
        <v>1169</v>
      </c>
      <c r="L4398" s="18">
        <v>1</v>
      </c>
      <c r="N4398" s="13">
        <v>41737</v>
      </c>
      <c r="P4398" s="18" t="s">
        <v>1107</v>
      </c>
      <c r="Q4398" s="18">
        <v>0</v>
      </c>
      <c r="U4398" s="22">
        <v>0.8</v>
      </c>
      <c r="V4398" s="22">
        <f>3.99/5</f>
        <v>0.79800000000000004</v>
      </c>
      <c r="W4398" s="14" t="s">
        <v>7777</v>
      </c>
      <c r="X4398" s="3">
        <v>2</v>
      </c>
      <c r="Z4398" s="23">
        <v>8.5</v>
      </c>
      <c r="AB4398" s="18">
        <f t="shared" si="136"/>
        <v>2011</v>
      </c>
      <c r="AC4398" s="22">
        <f t="shared" si="137"/>
        <v>0.66600000000000004</v>
      </c>
    </row>
    <row r="4399" spans="1:29" ht="25.5">
      <c r="A4399" s="8" t="s">
        <v>11270</v>
      </c>
      <c r="B4399" s="17" t="s">
        <v>7749</v>
      </c>
      <c r="C4399" s="13">
        <v>40751</v>
      </c>
      <c r="D4399" s="13" t="s">
        <v>8465</v>
      </c>
      <c r="E4399" s="10" t="s">
        <v>1509</v>
      </c>
      <c r="F4399" s="10" t="s">
        <v>1509</v>
      </c>
      <c r="G4399" s="11" t="s">
        <v>9727</v>
      </c>
      <c r="H4399" s="2" t="s">
        <v>6510</v>
      </c>
      <c r="L4399" s="18">
        <v>1</v>
      </c>
      <c r="M4399" s="14" t="s">
        <v>8462</v>
      </c>
      <c r="N4399" s="13">
        <v>45120</v>
      </c>
      <c r="O4399" s="29">
        <v>26.98</v>
      </c>
      <c r="P4399" s="18" t="s">
        <v>14</v>
      </c>
      <c r="Q4399" s="18">
        <v>0</v>
      </c>
      <c r="U4399" s="22">
        <v>0.6</v>
      </c>
      <c r="V4399" s="22">
        <f>3.79/5</f>
        <v>0.75800000000000001</v>
      </c>
      <c r="X4399" s="3">
        <v>2</v>
      </c>
      <c r="AB4399" s="18">
        <f t="shared" si="136"/>
        <v>2011</v>
      </c>
      <c r="AC4399" s="22">
        <f t="shared" si="137"/>
        <v>0.58599999999999997</v>
      </c>
    </row>
    <row r="4400" spans="1:29">
      <c r="A4400" s="8" t="s">
        <v>3058</v>
      </c>
      <c r="B4400" s="17" t="s">
        <v>7800</v>
      </c>
      <c r="C4400" s="13">
        <v>40751</v>
      </c>
      <c r="D4400" s="13" t="s">
        <v>8465</v>
      </c>
      <c r="E4400" s="10" t="s">
        <v>3059</v>
      </c>
      <c r="F4400" s="10" t="s">
        <v>3059</v>
      </c>
      <c r="H4400" s="2" t="s">
        <v>143</v>
      </c>
      <c r="L4400" s="18">
        <v>1</v>
      </c>
      <c r="N4400" s="13">
        <v>41803</v>
      </c>
      <c r="P4400" s="18" t="s">
        <v>1107</v>
      </c>
      <c r="Q4400" s="18">
        <v>0</v>
      </c>
      <c r="V4400" s="22">
        <f>2.84/5</f>
        <v>0.56799999999999995</v>
      </c>
      <c r="W4400" s="14" t="s">
        <v>7777</v>
      </c>
      <c r="X4400" s="3">
        <v>2</v>
      </c>
      <c r="Z4400" s="23">
        <v>0.87</v>
      </c>
      <c r="AB4400" s="18">
        <f t="shared" si="136"/>
        <v>2011</v>
      </c>
      <c r="AC4400" s="22">
        <f t="shared" si="137"/>
        <v>0.48399999999999999</v>
      </c>
    </row>
    <row r="4401" spans="1:29">
      <c r="A4401" s="8" t="s">
        <v>6057</v>
      </c>
      <c r="B4401" s="17" t="s">
        <v>7759</v>
      </c>
      <c r="C4401" s="13">
        <v>40750</v>
      </c>
      <c r="D4401" s="13" t="s">
        <v>8465</v>
      </c>
      <c r="E4401" s="10" t="s">
        <v>2461</v>
      </c>
      <c r="F4401" s="10" t="s">
        <v>228</v>
      </c>
      <c r="G4401" s="11" t="s">
        <v>6057</v>
      </c>
      <c r="H4401" s="2" t="s">
        <v>27</v>
      </c>
      <c r="L4401" s="18">
        <v>1</v>
      </c>
      <c r="N4401" s="13">
        <v>42297</v>
      </c>
      <c r="O4401" s="29">
        <v>6.8</v>
      </c>
      <c r="P4401" s="18" t="s">
        <v>1107</v>
      </c>
      <c r="Q4401" s="18">
        <v>0</v>
      </c>
      <c r="U4401" s="22">
        <v>0.78</v>
      </c>
      <c r="V4401" s="22">
        <f>4.11/5</f>
        <v>0.82200000000000006</v>
      </c>
      <c r="X4401" s="3">
        <v>4</v>
      </c>
      <c r="Z4401" s="23">
        <v>13</v>
      </c>
      <c r="AB4401" s="18">
        <f t="shared" si="136"/>
        <v>2011</v>
      </c>
      <c r="AC4401" s="22">
        <f t="shared" si="137"/>
        <v>0.80066666666666675</v>
      </c>
    </row>
    <row r="4402" spans="1:29" ht="38.25">
      <c r="A4402" s="8" t="s">
        <v>11601</v>
      </c>
      <c r="B4402" s="17" t="s">
        <v>7748</v>
      </c>
      <c r="C4402" s="13">
        <v>40745</v>
      </c>
      <c r="D4402" s="13" t="s">
        <v>8463</v>
      </c>
      <c r="E4402" s="10" t="s">
        <v>228</v>
      </c>
      <c r="F4402" s="10" t="s">
        <v>228</v>
      </c>
      <c r="H4402" s="2" t="s">
        <v>149</v>
      </c>
      <c r="K4402" s="18">
        <v>2</v>
      </c>
      <c r="L4402" s="18">
        <v>0</v>
      </c>
      <c r="Q4402" s="18">
        <v>0</v>
      </c>
      <c r="V4402" s="22">
        <f>4.14/5</f>
        <v>0.82799999999999996</v>
      </c>
      <c r="X4402" s="3">
        <v>3</v>
      </c>
      <c r="Z4402" s="23">
        <v>5.5</v>
      </c>
      <c r="AB4402" s="18">
        <f t="shared" si="136"/>
        <v>2011</v>
      </c>
      <c r="AC4402" s="22">
        <f t="shared" si="137"/>
        <v>0.71399999999999997</v>
      </c>
    </row>
    <row r="4403" spans="1:29">
      <c r="A4403" s="8" t="s">
        <v>11387</v>
      </c>
      <c r="B4403" s="17" t="s">
        <v>7749</v>
      </c>
      <c r="C4403" s="13">
        <v>40745</v>
      </c>
      <c r="D4403" s="13" t="s">
        <v>8465</v>
      </c>
      <c r="E4403" s="10" t="s">
        <v>86</v>
      </c>
      <c r="F4403" s="10" t="s">
        <v>1046</v>
      </c>
      <c r="G4403" s="11" t="s">
        <v>120</v>
      </c>
      <c r="H4403" s="2" t="s">
        <v>21</v>
      </c>
      <c r="L4403" s="18">
        <v>1</v>
      </c>
      <c r="N4403" s="13">
        <v>44639</v>
      </c>
      <c r="O4403" s="29">
        <v>4.99</v>
      </c>
      <c r="P4403" s="18" t="s">
        <v>1107</v>
      </c>
      <c r="Q4403" s="18">
        <v>0</v>
      </c>
      <c r="U4403" s="22">
        <v>0.37</v>
      </c>
      <c r="V4403" s="22">
        <f>3.28/5</f>
        <v>0.65599999999999992</v>
      </c>
      <c r="X4403" s="3">
        <v>2</v>
      </c>
      <c r="Z4403" s="23">
        <v>2.5</v>
      </c>
      <c r="AB4403" s="18">
        <f t="shared" si="136"/>
        <v>2011</v>
      </c>
      <c r="AC4403" s="22">
        <f t="shared" si="137"/>
        <v>0.47533333333333322</v>
      </c>
    </row>
    <row r="4404" spans="1:29" ht="25.5">
      <c r="A4404" s="8" t="s">
        <v>15094</v>
      </c>
      <c r="B4404" s="17" t="s">
        <v>7759</v>
      </c>
      <c r="C4404" s="13">
        <v>40743</v>
      </c>
      <c r="D4404" s="13" t="s">
        <v>8465</v>
      </c>
      <c r="E4404" s="10" t="s">
        <v>455</v>
      </c>
      <c r="F4404" s="10" t="s">
        <v>1535</v>
      </c>
      <c r="G4404" s="11" t="s">
        <v>462</v>
      </c>
      <c r="H4404" s="2" t="s">
        <v>153</v>
      </c>
      <c r="L4404" s="18">
        <v>0</v>
      </c>
      <c r="Q4404" s="18">
        <v>0</v>
      </c>
      <c r="U4404" s="22">
        <v>0.61</v>
      </c>
      <c r="V4404" s="22">
        <f>3.44/5</f>
        <v>0.68799999999999994</v>
      </c>
      <c r="X4404" s="3">
        <v>2</v>
      </c>
      <c r="Y4404" s="18">
        <v>1</v>
      </c>
      <c r="Z4404" s="23">
        <v>6</v>
      </c>
      <c r="AB4404" s="18">
        <f t="shared" si="136"/>
        <v>2011</v>
      </c>
      <c r="AC4404" s="22">
        <f t="shared" si="137"/>
        <v>0.56599999999999995</v>
      </c>
    </row>
    <row r="4405" spans="1:29" ht="25.5">
      <c r="A4405" s="8" t="s">
        <v>5418</v>
      </c>
      <c r="B4405" s="17" t="s">
        <v>7800</v>
      </c>
      <c r="C4405" s="13">
        <v>40742</v>
      </c>
      <c r="D4405" s="13" t="s">
        <v>8465</v>
      </c>
      <c r="E4405" s="10" t="s">
        <v>5419</v>
      </c>
      <c r="F4405" s="10" t="s">
        <v>5419</v>
      </c>
      <c r="H4405" s="2" t="s">
        <v>64</v>
      </c>
      <c r="L4405" s="18">
        <v>1</v>
      </c>
      <c r="N4405" s="13">
        <v>41357</v>
      </c>
      <c r="P4405" s="18" t="s">
        <v>1107</v>
      </c>
      <c r="Q4405" s="18">
        <v>0</v>
      </c>
      <c r="U4405" s="22">
        <v>0.75</v>
      </c>
      <c r="V4405" s="22">
        <f>3.48/5</f>
        <v>0.69599999999999995</v>
      </c>
      <c r="W4405" s="14" t="s">
        <v>7777</v>
      </c>
      <c r="X4405" s="3">
        <v>3</v>
      </c>
      <c r="Z4405" s="23">
        <v>2</v>
      </c>
      <c r="AB4405" s="18">
        <f t="shared" si="136"/>
        <v>2011</v>
      </c>
      <c r="AC4405" s="22">
        <f t="shared" si="137"/>
        <v>0.68199999999999994</v>
      </c>
    </row>
    <row r="4406" spans="1:29" ht="25.5">
      <c r="A4406" s="8" t="s">
        <v>11623</v>
      </c>
      <c r="B4406" s="17" t="s">
        <v>7748</v>
      </c>
      <c r="C4406" s="13">
        <v>40738</v>
      </c>
      <c r="D4406" s="13" t="s">
        <v>8463</v>
      </c>
      <c r="E4406" s="10" t="s">
        <v>455</v>
      </c>
      <c r="F4406" s="10" t="s">
        <v>1492</v>
      </c>
      <c r="G4406" s="11" t="s">
        <v>1211</v>
      </c>
      <c r="H4406" s="2" t="s">
        <v>78</v>
      </c>
      <c r="K4406" s="18">
        <v>2</v>
      </c>
      <c r="L4406" s="18">
        <v>0</v>
      </c>
      <c r="Q4406" s="18">
        <v>0</v>
      </c>
      <c r="V4406" s="22">
        <f>4.31/5</f>
        <v>0.86199999999999988</v>
      </c>
      <c r="X4406" s="3">
        <v>2</v>
      </c>
      <c r="AB4406" s="18">
        <f t="shared" si="136"/>
        <v>2011</v>
      </c>
      <c r="AC4406" s="22">
        <f t="shared" si="137"/>
        <v>0.63100000000000001</v>
      </c>
    </row>
    <row r="4407" spans="1:29">
      <c r="A4407" s="8" t="s">
        <v>3746</v>
      </c>
      <c r="B4407" s="17" t="s">
        <v>7800</v>
      </c>
      <c r="C4407" s="13">
        <v>40737</v>
      </c>
      <c r="D4407" s="13" t="s">
        <v>8465</v>
      </c>
      <c r="E4407" s="10" t="s">
        <v>3747</v>
      </c>
      <c r="F4407" s="10" t="s">
        <v>3747</v>
      </c>
      <c r="H4407" s="2" t="s">
        <v>1518</v>
      </c>
      <c r="L4407" s="18">
        <v>1</v>
      </c>
      <c r="N4407" s="13">
        <v>40876</v>
      </c>
      <c r="P4407" s="18" t="s">
        <v>1107</v>
      </c>
      <c r="Q4407" s="18">
        <v>0</v>
      </c>
      <c r="U4407" s="22">
        <v>0.78</v>
      </c>
      <c r="V4407" s="22">
        <f>3.79/5</f>
        <v>0.75800000000000001</v>
      </c>
      <c r="W4407" s="14" t="s">
        <v>7777</v>
      </c>
      <c r="X4407" s="3">
        <v>2</v>
      </c>
      <c r="Z4407" s="23">
        <v>17</v>
      </c>
      <c r="AB4407" s="18">
        <f t="shared" si="136"/>
        <v>2011</v>
      </c>
      <c r="AC4407" s="22">
        <f t="shared" si="137"/>
        <v>0.64600000000000002</v>
      </c>
    </row>
    <row r="4408" spans="1:29" ht="25.5">
      <c r="A4408" s="8" t="s">
        <v>3365</v>
      </c>
      <c r="B4408" s="17" t="s">
        <v>7800</v>
      </c>
      <c r="C4408" s="13">
        <v>40737</v>
      </c>
      <c r="D4408" s="13" t="s">
        <v>8465</v>
      </c>
      <c r="E4408" s="10" t="s">
        <v>3366</v>
      </c>
      <c r="F4408" s="10" t="s">
        <v>3366</v>
      </c>
      <c r="H4408" s="2" t="s">
        <v>149</v>
      </c>
      <c r="L4408" s="18">
        <v>1</v>
      </c>
      <c r="N4408" s="13">
        <v>40876</v>
      </c>
      <c r="P4408" s="18" t="s">
        <v>1107</v>
      </c>
      <c r="Q4408" s="18">
        <v>0</v>
      </c>
      <c r="V4408" s="22">
        <f>3.55/5</f>
        <v>0.71</v>
      </c>
      <c r="W4408" s="14" t="s">
        <v>7777</v>
      </c>
      <c r="X4408" s="3">
        <v>2</v>
      </c>
      <c r="Z4408" s="23">
        <v>5</v>
      </c>
      <c r="AB4408" s="18">
        <f t="shared" si="136"/>
        <v>2011</v>
      </c>
      <c r="AC4408" s="22">
        <f t="shared" si="137"/>
        <v>0.55499999999999994</v>
      </c>
    </row>
    <row r="4409" spans="1:29" ht="25.5">
      <c r="A4409" s="8" t="s">
        <v>13457</v>
      </c>
      <c r="B4409" s="17" t="s">
        <v>7759</v>
      </c>
      <c r="C4409" s="13">
        <v>40736</v>
      </c>
      <c r="D4409" s="13" t="s">
        <v>8465</v>
      </c>
      <c r="E4409" s="10" t="s">
        <v>231</v>
      </c>
      <c r="F4409" s="10" t="s">
        <v>13455</v>
      </c>
      <c r="G4409" s="11" t="s">
        <v>13449</v>
      </c>
      <c r="H4409" s="2" t="s">
        <v>80</v>
      </c>
      <c r="L4409" s="18">
        <v>0</v>
      </c>
      <c r="Q4409" s="18">
        <v>0</v>
      </c>
      <c r="U4409" s="22">
        <v>0.43</v>
      </c>
      <c r="V4409" s="22">
        <f>3.19/5</f>
        <v>0.63800000000000001</v>
      </c>
      <c r="X4409" s="3">
        <v>2</v>
      </c>
      <c r="Y4409" s="18">
        <v>1</v>
      </c>
      <c r="Z4409" s="23">
        <v>4.5</v>
      </c>
      <c r="AB4409" s="18">
        <f t="shared" si="136"/>
        <v>2011</v>
      </c>
      <c r="AC4409" s="22">
        <f t="shared" si="137"/>
        <v>0.48933333333333334</v>
      </c>
    </row>
    <row r="4410" spans="1:29">
      <c r="A4410" s="8" t="s">
        <v>7155</v>
      </c>
      <c r="B4410" s="17" t="s">
        <v>7800</v>
      </c>
      <c r="C4410" s="13">
        <v>40734</v>
      </c>
      <c r="D4410" s="13" t="s">
        <v>8465</v>
      </c>
      <c r="E4410" s="10" t="s">
        <v>4465</v>
      </c>
      <c r="F4410" s="10" t="s">
        <v>4465</v>
      </c>
      <c r="G4410" s="11" t="s">
        <v>4466</v>
      </c>
      <c r="H4410" s="2" t="s">
        <v>151</v>
      </c>
      <c r="L4410" s="18">
        <v>0</v>
      </c>
      <c r="Q4410" s="18">
        <v>0</v>
      </c>
      <c r="V4410" s="22">
        <f>3.66/5</f>
        <v>0.73199999999999998</v>
      </c>
      <c r="W4410" s="14" t="s">
        <v>5674</v>
      </c>
      <c r="X4410" s="3">
        <v>4</v>
      </c>
      <c r="Z4410" s="23">
        <v>1.5</v>
      </c>
      <c r="AB4410" s="18">
        <f t="shared" si="136"/>
        <v>2011</v>
      </c>
      <c r="AC4410" s="22">
        <f t="shared" si="137"/>
        <v>0.76600000000000001</v>
      </c>
    </row>
    <row r="4411" spans="1:29" ht="30">
      <c r="A4411" s="8" t="s">
        <v>10624</v>
      </c>
      <c r="B4411" s="17" t="s">
        <v>7759</v>
      </c>
      <c r="C4411" s="13">
        <v>40729</v>
      </c>
      <c r="D4411" s="13" t="s">
        <v>8465</v>
      </c>
      <c r="E4411" s="10" t="s">
        <v>2908</v>
      </c>
      <c r="F4411" s="10" t="s">
        <v>5862</v>
      </c>
      <c r="G4411" s="11" t="s">
        <v>2968</v>
      </c>
      <c r="H4411" s="2" t="s">
        <v>1170</v>
      </c>
      <c r="L4411" s="18">
        <v>0</v>
      </c>
      <c r="Q4411" s="18">
        <v>0</v>
      </c>
      <c r="U4411" s="22">
        <v>0.43</v>
      </c>
      <c r="V4411" s="22">
        <f>2.7/5</f>
        <v>0.54</v>
      </c>
      <c r="X4411" s="3">
        <v>2</v>
      </c>
      <c r="Y4411" s="18">
        <v>1</v>
      </c>
      <c r="Z4411" s="23">
        <v>4</v>
      </c>
      <c r="AB4411" s="18">
        <f t="shared" si="136"/>
        <v>2011</v>
      </c>
      <c r="AC4411" s="22">
        <f t="shared" si="137"/>
        <v>0.45666666666666672</v>
      </c>
    </row>
    <row r="4412" spans="1:29" ht="25.5">
      <c r="A4412" s="8" t="s">
        <v>8110</v>
      </c>
      <c r="B4412" s="17" t="s">
        <v>7749</v>
      </c>
      <c r="C4412" s="13">
        <v>40722</v>
      </c>
      <c r="D4412" s="13" t="s">
        <v>8465</v>
      </c>
      <c r="E4412" s="10" t="s">
        <v>73</v>
      </c>
      <c r="F4412" s="10" t="s">
        <v>73</v>
      </c>
      <c r="G4412" s="11" t="s">
        <v>943</v>
      </c>
      <c r="H4412" s="2" t="s">
        <v>1168</v>
      </c>
      <c r="L4412" s="18">
        <v>1</v>
      </c>
      <c r="N4412" s="13">
        <v>43768</v>
      </c>
      <c r="O4412" s="29">
        <v>4.99</v>
      </c>
      <c r="P4412" s="18" t="s">
        <v>1107</v>
      </c>
      <c r="Q4412" s="18">
        <v>0</v>
      </c>
      <c r="U4412" s="22">
        <v>0.67090000000000005</v>
      </c>
      <c r="V4412" s="22">
        <f>3.72/5</f>
        <v>0.74399999999999999</v>
      </c>
      <c r="X4412" s="3">
        <v>3</v>
      </c>
      <c r="Z4412" s="23">
        <v>5.5</v>
      </c>
      <c r="AB4412" s="18">
        <f t="shared" si="136"/>
        <v>2011</v>
      </c>
      <c r="AC4412" s="22">
        <f t="shared" si="137"/>
        <v>0.6716333333333333</v>
      </c>
    </row>
    <row r="4413" spans="1:29" ht="25.5">
      <c r="A4413" s="8" t="s">
        <v>7952</v>
      </c>
      <c r="B4413" s="17" t="s">
        <v>7759</v>
      </c>
      <c r="C4413" s="13">
        <v>40722</v>
      </c>
      <c r="D4413" s="13" t="s">
        <v>8465</v>
      </c>
      <c r="E4413" s="10" t="s">
        <v>3568</v>
      </c>
      <c r="F4413" s="10" t="s">
        <v>1471</v>
      </c>
      <c r="G4413" s="11" t="s">
        <v>7950</v>
      </c>
      <c r="H4413" s="2" t="s">
        <v>1059</v>
      </c>
      <c r="L4413" s="18">
        <v>0</v>
      </c>
      <c r="Q4413" s="18">
        <v>0</v>
      </c>
      <c r="U4413" s="22">
        <v>0.63</v>
      </c>
      <c r="V4413" s="22">
        <f>4.07/5</f>
        <v>0.81400000000000006</v>
      </c>
      <c r="X4413" s="3">
        <v>2</v>
      </c>
      <c r="Y4413" s="18">
        <v>1</v>
      </c>
      <c r="Z4413" s="23">
        <v>34.5</v>
      </c>
      <c r="AB4413" s="18">
        <f t="shared" si="136"/>
        <v>2011</v>
      </c>
      <c r="AC4413" s="22">
        <f t="shared" si="137"/>
        <v>0.61466666666666658</v>
      </c>
    </row>
    <row r="4414" spans="1:29">
      <c r="A4414" s="8" t="s">
        <v>8374</v>
      </c>
      <c r="B4414" s="17" t="s">
        <v>7741</v>
      </c>
      <c r="C4414" s="13">
        <v>40717</v>
      </c>
      <c r="D4414" s="13" t="s">
        <v>8463</v>
      </c>
      <c r="E4414" s="10" t="s">
        <v>3041</v>
      </c>
      <c r="F4414" s="10" t="s">
        <v>8375</v>
      </c>
      <c r="G4414" s="11" t="s">
        <v>8374</v>
      </c>
      <c r="H4414" s="2" t="s">
        <v>149</v>
      </c>
      <c r="K4414" s="18">
        <v>2</v>
      </c>
      <c r="L4414" s="18">
        <v>0</v>
      </c>
      <c r="Q4414" s="18">
        <v>0</v>
      </c>
      <c r="V4414" s="22">
        <f>3.88/5</f>
        <v>0.77600000000000002</v>
      </c>
      <c r="X4414" s="3">
        <v>4</v>
      </c>
      <c r="AB4414" s="18">
        <f t="shared" si="136"/>
        <v>2011</v>
      </c>
      <c r="AC4414" s="22">
        <f t="shared" si="137"/>
        <v>0.78800000000000003</v>
      </c>
    </row>
    <row r="4415" spans="1:29" ht="25.5">
      <c r="A4415" s="8" t="s">
        <v>11508</v>
      </c>
      <c r="B4415" s="17" t="s">
        <v>8754</v>
      </c>
      <c r="C4415" s="13">
        <v>40717</v>
      </c>
      <c r="D4415" s="13" t="s">
        <v>8465</v>
      </c>
      <c r="E4415" s="10" t="s">
        <v>1519</v>
      </c>
      <c r="F4415" s="10" t="s">
        <v>479</v>
      </c>
      <c r="G4415" s="11" t="s">
        <v>447</v>
      </c>
      <c r="H4415" s="2" t="s">
        <v>64</v>
      </c>
      <c r="L4415" s="18">
        <v>1</v>
      </c>
      <c r="N4415" s="13">
        <v>44666</v>
      </c>
      <c r="O4415" s="29">
        <v>4.99</v>
      </c>
      <c r="P4415" s="18" t="s">
        <v>1107</v>
      </c>
      <c r="Q4415" s="18">
        <v>0</v>
      </c>
      <c r="V4415" s="22">
        <f>4.22/5</f>
        <v>0.84399999999999997</v>
      </c>
      <c r="X4415" s="3">
        <v>2</v>
      </c>
      <c r="Z4415" s="23">
        <v>4.5</v>
      </c>
      <c r="AB4415" s="18">
        <f t="shared" si="136"/>
        <v>2011</v>
      </c>
      <c r="AC4415" s="22">
        <f t="shared" si="137"/>
        <v>0.622</v>
      </c>
    </row>
    <row r="4416" spans="1:29" ht="30">
      <c r="A4416" s="8" t="s">
        <v>11589</v>
      </c>
      <c r="B4416" s="17" t="s">
        <v>7762</v>
      </c>
      <c r="C4416" s="13">
        <v>40717</v>
      </c>
      <c r="D4416" s="13" t="s">
        <v>8463</v>
      </c>
      <c r="E4416" s="10" t="s">
        <v>228</v>
      </c>
      <c r="F4416" s="10" t="s">
        <v>1416</v>
      </c>
      <c r="G4416" s="11" t="s">
        <v>1987</v>
      </c>
      <c r="H4416" s="2" t="s">
        <v>75</v>
      </c>
      <c r="K4416" s="18">
        <v>0</v>
      </c>
      <c r="L4416" s="18">
        <v>0</v>
      </c>
      <c r="Q4416" s="18">
        <v>0</v>
      </c>
      <c r="V4416" s="22">
        <f>4.06/5</f>
        <v>0.81199999999999994</v>
      </c>
      <c r="X4416" s="3">
        <v>2</v>
      </c>
      <c r="Z4416" s="23">
        <v>17</v>
      </c>
      <c r="AB4416" s="18">
        <f t="shared" si="136"/>
        <v>2011</v>
      </c>
      <c r="AC4416" s="22">
        <f t="shared" si="137"/>
        <v>0.60599999999999998</v>
      </c>
    </row>
    <row r="4417" spans="1:29" ht="25.5">
      <c r="A4417" s="8" t="s">
        <v>3245</v>
      </c>
      <c r="B4417" s="17" t="s">
        <v>7800</v>
      </c>
      <c r="C4417" s="13">
        <v>40717</v>
      </c>
      <c r="D4417" s="13" t="s">
        <v>8465</v>
      </c>
      <c r="E4417" s="10" t="s">
        <v>3246</v>
      </c>
      <c r="F4417" s="10" t="s">
        <v>3246</v>
      </c>
      <c r="G4417" s="11" t="s">
        <v>1406</v>
      </c>
      <c r="H4417" s="2" t="s">
        <v>67</v>
      </c>
      <c r="L4417" s="18">
        <v>1</v>
      </c>
      <c r="N4417" s="13">
        <v>41102</v>
      </c>
      <c r="O4417" s="29">
        <v>6.24</v>
      </c>
      <c r="P4417" s="18" t="s">
        <v>1107</v>
      </c>
      <c r="Q4417" s="18">
        <v>0</v>
      </c>
      <c r="U4417" s="22">
        <v>0.8</v>
      </c>
      <c r="V4417" s="22">
        <f>3.72/5</f>
        <v>0.74399999999999999</v>
      </c>
      <c r="W4417" s="14" t="s">
        <v>7777</v>
      </c>
      <c r="X4417" s="3">
        <v>2</v>
      </c>
      <c r="Z4417" s="23">
        <v>12.5</v>
      </c>
      <c r="AB4417" s="18">
        <f t="shared" ref="AB4417:AB4480" si="138">IFERROR(YEAR(C4417), "Early Access")</f>
        <v>2011</v>
      </c>
      <c r="AC4417" s="22">
        <f t="shared" ref="AC4417:AC4480" si="139">AVERAGE(T4417, U4417, V4417, IF(ISBLANK(X4417), X4417, X4417/5))</f>
        <v>0.64800000000000002</v>
      </c>
    </row>
    <row r="4418" spans="1:29">
      <c r="A4418" s="8" t="s">
        <v>2585</v>
      </c>
      <c r="B4418" s="17" t="s">
        <v>7751</v>
      </c>
      <c r="C4418" s="13">
        <v>40716</v>
      </c>
      <c r="D4418" s="13" t="s">
        <v>8465</v>
      </c>
      <c r="E4418" s="10" t="s">
        <v>2661</v>
      </c>
      <c r="F4418" s="10" t="s">
        <v>20</v>
      </c>
      <c r="H4418" s="2" t="s">
        <v>149</v>
      </c>
      <c r="L4418" s="18">
        <v>0</v>
      </c>
      <c r="Q4418" s="18">
        <v>0</v>
      </c>
      <c r="V4418" s="22">
        <f>2.78/5</f>
        <v>0.55599999999999994</v>
      </c>
      <c r="X4418" s="3">
        <v>3</v>
      </c>
      <c r="AB4418" s="18">
        <f t="shared" si="138"/>
        <v>2011</v>
      </c>
      <c r="AC4418" s="22">
        <f t="shared" si="139"/>
        <v>0.57799999999999996</v>
      </c>
    </row>
    <row r="4419" spans="1:29" ht="30">
      <c r="A4419" s="8" t="s">
        <v>6010</v>
      </c>
      <c r="B4419" s="17" t="s">
        <v>7759</v>
      </c>
      <c r="C4419" s="13">
        <v>40715</v>
      </c>
      <c r="D4419" s="13" t="s">
        <v>8465</v>
      </c>
      <c r="E4419" s="10" t="s">
        <v>231</v>
      </c>
      <c r="F4419" s="10" t="s">
        <v>1505</v>
      </c>
      <c r="H4419" s="2" t="s">
        <v>143</v>
      </c>
      <c r="L4419" s="18">
        <v>1</v>
      </c>
      <c r="M4419" s="14" t="s">
        <v>8462</v>
      </c>
      <c r="N4419" s="13">
        <v>43358</v>
      </c>
      <c r="O4419" s="29">
        <v>6.99</v>
      </c>
      <c r="P4419" s="18" t="s">
        <v>14</v>
      </c>
      <c r="Q4419" s="18">
        <v>0</v>
      </c>
      <c r="U4419" s="22">
        <v>0.79</v>
      </c>
      <c r="V4419" s="22">
        <f>3.83/5</f>
        <v>0.76600000000000001</v>
      </c>
      <c r="X4419" s="3">
        <v>4</v>
      </c>
      <c r="Z4419" s="23">
        <v>9</v>
      </c>
      <c r="AB4419" s="18">
        <f t="shared" si="138"/>
        <v>2011</v>
      </c>
      <c r="AC4419" s="22">
        <f t="shared" si="139"/>
        <v>0.78533333333333333</v>
      </c>
    </row>
    <row r="4420" spans="1:29" ht="45">
      <c r="A4420" s="8" t="s">
        <v>3850</v>
      </c>
      <c r="B4420" s="17" t="s">
        <v>7800</v>
      </c>
      <c r="C4420" s="13">
        <v>40715</v>
      </c>
      <c r="D4420" s="13" t="s">
        <v>8465</v>
      </c>
      <c r="E4420" s="10" t="s">
        <v>1156</v>
      </c>
      <c r="F4420" s="10" t="s">
        <v>3851</v>
      </c>
      <c r="G4420" s="11" t="s">
        <v>3847</v>
      </c>
      <c r="H4420" s="2" t="s">
        <v>1061</v>
      </c>
      <c r="L4420" s="18">
        <v>1</v>
      </c>
      <c r="N4420" s="13">
        <v>41583</v>
      </c>
      <c r="P4420" s="18" t="s">
        <v>1107</v>
      </c>
      <c r="Q4420" s="18">
        <v>0</v>
      </c>
      <c r="U4420" s="22">
        <v>0.75</v>
      </c>
      <c r="V4420" s="22">
        <f>3.15/5</f>
        <v>0.63</v>
      </c>
      <c r="W4420" s="14" t="s">
        <v>7777</v>
      </c>
      <c r="X4420" s="3">
        <v>4</v>
      </c>
      <c r="Z4420" s="23">
        <v>6</v>
      </c>
      <c r="AB4420" s="18">
        <f t="shared" si="138"/>
        <v>2011</v>
      </c>
      <c r="AC4420" s="22">
        <f t="shared" si="139"/>
        <v>0.72666666666666657</v>
      </c>
    </row>
    <row r="4421" spans="1:29">
      <c r="A4421" s="8" t="s">
        <v>3741</v>
      </c>
      <c r="B4421" s="17" t="s">
        <v>7800</v>
      </c>
      <c r="C4421" s="13">
        <v>40715</v>
      </c>
      <c r="D4421" s="13" t="s">
        <v>8465</v>
      </c>
      <c r="E4421" s="10" t="s">
        <v>1082</v>
      </c>
      <c r="F4421" s="10" t="s">
        <v>3166</v>
      </c>
      <c r="G4421" s="11" t="s">
        <v>3736</v>
      </c>
      <c r="H4421" s="2" t="s">
        <v>171</v>
      </c>
      <c r="L4421" s="18">
        <v>1</v>
      </c>
      <c r="N4421" s="13">
        <v>43285</v>
      </c>
      <c r="O4421" s="29">
        <v>0.99</v>
      </c>
      <c r="P4421" s="18" t="s">
        <v>1107</v>
      </c>
      <c r="Q4421" s="18">
        <v>0</v>
      </c>
      <c r="U4421" s="22">
        <v>0.7</v>
      </c>
      <c r="V4421" s="22">
        <f>3.15/5</f>
        <v>0.63</v>
      </c>
      <c r="W4421" s="14" t="s">
        <v>7777</v>
      </c>
      <c r="X4421" s="3">
        <v>3</v>
      </c>
      <c r="Z4421" s="23">
        <v>14</v>
      </c>
      <c r="AB4421" s="18">
        <f t="shared" si="138"/>
        <v>2011</v>
      </c>
      <c r="AC4421" s="22">
        <f t="shared" si="139"/>
        <v>0.64333333333333342</v>
      </c>
    </row>
    <row r="4422" spans="1:29">
      <c r="A4422" s="8" t="s">
        <v>3726</v>
      </c>
      <c r="B4422" s="17" t="s">
        <v>7800</v>
      </c>
      <c r="C4422" s="13">
        <v>40708</v>
      </c>
      <c r="D4422" s="13" t="s">
        <v>8465</v>
      </c>
      <c r="E4422" s="10" t="s">
        <v>3310</v>
      </c>
      <c r="F4422" s="10" t="s">
        <v>3154</v>
      </c>
      <c r="G4422" s="11" t="s">
        <v>3723</v>
      </c>
      <c r="H4422" s="2" t="s">
        <v>1050</v>
      </c>
      <c r="L4422" s="18">
        <v>1</v>
      </c>
      <c r="N4422" s="13">
        <v>41978</v>
      </c>
      <c r="O4422" s="29">
        <v>3.2</v>
      </c>
      <c r="P4422" s="18" t="s">
        <v>1107</v>
      </c>
      <c r="Q4422" s="18">
        <v>0</v>
      </c>
      <c r="U4422" s="22">
        <v>0.49</v>
      </c>
      <c r="V4422" s="22">
        <f>3.01/5</f>
        <v>0.60199999999999998</v>
      </c>
      <c r="W4422" s="14" t="s">
        <v>7777</v>
      </c>
      <c r="X4422" s="3">
        <v>3</v>
      </c>
      <c r="Z4422" s="23">
        <v>9.5</v>
      </c>
      <c r="AB4422" s="18">
        <f t="shared" si="138"/>
        <v>2011</v>
      </c>
      <c r="AC4422" s="22">
        <f t="shared" si="139"/>
        <v>0.56400000000000006</v>
      </c>
    </row>
    <row r="4423" spans="1:29">
      <c r="A4423" s="8" t="s">
        <v>3132</v>
      </c>
      <c r="B4423" s="17" t="s">
        <v>7800</v>
      </c>
      <c r="C4423" s="13">
        <v>40708</v>
      </c>
      <c r="D4423" s="13" t="s">
        <v>8465</v>
      </c>
      <c r="E4423" s="10" t="s">
        <v>231</v>
      </c>
      <c r="F4423" s="10" t="s">
        <v>3133</v>
      </c>
      <c r="G4423" s="11" t="s">
        <v>3134</v>
      </c>
      <c r="H4423" s="2" t="s">
        <v>80</v>
      </c>
      <c r="L4423" s="18">
        <v>1</v>
      </c>
      <c r="N4423" s="13">
        <v>41708</v>
      </c>
      <c r="O4423" s="29">
        <v>4.46</v>
      </c>
      <c r="P4423" s="18" t="s">
        <v>1107</v>
      </c>
      <c r="Q4423" s="18">
        <v>0</v>
      </c>
      <c r="U4423" s="22">
        <v>0.74</v>
      </c>
      <c r="V4423" s="22">
        <f>3.82/5</f>
        <v>0.76400000000000001</v>
      </c>
      <c r="W4423" s="14" t="s">
        <v>7777</v>
      </c>
      <c r="X4423" s="3">
        <v>3</v>
      </c>
      <c r="Z4423" s="23">
        <v>14</v>
      </c>
      <c r="AB4423" s="18">
        <f t="shared" si="138"/>
        <v>2011</v>
      </c>
      <c r="AC4423" s="22">
        <f t="shared" si="139"/>
        <v>0.70133333333333336</v>
      </c>
    </row>
    <row r="4424" spans="1:29">
      <c r="A4424" s="8" t="s">
        <v>5527</v>
      </c>
      <c r="B4424" s="17" t="s">
        <v>7800</v>
      </c>
      <c r="C4424" s="13">
        <v>40708</v>
      </c>
      <c r="D4424" s="13" t="s">
        <v>8465</v>
      </c>
      <c r="E4424" s="10" t="s">
        <v>4850</v>
      </c>
      <c r="F4424" s="10" t="s">
        <v>5528</v>
      </c>
      <c r="G4424" s="11" t="s">
        <v>15304</v>
      </c>
      <c r="H4424" s="2" t="s">
        <v>171</v>
      </c>
      <c r="L4424" s="18">
        <v>1</v>
      </c>
      <c r="N4424" s="13">
        <v>41123</v>
      </c>
      <c r="P4424" s="18" t="s">
        <v>1107</v>
      </c>
      <c r="Q4424" s="18">
        <v>0</v>
      </c>
      <c r="U4424" s="22">
        <v>0.6</v>
      </c>
      <c r="V4424" s="22">
        <f>2.13/5</f>
        <v>0.42599999999999999</v>
      </c>
      <c r="W4424" s="14" t="s">
        <v>7777</v>
      </c>
      <c r="X4424" s="3">
        <v>2</v>
      </c>
      <c r="Z4424" s="23">
        <v>8</v>
      </c>
      <c r="AB4424" s="18">
        <f t="shared" si="138"/>
        <v>2011</v>
      </c>
      <c r="AC4424" s="22">
        <f t="shared" si="139"/>
        <v>0.47533333333333339</v>
      </c>
    </row>
    <row r="4425" spans="1:29">
      <c r="A4425" s="8" t="s">
        <v>3726</v>
      </c>
      <c r="B4425" s="17" t="s">
        <v>7759</v>
      </c>
      <c r="C4425" s="13">
        <v>40704</v>
      </c>
      <c r="D4425" s="13" t="s">
        <v>8465</v>
      </c>
      <c r="E4425" s="10" t="s">
        <v>3310</v>
      </c>
      <c r="F4425" s="10" t="s">
        <v>3154</v>
      </c>
      <c r="G4425" s="11" t="s">
        <v>3723</v>
      </c>
      <c r="H4425" s="2" t="s">
        <v>1050</v>
      </c>
      <c r="L4425" s="18">
        <v>1</v>
      </c>
      <c r="M4425" s="14" t="s">
        <v>8462</v>
      </c>
      <c r="N4425" s="13">
        <v>43533</v>
      </c>
      <c r="P4425" s="18" t="s">
        <v>14</v>
      </c>
      <c r="Q4425" s="18">
        <v>0</v>
      </c>
      <c r="U4425" s="22">
        <v>0.48</v>
      </c>
      <c r="V4425" s="22">
        <f>2.9/5</f>
        <v>0.57999999999999996</v>
      </c>
      <c r="X4425" s="3">
        <v>3</v>
      </c>
      <c r="Z4425" s="23">
        <v>9.5</v>
      </c>
      <c r="AB4425" s="18">
        <f t="shared" si="138"/>
        <v>2011</v>
      </c>
      <c r="AC4425" s="22">
        <f t="shared" si="139"/>
        <v>0.55333333333333334</v>
      </c>
    </row>
    <row r="4426" spans="1:29" ht="30">
      <c r="A4426" s="8" t="s">
        <v>9837</v>
      </c>
      <c r="B4426" s="17" t="s">
        <v>7762</v>
      </c>
      <c r="C4426" s="13">
        <v>40702</v>
      </c>
      <c r="D4426" s="13" t="s">
        <v>8467</v>
      </c>
      <c r="E4426" s="10" t="s">
        <v>2908</v>
      </c>
      <c r="F4426" s="10" t="s">
        <v>5862</v>
      </c>
      <c r="G4426" s="11" t="s">
        <v>6046</v>
      </c>
      <c r="H4426" s="2" t="s">
        <v>171</v>
      </c>
      <c r="L4426" s="18">
        <v>0</v>
      </c>
      <c r="Q4426" s="18">
        <v>0</v>
      </c>
      <c r="V4426" s="22">
        <f>3.49/5</f>
        <v>0.69800000000000006</v>
      </c>
      <c r="X4426" s="3">
        <v>3</v>
      </c>
      <c r="Z4426" s="23">
        <v>23.5</v>
      </c>
      <c r="AB4426" s="18">
        <f t="shared" si="138"/>
        <v>2011</v>
      </c>
      <c r="AC4426" s="22">
        <f t="shared" si="139"/>
        <v>0.64900000000000002</v>
      </c>
    </row>
    <row r="4427" spans="1:29" ht="30">
      <c r="A4427" s="8" t="s">
        <v>5955</v>
      </c>
      <c r="B4427" s="17" t="s">
        <v>7759</v>
      </c>
      <c r="C4427" s="13">
        <v>40701</v>
      </c>
      <c r="D4427" s="13" t="s">
        <v>8465</v>
      </c>
      <c r="E4427" s="10" t="s">
        <v>2908</v>
      </c>
      <c r="F4427" s="10" t="s">
        <v>5954</v>
      </c>
      <c r="G4427" s="11" t="s">
        <v>5953</v>
      </c>
      <c r="H4427" s="2" t="s">
        <v>80</v>
      </c>
      <c r="L4427" s="18">
        <v>1</v>
      </c>
      <c r="M4427" s="14" t="s">
        <v>8462</v>
      </c>
      <c r="P4427" s="18" t="s">
        <v>14</v>
      </c>
      <c r="Q4427" s="18">
        <v>0</v>
      </c>
      <c r="U4427" s="22">
        <v>0.84</v>
      </c>
      <c r="V4427" s="22">
        <f>4.17/5</f>
        <v>0.83399999999999996</v>
      </c>
      <c r="W4427" s="14" t="s">
        <v>6071</v>
      </c>
      <c r="X4427" s="3">
        <v>4</v>
      </c>
      <c r="Z4427" s="23">
        <v>12.5</v>
      </c>
      <c r="AB4427" s="18">
        <f t="shared" si="138"/>
        <v>2011</v>
      </c>
      <c r="AC4427" s="22">
        <f t="shared" si="139"/>
        <v>0.82466666666666677</v>
      </c>
    </row>
    <row r="4428" spans="1:29" ht="25.5">
      <c r="A4428" s="8" t="s">
        <v>1823</v>
      </c>
      <c r="B4428" s="17" t="s">
        <v>7749</v>
      </c>
      <c r="C4428" s="13">
        <v>40701</v>
      </c>
      <c r="D4428" s="13" t="s">
        <v>8465</v>
      </c>
      <c r="E4428" s="10" t="s">
        <v>86</v>
      </c>
      <c r="F4428" s="10" t="s">
        <v>86</v>
      </c>
      <c r="G4428" s="11" t="s">
        <v>85</v>
      </c>
      <c r="H4428" s="2" t="s">
        <v>80</v>
      </c>
      <c r="L4428" s="18">
        <v>1</v>
      </c>
      <c r="N4428" s="13">
        <v>42051</v>
      </c>
      <c r="P4428" s="18" t="s">
        <v>1107</v>
      </c>
      <c r="Q4428" s="18">
        <v>0</v>
      </c>
      <c r="V4428" s="22">
        <f>4.36/5</f>
        <v>0.87200000000000011</v>
      </c>
      <c r="W4428" s="14" t="s">
        <v>1068</v>
      </c>
      <c r="X4428" s="3">
        <v>3</v>
      </c>
      <c r="Z4428" s="23">
        <v>14.5</v>
      </c>
      <c r="AB4428" s="18">
        <f t="shared" si="138"/>
        <v>2011</v>
      </c>
      <c r="AC4428" s="22">
        <f t="shared" si="139"/>
        <v>0.73599999999999999</v>
      </c>
    </row>
    <row r="4429" spans="1:29" ht="25.5">
      <c r="A4429" s="8" t="s">
        <v>12600</v>
      </c>
      <c r="B4429" s="17" t="s">
        <v>7800</v>
      </c>
      <c r="C4429" s="13">
        <v>40701</v>
      </c>
      <c r="D4429" s="13" t="s">
        <v>8465</v>
      </c>
      <c r="E4429" s="10" t="s">
        <v>1513</v>
      </c>
      <c r="F4429" s="10" t="s">
        <v>1513</v>
      </c>
      <c r="G4429" s="11" t="s">
        <v>12599</v>
      </c>
      <c r="H4429" s="2" t="s">
        <v>7448</v>
      </c>
      <c r="L4429" s="18">
        <v>1</v>
      </c>
      <c r="P4429" s="18" t="s">
        <v>1107</v>
      </c>
      <c r="Q4429" s="18">
        <v>0</v>
      </c>
      <c r="U4429" s="22">
        <v>0.67</v>
      </c>
      <c r="V4429" s="22">
        <f>3.41/5</f>
        <v>0.68200000000000005</v>
      </c>
      <c r="W4429" s="14" t="s">
        <v>7777</v>
      </c>
      <c r="X4429" s="3">
        <v>2</v>
      </c>
      <c r="Z4429" s="23">
        <v>12</v>
      </c>
      <c r="AB4429" s="18">
        <f t="shared" si="138"/>
        <v>2011</v>
      </c>
      <c r="AC4429" s="22">
        <f t="shared" si="139"/>
        <v>0.58400000000000007</v>
      </c>
    </row>
    <row r="4430" spans="1:29">
      <c r="A4430" s="8" t="s">
        <v>12399</v>
      </c>
      <c r="B4430" s="17" t="s">
        <v>8754</v>
      </c>
      <c r="C4430" s="13">
        <v>40700</v>
      </c>
      <c r="D4430" s="13" t="s">
        <v>8465</v>
      </c>
      <c r="E4430" s="10" t="s">
        <v>12400</v>
      </c>
      <c r="F4430" s="10" t="s">
        <v>11255</v>
      </c>
      <c r="G4430" s="11" t="s">
        <v>12401</v>
      </c>
      <c r="H4430" s="2" t="s">
        <v>1377</v>
      </c>
      <c r="L4430" s="18">
        <v>0</v>
      </c>
      <c r="Q4430" s="18">
        <v>0</v>
      </c>
      <c r="V4430" s="22">
        <f>3.8/5</f>
        <v>0.76</v>
      </c>
      <c r="W4430" s="14" t="s">
        <v>9890</v>
      </c>
      <c r="X4430" s="3">
        <v>2</v>
      </c>
      <c r="AB4430" s="18">
        <f t="shared" si="138"/>
        <v>2011</v>
      </c>
      <c r="AC4430" s="22">
        <f t="shared" si="139"/>
        <v>0.58000000000000007</v>
      </c>
    </row>
    <row r="4431" spans="1:29">
      <c r="A4431" s="8" t="s">
        <v>13738</v>
      </c>
      <c r="B4431" s="17" t="s">
        <v>7749</v>
      </c>
      <c r="C4431" s="13">
        <v>40700</v>
      </c>
      <c r="D4431" s="13" t="s">
        <v>8465</v>
      </c>
      <c r="E4431" s="10" t="s">
        <v>86</v>
      </c>
      <c r="F4431" s="10" t="s">
        <v>1046</v>
      </c>
      <c r="G4431" s="11" t="s">
        <v>138</v>
      </c>
      <c r="H4431" s="2" t="s">
        <v>150</v>
      </c>
      <c r="L4431" s="18">
        <v>1</v>
      </c>
      <c r="N4431" s="13">
        <v>45003</v>
      </c>
      <c r="O4431" s="29">
        <v>5.99</v>
      </c>
      <c r="P4431" s="18" t="s">
        <v>1107</v>
      </c>
      <c r="Q4431" s="18">
        <v>0</v>
      </c>
      <c r="V4431" s="22">
        <f>3.24/5</f>
        <v>0.64800000000000002</v>
      </c>
      <c r="X4431" s="3">
        <v>2</v>
      </c>
      <c r="Z4431" s="23">
        <f>52/60</f>
        <v>0.8666666666666667</v>
      </c>
      <c r="AB4431" s="18">
        <f t="shared" si="138"/>
        <v>2011</v>
      </c>
      <c r="AC4431" s="22">
        <f t="shared" si="139"/>
        <v>0.52400000000000002</v>
      </c>
    </row>
    <row r="4432" spans="1:29" ht="25.5">
      <c r="A4432" s="8" t="s">
        <v>7930</v>
      </c>
      <c r="B4432" s="17" t="s">
        <v>7748</v>
      </c>
      <c r="C4432" s="13">
        <v>40700</v>
      </c>
      <c r="D4432" s="13" t="s">
        <v>8465</v>
      </c>
      <c r="E4432" s="10" t="s">
        <v>1163</v>
      </c>
      <c r="F4432" s="10" t="s">
        <v>7931</v>
      </c>
      <c r="G4432" s="11" t="s">
        <v>3723</v>
      </c>
      <c r="H4432" s="2" t="s">
        <v>147</v>
      </c>
      <c r="L4432" s="18">
        <v>0</v>
      </c>
      <c r="Q4432" s="18">
        <v>0</v>
      </c>
      <c r="U4432" s="22">
        <v>0.37330000000000002</v>
      </c>
      <c r="V4432" s="22">
        <f>2.52/5</f>
        <v>0.504</v>
      </c>
      <c r="X4432" s="3">
        <v>2</v>
      </c>
      <c r="Z4432" s="23">
        <v>4.5</v>
      </c>
      <c r="AB4432" s="18">
        <f t="shared" si="138"/>
        <v>2011</v>
      </c>
      <c r="AC4432" s="22">
        <f t="shared" si="139"/>
        <v>0.42576666666666663</v>
      </c>
    </row>
    <row r="4433" spans="1:29" ht="25.5">
      <c r="A4433" s="8" t="s">
        <v>12483</v>
      </c>
      <c r="B4433" s="17" t="s">
        <v>7759</v>
      </c>
      <c r="C4433" s="13">
        <v>40695</v>
      </c>
      <c r="D4433" s="13" t="s">
        <v>8465</v>
      </c>
      <c r="E4433" s="10" t="s">
        <v>1534</v>
      </c>
      <c r="F4433" s="10" t="s">
        <v>3029</v>
      </c>
      <c r="G4433" s="11" t="s">
        <v>5566</v>
      </c>
      <c r="H4433" s="2" t="s">
        <v>1377</v>
      </c>
      <c r="L4433" s="18">
        <v>0</v>
      </c>
      <c r="Q4433" s="18">
        <v>0</v>
      </c>
      <c r="U4433" s="22">
        <v>0.56999999999999995</v>
      </c>
      <c r="V4433" s="22">
        <f>3.78/5</f>
        <v>0.75600000000000001</v>
      </c>
      <c r="X4433" s="3">
        <v>2</v>
      </c>
      <c r="Y4433" s="18">
        <v>1</v>
      </c>
      <c r="Z4433" s="23">
        <v>52</v>
      </c>
      <c r="AB4433" s="18">
        <f t="shared" si="138"/>
        <v>2011</v>
      </c>
      <c r="AC4433" s="22">
        <f t="shared" si="139"/>
        <v>0.57533333333333336</v>
      </c>
    </row>
    <row r="4434" spans="1:29">
      <c r="A4434" s="8" t="s">
        <v>9879</v>
      </c>
      <c r="B4434" s="17" t="s">
        <v>7742</v>
      </c>
      <c r="C4434" s="13">
        <v>40693</v>
      </c>
      <c r="D4434" s="13" t="s">
        <v>8465</v>
      </c>
      <c r="E4434" s="10" t="s">
        <v>1733</v>
      </c>
      <c r="F4434" s="10" t="s">
        <v>1733</v>
      </c>
      <c r="G4434" s="11" t="s">
        <v>1734</v>
      </c>
      <c r="H4434" s="2" t="s">
        <v>150</v>
      </c>
      <c r="L4434" s="18">
        <v>0</v>
      </c>
      <c r="Q4434" s="18">
        <v>0</v>
      </c>
      <c r="U4434" s="22">
        <v>0.73</v>
      </c>
      <c r="V4434" s="22">
        <f>3.96/5</f>
        <v>0.79200000000000004</v>
      </c>
      <c r="X4434" s="3">
        <v>3</v>
      </c>
      <c r="Z4434" s="23">
        <v>2</v>
      </c>
      <c r="AB4434" s="18">
        <f t="shared" si="138"/>
        <v>2011</v>
      </c>
      <c r="AC4434" s="22">
        <f t="shared" si="139"/>
        <v>0.70733333333333326</v>
      </c>
    </row>
    <row r="4435" spans="1:29">
      <c r="A4435" s="8" t="s">
        <v>3935</v>
      </c>
      <c r="B4435" s="17" t="s">
        <v>7800</v>
      </c>
      <c r="C4435" s="13">
        <v>40689</v>
      </c>
      <c r="D4435" s="13" t="s">
        <v>8465</v>
      </c>
      <c r="E4435" s="10" t="s">
        <v>3936</v>
      </c>
      <c r="F4435" s="10" t="s">
        <v>3936</v>
      </c>
      <c r="G4435" s="11" t="s">
        <v>3935</v>
      </c>
      <c r="H4435" s="2" t="s">
        <v>3937</v>
      </c>
      <c r="L4435" s="18">
        <v>1</v>
      </c>
      <c r="N4435" s="13">
        <v>41443</v>
      </c>
      <c r="P4435" s="18" t="s">
        <v>1107</v>
      </c>
      <c r="Q4435" s="18">
        <v>0</v>
      </c>
      <c r="U4435" s="22">
        <v>0.87</v>
      </c>
      <c r="V4435" s="22">
        <f>3.52/5</f>
        <v>0.70399999999999996</v>
      </c>
      <c r="W4435" s="14" t="s">
        <v>7777</v>
      </c>
      <c r="X4435" s="3">
        <v>3</v>
      </c>
      <c r="Z4435" s="23">
        <v>21.5</v>
      </c>
      <c r="AB4435" s="18">
        <f t="shared" si="138"/>
        <v>2011</v>
      </c>
      <c r="AC4435" s="22">
        <f t="shared" si="139"/>
        <v>0.72466666666666668</v>
      </c>
    </row>
    <row r="4436" spans="1:29" ht="25.5">
      <c r="A4436" s="8" t="s">
        <v>10271</v>
      </c>
      <c r="B4436" s="17" t="s">
        <v>7749</v>
      </c>
      <c r="C4436" s="13">
        <v>40687</v>
      </c>
      <c r="D4436" s="13" t="s">
        <v>8465</v>
      </c>
      <c r="E4436" s="10" t="s">
        <v>2335</v>
      </c>
      <c r="F4436" s="10" t="s">
        <v>1136</v>
      </c>
      <c r="G4436" s="11" t="s">
        <v>10281</v>
      </c>
      <c r="H4436" s="2" t="s">
        <v>459</v>
      </c>
      <c r="L4436" s="18">
        <v>1</v>
      </c>
      <c r="M4436" s="14" t="s">
        <v>8462</v>
      </c>
      <c r="N4436" s="13">
        <v>44642</v>
      </c>
      <c r="O4436" s="29">
        <v>54.3</v>
      </c>
      <c r="P4436" s="18" t="s">
        <v>14</v>
      </c>
      <c r="Q4436" s="18">
        <v>0</v>
      </c>
      <c r="U4436" s="22">
        <v>0.79</v>
      </c>
      <c r="V4436" s="22">
        <f>3.96/5</f>
        <v>0.79200000000000004</v>
      </c>
      <c r="X4436" s="3">
        <v>2</v>
      </c>
      <c r="Z4436" s="23">
        <v>4</v>
      </c>
      <c r="AB4436" s="18">
        <f t="shared" si="138"/>
        <v>2011</v>
      </c>
      <c r="AC4436" s="22">
        <f t="shared" si="139"/>
        <v>0.66066666666666674</v>
      </c>
    </row>
    <row r="4437" spans="1:29">
      <c r="A4437" s="8" t="s">
        <v>3664</v>
      </c>
      <c r="B4437" s="17" t="s">
        <v>7800</v>
      </c>
      <c r="C4437" s="13">
        <v>40687</v>
      </c>
      <c r="D4437" s="13" t="s">
        <v>8465</v>
      </c>
      <c r="E4437" s="10" t="s">
        <v>1513</v>
      </c>
      <c r="F4437" s="10" t="s">
        <v>3665</v>
      </c>
      <c r="G4437" s="11" t="s">
        <v>3666</v>
      </c>
      <c r="H4437" s="2" t="s">
        <v>150</v>
      </c>
      <c r="L4437" s="18">
        <v>1</v>
      </c>
      <c r="N4437" s="13">
        <v>41672</v>
      </c>
      <c r="P4437" s="18" t="s">
        <v>1107</v>
      </c>
      <c r="Q4437" s="18">
        <v>0</v>
      </c>
      <c r="U4437" s="22">
        <v>0.86</v>
      </c>
      <c r="V4437" s="22">
        <f>3.58/5</f>
        <v>0.71599999999999997</v>
      </c>
      <c r="W4437" s="14" t="s">
        <v>7777</v>
      </c>
      <c r="X4437" s="3">
        <v>2</v>
      </c>
      <c r="Z4437" s="23">
        <v>13.5</v>
      </c>
      <c r="AB4437" s="18">
        <f t="shared" si="138"/>
        <v>2011</v>
      </c>
      <c r="AC4437" s="22">
        <f t="shared" si="139"/>
        <v>0.65866666666666662</v>
      </c>
    </row>
    <row r="4438" spans="1:29" ht="25.5">
      <c r="A4438" s="8" t="s">
        <v>5391</v>
      </c>
      <c r="B4438" s="17" t="s">
        <v>7800</v>
      </c>
      <c r="C4438" s="13">
        <v>40680</v>
      </c>
      <c r="D4438" s="13" t="s">
        <v>8465</v>
      </c>
      <c r="E4438" s="10" t="s">
        <v>3536</v>
      </c>
      <c r="F4438" s="10" t="s">
        <v>3537</v>
      </c>
      <c r="G4438" s="11" t="s">
        <v>5392</v>
      </c>
      <c r="H4438" s="2" t="s">
        <v>171</v>
      </c>
      <c r="L4438" s="18">
        <v>1</v>
      </c>
      <c r="N4438" s="13">
        <v>41468</v>
      </c>
      <c r="O4438" s="29">
        <v>4.55</v>
      </c>
      <c r="P4438" s="18" t="s">
        <v>1107</v>
      </c>
      <c r="Q4438" s="18">
        <v>0</v>
      </c>
      <c r="U4438" s="22">
        <v>0.88</v>
      </c>
      <c r="V4438" s="22">
        <f>4.07/5</f>
        <v>0.81400000000000006</v>
      </c>
      <c r="W4438" s="14" t="s">
        <v>7777</v>
      </c>
      <c r="X4438" s="3">
        <v>4</v>
      </c>
      <c r="Z4438" s="23">
        <v>24</v>
      </c>
      <c r="AB4438" s="18">
        <f t="shared" si="138"/>
        <v>2011</v>
      </c>
      <c r="AC4438" s="22">
        <f t="shared" si="139"/>
        <v>0.83133333333333326</v>
      </c>
    </row>
    <row r="4439" spans="1:29">
      <c r="A4439" s="8" t="s">
        <v>581</v>
      </c>
      <c r="B4439" s="17" t="s">
        <v>7742</v>
      </c>
      <c r="C4439" s="13">
        <v>40679</v>
      </c>
      <c r="D4439" s="13" t="s">
        <v>8465</v>
      </c>
      <c r="E4439" s="10" t="s">
        <v>1082</v>
      </c>
      <c r="F4439" s="10" t="s">
        <v>1082</v>
      </c>
      <c r="G4439" s="11" t="s">
        <v>1251</v>
      </c>
      <c r="H4439" s="2" t="s">
        <v>149</v>
      </c>
      <c r="L4439" s="18">
        <v>0</v>
      </c>
      <c r="Q4439" s="18">
        <v>0</v>
      </c>
      <c r="V4439" s="22">
        <f>4.58/5</f>
        <v>0.91600000000000004</v>
      </c>
      <c r="W4439" s="14" t="s">
        <v>1068</v>
      </c>
      <c r="X4439" s="3">
        <v>3</v>
      </c>
      <c r="Z4439" s="23">
        <v>23</v>
      </c>
      <c r="AB4439" s="18">
        <f t="shared" si="138"/>
        <v>2011</v>
      </c>
      <c r="AC4439" s="22">
        <f t="shared" si="139"/>
        <v>0.75800000000000001</v>
      </c>
    </row>
    <row r="4440" spans="1:29" ht="30">
      <c r="A4440" s="8" t="s">
        <v>5142</v>
      </c>
      <c r="B4440" s="17" t="s">
        <v>7800</v>
      </c>
      <c r="C4440" s="13">
        <v>40674</v>
      </c>
      <c r="D4440" s="13" t="s">
        <v>8465</v>
      </c>
      <c r="E4440" s="10" t="s">
        <v>5143</v>
      </c>
      <c r="F4440" s="10" t="s">
        <v>5143</v>
      </c>
      <c r="G4440" s="11" t="s">
        <v>5144</v>
      </c>
      <c r="H4440" s="2" t="s">
        <v>2138</v>
      </c>
      <c r="L4440" s="18">
        <v>1</v>
      </c>
      <c r="N4440" s="13">
        <v>40752</v>
      </c>
      <c r="P4440" s="18" t="s">
        <v>1107</v>
      </c>
      <c r="Q4440" s="18">
        <v>0</v>
      </c>
      <c r="V4440" s="22">
        <f>2.83/5</f>
        <v>0.56600000000000006</v>
      </c>
      <c r="W4440" s="14" t="s">
        <v>7777</v>
      </c>
      <c r="X4440" s="3">
        <v>3</v>
      </c>
      <c r="Z4440" s="23">
        <v>5</v>
      </c>
      <c r="AB4440" s="18">
        <f t="shared" si="138"/>
        <v>2011</v>
      </c>
      <c r="AC4440" s="22">
        <f t="shared" si="139"/>
        <v>0.58299999999999996</v>
      </c>
    </row>
    <row r="4441" spans="1:29">
      <c r="A4441" s="8" t="s">
        <v>8655</v>
      </c>
      <c r="B4441" s="17" t="s">
        <v>7800</v>
      </c>
      <c r="C4441" s="13">
        <v>40673</v>
      </c>
      <c r="D4441" s="13" t="s">
        <v>8465</v>
      </c>
      <c r="E4441" s="10" t="s">
        <v>1690</v>
      </c>
      <c r="F4441" s="10" t="s">
        <v>3268</v>
      </c>
      <c r="H4441" s="2" t="s">
        <v>1050</v>
      </c>
      <c r="L4441" s="18">
        <v>1</v>
      </c>
      <c r="N4441" s="13">
        <v>43960</v>
      </c>
      <c r="O4441" s="29">
        <v>0</v>
      </c>
      <c r="P4441" s="18" t="s">
        <v>1107</v>
      </c>
      <c r="Q4441" s="18">
        <v>0</v>
      </c>
      <c r="U4441" s="22">
        <v>0.7</v>
      </c>
      <c r="V4441" s="22">
        <f>2.95/5</f>
        <v>0.59000000000000008</v>
      </c>
      <c r="W4441" s="14" t="s">
        <v>7777</v>
      </c>
      <c r="X4441" s="3">
        <v>3</v>
      </c>
      <c r="Z4441" s="23">
        <v>9.5</v>
      </c>
      <c r="AB4441" s="18">
        <f t="shared" si="138"/>
        <v>2011</v>
      </c>
      <c r="AC4441" s="22">
        <f t="shared" si="139"/>
        <v>0.63</v>
      </c>
    </row>
    <row r="4442" spans="1:29" ht="38.25">
      <c r="A4442" s="8" t="s">
        <v>14989</v>
      </c>
      <c r="B4442" s="17" t="s">
        <v>7759</v>
      </c>
      <c r="C4442" s="13">
        <v>40673</v>
      </c>
      <c r="D4442" s="13" t="s">
        <v>8465</v>
      </c>
      <c r="E4442" s="10" t="s">
        <v>2317</v>
      </c>
      <c r="F4442" s="10" t="s">
        <v>1309</v>
      </c>
      <c r="G4442" s="11" t="s">
        <v>4305</v>
      </c>
      <c r="H4442" s="2" t="s">
        <v>80</v>
      </c>
      <c r="L4442" s="18">
        <v>0</v>
      </c>
      <c r="Q4442" s="18">
        <v>0</v>
      </c>
      <c r="U4442" s="22">
        <v>0.73</v>
      </c>
      <c r="V4442" s="22">
        <f>3.87/5</f>
        <v>0.77400000000000002</v>
      </c>
      <c r="X4442" s="3">
        <v>3</v>
      </c>
      <c r="Y4442" s="18">
        <v>1</v>
      </c>
      <c r="Z4442" s="23">
        <v>8.5</v>
      </c>
      <c r="AB4442" s="18">
        <f t="shared" si="138"/>
        <v>2011</v>
      </c>
      <c r="AC4442" s="22">
        <f t="shared" si="139"/>
        <v>0.70133333333333336</v>
      </c>
    </row>
    <row r="4443" spans="1:29">
      <c r="A4443" s="8" t="s">
        <v>10272</v>
      </c>
      <c r="B4443" s="17" t="s">
        <v>7749</v>
      </c>
      <c r="C4443" s="13">
        <v>40673</v>
      </c>
      <c r="D4443" s="13" t="s">
        <v>8465</v>
      </c>
      <c r="E4443" s="10" t="s">
        <v>2298</v>
      </c>
      <c r="F4443" s="10" t="s">
        <v>8422</v>
      </c>
      <c r="H4443" s="2" t="s">
        <v>21</v>
      </c>
      <c r="L4443" s="18">
        <v>1</v>
      </c>
      <c r="N4443" s="13">
        <v>44417</v>
      </c>
      <c r="O4443" s="29">
        <v>6.61</v>
      </c>
      <c r="P4443" s="18" t="s">
        <v>14</v>
      </c>
      <c r="Q4443" s="18">
        <v>0</v>
      </c>
      <c r="U4443" s="22">
        <v>0.54</v>
      </c>
      <c r="V4443" s="22">
        <f>2.8/5</f>
        <v>0.55999999999999994</v>
      </c>
      <c r="X4443" s="3">
        <v>2</v>
      </c>
      <c r="Z4443" s="23">
        <v>9.5</v>
      </c>
      <c r="AB4443" s="18">
        <f t="shared" si="138"/>
        <v>2011</v>
      </c>
      <c r="AC4443" s="22">
        <f t="shared" si="139"/>
        <v>0.5</v>
      </c>
    </row>
    <row r="4444" spans="1:29" ht="30">
      <c r="A4444" s="8" t="s">
        <v>10712</v>
      </c>
      <c r="B4444" s="17" t="s">
        <v>8754</v>
      </c>
      <c r="C4444" s="13">
        <v>40672</v>
      </c>
      <c r="D4444" s="13" t="s">
        <v>8465</v>
      </c>
      <c r="E4444" s="10" t="s">
        <v>1084</v>
      </c>
      <c r="F4444" s="10" t="s">
        <v>1084</v>
      </c>
      <c r="G4444" s="11" t="s">
        <v>9995</v>
      </c>
      <c r="H4444" s="2" t="s">
        <v>31</v>
      </c>
      <c r="L4444" s="18">
        <v>1</v>
      </c>
      <c r="N4444" s="13">
        <v>44619</v>
      </c>
      <c r="O4444" s="29">
        <v>7.99</v>
      </c>
      <c r="P4444" s="18" t="s">
        <v>1107</v>
      </c>
      <c r="Q4444" s="18">
        <v>0</v>
      </c>
      <c r="U4444" s="22">
        <v>0.81</v>
      </c>
      <c r="V4444" s="22">
        <f>3.7/5</f>
        <v>0.74</v>
      </c>
      <c r="X4444" s="3">
        <v>3</v>
      </c>
      <c r="Z4444" s="23">
        <v>4.5</v>
      </c>
      <c r="AB4444" s="18">
        <f t="shared" si="138"/>
        <v>2011</v>
      </c>
      <c r="AC4444" s="22">
        <f t="shared" si="139"/>
        <v>0.71666666666666667</v>
      </c>
    </row>
    <row r="4445" spans="1:29">
      <c r="A4445" s="8" t="s">
        <v>4144</v>
      </c>
      <c r="B4445" s="17" t="s">
        <v>7800</v>
      </c>
      <c r="C4445" s="13">
        <v>40672</v>
      </c>
      <c r="D4445" s="13" t="s">
        <v>8465</v>
      </c>
      <c r="E4445" s="10" t="s">
        <v>4145</v>
      </c>
      <c r="F4445" s="10" t="s">
        <v>4145</v>
      </c>
      <c r="H4445" s="2" t="s">
        <v>1061</v>
      </c>
      <c r="L4445" s="18">
        <v>1</v>
      </c>
      <c r="N4445" s="13">
        <v>41160</v>
      </c>
      <c r="O4445" s="29">
        <v>1.25</v>
      </c>
      <c r="P4445" s="18" t="s">
        <v>1107</v>
      </c>
      <c r="Q4445" s="18">
        <v>0</v>
      </c>
      <c r="U4445" s="22">
        <v>0.67</v>
      </c>
      <c r="V4445" s="22">
        <f>2.98/5</f>
        <v>0.59599999999999997</v>
      </c>
      <c r="W4445" s="14" t="s">
        <v>7777</v>
      </c>
      <c r="X4445" s="3">
        <v>2</v>
      </c>
      <c r="Z4445" s="23">
        <v>3.5</v>
      </c>
      <c r="AB4445" s="18">
        <f t="shared" si="138"/>
        <v>2011</v>
      </c>
      <c r="AC4445" s="22">
        <f t="shared" si="139"/>
        <v>0.55533333333333335</v>
      </c>
    </row>
    <row r="4446" spans="1:29" ht="25.5">
      <c r="A4446" s="8" t="s">
        <v>3961</v>
      </c>
      <c r="B4446" s="17" t="s">
        <v>7800</v>
      </c>
      <c r="C4446" s="13">
        <v>40672</v>
      </c>
      <c r="D4446" s="13" t="s">
        <v>8465</v>
      </c>
      <c r="E4446" s="10" t="s">
        <v>3962</v>
      </c>
      <c r="F4446" s="10" t="s">
        <v>3963</v>
      </c>
      <c r="G4446" s="11" t="s">
        <v>3964</v>
      </c>
      <c r="H4446" s="2" t="s">
        <v>1059</v>
      </c>
      <c r="L4446" s="18">
        <v>1</v>
      </c>
      <c r="N4446" s="13">
        <v>40901</v>
      </c>
      <c r="P4446" s="18" t="s">
        <v>1107</v>
      </c>
      <c r="Q4446" s="18">
        <v>0</v>
      </c>
      <c r="U4446" s="22">
        <v>0.5</v>
      </c>
      <c r="V4446" s="22">
        <f>2.34/5</f>
        <v>0.46799999999999997</v>
      </c>
      <c r="W4446" s="14" t="s">
        <v>7777</v>
      </c>
      <c r="X4446" s="3">
        <v>2</v>
      </c>
      <c r="Z4446" s="23">
        <v>3.5</v>
      </c>
      <c r="AB4446" s="18">
        <f t="shared" si="138"/>
        <v>2011</v>
      </c>
      <c r="AC4446" s="22">
        <f t="shared" si="139"/>
        <v>0.45599999999999996</v>
      </c>
    </row>
    <row r="4447" spans="1:29" ht="25.5">
      <c r="A4447" s="8" t="s">
        <v>11122</v>
      </c>
      <c r="B4447" s="17" t="s">
        <v>7765</v>
      </c>
      <c r="C4447" s="13">
        <v>40667</v>
      </c>
      <c r="D4447" s="13" t="s">
        <v>8465</v>
      </c>
      <c r="E4447" s="10" t="s">
        <v>2298</v>
      </c>
      <c r="F4447" s="10" t="s">
        <v>1474</v>
      </c>
      <c r="G4447" s="11" t="s">
        <v>1475</v>
      </c>
      <c r="H4447" s="2" t="s">
        <v>21</v>
      </c>
      <c r="L4447" s="18">
        <v>0</v>
      </c>
      <c r="Q4447" s="18">
        <v>0</v>
      </c>
      <c r="U4447" s="22">
        <v>0.78</v>
      </c>
      <c r="V4447" s="22">
        <f>3.8/5</f>
        <v>0.76</v>
      </c>
      <c r="X4447" s="3">
        <v>3</v>
      </c>
      <c r="AB4447" s="18">
        <f t="shared" si="138"/>
        <v>2011</v>
      </c>
      <c r="AC4447" s="22">
        <f t="shared" si="139"/>
        <v>0.71333333333333337</v>
      </c>
    </row>
    <row r="4448" spans="1:29" ht="30">
      <c r="A4448" s="8" t="s">
        <v>5977</v>
      </c>
      <c r="B4448" s="17" t="s">
        <v>7759</v>
      </c>
      <c r="C4448" s="13">
        <v>40666</v>
      </c>
      <c r="D4448" s="13" t="s">
        <v>8465</v>
      </c>
      <c r="E4448" s="10" t="s">
        <v>2908</v>
      </c>
      <c r="F4448" s="10" t="s">
        <v>5976</v>
      </c>
      <c r="G4448" s="11" t="s">
        <v>5975</v>
      </c>
      <c r="H4448" s="2" t="s">
        <v>150</v>
      </c>
      <c r="L4448" s="18">
        <v>1</v>
      </c>
      <c r="M4448" s="14" t="s">
        <v>8462</v>
      </c>
      <c r="N4448" s="13">
        <v>43482</v>
      </c>
      <c r="O4448" s="29">
        <v>11.25</v>
      </c>
      <c r="P4448" s="18" t="s">
        <v>14</v>
      </c>
      <c r="Q4448" s="18">
        <v>0</v>
      </c>
      <c r="U4448" s="22">
        <v>0.78</v>
      </c>
      <c r="V4448" s="22">
        <f>3.63/5</f>
        <v>0.72599999999999998</v>
      </c>
      <c r="X4448" s="3">
        <v>3</v>
      </c>
      <c r="Z4448" s="23">
        <v>7</v>
      </c>
      <c r="AB4448" s="18">
        <f t="shared" si="138"/>
        <v>2011</v>
      </c>
      <c r="AC4448" s="22">
        <f t="shared" si="139"/>
        <v>0.70199999999999996</v>
      </c>
    </row>
    <row r="4449" spans="1:29" ht="30">
      <c r="A4449" s="8" t="s">
        <v>2223</v>
      </c>
      <c r="B4449" s="17" t="s">
        <v>7748</v>
      </c>
      <c r="C4449" s="13">
        <v>40666</v>
      </c>
      <c r="D4449" s="13" t="s">
        <v>8465</v>
      </c>
      <c r="E4449" s="10" t="s">
        <v>455</v>
      </c>
      <c r="F4449" s="10" t="s">
        <v>1084</v>
      </c>
      <c r="G4449" s="11" t="s">
        <v>2319</v>
      </c>
      <c r="H4449" s="2" t="s">
        <v>56</v>
      </c>
      <c r="L4449" s="18">
        <v>0</v>
      </c>
      <c r="Q4449" s="18">
        <v>0</v>
      </c>
      <c r="U4449" s="22">
        <v>0.66</v>
      </c>
      <c r="V4449" s="22">
        <f>3.49/5</f>
        <v>0.69800000000000006</v>
      </c>
      <c r="X4449" s="3">
        <v>3</v>
      </c>
      <c r="Z4449" s="23">
        <v>5.5</v>
      </c>
      <c r="AB4449" s="18">
        <f t="shared" si="138"/>
        <v>2011</v>
      </c>
      <c r="AC4449" s="22">
        <f t="shared" si="139"/>
        <v>0.65266666666666673</v>
      </c>
    </row>
    <row r="4450" spans="1:29" ht="30">
      <c r="A4450" s="8" t="s">
        <v>13643</v>
      </c>
      <c r="B4450" s="17" t="s">
        <v>7800</v>
      </c>
      <c r="C4450" s="13">
        <v>40666</v>
      </c>
      <c r="D4450" s="13" t="s">
        <v>8465</v>
      </c>
      <c r="E4450" s="10" t="s">
        <v>13641</v>
      </c>
      <c r="F4450" s="10" t="s">
        <v>13641</v>
      </c>
      <c r="G4450" s="11" t="s">
        <v>13642</v>
      </c>
      <c r="H4450" s="2" t="s">
        <v>1720</v>
      </c>
      <c r="L4450" s="18">
        <v>1</v>
      </c>
      <c r="P4450" s="18" t="s">
        <v>1107</v>
      </c>
      <c r="Q4450" s="18">
        <v>0</v>
      </c>
      <c r="U4450" s="22">
        <v>0.68</v>
      </c>
      <c r="V4450" s="22">
        <f>3.43/5</f>
        <v>0.68600000000000005</v>
      </c>
      <c r="W4450" s="14" t="s">
        <v>7777</v>
      </c>
      <c r="X4450" s="3">
        <v>2</v>
      </c>
      <c r="Z4450" s="23">
        <v>27</v>
      </c>
      <c r="AB4450" s="18">
        <f t="shared" si="138"/>
        <v>2011</v>
      </c>
      <c r="AC4450" s="22">
        <f t="shared" si="139"/>
        <v>0.58866666666666667</v>
      </c>
    </row>
    <row r="4451" spans="1:29" ht="38.25">
      <c r="A4451" s="8" t="s">
        <v>13772</v>
      </c>
      <c r="B4451" s="17" t="s">
        <v>8754</v>
      </c>
      <c r="C4451" s="13">
        <v>40665</v>
      </c>
      <c r="D4451" s="13" t="s">
        <v>8465</v>
      </c>
      <c r="E4451" s="10" t="s">
        <v>8418</v>
      </c>
      <c r="F4451" s="10" t="s">
        <v>8418</v>
      </c>
      <c r="G4451" s="11" t="s">
        <v>8417</v>
      </c>
      <c r="H4451" s="2" t="s">
        <v>171</v>
      </c>
      <c r="L4451" s="18">
        <v>0</v>
      </c>
      <c r="Q4451" s="18">
        <v>0</v>
      </c>
      <c r="V4451" s="22">
        <f>3.62/5</f>
        <v>0.72399999999999998</v>
      </c>
      <c r="W4451" s="14" t="s">
        <v>9890</v>
      </c>
      <c r="X4451" s="3">
        <v>2</v>
      </c>
      <c r="Z4451" s="23">
        <f>33/60</f>
        <v>0.55000000000000004</v>
      </c>
      <c r="AB4451" s="18">
        <f t="shared" si="138"/>
        <v>2011</v>
      </c>
      <c r="AC4451" s="22">
        <f t="shared" si="139"/>
        <v>0.56200000000000006</v>
      </c>
    </row>
    <row r="4452" spans="1:29">
      <c r="A4452" s="8" t="s">
        <v>3408</v>
      </c>
      <c r="B4452" s="17" t="s">
        <v>7800</v>
      </c>
      <c r="C4452" s="13">
        <v>40662</v>
      </c>
      <c r="D4452" s="13" t="s">
        <v>8465</v>
      </c>
      <c r="E4452" s="10" t="s">
        <v>3193</v>
      </c>
      <c r="F4452" s="10" t="s">
        <v>3193</v>
      </c>
      <c r="H4452" s="2" t="s">
        <v>151</v>
      </c>
      <c r="L4452" s="18">
        <v>1</v>
      </c>
      <c r="N4452" s="13">
        <v>41422</v>
      </c>
      <c r="P4452" s="18" t="s">
        <v>1107</v>
      </c>
      <c r="Q4452" s="18">
        <v>0</v>
      </c>
      <c r="U4452" s="22">
        <v>0.8</v>
      </c>
      <c r="V4452" s="22">
        <f>3.32/5</f>
        <v>0.66399999999999992</v>
      </c>
      <c r="W4452" s="14" t="s">
        <v>7777</v>
      </c>
      <c r="X4452" s="3">
        <v>3</v>
      </c>
      <c r="Z4452" s="23">
        <v>4</v>
      </c>
      <c r="AB4452" s="18">
        <f t="shared" si="138"/>
        <v>2011</v>
      </c>
      <c r="AC4452" s="22">
        <f t="shared" si="139"/>
        <v>0.68800000000000006</v>
      </c>
    </row>
    <row r="4453" spans="1:29">
      <c r="A4453" s="8" t="s">
        <v>5601</v>
      </c>
      <c r="B4453" s="17" t="s">
        <v>7800</v>
      </c>
      <c r="C4453" s="13">
        <v>40661</v>
      </c>
      <c r="D4453" s="13" t="s">
        <v>8465</v>
      </c>
      <c r="E4453" s="10" t="s">
        <v>311</v>
      </c>
      <c r="F4453" s="10" t="s">
        <v>5602</v>
      </c>
      <c r="G4453" s="11" t="s">
        <v>5603</v>
      </c>
      <c r="H4453" s="2" t="s">
        <v>2138</v>
      </c>
      <c r="L4453" s="18">
        <v>1</v>
      </c>
      <c r="N4453" s="13">
        <v>42015</v>
      </c>
      <c r="P4453" s="18" t="s">
        <v>1107</v>
      </c>
      <c r="Q4453" s="18">
        <v>0</v>
      </c>
      <c r="U4453" s="22">
        <v>0.64</v>
      </c>
      <c r="V4453" s="22">
        <f>3.41/5</f>
        <v>0.68200000000000005</v>
      </c>
      <c r="W4453" s="14" t="s">
        <v>7777</v>
      </c>
      <c r="X4453" s="3">
        <v>3</v>
      </c>
      <c r="Z4453" s="23">
        <v>2</v>
      </c>
      <c r="AB4453" s="18">
        <f t="shared" si="138"/>
        <v>2011</v>
      </c>
      <c r="AC4453" s="22">
        <f t="shared" si="139"/>
        <v>0.64066666666666672</v>
      </c>
    </row>
    <row r="4454" spans="1:29" ht="30">
      <c r="A4454" s="8" t="s">
        <v>11709</v>
      </c>
      <c r="B4454" s="17" t="s">
        <v>7765</v>
      </c>
      <c r="C4454" s="13">
        <v>40660</v>
      </c>
      <c r="D4454" s="13" t="s">
        <v>8465</v>
      </c>
      <c r="E4454" s="10" t="s">
        <v>11188</v>
      </c>
      <c r="F4454" s="10" t="s">
        <v>11710</v>
      </c>
      <c r="G4454" s="11" t="s">
        <v>11711</v>
      </c>
      <c r="H4454" s="2" t="s">
        <v>21</v>
      </c>
      <c r="L4454" s="18">
        <v>0</v>
      </c>
      <c r="Q4454" s="18">
        <v>0</v>
      </c>
      <c r="U4454" s="22">
        <v>0.69</v>
      </c>
      <c r="V4454" s="22">
        <f>3.91/5</f>
        <v>0.78200000000000003</v>
      </c>
      <c r="W4454" s="14" t="s">
        <v>9890</v>
      </c>
      <c r="X4454" s="3">
        <v>3</v>
      </c>
      <c r="Z4454" s="23">
        <f>45/60</f>
        <v>0.75</v>
      </c>
      <c r="AB4454" s="18">
        <f t="shared" si="138"/>
        <v>2011</v>
      </c>
      <c r="AC4454" s="22">
        <f t="shared" si="139"/>
        <v>0.69066666666666665</v>
      </c>
    </row>
    <row r="4455" spans="1:29">
      <c r="A4455" s="8" t="s">
        <v>5374</v>
      </c>
      <c r="B4455" s="17" t="s">
        <v>7800</v>
      </c>
      <c r="C4455" s="13">
        <v>40655</v>
      </c>
      <c r="D4455" s="13" t="s">
        <v>8465</v>
      </c>
      <c r="E4455" s="10" t="s">
        <v>5375</v>
      </c>
      <c r="F4455" s="10" t="s">
        <v>5375</v>
      </c>
      <c r="H4455" s="2" t="s">
        <v>3422</v>
      </c>
      <c r="L4455" s="18">
        <v>1</v>
      </c>
      <c r="N4455" s="13">
        <v>41110</v>
      </c>
      <c r="P4455" s="18" t="s">
        <v>1107</v>
      </c>
      <c r="Q4455" s="18">
        <v>0</v>
      </c>
      <c r="U4455" s="22">
        <v>0.57999999999999996</v>
      </c>
      <c r="V4455" s="22">
        <f>3.39/5</f>
        <v>0.67800000000000005</v>
      </c>
      <c r="W4455" s="14" t="s">
        <v>7777</v>
      </c>
      <c r="X4455" s="3">
        <v>3</v>
      </c>
      <c r="Z4455" s="23">
        <v>3.5</v>
      </c>
      <c r="AB4455" s="18">
        <f t="shared" si="138"/>
        <v>2011</v>
      </c>
      <c r="AC4455" s="22">
        <f t="shared" si="139"/>
        <v>0.6193333333333334</v>
      </c>
    </row>
    <row r="4456" spans="1:29" ht="25.5">
      <c r="A4456" s="8" t="s">
        <v>4879</v>
      </c>
      <c r="B4456" s="17" t="s">
        <v>7800</v>
      </c>
      <c r="C4456" s="13">
        <v>40654</v>
      </c>
      <c r="D4456" s="13" t="s">
        <v>8465</v>
      </c>
      <c r="E4456" s="10" t="s">
        <v>3493</v>
      </c>
      <c r="F4456" s="10" t="s">
        <v>4877</v>
      </c>
      <c r="G4456" s="11" t="s">
        <v>4878</v>
      </c>
      <c r="H4456" s="2" t="s">
        <v>67</v>
      </c>
      <c r="L4456" s="18">
        <v>1</v>
      </c>
      <c r="N4456" s="13">
        <v>43363</v>
      </c>
      <c r="O4456" s="29">
        <v>1.99</v>
      </c>
      <c r="P4456" s="18" t="s">
        <v>1107</v>
      </c>
      <c r="Q4456" s="18">
        <v>0</v>
      </c>
      <c r="U4456" s="22">
        <v>0.79</v>
      </c>
      <c r="V4456" s="22">
        <f>3.69/5</f>
        <v>0.73799999999999999</v>
      </c>
      <c r="W4456" s="14" t="s">
        <v>7777</v>
      </c>
      <c r="X4456" s="3">
        <v>3</v>
      </c>
      <c r="Z4456" s="23">
        <v>6.5</v>
      </c>
      <c r="AB4456" s="18">
        <f t="shared" si="138"/>
        <v>2011</v>
      </c>
      <c r="AC4456" s="22">
        <f t="shared" si="139"/>
        <v>0.70933333333333337</v>
      </c>
    </row>
    <row r="4457" spans="1:29">
      <c r="A4457" s="8" t="s">
        <v>5348</v>
      </c>
      <c r="B4457" s="17" t="s">
        <v>7800</v>
      </c>
      <c r="C4457" s="13">
        <v>40654</v>
      </c>
      <c r="D4457" s="13" t="s">
        <v>8465</v>
      </c>
      <c r="E4457" s="10" t="s">
        <v>3493</v>
      </c>
      <c r="F4457" s="10" t="s">
        <v>4877</v>
      </c>
      <c r="H4457" s="2" t="s">
        <v>67</v>
      </c>
      <c r="L4457" s="18">
        <v>1</v>
      </c>
      <c r="N4457" s="13">
        <v>43384</v>
      </c>
      <c r="O4457" s="29">
        <v>1.99</v>
      </c>
      <c r="P4457" s="18" t="s">
        <v>1107</v>
      </c>
      <c r="Q4457" s="18">
        <v>0</v>
      </c>
      <c r="U4457" s="22">
        <v>0.76</v>
      </c>
      <c r="V4457" s="22">
        <f>3.46/5</f>
        <v>0.69199999999999995</v>
      </c>
      <c r="W4457" s="14" t="s">
        <v>7777</v>
      </c>
      <c r="X4457" s="3">
        <v>3</v>
      </c>
      <c r="Z4457" s="23">
        <v>6</v>
      </c>
      <c r="AB4457" s="18">
        <f t="shared" si="138"/>
        <v>2011</v>
      </c>
      <c r="AC4457" s="22">
        <f t="shared" si="139"/>
        <v>0.68400000000000005</v>
      </c>
    </row>
    <row r="4458" spans="1:29">
      <c r="A4458" s="8" t="s">
        <v>985</v>
      </c>
      <c r="B4458" s="17" t="s">
        <v>7741</v>
      </c>
      <c r="C4458" s="13">
        <v>40652</v>
      </c>
      <c r="D4458" s="13" t="s">
        <v>8465</v>
      </c>
      <c r="E4458" s="10" t="s">
        <v>455</v>
      </c>
      <c r="F4458" s="10" t="s">
        <v>1055</v>
      </c>
      <c r="G4458" s="11" t="s">
        <v>1027</v>
      </c>
      <c r="H4458" s="2" t="s">
        <v>1050</v>
      </c>
      <c r="L4458" s="18">
        <v>0</v>
      </c>
      <c r="Q4458" s="18">
        <v>0</v>
      </c>
      <c r="U4458" s="22">
        <v>0.66</v>
      </c>
      <c r="V4458" s="22">
        <f>3.91/5</f>
        <v>0.78200000000000003</v>
      </c>
      <c r="X4458" s="3">
        <v>3</v>
      </c>
      <c r="Z4458" s="23">
        <v>6.5</v>
      </c>
      <c r="AB4458" s="18">
        <f t="shared" si="138"/>
        <v>2011</v>
      </c>
      <c r="AC4458" s="22">
        <f t="shared" si="139"/>
        <v>0.68066666666666675</v>
      </c>
    </row>
    <row r="4459" spans="1:29">
      <c r="A4459" s="8" t="s">
        <v>4733</v>
      </c>
      <c r="B4459" s="17" t="s">
        <v>7800</v>
      </c>
      <c r="C4459" s="13">
        <v>40652</v>
      </c>
      <c r="D4459" s="13" t="s">
        <v>8465</v>
      </c>
      <c r="E4459" s="10" t="s">
        <v>4070</v>
      </c>
      <c r="F4459" s="10" t="s">
        <v>4070</v>
      </c>
      <c r="G4459" s="11" t="s">
        <v>4732</v>
      </c>
      <c r="H4459" s="2" t="s">
        <v>27</v>
      </c>
      <c r="L4459" s="18">
        <v>1</v>
      </c>
      <c r="N4459" s="13">
        <v>42002</v>
      </c>
      <c r="O4459" s="29">
        <v>2.86</v>
      </c>
      <c r="P4459" s="18" t="s">
        <v>1107</v>
      </c>
      <c r="Q4459" s="18">
        <v>0</v>
      </c>
      <c r="U4459" s="22">
        <v>0.95</v>
      </c>
      <c r="V4459" s="22">
        <f>4.42/5</f>
        <v>0.88400000000000001</v>
      </c>
      <c r="W4459" s="14" t="s">
        <v>7777</v>
      </c>
      <c r="X4459" s="3">
        <v>3</v>
      </c>
      <c r="Z4459" s="23">
        <v>8.5</v>
      </c>
      <c r="AB4459" s="18">
        <f t="shared" si="138"/>
        <v>2011</v>
      </c>
      <c r="AC4459" s="22">
        <f t="shared" si="139"/>
        <v>0.81133333333333335</v>
      </c>
    </row>
    <row r="4460" spans="1:29" ht="30">
      <c r="A4460" s="8" t="s">
        <v>6238</v>
      </c>
      <c r="B4460" s="17" t="s">
        <v>7762</v>
      </c>
      <c r="C4460" s="13">
        <v>40652</v>
      </c>
      <c r="D4460" s="13" t="s">
        <v>8465</v>
      </c>
      <c r="E4460" s="10" t="s">
        <v>1082</v>
      </c>
      <c r="F4460" s="10" t="s">
        <v>1082</v>
      </c>
      <c r="G4460" s="11" t="s">
        <v>126</v>
      </c>
      <c r="H4460" s="2" t="s">
        <v>149</v>
      </c>
      <c r="L4460" s="18">
        <v>0</v>
      </c>
      <c r="Q4460" s="18">
        <v>0</v>
      </c>
      <c r="U4460" s="22">
        <v>0.8</v>
      </c>
      <c r="V4460" s="22">
        <f>4.24/5</f>
        <v>0.84800000000000009</v>
      </c>
      <c r="X4460" s="3">
        <v>3</v>
      </c>
      <c r="Z4460" s="23">
        <v>32</v>
      </c>
      <c r="AB4460" s="18">
        <f t="shared" si="138"/>
        <v>2011</v>
      </c>
      <c r="AC4460" s="22">
        <f t="shared" si="139"/>
        <v>0.74933333333333341</v>
      </c>
    </row>
    <row r="4461" spans="1:29" ht="30">
      <c r="A4461" s="8" t="s">
        <v>11942</v>
      </c>
      <c r="B4461" s="17" t="s">
        <v>7759</v>
      </c>
      <c r="C4461" s="13">
        <v>40652</v>
      </c>
      <c r="D4461" s="13" t="s">
        <v>8465</v>
      </c>
      <c r="E4461" s="10" t="s">
        <v>2908</v>
      </c>
      <c r="F4461" s="10" t="s">
        <v>7550</v>
      </c>
      <c r="G4461" s="11" t="s">
        <v>11933</v>
      </c>
      <c r="H4461" s="2" t="s">
        <v>7448</v>
      </c>
      <c r="L4461" s="18">
        <v>0</v>
      </c>
      <c r="Q4461" s="18">
        <v>0</v>
      </c>
      <c r="U4461" s="22">
        <v>0.67</v>
      </c>
      <c r="V4461" s="22">
        <f>3.29/5</f>
        <v>0.65800000000000003</v>
      </c>
      <c r="X4461" s="3">
        <v>2</v>
      </c>
      <c r="Y4461" s="18">
        <v>1</v>
      </c>
      <c r="Z4461" s="23">
        <v>8</v>
      </c>
      <c r="AB4461" s="18">
        <f t="shared" si="138"/>
        <v>2011</v>
      </c>
      <c r="AC4461" s="22">
        <f t="shared" si="139"/>
        <v>0.57600000000000007</v>
      </c>
    </row>
    <row r="4462" spans="1:29">
      <c r="A4462" s="8" t="s">
        <v>4913</v>
      </c>
      <c r="B4462" s="17" t="s">
        <v>7800</v>
      </c>
      <c r="C4462" s="13">
        <v>40648</v>
      </c>
      <c r="D4462" s="13" t="s">
        <v>8465</v>
      </c>
      <c r="E4462" s="10" t="s">
        <v>3077</v>
      </c>
      <c r="F4462" s="10" t="s">
        <v>3077</v>
      </c>
      <c r="G4462" s="11" t="s">
        <v>4913</v>
      </c>
      <c r="H4462" s="2" t="s">
        <v>1169</v>
      </c>
      <c r="L4462" s="18">
        <v>1</v>
      </c>
      <c r="N4462" s="13">
        <v>41404</v>
      </c>
      <c r="O4462" s="29">
        <v>2.4900000000000002</v>
      </c>
      <c r="P4462" s="18" t="s">
        <v>1107</v>
      </c>
      <c r="Q4462" s="18">
        <v>0</v>
      </c>
      <c r="U4462" s="22">
        <v>0.75</v>
      </c>
      <c r="V4462" s="22">
        <f>3.4/5</f>
        <v>0.67999999999999994</v>
      </c>
      <c r="W4462" s="14" t="s">
        <v>7777</v>
      </c>
      <c r="X4462" s="3">
        <v>3</v>
      </c>
      <c r="Z4462" s="23">
        <v>8</v>
      </c>
      <c r="AB4462" s="18">
        <f t="shared" si="138"/>
        <v>2011</v>
      </c>
      <c r="AC4462" s="22">
        <f t="shared" si="139"/>
        <v>0.67666666666666664</v>
      </c>
    </row>
    <row r="4463" spans="1:29">
      <c r="A4463" s="8" t="s">
        <v>14620</v>
      </c>
      <c r="B4463" s="17" t="s">
        <v>7800</v>
      </c>
      <c r="C4463" s="13">
        <v>40648</v>
      </c>
      <c r="D4463" s="13" t="s">
        <v>8465</v>
      </c>
      <c r="E4463" s="10" t="s">
        <v>14622</v>
      </c>
      <c r="F4463" s="10" t="s">
        <v>14622</v>
      </c>
      <c r="G4463" s="11" t="s">
        <v>14621</v>
      </c>
      <c r="H4463" s="2" t="s">
        <v>1061</v>
      </c>
      <c r="L4463" s="18">
        <v>0</v>
      </c>
      <c r="Q4463" s="18">
        <v>0</v>
      </c>
      <c r="V4463" s="22">
        <f>2.07/5</f>
        <v>0.41399999999999998</v>
      </c>
      <c r="W4463" s="14" t="s">
        <v>5674</v>
      </c>
      <c r="X4463" s="3">
        <v>2</v>
      </c>
      <c r="AB4463" s="18">
        <f t="shared" si="138"/>
        <v>2011</v>
      </c>
      <c r="AC4463" s="22">
        <f t="shared" si="139"/>
        <v>0.40700000000000003</v>
      </c>
    </row>
    <row r="4464" spans="1:29" ht="30">
      <c r="A4464" s="8" t="s">
        <v>6222</v>
      </c>
      <c r="B4464" s="17" t="s">
        <v>7762</v>
      </c>
      <c r="C4464" s="13">
        <v>40645</v>
      </c>
      <c r="D4464" s="13" t="s">
        <v>8465</v>
      </c>
      <c r="E4464" s="10" t="s">
        <v>1290</v>
      </c>
      <c r="F4464" s="10" t="s">
        <v>6261</v>
      </c>
      <c r="G4464" s="11" t="s">
        <v>6248</v>
      </c>
      <c r="H4464" s="2" t="s">
        <v>1220</v>
      </c>
      <c r="L4464" s="18">
        <v>0</v>
      </c>
      <c r="Q4464" s="18">
        <v>0</v>
      </c>
      <c r="U4464" s="22">
        <v>0.75</v>
      </c>
      <c r="V4464" s="22">
        <f>4.25/5</f>
        <v>0.85</v>
      </c>
      <c r="X4464" s="3">
        <v>3</v>
      </c>
      <c r="Z4464" s="23">
        <v>24.5</v>
      </c>
      <c r="AB4464" s="18">
        <f t="shared" si="138"/>
        <v>2011</v>
      </c>
      <c r="AC4464" s="22">
        <f t="shared" si="139"/>
        <v>0.73333333333333339</v>
      </c>
    </row>
    <row r="4465" spans="1:29" ht="45">
      <c r="A4465" s="8" t="s">
        <v>15012</v>
      </c>
      <c r="B4465" s="17" t="s">
        <v>7748</v>
      </c>
      <c r="C4465" s="13">
        <v>40645</v>
      </c>
      <c r="D4465" s="13" t="s">
        <v>8465</v>
      </c>
      <c r="E4465" s="10" t="s">
        <v>1156</v>
      </c>
      <c r="F4465" s="10" t="s">
        <v>9379</v>
      </c>
      <c r="G4465" s="11" t="s">
        <v>4305</v>
      </c>
      <c r="H4465" s="2" t="s">
        <v>1143</v>
      </c>
      <c r="L4465" s="18">
        <v>0</v>
      </c>
      <c r="Q4465" s="18">
        <v>0</v>
      </c>
      <c r="U4465" s="22">
        <v>0.59</v>
      </c>
      <c r="V4465" s="22">
        <f>3.25/5</f>
        <v>0.65</v>
      </c>
      <c r="X4465" s="3">
        <v>2</v>
      </c>
      <c r="Z4465" s="23">
        <v>12.5</v>
      </c>
      <c r="AB4465" s="18">
        <f t="shared" si="138"/>
        <v>2011</v>
      </c>
      <c r="AC4465" s="22">
        <f t="shared" si="139"/>
        <v>0.54666666666666675</v>
      </c>
    </row>
    <row r="4466" spans="1:29" ht="38.25">
      <c r="A4466" s="8" t="s">
        <v>12397</v>
      </c>
      <c r="B4466" s="17" t="s">
        <v>8754</v>
      </c>
      <c r="C4466" s="13">
        <v>40644</v>
      </c>
      <c r="D4466" s="13" t="s">
        <v>8465</v>
      </c>
      <c r="E4466" s="10" t="s">
        <v>2298</v>
      </c>
      <c r="F4466" s="10" t="s">
        <v>11255</v>
      </c>
      <c r="G4466" s="11" t="s">
        <v>12398</v>
      </c>
      <c r="H4466" s="2" t="s">
        <v>67</v>
      </c>
      <c r="L4466" s="18">
        <v>1</v>
      </c>
      <c r="N4466" s="13">
        <v>44990</v>
      </c>
      <c r="O4466" s="29">
        <v>4.99</v>
      </c>
      <c r="P4466" s="18" t="s">
        <v>1107</v>
      </c>
      <c r="Q4466" s="18">
        <v>0</v>
      </c>
      <c r="V4466" s="22">
        <f>3.6/5</f>
        <v>0.72</v>
      </c>
      <c r="X4466" s="3">
        <v>2</v>
      </c>
      <c r="AB4466" s="18">
        <f t="shared" si="138"/>
        <v>2011</v>
      </c>
      <c r="AC4466" s="22">
        <f t="shared" si="139"/>
        <v>0.56000000000000005</v>
      </c>
    </row>
    <row r="4467" spans="1:29" ht="25.5">
      <c r="A4467" s="8" t="s">
        <v>4674</v>
      </c>
      <c r="B4467" s="17" t="s">
        <v>7800</v>
      </c>
      <c r="C4467" s="13">
        <v>40644</v>
      </c>
      <c r="D4467" s="13" t="s">
        <v>8465</v>
      </c>
      <c r="E4467" s="10" t="s">
        <v>3553</v>
      </c>
      <c r="F4467" s="10" t="s">
        <v>4672</v>
      </c>
      <c r="G4467" s="11" t="s">
        <v>4673</v>
      </c>
      <c r="H4467" s="2" t="s">
        <v>1334</v>
      </c>
      <c r="J4467" s="18">
        <v>1</v>
      </c>
      <c r="L4467" s="18">
        <v>1</v>
      </c>
      <c r="N4467" s="13">
        <v>41410</v>
      </c>
      <c r="P4467" s="18" t="s">
        <v>1107</v>
      </c>
      <c r="Q4467" s="18">
        <v>0</v>
      </c>
      <c r="U4467" s="22">
        <v>0.8</v>
      </c>
      <c r="V4467" s="22">
        <f>2.75/5</f>
        <v>0.55000000000000004</v>
      </c>
      <c r="W4467" s="14" t="s">
        <v>7777</v>
      </c>
      <c r="X4467" s="3">
        <v>2</v>
      </c>
      <c r="AB4467" s="18">
        <f t="shared" si="138"/>
        <v>2011</v>
      </c>
      <c r="AC4467" s="22">
        <f t="shared" si="139"/>
        <v>0.58333333333333337</v>
      </c>
    </row>
    <row r="4468" spans="1:29" ht="25.5">
      <c r="A4468" s="8" t="s">
        <v>7462</v>
      </c>
      <c r="B4468" s="17" t="s">
        <v>7749</v>
      </c>
      <c r="C4468" s="13">
        <v>40643</v>
      </c>
      <c r="D4468" s="13" t="s">
        <v>8465</v>
      </c>
      <c r="E4468" s="10" t="s">
        <v>1047</v>
      </c>
      <c r="F4468" s="10" t="s">
        <v>1047</v>
      </c>
      <c r="G4468" s="11" t="s">
        <v>5430</v>
      </c>
      <c r="H4468" s="2" t="s">
        <v>245</v>
      </c>
      <c r="L4468" s="18">
        <v>1</v>
      </c>
      <c r="M4468" s="14" t="s">
        <v>8462</v>
      </c>
      <c r="N4468" s="13">
        <v>43984</v>
      </c>
      <c r="O4468" s="29">
        <v>12.55</v>
      </c>
      <c r="P4468" s="18" t="s">
        <v>14</v>
      </c>
      <c r="Q4468" s="18">
        <v>0</v>
      </c>
      <c r="U4468" s="22">
        <v>0.54</v>
      </c>
      <c r="V4468" s="22">
        <f>3.24/5</f>
        <v>0.64800000000000002</v>
      </c>
      <c r="X4468" s="3">
        <v>2</v>
      </c>
      <c r="Z4468" s="23">
        <v>12</v>
      </c>
      <c r="AB4468" s="18">
        <f t="shared" si="138"/>
        <v>2011</v>
      </c>
      <c r="AC4468" s="22">
        <f t="shared" si="139"/>
        <v>0.52933333333333332</v>
      </c>
    </row>
    <row r="4469" spans="1:29" ht="25.5">
      <c r="A4469" s="8" t="s">
        <v>3186</v>
      </c>
      <c r="B4469" s="17" t="s">
        <v>7800</v>
      </c>
      <c r="C4469" s="13">
        <v>40641</v>
      </c>
      <c r="D4469" s="13" t="s">
        <v>8465</v>
      </c>
      <c r="E4469" s="10" t="s">
        <v>1698</v>
      </c>
      <c r="F4469" s="10" t="s">
        <v>1698</v>
      </c>
      <c r="G4469" s="11" t="s">
        <v>3184</v>
      </c>
      <c r="H4469" s="2" t="s">
        <v>1169</v>
      </c>
      <c r="L4469" s="18">
        <v>1</v>
      </c>
      <c r="N4469" s="13">
        <v>41108</v>
      </c>
      <c r="O4469" s="29">
        <v>2.4900000000000002</v>
      </c>
      <c r="P4469" s="18" t="s">
        <v>1107</v>
      </c>
      <c r="Q4469" s="18">
        <v>0</v>
      </c>
      <c r="U4469" s="22">
        <v>0.82</v>
      </c>
      <c r="V4469" s="22">
        <f>3.35/5</f>
        <v>0.67</v>
      </c>
      <c r="W4469" s="14" t="s">
        <v>7777</v>
      </c>
      <c r="X4469" s="3">
        <v>2</v>
      </c>
      <c r="Z4469" s="23">
        <v>6.5</v>
      </c>
      <c r="AB4469" s="18">
        <f t="shared" si="138"/>
        <v>2011</v>
      </c>
      <c r="AC4469" s="22">
        <f t="shared" si="139"/>
        <v>0.63</v>
      </c>
    </row>
    <row r="4470" spans="1:29" ht="38.25">
      <c r="A4470" s="8" t="s">
        <v>13771</v>
      </c>
      <c r="B4470" s="17" t="s">
        <v>8754</v>
      </c>
      <c r="C4470" s="13">
        <v>40637</v>
      </c>
      <c r="D4470" s="13" t="s">
        <v>8465</v>
      </c>
      <c r="E4470" s="10" t="s">
        <v>8418</v>
      </c>
      <c r="F4470" s="10" t="s">
        <v>8418</v>
      </c>
      <c r="G4470" s="11" t="s">
        <v>8417</v>
      </c>
      <c r="H4470" s="2" t="s">
        <v>171</v>
      </c>
      <c r="L4470" s="18">
        <v>0</v>
      </c>
      <c r="Q4470" s="18">
        <v>0</v>
      </c>
      <c r="V4470" s="22">
        <f>3.31/5</f>
        <v>0.66200000000000003</v>
      </c>
      <c r="W4470" s="14" t="s">
        <v>9890</v>
      </c>
      <c r="X4470" s="3">
        <v>2</v>
      </c>
      <c r="Z4470" s="23">
        <f>34/60</f>
        <v>0.56666666666666665</v>
      </c>
      <c r="AB4470" s="18">
        <f t="shared" si="138"/>
        <v>2011</v>
      </c>
      <c r="AC4470" s="22">
        <f t="shared" si="139"/>
        <v>0.53100000000000003</v>
      </c>
    </row>
    <row r="4471" spans="1:29" ht="25.5">
      <c r="A4471" s="8" t="s">
        <v>15924</v>
      </c>
      <c r="B4471" s="17" t="s">
        <v>6317</v>
      </c>
      <c r="C4471" s="12">
        <v>40634</v>
      </c>
      <c r="D4471" s="13" t="s">
        <v>8465</v>
      </c>
      <c r="E4471" s="10" t="s">
        <v>54</v>
      </c>
      <c r="F4471" s="10" t="s">
        <v>14407</v>
      </c>
      <c r="G4471" s="11" t="s">
        <v>15923</v>
      </c>
      <c r="H4471" s="2" t="s">
        <v>1170</v>
      </c>
      <c r="L4471" s="18">
        <v>0</v>
      </c>
      <c r="Q4471" s="18">
        <v>0</v>
      </c>
      <c r="V4471" s="22">
        <f>3.67/5</f>
        <v>0.73399999999999999</v>
      </c>
      <c r="X4471" s="3">
        <v>2</v>
      </c>
      <c r="AB4471" s="18">
        <f t="shared" si="138"/>
        <v>2011</v>
      </c>
      <c r="AC4471" s="22">
        <f t="shared" si="139"/>
        <v>0.56699999999999995</v>
      </c>
    </row>
    <row r="4472" spans="1:29">
      <c r="A4472" s="8" t="s">
        <v>3873</v>
      </c>
      <c r="B4472" s="17" t="s">
        <v>7800</v>
      </c>
      <c r="C4472" s="13">
        <v>40632</v>
      </c>
      <c r="D4472" s="13" t="s">
        <v>8465</v>
      </c>
      <c r="E4472" s="10" t="s">
        <v>3874</v>
      </c>
      <c r="F4472" s="10" t="s">
        <v>3874</v>
      </c>
      <c r="G4472" s="11" t="s">
        <v>3875</v>
      </c>
      <c r="H4472" s="2" t="s">
        <v>171</v>
      </c>
      <c r="L4472" s="18">
        <v>1</v>
      </c>
      <c r="N4472" s="13">
        <v>41981</v>
      </c>
      <c r="P4472" s="18" t="s">
        <v>1107</v>
      </c>
      <c r="Q4472" s="18">
        <v>0</v>
      </c>
      <c r="V4472" s="22">
        <f>3.95/5</f>
        <v>0.79</v>
      </c>
      <c r="W4472" s="14" t="s">
        <v>7777</v>
      </c>
      <c r="X4472" s="3">
        <v>3</v>
      </c>
      <c r="AB4472" s="18">
        <f t="shared" si="138"/>
        <v>2011</v>
      </c>
      <c r="AC4472" s="22">
        <f t="shared" si="139"/>
        <v>0.69500000000000006</v>
      </c>
    </row>
    <row r="4473" spans="1:29">
      <c r="A4473" s="8" t="s">
        <v>15609</v>
      </c>
      <c r="B4473" s="17" t="s">
        <v>7765</v>
      </c>
      <c r="C4473" s="13">
        <v>40632</v>
      </c>
      <c r="D4473" s="13" t="s">
        <v>8465</v>
      </c>
      <c r="E4473" s="10" t="s">
        <v>3116</v>
      </c>
      <c r="F4473" s="10" t="s">
        <v>15610</v>
      </c>
      <c r="G4473" s="11" t="s">
        <v>15611</v>
      </c>
      <c r="H4473" s="2" t="s">
        <v>80</v>
      </c>
      <c r="L4473" s="18">
        <v>0</v>
      </c>
      <c r="Q4473" s="18">
        <v>0</v>
      </c>
      <c r="U4473" s="22">
        <v>0.62</v>
      </c>
      <c r="V4473" s="22">
        <f>2.97/5</f>
        <v>0.59400000000000008</v>
      </c>
      <c r="X4473" s="3">
        <v>2</v>
      </c>
      <c r="Y4473" s="18">
        <v>1</v>
      </c>
      <c r="AB4473" s="18">
        <f t="shared" si="138"/>
        <v>2011</v>
      </c>
      <c r="AC4473" s="22">
        <f t="shared" si="139"/>
        <v>0.53799999999999992</v>
      </c>
    </row>
    <row r="4474" spans="1:29" ht="30">
      <c r="A4474" s="8" t="s">
        <v>6227</v>
      </c>
      <c r="B4474" s="17" t="s">
        <v>7762</v>
      </c>
      <c r="C4474" s="13">
        <v>40631</v>
      </c>
      <c r="D4474" s="13" t="s">
        <v>8465</v>
      </c>
      <c r="E4474" s="10" t="s">
        <v>1534</v>
      </c>
      <c r="F4474" s="10" t="s">
        <v>1245</v>
      </c>
      <c r="G4474" s="11" t="s">
        <v>2892</v>
      </c>
      <c r="H4474" s="2" t="s">
        <v>149</v>
      </c>
      <c r="L4474" s="18">
        <v>0</v>
      </c>
      <c r="Q4474" s="18">
        <v>0</v>
      </c>
      <c r="U4474" s="22">
        <v>0.79</v>
      </c>
      <c r="V4474" s="22">
        <f>4.25/5</f>
        <v>0.85</v>
      </c>
      <c r="X4474" s="3">
        <v>4</v>
      </c>
      <c r="Z4474" s="23">
        <v>40.5</v>
      </c>
      <c r="AB4474" s="18">
        <f t="shared" si="138"/>
        <v>2011</v>
      </c>
      <c r="AC4474" s="22">
        <f t="shared" si="139"/>
        <v>0.81333333333333346</v>
      </c>
    </row>
    <row r="4475" spans="1:29" ht="30">
      <c r="A4475" s="8" t="s">
        <v>6253</v>
      </c>
      <c r="B4475" s="17" t="s">
        <v>7762</v>
      </c>
      <c r="C4475" s="13">
        <v>40631</v>
      </c>
      <c r="D4475" s="13" t="s">
        <v>8465</v>
      </c>
      <c r="E4475" s="10" t="s">
        <v>1082</v>
      </c>
      <c r="F4475" s="10" t="s">
        <v>1082</v>
      </c>
      <c r="G4475" s="11" t="s">
        <v>3007</v>
      </c>
      <c r="H4475" s="2" t="s">
        <v>1061</v>
      </c>
      <c r="L4475" s="18">
        <v>0</v>
      </c>
      <c r="Q4475" s="18">
        <v>0</v>
      </c>
      <c r="U4475" s="22">
        <v>0.71</v>
      </c>
      <c r="V4475" s="22">
        <f>3.85/5</f>
        <v>0.77</v>
      </c>
      <c r="X4475" s="3">
        <v>4</v>
      </c>
      <c r="Z4475" s="23">
        <v>11</v>
      </c>
      <c r="AB4475" s="18">
        <f t="shared" si="138"/>
        <v>2011</v>
      </c>
      <c r="AC4475" s="22">
        <f t="shared" si="139"/>
        <v>0.76000000000000012</v>
      </c>
    </row>
    <row r="4476" spans="1:29" ht="25.5">
      <c r="A4476" s="8" t="s">
        <v>7490</v>
      </c>
      <c r="B4476" s="17" t="s">
        <v>7759</v>
      </c>
      <c r="C4476" s="13">
        <v>40631</v>
      </c>
      <c r="D4476" s="13" t="s">
        <v>8465</v>
      </c>
      <c r="E4476" s="10" t="s">
        <v>231</v>
      </c>
      <c r="F4476" s="10" t="s">
        <v>7489</v>
      </c>
      <c r="G4476" s="11" t="s">
        <v>4518</v>
      </c>
      <c r="H4476" s="2" t="s">
        <v>150</v>
      </c>
      <c r="L4476" s="18">
        <v>0</v>
      </c>
      <c r="Q4476" s="18">
        <v>0</v>
      </c>
      <c r="U4476" s="22">
        <v>0.8</v>
      </c>
      <c r="V4476" s="22">
        <f>3.28/5</f>
        <v>0.65599999999999992</v>
      </c>
      <c r="X4476" s="3">
        <v>2</v>
      </c>
      <c r="Y4476" s="18">
        <v>1</v>
      </c>
      <c r="Z4476" s="23">
        <v>20</v>
      </c>
      <c r="AB4476" s="18">
        <f t="shared" si="138"/>
        <v>2011</v>
      </c>
      <c r="AC4476" s="22">
        <f t="shared" si="139"/>
        <v>0.61866666666666659</v>
      </c>
    </row>
    <row r="4477" spans="1:29">
      <c r="A4477" s="8" t="s">
        <v>7941</v>
      </c>
      <c r="B4477" s="17" t="s">
        <v>7759</v>
      </c>
      <c r="C4477" s="13">
        <v>40631</v>
      </c>
      <c r="D4477" s="13" t="s">
        <v>8465</v>
      </c>
      <c r="E4477" s="10" t="s">
        <v>2335</v>
      </c>
      <c r="F4477" s="10" t="s">
        <v>1471</v>
      </c>
      <c r="G4477" s="11" t="s">
        <v>7935</v>
      </c>
      <c r="H4477" s="2" t="s">
        <v>1059</v>
      </c>
      <c r="L4477" s="18">
        <v>1</v>
      </c>
      <c r="M4477" s="14" t="s">
        <v>8462</v>
      </c>
      <c r="N4477" s="13">
        <v>44020</v>
      </c>
      <c r="O4477" s="29">
        <v>7.58</v>
      </c>
      <c r="P4477" s="18" t="s">
        <v>14</v>
      </c>
      <c r="Q4477" s="18">
        <v>0</v>
      </c>
      <c r="U4477" s="22">
        <v>0.56640000000000001</v>
      </c>
      <c r="V4477" s="22">
        <f>4.05/5</f>
        <v>0.80999999999999994</v>
      </c>
      <c r="X4477" s="3">
        <v>2</v>
      </c>
      <c r="Z4477" s="23">
        <v>23.5</v>
      </c>
      <c r="AB4477" s="18">
        <f t="shared" si="138"/>
        <v>2011</v>
      </c>
      <c r="AC4477" s="22">
        <f t="shared" si="139"/>
        <v>0.59213333333333329</v>
      </c>
    </row>
    <row r="4478" spans="1:29" ht="25.5">
      <c r="A4478" s="8" t="s">
        <v>15180</v>
      </c>
      <c r="B4478" s="17" t="s">
        <v>7759</v>
      </c>
      <c r="C4478" s="13">
        <v>40631</v>
      </c>
      <c r="D4478" s="13" t="s">
        <v>8465</v>
      </c>
      <c r="E4478" s="10" t="s">
        <v>72</v>
      </c>
      <c r="F4478" s="10" t="s">
        <v>6012</v>
      </c>
      <c r="G4478" s="11" t="s">
        <v>15181</v>
      </c>
      <c r="H4478" s="2" t="s">
        <v>151</v>
      </c>
      <c r="L4478" s="18">
        <v>0</v>
      </c>
      <c r="Q4478" s="18">
        <v>0</v>
      </c>
      <c r="U4478" s="22">
        <v>0.47</v>
      </c>
      <c r="V4478" s="22">
        <f>3.14/5</f>
        <v>0.628</v>
      </c>
      <c r="X4478" s="3">
        <v>2</v>
      </c>
      <c r="Y4478" s="18">
        <v>1</v>
      </c>
      <c r="Z4478" s="23">
        <v>6.5</v>
      </c>
      <c r="AB4478" s="18">
        <f t="shared" si="138"/>
        <v>2011</v>
      </c>
      <c r="AC4478" s="22">
        <f t="shared" si="139"/>
        <v>0.49933333333333324</v>
      </c>
    </row>
    <row r="4479" spans="1:29">
      <c r="A4479" s="8" t="s">
        <v>15608</v>
      </c>
      <c r="B4479" s="17" t="s">
        <v>7759</v>
      </c>
      <c r="C4479" s="13">
        <v>40631</v>
      </c>
      <c r="D4479" s="13" t="s">
        <v>8465</v>
      </c>
      <c r="E4479" s="10" t="s">
        <v>1082</v>
      </c>
      <c r="F4479" s="10" t="s">
        <v>5984</v>
      </c>
      <c r="H4479" s="2" t="s">
        <v>64</v>
      </c>
      <c r="L4479" s="18">
        <v>0</v>
      </c>
      <c r="Q4479" s="18">
        <v>0</v>
      </c>
      <c r="U4479" s="22">
        <v>0.6</v>
      </c>
      <c r="V4479" s="22">
        <f>3.36/5</f>
        <v>0.67199999999999993</v>
      </c>
      <c r="X4479" s="3">
        <v>2</v>
      </c>
      <c r="Y4479" s="18">
        <v>1</v>
      </c>
      <c r="AB4479" s="18">
        <f t="shared" si="138"/>
        <v>2011</v>
      </c>
      <c r="AC4479" s="22">
        <f t="shared" si="139"/>
        <v>0.55733333333333324</v>
      </c>
    </row>
    <row r="4480" spans="1:29" ht="25.5">
      <c r="A4480" s="8" t="s">
        <v>10197</v>
      </c>
      <c r="B4480" s="17" t="s">
        <v>7749</v>
      </c>
      <c r="C4480" s="13">
        <v>40629</v>
      </c>
      <c r="D4480" s="13" t="s">
        <v>8465</v>
      </c>
      <c r="E4480" s="10" t="s">
        <v>73</v>
      </c>
      <c r="F4480" s="10" t="s">
        <v>1232</v>
      </c>
      <c r="G4480" s="11" t="s">
        <v>227</v>
      </c>
      <c r="H4480" s="2" t="s">
        <v>459</v>
      </c>
      <c r="L4480" s="18">
        <v>1</v>
      </c>
      <c r="N4480" s="13">
        <v>44363</v>
      </c>
      <c r="O4480" s="29">
        <v>4.99</v>
      </c>
      <c r="P4480" s="18" t="s">
        <v>1107</v>
      </c>
      <c r="Q4480" s="18">
        <v>0</v>
      </c>
      <c r="U4480" s="22">
        <v>0.85</v>
      </c>
      <c r="V4480" s="22">
        <f>3.77/5</f>
        <v>0.754</v>
      </c>
      <c r="X4480" s="3">
        <v>3</v>
      </c>
      <c r="Z4480" s="23">
        <v>3</v>
      </c>
      <c r="AB4480" s="18">
        <f t="shared" si="138"/>
        <v>2011</v>
      </c>
      <c r="AC4480" s="22">
        <f t="shared" si="139"/>
        <v>0.73466666666666669</v>
      </c>
    </row>
    <row r="4481" spans="1:29" ht="25.5">
      <c r="A4481" s="8" t="s">
        <v>2431</v>
      </c>
      <c r="B4481" s="17" t="s">
        <v>7749</v>
      </c>
      <c r="C4481" s="13">
        <v>40629</v>
      </c>
      <c r="D4481" s="13" t="s">
        <v>8465</v>
      </c>
      <c r="E4481" s="10" t="s">
        <v>1047</v>
      </c>
      <c r="F4481" s="10" t="s">
        <v>2473</v>
      </c>
      <c r="G4481" s="11" t="s">
        <v>2474</v>
      </c>
      <c r="H4481" s="2" t="s">
        <v>75</v>
      </c>
      <c r="L4481" s="18">
        <v>1</v>
      </c>
      <c r="N4481" s="13">
        <v>41817</v>
      </c>
      <c r="O4481" s="29">
        <v>7.5</v>
      </c>
      <c r="P4481" s="18" t="s">
        <v>1107</v>
      </c>
      <c r="Q4481" s="18">
        <v>0</v>
      </c>
      <c r="U4481" s="22">
        <v>0.79</v>
      </c>
      <c r="V4481" s="22">
        <f>3.82/5</f>
        <v>0.76400000000000001</v>
      </c>
      <c r="X4481" s="3">
        <v>3</v>
      </c>
      <c r="Z4481" s="23">
        <v>25</v>
      </c>
      <c r="AB4481" s="18">
        <f t="shared" ref="AB4481:AB4544" si="140">IFERROR(YEAR(C4481), "Early Access")</f>
        <v>2011</v>
      </c>
      <c r="AC4481" s="22">
        <f t="shared" ref="AC4481:AC4544" si="141">AVERAGE(T4481, U4481, V4481, IF(ISBLANK(X4481), X4481, X4481/5))</f>
        <v>0.71799999999999997</v>
      </c>
    </row>
    <row r="4482" spans="1:29" ht="25.5">
      <c r="A4482" s="8" t="s">
        <v>2404</v>
      </c>
      <c r="B4482" s="17" t="s">
        <v>7749</v>
      </c>
      <c r="C4482" s="13">
        <v>40629</v>
      </c>
      <c r="D4482" s="13" t="s">
        <v>8465</v>
      </c>
      <c r="E4482" s="10" t="s">
        <v>2335</v>
      </c>
      <c r="F4482" s="10" t="s">
        <v>1471</v>
      </c>
      <c r="G4482" s="11" t="s">
        <v>2465</v>
      </c>
      <c r="H4482" s="2" t="s">
        <v>1059</v>
      </c>
      <c r="L4482" s="18">
        <v>1</v>
      </c>
      <c r="M4482" s="14" t="s">
        <v>8462</v>
      </c>
      <c r="N4482" s="13">
        <v>43592</v>
      </c>
      <c r="O4482" s="29">
        <v>11.3</v>
      </c>
      <c r="P4482" s="18" t="s">
        <v>14</v>
      </c>
      <c r="Q4482" s="18">
        <v>0</v>
      </c>
      <c r="U4482" s="22">
        <v>0.63</v>
      </c>
      <c r="V4482" s="22">
        <f>3.95/5</f>
        <v>0.79</v>
      </c>
      <c r="X4482" s="3">
        <v>3</v>
      </c>
      <c r="Z4482" s="23">
        <v>14</v>
      </c>
      <c r="AB4482" s="18">
        <f t="shared" si="140"/>
        <v>2011</v>
      </c>
      <c r="AC4482" s="22">
        <f t="shared" si="141"/>
        <v>0.67333333333333334</v>
      </c>
    </row>
    <row r="4483" spans="1:29">
      <c r="A4483" s="8" t="s">
        <v>2401</v>
      </c>
      <c r="B4483" s="17" t="s">
        <v>7749</v>
      </c>
      <c r="C4483" s="13">
        <v>40629</v>
      </c>
      <c r="D4483" s="13" t="s">
        <v>8465</v>
      </c>
      <c r="E4483" s="10" t="s">
        <v>1047</v>
      </c>
      <c r="F4483" s="10" t="s">
        <v>2462</v>
      </c>
      <c r="G4483" s="11" t="s">
        <v>1477</v>
      </c>
      <c r="H4483" s="2" t="s">
        <v>1040</v>
      </c>
      <c r="L4483" s="18">
        <v>1</v>
      </c>
      <c r="M4483" s="14" t="s">
        <v>8462</v>
      </c>
      <c r="N4483" s="13">
        <v>43640</v>
      </c>
      <c r="O4483" s="29">
        <v>12.99</v>
      </c>
      <c r="P4483" s="18" t="s">
        <v>14</v>
      </c>
      <c r="Q4483" s="18">
        <v>0</v>
      </c>
      <c r="U4483" s="22">
        <v>0.65</v>
      </c>
      <c r="V4483" s="22">
        <f>3.37/5</f>
        <v>0.67400000000000004</v>
      </c>
      <c r="X4483" s="3">
        <v>3</v>
      </c>
      <c r="Z4483" s="23">
        <v>7.5</v>
      </c>
      <c r="AB4483" s="18">
        <f t="shared" si="140"/>
        <v>2011</v>
      </c>
      <c r="AC4483" s="22">
        <f t="shared" si="141"/>
        <v>0.64133333333333331</v>
      </c>
    </row>
    <row r="4484" spans="1:29">
      <c r="A4484" s="8" t="s">
        <v>11222</v>
      </c>
      <c r="B4484" s="17" t="s">
        <v>7749</v>
      </c>
      <c r="C4484" s="13">
        <v>40629</v>
      </c>
      <c r="D4484" s="13" t="s">
        <v>8465</v>
      </c>
      <c r="E4484" s="10" t="s">
        <v>86</v>
      </c>
      <c r="F4484" s="10" t="s">
        <v>1517</v>
      </c>
      <c r="G4484" s="11" t="s">
        <v>674</v>
      </c>
      <c r="H4484" s="2" t="s">
        <v>7594</v>
      </c>
      <c r="L4484" s="18">
        <v>1</v>
      </c>
      <c r="M4484" s="14" t="s">
        <v>8462</v>
      </c>
      <c r="N4484" s="13">
        <v>44640</v>
      </c>
      <c r="O4484" s="29">
        <v>16.28</v>
      </c>
      <c r="P4484" s="18" t="s">
        <v>14</v>
      </c>
      <c r="Q4484" s="18">
        <v>0</v>
      </c>
      <c r="U4484" s="22">
        <v>0.71</v>
      </c>
      <c r="V4484" s="22">
        <f>3.49/5</f>
        <v>0.69800000000000006</v>
      </c>
      <c r="X4484" s="3">
        <v>2</v>
      </c>
      <c r="Z4484" s="23">
        <v>4</v>
      </c>
      <c r="AB4484" s="18">
        <f t="shared" si="140"/>
        <v>2011</v>
      </c>
      <c r="AC4484" s="22">
        <f t="shared" si="141"/>
        <v>0.60266666666666657</v>
      </c>
    </row>
    <row r="4485" spans="1:29">
      <c r="A4485" s="8" t="s">
        <v>2409</v>
      </c>
      <c r="B4485" s="17" t="s">
        <v>7749</v>
      </c>
      <c r="C4485" s="13">
        <v>40629</v>
      </c>
      <c r="D4485" s="13" t="s">
        <v>8465</v>
      </c>
      <c r="E4485" s="10" t="s">
        <v>86</v>
      </c>
      <c r="F4485" s="10" t="s">
        <v>87</v>
      </c>
      <c r="G4485" s="11" t="s">
        <v>2409</v>
      </c>
      <c r="H4485" s="2" t="s">
        <v>1204</v>
      </c>
      <c r="L4485" s="18">
        <v>1</v>
      </c>
      <c r="M4485" s="14" t="s">
        <v>8462</v>
      </c>
      <c r="N4485" s="13">
        <v>43635</v>
      </c>
      <c r="O4485" s="29">
        <v>6.58</v>
      </c>
      <c r="P4485" s="18" t="s">
        <v>14</v>
      </c>
      <c r="Q4485" s="18">
        <v>0</v>
      </c>
      <c r="U4485" s="22">
        <v>0.62</v>
      </c>
      <c r="V4485" s="22">
        <f>3.15/5</f>
        <v>0.63</v>
      </c>
      <c r="X4485" s="3">
        <v>2</v>
      </c>
      <c r="Z4485" s="23">
        <v>4</v>
      </c>
      <c r="AB4485" s="18">
        <f t="shared" si="140"/>
        <v>2011</v>
      </c>
      <c r="AC4485" s="22">
        <f t="shared" si="141"/>
        <v>0.54999999999999993</v>
      </c>
    </row>
    <row r="4486" spans="1:29">
      <c r="A4486" s="8" t="s">
        <v>6741</v>
      </c>
      <c r="B4486" s="17" t="s">
        <v>7749</v>
      </c>
      <c r="C4486" s="13">
        <v>40629</v>
      </c>
      <c r="D4486" s="13" t="s">
        <v>8465</v>
      </c>
      <c r="E4486" s="10" t="s">
        <v>455</v>
      </c>
      <c r="F4486" s="10" t="s">
        <v>455</v>
      </c>
      <c r="G4486" s="11" t="s">
        <v>1065</v>
      </c>
      <c r="H4486" s="2" t="s">
        <v>1040</v>
      </c>
      <c r="L4486" s="18">
        <v>1</v>
      </c>
      <c r="M4486" s="14" t="s">
        <v>8462</v>
      </c>
      <c r="N4486" s="13">
        <v>44309</v>
      </c>
      <c r="O4486" s="29">
        <v>19.97</v>
      </c>
      <c r="P4486" s="18" t="s">
        <v>14</v>
      </c>
      <c r="Q4486" s="18">
        <v>0</v>
      </c>
      <c r="U4486" s="22">
        <v>0.59</v>
      </c>
      <c r="V4486" s="22">
        <f>3.07/5</f>
        <v>0.61399999999999999</v>
      </c>
      <c r="X4486" s="3">
        <v>2</v>
      </c>
      <c r="Z4486" s="23">
        <v>2.5</v>
      </c>
      <c r="AB4486" s="18">
        <f t="shared" si="140"/>
        <v>2011</v>
      </c>
      <c r="AC4486" s="22">
        <f t="shared" si="141"/>
        <v>0.53466666666666673</v>
      </c>
    </row>
    <row r="4487" spans="1:29">
      <c r="A4487" s="8" t="s">
        <v>11089</v>
      </c>
      <c r="B4487" s="17" t="s">
        <v>7749</v>
      </c>
      <c r="C4487" s="13">
        <v>40629</v>
      </c>
      <c r="D4487" s="13" t="s">
        <v>8465</v>
      </c>
      <c r="E4487" s="10" t="s">
        <v>1047</v>
      </c>
      <c r="F4487" s="10" t="s">
        <v>7461</v>
      </c>
      <c r="G4487" s="11" t="s">
        <v>11086</v>
      </c>
      <c r="H4487" s="2" t="s">
        <v>150</v>
      </c>
      <c r="L4487" s="18">
        <v>1</v>
      </c>
      <c r="M4487" s="14" t="s">
        <v>8462</v>
      </c>
      <c r="N4487" s="13">
        <v>44676</v>
      </c>
      <c r="O4487" s="29">
        <v>11.59</v>
      </c>
      <c r="P4487" s="18" t="s">
        <v>14</v>
      </c>
      <c r="Q4487" s="18">
        <v>0</v>
      </c>
      <c r="U4487" s="22">
        <v>0.43</v>
      </c>
      <c r="V4487" s="22">
        <f>3.12/5</f>
        <v>0.624</v>
      </c>
      <c r="X4487" s="3">
        <v>2</v>
      </c>
      <c r="Z4487" s="23">
        <v>10</v>
      </c>
      <c r="AB4487" s="18">
        <f t="shared" si="140"/>
        <v>2011</v>
      </c>
      <c r="AC4487" s="22">
        <f t="shared" si="141"/>
        <v>0.48466666666666675</v>
      </c>
    </row>
    <row r="4488" spans="1:29" ht="30">
      <c r="A4488" s="8" t="s">
        <v>13177</v>
      </c>
      <c r="B4488" s="17" t="s">
        <v>7741</v>
      </c>
      <c r="C4488" s="13">
        <v>40626</v>
      </c>
      <c r="D4488" s="13" t="s">
        <v>8463</v>
      </c>
      <c r="E4488" s="10" t="s">
        <v>1953</v>
      </c>
      <c r="F4488" s="10" t="s">
        <v>1082</v>
      </c>
      <c r="H4488" s="2" t="s">
        <v>1061</v>
      </c>
      <c r="K4488" s="18">
        <v>2</v>
      </c>
      <c r="L4488" s="18">
        <v>0</v>
      </c>
      <c r="Q4488" s="18">
        <v>0</v>
      </c>
      <c r="V4488" s="22">
        <f>4.17/5</f>
        <v>0.83399999999999996</v>
      </c>
      <c r="X4488" s="3">
        <v>2</v>
      </c>
      <c r="Z4488" s="23">
        <v>3</v>
      </c>
      <c r="AB4488" s="18">
        <f t="shared" si="140"/>
        <v>2011</v>
      </c>
      <c r="AC4488" s="22">
        <f t="shared" si="141"/>
        <v>0.61699999999999999</v>
      </c>
    </row>
    <row r="4489" spans="1:29" ht="38.25">
      <c r="A4489" s="8" t="s">
        <v>14839</v>
      </c>
      <c r="B4489" s="17" t="s">
        <v>7762</v>
      </c>
      <c r="C4489" s="13">
        <v>40624</v>
      </c>
      <c r="D4489" s="13" t="s">
        <v>8465</v>
      </c>
      <c r="E4489" s="10" t="s">
        <v>1082</v>
      </c>
      <c r="F4489" s="10" t="s">
        <v>3892</v>
      </c>
      <c r="G4489" s="11" t="s">
        <v>126</v>
      </c>
      <c r="H4489" s="2" t="s">
        <v>459</v>
      </c>
      <c r="L4489" s="18">
        <v>1</v>
      </c>
      <c r="N4489" s="13">
        <v>43888</v>
      </c>
      <c r="O4489" s="29">
        <v>4.99</v>
      </c>
      <c r="P4489" s="18" t="s">
        <v>1107</v>
      </c>
      <c r="Q4489" s="18">
        <v>0</v>
      </c>
      <c r="U4489" s="22">
        <v>0.78</v>
      </c>
      <c r="V4489" s="22">
        <f>4.28/5</f>
        <v>0.85600000000000009</v>
      </c>
      <c r="X4489" s="3">
        <v>3</v>
      </c>
      <c r="Z4489" s="23">
        <v>28.5</v>
      </c>
      <c r="AB4489" s="18">
        <f t="shared" si="140"/>
        <v>2011</v>
      </c>
      <c r="AC4489" s="22">
        <f t="shared" si="141"/>
        <v>0.7453333333333334</v>
      </c>
    </row>
    <row r="4490" spans="1:29" ht="25.5">
      <c r="A4490" s="8" t="s">
        <v>4309</v>
      </c>
      <c r="B4490" s="17" t="s">
        <v>7800</v>
      </c>
      <c r="C4490" s="13">
        <v>40624</v>
      </c>
      <c r="D4490" s="13" t="s">
        <v>8465</v>
      </c>
      <c r="E4490" s="10" t="s">
        <v>1284</v>
      </c>
      <c r="F4490" s="10" t="s">
        <v>1309</v>
      </c>
      <c r="G4490" s="11" t="s">
        <v>4310</v>
      </c>
      <c r="H4490" s="2" t="s">
        <v>80</v>
      </c>
      <c r="L4490" s="18">
        <v>1</v>
      </c>
      <c r="N4490" s="13">
        <v>42123</v>
      </c>
      <c r="O4490" s="29">
        <v>5.99</v>
      </c>
      <c r="P4490" s="18" t="s">
        <v>1107</v>
      </c>
      <c r="Q4490" s="18">
        <v>0</v>
      </c>
      <c r="U4490" s="22">
        <v>0.76</v>
      </c>
      <c r="V4490" s="22">
        <f>3.67/5</f>
        <v>0.73399999999999999</v>
      </c>
      <c r="W4490" s="14" t="s">
        <v>7777</v>
      </c>
      <c r="X4490" s="3">
        <v>3</v>
      </c>
      <c r="Z4490" s="23">
        <v>9</v>
      </c>
      <c r="AB4490" s="18">
        <f t="shared" si="140"/>
        <v>2011</v>
      </c>
      <c r="AC4490" s="22">
        <f t="shared" si="141"/>
        <v>0.69799999999999995</v>
      </c>
    </row>
    <row r="4491" spans="1:29">
      <c r="A4491" s="8" t="s">
        <v>8050</v>
      </c>
      <c r="B4491" s="17" t="s">
        <v>7749</v>
      </c>
      <c r="C4491" s="13">
        <v>40624</v>
      </c>
      <c r="D4491" s="13" t="s">
        <v>8465</v>
      </c>
      <c r="E4491" s="10" t="s">
        <v>158</v>
      </c>
      <c r="F4491" s="10" t="s">
        <v>1509</v>
      </c>
      <c r="G4491" s="11" t="s">
        <v>8037</v>
      </c>
      <c r="H4491" s="2" t="s">
        <v>150</v>
      </c>
      <c r="L4491" s="18">
        <v>1</v>
      </c>
      <c r="M4491" s="14" t="s">
        <v>8462</v>
      </c>
      <c r="N4491" s="13">
        <v>44379</v>
      </c>
      <c r="O4491" s="29">
        <v>37.03</v>
      </c>
      <c r="P4491" s="18" t="s">
        <v>14</v>
      </c>
      <c r="Q4491" s="18">
        <v>0</v>
      </c>
      <c r="U4491" s="22">
        <v>0.74519999999999997</v>
      </c>
      <c r="V4491" s="22">
        <f>3.63/5</f>
        <v>0.72599999999999998</v>
      </c>
      <c r="X4491" s="3">
        <v>3</v>
      </c>
      <c r="Z4491" s="23">
        <v>14</v>
      </c>
      <c r="AB4491" s="18">
        <f t="shared" si="140"/>
        <v>2011</v>
      </c>
      <c r="AC4491" s="22">
        <f t="shared" si="141"/>
        <v>0.69040000000000001</v>
      </c>
    </row>
    <row r="4492" spans="1:29" ht="30">
      <c r="A4492" s="8" t="s">
        <v>10625</v>
      </c>
      <c r="B4492" s="17" t="s">
        <v>7759</v>
      </c>
      <c r="C4492" s="13">
        <v>40624</v>
      </c>
      <c r="D4492" s="13" t="s">
        <v>8465</v>
      </c>
      <c r="E4492" s="10" t="s">
        <v>2908</v>
      </c>
      <c r="F4492" s="10" t="s">
        <v>6284</v>
      </c>
      <c r="H4492" s="2" t="s">
        <v>80</v>
      </c>
      <c r="L4492" s="18">
        <v>0</v>
      </c>
      <c r="Q4492" s="18">
        <v>0</v>
      </c>
      <c r="U4492" s="22">
        <v>0.53</v>
      </c>
      <c r="V4492" s="22">
        <f>3.07/5</f>
        <v>0.61399999999999999</v>
      </c>
      <c r="X4492" s="3">
        <v>2</v>
      </c>
      <c r="Y4492" s="18">
        <v>1</v>
      </c>
      <c r="Z4492" s="23">
        <v>6.5</v>
      </c>
      <c r="AB4492" s="18">
        <f t="shared" si="140"/>
        <v>2011</v>
      </c>
      <c r="AC4492" s="22">
        <f t="shared" si="141"/>
        <v>0.51466666666666672</v>
      </c>
    </row>
    <row r="4493" spans="1:29">
      <c r="A4493" s="8" t="s">
        <v>4829</v>
      </c>
      <c r="B4493" s="17" t="s">
        <v>7800</v>
      </c>
      <c r="C4493" s="13">
        <v>40618</v>
      </c>
      <c r="D4493" s="13" t="s">
        <v>8465</v>
      </c>
      <c r="E4493" s="10" t="s">
        <v>3719</v>
      </c>
      <c r="F4493" s="10" t="s">
        <v>3719</v>
      </c>
      <c r="H4493" s="2" t="s">
        <v>1169</v>
      </c>
      <c r="L4493" s="18">
        <v>1</v>
      </c>
      <c r="N4493" s="13">
        <v>40531</v>
      </c>
      <c r="P4493" s="18" t="s">
        <v>1107</v>
      </c>
      <c r="Q4493" s="18">
        <v>0</v>
      </c>
      <c r="U4493" s="22">
        <v>0.76</v>
      </c>
      <c r="V4493" s="22">
        <f>3.27/5</f>
        <v>0.65400000000000003</v>
      </c>
      <c r="W4493" s="14" t="s">
        <v>7777</v>
      </c>
      <c r="X4493" s="3">
        <v>3</v>
      </c>
      <c r="Z4493" s="23">
        <v>10</v>
      </c>
      <c r="AB4493" s="18">
        <f t="shared" si="140"/>
        <v>2011</v>
      </c>
      <c r="AC4493" s="22">
        <f t="shared" si="141"/>
        <v>0.67133333333333345</v>
      </c>
    </row>
    <row r="4494" spans="1:29" ht="30">
      <c r="A4494" s="8" t="s">
        <v>2256</v>
      </c>
      <c r="B4494" s="17" t="s">
        <v>7748</v>
      </c>
      <c r="C4494" s="13">
        <v>40617</v>
      </c>
      <c r="D4494" s="13" t="s">
        <v>8465</v>
      </c>
      <c r="E4494" s="10" t="s">
        <v>73</v>
      </c>
      <c r="F4494" s="10" t="s">
        <v>2329</v>
      </c>
      <c r="G4494" s="11" t="s">
        <v>1014</v>
      </c>
      <c r="H4494" s="2" t="s">
        <v>80</v>
      </c>
      <c r="L4494" s="18">
        <v>0</v>
      </c>
      <c r="Q4494" s="18">
        <v>0</v>
      </c>
      <c r="U4494" s="22">
        <v>0.82</v>
      </c>
      <c r="V4494" s="22">
        <f>4.1/5</f>
        <v>0.82</v>
      </c>
      <c r="X4494" s="3">
        <v>4</v>
      </c>
      <c r="Z4494" s="23">
        <v>21</v>
      </c>
      <c r="AB4494" s="18">
        <f t="shared" si="140"/>
        <v>2011</v>
      </c>
      <c r="AC4494" s="22">
        <f t="shared" si="141"/>
        <v>0.81333333333333335</v>
      </c>
    </row>
    <row r="4495" spans="1:29">
      <c r="A4495" s="8" t="s">
        <v>8606</v>
      </c>
      <c r="B4495" s="17" t="s">
        <v>7800</v>
      </c>
      <c r="C4495" s="13">
        <v>40617</v>
      </c>
      <c r="D4495" s="13" t="s">
        <v>8465</v>
      </c>
      <c r="E4495" s="10" t="s">
        <v>455</v>
      </c>
      <c r="F4495" s="10" t="s">
        <v>3151</v>
      </c>
      <c r="G4495" s="11" t="s">
        <v>3794</v>
      </c>
      <c r="H4495" s="2" t="s">
        <v>3279</v>
      </c>
      <c r="L4495" s="18">
        <v>1</v>
      </c>
      <c r="N4495" s="13">
        <v>43948</v>
      </c>
      <c r="O4495" s="29">
        <v>0</v>
      </c>
      <c r="P4495" s="18" t="s">
        <v>1107</v>
      </c>
      <c r="Q4495" s="18">
        <v>0</v>
      </c>
      <c r="U4495" s="22">
        <v>0.9</v>
      </c>
      <c r="V4495" s="22">
        <f>4.11/5</f>
        <v>0.82200000000000006</v>
      </c>
      <c r="W4495" s="14" t="s">
        <v>7777</v>
      </c>
      <c r="X4495" s="3">
        <v>3</v>
      </c>
      <c r="Z4495" s="23">
        <v>27.5</v>
      </c>
      <c r="AB4495" s="18">
        <f t="shared" si="140"/>
        <v>2011</v>
      </c>
      <c r="AC4495" s="22">
        <f t="shared" si="141"/>
        <v>0.77400000000000002</v>
      </c>
    </row>
    <row r="4496" spans="1:29">
      <c r="A4496" s="8" t="s">
        <v>6053</v>
      </c>
      <c r="B4496" s="17" t="s">
        <v>7759</v>
      </c>
      <c r="C4496" s="13">
        <v>40617</v>
      </c>
      <c r="D4496" s="13" t="s">
        <v>8465</v>
      </c>
      <c r="E4496" s="10" t="s">
        <v>455</v>
      </c>
      <c r="F4496" s="10" t="s">
        <v>5599</v>
      </c>
      <c r="G4496" s="11" t="s">
        <v>5600</v>
      </c>
      <c r="H4496" s="2" t="s">
        <v>80</v>
      </c>
      <c r="L4496" s="18">
        <v>1</v>
      </c>
      <c r="M4496" s="14" t="s">
        <v>8462</v>
      </c>
      <c r="N4496" s="13">
        <v>43484</v>
      </c>
      <c r="O4496" s="29">
        <v>24.95</v>
      </c>
      <c r="P4496" s="18" t="s">
        <v>14</v>
      </c>
      <c r="Q4496" s="18">
        <v>0</v>
      </c>
      <c r="U4496" s="22">
        <v>0.8</v>
      </c>
      <c r="V4496" s="22">
        <f>4.24/5</f>
        <v>0.84800000000000009</v>
      </c>
      <c r="X4496" s="3">
        <v>3</v>
      </c>
      <c r="Z4496" s="23">
        <v>23</v>
      </c>
      <c r="AB4496" s="18">
        <f t="shared" si="140"/>
        <v>2011</v>
      </c>
      <c r="AC4496" s="22">
        <f t="shared" si="141"/>
        <v>0.74933333333333341</v>
      </c>
    </row>
    <row r="4497" spans="1:29">
      <c r="A4497" s="8" t="s">
        <v>6324</v>
      </c>
      <c r="B4497" s="17" t="s">
        <v>7759</v>
      </c>
      <c r="C4497" s="13">
        <v>40617</v>
      </c>
      <c r="D4497" s="13" t="s">
        <v>8465</v>
      </c>
      <c r="E4497" s="10" t="s">
        <v>72</v>
      </c>
      <c r="F4497" s="10" t="s">
        <v>479</v>
      </c>
      <c r="G4497" s="11" t="s">
        <v>97</v>
      </c>
      <c r="H4497" s="2" t="s">
        <v>147</v>
      </c>
      <c r="L4497" s="18">
        <v>1</v>
      </c>
      <c r="N4497" s="13">
        <v>43888</v>
      </c>
      <c r="O4497" s="29">
        <v>4.49</v>
      </c>
      <c r="P4497" s="18" t="s">
        <v>1107</v>
      </c>
      <c r="Q4497" s="18">
        <v>0</v>
      </c>
      <c r="U4497" s="22">
        <v>0.76</v>
      </c>
      <c r="V4497" s="22">
        <f>4.12/5</f>
        <v>0.82400000000000007</v>
      </c>
      <c r="X4497" s="3">
        <v>3</v>
      </c>
      <c r="Z4497" s="23">
        <v>6</v>
      </c>
      <c r="AB4497" s="18">
        <f t="shared" si="140"/>
        <v>2011</v>
      </c>
      <c r="AC4497" s="22">
        <f t="shared" si="141"/>
        <v>0.72800000000000009</v>
      </c>
    </row>
    <row r="4498" spans="1:29" ht="25.5">
      <c r="A4498" s="8" t="s">
        <v>5913</v>
      </c>
      <c r="B4498" s="17" t="s">
        <v>7759</v>
      </c>
      <c r="C4498" s="13">
        <v>40617</v>
      </c>
      <c r="D4498" s="13" t="s">
        <v>8465</v>
      </c>
      <c r="E4498" s="10" t="s">
        <v>1062</v>
      </c>
      <c r="F4498" s="10" t="s">
        <v>1566</v>
      </c>
      <c r="G4498" s="11" t="s">
        <v>5863</v>
      </c>
      <c r="H4498" s="2" t="s">
        <v>149</v>
      </c>
      <c r="L4498" s="18">
        <v>1</v>
      </c>
      <c r="M4498" s="14" t="s">
        <v>8462</v>
      </c>
      <c r="N4498" s="13">
        <v>43478</v>
      </c>
      <c r="O4498" s="29">
        <v>23.72</v>
      </c>
      <c r="P4498" s="18" t="s">
        <v>14</v>
      </c>
      <c r="Q4498" s="18">
        <v>0</v>
      </c>
      <c r="U4498" s="22">
        <v>0.66</v>
      </c>
      <c r="V4498" s="22">
        <f>3.69/5</f>
        <v>0.73799999999999999</v>
      </c>
      <c r="X4498" s="3">
        <v>2</v>
      </c>
      <c r="Z4498" s="23">
        <v>31</v>
      </c>
      <c r="AB4498" s="18">
        <f t="shared" si="140"/>
        <v>2011</v>
      </c>
      <c r="AC4498" s="22">
        <f t="shared" si="141"/>
        <v>0.59933333333333338</v>
      </c>
    </row>
    <row r="4499" spans="1:29" ht="30">
      <c r="A4499" s="8" t="s">
        <v>11569</v>
      </c>
      <c r="B4499" s="17" t="s">
        <v>7762</v>
      </c>
      <c r="C4499" s="13">
        <v>40617</v>
      </c>
      <c r="D4499" s="13" t="s">
        <v>8465</v>
      </c>
      <c r="E4499" s="10" t="s">
        <v>1519</v>
      </c>
      <c r="F4499" s="10" t="s">
        <v>11570</v>
      </c>
      <c r="H4499" s="2" t="s">
        <v>171</v>
      </c>
      <c r="L4499" s="18">
        <v>0</v>
      </c>
      <c r="Q4499" s="18">
        <v>0</v>
      </c>
      <c r="U4499" s="22">
        <v>0.6</v>
      </c>
      <c r="V4499" s="22">
        <f>3.31/5</f>
        <v>0.66200000000000003</v>
      </c>
      <c r="X4499" s="3">
        <v>2</v>
      </c>
      <c r="AB4499" s="18">
        <f t="shared" si="140"/>
        <v>2011</v>
      </c>
      <c r="AC4499" s="22">
        <f t="shared" si="141"/>
        <v>0.55399999999999994</v>
      </c>
    </row>
    <row r="4500" spans="1:29">
      <c r="A4500" s="8" t="s">
        <v>7101</v>
      </c>
      <c r="B4500" s="17" t="s">
        <v>7800</v>
      </c>
      <c r="C4500" s="13">
        <v>40615</v>
      </c>
      <c r="D4500" s="13" t="s">
        <v>8465</v>
      </c>
      <c r="E4500" s="10" t="s">
        <v>7188</v>
      </c>
      <c r="F4500" s="10" t="s">
        <v>7188</v>
      </c>
      <c r="H4500" s="2" t="s">
        <v>143</v>
      </c>
      <c r="L4500" s="18">
        <v>0</v>
      </c>
      <c r="Q4500" s="18">
        <v>0</v>
      </c>
      <c r="W4500" s="14" t="s">
        <v>5674</v>
      </c>
      <c r="X4500" s="3">
        <v>3</v>
      </c>
      <c r="AB4500" s="18">
        <f t="shared" si="140"/>
        <v>2011</v>
      </c>
      <c r="AC4500" s="22">
        <f t="shared" si="141"/>
        <v>0.6</v>
      </c>
    </row>
    <row r="4501" spans="1:29">
      <c r="A4501" s="8" t="s">
        <v>6318</v>
      </c>
      <c r="B4501" s="17" t="s">
        <v>7765</v>
      </c>
      <c r="C4501" s="13">
        <v>40610</v>
      </c>
      <c r="D4501" s="13" t="s">
        <v>8465</v>
      </c>
      <c r="E4501" s="10" t="s">
        <v>231</v>
      </c>
      <c r="F4501" s="10" t="s">
        <v>1161</v>
      </c>
      <c r="G4501" s="11" t="s">
        <v>3705</v>
      </c>
      <c r="H4501" s="2" t="s">
        <v>171</v>
      </c>
      <c r="L4501" s="18">
        <v>1</v>
      </c>
      <c r="P4501" s="18" t="s">
        <v>1107</v>
      </c>
      <c r="Q4501" s="18">
        <v>0</v>
      </c>
      <c r="U4501" s="22">
        <v>0.78</v>
      </c>
      <c r="V4501" s="22">
        <f>3.72/5</f>
        <v>0.74399999999999999</v>
      </c>
      <c r="X4501" s="3">
        <v>4</v>
      </c>
      <c r="Z4501" s="23">
        <v>26.5</v>
      </c>
      <c r="AB4501" s="18">
        <f t="shared" si="140"/>
        <v>2011</v>
      </c>
      <c r="AC4501" s="22">
        <f t="shared" si="141"/>
        <v>0.77466666666666661</v>
      </c>
    </row>
    <row r="4502" spans="1:29">
      <c r="A4502" s="8" t="s">
        <v>6318</v>
      </c>
      <c r="B4502" s="17" t="s">
        <v>7800</v>
      </c>
      <c r="C4502" s="13">
        <v>40610</v>
      </c>
      <c r="D4502" s="13" t="s">
        <v>8465</v>
      </c>
      <c r="E4502" s="10" t="s">
        <v>231</v>
      </c>
      <c r="F4502" s="10" t="s">
        <v>1161</v>
      </c>
      <c r="G4502" s="11" t="s">
        <v>3705</v>
      </c>
      <c r="H4502" s="2" t="s">
        <v>171</v>
      </c>
      <c r="L4502" s="18">
        <v>1</v>
      </c>
      <c r="N4502" s="13">
        <v>41696</v>
      </c>
      <c r="O4502" s="29">
        <v>3.99</v>
      </c>
      <c r="P4502" s="18" t="s">
        <v>1107</v>
      </c>
      <c r="Q4502" s="18">
        <v>0</v>
      </c>
      <c r="U4502" s="22">
        <v>0.79</v>
      </c>
      <c r="V4502" s="22">
        <f>3.39/5</f>
        <v>0.67800000000000005</v>
      </c>
      <c r="W4502" s="14" t="s">
        <v>7796</v>
      </c>
      <c r="X4502" s="3">
        <v>4</v>
      </c>
      <c r="Z4502" s="23">
        <v>26.5</v>
      </c>
      <c r="AB4502" s="18">
        <f t="shared" si="140"/>
        <v>2011</v>
      </c>
      <c r="AC4502" s="22">
        <f t="shared" si="141"/>
        <v>0.75599999999999989</v>
      </c>
    </row>
    <row r="4503" spans="1:29" ht="25.5">
      <c r="A4503" s="8" t="s">
        <v>7962</v>
      </c>
      <c r="B4503" s="17" t="s">
        <v>7759</v>
      </c>
      <c r="C4503" s="13">
        <v>40610</v>
      </c>
      <c r="D4503" s="13" t="s">
        <v>8465</v>
      </c>
      <c r="E4503" s="10" t="s">
        <v>2335</v>
      </c>
      <c r="F4503" s="10" t="s">
        <v>7963</v>
      </c>
      <c r="H4503" s="2" t="s">
        <v>1059</v>
      </c>
      <c r="L4503" s="18">
        <v>0</v>
      </c>
      <c r="Q4503" s="18">
        <v>0</v>
      </c>
      <c r="U4503" s="22">
        <v>0.46310000000000001</v>
      </c>
      <c r="V4503" s="22">
        <f>3.31/5</f>
        <v>0.66200000000000003</v>
      </c>
      <c r="X4503" s="3">
        <v>2</v>
      </c>
      <c r="Y4503" s="18">
        <v>1</v>
      </c>
      <c r="Z4503" s="23">
        <v>6</v>
      </c>
      <c r="AB4503" s="18">
        <f t="shared" si="140"/>
        <v>2011</v>
      </c>
      <c r="AC4503" s="22">
        <f t="shared" si="141"/>
        <v>0.50836666666666674</v>
      </c>
    </row>
    <row r="4504" spans="1:29">
      <c r="A4504" s="8" t="s">
        <v>2344</v>
      </c>
      <c r="B4504" s="17" t="s">
        <v>7748</v>
      </c>
      <c r="C4504" s="13">
        <v>40608</v>
      </c>
      <c r="D4504" s="13" t="s">
        <v>8465</v>
      </c>
      <c r="E4504" s="10" t="s">
        <v>86</v>
      </c>
      <c r="F4504" s="10" t="s">
        <v>1354</v>
      </c>
      <c r="G4504" s="11" t="s">
        <v>1470</v>
      </c>
      <c r="H4504" s="2" t="s">
        <v>149</v>
      </c>
      <c r="L4504" s="18">
        <v>0</v>
      </c>
      <c r="Q4504" s="18">
        <v>0</v>
      </c>
      <c r="U4504" s="22">
        <v>0.86</v>
      </c>
      <c r="V4504" s="22">
        <f>4.2/5</f>
        <v>0.84000000000000008</v>
      </c>
      <c r="X4504" s="3">
        <v>4</v>
      </c>
      <c r="Z4504" s="23">
        <v>32</v>
      </c>
      <c r="AB4504" s="18">
        <f t="shared" si="140"/>
        <v>2011</v>
      </c>
      <c r="AC4504" s="22">
        <f t="shared" si="141"/>
        <v>0.83333333333333337</v>
      </c>
    </row>
    <row r="4505" spans="1:29" ht="25.5">
      <c r="A4505" s="8" t="s">
        <v>5080</v>
      </c>
      <c r="B4505" s="17" t="s">
        <v>7800</v>
      </c>
      <c r="C4505" s="13">
        <v>40606</v>
      </c>
      <c r="D4505" s="13" t="s">
        <v>8465</v>
      </c>
      <c r="E4505" s="10" t="s">
        <v>455</v>
      </c>
      <c r="F4505" s="10" t="s">
        <v>455</v>
      </c>
      <c r="G4505" s="11" t="s">
        <v>2756</v>
      </c>
      <c r="H4505" s="2" t="s">
        <v>1220</v>
      </c>
      <c r="L4505" s="18">
        <v>1</v>
      </c>
      <c r="N4505" s="13">
        <v>41968</v>
      </c>
      <c r="P4505" s="18" t="s">
        <v>1107</v>
      </c>
      <c r="Q4505" s="18">
        <v>0</v>
      </c>
      <c r="V4505" s="22">
        <f>4.16/5</f>
        <v>0.83200000000000007</v>
      </c>
      <c r="W4505" s="14" t="s">
        <v>7777</v>
      </c>
      <c r="X4505" s="3">
        <v>3</v>
      </c>
      <c r="Z4505" s="23">
        <v>3</v>
      </c>
      <c r="AB4505" s="18">
        <f t="shared" si="140"/>
        <v>2011</v>
      </c>
      <c r="AC4505" s="22">
        <f t="shared" si="141"/>
        <v>0.71599999999999997</v>
      </c>
    </row>
    <row r="4506" spans="1:29">
      <c r="A4506" s="8" t="s">
        <v>5067</v>
      </c>
      <c r="B4506" s="17" t="s">
        <v>7800</v>
      </c>
      <c r="C4506" s="13">
        <v>40606</v>
      </c>
      <c r="D4506" s="13" t="s">
        <v>8465</v>
      </c>
      <c r="E4506" s="10" t="s">
        <v>455</v>
      </c>
      <c r="F4506" s="10" t="s">
        <v>1492</v>
      </c>
      <c r="G4506" s="11" t="s">
        <v>1688</v>
      </c>
      <c r="H4506" s="2" t="s">
        <v>1040</v>
      </c>
      <c r="L4506" s="18">
        <v>1</v>
      </c>
      <c r="N4506" s="13">
        <v>41765</v>
      </c>
      <c r="P4506" s="18" t="s">
        <v>1107</v>
      </c>
      <c r="Q4506" s="18">
        <v>0</v>
      </c>
      <c r="V4506" s="22">
        <f>3.44/5</f>
        <v>0.68799999999999994</v>
      </c>
      <c r="W4506" s="14" t="s">
        <v>7777</v>
      </c>
      <c r="X4506" s="3">
        <v>3</v>
      </c>
      <c r="Z4506" s="23">
        <v>9.5</v>
      </c>
      <c r="AB4506" s="18">
        <f t="shared" si="140"/>
        <v>2011</v>
      </c>
      <c r="AC4506" s="22">
        <f t="shared" si="141"/>
        <v>0.64399999999999991</v>
      </c>
    </row>
    <row r="4507" spans="1:29">
      <c r="A4507" s="8" t="s">
        <v>4937</v>
      </c>
      <c r="B4507" s="17" t="s">
        <v>7800</v>
      </c>
      <c r="C4507" s="13">
        <v>40606</v>
      </c>
      <c r="D4507" s="13" t="s">
        <v>8465</v>
      </c>
      <c r="E4507" s="10" t="s">
        <v>455</v>
      </c>
      <c r="F4507" s="10" t="s">
        <v>455</v>
      </c>
      <c r="G4507" s="11" t="s">
        <v>4937</v>
      </c>
      <c r="H4507" s="2" t="s">
        <v>255</v>
      </c>
      <c r="L4507" s="18">
        <v>1</v>
      </c>
      <c r="N4507" s="13">
        <v>41968</v>
      </c>
      <c r="P4507" s="18" t="s">
        <v>1107</v>
      </c>
      <c r="Q4507" s="18">
        <v>0</v>
      </c>
      <c r="V4507" s="22">
        <f>3.55/5</f>
        <v>0.71</v>
      </c>
      <c r="W4507" s="14" t="s">
        <v>7777</v>
      </c>
      <c r="X4507" s="3">
        <v>2</v>
      </c>
      <c r="Z4507" s="23">
        <v>1.5</v>
      </c>
      <c r="AB4507" s="18">
        <f t="shared" si="140"/>
        <v>2011</v>
      </c>
      <c r="AC4507" s="22">
        <f t="shared" si="141"/>
        <v>0.55499999999999994</v>
      </c>
    </row>
    <row r="4508" spans="1:29">
      <c r="A4508" s="8" t="s">
        <v>5084</v>
      </c>
      <c r="B4508" s="17" t="s">
        <v>7800</v>
      </c>
      <c r="C4508" s="13">
        <v>40604</v>
      </c>
      <c r="D4508" s="13" t="s">
        <v>8465</v>
      </c>
      <c r="E4508" s="10" t="s">
        <v>5085</v>
      </c>
      <c r="F4508" s="10" t="s">
        <v>5085</v>
      </c>
      <c r="G4508" s="11" t="s">
        <v>5084</v>
      </c>
      <c r="H4508" s="2" t="s">
        <v>78</v>
      </c>
      <c r="L4508" s="18">
        <v>1</v>
      </c>
      <c r="N4508" s="13">
        <v>41102</v>
      </c>
      <c r="O4508" s="29">
        <v>0</v>
      </c>
      <c r="P4508" s="18" t="s">
        <v>1107</v>
      </c>
      <c r="Q4508" s="18">
        <v>0</v>
      </c>
      <c r="U4508" s="22">
        <v>0.87</v>
      </c>
      <c r="V4508" s="22">
        <f>3.84/5</f>
        <v>0.76800000000000002</v>
      </c>
      <c r="W4508" s="14" t="s">
        <v>7777</v>
      </c>
      <c r="X4508" s="3">
        <v>2</v>
      </c>
      <c r="Z4508" s="23">
        <v>44.5</v>
      </c>
      <c r="AB4508" s="18">
        <f t="shared" si="140"/>
        <v>2011</v>
      </c>
      <c r="AC4508" s="22">
        <f t="shared" si="141"/>
        <v>0.67933333333333323</v>
      </c>
    </row>
    <row r="4509" spans="1:29" ht="38.25">
      <c r="A4509" s="8" t="s">
        <v>5536</v>
      </c>
      <c r="B4509" s="17" t="s">
        <v>7800</v>
      </c>
      <c r="C4509" s="13">
        <v>40603</v>
      </c>
      <c r="D4509" s="13" t="s">
        <v>8465</v>
      </c>
      <c r="E4509" s="10" t="s">
        <v>455</v>
      </c>
      <c r="F4509" s="10" t="s">
        <v>3480</v>
      </c>
      <c r="G4509" s="11" t="s">
        <v>5534</v>
      </c>
      <c r="H4509" s="2" t="s">
        <v>3279</v>
      </c>
      <c r="L4509" s="18">
        <v>1</v>
      </c>
      <c r="N4509" s="13">
        <v>41305</v>
      </c>
      <c r="O4509" s="29">
        <v>0</v>
      </c>
      <c r="P4509" s="18" t="s">
        <v>1107</v>
      </c>
      <c r="Q4509" s="18">
        <v>0</v>
      </c>
      <c r="U4509" s="22">
        <v>0.82</v>
      </c>
      <c r="V4509" s="22">
        <f>3.71/5</f>
        <v>0.74199999999999999</v>
      </c>
      <c r="W4509" s="14" t="s">
        <v>7777</v>
      </c>
      <c r="X4509" s="3">
        <v>3</v>
      </c>
      <c r="Z4509" s="23">
        <v>8.5</v>
      </c>
      <c r="AB4509" s="18">
        <f t="shared" si="140"/>
        <v>2011</v>
      </c>
      <c r="AC4509" s="22">
        <f t="shared" si="141"/>
        <v>0.72066666666666668</v>
      </c>
    </row>
    <row r="4510" spans="1:29">
      <c r="A4510" s="8" t="s">
        <v>4540</v>
      </c>
      <c r="B4510" s="17" t="s">
        <v>7800</v>
      </c>
      <c r="C4510" s="13">
        <v>40603</v>
      </c>
      <c r="D4510" s="13" t="s">
        <v>8465</v>
      </c>
      <c r="E4510" s="10" t="s">
        <v>1578</v>
      </c>
      <c r="F4510" s="10" t="s">
        <v>1578</v>
      </c>
      <c r="H4510" s="2" t="s">
        <v>64</v>
      </c>
      <c r="L4510" s="18">
        <v>1</v>
      </c>
      <c r="N4510" s="13">
        <v>40860</v>
      </c>
      <c r="P4510" s="18" t="s">
        <v>1107</v>
      </c>
      <c r="Q4510" s="18">
        <v>0</v>
      </c>
      <c r="U4510" s="22">
        <v>0.79</v>
      </c>
      <c r="V4510" s="22">
        <f>3.47/5</f>
        <v>0.69400000000000006</v>
      </c>
      <c r="W4510" s="14" t="s">
        <v>7777</v>
      </c>
      <c r="X4510" s="3">
        <v>2</v>
      </c>
      <c r="Z4510" s="23">
        <v>2.5</v>
      </c>
      <c r="AB4510" s="18">
        <f t="shared" si="140"/>
        <v>2011</v>
      </c>
      <c r="AC4510" s="22">
        <f t="shared" si="141"/>
        <v>0.628</v>
      </c>
    </row>
    <row r="4511" spans="1:29" ht="25.5">
      <c r="A4511" s="8" t="s">
        <v>3236</v>
      </c>
      <c r="B4511" s="17" t="s">
        <v>7800</v>
      </c>
      <c r="C4511" s="13">
        <v>40602</v>
      </c>
      <c r="D4511" s="13" t="s">
        <v>8465</v>
      </c>
      <c r="E4511" s="10" t="s">
        <v>3234</v>
      </c>
      <c r="F4511" s="10" t="s">
        <v>3234</v>
      </c>
      <c r="G4511" s="11" t="s">
        <v>3235</v>
      </c>
      <c r="H4511" s="2" t="s">
        <v>1720</v>
      </c>
      <c r="L4511" s="18">
        <v>1</v>
      </c>
      <c r="N4511" s="13">
        <v>41228</v>
      </c>
      <c r="P4511" s="18" t="s">
        <v>1107</v>
      </c>
      <c r="Q4511" s="18">
        <v>0</v>
      </c>
      <c r="U4511" s="22">
        <v>0.78</v>
      </c>
      <c r="V4511" s="22">
        <f>3.45/5</f>
        <v>0.69000000000000006</v>
      </c>
      <c r="W4511" s="14" t="s">
        <v>7777</v>
      </c>
      <c r="X4511" s="3">
        <v>2</v>
      </c>
      <c r="Z4511" s="23">
        <v>39.5</v>
      </c>
      <c r="AB4511" s="18">
        <f t="shared" si="140"/>
        <v>2011</v>
      </c>
      <c r="AC4511" s="22">
        <f t="shared" si="141"/>
        <v>0.62333333333333341</v>
      </c>
    </row>
    <row r="4512" spans="1:29" ht="25.5">
      <c r="A4512" s="8" t="s">
        <v>4427</v>
      </c>
      <c r="B4512" s="17" t="s">
        <v>7800</v>
      </c>
      <c r="C4512" s="13">
        <v>40599</v>
      </c>
      <c r="D4512" s="13" t="s">
        <v>8465</v>
      </c>
      <c r="E4512" s="10" t="s">
        <v>3608</v>
      </c>
      <c r="F4512" s="10" t="s">
        <v>4428</v>
      </c>
      <c r="G4512" s="11" t="s">
        <v>4429</v>
      </c>
      <c r="H4512" s="2" t="s">
        <v>3279</v>
      </c>
      <c r="L4512" s="18">
        <v>1</v>
      </c>
      <c r="N4512" s="13">
        <v>41319</v>
      </c>
      <c r="P4512" s="18" t="s">
        <v>1107</v>
      </c>
      <c r="Q4512" s="18">
        <v>0</v>
      </c>
      <c r="U4512" s="22">
        <v>0.77</v>
      </c>
      <c r="V4512" s="22">
        <f>3.66/5</f>
        <v>0.73199999999999998</v>
      </c>
      <c r="W4512" s="14" t="s">
        <v>7777</v>
      </c>
      <c r="X4512" s="3">
        <v>2</v>
      </c>
      <c r="Z4512" s="23">
        <v>67</v>
      </c>
      <c r="AB4512" s="18">
        <f t="shared" si="140"/>
        <v>2011</v>
      </c>
      <c r="AC4512" s="22">
        <f t="shared" si="141"/>
        <v>0.63400000000000001</v>
      </c>
    </row>
    <row r="4513" spans="1:29">
      <c r="A4513" s="8" t="s">
        <v>4650</v>
      </c>
      <c r="B4513" s="17" t="s">
        <v>7800</v>
      </c>
      <c r="C4513" s="13">
        <v>40599</v>
      </c>
      <c r="D4513" s="13" t="s">
        <v>8465</v>
      </c>
      <c r="E4513" s="10" t="s">
        <v>1583</v>
      </c>
      <c r="F4513" s="10" t="s">
        <v>4651</v>
      </c>
      <c r="G4513" s="11" t="s">
        <v>4644</v>
      </c>
      <c r="H4513" s="2" t="s">
        <v>1050</v>
      </c>
      <c r="L4513" s="18">
        <v>1</v>
      </c>
      <c r="N4513" s="13">
        <v>41502</v>
      </c>
      <c r="P4513" s="18" t="s">
        <v>1107</v>
      </c>
      <c r="Q4513" s="18">
        <v>0</v>
      </c>
      <c r="U4513" s="22">
        <v>0.4</v>
      </c>
      <c r="V4513" s="22">
        <f>2.5/5</f>
        <v>0.5</v>
      </c>
      <c r="W4513" s="14" t="s">
        <v>7777</v>
      </c>
      <c r="X4513" s="3">
        <v>3</v>
      </c>
      <c r="Z4513" s="23">
        <v>4</v>
      </c>
      <c r="AB4513" s="18">
        <f t="shared" si="140"/>
        <v>2011</v>
      </c>
      <c r="AC4513" s="22">
        <f t="shared" si="141"/>
        <v>0.5</v>
      </c>
    </row>
    <row r="4514" spans="1:29">
      <c r="A4514" s="8" t="s">
        <v>3969</v>
      </c>
      <c r="B4514" s="17" t="s">
        <v>7800</v>
      </c>
      <c r="C4514" s="13">
        <v>40598</v>
      </c>
      <c r="D4514" s="13" t="s">
        <v>8465</v>
      </c>
      <c r="E4514" s="10" t="s">
        <v>3066</v>
      </c>
      <c r="F4514" s="10" t="s">
        <v>3970</v>
      </c>
      <c r="H4514" s="2" t="s">
        <v>67</v>
      </c>
      <c r="L4514" s="18">
        <v>1</v>
      </c>
      <c r="N4514" s="13">
        <v>41346</v>
      </c>
      <c r="P4514" s="18" t="s">
        <v>1107</v>
      </c>
      <c r="Q4514" s="18">
        <v>0</v>
      </c>
      <c r="U4514" s="22">
        <v>0.85</v>
      </c>
      <c r="V4514" s="22">
        <f>3.7/5</f>
        <v>0.74</v>
      </c>
      <c r="W4514" s="14" t="s">
        <v>7777</v>
      </c>
      <c r="X4514" s="3">
        <v>3</v>
      </c>
      <c r="Z4514" s="23">
        <v>6.5</v>
      </c>
      <c r="AB4514" s="18">
        <f t="shared" si="140"/>
        <v>2011</v>
      </c>
      <c r="AC4514" s="22">
        <f t="shared" si="141"/>
        <v>0.73</v>
      </c>
    </row>
    <row r="4515" spans="1:29" ht="30">
      <c r="A4515" s="8" t="s">
        <v>12472</v>
      </c>
      <c r="B4515" s="17" t="s">
        <v>7762</v>
      </c>
      <c r="C4515" s="13">
        <v>40598</v>
      </c>
      <c r="D4515" s="13" t="s">
        <v>8463</v>
      </c>
      <c r="E4515" s="10" t="s">
        <v>455</v>
      </c>
      <c r="F4515" s="10" t="s">
        <v>1375</v>
      </c>
      <c r="G4515" s="11" t="s">
        <v>1936</v>
      </c>
      <c r="H4515" s="2" t="s">
        <v>171</v>
      </c>
      <c r="K4515" s="18">
        <v>2</v>
      </c>
      <c r="L4515" s="18">
        <v>0</v>
      </c>
      <c r="Q4515" s="18">
        <v>0</v>
      </c>
      <c r="V4515" s="22">
        <f>4.22/5</f>
        <v>0.84399999999999997</v>
      </c>
      <c r="X4515" s="3">
        <v>2</v>
      </c>
      <c r="AB4515" s="18">
        <f t="shared" si="140"/>
        <v>2011</v>
      </c>
      <c r="AC4515" s="22">
        <f t="shared" si="141"/>
        <v>0.622</v>
      </c>
    </row>
    <row r="4516" spans="1:29">
      <c r="A4516" s="8" t="s">
        <v>3383</v>
      </c>
      <c r="B4516" s="17" t="s">
        <v>7800</v>
      </c>
      <c r="C4516" s="13">
        <v>40596</v>
      </c>
      <c r="D4516" s="13" t="s">
        <v>8465</v>
      </c>
      <c r="E4516" s="10" t="s">
        <v>231</v>
      </c>
      <c r="F4516" s="10" t="s">
        <v>3384</v>
      </c>
      <c r="G4516" s="11" t="s">
        <v>3383</v>
      </c>
      <c r="H4516" s="2" t="s">
        <v>1050</v>
      </c>
      <c r="L4516" s="18">
        <v>1</v>
      </c>
      <c r="N4516" s="13">
        <v>41994</v>
      </c>
      <c r="O4516" s="29">
        <v>3.57</v>
      </c>
      <c r="P4516" s="18" t="s">
        <v>1107</v>
      </c>
      <c r="Q4516" s="18">
        <v>0</v>
      </c>
      <c r="U4516" s="22">
        <v>0.82</v>
      </c>
      <c r="V4516" s="22">
        <f>3.7/5</f>
        <v>0.74</v>
      </c>
      <c r="W4516" s="14" t="s">
        <v>7777</v>
      </c>
      <c r="X4516" s="3">
        <v>2</v>
      </c>
      <c r="Z4516" s="23">
        <v>7.5</v>
      </c>
      <c r="AB4516" s="18">
        <f t="shared" si="140"/>
        <v>2011</v>
      </c>
      <c r="AC4516" s="22">
        <f t="shared" si="141"/>
        <v>0.65333333333333332</v>
      </c>
    </row>
    <row r="4517" spans="1:29">
      <c r="A4517" s="8" t="s">
        <v>2148</v>
      </c>
      <c r="B4517" s="17" t="s">
        <v>7748</v>
      </c>
      <c r="C4517" s="13">
        <v>40596</v>
      </c>
      <c r="D4517" s="13" t="s">
        <v>8465</v>
      </c>
      <c r="E4517" s="10" t="s">
        <v>2287</v>
      </c>
      <c r="F4517" s="10" t="s">
        <v>2288</v>
      </c>
      <c r="G4517" s="11" t="s">
        <v>2289</v>
      </c>
      <c r="H4517" s="2" t="s">
        <v>56</v>
      </c>
      <c r="L4517" s="18">
        <v>0</v>
      </c>
      <c r="Q4517" s="18">
        <v>0</v>
      </c>
      <c r="U4517" s="22">
        <v>0.78</v>
      </c>
      <c r="V4517" s="22">
        <f>3.68/5</f>
        <v>0.73599999999999999</v>
      </c>
      <c r="X4517" s="3">
        <v>3</v>
      </c>
      <c r="Z4517" s="23">
        <v>2.5</v>
      </c>
      <c r="AB4517" s="18">
        <f t="shared" si="140"/>
        <v>2011</v>
      </c>
      <c r="AC4517" s="22">
        <f t="shared" si="141"/>
        <v>0.70533333333333337</v>
      </c>
    </row>
    <row r="4518" spans="1:29">
      <c r="A4518" s="8" t="s">
        <v>6324</v>
      </c>
      <c r="B4518" s="17" t="s">
        <v>7765</v>
      </c>
      <c r="C4518" s="13">
        <v>40590</v>
      </c>
      <c r="D4518" s="13" t="s">
        <v>8465</v>
      </c>
      <c r="E4518" s="10" t="s">
        <v>72</v>
      </c>
      <c r="F4518" s="10" t="s">
        <v>479</v>
      </c>
      <c r="G4518" s="11" t="s">
        <v>97</v>
      </c>
      <c r="H4518" s="2" t="s">
        <v>56</v>
      </c>
      <c r="L4518" s="18">
        <v>1</v>
      </c>
      <c r="P4518" s="18" t="s">
        <v>1107</v>
      </c>
      <c r="Q4518" s="18">
        <v>0</v>
      </c>
      <c r="U4518" s="22">
        <v>0.76</v>
      </c>
      <c r="V4518" s="22">
        <f>3.93/5</f>
        <v>0.78600000000000003</v>
      </c>
      <c r="X4518" s="3">
        <v>3</v>
      </c>
      <c r="Z4518" s="23">
        <v>6.5</v>
      </c>
      <c r="AB4518" s="18">
        <f t="shared" si="140"/>
        <v>2011</v>
      </c>
      <c r="AC4518" s="22">
        <f t="shared" si="141"/>
        <v>0.71533333333333327</v>
      </c>
    </row>
    <row r="4519" spans="1:29" ht="30">
      <c r="A4519" s="8" t="s">
        <v>838</v>
      </c>
      <c r="B4519" s="17" t="s">
        <v>7762</v>
      </c>
      <c r="C4519" s="13">
        <v>40589</v>
      </c>
      <c r="D4519" s="13" t="s">
        <v>8465</v>
      </c>
      <c r="E4519" s="10" t="s">
        <v>1082</v>
      </c>
      <c r="F4519" s="10" t="s">
        <v>1082</v>
      </c>
      <c r="G4519" s="11" t="s">
        <v>1231</v>
      </c>
      <c r="H4519" s="2" t="s">
        <v>75</v>
      </c>
      <c r="L4519" s="18">
        <v>0</v>
      </c>
      <c r="Q4519" s="18">
        <v>0</v>
      </c>
      <c r="U4519" s="22">
        <v>0.87</v>
      </c>
      <c r="V4519" s="22">
        <f>4.31/5</f>
        <v>0.86199999999999988</v>
      </c>
      <c r="X4519" s="3">
        <v>4</v>
      </c>
      <c r="Z4519" s="23">
        <v>50</v>
      </c>
      <c r="AB4519" s="18">
        <f t="shared" si="140"/>
        <v>2011</v>
      </c>
      <c r="AC4519" s="22">
        <f t="shared" si="141"/>
        <v>0.84399999999999997</v>
      </c>
    </row>
    <row r="4520" spans="1:29" ht="25.5">
      <c r="A4520" s="8" t="s">
        <v>8521</v>
      </c>
      <c r="B4520" s="17" t="s">
        <v>7748</v>
      </c>
      <c r="C4520" s="13">
        <v>40588</v>
      </c>
      <c r="D4520" s="13" t="s">
        <v>8465</v>
      </c>
      <c r="E4520" s="10" t="s">
        <v>86</v>
      </c>
      <c r="F4520" s="10" t="s">
        <v>1537</v>
      </c>
      <c r="G4520" s="11" t="s">
        <v>140</v>
      </c>
      <c r="H4520" s="2" t="s">
        <v>149</v>
      </c>
      <c r="L4520" s="18">
        <v>0</v>
      </c>
      <c r="Q4520" s="18">
        <v>0</v>
      </c>
      <c r="U4520" s="22">
        <v>0.8</v>
      </c>
      <c r="V4520" s="22">
        <f>4.1/5</f>
        <v>0.82</v>
      </c>
      <c r="X4520" s="3">
        <v>4</v>
      </c>
      <c r="Z4520" s="23">
        <v>40.5</v>
      </c>
      <c r="AB4520" s="18">
        <f t="shared" si="140"/>
        <v>2011</v>
      </c>
      <c r="AC4520" s="22">
        <f t="shared" si="141"/>
        <v>0.80666666666666664</v>
      </c>
    </row>
    <row r="4521" spans="1:29" ht="30">
      <c r="A4521" s="8" t="s">
        <v>12013</v>
      </c>
      <c r="B4521" s="17" t="s">
        <v>7762</v>
      </c>
      <c r="C4521" s="13">
        <v>40584</v>
      </c>
      <c r="D4521" s="13" t="s">
        <v>8463</v>
      </c>
      <c r="E4521" s="10" t="s">
        <v>158</v>
      </c>
      <c r="F4521" s="10" t="s">
        <v>1375</v>
      </c>
      <c r="G4521" s="11" t="s">
        <v>1422</v>
      </c>
      <c r="H4521" s="2" t="s">
        <v>171</v>
      </c>
      <c r="K4521" s="18">
        <v>0</v>
      </c>
      <c r="L4521" s="18">
        <v>0</v>
      </c>
      <c r="Q4521" s="18">
        <v>0</v>
      </c>
      <c r="V4521" s="22">
        <f>4.24/5</f>
        <v>0.84800000000000009</v>
      </c>
      <c r="X4521" s="3">
        <v>2</v>
      </c>
      <c r="AB4521" s="18">
        <f t="shared" si="140"/>
        <v>2011</v>
      </c>
      <c r="AC4521" s="22">
        <f t="shared" si="141"/>
        <v>0.62400000000000011</v>
      </c>
    </row>
    <row r="4522" spans="1:29">
      <c r="A4522" s="8" t="s">
        <v>3745</v>
      </c>
      <c r="B4522" s="17" t="s">
        <v>7800</v>
      </c>
      <c r="C4522" s="13">
        <v>40584</v>
      </c>
      <c r="D4522" s="13" t="s">
        <v>8465</v>
      </c>
      <c r="E4522" s="10" t="s">
        <v>3553</v>
      </c>
      <c r="F4522" s="10" t="s">
        <v>3554</v>
      </c>
      <c r="G4522" s="11" t="s">
        <v>3745</v>
      </c>
      <c r="H4522" s="2" t="s">
        <v>1334</v>
      </c>
      <c r="L4522" s="18">
        <v>1</v>
      </c>
      <c r="N4522" s="13">
        <v>44804</v>
      </c>
      <c r="O4522" s="29">
        <v>1</v>
      </c>
      <c r="P4522" s="18" t="s">
        <v>1107</v>
      </c>
      <c r="Q4522" s="18">
        <v>0</v>
      </c>
      <c r="U4522" s="22">
        <v>0.65</v>
      </c>
      <c r="V4522" s="22">
        <f>3.24/5</f>
        <v>0.64800000000000002</v>
      </c>
      <c r="W4522" s="14" t="s">
        <v>7777</v>
      </c>
      <c r="X4522" s="3">
        <v>2</v>
      </c>
      <c r="Z4522" s="23">
        <v>16.5</v>
      </c>
      <c r="AB4522" s="18">
        <f t="shared" si="140"/>
        <v>2011</v>
      </c>
      <c r="AC4522" s="22">
        <f t="shared" si="141"/>
        <v>0.56599999999999995</v>
      </c>
    </row>
    <row r="4523" spans="1:29">
      <c r="A4523" s="8" t="s">
        <v>5478</v>
      </c>
      <c r="B4523" s="17" t="s">
        <v>7800</v>
      </c>
      <c r="C4523" s="13">
        <v>40582</v>
      </c>
      <c r="D4523" s="13" t="s">
        <v>8465</v>
      </c>
      <c r="E4523" s="10" t="s">
        <v>4012</v>
      </c>
      <c r="F4523" s="10" t="s">
        <v>3771</v>
      </c>
      <c r="G4523" s="11" t="s">
        <v>5477</v>
      </c>
      <c r="H4523" s="2" t="s">
        <v>171</v>
      </c>
      <c r="L4523" s="18">
        <v>1</v>
      </c>
      <c r="N4523" s="13">
        <v>41319</v>
      </c>
      <c r="P4523" s="18" t="s">
        <v>1107</v>
      </c>
      <c r="Q4523" s="18">
        <v>0</v>
      </c>
      <c r="U4523" s="22">
        <v>0.75</v>
      </c>
      <c r="V4523" s="22">
        <f>3.33/5</f>
        <v>0.66600000000000004</v>
      </c>
      <c r="W4523" s="14" t="s">
        <v>7777</v>
      </c>
      <c r="X4523" s="3">
        <v>2</v>
      </c>
      <c r="Z4523" s="23">
        <v>32</v>
      </c>
      <c r="AB4523" s="18">
        <f t="shared" si="140"/>
        <v>2011</v>
      </c>
      <c r="AC4523" s="22">
        <f t="shared" si="141"/>
        <v>0.60533333333333328</v>
      </c>
    </row>
    <row r="4524" spans="1:29">
      <c r="A4524" s="8" t="s">
        <v>10222</v>
      </c>
      <c r="B4524" s="17" t="s">
        <v>7759</v>
      </c>
      <c r="C4524" s="13">
        <v>40582</v>
      </c>
      <c r="D4524" s="13" t="s">
        <v>8465</v>
      </c>
      <c r="E4524" s="10" t="s">
        <v>2335</v>
      </c>
      <c r="F4524" s="10" t="s">
        <v>1471</v>
      </c>
      <c r="G4524" s="11" t="s">
        <v>10241</v>
      </c>
      <c r="H4524" s="2" t="s">
        <v>171</v>
      </c>
      <c r="L4524" s="18">
        <v>0</v>
      </c>
      <c r="Q4524" s="18">
        <v>0</v>
      </c>
      <c r="U4524" s="22">
        <v>0.55000000000000004</v>
      </c>
      <c r="V4524" s="22">
        <f>3.78/5</f>
        <v>0.75600000000000001</v>
      </c>
      <c r="X4524" s="3">
        <v>2</v>
      </c>
      <c r="Y4524" s="18">
        <v>1</v>
      </c>
      <c r="Z4524" s="23">
        <v>30.5</v>
      </c>
      <c r="AB4524" s="18">
        <f t="shared" si="140"/>
        <v>2011</v>
      </c>
      <c r="AC4524" s="22">
        <f t="shared" si="141"/>
        <v>0.56866666666666665</v>
      </c>
    </row>
    <row r="4525" spans="1:29">
      <c r="A4525" s="8" t="s">
        <v>7390</v>
      </c>
      <c r="B4525" s="17" t="s">
        <v>7741</v>
      </c>
      <c r="C4525" s="13">
        <v>40581</v>
      </c>
      <c r="D4525" s="13" t="s">
        <v>8465</v>
      </c>
      <c r="E4525" s="10" t="s">
        <v>86</v>
      </c>
      <c r="F4525" s="10" t="s">
        <v>1082</v>
      </c>
      <c r="G4525" s="11" t="s">
        <v>1874</v>
      </c>
      <c r="H4525" s="2" t="s">
        <v>255</v>
      </c>
      <c r="L4525" s="18">
        <v>0</v>
      </c>
      <c r="Q4525" s="18">
        <v>0</v>
      </c>
      <c r="U4525" s="22">
        <v>0.66</v>
      </c>
      <c r="V4525" s="22">
        <f>3.73/5</f>
        <v>0.746</v>
      </c>
      <c r="X4525" s="3">
        <v>3</v>
      </c>
      <c r="Z4525" s="23">
        <v>6.5</v>
      </c>
      <c r="AB4525" s="18">
        <f t="shared" si="140"/>
        <v>2011</v>
      </c>
      <c r="AC4525" s="22">
        <f t="shared" si="141"/>
        <v>0.66866666666666674</v>
      </c>
    </row>
    <row r="4526" spans="1:29">
      <c r="A4526" s="8" t="s">
        <v>7613</v>
      </c>
      <c r="B4526" s="17" t="s">
        <v>7748</v>
      </c>
      <c r="C4526" s="13">
        <v>40577</v>
      </c>
      <c r="D4526" s="13" t="s">
        <v>8463</v>
      </c>
      <c r="E4526" s="10" t="s">
        <v>73</v>
      </c>
      <c r="F4526" s="10" t="s">
        <v>73</v>
      </c>
      <c r="G4526" s="11" t="s">
        <v>2323</v>
      </c>
      <c r="H4526" s="2" t="s">
        <v>67</v>
      </c>
      <c r="K4526" s="18">
        <v>2</v>
      </c>
      <c r="L4526" s="18">
        <v>0</v>
      </c>
      <c r="Q4526" s="18">
        <v>0</v>
      </c>
      <c r="V4526" s="22">
        <f>4.24/5</f>
        <v>0.84800000000000009</v>
      </c>
      <c r="X4526" s="3">
        <v>3</v>
      </c>
      <c r="Z4526" s="23">
        <v>34.5</v>
      </c>
      <c r="AB4526" s="18">
        <f t="shared" si="140"/>
        <v>2011</v>
      </c>
      <c r="AC4526" s="22">
        <f t="shared" si="141"/>
        <v>0.72399999999999998</v>
      </c>
    </row>
    <row r="4527" spans="1:29" ht="25.5">
      <c r="A4527" s="8" t="s">
        <v>10108</v>
      </c>
      <c r="B4527" s="17" t="s">
        <v>7759</v>
      </c>
      <c r="C4527" s="13">
        <v>40575</v>
      </c>
      <c r="D4527" s="13" t="s">
        <v>8465</v>
      </c>
      <c r="E4527" s="10" t="s">
        <v>4045</v>
      </c>
      <c r="F4527" s="10" t="s">
        <v>4045</v>
      </c>
      <c r="G4527" s="11" t="s">
        <v>5238</v>
      </c>
      <c r="H4527" s="2" t="s">
        <v>27</v>
      </c>
      <c r="L4527" s="18">
        <v>1</v>
      </c>
      <c r="N4527" s="13">
        <v>44302</v>
      </c>
      <c r="O4527" s="29">
        <v>7.99</v>
      </c>
      <c r="P4527" s="18" t="s">
        <v>1107</v>
      </c>
      <c r="Q4527" s="18">
        <v>0</v>
      </c>
      <c r="U4527" s="22">
        <v>0.76</v>
      </c>
      <c r="V4527" s="22">
        <f>3.54/5</f>
        <v>0.70799999999999996</v>
      </c>
      <c r="X4527" s="3">
        <v>3</v>
      </c>
      <c r="Z4527" s="23">
        <v>6.5</v>
      </c>
      <c r="AB4527" s="18">
        <f t="shared" si="140"/>
        <v>2011</v>
      </c>
      <c r="AC4527" s="22">
        <f t="shared" si="141"/>
        <v>0.68933333333333335</v>
      </c>
    </row>
    <row r="4528" spans="1:29" ht="25.5">
      <c r="A4528" s="8" t="s">
        <v>8403</v>
      </c>
      <c r="B4528" s="17" t="s">
        <v>7759</v>
      </c>
      <c r="C4528" s="13">
        <v>40575</v>
      </c>
      <c r="D4528" s="13" t="s">
        <v>8465</v>
      </c>
      <c r="E4528" s="10" t="s">
        <v>73</v>
      </c>
      <c r="F4528" s="10" t="s">
        <v>4257</v>
      </c>
      <c r="G4528" s="11" t="s">
        <v>15</v>
      </c>
      <c r="H4528" s="2" t="s">
        <v>151</v>
      </c>
      <c r="L4528" s="18">
        <v>1</v>
      </c>
      <c r="N4528" s="13">
        <v>43888</v>
      </c>
      <c r="O4528" s="29">
        <v>1.99</v>
      </c>
      <c r="P4528" s="18" t="s">
        <v>1107</v>
      </c>
      <c r="Q4528" s="18">
        <v>0</v>
      </c>
      <c r="U4528" s="22">
        <v>0.63</v>
      </c>
      <c r="V4528" s="22">
        <f>3.34/5</f>
        <v>0.66799999999999993</v>
      </c>
      <c r="X4528" s="3">
        <v>3</v>
      </c>
      <c r="Z4528" s="23">
        <v>5.5</v>
      </c>
      <c r="AB4528" s="18">
        <f t="shared" si="140"/>
        <v>2011</v>
      </c>
      <c r="AC4528" s="22">
        <f t="shared" si="141"/>
        <v>0.63266666666666671</v>
      </c>
    </row>
    <row r="4529" spans="1:29">
      <c r="A4529" s="8" t="s">
        <v>2181</v>
      </c>
      <c r="B4529" s="17" t="s">
        <v>7748</v>
      </c>
      <c r="C4529" s="13">
        <v>40572</v>
      </c>
      <c r="D4529" s="13" t="s">
        <v>8467</v>
      </c>
      <c r="E4529" s="10" t="s">
        <v>86</v>
      </c>
      <c r="F4529" s="10" t="s">
        <v>2129</v>
      </c>
      <c r="G4529" s="11" t="s">
        <v>2181</v>
      </c>
      <c r="H4529" s="2" t="s">
        <v>255</v>
      </c>
      <c r="L4529" s="18">
        <v>0</v>
      </c>
      <c r="Q4529" s="18">
        <v>0</v>
      </c>
      <c r="U4529" s="22">
        <v>0.76</v>
      </c>
      <c r="V4529" s="22">
        <f>3.99/5</f>
        <v>0.79800000000000004</v>
      </c>
      <c r="X4529" s="3">
        <v>3</v>
      </c>
      <c r="Z4529" s="23">
        <v>18.5</v>
      </c>
      <c r="AB4529" s="18">
        <f t="shared" si="140"/>
        <v>2011</v>
      </c>
      <c r="AC4529" s="22">
        <f t="shared" si="141"/>
        <v>0.71933333333333327</v>
      </c>
    </row>
    <row r="4530" spans="1:29" ht="30">
      <c r="A4530" s="8" t="s">
        <v>6251</v>
      </c>
      <c r="B4530" s="17" t="s">
        <v>7762</v>
      </c>
      <c r="C4530" s="13">
        <v>40570</v>
      </c>
      <c r="D4530" s="13" t="s">
        <v>8463</v>
      </c>
      <c r="E4530" s="10" t="s">
        <v>455</v>
      </c>
      <c r="F4530" s="10" t="s">
        <v>3037</v>
      </c>
      <c r="G4530" s="11" t="s">
        <v>5494</v>
      </c>
      <c r="H4530" s="2" t="s">
        <v>75</v>
      </c>
      <c r="K4530" s="18">
        <v>2</v>
      </c>
      <c r="L4530" s="18">
        <v>0</v>
      </c>
      <c r="Q4530" s="18">
        <v>0</v>
      </c>
      <c r="U4530" s="22">
        <v>0.9</v>
      </c>
      <c r="V4530" s="22">
        <f>4.24/5</f>
        <v>0.84800000000000009</v>
      </c>
      <c r="X4530" s="3">
        <v>4</v>
      </c>
      <c r="Z4530" s="23">
        <v>59.5</v>
      </c>
      <c r="AB4530" s="18">
        <f t="shared" si="140"/>
        <v>2011</v>
      </c>
      <c r="AC4530" s="22">
        <f t="shared" si="141"/>
        <v>0.84933333333333338</v>
      </c>
    </row>
    <row r="4531" spans="1:29" ht="30">
      <c r="A4531" s="8" t="s">
        <v>4382</v>
      </c>
      <c r="B4531" s="17" t="s">
        <v>7800</v>
      </c>
      <c r="C4531" s="13">
        <v>40568</v>
      </c>
      <c r="D4531" s="13" t="s">
        <v>8465</v>
      </c>
      <c r="E4531" s="10" t="s">
        <v>3453</v>
      </c>
      <c r="F4531" s="10" t="s">
        <v>3968</v>
      </c>
      <c r="G4531" s="11" t="s">
        <v>4382</v>
      </c>
      <c r="H4531" s="2" t="s">
        <v>80</v>
      </c>
      <c r="L4531" s="18">
        <v>1</v>
      </c>
      <c r="N4531" s="13">
        <v>41105</v>
      </c>
      <c r="O4531" s="29">
        <v>2.4900000000000002</v>
      </c>
      <c r="P4531" s="18" t="s">
        <v>1107</v>
      </c>
      <c r="Q4531" s="18">
        <v>0</v>
      </c>
      <c r="U4531" s="22">
        <v>0.76</v>
      </c>
      <c r="V4531" s="22">
        <f>3.55/5</f>
        <v>0.71</v>
      </c>
      <c r="W4531" s="14" t="s">
        <v>7777</v>
      </c>
      <c r="X4531" s="3">
        <v>3</v>
      </c>
      <c r="Z4531" s="23">
        <v>10.5</v>
      </c>
      <c r="AB4531" s="18">
        <f t="shared" si="140"/>
        <v>2011</v>
      </c>
      <c r="AC4531" s="22">
        <f t="shared" si="141"/>
        <v>0.69</v>
      </c>
    </row>
    <row r="4532" spans="1:29" ht="30">
      <c r="A4532" s="8" t="s">
        <v>7918</v>
      </c>
      <c r="B4532" s="17" t="s">
        <v>7762</v>
      </c>
      <c r="C4532" s="13">
        <v>40568</v>
      </c>
      <c r="D4532" s="13" t="s">
        <v>8465</v>
      </c>
      <c r="E4532" s="10" t="s">
        <v>1082</v>
      </c>
      <c r="F4532" s="10" t="s">
        <v>3539</v>
      </c>
      <c r="G4532" s="11" t="s">
        <v>7918</v>
      </c>
      <c r="H4532" s="2" t="s">
        <v>171</v>
      </c>
      <c r="L4532" s="18">
        <v>0</v>
      </c>
      <c r="Q4532" s="18">
        <v>0</v>
      </c>
      <c r="U4532" s="22">
        <v>0.53029999999999999</v>
      </c>
      <c r="V4532" s="22">
        <f>3.67/5</f>
        <v>0.73399999999999999</v>
      </c>
      <c r="X4532" s="3">
        <v>2</v>
      </c>
      <c r="Z4532" s="23">
        <v>24.5</v>
      </c>
      <c r="AB4532" s="18">
        <f t="shared" si="140"/>
        <v>2011</v>
      </c>
      <c r="AC4532" s="22">
        <f t="shared" si="141"/>
        <v>0.55476666666666663</v>
      </c>
    </row>
    <row r="4533" spans="1:29" ht="25.5">
      <c r="A4533" s="8" t="s">
        <v>4223</v>
      </c>
      <c r="B4533" s="17" t="s">
        <v>7800</v>
      </c>
      <c r="C4533" s="13">
        <v>40563</v>
      </c>
      <c r="D4533" s="13" t="s">
        <v>8465</v>
      </c>
      <c r="E4533" s="10" t="s">
        <v>4224</v>
      </c>
      <c r="F4533" s="10" t="s">
        <v>4225</v>
      </c>
      <c r="H4533" s="2" t="s">
        <v>67</v>
      </c>
      <c r="L4533" s="18">
        <v>1</v>
      </c>
      <c r="N4533" s="13">
        <v>41151</v>
      </c>
      <c r="P4533" s="18" t="s">
        <v>1107</v>
      </c>
      <c r="Q4533" s="18">
        <v>0</v>
      </c>
      <c r="U4533" s="22">
        <v>0.79</v>
      </c>
      <c r="V4533" s="22">
        <f>3.68/5</f>
        <v>0.73599999999999999</v>
      </c>
      <c r="W4533" s="14" t="s">
        <v>7777</v>
      </c>
      <c r="X4533" s="3">
        <v>2</v>
      </c>
      <c r="Z4533" s="23">
        <v>3.5</v>
      </c>
      <c r="AB4533" s="18">
        <f t="shared" si="140"/>
        <v>2011</v>
      </c>
      <c r="AC4533" s="22">
        <f t="shared" si="141"/>
        <v>0.64200000000000002</v>
      </c>
    </row>
    <row r="4534" spans="1:29" ht="30">
      <c r="A4534" s="8" t="s">
        <v>5964</v>
      </c>
      <c r="B4534" s="17" t="s">
        <v>7759</v>
      </c>
      <c r="C4534" s="13">
        <v>40561</v>
      </c>
      <c r="D4534" s="13" t="s">
        <v>8465</v>
      </c>
      <c r="E4534" s="10" t="s">
        <v>2908</v>
      </c>
      <c r="F4534" s="10" t="s">
        <v>5963</v>
      </c>
      <c r="G4534" s="11" t="s">
        <v>5962</v>
      </c>
      <c r="H4534" s="2" t="s">
        <v>27</v>
      </c>
      <c r="L4534" s="18">
        <v>1</v>
      </c>
      <c r="M4534" s="14" t="s">
        <v>8462</v>
      </c>
      <c r="N4534" s="13">
        <v>43400</v>
      </c>
      <c r="O4534" s="29">
        <v>5.99</v>
      </c>
      <c r="P4534" s="18" t="s">
        <v>14</v>
      </c>
      <c r="Q4534" s="18">
        <v>0</v>
      </c>
      <c r="U4534" s="22">
        <v>0.92</v>
      </c>
      <c r="V4534" s="22">
        <f>4.18/5</f>
        <v>0.83599999999999997</v>
      </c>
      <c r="X4534" s="3">
        <v>4</v>
      </c>
      <c r="Z4534" s="23">
        <v>6.5</v>
      </c>
      <c r="AB4534" s="18">
        <f t="shared" si="140"/>
        <v>2011</v>
      </c>
      <c r="AC4534" s="22">
        <f t="shared" si="141"/>
        <v>0.85199999999999998</v>
      </c>
    </row>
    <row r="4535" spans="1:29">
      <c r="A4535" s="8" t="s">
        <v>5969</v>
      </c>
      <c r="B4535" s="17" t="s">
        <v>7759</v>
      </c>
      <c r="C4535" s="13">
        <v>40561</v>
      </c>
      <c r="D4535" s="13" t="s">
        <v>8465</v>
      </c>
      <c r="E4535" s="10" t="s">
        <v>231</v>
      </c>
      <c r="F4535" s="10" t="s">
        <v>1161</v>
      </c>
      <c r="G4535" s="11" t="s">
        <v>1162</v>
      </c>
      <c r="H4535" s="2" t="s">
        <v>171</v>
      </c>
      <c r="L4535" s="18">
        <v>1</v>
      </c>
      <c r="M4535" s="14" t="s">
        <v>8462</v>
      </c>
      <c r="N4535" s="13">
        <v>43534</v>
      </c>
      <c r="O4535" s="29">
        <v>3.75</v>
      </c>
      <c r="P4535" s="18" t="s">
        <v>14</v>
      </c>
      <c r="Q4535" s="18">
        <v>0</v>
      </c>
      <c r="U4535" s="22">
        <v>0.93</v>
      </c>
      <c r="V4535" s="22">
        <f>4.36/5</f>
        <v>0.87200000000000011</v>
      </c>
      <c r="X4535" s="3">
        <v>2</v>
      </c>
      <c r="Z4535" s="23">
        <v>24.5</v>
      </c>
      <c r="AB4535" s="18">
        <f t="shared" si="140"/>
        <v>2011</v>
      </c>
      <c r="AC4535" s="22">
        <f t="shared" si="141"/>
        <v>0.73399999999999999</v>
      </c>
    </row>
    <row r="4536" spans="1:29">
      <c r="A4536" s="8" t="s">
        <v>10218</v>
      </c>
      <c r="B4536" s="17" t="s">
        <v>7759</v>
      </c>
      <c r="C4536" s="13">
        <v>40561</v>
      </c>
      <c r="D4536" s="13" t="s">
        <v>8465</v>
      </c>
      <c r="E4536" s="10" t="s">
        <v>1082</v>
      </c>
      <c r="F4536" s="10" t="s">
        <v>5984</v>
      </c>
      <c r="H4536" s="2" t="s">
        <v>1168</v>
      </c>
      <c r="L4536" s="18">
        <v>0</v>
      </c>
      <c r="Q4536" s="18">
        <v>0</v>
      </c>
      <c r="U4536" s="22">
        <v>0.44</v>
      </c>
      <c r="V4536" s="22">
        <f>2.64/5</f>
        <v>0.52800000000000002</v>
      </c>
      <c r="X4536" s="3">
        <v>3</v>
      </c>
      <c r="Y4536" s="18">
        <v>1</v>
      </c>
      <c r="Z4536" s="23">
        <v>6.5</v>
      </c>
      <c r="AB4536" s="18">
        <f t="shared" si="140"/>
        <v>2011</v>
      </c>
      <c r="AC4536" s="22">
        <f t="shared" si="141"/>
        <v>0.52266666666666672</v>
      </c>
    </row>
    <row r="4537" spans="1:29" ht="30">
      <c r="A4537" s="8" t="s">
        <v>10878</v>
      </c>
      <c r="B4537" s="17" t="s">
        <v>7762</v>
      </c>
      <c r="C4537" s="13">
        <v>40556</v>
      </c>
      <c r="D4537" s="13" t="s">
        <v>8463</v>
      </c>
      <c r="E4537" s="10" t="s">
        <v>1509</v>
      </c>
      <c r="F4537" s="10" t="s">
        <v>1580</v>
      </c>
      <c r="G4537" s="11" t="s">
        <v>10874</v>
      </c>
      <c r="H4537" s="2" t="s">
        <v>1204</v>
      </c>
      <c r="K4537" s="18">
        <v>0</v>
      </c>
      <c r="L4537" s="18">
        <v>0</v>
      </c>
      <c r="Q4537" s="18">
        <v>0</v>
      </c>
      <c r="V4537" s="22">
        <f>3.74/5</f>
        <v>0.748</v>
      </c>
      <c r="X4537" s="3">
        <v>3</v>
      </c>
      <c r="Z4537" s="23">
        <v>5</v>
      </c>
      <c r="AB4537" s="18">
        <f t="shared" si="140"/>
        <v>2011</v>
      </c>
      <c r="AC4537" s="22">
        <f t="shared" si="141"/>
        <v>0.67399999999999993</v>
      </c>
    </row>
    <row r="4538" spans="1:29">
      <c r="A4538" s="8" t="s">
        <v>7258</v>
      </c>
      <c r="B4538" s="17" t="s">
        <v>7781</v>
      </c>
      <c r="C4538" s="13">
        <v>40556</v>
      </c>
      <c r="D4538" s="13" t="s">
        <v>8465</v>
      </c>
      <c r="E4538" s="10" t="s">
        <v>3272</v>
      </c>
      <c r="F4538" s="10" t="s">
        <v>7214</v>
      </c>
      <c r="G4538" s="11" t="s">
        <v>7257</v>
      </c>
      <c r="H4538" s="2" t="s">
        <v>56</v>
      </c>
      <c r="L4538" s="18">
        <v>0</v>
      </c>
      <c r="Q4538" s="18">
        <v>0</v>
      </c>
      <c r="V4538" s="22">
        <f>3.43/5</f>
        <v>0.68600000000000005</v>
      </c>
      <c r="W4538" s="15" t="str">
        <f>HYPERLINK("https://www.gameflare.com/online-game/give-up-robot-2/", "Link")</f>
        <v>Link</v>
      </c>
      <c r="X4538" s="3">
        <v>3</v>
      </c>
      <c r="Z4538" s="23">
        <v>1</v>
      </c>
      <c r="AB4538" s="18">
        <f t="shared" si="140"/>
        <v>2011</v>
      </c>
      <c r="AC4538" s="22">
        <f t="shared" si="141"/>
        <v>0.64300000000000002</v>
      </c>
    </row>
    <row r="4539" spans="1:29">
      <c r="A4539" s="8" t="s">
        <v>15206</v>
      </c>
      <c r="B4539" s="17" t="s">
        <v>7800</v>
      </c>
      <c r="C4539" s="13">
        <v>40555</v>
      </c>
      <c r="D4539" s="13" t="s">
        <v>8465</v>
      </c>
      <c r="E4539" s="10" t="s">
        <v>1047</v>
      </c>
      <c r="F4539" s="10" t="s">
        <v>15207</v>
      </c>
      <c r="H4539" s="2" t="s">
        <v>21</v>
      </c>
      <c r="L4539" s="18">
        <v>1</v>
      </c>
      <c r="N4539" s="13">
        <v>45097</v>
      </c>
      <c r="O4539" s="29">
        <v>2.4900000000000002</v>
      </c>
      <c r="P4539" s="18" t="s">
        <v>1107</v>
      </c>
      <c r="Q4539" s="18">
        <v>0</v>
      </c>
      <c r="U4539" s="22">
        <v>0.72</v>
      </c>
      <c r="V4539" s="22">
        <f>3.7/5</f>
        <v>0.74</v>
      </c>
      <c r="W4539" s="14" t="s">
        <v>7777</v>
      </c>
      <c r="X4539" s="3">
        <v>2</v>
      </c>
      <c r="Z4539" s="23">
        <v>1.5</v>
      </c>
      <c r="AB4539" s="18">
        <f t="shared" si="140"/>
        <v>2011</v>
      </c>
      <c r="AC4539" s="22">
        <f t="shared" si="141"/>
        <v>0.62</v>
      </c>
    </row>
    <row r="4540" spans="1:29" ht="38.25">
      <c r="A4540" s="8" t="s">
        <v>6223</v>
      </c>
      <c r="B4540" s="17" t="s">
        <v>7762</v>
      </c>
      <c r="C4540" s="13">
        <v>40554</v>
      </c>
      <c r="D4540" s="13" t="s">
        <v>8465</v>
      </c>
      <c r="E4540" s="10" t="s">
        <v>1062</v>
      </c>
      <c r="F4540" s="10" t="s">
        <v>2285</v>
      </c>
      <c r="G4540" s="11" t="s">
        <v>6266</v>
      </c>
      <c r="H4540" s="2" t="s">
        <v>56</v>
      </c>
      <c r="L4540" s="18">
        <v>0</v>
      </c>
      <c r="Q4540" s="18">
        <v>0</v>
      </c>
      <c r="U4540" s="22">
        <v>0.7</v>
      </c>
      <c r="V4540" s="22">
        <f>3.8/5</f>
        <v>0.76</v>
      </c>
      <c r="X4540" s="3">
        <v>3</v>
      </c>
      <c r="Z4540" s="23">
        <v>11</v>
      </c>
      <c r="AB4540" s="18">
        <f t="shared" si="140"/>
        <v>2011</v>
      </c>
      <c r="AC4540" s="22">
        <f t="shared" si="141"/>
        <v>0.68666666666666665</v>
      </c>
    </row>
    <row r="4541" spans="1:29" ht="25.5">
      <c r="A4541" s="8" t="s">
        <v>2187</v>
      </c>
      <c r="B4541" s="17" t="s">
        <v>7748</v>
      </c>
      <c r="C4541" s="13">
        <v>40554</v>
      </c>
      <c r="D4541" s="13" t="s">
        <v>8465</v>
      </c>
      <c r="E4541" s="10" t="s">
        <v>1082</v>
      </c>
      <c r="F4541" s="10" t="s">
        <v>1521</v>
      </c>
      <c r="G4541" s="11" t="s">
        <v>1957</v>
      </c>
      <c r="H4541" s="2" t="s">
        <v>171</v>
      </c>
      <c r="L4541" s="18">
        <v>0</v>
      </c>
      <c r="Q4541" s="18">
        <v>0</v>
      </c>
      <c r="U4541" s="22">
        <v>0.7</v>
      </c>
      <c r="V4541" s="22">
        <f>3.7/5</f>
        <v>0.74</v>
      </c>
      <c r="X4541" s="3">
        <v>3</v>
      </c>
      <c r="Z4541" s="23">
        <v>16</v>
      </c>
      <c r="AB4541" s="18">
        <f t="shared" si="140"/>
        <v>2011</v>
      </c>
      <c r="AC4541" s="22">
        <f t="shared" si="141"/>
        <v>0.68</v>
      </c>
    </row>
    <row r="4542" spans="1:29" ht="25.5">
      <c r="A4542" s="8" t="s">
        <v>2245</v>
      </c>
      <c r="B4542" s="17" t="s">
        <v>7748</v>
      </c>
      <c r="C4542" s="13">
        <v>40554</v>
      </c>
      <c r="D4542" s="13" t="s">
        <v>8465</v>
      </c>
      <c r="E4542" s="10" t="s">
        <v>73</v>
      </c>
      <c r="F4542" s="10" t="s">
        <v>73</v>
      </c>
      <c r="G4542" s="11" t="s">
        <v>2354</v>
      </c>
      <c r="H4542" s="2" t="s">
        <v>67</v>
      </c>
      <c r="L4542" s="18">
        <v>0</v>
      </c>
      <c r="Q4542" s="18">
        <v>0</v>
      </c>
      <c r="U4542" s="22">
        <v>0.85</v>
      </c>
      <c r="V4542" s="22">
        <f>4.29/5</f>
        <v>0.85799999999999998</v>
      </c>
      <c r="X4542" s="3">
        <v>2</v>
      </c>
      <c r="Z4542" s="23">
        <v>12</v>
      </c>
      <c r="AB4542" s="18">
        <f t="shared" si="140"/>
        <v>2011</v>
      </c>
      <c r="AC4542" s="22">
        <f t="shared" si="141"/>
        <v>0.70266666666666666</v>
      </c>
    </row>
    <row r="4543" spans="1:29" ht="25.5">
      <c r="A4543" s="8" t="s">
        <v>10890</v>
      </c>
      <c r="B4543" s="17" t="s">
        <v>7748</v>
      </c>
      <c r="C4543" s="13">
        <v>40549</v>
      </c>
      <c r="D4543" s="13" t="s">
        <v>8463</v>
      </c>
      <c r="E4543" s="10" t="s">
        <v>1082</v>
      </c>
      <c r="F4543" s="10" t="s">
        <v>161</v>
      </c>
      <c r="G4543" s="11" t="s">
        <v>9517</v>
      </c>
      <c r="H4543" s="2" t="s">
        <v>149</v>
      </c>
      <c r="K4543" s="18">
        <v>2</v>
      </c>
      <c r="L4543" s="18">
        <v>0</v>
      </c>
      <c r="Q4543" s="18">
        <v>0</v>
      </c>
      <c r="V4543" s="22">
        <f>4.04/5</f>
        <v>0.80800000000000005</v>
      </c>
      <c r="X4543" s="3">
        <v>3</v>
      </c>
      <c r="Z4543" s="23">
        <v>20</v>
      </c>
      <c r="AB4543" s="18">
        <f t="shared" si="140"/>
        <v>2011</v>
      </c>
      <c r="AC4543" s="22">
        <f t="shared" si="141"/>
        <v>0.70399999999999996</v>
      </c>
    </row>
    <row r="4544" spans="1:29">
      <c r="A4544" s="8" t="s">
        <v>1005</v>
      </c>
      <c r="B4544" s="17" t="s">
        <v>7741</v>
      </c>
      <c r="C4544" s="13">
        <v>40547</v>
      </c>
      <c r="D4544" s="13" t="s">
        <v>8465</v>
      </c>
      <c r="E4544" s="10" t="s">
        <v>62</v>
      </c>
      <c r="F4544" s="10" t="s">
        <v>62</v>
      </c>
      <c r="H4544" s="2" t="s">
        <v>64</v>
      </c>
      <c r="L4544" s="18">
        <v>0</v>
      </c>
      <c r="Q4544" s="18">
        <v>0</v>
      </c>
      <c r="U4544" s="22">
        <v>0.7</v>
      </c>
      <c r="V4544" s="22">
        <f>3.63/5</f>
        <v>0.72599999999999998</v>
      </c>
      <c r="X4544" s="3">
        <v>3</v>
      </c>
      <c r="Z4544" s="23">
        <v>12</v>
      </c>
      <c r="AB4544" s="18">
        <f t="shared" si="140"/>
        <v>2011</v>
      </c>
      <c r="AC4544" s="22">
        <f t="shared" si="141"/>
        <v>0.67533333333333323</v>
      </c>
    </row>
    <row r="4545" spans="1:29">
      <c r="A4545" s="8" t="s">
        <v>7122</v>
      </c>
      <c r="B4545" s="17" t="s">
        <v>7800</v>
      </c>
      <c r="C4545" s="12">
        <v>40544</v>
      </c>
      <c r="D4545" s="13" t="s">
        <v>8465</v>
      </c>
      <c r="E4545" s="10" t="s">
        <v>7211</v>
      </c>
      <c r="F4545" s="10" t="s">
        <v>7211</v>
      </c>
      <c r="H4545" s="2" t="s">
        <v>151</v>
      </c>
      <c r="L4545" s="18">
        <v>0</v>
      </c>
      <c r="Q4545" s="18">
        <v>0</v>
      </c>
      <c r="W4545" s="14" t="s">
        <v>5674</v>
      </c>
      <c r="X4545" s="3">
        <v>3</v>
      </c>
      <c r="Z4545" s="23">
        <v>1</v>
      </c>
      <c r="AB4545" s="18">
        <f t="shared" ref="AB4545:AB4608" si="142">IFERROR(YEAR(C4545), "Early Access")</f>
        <v>2011</v>
      </c>
      <c r="AC4545" s="22">
        <f t="shared" ref="AC4545:AC4608" si="143">AVERAGE(T4545, U4545, V4545, IF(ISBLANK(X4545), X4545, X4545/5))</f>
        <v>0.6</v>
      </c>
    </row>
    <row r="4546" spans="1:29" ht="25.5">
      <c r="A4546" s="8" t="s">
        <v>8448</v>
      </c>
      <c r="B4546" s="17" t="s">
        <v>7800</v>
      </c>
      <c r="C4546" s="24">
        <v>40544</v>
      </c>
      <c r="D4546" s="13" t="s">
        <v>8465</v>
      </c>
      <c r="E4546" s="10" t="s">
        <v>8449</v>
      </c>
      <c r="F4546" s="10" t="s">
        <v>8449</v>
      </c>
      <c r="H4546" s="2" t="s">
        <v>149</v>
      </c>
      <c r="L4546" s="18">
        <v>0</v>
      </c>
      <c r="Q4546" s="18">
        <v>0</v>
      </c>
      <c r="W4546" s="14" t="s">
        <v>5674</v>
      </c>
      <c r="X4546" s="3">
        <v>3</v>
      </c>
      <c r="AB4546" s="18">
        <f t="shared" si="142"/>
        <v>2011</v>
      </c>
      <c r="AC4546" s="22">
        <f t="shared" si="143"/>
        <v>0.6</v>
      </c>
    </row>
    <row r="4547" spans="1:29" ht="30">
      <c r="A4547" s="8" t="s">
        <v>2437</v>
      </c>
      <c r="B4547" s="17" t="s">
        <v>7749</v>
      </c>
      <c r="C4547" s="13">
        <v>40899</v>
      </c>
      <c r="D4547" s="13" t="s">
        <v>8465</v>
      </c>
      <c r="E4547" s="10" t="s">
        <v>1084</v>
      </c>
      <c r="F4547" s="10" t="s">
        <v>1084</v>
      </c>
      <c r="G4547" s="11" t="s">
        <v>9995</v>
      </c>
      <c r="H4547" s="2" t="s">
        <v>27</v>
      </c>
      <c r="L4547" s="18">
        <v>1</v>
      </c>
      <c r="N4547" s="13">
        <v>41364</v>
      </c>
      <c r="O4547" s="29">
        <v>5.99</v>
      </c>
      <c r="P4547" s="18" t="s">
        <v>1107</v>
      </c>
      <c r="Q4547" s="18">
        <v>1</v>
      </c>
      <c r="S4547" s="21">
        <v>3.42</v>
      </c>
      <c r="T4547" s="22">
        <v>0.8</v>
      </c>
      <c r="U4547" s="22">
        <v>0.8</v>
      </c>
      <c r="V4547" s="22">
        <f>3.86/5</f>
        <v>0.77200000000000002</v>
      </c>
      <c r="AB4547" s="18">
        <f t="shared" si="142"/>
        <v>2011</v>
      </c>
      <c r="AC4547" s="22">
        <f t="shared" si="143"/>
        <v>0.79066666666666663</v>
      </c>
    </row>
    <row r="4548" spans="1:29">
      <c r="A4548" s="8" t="s">
        <v>5661</v>
      </c>
      <c r="B4548" s="17" t="s">
        <v>7800</v>
      </c>
      <c r="C4548" s="13">
        <v>40886</v>
      </c>
      <c r="D4548" s="13" t="s">
        <v>8465</v>
      </c>
      <c r="E4548" s="10" t="s">
        <v>5696</v>
      </c>
      <c r="F4548" s="10" t="s">
        <v>5696</v>
      </c>
      <c r="H4548" s="2" t="s">
        <v>31</v>
      </c>
      <c r="L4548" s="18">
        <v>1</v>
      </c>
      <c r="P4548" s="18" t="s">
        <v>1107</v>
      </c>
      <c r="Q4548" s="18">
        <v>1</v>
      </c>
      <c r="T4548" s="22">
        <v>0.7</v>
      </c>
      <c r="W4548" s="14" t="s">
        <v>5675</v>
      </c>
      <c r="AB4548" s="18">
        <f t="shared" si="142"/>
        <v>2011</v>
      </c>
      <c r="AC4548" s="22">
        <f t="shared" si="143"/>
        <v>0.7</v>
      </c>
    </row>
    <row r="4549" spans="1:29">
      <c r="A4549" s="8" t="s">
        <v>1149</v>
      </c>
      <c r="B4549" s="17" t="s">
        <v>7749</v>
      </c>
      <c r="C4549" s="13">
        <v>40885</v>
      </c>
      <c r="D4549" s="13" t="s">
        <v>8465</v>
      </c>
      <c r="E4549" s="10" t="s">
        <v>86</v>
      </c>
      <c r="F4549" s="10" t="s">
        <v>1069</v>
      </c>
      <c r="G4549" s="11" t="s">
        <v>1149</v>
      </c>
      <c r="H4549" s="2" t="s">
        <v>78</v>
      </c>
      <c r="L4549" s="18">
        <v>1</v>
      </c>
      <c r="N4549" s="13">
        <v>41371</v>
      </c>
      <c r="O4549" s="29">
        <v>6.99</v>
      </c>
      <c r="P4549" s="18" t="s">
        <v>1107</v>
      </c>
      <c r="Q4549" s="18">
        <v>1</v>
      </c>
      <c r="R4549" s="13">
        <v>41500</v>
      </c>
      <c r="S4549" s="21">
        <v>12.63</v>
      </c>
      <c r="T4549" s="22">
        <v>0.8</v>
      </c>
      <c r="U4549" s="22">
        <v>0.92</v>
      </c>
      <c r="V4549" s="22">
        <f>4.01/5</f>
        <v>0.80199999999999994</v>
      </c>
      <c r="AB4549" s="18">
        <f t="shared" si="142"/>
        <v>2011</v>
      </c>
      <c r="AC4549" s="22">
        <f t="shared" si="143"/>
        <v>0.84066666666666678</v>
      </c>
    </row>
    <row r="4550" spans="1:29">
      <c r="A4550" s="8" t="s">
        <v>581</v>
      </c>
      <c r="B4550" s="17" t="s">
        <v>7783</v>
      </c>
      <c r="C4550" s="13">
        <v>40885</v>
      </c>
      <c r="D4550" s="13" t="s">
        <v>8465</v>
      </c>
      <c r="E4550" s="10" t="s">
        <v>1082</v>
      </c>
      <c r="F4550" s="10" t="s">
        <v>1082</v>
      </c>
      <c r="G4550" s="11" t="s">
        <v>1251</v>
      </c>
      <c r="H4550" s="2" t="s">
        <v>149</v>
      </c>
      <c r="L4550" s="18">
        <v>1</v>
      </c>
      <c r="N4550" s="13">
        <v>42362</v>
      </c>
      <c r="O4550" s="29">
        <v>4.99</v>
      </c>
      <c r="P4550" s="18" t="s">
        <v>1107</v>
      </c>
      <c r="Q4550" s="18">
        <v>1</v>
      </c>
      <c r="R4550" s="13">
        <v>43826</v>
      </c>
      <c r="S4550" s="21">
        <f>14+19/60</f>
        <v>14.316666666666666</v>
      </c>
      <c r="T4550" s="22">
        <v>0.75</v>
      </c>
      <c r="U4550" s="22">
        <v>0.69</v>
      </c>
      <c r="V4550" s="22">
        <f>4.31/5</f>
        <v>0.86199999999999988</v>
      </c>
      <c r="AB4550" s="18">
        <f t="shared" si="142"/>
        <v>2011</v>
      </c>
      <c r="AC4550" s="22">
        <f t="shared" si="143"/>
        <v>0.7673333333333332</v>
      </c>
    </row>
    <row r="4551" spans="1:29" ht="25.5">
      <c r="A4551" s="8" t="s">
        <v>3926</v>
      </c>
      <c r="B4551" s="17" t="s">
        <v>7800</v>
      </c>
      <c r="C4551" s="13">
        <v>40876</v>
      </c>
      <c r="D4551" s="13" t="s">
        <v>8465</v>
      </c>
      <c r="E4551" s="10" t="s">
        <v>3232</v>
      </c>
      <c r="F4551" s="10" t="s">
        <v>3232</v>
      </c>
      <c r="H4551" s="2" t="s">
        <v>1220</v>
      </c>
      <c r="L4551" s="18">
        <v>1</v>
      </c>
      <c r="N4551" s="13">
        <v>40879</v>
      </c>
      <c r="P4551" s="18" t="s">
        <v>1107</v>
      </c>
      <c r="Q4551" s="18">
        <v>1</v>
      </c>
      <c r="T4551" s="22">
        <v>0.8</v>
      </c>
      <c r="U4551" s="22">
        <v>0.8</v>
      </c>
      <c r="V4551" s="22">
        <f>3.34/5</f>
        <v>0.66799999999999993</v>
      </c>
      <c r="W4551" s="14" t="s">
        <v>7777</v>
      </c>
      <c r="AB4551" s="18">
        <f t="shared" si="142"/>
        <v>2011</v>
      </c>
      <c r="AC4551" s="22">
        <f t="shared" si="143"/>
        <v>0.75599999999999989</v>
      </c>
    </row>
    <row r="4552" spans="1:29" ht="25.5">
      <c r="A4552" s="8" t="s">
        <v>3226</v>
      </c>
      <c r="B4552" s="17" t="s">
        <v>7800</v>
      </c>
      <c r="C4552" s="13">
        <v>40876</v>
      </c>
      <c r="D4552" s="13" t="s">
        <v>8465</v>
      </c>
      <c r="E4552" s="10" t="s">
        <v>1047</v>
      </c>
      <c r="F4552" s="10" t="s">
        <v>1048</v>
      </c>
      <c r="G4552" s="11" t="s">
        <v>1563</v>
      </c>
      <c r="H4552" s="2" t="s">
        <v>80</v>
      </c>
      <c r="L4552" s="18">
        <v>1</v>
      </c>
      <c r="N4552" s="13">
        <v>41693</v>
      </c>
      <c r="O4552" s="29">
        <v>4.99</v>
      </c>
      <c r="P4552" s="18" t="s">
        <v>1107</v>
      </c>
      <c r="Q4552" s="18">
        <v>1</v>
      </c>
      <c r="R4552" s="13">
        <v>43666</v>
      </c>
      <c r="S4552" s="21">
        <v>10.55</v>
      </c>
      <c r="T4552" s="22">
        <v>0.7</v>
      </c>
      <c r="U4552" s="22">
        <v>0.75</v>
      </c>
      <c r="V4552" s="22">
        <f>3.75/5</f>
        <v>0.75</v>
      </c>
      <c r="W4552" s="14" t="s">
        <v>7777</v>
      </c>
      <c r="AB4552" s="18">
        <f t="shared" si="142"/>
        <v>2011</v>
      </c>
      <c r="AC4552" s="22">
        <f t="shared" si="143"/>
        <v>0.73333333333333339</v>
      </c>
    </row>
    <row r="4553" spans="1:29">
      <c r="A4553" s="8" t="s">
        <v>3427</v>
      </c>
      <c r="B4553" s="17" t="s">
        <v>7800</v>
      </c>
      <c r="C4553" s="13">
        <v>40869</v>
      </c>
      <c r="D4553" s="13" t="s">
        <v>8465</v>
      </c>
      <c r="E4553" s="10" t="s">
        <v>1578</v>
      </c>
      <c r="F4553" s="10" t="s">
        <v>1578</v>
      </c>
      <c r="G4553" s="11" t="s">
        <v>3428</v>
      </c>
      <c r="H4553" s="2" t="s">
        <v>151</v>
      </c>
      <c r="L4553" s="18">
        <v>1</v>
      </c>
      <c r="N4553" s="13">
        <v>40890</v>
      </c>
      <c r="P4553" s="18" t="s">
        <v>1107</v>
      </c>
      <c r="Q4553" s="18">
        <v>1</v>
      </c>
      <c r="S4553" s="21">
        <v>10.199999999999999</v>
      </c>
      <c r="T4553" s="22">
        <v>0.9</v>
      </c>
      <c r="U4553" s="22">
        <v>0.89</v>
      </c>
      <c r="V4553" s="22">
        <f>4.16/5</f>
        <v>0.83200000000000007</v>
      </c>
      <c r="W4553" s="14" t="s">
        <v>7777</v>
      </c>
      <c r="AB4553" s="18">
        <f t="shared" si="142"/>
        <v>2011</v>
      </c>
      <c r="AC4553" s="22">
        <f t="shared" si="143"/>
        <v>0.874</v>
      </c>
    </row>
    <row r="4554" spans="1:29">
      <c r="A4554" s="8" t="s">
        <v>7358</v>
      </c>
      <c r="B4554" s="17" t="s">
        <v>7783</v>
      </c>
      <c r="C4554" s="13">
        <v>40868</v>
      </c>
      <c r="D4554" s="13" t="s">
        <v>8465</v>
      </c>
      <c r="E4554" s="10" t="s">
        <v>7279</v>
      </c>
      <c r="F4554" s="10" t="s">
        <v>7279</v>
      </c>
      <c r="H4554" s="2" t="s">
        <v>1334</v>
      </c>
      <c r="L4554" s="18">
        <v>1</v>
      </c>
      <c r="N4554" s="13">
        <v>41270</v>
      </c>
      <c r="O4554" s="29">
        <v>1.99</v>
      </c>
      <c r="P4554" s="18" t="s">
        <v>1107</v>
      </c>
      <c r="Q4554" s="18">
        <v>1</v>
      </c>
      <c r="T4554" s="22">
        <v>0.8</v>
      </c>
      <c r="U4554" s="22">
        <v>0.7</v>
      </c>
      <c r="V4554" s="22">
        <f>4.23/5</f>
        <v>0.84600000000000009</v>
      </c>
      <c r="AB4554" s="18">
        <f t="shared" si="142"/>
        <v>2011</v>
      </c>
      <c r="AC4554" s="22">
        <f t="shared" si="143"/>
        <v>0.78200000000000003</v>
      </c>
    </row>
    <row r="4555" spans="1:29" ht="25.5">
      <c r="A4555" s="8" t="s">
        <v>974</v>
      </c>
      <c r="B4555" s="17" t="s">
        <v>7741</v>
      </c>
      <c r="C4555" s="13">
        <v>40867</v>
      </c>
      <c r="D4555" s="13" t="s">
        <v>8465</v>
      </c>
      <c r="E4555" s="10" t="s">
        <v>86</v>
      </c>
      <c r="F4555" s="10" t="s">
        <v>87</v>
      </c>
      <c r="G4555" s="11" t="s">
        <v>85</v>
      </c>
      <c r="H4555" s="2" t="s">
        <v>80</v>
      </c>
      <c r="L4555" s="18">
        <v>1</v>
      </c>
      <c r="M4555" s="14" t="s">
        <v>8462</v>
      </c>
      <c r="N4555" s="13">
        <v>43532</v>
      </c>
      <c r="O4555" s="29">
        <f>33+18.5</f>
        <v>51.5</v>
      </c>
      <c r="P4555" s="18" t="s">
        <v>14</v>
      </c>
      <c r="Q4555" s="18">
        <v>1</v>
      </c>
      <c r="T4555" s="22">
        <v>0.8</v>
      </c>
      <c r="U4555" s="22">
        <v>0.93</v>
      </c>
      <c r="V4555" s="22">
        <f>4.21/5</f>
        <v>0.84199999999999997</v>
      </c>
      <c r="W4555" s="14" t="s">
        <v>8464</v>
      </c>
      <c r="AB4555" s="18">
        <f t="shared" si="142"/>
        <v>2011</v>
      </c>
      <c r="AC4555" s="22">
        <f t="shared" si="143"/>
        <v>0.85733333333333339</v>
      </c>
    </row>
    <row r="4556" spans="1:29">
      <c r="A4556" s="8" t="s">
        <v>5660</v>
      </c>
      <c r="B4556" s="17" t="s">
        <v>7800</v>
      </c>
      <c r="C4556" s="13">
        <v>40865</v>
      </c>
      <c r="D4556" s="13" t="s">
        <v>8465</v>
      </c>
      <c r="E4556" s="10" t="s">
        <v>8711</v>
      </c>
      <c r="F4556" s="10" t="s">
        <v>8711</v>
      </c>
      <c r="G4556" s="11" t="s">
        <v>5660</v>
      </c>
      <c r="H4556" s="2" t="s">
        <v>67</v>
      </c>
      <c r="L4556" s="18">
        <v>1</v>
      </c>
      <c r="P4556" s="18" t="s">
        <v>1107</v>
      </c>
      <c r="Q4556" s="18">
        <v>1</v>
      </c>
      <c r="T4556" s="22">
        <v>1</v>
      </c>
      <c r="U4556" s="22">
        <v>0.93</v>
      </c>
      <c r="V4556" s="22">
        <f>4.3/5</f>
        <v>0.86</v>
      </c>
      <c r="W4556" s="14" t="s">
        <v>5677</v>
      </c>
      <c r="AB4556" s="18">
        <f t="shared" si="142"/>
        <v>2011</v>
      </c>
      <c r="AC4556" s="22">
        <f t="shared" si="143"/>
        <v>0.93</v>
      </c>
    </row>
    <row r="4557" spans="1:29">
      <c r="A4557" s="8" t="s">
        <v>4860</v>
      </c>
      <c r="B4557" s="17" t="s">
        <v>7800</v>
      </c>
      <c r="C4557" s="13">
        <v>40862</v>
      </c>
      <c r="D4557" s="13" t="s">
        <v>8465</v>
      </c>
      <c r="E4557" s="10" t="s">
        <v>4861</v>
      </c>
      <c r="F4557" s="10" t="s">
        <v>4861</v>
      </c>
      <c r="H4557" s="2" t="s">
        <v>27</v>
      </c>
      <c r="L4557" s="18">
        <v>1</v>
      </c>
      <c r="N4557" s="13">
        <v>41170</v>
      </c>
      <c r="P4557" s="18" t="s">
        <v>1107</v>
      </c>
      <c r="Q4557" s="18">
        <v>1</v>
      </c>
      <c r="S4557" s="21">
        <v>4.4000000000000004</v>
      </c>
      <c r="T4557" s="22">
        <v>0.8</v>
      </c>
      <c r="U4557" s="22">
        <v>0.78</v>
      </c>
      <c r="V4557" s="22">
        <f>3.38/5</f>
        <v>0.67599999999999993</v>
      </c>
      <c r="W4557" s="14" t="s">
        <v>7777</v>
      </c>
      <c r="AB4557" s="18">
        <f t="shared" si="142"/>
        <v>2011</v>
      </c>
      <c r="AC4557" s="22">
        <f t="shared" si="143"/>
        <v>0.75200000000000011</v>
      </c>
    </row>
    <row r="4558" spans="1:29">
      <c r="A4558" s="8" t="s">
        <v>4903</v>
      </c>
      <c r="B4558" s="17" t="s">
        <v>7800</v>
      </c>
      <c r="C4558" s="13">
        <v>40861</v>
      </c>
      <c r="D4558" s="13" t="s">
        <v>8465</v>
      </c>
      <c r="E4558" s="10" t="s">
        <v>1163</v>
      </c>
      <c r="F4558" s="10" t="s">
        <v>1655</v>
      </c>
      <c r="G4558" s="11" t="s">
        <v>1656</v>
      </c>
      <c r="H4558" s="2" t="s">
        <v>1168</v>
      </c>
      <c r="L4558" s="18">
        <v>1</v>
      </c>
      <c r="N4558" s="13">
        <v>41242</v>
      </c>
      <c r="P4558" s="18" t="s">
        <v>1107</v>
      </c>
      <c r="Q4558" s="18">
        <v>1</v>
      </c>
      <c r="R4558" s="13">
        <v>41824</v>
      </c>
      <c r="S4558" s="21">
        <v>19.07</v>
      </c>
      <c r="T4558" s="22">
        <v>0.9</v>
      </c>
      <c r="U4558" s="22">
        <v>0.86</v>
      </c>
      <c r="V4558" s="22">
        <f>3.94/5</f>
        <v>0.78800000000000003</v>
      </c>
      <c r="W4558" s="14" t="s">
        <v>7777</v>
      </c>
      <c r="AB4558" s="18">
        <f t="shared" si="142"/>
        <v>2011</v>
      </c>
      <c r="AC4558" s="22">
        <f t="shared" si="143"/>
        <v>0.84933333333333338</v>
      </c>
    </row>
    <row r="4559" spans="1:29">
      <c r="A4559" s="8" t="s">
        <v>2410</v>
      </c>
      <c r="B4559" s="17" t="s">
        <v>7749</v>
      </c>
      <c r="C4559" s="13">
        <v>40860</v>
      </c>
      <c r="D4559" s="13" t="s">
        <v>8465</v>
      </c>
      <c r="E4559" s="10" t="s">
        <v>86</v>
      </c>
      <c r="F4559" s="10" t="s">
        <v>1137</v>
      </c>
      <c r="G4559" s="11" t="s">
        <v>137</v>
      </c>
      <c r="H4559" s="2" t="s">
        <v>1040</v>
      </c>
      <c r="L4559" s="18">
        <v>1</v>
      </c>
      <c r="M4559" s="14" t="s">
        <v>8462</v>
      </c>
      <c r="N4559" s="13">
        <v>41848</v>
      </c>
      <c r="O4559" s="29">
        <v>26.84</v>
      </c>
      <c r="P4559" s="18" t="s">
        <v>14</v>
      </c>
      <c r="Q4559" s="18">
        <v>1</v>
      </c>
      <c r="R4559" s="13">
        <v>41855</v>
      </c>
      <c r="S4559" s="21">
        <v>6.83</v>
      </c>
      <c r="T4559" s="22">
        <v>0.9</v>
      </c>
      <c r="U4559" s="22">
        <v>0.9</v>
      </c>
      <c r="V4559" s="22">
        <f>4.12/5</f>
        <v>0.82400000000000007</v>
      </c>
      <c r="AB4559" s="18">
        <f t="shared" si="142"/>
        <v>2011</v>
      </c>
      <c r="AC4559" s="22">
        <f t="shared" si="143"/>
        <v>0.8746666666666667</v>
      </c>
    </row>
    <row r="4560" spans="1:29" ht="25.5">
      <c r="A4560" s="8" t="s">
        <v>1689</v>
      </c>
      <c r="B4560" s="17" t="s">
        <v>7765</v>
      </c>
      <c r="C4560" s="13">
        <v>40858</v>
      </c>
      <c r="D4560" s="13" t="s">
        <v>8465</v>
      </c>
      <c r="E4560" s="10" t="s">
        <v>1690</v>
      </c>
      <c r="F4560" s="10" t="s">
        <v>1690</v>
      </c>
      <c r="G4560" s="11" t="s">
        <v>1207</v>
      </c>
      <c r="H4560" s="2" t="s">
        <v>171</v>
      </c>
      <c r="L4560" s="18">
        <v>0</v>
      </c>
      <c r="Q4560" s="18">
        <v>1</v>
      </c>
      <c r="R4560" s="13">
        <v>41008</v>
      </c>
      <c r="T4560" s="22">
        <v>0.9</v>
      </c>
      <c r="U4560" s="22">
        <v>0.95</v>
      </c>
      <c r="V4560" s="22">
        <f>4.39/5</f>
        <v>0.87799999999999989</v>
      </c>
      <c r="AB4560" s="18">
        <f t="shared" si="142"/>
        <v>2011</v>
      </c>
      <c r="AC4560" s="22">
        <f t="shared" si="143"/>
        <v>0.90933333333333322</v>
      </c>
    </row>
    <row r="4561" spans="1:29" ht="25.5">
      <c r="A4561" s="8" t="s">
        <v>8588</v>
      </c>
      <c r="B4561" s="17" t="s">
        <v>7800</v>
      </c>
      <c r="C4561" s="13">
        <v>40855</v>
      </c>
      <c r="D4561" s="13" t="s">
        <v>8465</v>
      </c>
      <c r="E4561" s="10" t="s">
        <v>1273</v>
      </c>
      <c r="F4561" s="10" t="s">
        <v>3400</v>
      </c>
      <c r="G4561" s="11" t="s">
        <v>3401</v>
      </c>
      <c r="H4561" s="2" t="s">
        <v>1050</v>
      </c>
      <c r="L4561" s="18">
        <v>1</v>
      </c>
      <c r="N4561" s="13">
        <v>43939</v>
      </c>
      <c r="O4561" s="29">
        <v>15.67</v>
      </c>
      <c r="P4561" s="18" t="s">
        <v>1107</v>
      </c>
      <c r="Q4561" s="18">
        <v>1</v>
      </c>
      <c r="R4561" s="13">
        <v>45227</v>
      </c>
      <c r="S4561" s="21">
        <f>5+38/60</f>
        <v>5.6333333333333329</v>
      </c>
      <c r="T4561" s="22">
        <v>0.5</v>
      </c>
      <c r="U4561" s="22">
        <v>0.78</v>
      </c>
      <c r="V4561" s="22">
        <f>3.29/5</f>
        <v>0.65800000000000003</v>
      </c>
      <c r="W4561" s="14" t="s">
        <v>7777</v>
      </c>
      <c r="AB4561" s="18">
        <f t="shared" si="142"/>
        <v>2011</v>
      </c>
      <c r="AC4561" s="22">
        <f t="shared" si="143"/>
        <v>0.64600000000000002</v>
      </c>
    </row>
    <row r="4562" spans="1:29" ht="25.5">
      <c r="A4562" s="8" t="s">
        <v>6328</v>
      </c>
      <c r="B4562" s="17" t="s">
        <v>7765</v>
      </c>
      <c r="C4562" s="13">
        <v>40855</v>
      </c>
      <c r="D4562" s="13" t="s">
        <v>8465</v>
      </c>
      <c r="E4562" s="10" t="s">
        <v>72</v>
      </c>
      <c r="F4562" s="10" t="s">
        <v>1940</v>
      </c>
      <c r="G4562" s="11" t="s">
        <v>220</v>
      </c>
      <c r="H4562" s="2" t="s">
        <v>245</v>
      </c>
      <c r="L4562" s="18">
        <v>1</v>
      </c>
      <c r="N4562" s="13">
        <v>41364</v>
      </c>
      <c r="O4562" s="29">
        <v>19.989999999999998</v>
      </c>
      <c r="P4562" s="18" t="s">
        <v>1107</v>
      </c>
      <c r="Q4562" s="18">
        <v>1</v>
      </c>
      <c r="R4562" s="13">
        <v>41369</v>
      </c>
      <c r="T4562" s="22">
        <v>0.9</v>
      </c>
      <c r="V4562" s="22">
        <f>4.04/5</f>
        <v>0.80800000000000005</v>
      </c>
      <c r="AB4562" s="18">
        <f t="shared" si="142"/>
        <v>2011</v>
      </c>
      <c r="AC4562" s="22">
        <f t="shared" si="143"/>
        <v>0.85400000000000009</v>
      </c>
    </row>
    <row r="4563" spans="1:29">
      <c r="A4563" s="8" t="s">
        <v>3897</v>
      </c>
      <c r="B4563" s="17" t="s">
        <v>7800</v>
      </c>
      <c r="C4563" s="13">
        <v>40848</v>
      </c>
      <c r="D4563" s="13" t="s">
        <v>8465</v>
      </c>
      <c r="E4563" s="10" t="s">
        <v>3061</v>
      </c>
      <c r="F4563" s="10" t="s">
        <v>3061</v>
      </c>
      <c r="G4563" s="11" t="s">
        <v>3897</v>
      </c>
      <c r="H4563" s="2" t="s">
        <v>67</v>
      </c>
      <c r="L4563" s="18">
        <v>1</v>
      </c>
      <c r="N4563" s="13">
        <v>41201</v>
      </c>
      <c r="P4563" s="18" t="s">
        <v>1107</v>
      </c>
      <c r="Q4563" s="18">
        <v>1</v>
      </c>
      <c r="S4563" s="21">
        <v>3.8</v>
      </c>
      <c r="T4563" s="22">
        <v>0.9</v>
      </c>
      <c r="U4563" s="22">
        <v>0.83</v>
      </c>
      <c r="V4563" s="22">
        <f>4.14/5</f>
        <v>0.82799999999999996</v>
      </c>
      <c r="W4563" s="14" t="s">
        <v>7777</v>
      </c>
      <c r="AB4563" s="18">
        <f t="shared" si="142"/>
        <v>2011</v>
      </c>
      <c r="AC4563" s="22">
        <f t="shared" si="143"/>
        <v>0.85266666666666657</v>
      </c>
    </row>
    <row r="4564" spans="1:29">
      <c r="A4564" s="8" t="s">
        <v>7297</v>
      </c>
      <c r="B4564" s="17" t="s">
        <v>7783</v>
      </c>
      <c r="C4564" s="13">
        <v>40842</v>
      </c>
      <c r="D4564" s="13" t="s">
        <v>8465</v>
      </c>
      <c r="E4564" s="10" t="s">
        <v>5175</v>
      </c>
      <c r="F4564" s="10" t="s">
        <v>5175</v>
      </c>
      <c r="G4564" s="11" t="s">
        <v>7297</v>
      </c>
      <c r="H4564" s="2" t="s">
        <v>1170</v>
      </c>
      <c r="L4564" s="18">
        <v>1</v>
      </c>
      <c r="N4564" s="13">
        <v>41238</v>
      </c>
      <c r="O4564" s="29">
        <v>0.99</v>
      </c>
      <c r="P4564" s="18" t="s">
        <v>1107</v>
      </c>
      <c r="Q4564" s="18">
        <v>1</v>
      </c>
      <c r="R4564" s="13">
        <v>45115</v>
      </c>
      <c r="S4564" s="21">
        <f>51/60</f>
        <v>0.85</v>
      </c>
      <c r="T4564" s="22">
        <v>0.2</v>
      </c>
      <c r="U4564" s="22">
        <v>0.81</v>
      </c>
      <c r="V4564" s="22">
        <f>4.25/5</f>
        <v>0.85</v>
      </c>
      <c r="AB4564" s="18">
        <f t="shared" si="142"/>
        <v>2011</v>
      </c>
      <c r="AC4564" s="22">
        <f t="shared" si="143"/>
        <v>0.62</v>
      </c>
    </row>
    <row r="4565" spans="1:29">
      <c r="A4565" s="8" t="s">
        <v>4806</v>
      </c>
      <c r="B4565" s="17" t="s">
        <v>7800</v>
      </c>
      <c r="C4565" s="13">
        <v>40842</v>
      </c>
      <c r="D4565" s="13" t="s">
        <v>8465</v>
      </c>
      <c r="E4565" s="10" t="s">
        <v>455</v>
      </c>
      <c r="F4565" s="10" t="s">
        <v>4216</v>
      </c>
      <c r="H4565" s="2" t="s">
        <v>1054</v>
      </c>
      <c r="L4565" s="18">
        <v>1</v>
      </c>
      <c r="N4565" s="13">
        <v>41711</v>
      </c>
      <c r="P4565" s="18" t="s">
        <v>1107</v>
      </c>
      <c r="Q4565" s="18">
        <v>1</v>
      </c>
      <c r="R4565" s="13">
        <v>41712</v>
      </c>
      <c r="S4565" s="21">
        <v>3.8</v>
      </c>
      <c r="T4565" s="22">
        <v>0.8</v>
      </c>
      <c r="U4565" s="22">
        <v>0.77</v>
      </c>
      <c r="V4565" s="22">
        <f>3.33/5</f>
        <v>0.66600000000000004</v>
      </c>
      <c r="W4565" s="14" t="s">
        <v>7777</v>
      </c>
      <c r="AB4565" s="18">
        <f t="shared" si="142"/>
        <v>2011</v>
      </c>
      <c r="AC4565" s="22">
        <f t="shared" si="143"/>
        <v>0.7453333333333334</v>
      </c>
    </row>
    <row r="4566" spans="1:29">
      <c r="A4566" s="8" t="s">
        <v>3054</v>
      </c>
      <c r="B4566" s="17" t="s">
        <v>7800</v>
      </c>
      <c r="C4566" s="13">
        <v>40841</v>
      </c>
      <c r="D4566" s="13" t="s">
        <v>8465</v>
      </c>
      <c r="E4566" s="10" t="s">
        <v>3055</v>
      </c>
      <c r="F4566" s="10" t="s">
        <v>3055</v>
      </c>
      <c r="G4566" s="11" t="s">
        <v>3056</v>
      </c>
      <c r="H4566" s="2" t="s">
        <v>171</v>
      </c>
      <c r="L4566" s="18">
        <v>1</v>
      </c>
      <c r="N4566" s="13">
        <v>41592</v>
      </c>
      <c r="P4566" s="18" t="s">
        <v>1107</v>
      </c>
      <c r="Q4566" s="18">
        <v>1</v>
      </c>
      <c r="T4566" s="22">
        <v>0.7</v>
      </c>
      <c r="V4566" s="22">
        <f>2.96/5</f>
        <v>0.59199999999999997</v>
      </c>
      <c r="W4566" s="14" t="s">
        <v>7777</v>
      </c>
      <c r="AB4566" s="18">
        <f t="shared" si="142"/>
        <v>2011</v>
      </c>
      <c r="AC4566" s="22">
        <f t="shared" si="143"/>
        <v>0.64599999999999991</v>
      </c>
    </row>
    <row r="4567" spans="1:29" ht="45">
      <c r="A4567" s="8" t="s">
        <v>3265</v>
      </c>
      <c r="B4567" s="17" t="s">
        <v>7765</v>
      </c>
      <c r="C4567" s="13">
        <v>40834</v>
      </c>
      <c r="D4567" s="13" t="s">
        <v>8465</v>
      </c>
      <c r="E4567" s="10" t="s">
        <v>1156</v>
      </c>
      <c r="F4567" s="10" t="s">
        <v>3263</v>
      </c>
      <c r="G4567" s="11" t="s">
        <v>207</v>
      </c>
      <c r="H4567" s="2" t="s">
        <v>80</v>
      </c>
      <c r="L4567" s="18">
        <v>0</v>
      </c>
      <c r="Q4567" s="18">
        <v>1</v>
      </c>
      <c r="T4567" s="22">
        <v>0.8</v>
      </c>
      <c r="U4567" s="22">
        <v>0.94</v>
      </c>
      <c r="V4567" s="22">
        <f>4.26/5</f>
        <v>0.85199999999999998</v>
      </c>
      <c r="AB4567" s="18">
        <f t="shared" si="142"/>
        <v>2011</v>
      </c>
      <c r="AC4567" s="22">
        <f t="shared" si="143"/>
        <v>0.86399999999999999</v>
      </c>
    </row>
    <row r="4568" spans="1:29">
      <c r="A4568" s="8" t="s">
        <v>3731</v>
      </c>
      <c r="B4568" s="17" t="s">
        <v>7800</v>
      </c>
      <c r="C4568" s="13">
        <v>40834</v>
      </c>
      <c r="D4568" s="13" t="s">
        <v>8465</v>
      </c>
      <c r="E4568" s="10" t="s">
        <v>3732</v>
      </c>
      <c r="F4568" s="10" t="s">
        <v>3732</v>
      </c>
      <c r="G4568" s="11" t="s">
        <v>3731</v>
      </c>
      <c r="H4568" s="2" t="s">
        <v>1169</v>
      </c>
      <c r="L4568" s="18">
        <v>1</v>
      </c>
      <c r="N4568" s="13">
        <v>41107</v>
      </c>
      <c r="O4568" s="29">
        <v>3.74</v>
      </c>
      <c r="P4568" s="18" t="s">
        <v>1107</v>
      </c>
      <c r="Q4568" s="18">
        <v>1</v>
      </c>
      <c r="T4568" s="22">
        <v>0.9</v>
      </c>
      <c r="U4568" s="22">
        <v>0.83</v>
      </c>
      <c r="V4568" s="22">
        <f>3.79/5</f>
        <v>0.75800000000000001</v>
      </c>
      <c r="W4568" s="14" t="s">
        <v>7777</v>
      </c>
      <c r="AB4568" s="18">
        <f t="shared" si="142"/>
        <v>2011</v>
      </c>
      <c r="AC4568" s="22">
        <f t="shared" si="143"/>
        <v>0.82933333333333337</v>
      </c>
    </row>
    <row r="4569" spans="1:29" ht="38.25">
      <c r="A4569" s="8" t="s">
        <v>12887</v>
      </c>
      <c r="B4569" s="17" t="s">
        <v>7800</v>
      </c>
      <c r="C4569" s="13">
        <v>40834</v>
      </c>
      <c r="D4569" s="13" t="s">
        <v>8465</v>
      </c>
      <c r="E4569" s="10" t="s">
        <v>1082</v>
      </c>
      <c r="F4569" s="10" t="s">
        <v>3647</v>
      </c>
      <c r="G4569" s="11" t="s">
        <v>3645</v>
      </c>
      <c r="H4569" s="2" t="s">
        <v>245</v>
      </c>
      <c r="J4569" s="18">
        <v>1</v>
      </c>
      <c r="L4569" s="18">
        <v>1</v>
      </c>
      <c r="N4569" s="13">
        <v>41196</v>
      </c>
      <c r="P4569" s="18" t="s">
        <v>1107</v>
      </c>
      <c r="Q4569" s="18">
        <v>1</v>
      </c>
      <c r="R4569" s="13">
        <v>44869</v>
      </c>
      <c r="S4569" s="21">
        <f>3+20/60</f>
        <v>3.3333333333333335</v>
      </c>
      <c r="T4569" s="22">
        <v>0.7</v>
      </c>
      <c r="U4569" s="22">
        <v>0.73</v>
      </c>
      <c r="V4569" s="22">
        <f>3.72/5</f>
        <v>0.74399999999999999</v>
      </c>
      <c r="W4569" s="14" t="s">
        <v>7777</v>
      </c>
      <c r="AB4569" s="18">
        <f t="shared" si="142"/>
        <v>2011</v>
      </c>
      <c r="AC4569" s="22">
        <f t="shared" si="143"/>
        <v>0.72466666666666668</v>
      </c>
    </row>
    <row r="4570" spans="1:29" ht="45">
      <c r="A4570" s="8" t="s">
        <v>7339</v>
      </c>
      <c r="B4570" s="17" t="s">
        <v>7783</v>
      </c>
      <c r="C4570" s="13">
        <v>40827</v>
      </c>
      <c r="D4570" s="13" t="s">
        <v>8465</v>
      </c>
      <c r="E4570" s="10" t="s">
        <v>1156</v>
      </c>
      <c r="F4570" s="10" t="s">
        <v>2311</v>
      </c>
      <c r="G4570" s="11" t="s">
        <v>2212</v>
      </c>
      <c r="H4570" s="2" t="s">
        <v>78</v>
      </c>
      <c r="L4570" s="18">
        <v>1</v>
      </c>
      <c r="N4570" s="13">
        <v>41078</v>
      </c>
      <c r="O4570" s="29">
        <v>0.99</v>
      </c>
      <c r="P4570" s="18" t="s">
        <v>1107</v>
      </c>
      <c r="Q4570" s="18">
        <v>1</v>
      </c>
      <c r="T4570" s="22">
        <v>0.9</v>
      </c>
      <c r="U4570" s="22">
        <v>0.84</v>
      </c>
      <c r="V4570" s="22">
        <f>4.11/5</f>
        <v>0.82200000000000006</v>
      </c>
      <c r="AB4570" s="18">
        <f t="shared" si="142"/>
        <v>2011</v>
      </c>
      <c r="AC4570" s="22">
        <f t="shared" si="143"/>
        <v>0.85400000000000009</v>
      </c>
    </row>
    <row r="4571" spans="1:29">
      <c r="A4571" s="8" t="s">
        <v>1581</v>
      </c>
      <c r="B4571" s="17" t="s">
        <v>7765</v>
      </c>
      <c r="C4571" s="13">
        <v>40820</v>
      </c>
      <c r="D4571" s="13" t="s">
        <v>8465</v>
      </c>
      <c r="E4571" s="10" t="s">
        <v>1509</v>
      </c>
      <c r="F4571" s="10" t="s">
        <v>1580</v>
      </c>
      <c r="G4571" s="11" t="s">
        <v>3566</v>
      </c>
      <c r="H4571" s="2" t="s">
        <v>171</v>
      </c>
      <c r="L4571" s="18">
        <v>0</v>
      </c>
      <c r="Q4571" s="18">
        <v>1</v>
      </c>
      <c r="R4571" s="13">
        <v>41487</v>
      </c>
      <c r="S4571" s="21">
        <v>53</v>
      </c>
      <c r="T4571" s="22">
        <v>1</v>
      </c>
      <c r="U4571" s="22">
        <v>0.88</v>
      </c>
      <c r="V4571" s="22">
        <f>4.35/5</f>
        <v>0.86999999999999988</v>
      </c>
      <c r="AB4571" s="18">
        <f t="shared" si="142"/>
        <v>2011</v>
      </c>
      <c r="AC4571" s="22">
        <f t="shared" si="143"/>
        <v>0.91666666666666663</v>
      </c>
    </row>
    <row r="4572" spans="1:29" ht="38.25">
      <c r="A4572" s="8" t="s">
        <v>2445</v>
      </c>
      <c r="B4572" s="17" t="s">
        <v>8754</v>
      </c>
      <c r="C4572" s="13">
        <v>40814</v>
      </c>
      <c r="D4572" s="13" t="s">
        <v>8465</v>
      </c>
      <c r="E4572" s="10" t="s">
        <v>86</v>
      </c>
      <c r="F4572" s="10" t="s">
        <v>86</v>
      </c>
      <c r="G4572" s="11" t="s">
        <v>85</v>
      </c>
      <c r="H4572" s="2" t="s">
        <v>80</v>
      </c>
      <c r="L4572" s="18">
        <v>1</v>
      </c>
      <c r="N4572" s="13">
        <v>41669</v>
      </c>
      <c r="O4572" s="29">
        <v>0</v>
      </c>
      <c r="P4572" s="18" t="s">
        <v>1107</v>
      </c>
      <c r="Q4572" s="18">
        <v>1</v>
      </c>
      <c r="R4572" s="13">
        <v>41679</v>
      </c>
      <c r="T4572" s="22">
        <v>0.8</v>
      </c>
      <c r="U4572" s="22">
        <v>0.85</v>
      </c>
      <c r="V4572" s="22">
        <f>3.73/5</f>
        <v>0.746</v>
      </c>
      <c r="AB4572" s="18">
        <f t="shared" si="142"/>
        <v>2011</v>
      </c>
      <c r="AC4572" s="22">
        <f t="shared" si="143"/>
        <v>0.79866666666666664</v>
      </c>
    </row>
    <row r="4573" spans="1:29">
      <c r="A4573" s="8" t="s">
        <v>6306</v>
      </c>
      <c r="B4573" s="17" t="s">
        <v>7765</v>
      </c>
      <c r="C4573" s="13">
        <v>40806</v>
      </c>
      <c r="D4573" s="13" t="s">
        <v>8465</v>
      </c>
      <c r="E4573" s="10" t="s">
        <v>3116</v>
      </c>
      <c r="F4573" s="10" t="s">
        <v>6304</v>
      </c>
      <c r="G4573" s="11" t="s">
        <v>6303</v>
      </c>
      <c r="H4573" s="2" t="s">
        <v>1168</v>
      </c>
      <c r="L4573" s="18">
        <v>1</v>
      </c>
      <c r="M4573" s="14" t="s">
        <v>8462</v>
      </c>
      <c r="N4573" s="13">
        <v>43371</v>
      </c>
      <c r="O4573" s="29">
        <v>4.49</v>
      </c>
      <c r="P4573" s="18" t="s">
        <v>14</v>
      </c>
      <c r="Q4573" s="18">
        <v>1</v>
      </c>
      <c r="T4573" s="22">
        <v>0.8</v>
      </c>
      <c r="U4573" s="22">
        <v>0.91</v>
      </c>
      <c r="V4573" s="22">
        <f>4.21/5</f>
        <v>0.84199999999999997</v>
      </c>
      <c r="AB4573" s="18">
        <f t="shared" si="142"/>
        <v>2011</v>
      </c>
      <c r="AC4573" s="22">
        <f t="shared" si="143"/>
        <v>0.85066666666666668</v>
      </c>
    </row>
    <row r="4574" spans="1:29" ht="30">
      <c r="A4574" s="8" t="s">
        <v>5950</v>
      </c>
      <c r="B4574" s="17" t="s">
        <v>7759</v>
      </c>
      <c r="C4574" s="13">
        <v>40799</v>
      </c>
      <c r="D4574" s="13" t="s">
        <v>8465</v>
      </c>
      <c r="E4574" s="10" t="s">
        <v>2908</v>
      </c>
      <c r="F4574" s="10" t="s">
        <v>1555</v>
      </c>
      <c r="G4574" s="11" t="s">
        <v>5718</v>
      </c>
      <c r="H4574" s="2" t="s">
        <v>1059</v>
      </c>
      <c r="L4574" s="18">
        <v>1</v>
      </c>
      <c r="M4574" s="14" t="s">
        <v>8462</v>
      </c>
      <c r="N4574" s="13">
        <v>43485</v>
      </c>
      <c r="O4574" s="29">
        <v>12.99</v>
      </c>
      <c r="P4574" s="18" t="s">
        <v>14</v>
      </c>
      <c r="Q4574" s="18">
        <v>1</v>
      </c>
      <c r="R4574" s="13">
        <v>45102</v>
      </c>
      <c r="S4574" s="21">
        <f>3+45/60+51/3600+4+36/60+8/3600</f>
        <v>8.3663888888888884</v>
      </c>
      <c r="T4574" s="22">
        <v>0.7</v>
      </c>
      <c r="U4574" s="22">
        <v>0.87</v>
      </c>
      <c r="V4574" s="22">
        <f>4.17/5</f>
        <v>0.83399999999999996</v>
      </c>
      <c r="AB4574" s="18">
        <f t="shared" si="142"/>
        <v>2011</v>
      </c>
      <c r="AC4574" s="22">
        <f t="shared" si="143"/>
        <v>0.80133333333333334</v>
      </c>
    </row>
    <row r="4575" spans="1:29" ht="25.5">
      <c r="A4575" s="8" t="s">
        <v>3646</v>
      </c>
      <c r="B4575" s="17" t="s">
        <v>7800</v>
      </c>
      <c r="C4575" s="13">
        <v>40778</v>
      </c>
      <c r="D4575" s="13" t="s">
        <v>8465</v>
      </c>
      <c r="E4575" s="10" t="s">
        <v>1082</v>
      </c>
      <c r="F4575" s="10" t="s">
        <v>3647</v>
      </c>
      <c r="G4575" s="11" t="s">
        <v>3645</v>
      </c>
      <c r="H4575" s="2" t="s">
        <v>245</v>
      </c>
      <c r="L4575" s="18">
        <v>1</v>
      </c>
      <c r="N4575" s="13">
        <v>41196</v>
      </c>
      <c r="P4575" s="18" t="s">
        <v>1107</v>
      </c>
      <c r="Q4575" s="18">
        <v>1</v>
      </c>
      <c r="R4575" s="13">
        <v>44868</v>
      </c>
      <c r="S4575" s="21">
        <v>18</v>
      </c>
      <c r="T4575" s="22">
        <v>0.8</v>
      </c>
      <c r="U4575" s="22">
        <v>0.9</v>
      </c>
      <c r="V4575" s="22">
        <f>4.19/5</f>
        <v>0.83800000000000008</v>
      </c>
      <c r="W4575" s="14" t="s">
        <v>7777</v>
      </c>
      <c r="AB4575" s="18">
        <f t="shared" si="142"/>
        <v>2011</v>
      </c>
      <c r="AC4575" s="22">
        <f t="shared" si="143"/>
        <v>0.84600000000000009</v>
      </c>
    </row>
    <row r="4576" spans="1:29">
      <c r="A4576" s="8" t="s">
        <v>7304</v>
      </c>
      <c r="B4576" s="17" t="s">
        <v>7783</v>
      </c>
      <c r="C4576" s="13">
        <v>40778</v>
      </c>
      <c r="D4576" s="13" t="s">
        <v>8465</v>
      </c>
      <c r="E4576" s="10" t="s">
        <v>7279</v>
      </c>
      <c r="F4576" s="10" t="s">
        <v>7279</v>
      </c>
      <c r="H4576" s="2" t="s">
        <v>1334</v>
      </c>
      <c r="L4576" s="18">
        <v>1</v>
      </c>
      <c r="N4576" s="13">
        <v>41238</v>
      </c>
      <c r="O4576" s="29">
        <v>0.99</v>
      </c>
      <c r="P4576" s="18" t="s">
        <v>1107</v>
      </c>
      <c r="Q4576" s="18">
        <v>1</v>
      </c>
      <c r="T4576" s="22">
        <v>0.8</v>
      </c>
      <c r="U4576" s="22">
        <v>0.75</v>
      </c>
      <c r="V4576" s="22">
        <f>4.17/5</f>
        <v>0.83399999999999996</v>
      </c>
      <c r="AB4576" s="18">
        <f t="shared" si="142"/>
        <v>2011</v>
      </c>
      <c r="AC4576" s="22">
        <f t="shared" si="143"/>
        <v>0.79466666666666663</v>
      </c>
    </row>
    <row r="4577" spans="1:29">
      <c r="A4577" s="8" t="s">
        <v>3347</v>
      </c>
      <c r="B4577" s="17" t="s">
        <v>7800</v>
      </c>
      <c r="C4577" s="13">
        <v>40774</v>
      </c>
      <c r="D4577" s="13" t="s">
        <v>8465</v>
      </c>
      <c r="E4577" s="10" t="s">
        <v>3348</v>
      </c>
      <c r="F4577" s="10" t="s">
        <v>3348</v>
      </c>
      <c r="G4577" s="11" t="s">
        <v>3347</v>
      </c>
      <c r="H4577" s="2" t="s">
        <v>27</v>
      </c>
      <c r="L4577" s="18">
        <v>1</v>
      </c>
      <c r="N4577" s="13">
        <v>40859</v>
      </c>
      <c r="P4577" s="18" t="s">
        <v>1107</v>
      </c>
      <c r="Q4577" s="18">
        <v>1</v>
      </c>
      <c r="S4577" s="21">
        <v>4.22</v>
      </c>
      <c r="T4577" s="22">
        <v>0.8</v>
      </c>
      <c r="U4577" s="22">
        <v>0.75</v>
      </c>
      <c r="V4577" s="22">
        <f>3.33/5</f>
        <v>0.66600000000000004</v>
      </c>
      <c r="W4577" s="14" t="s">
        <v>7777</v>
      </c>
      <c r="AB4577" s="18">
        <f t="shared" si="142"/>
        <v>2011</v>
      </c>
      <c r="AC4577" s="22">
        <f t="shared" si="143"/>
        <v>0.73866666666666669</v>
      </c>
    </row>
    <row r="4578" spans="1:29">
      <c r="A4578" s="8" t="s">
        <v>3260</v>
      </c>
      <c r="B4578" s="17" t="s">
        <v>7800</v>
      </c>
      <c r="C4578" s="13">
        <v>40771</v>
      </c>
      <c r="D4578" s="13" t="s">
        <v>8465</v>
      </c>
      <c r="E4578" s="10" t="s">
        <v>3261</v>
      </c>
      <c r="F4578" s="10" t="s">
        <v>3261</v>
      </c>
      <c r="H4578" s="2" t="s">
        <v>171</v>
      </c>
      <c r="L4578" s="18">
        <v>1</v>
      </c>
      <c r="N4578" s="13">
        <v>41060</v>
      </c>
      <c r="P4578" s="18" t="s">
        <v>1107</v>
      </c>
      <c r="Q4578" s="18">
        <v>1</v>
      </c>
      <c r="S4578" s="21">
        <v>4.8</v>
      </c>
      <c r="T4578" s="22">
        <v>0.9</v>
      </c>
      <c r="U4578" s="22">
        <v>0.9</v>
      </c>
      <c r="V4578" s="22">
        <f>4.08/5</f>
        <v>0.81600000000000006</v>
      </c>
      <c r="W4578" s="14" t="s">
        <v>7777</v>
      </c>
      <c r="AB4578" s="18">
        <f t="shared" si="142"/>
        <v>2011</v>
      </c>
      <c r="AC4578" s="22">
        <f t="shared" si="143"/>
        <v>0.872</v>
      </c>
    </row>
    <row r="4579" spans="1:29">
      <c r="A4579" s="8" t="s">
        <v>7316</v>
      </c>
      <c r="B4579" s="17" t="s">
        <v>7783</v>
      </c>
      <c r="C4579" s="13">
        <v>40763</v>
      </c>
      <c r="D4579" s="13" t="s">
        <v>8465</v>
      </c>
      <c r="E4579" s="10" t="s">
        <v>7279</v>
      </c>
      <c r="F4579" s="10" t="s">
        <v>7279</v>
      </c>
      <c r="H4579" s="2" t="s">
        <v>1334</v>
      </c>
      <c r="L4579" s="18">
        <v>1</v>
      </c>
      <c r="N4579" s="13">
        <v>41238</v>
      </c>
      <c r="O4579" s="29">
        <v>0.99</v>
      </c>
      <c r="P4579" s="18" t="s">
        <v>1107</v>
      </c>
      <c r="Q4579" s="18">
        <v>1</v>
      </c>
      <c r="T4579" s="22">
        <v>0.8</v>
      </c>
      <c r="U4579" s="22">
        <v>0.8</v>
      </c>
      <c r="V4579" s="22">
        <f>4.31/5</f>
        <v>0.86199999999999988</v>
      </c>
      <c r="AB4579" s="18">
        <f t="shared" si="142"/>
        <v>2011</v>
      </c>
      <c r="AC4579" s="22">
        <f t="shared" si="143"/>
        <v>0.82066666666666654</v>
      </c>
    </row>
    <row r="4580" spans="1:29">
      <c r="A4580" s="8" t="s">
        <v>5464</v>
      </c>
      <c r="B4580" s="17" t="s">
        <v>7800</v>
      </c>
      <c r="C4580" s="13">
        <v>40763</v>
      </c>
      <c r="D4580" s="13" t="s">
        <v>8465</v>
      </c>
      <c r="E4580" s="10" t="s">
        <v>5465</v>
      </c>
      <c r="F4580" s="10" t="s">
        <v>5465</v>
      </c>
      <c r="H4580" s="2" t="s">
        <v>67</v>
      </c>
      <c r="L4580" s="18">
        <v>1</v>
      </c>
      <c r="N4580" s="13">
        <v>41092</v>
      </c>
      <c r="P4580" s="18" t="s">
        <v>1107</v>
      </c>
      <c r="Q4580" s="18">
        <v>1</v>
      </c>
      <c r="S4580" s="21">
        <v>0.3</v>
      </c>
      <c r="T4580" s="22">
        <v>0.4</v>
      </c>
      <c r="U4580" s="22">
        <v>0.65</v>
      </c>
      <c r="V4580" s="22">
        <f>2.88/5</f>
        <v>0.57599999999999996</v>
      </c>
      <c r="W4580" s="14" t="s">
        <v>7777</v>
      </c>
      <c r="AB4580" s="18">
        <f t="shared" si="142"/>
        <v>2011</v>
      </c>
      <c r="AC4580" s="22">
        <f t="shared" si="143"/>
        <v>0.54199999999999993</v>
      </c>
    </row>
    <row r="4581" spans="1:29">
      <c r="A4581" s="8" t="s">
        <v>1413</v>
      </c>
      <c r="B4581" s="17" t="s">
        <v>7749</v>
      </c>
      <c r="C4581" s="13">
        <v>40758</v>
      </c>
      <c r="D4581" s="13" t="s">
        <v>8465</v>
      </c>
      <c r="E4581" s="10" t="s">
        <v>86</v>
      </c>
      <c r="F4581" s="10" t="s">
        <v>86</v>
      </c>
      <c r="G4581" s="11" t="s">
        <v>1413</v>
      </c>
      <c r="H4581" s="2" t="s">
        <v>78</v>
      </c>
      <c r="L4581" s="18">
        <v>1</v>
      </c>
      <c r="N4581" s="13">
        <v>44627</v>
      </c>
      <c r="O4581" s="29">
        <v>3.99</v>
      </c>
      <c r="P4581" s="18" t="s">
        <v>1107</v>
      </c>
      <c r="Q4581" s="18">
        <v>1</v>
      </c>
      <c r="R4581" s="13">
        <v>44638</v>
      </c>
      <c r="S4581" s="21">
        <f>17+26/60</f>
        <v>17.433333333333334</v>
      </c>
      <c r="T4581" s="22">
        <v>0.75</v>
      </c>
      <c r="V4581" s="22">
        <f>3.84/5</f>
        <v>0.76800000000000002</v>
      </c>
      <c r="AB4581" s="18">
        <f t="shared" si="142"/>
        <v>2011</v>
      </c>
      <c r="AC4581" s="22">
        <f t="shared" si="143"/>
        <v>0.75900000000000001</v>
      </c>
    </row>
    <row r="4582" spans="1:29">
      <c r="A4582" s="8" t="s">
        <v>4329</v>
      </c>
      <c r="B4582" s="17" t="s">
        <v>7800</v>
      </c>
      <c r="C4582" s="13">
        <v>40757</v>
      </c>
      <c r="D4582" s="13" t="s">
        <v>8465</v>
      </c>
      <c r="E4582" s="10" t="s">
        <v>4185</v>
      </c>
      <c r="F4582" s="10" t="s">
        <v>4185</v>
      </c>
      <c r="H4582" s="2" t="s">
        <v>27</v>
      </c>
      <c r="L4582" s="18">
        <v>1</v>
      </c>
      <c r="N4582" s="13">
        <v>41060</v>
      </c>
      <c r="P4582" s="18" t="s">
        <v>1107</v>
      </c>
      <c r="Q4582" s="18">
        <v>1</v>
      </c>
      <c r="S4582" s="21">
        <v>3.2</v>
      </c>
      <c r="T4582" s="22">
        <v>0.8</v>
      </c>
      <c r="U4582" s="22">
        <v>0.88</v>
      </c>
      <c r="V4582" s="22">
        <f>3.78/5</f>
        <v>0.75600000000000001</v>
      </c>
      <c r="W4582" s="14" t="s">
        <v>7777</v>
      </c>
      <c r="AB4582" s="18">
        <f t="shared" si="142"/>
        <v>2011</v>
      </c>
      <c r="AC4582" s="22">
        <f t="shared" si="143"/>
        <v>0.81199999999999994</v>
      </c>
    </row>
    <row r="4583" spans="1:29" ht="30">
      <c r="A4583" s="8" t="s">
        <v>6433</v>
      </c>
      <c r="B4583" s="17" t="s">
        <v>7765</v>
      </c>
      <c r="C4583" s="13">
        <v>40745</v>
      </c>
      <c r="D4583" s="13" t="s">
        <v>8465</v>
      </c>
      <c r="E4583" s="10" t="s">
        <v>6486</v>
      </c>
      <c r="F4583" s="10" t="s">
        <v>6486</v>
      </c>
      <c r="H4583" s="2" t="s">
        <v>64</v>
      </c>
      <c r="L4583" s="18">
        <v>1</v>
      </c>
      <c r="Q4583" s="18">
        <v>1</v>
      </c>
      <c r="R4583" s="13">
        <v>41626</v>
      </c>
      <c r="S4583" s="21">
        <v>0.95</v>
      </c>
      <c r="T4583" s="22">
        <v>0.6</v>
      </c>
      <c r="U4583" s="22">
        <v>0.85</v>
      </c>
      <c r="V4583" s="22">
        <f>3.86/5</f>
        <v>0.77200000000000002</v>
      </c>
      <c r="W4583" s="14" t="s">
        <v>6487</v>
      </c>
      <c r="AB4583" s="18">
        <f t="shared" si="142"/>
        <v>2011</v>
      </c>
      <c r="AC4583" s="22">
        <f t="shared" si="143"/>
        <v>0.7406666666666667</v>
      </c>
    </row>
    <row r="4584" spans="1:29">
      <c r="A4584" s="8" t="s">
        <v>5653</v>
      </c>
      <c r="B4584" s="17" t="s">
        <v>7800</v>
      </c>
      <c r="C4584" s="13">
        <v>40742</v>
      </c>
      <c r="D4584" s="13" t="s">
        <v>8465</v>
      </c>
      <c r="E4584" s="10" t="s">
        <v>4459</v>
      </c>
      <c r="F4584" s="10" t="s">
        <v>4459</v>
      </c>
      <c r="H4584" s="2" t="s">
        <v>27</v>
      </c>
      <c r="L4584" s="18">
        <v>1</v>
      </c>
      <c r="P4584" s="18" t="s">
        <v>1107</v>
      </c>
      <c r="Q4584" s="18">
        <v>1</v>
      </c>
      <c r="T4584" s="22">
        <v>0.8</v>
      </c>
      <c r="U4584" s="22">
        <v>0.8</v>
      </c>
      <c r="V4584" s="22">
        <f>2.61/5</f>
        <v>0.52200000000000002</v>
      </c>
      <c r="W4584" s="14" t="s">
        <v>5675</v>
      </c>
      <c r="AB4584" s="18">
        <f t="shared" si="142"/>
        <v>2011</v>
      </c>
      <c r="AC4584" s="22">
        <f t="shared" si="143"/>
        <v>0.70733333333333326</v>
      </c>
    </row>
    <row r="4585" spans="1:29">
      <c r="A4585" s="8" t="s">
        <v>7276</v>
      </c>
      <c r="B4585" s="17" t="s">
        <v>7783</v>
      </c>
      <c r="C4585" s="13">
        <v>40739</v>
      </c>
      <c r="D4585" s="13" t="s">
        <v>8465</v>
      </c>
      <c r="E4585" s="10" t="s">
        <v>7277</v>
      </c>
      <c r="F4585" s="10" t="s">
        <v>7277</v>
      </c>
      <c r="H4585" s="2" t="s">
        <v>64</v>
      </c>
      <c r="L4585" s="18">
        <v>1</v>
      </c>
      <c r="N4585" s="13">
        <v>41283</v>
      </c>
      <c r="O4585" s="29">
        <v>0</v>
      </c>
      <c r="P4585" s="18" t="s">
        <v>1107</v>
      </c>
      <c r="Q4585" s="18">
        <v>1</v>
      </c>
      <c r="T4585" s="22">
        <v>0.5</v>
      </c>
      <c r="U4585" s="22">
        <v>0.8</v>
      </c>
      <c r="V4585" s="22">
        <f>3.17/5</f>
        <v>0.63400000000000001</v>
      </c>
      <c r="AB4585" s="18">
        <f t="shared" si="142"/>
        <v>2011</v>
      </c>
      <c r="AC4585" s="22">
        <f t="shared" si="143"/>
        <v>0.64466666666666672</v>
      </c>
    </row>
    <row r="4586" spans="1:29" ht="30">
      <c r="A4586" s="8" t="s">
        <v>3528</v>
      </c>
      <c r="B4586" s="17" t="s">
        <v>7800</v>
      </c>
      <c r="C4586" s="13">
        <v>40737</v>
      </c>
      <c r="D4586" s="13" t="s">
        <v>8465</v>
      </c>
      <c r="E4586" s="10" t="s">
        <v>3366</v>
      </c>
      <c r="F4586" s="10" t="s">
        <v>3366</v>
      </c>
      <c r="G4586" s="11" t="s">
        <v>3528</v>
      </c>
      <c r="H4586" s="2" t="s">
        <v>149</v>
      </c>
      <c r="L4586" s="18">
        <v>1</v>
      </c>
      <c r="N4586" s="13">
        <v>40876</v>
      </c>
      <c r="P4586" s="18" t="s">
        <v>1107</v>
      </c>
      <c r="Q4586" s="18">
        <v>1</v>
      </c>
      <c r="R4586" s="13">
        <v>41748</v>
      </c>
      <c r="S4586" s="21">
        <v>5.42</v>
      </c>
      <c r="T4586" s="22">
        <v>0.7</v>
      </c>
      <c r="U4586" s="22">
        <v>0.78</v>
      </c>
      <c r="V4586" s="22">
        <f>3.73/5</f>
        <v>0.746</v>
      </c>
      <c r="W4586" s="14" t="s">
        <v>7777</v>
      </c>
      <c r="AB4586" s="18">
        <f t="shared" si="142"/>
        <v>2011</v>
      </c>
      <c r="AC4586" s="22">
        <f t="shared" si="143"/>
        <v>0.74199999999999999</v>
      </c>
    </row>
    <row r="4587" spans="1:29">
      <c r="A4587" s="8" t="s">
        <v>4758</v>
      </c>
      <c r="B4587" s="17" t="s">
        <v>7800</v>
      </c>
      <c r="C4587" s="13">
        <v>40724</v>
      </c>
      <c r="D4587" s="13" t="s">
        <v>8465</v>
      </c>
      <c r="E4587" s="10" t="s">
        <v>3246</v>
      </c>
      <c r="F4587" s="10" t="s">
        <v>3246</v>
      </c>
      <c r="G4587" s="11" t="s">
        <v>4520</v>
      </c>
      <c r="H4587" s="2" t="s">
        <v>67</v>
      </c>
      <c r="L4587" s="18">
        <v>1</v>
      </c>
      <c r="N4587" s="13">
        <v>41424</v>
      </c>
      <c r="P4587" s="18" t="s">
        <v>1107</v>
      </c>
      <c r="Q4587" s="18">
        <v>1</v>
      </c>
      <c r="T4587" s="22">
        <v>0.8</v>
      </c>
      <c r="U4587" s="22">
        <v>0.67</v>
      </c>
      <c r="V4587" s="22">
        <f>3.46/5</f>
        <v>0.69199999999999995</v>
      </c>
      <c r="W4587" s="14" t="s">
        <v>7777</v>
      </c>
      <c r="AB4587" s="18">
        <f t="shared" si="142"/>
        <v>2011</v>
      </c>
      <c r="AC4587" s="22">
        <f t="shared" si="143"/>
        <v>0.72066666666666668</v>
      </c>
    </row>
    <row r="4588" spans="1:29" ht="25.5">
      <c r="A4588" s="8" t="s">
        <v>2416</v>
      </c>
      <c r="B4588" s="17" t="s">
        <v>7749</v>
      </c>
      <c r="C4588" s="13">
        <v>40713</v>
      </c>
      <c r="D4588" s="13" t="s">
        <v>8465</v>
      </c>
      <c r="E4588" s="10" t="s">
        <v>86</v>
      </c>
      <c r="F4588" s="10" t="s">
        <v>2453</v>
      </c>
      <c r="G4588" s="11" t="s">
        <v>85</v>
      </c>
      <c r="H4588" s="2" t="s">
        <v>80</v>
      </c>
      <c r="L4588" s="18">
        <v>1</v>
      </c>
      <c r="M4588" s="14" t="s">
        <v>8462</v>
      </c>
      <c r="P4588" s="18" t="s">
        <v>14</v>
      </c>
      <c r="Q4588" s="18">
        <v>1</v>
      </c>
      <c r="S4588" s="21">
        <v>21.7</v>
      </c>
      <c r="T4588" s="22">
        <v>1</v>
      </c>
      <c r="U4588" s="22">
        <v>0.94</v>
      </c>
      <c r="V4588" s="22">
        <f>4.54/5</f>
        <v>0.90800000000000003</v>
      </c>
      <c r="AB4588" s="18">
        <f t="shared" si="142"/>
        <v>2011</v>
      </c>
      <c r="AC4588" s="22">
        <f t="shared" si="143"/>
        <v>0.94933333333333325</v>
      </c>
    </row>
    <row r="4589" spans="1:29">
      <c r="A4589" s="8" t="s">
        <v>5056</v>
      </c>
      <c r="B4589" s="17" t="s">
        <v>7800</v>
      </c>
      <c r="C4589" s="13">
        <v>40711</v>
      </c>
      <c r="D4589" s="13" t="s">
        <v>8465</v>
      </c>
      <c r="E4589" s="10" t="s">
        <v>5057</v>
      </c>
      <c r="F4589" s="10" t="s">
        <v>5057</v>
      </c>
      <c r="G4589" s="11" t="s">
        <v>5058</v>
      </c>
      <c r="H4589" s="2" t="s">
        <v>1334</v>
      </c>
      <c r="L4589" s="18">
        <v>1</v>
      </c>
      <c r="N4589" s="13">
        <v>41338</v>
      </c>
      <c r="P4589" s="18" t="s">
        <v>1107</v>
      </c>
      <c r="Q4589" s="18">
        <v>1</v>
      </c>
      <c r="S4589" s="21">
        <v>3.4</v>
      </c>
      <c r="T4589" s="22">
        <v>0.8</v>
      </c>
      <c r="U4589" s="22">
        <v>0.73</v>
      </c>
      <c r="V4589" s="22">
        <f>3.48/5</f>
        <v>0.69599999999999995</v>
      </c>
      <c r="W4589" s="14" t="s">
        <v>7777</v>
      </c>
      <c r="AB4589" s="18">
        <f t="shared" si="142"/>
        <v>2011</v>
      </c>
      <c r="AC4589" s="22">
        <f t="shared" si="143"/>
        <v>0.74199999999999999</v>
      </c>
    </row>
    <row r="4590" spans="1:29" ht="30">
      <c r="A4590" s="8" t="s">
        <v>5652</v>
      </c>
      <c r="B4590" s="17" t="s">
        <v>7800</v>
      </c>
      <c r="C4590" s="13">
        <v>40709</v>
      </c>
      <c r="D4590" s="13" t="s">
        <v>8465</v>
      </c>
      <c r="E4590" s="10" t="s">
        <v>5705</v>
      </c>
      <c r="F4590" s="10" t="s">
        <v>5705</v>
      </c>
      <c r="H4590" s="2" t="s">
        <v>2820</v>
      </c>
      <c r="L4590" s="18">
        <v>1</v>
      </c>
      <c r="O4590" s="29">
        <v>0</v>
      </c>
      <c r="P4590" s="18" t="s">
        <v>1107</v>
      </c>
      <c r="Q4590" s="18">
        <v>1</v>
      </c>
      <c r="T4590" s="22">
        <v>0.6</v>
      </c>
      <c r="V4590" s="22">
        <f>3.78/5</f>
        <v>0.75600000000000001</v>
      </c>
      <c r="W4590" s="14" t="s">
        <v>7777</v>
      </c>
      <c r="AB4590" s="18">
        <f t="shared" si="142"/>
        <v>2011</v>
      </c>
      <c r="AC4590" s="22">
        <f t="shared" si="143"/>
        <v>0.67799999999999994</v>
      </c>
    </row>
    <row r="4591" spans="1:29">
      <c r="A4591" s="8" t="s">
        <v>4195</v>
      </c>
      <c r="B4591" s="17" t="s">
        <v>7800</v>
      </c>
      <c r="C4591" s="13">
        <v>40702</v>
      </c>
      <c r="D4591" s="13" t="s">
        <v>8465</v>
      </c>
      <c r="E4591" s="10" t="s">
        <v>4196</v>
      </c>
      <c r="F4591" s="10" t="s">
        <v>4196</v>
      </c>
      <c r="H4591" s="2" t="s">
        <v>21</v>
      </c>
      <c r="L4591" s="18">
        <v>1</v>
      </c>
      <c r="N4591" s="13">
        <v>40890</v>
      </c>
      <c r="P4591" s="18" t="s">
        <v>1107</v>
      </c>
      <c r="Q4591" s="18">
        <v>1</v>
      </c>
      <c r="S4591" s="21">
        <v>2.35</v>
      </c>
      <c r="T4591" s="22">
        <v>0.8</v>
      </c>
      <c r="U4591" s="22">
        <v>0.81</v>
      </c>
      <c r="V4591" s="22">
        <f>3.73/5</f>
        <v>0.746</v>
      </c>
      <c r="W4591" s="14" t="s">
        <v>7777</v>
      </c>
      <c r="AB4591" s="18">
        <f t="shared" si="142"/>
        <v>2011</v>
      </c>
      <c r="AC4591" s="22">
        <f t="shared" si="143"/>
        <v>0.78533333333333333</v>
      </c>
    </row>
    <row r="4592" spans="1:29" ht="25.5">
      <c r="A4592" s="8" t="s">
        <v>4795</v>
      </c>
      <c r="B4592" s="17" t="s">
        <v>7800</v>
      </c>
      <c r="C4592" s="13">
        <v>40700</v>
      </c>
      <c r="D4592" s="13" t="s">
        <v>8465</v>
      </c>
      <c r="E4592" s="10" t="s">
        <v>1342</v>
      </c>
      <c r="F4592" s="10" t="s">
        <v>1655</v>
      </c>
      <c r="G4592" s="11" t="s">
        <v>1646</v>
      </c>
      <c r="H4592" s="2" t="s">
        <v>1168</v>
      </c>
      <c r="L4592" s="18">
        <v>1</v>
      </c>
      <c r="N4592" s="13">
        <v>41242</v>
      </c>
      <c r="P4592" s="18" t="s">
        <v>1107</v>
      </c>
      <c r="Q4592" s="18">
        <v>1</v>
      </c>
      <c r="T4592" s="22">
        <v>0.7</v>
      </c>
      <c r="U4592" s="22">
        <v>0.76</v>
      </c>
      <c r="V4592" s="22">
        <f>3.28/5</f>
        <v>0.65599999999999992</v>
      </c>
      <c r="W4592" s="14" t="s">
        <v>7777</v>
      </c>
      <c r="AB4592" s="18">
        <f t="shared" si="142"/>
        <v>2011</v>
      </c>
      <c r="AC4592" s="22">
        <f t="shared" si="143"/>
        <v>0.70533333333333326</v>
      </c>
    </row>
    <row r="4593" spans="1:29">
      <c r="A4593" s="8" t="s">
        <v>5667</v>
      </c>
      <c r="B4593" s="17" t="s">
        <v>7800</v>
      </c>
      <c r="C4593" s="13">
        <v>40695</v>
      </c>
      <c r="D4593" s="13" t="s">
        <v>8465</v>
      </c>
      <c r="E4593" s="10" t="s">
        <v>5700</v>
      </c>
      <c r="F4593" s="10" t="s">
        <v>5700</v>
      </c>
      <c r="H4593" s="2" t="s">
        <v>64</v>
      </c>
      <c r="L4593" s="18">
        <v>1</v>
      </c>
      <c r="P4593" s="18" t="s">
        <v>1107</v>
      </c>
      <c r="Q4593" s="18">
        <v>1</v>
      </c>
      <c r="R4593" s="13">
        <v>41497</v>
      </c>
      <c r="T4593" s="22">
        <v>0.6</v>
      </c>
      <c r="V4593" s="22">
        <f>3.6/5</f>
        <v>0.72</v>
      </c>
      <c r="W4593" s="14" t="s">
        <v>5675</v>
      </c>
      <c r="AB4593" s="18">
        <f t="shared" si="142"/>
        <v>2011</v>
      </c>
      <c r="AC4593" s="22">
        <f t="shared" si="143"/>
        <v>0.65999999999999992</v>
      </c>
    </row>
    <row r="4594" spans="1:29">
      <c r="A4594" s="8" t="s">
        <v>5663</v>
      </c>
      <c r="B4594" s="17" t="s">
        <v>7800</v>
      </c>
      <c r="C4594" s="13">
        <v>40679</v>
      </c>
      <c r="D4594" s="13" t="s">
        <v>8465</v>
      </c>
      <c r="E4594" s="10" t="s">
        <v>5707</v>
      </c>
      <c r="F4594" s="10" t="s">
        <v>5707</v>
      </c>
      <c r="G4594" s="11" t="s">
        <v>5663</v>
      </c>
      <c r="H4594" s="2" t="s">
        <v>67</v>
      </c>
      <c r="L4594" s="18">
        <v>1</v>
      </c>
      <c r="N4594" s="13">
        <v>40733</v>
      </c>
      <c r="O4594" s="29">
        <v>2.4900000000000002</v>
      </c>
      <c r="P4594" s="18" t="s">
        <v>1107</v>
      </c>
      <c r="Q4594" s="18">
        <v>1</v>
      </c>
      <c r="T4594" s="22">
        <v>0.8</v>
      </c>
      <c r="U4594" s="22">
        <v>0.84</v>
      </c>
      <c r="V4594" s="22">
        <f>4.2/5</f>
        <v>0.84000000000000008</v>
      </c>
      <c r="W4594" s="14" t="s">
        <v>7777</v>
      </c>
      <c r="AB4594" s="18">
        <f t="shared" si="142"/>
        <v>2011</v>
      </c>
      <c r="AC4594" s="22">
        <f t="shared" si="143"/>
        <v>0.82666666666666677</v>
      </c>
    </row>
    <row r="4595" spans="1:29">
      <c r="A4595" s="8" t="s">
        <v>2805</v>
      </c>
      <c r="B4595" s="17" t="s">
        <v>7781</v>
      </c>
      <c r="C4595" s="13">
        <v>40674</v>
      </c>
      <c r="D4595" s="13" t="s">
        <v>8465</v>
      </c>
      <c r="E4595" s="10" t="s">
        <v>2816</v>
      </c>
      <c r="F4595" s="10" t="s">
        <v>2817</v>
      </c>
      <c r="G4595" s="11" t="s">
        <v>2805</v>
      </c>
      <c r="H4595" s="2" t="s">
        <v>31</v>
      </c>
      <c r="L4595" s="18">
        <v>0</v>
      </c>
      <c r="Q4595" s="18">
        <v>1</v>
      </c>
      <c r="T4595" s="22">
        <v>0.7</v>
      </c>
      <c r="V4595" s="22">
        <f>3.65/5</f>
        <v>0.73</v>
      </c>
      <c r="AB4595" s="18">
        <f t="shared" si="142"/>
        <v>2011</v>
      </c>
      <c r="AC4595" s="22">
        <f t="shared" si="143"/>
        <v>0.71499999999999997</v>
      </c>
    </row>
    <row r="4596" spans="1:29">
      <c r="A4596" s="8" t="s">
        <v>4368</v>
      </c>
      <c r="B4596" s="17" t="s">
        <v>7800</v>
      </c>
      <c r="C4596" s="13">
        <v>40672</v>
      </c>
      <c r="D4596" s="13" t="s">
        <v>8465</v>
      </c>
      <c r="E4596" s="10" t="s">
        <v>4369</v>
      </c>
      <c r="F4596" s="10" t="s">
        <v>4369</v>
      </c>
      <c r="G4596" s="11" t="s">
        <v>4368</v>
      </c>
      <c r="H4596" s="2" t="s">
        <v>67</v>
      </c>
      <c r="L4596" s="18">
        <v>1</v>
      </c>
      <c r="N4596" s="13">
        <v>41415</v>
      </c>
      <c r="P4596" s="18" t="s">
        <v>1107</v>
      </c>
      <c r="Q4596" s="18">
        <v>1</v>
      </c>
      <c r="S4596" s="21">
        <v>0.5</v>
      </c>
      <c r="T4596" s="22">
        <v>0.5</v>
      </c>
      <c r="U4596" s="22">
        <v>0.73</v>
      </c>
      <c r="V4596" s="22">
        <f>3.02/5</f>
        <v>0.60399999999999998</v>
      </c>
      <c r="W4596" s="14" t="s">
        <v>7777</v>
      </c>
      <c r="AB4596" s="18">
        <f t="shared" si="142"/>
        <v>2011</v>
      </c>
      <c r="AC4596" s="22">
        <f t="shared" si="143"/>
        <v>0.6113333333333334</v>
      </c>
    </row>
    <row r="4597" spans="1:29" ht="25.5">
      <c r="A4597" s="8" t="s">
        <v>5211</v>
      </c>
      <c r="B4597" s="17" t="s">
        <v>7783</v>
      </c>
      <c r="C4597" s="13">
        <v>40660</v>
      </c>
      <c r="D4597" s="13" t="s">
        <v>8465</v>
      </c>
      <c r="E4597" s="10" t="s">
        <v>3507</v>
      </c>
      <c r="F4597" s="10" t="s">
        <v>3507</v>
      </c>
      <c r="H4597" s="2" t="s">
        <v>67</v>
      </c>
      <c r="L4597" s="18">
        <v>1</v>
      </c>
      <c r="N4597" s="13">
        <v>40911</v>
      </c>
      <c r="O4597" s="29">
        <v>2.99</v>
      </c>
      <c r="P4597" s="18" t="s">
        <v>1107</v>
      </c>
      <c r="Q4597" s="18">
        <v>1</v>
      </c>
      <c r="T4597" s="22">
        <v>0.8</v>
      </c>
      <c r="U4597" s="22">
        <v>0.91</v>
      </c>
      <c r="V4597" s="22">
        <f>4/5</f>
        <v>0.8</v>
      </c>
      <c r="AB4597" s="18">
        <f t="shared" si="142"/>
        <v>2011</v>
      </c>
      <c r="AC4597" s="22">
        <f t="shared" si="143"/>
        <v>0.83666666666666656</v>
      </c>
    </row>
    <row r="4598" spans="1:29" ht="25.5">
      <c r="A4598" s="8" t="s">
        <v>4098</v>
      </c>
      <c r="B4598" s="17" t="s">
        <v>7800</v>
      </c>
      <c r="C4598" s="13">
        <v>40660</v>
      </c>
      <c r="D4598" s="13" t="s">
        <v>8465</v>
      </c>
      <c r="E4598" s="10" t="s">
        <v>3246</v>
      </c>
      <c r="F4598" s="10" t="s">
        <v>4099</v>
      </c>
      <c r="H4598" s="2" t="s">
        <v>67</v>
      </c>
      <c r="L4598" s="18">
        <v>1</v>
      </c>
      <c r="N4598" s="13">
        <v>41182</v>
      </c>
      <c r="P4598" s="18" t="s">
        <v>1107</v>
      </c>
      <c r="Q4598" s="18">
        <v>1</v>
      </c>
      <c r="R4598" s="13">
        <v>41507</v>
      </c>
      <c r="S4598" s="21">
        <v>4.9800000000000004</v>
      </c>
      <c r="T4598" s="22">
        <v>0.5</v>
      </c>
      <c r="U4598" s="22">
        <v>0.78</v>
      </c>
      <c r="V4598" s="22">
        <f>3.19/5</f>
        <v>0.63800000000000001</v>
      </c>
      <c r="W4598" s="14" t="s">
        <v>7777</v>
      </c>
      <c r="AB4598" s="18">
        <f t="shared" si="142"/>
        <v>2011</v>
      </c>
      <c r="AC4598" s="22">
        <f t="shared" si="143"/>
        <v>0.63933333333333342</v>
      </c>
    </row>
    <row r="4599" spans="1:29">
      <c r="A4599" s="8" t="s">
        <v>4733</v>
      </c>
      <c r="B4599" s="17" t="s">
        <v>7765</v>
      </c>
      <c r="C4599" s="13">
        <v>40652</v>
      </c>
      <c r="D4599" s="13" t="s">
        <v>8465</v>
      </c>
      <c r="E4599" s="10" t="s">
        <v>4070</v>
      </c>
      <c r="F4599" s="10" t="s">
        <v>4070</v>
      </c>
      <c r="G4599" s="11" t="s">
        <v>4732</v>
      </c>
      <c r="H4599" s="2" t="s">
        <v>27</v>
      </c>
      <c r="L4599" s="18">
        <v>0</v>
      </c>
      <c r="Q4599" s="18">
        <v>1</v>
      </c>
      <c r="R4599" s="13">
        <v>40738</v>
      </c>
      <c r="T4599" s="22">
        <v>1</v>
      </c>
      <c r="U4599" s="22">
        <v>0.94</v>
      </c>
      <c r="V4599" s="22">
        <f>4.41/5</f>
        <v>0.88200000000000001</v>
      </c>
      <c r="AB4599" s="18">
        <f t="shared" si="142"/>
        <v>2011</v>
      </c>
      <c r="AC4599" s="22">
        <f t="shared" si="143"/>
        <v>0.94066666666666665</v>
      </c>
    </row>
    <row r="4600" spans="1:29" ht="38.25">
      <c r="A4600" s="8" t="s">
        <v>5648</v>
      </c>
      <c r="B4600" s="17" t="s">
        <v>7800</v>
      </c>
      <c r="C4600" s="13">
        <v>40637</v>
      </c>
      <c r="D4600" s="13" t="s">
        <v>8465</v>
      </c>
      <c r="E4600" s="10" t="s">
        <v>5681</v>
      </c>
      <c r="F4600" s="10" t="s">
        <v>5681</v>
      </c>
      <c r="G4600" s="11" t="s">
        <v>5682</v>
      </c>
      <c r="H4600" s="2" t="s">
        <v>1057</v>
      </c>
      <c r="L4600" s="18">
        <v>0</v>
      </c>
      <c r="Q4600" s="18">
        <v>1</v>
      </c>
      <c r="T4600" s="22">
        <v>0.6</v>
      </c>
      <c r="V4600" s="22">
        <f>3.22/5</f>
        <v>0.64400000000000002</v>
      </c>
      <c r="W4600" s="14" t="s">
        <v>5674</v>
      </c>
      <c r="AB4600" s="18">
        <f t="shared" si="142"/>
        <v>2011</v>
      </c>
      <c r="AC4600" s="22">
        <f t="shared" si="143"/>
        <v>0.622</v>
      </c>
    </row>
    <row r="4601" spans="1:29" ht="25.5">
      <c r="A4601" s="8" t="s">
        <v>12390</v>
      </c>
      <c r="B4601" s="17" t="s">
        <v>7759</v>
      </c>
      <c r="C4601" s="13">
        <v>40637</v>
      </c>
      <c r="D4601" s="13" t="s">
        <v>8465</v>
      </c>
      <c r="E4601" s="10" t="s">
        <v>1342</v>
      </c>
      <c r="F4601" s="10" t="s">
        <v>1342</v>
      </c>
      <c r="G4601" s="11" t="s">
        <v>1646</v>
      </c>
      <c r="H4601" s="2" t="s">
        <v>1054</v>
      </c>
      <c r="L4601" s="18">
        <v>0</v>
      </c>
      <c r="Q4601" s="18">
        <v>1</v>
      </c>
      <c r="R4601" s="13">
        <v>44864</v>
      </c>
      <c r="S4601" s="21">
        <f>1+4/60</f>
        <v>1.0666666666666667</v>
      </c>
      <c r="T4601" s="22">
        <v>0.2</v>
      </c>
      <c r="U4601" s="22">
        <v>0.49</v>
      </c>
      <c r="V4601" s="22">
        <f>2.96/5</f>
        <v>0.59199999999999997</v>
      </c>
      <c r="AB4601" s="18">
        <f t="shared" si="142"/>
        <v>2011</v>
      </c>
      <c r="AC4601" s="22">
        <f t="shared" si="143"/>
        <v>0.42733333333333334</v>
      </c>
    </row>
    <row r="4602" spans="1:29" ht="25.5">
      <c r="A4602" s="8" t="s">
        <v>5679</v>
      </c>
      <c r="B4602" s="17" t="s">
        <v>7800</v>
      </c>
      <c r="C4602" s="13">
        <v>40624</v>
      </c>
      <c r="D4602" s="13" t="s">
        <v>8465</v>
      </c>
      <c r="E4602" s="10" t="s">
        <v>1047</v>
      </c>
      <c r="F4602" s="10" t="s">
        <v>1048</v>
      </c>
      <c r="G4602" s="11" t="s">
        <v>1563</v>
      </c>
      <c r="H4602" s="2" t="s">
        <v>80</v>
      </c>
      <c r="L4602" s="18">
        <v>0</v>
      </c>
      <c r="Q4602" s="18">
        <v>1</v>
      </c>
      <c r="T4602" s="22">
        <v>0.8</v>
      </c>
      <c r="U4602" s="22">
        <v>0.88</v>
      </c>
      <c r="V4602" s="22">
        <f>4.04/5</f>
        <v>0.80800000000000005</v>
      </c>
      <c r="W4602" s="14" t="s">
        <v>5676</v>
      </c>
      <c r="AB4602" s="18">
        <f t="shared" si="142"/>
        <v>2011</v>
      </c>
      <c r="AC4602" s="22">
        <f t="shared" si="143"/>
        <v>0.82933333333333348</v>
      </c>
    </row>
    <row r="4603" spans="1:29">
      <c r="A4603" s="8" t="s">
        <v>2121</v>
      </c>
      <c r="B4603" s="17" t="s">
        <v>7748</v>
      </c>
      <c r="C4603" s="13">
        <v>40624</v>
      </c>
      <c r="D4603" s="13" t="s">
        <v>8465</v>
      </c>
      <c r="E4603" s="10" t="s">
        <v>1551</v>
      </c>
      <c r="F4603" s="10" t="s">
        <v>2140</v>
      </c>
      <c r="H4603" s="2" t="s">
        <v>151</v>
      </c>
      <c r="L4603" s="18">
        <v>0</v>
      </c>
      <c r="Q4603" s="18">
        <v>1</v>
      </c>
      <c r="R4603" s="13">
        <v>41875</v>
      </c>
      <c r="S4603" s="21">
        <v>7.53</v>
      </c>
      <c r="T4603" s="22">
        <v>0.8</v>
      </c>
      <c r="U4603" s="22">
        <v>0.81</v>
      </c>
      <c r="V4603" s="22">
        <f>3.93/5</f>
        <v>0.78600000000000003</v>
      </c>
      <c r="AB4603" s="18">
        <f t="shared" si="142"/>
        <v>2011</v>
      </c>
      <c r="AC4603" s="22">
        <f t="shared" si="143"/>
        <v>0.79866666666666664</v>
      </c>
    </row>
    <row r="4604" spans="1:29" ht="30">
      <c r="A4604" s="8" t="s">
        <v>6428</v>
      </c>
      <c r="B4604" s="17" t="s">
        <v>7765</v>
      </c>
      <c r="C4604" s="13">
        <v>40624</v>
      </c>
      <c r="D4604" s="13" t="s">
        <v>8465</v>
      </c>
      <c r="E4604" s="10" t="s">
        <v>5556</v>
      </c>
      <c r="F4604" s="10" t="s">
        <v>5556</v>
      </c>
      <c r="H4604" s="2" t="s">
        <v>1054</v>
      </c>
      <c r="L4604" s="18">
        <v>1</v>
      </c>
      <c r="Q4604" s="18">
        <v>1</v>
      </c>
      <c r="T4604" s="22">
        <v>0.7</v>
      </c>
      <c r="V4604" s="22">
        <f>4.17/5</f>
        <v>0.83399999999999996</v>
      </c>
      <c r="W4604" s="14" t="s">
        <v>6487</v>
      </c>
      <c r="AB4604" s="18">
        <f t="shared" si="142"/>
        <v>2011</v>
      </c>
      <c r="AC4604" s="22">
        <f t="shared" si="143"/>
        <v>0.7669999999999999</v>
      </c>
    </row>
    <row r="4605" spans="1:29">
      <c r="A4605" s="8" t="s">
        <v>3524</v>
      </c>
      <c r="B4605" s="17" t="s">
        <v>7800</v>
      </c>
      <c r="C4605" s="13">
        <v>40624</v>
      </c>
      <c r="D4605" s="13" t="s">
        <v>8465</v>
      </c>
      <c r="E4605" s="10" t="s">
        <v>231</v>
      </c>
      <c r="F4605" s="10" t="s">
        <v>3525</v>
      </c>
      <c r="G4605" s="11" t="s">
        <v>3522</v>
      </c>
      <c r="H4605" s="2" t="s">
        <v>1050</v>
      </c>
      <c r="L4605" s="18">
        <v>1</v>
      </c>
      <c r="N4605" s="13">
        <v>41502</v>
      </c>
      <c r="O4605" s="29">
        <v>0</v>
      </c>
      <c r="P4605" s="18" t="s">
        <v>1107</v>
      </c>
      <c r="Q4605" s="18">
        <v>1</v>
      </c>
      <c r="R4605" s="13">
        <v>41818</v>
      </c>
      <c r="S4605" s="21">
        <v>8.1199999999999992</v>
      </c>
      <c r="T4605" s="22">
        <v>0.7</v>
      </c>
      <c r="U4605" s="22">
        <v>0.86</v>
      </c>
      <c r="V4605" s="22">
        <f>3.53/5</f>
        <v>0.70599999999999996</v>
      </c>
      <c r="W4605" s="14" t="s">
        <v>7777</v>
      </c>
      <c r="AB4605" s="18">
        <f t="shared" si="142"/>
        <v>2011</v>
      </c>
      <c r="AC4605" s="22">
        <f t="shared" si="143"/>
        <v>0.7553333333333333</v>
      </c>
    </row>
    <row r="4606" spans="1:29">
      <c r="A4606" s="8" t="s">
        <v>5659</v>
      </c>
      <c r="B4606" s="17" t="s">
        <v>7800</v>
      </c>
      <c r="C4606" s="13">
        <v>40617</v>
      </c>
      <c r="D4606" s="13" t="s">
        <v>8465</v>
      </c>
      <c r="E4606" s="10" t="s">
        <v>1342</v>
      </c>
      <c r="F4606" s="10" t="s">
        <v>3564</v>
      </c>
      <c r="G4606" s="11" t="s">
        <v>5659</v>
      </c>
      <c r="H4606" s="2" t="s">
        <v>1050</v>
      </c>
      <c r="L4606" s="18">
        <v>0</v>
      </c>
      <c r="Q4606" s="18">
        <v>1</v>
      </c>
      <c r="T4606" s="22">
        <v>0.7</v>
      </c>
      <c r="U4606" s="22">
        <v>0.69</v>
      </c>
      <c r="V4606" s="22">
        <f>2.88/5</f>
        <v>0.57599999999999996</v>
      </c>
      <c r="W4606" s="14" t="s">
        <v>5676</v>
      </c>
      <c r="AB4606" s="18">
        <f t="shared" si="142"/>
        <v>2011</v>
      </c>
      <c r="AC4606" s="22">
        <f t="shared" si="143"/>
        <v>0.65533333333333321</v>
      </c>
    </row>
    <row r="4607" spans="1:29">
      <c r="A4607" s="8" t="s">
        <v>3321</v>
      </c>
      <c r="B4607" s="17" t="s">
        <v>7800</v>
      </c>
      <c r="C4607" s="13">
        <v>40602</v>
      </c>
      <c r="D4607" s="13" t="s">
        <v>8465</v>
      </c>
      <c r="E4607" s="10" t="s">
        <v>2471</v>
      </c>
      <c r="F4607" s="10" t="s">
        <v>2471</v>
      </c>
      <c r="G4607" s="11" t="s">
        <v>1653</v>
      </c>
      <c r="H4607" s="2" t="s">
        <v>64</v>
      </c>
      <c r="L4607" s="18">
        <v>1</v>
      </c>
      <c r="N4607" s="13">
        <v>40734</v>
      </c>
      <c r="O4607" s="29">
        <v>4.99</v>
      </c>
      <c r="P4607" s="18" t="s">
        <v>1107</v>
      </c>
      <c r="Q4607" s="18">
        <v>1</v>
      </c>
      <c r="S4607" s="21">
        <v>11.2</v>
      </c>
      <c r="T4607" s="22">
        <v>0.8</v>
      </c>
      <c r="U4607" s="22">
        <v>0.7</v>
      </c>
      <c r="V4607" s="22">
        <f>3.4/5</f>
        <v>0.67999999999999994</v>
      </c>
      <c r="W4607" s="14" t="s">
        <v>7777</v>
      </c>
      <c r="AB4607" s="18">
        <f t="shared" si="142"/>
        <v>2011</v>
      </c>
      <c r="AC4607" s="22">
        <f t="shared" si="143"/>
        <v>0.72666666666666657</v>
      </c>
    </row>
    <row r="4608" spans="1:29">
      <c r="A4608" s="8" t="s">
        <v>2120</v>
      </c>
      <c r="B4608" s="17" t="s">
        <v>7748</v>
      </c>
      <c r="C4608" s="13">
        <v>40596</v>
      </c>
      <c r="D4608" s="13" t="s">
        <v>8465</v>
      </c>
      <c r="E4608" s="10" t="s">
        <v>228</v>
      </c>
      <c r="F4608" s="10" t="s">
        <v>228</v>
      </c>
      <c r="G4608" s="11" t="s">
        <v>2120</v>
      </c>
      <c r="H4608" s="2" t="s">
        <v>149</v>
      </c>
      <c r="L4608" s="18">
        <v>0</v>
      </c>
      <c r="Q4608" s="18">
        <v>1</v>
      </c>
      <c r="R4608" s="13">
        <v>41789</v>
      </c>
      <c r="S4608" s="21">
        <v>34.4</v>
      </c>
      <c r="T4608" s="22">
        <v>0.8</v>
      </c>
      <c r="U4608" s="22">
        <v>0.85</v>
      </c>
      <c r="V4608" s="22">
        <f>4.28/5</f>
        <v>0.85600000000000009</v>
      </c>
      <c r="AB4608" s="18">
        <f t="shared" si="142"/>
        <v>2011</v>
      </c>
      <c r="AC4608" s="22">
        <f t="shared" si="143"/>
        <v>0.83533333333333337</v>
      </c>
    </row>
    <row r="4609" spans="1:29">
      <c r="A4609" s="8" t="s">
        <v>3383</v>
      </c>
      <c r="B4609" s="17" t="s">
        <v>7765</v>
      </c>
      <c r="C4609" s="13">
        <v>40596</v>
      </c>
      <c r="D4609" s="13" t="s">
        <v>8465</v>
      </c>
      <c r="E4609" s="10" t="s">
        <v>231</v>
      </c>
      <c r="F4609" s="10" t="s">
        <v>3384</v>
      </c>
      <c r="H4609" s="2" t="s">
        <v>1050</v>
      </c>
      <c r="L4609" s="18">
        <v>1</v>
      </c>
      <c r="N4609" s="13">
        <v>41459</v>
      </c>
      <c r="O4609" s="29">
        <v>4.99</v>
      </c>
      <c r="P4609" s="18" t="s">
        <v>1107</v>
      </c>
      <c r="Q4609" s="18">
        <v>1</v>
      </c>
      <c r="R4609" s="13">
        <v>41613</v>
      </c>
      <c r="T4609" s="22">
        <v>0.8</v>
      </c>
      <c r="U4609" s="22">
        <v>0.85</v>
      </c>
      <c r="V4609" s="22">
        <f>3.7/5</f>
        <v>0.74</v>
      </c>
      <c r="AB4609" s="18">
        <f t="shared" ref="AB4609:AB4672" si="144">IFERROR(YEAR(C4609), "Early Access")</f>
        <v>2011</v>
      </c>
      <c r="AC4609" s="22">
        <f t="shared" ref="AC4609:AC4672" si="145">AVERAGE(T4609, U4609, V4609, IF(ISBLANK(X4609), X4609, X4609/5))</f>
        <v>0.79666666666666652</v>
      </c>
    </row>
    <row r="4610" spans="1:29" ht="30">
      <c r="A4610" s="8" t="s">
        <v>6424</v>
      </c>
      <c r="B4610" s="17" t="s">
        <v>7765</v>
      </c>
      <c r="C4610" s="13">
        <v>40585</v>
      </c>
      <c r="D4610" s="13" t="s">
        <v>8465</v>
      </c>
      <c r="E4610" s="10" t="s">
        <v>6454</v>
      </c>
      <c r="F4610" s="10" t="s">
        <v>6454</v>
      </c>
      <c r="H4610" s="2" t="s">
        <v>6481</v>
      </c>
      <c r="L4610" s="18">
        <v>1</v>
      </c>
      <c r="Q4610" s="18">
        <v>1</v>
      </c>
      <c r="T4610" s="22">
        <v>0.6</v>
      </c>
      <c r="V4610" s="22">
        <f>3.63/5</f>
        <v>0.72599999999999998</v>
      </c>
      <c r="W4610" s="14" t="s">
        <v>6487</v>
      </c>
      <c r="AB4610" s="18">
        <f t="shared" si="144"/>
        <v>2011</v>
      </c>
      <c r="AC4610" s="22">
        <f t="shared" si="145"/>
        <v>0.66300000000000003</v>
      </c>
    </row>
    <row r="4611" spans="1:29" ht="30">
      <c r="A4611" s="8" t="s">
        <v>6426</v>
      </c>
      <c r="B4611" s="17" t="s">
        <v>7765</v>
      </c>
      <c r="C4611" s="13">
        <v>40571</v>
      </c>
      <c r="D4611" s="13" t="s">
        <v>8465</v>
      </c>
      <c r="E4611" s="10" t="s">
        <v>6438</v>
      </c>
      <c r="F4611" s="10" t="s">
        <v>6438</v>
      </c>
      <c r="G4611" s="11" t="s">
        <v>6438</v>
      </c>
      <c r="H4611" s="2" t="s">
        <v>1054</v>
      </c>
      <c r="L4611" s="18">
        <v>1</v>
      </c>
      <c r="Q4611" s="18">
        <v>1</v>
      </c>
      <c r="T4611" s="22">
        <v>0.7</v>
      </c>
      <c r="U4611" s="22">
        <v>0.85</v>
      </c>
      <c r="V4611" s="22">
        <f>4.17/5</f>
        <v>0.83399999999999996</v>
      </c>
      <c r="W4611" s="14" t="s">
        <v>6487</v>
      </c>
      <c r="AB4611" s="18">
        <f t="shared" si="144"/>
        <v>2011</v>
      </c>
      <c r="AC4611" s="22">
        <f t="shared" si="145"/>
        <v>0.79466666666666663</v>
      </c>
    </row>
    <row r="4612" spans="1:29" ht="30">
      <c r="A4612" s="8" t="s">
        <v>6432</v>
      </c>
      <c r="B4612" s="17" t="s">
        <v>7765</v>
      </c>
      <c r="C4612" s="13">
        <v>40569</v>
      </c>
      <c r="D4612" s="13" t="s">
        <v>8465</v>
      </c>
      <c r="E4612" s="10" t="s">
        <v>6475</v>
      </c>
      <c r="F4612" s="10" t="s">
        <v>6475</v>
      </c>
      <c r="H4612" s="2" t="s">
        <v>149</v>
      </c>
      <c r="L4612" s="18">
        <v>1</v>
      </c>
      <c r="Q4612" s="18">
        <v>1</v>
      </c>
      <c r="R4612" s="13">
        <v>41553</v>
      </c>
      <c r="T4612" s="22">
        <v>0.6</v>
      </c>
      <c r="U4612" s="22">
        <v>0.64</v>
      </c>
      <c r="V4612" s="22">
        <f>3.77/5</f>
        <v>0.754</v>
      </c>
      <c r="W4612" s="14" t="s">
        <v>6487</v>
      </c>
      <c r="AB4612" s="18">
        <f t="shared" si="144"/>
        <v>2011</v>
      </c>
      <c r="AC4612" s="22">
        <f t="shared" si="145"/>
        <v>0.66466666666666663</v>
      </c>
    </row>
    <row r="4613" spans="1:29">
      <c r="A4613" s="8" t="s">
        <v>3594</v>
      </c>
      <c r="B4613" s="17" t="s">
        <v>7800</v>
      </c>
      <c r="C4613" s="13">
        <v>40568</v>
      </c>
      <c r="D4613" s="13" t="s">
        <v>8465</v>
      </c>
      <c r="E4613" s="10" t="s">
        <v>231</v>
      </c>
      <c r="F4613" s="10" t="s">
        <v>1543</v>
      </c>
      <c r="G4613" s="11" t="s">
        <v>1544</v>
      </c>
      <c r="H4613" s="2" t="s">
        <v>1168</v>
      </c>
      <c r="L4613" s="18">
        <v>1</v>
      </c>
      <c r="N4613" s="13">
        <v>41136</v>
      </c>
      <c r="O4613" s="29">
        <v>4.99</v>
      </c>
      <c r="P4613" s="18" t="s">
        <v>1107</v>
      </c>
      <c r="Q4613" s="18">
        <v>1</v>
      </c>
      <c r="S4613" s="21">
        <v>10.3</v>
      </c>
      <c r="T4613" s="22">
        <v>0.9</v>
      </c>
      <c r="U4613" s="22">
        <v>0.86</v>
      </c>
      <c r="V4613" s="22">
        <f>4.03/5</f>
        <v>0.80600000000000005</v>
      </c>
      <c r="W4613" s="14" t="s">
        <v>7777</v>
      </c>
      <c r="AB4613" s="18">
        <f t="shared" si="144"/>
        <v>2011</v>
      </c>
      <c r="AC4613" s="22">
        <f t="shared" si="145"/>
        <v>0.85533333333333328</v>
      </c>
    </row>
    <row r="4614" spans="1:29">
      <c r="A4614" s="8" t="s">
        <v>1544</v>
      </c>
      <c r="B4614" s="17" t="s">
        <v>7783</v>
      </c>
      <c r="C4614" s="13">
        <v>40568</v>
      </c>
      <c r="D4614" s="13" t="s">
        <v>8465</v>
      </c>
      <c r="E4614" s="10" t="s">
        <v>231</v>
      </c>
      <c r="F4614" s="10" t="s">
        <v>7281</v>
      </c>
      <c r="G4614" s="11" t="s">
        <v>1544</v>
      </c>
      <c r="H4614" s="2" t="s">
        <v>1061</v>
      </c>
      <c r="L4614" s="18">
        <v>1</v>
      </c>
      <c r="N4614" s="13">
        <v>41097</v>
      </c>
      <c r="O4614" s="29">
        <v>0.99</v>
      </c>
      <c r="P4614" s="18" t="s">
        <v>1107</v>
      </c>
      <c r="Q4614" s="18">
        <v>1</v>
      </c>
      <c r="T4614" s="22">
        <v>0.7</v>
      </c>
      <c r="U4614" s="22">
        <v>0.92</v>
      </c>
      <c r="V4614" s="22">
        <f>3.87/5</f>
        <v>0.77400000000000002</v>
      </c>
      <c r="AB4614" s="18">
        <f t="shared" si="144"/>
        <v>2011</v>
      </c>
      <c r="AC4614" s="22">
        <f t="shared" si="145"/>
        <v>0.79800000000000004</v>
      </c>
    </row>
    <row r="4615" spans="1:29" ht="30">
      <c r="A4615" s="8" t="s">
        <v>6415</v>
      </c>
      <c r="B4615" s="17" t="s">
        <v>7765</v>
      </c>
      <c r="C4615" s="13">
        <v>40553</v>
      </c>
      <c r="D4615" s="13" t="s">
        <v>8465</v>
      </c>
      <c r="E4615" s="10" t="s">
        <v>6475</v>
      </c>
      <c r="F4615" s="10" t="s">
        <v>6475</v>
      </c>
      <c r="H4615" s="2" t="s">
        <v>1142</v>
      </c>
      <c r="L4615" s="18">
        <v>1</v>
      </c>
      <c r="Q4615" s="18">
        <v>1</v>
      </c>
      <c r="T4615" s="22">
        <v>0.5</v>
      </c>
      <c r="W4615" s="14" t="s">
        <v>6487</v>
      </c>
      <c r="AB4615" s="18">
        <f t="shared" si="144"/>
        <v>2011</v>
      </c>
      <c r="AC4615" s="22">
        <f t="shared" si="145"/>
        <v>0.5</v>
      </c>
    </row>
    <row r="4616" spans="1:29">
      <c r="A4616" s="8" t="s">
        <v>6325</v>
      </c>
      <c r="B4616" s="17" t="s">
        <v>7765</v>
      </c>
      <c r="C4616" s="13">
        <v>40548</v>
      </c>
      <c r="D4616" s="13" t="s">
        <v>8465</v>
      </c>
      <c r="E4616" s="10" t="s">
        <v>3740</v>
      </c>
      <c r="F4616" s="10" t="s">
        <v>4898</v>
      </c>
      <c r="G4616" s="11" t="s">
        <v>6325</v>
      </c>
      <c r="H4616" s="2" t="s">
        <v>78</v>
      </c>
      <c r="L4616" s="18">
        <v>1</v>
      </c>
      <c r="P4616" s="18" t="s">
        <v>1107</v>
      </c>
      <c r="Q4616" s="18">
        <v>1</v>
      </c>
      <c r="R4616" s="13">
        <v>41137</v>
      </c>
      <c r="T4616" s="22">
        <v>0.8</v>
      </c>
      <c r="U4616" s="22">
        <v>0.82</v>
      </c>
      <c r="V4616" s="22">
        <f>3.82/5</f>
        <v>0.76400000000000001</v>
      </c>
      <c r="AB4616" s="18">
        <f t="shared" si="144"/>
        <v>2011</v>
      </c>
      <c r="AC4616" s="22">
        <f t="shared" si="145"/>
        <v>0.79466666666666674</v>
      </c>
    </row>
    <row r="4617" spans="1:29">
      <c r="A4617" s="8" t="s">
        <v>7133</v>
      </c>
      <c r="B4617" s="17" t="s">
        <v>7800</v>
      </c>
      <c r="C4617" s="13">
        <v>40540</v>
      </c>
      <c r="D4617" s="13" t="s">
        <v>8465</v>
      </c>
      <c r="E4617" s="10" t="s">
        <v>7218</v>
      </c>
      <c r="F4617" s="10" t="s">
        <v>7218</v>
      </c>
      <c r="G4617" s="11" t="s">
        <v>7146</v>
      </c>
      <c r="H4617" s="2" t="s">
        <v>27</v>
      </c>
      <c r="L4617" s="18">
        <v>0</v>
      </c>
      <c r="Q4617" s="18">
        <v>0</v>
      </c>
      <c r="V4617" s="22">
        <f>3.6/5</f>
        <v>0.72</v>
      </c>
      <c r="W4617" s="14" t="s">
        <v>5674</v>
      </c>
      <c r="X4617" s="3">
        <v>3</v>
      </c>
      <c r="Z4617" s="23">
        <v>2</v>
      </c>
      <c r="AB4617" s="18">
        <f t="shared" si="144"/>
        <v>2010</v>
      </c>
      <c r="AC4617" s="22">
        <f t="shared" si="145"/>
        <v>0.65999999999999992</v>
      </c>
    </row>
    <row r="4618" spans="1:29" ht="25.5">
      <c r="A4618" s="8" t="s">
        <v>11041</v>
      </c>
      <c r="B4618" s="17" t="s">
        <v>7765</v>
      </c>
      <c r="C4618" s="13">
        <v>40539</v>
      </c>
      <c r="D4618" s="13" t="s">
        <v>8465</v>
      </c>
      <c r="E4618" s="10" t="s">
        <v>73</v>
      </c>
      <c r="F4618" s="10" t="s">
        <v>3591</v>
      </c>
      <c r="G4618" s="11" t="s">
        <v>3589</v>
      </c>
      <c r="H4618" s="2" t="s">
        <v>1061</v>
      </c>
      <c r="L4618" s="18">
        <v>1</v>
      </c>
      <c r="N4618" s="13">
        <v>44580</v>
      </c>
      <c r="O4618" s="29">
        <v>1.99</v>
      </c>
      <c r="P4618" s="18" t="s">
        <v>1107</v>
      </c>
      <c r="Q4618" s="18">
        <v>0</v>
      </c>
      <c r="U4618" s="22">
        <v>0.74</v>
      </c>
      <c r="V4618" s="22">
        <f>3.81/5</f>
        <v>0.76200000000000001</v>
      </c>
      <c r="X4618" s="3">
        <v>2</v>
      </c>
      <c r="Z4618" s="23">
        <v>3</v>
      </c>
      <c r="AB4618" s="18">
        <f t="shared" si="144"/>
        <v>2010</v>
      </c>
      <c r="AC4618" s="22">
        <f t="shared" si="145"/>
        <v>0.63400000000000001</v>
      </c>
    </row>
    <row r="4619" spans="1:29" ht="25.5">
      <c r="A4619" s="8" t="s">
        <v>10995</v>
      </c>
      <c r="B4619" s="17" t="s">
        <v>7765</v>
      </c>
      <c r="C4619" s="13">
        <v>40534</v>
      </c>
      <c r="D4619" s="13" t="s">
        <v>8463</v>
      </c>
      <c r="E4619" s="10" t="s">
        <v>455</v>
      </c>
      <c r="F4619" s="10" t="s">
        <v>10994</v>
      </c>
      <c r="G4619" s="11" t="s">
        <v>2901</v>
      </c>
      <c r="H4619" s="2" t="s">
        <v>143</v>
      </c>
      <c r="K4619" s="18">
        <v>0</v>
      </c>
      <c r="L4619" s="18">
        <v>0</v>
      </c>
      <c r="Q4619" s="18">
        <v>0</v>
      </c>
      <c r="V4619" s="22">
        <f>3.97/5</f>
        <v>0.79400000000000004</v>
      </c>
      <c r="X4619" s="3">
        <v>3</v>
      </c>
      <c r="AB4619" s="18">
        <f t="shared" si="144"/>
        <v>2010</v>
      </c>
      <c r="AC4619" s="22">
        <f t="shared" si="145"/>
        <v>0.69700000000000006</v>
      </c>
    </row>
    <row r="4620" spans="1:29" ht="30">
      <c r="A4620" s="8" t="s">
        <v>10231</v>
      </c>
      <c r="B4620" s="17" t="s">
        <v>7759</v>
      </c>
      <c r="C4620" s="13">
        <v>40533</v>
      </c>
      <c r="D4620" s="13" t="s">
        <v>8465</v>
      </c>
      <c r="E4620" s="10" t="s">
        <v>2908</v>
      </c>
      <c r="F4620" s="10" t="s">
        <v>6034</v>
      </c>
      <c r="G4620" s="11" t="s">
        <v>10239</v>
      </c>
      <c r="H4620" s="2" t="s">
        <v>78</v>
      </c>
      <c r="L4620" s="18">
        <v>1</v>
      </c>
      <c r="N4620" s="13">
        <v>45032</v>
      </c>
      <c r="O4620" s="29">
        <v>14.99</v>
      </c>
      <c r="P4620" s="18" t="s">
        <v>1107</v>
      </c>
      <c r="Q4620" s="18">
        <v>0</v>
      </c>
      <c r="U4620" s="22">
        <v>0.79</v>
      </c>
      <c r="V4620" s="22">
        <f>3.3/5</f>
        <v>0.65999999999999992</v>
      </c>
      <c r="X4620" s="3">
        <v>2</v>
      </c>
      <c r="Z4620" s="23">
        <v>4</v>
      </c>
      <c r="AB4620" s="18">
        <f t="shared" si="144"/>
        <v>2010</v>
      </c>
      <c r="AC4620" s="22">
        <f t="shared" si="145"/>
        <v>0.6166666666666667</v>
      </c>
    </row>
    <row r="4621" spans="1:29" ht="25.5">
      <c r="A4621" s="8" t="s">
        <v>4580</v>
      </c>
      <c r="B4621" s="17" t="s">
        <v>7800</v>
      </c>
      <c r="C4621" s="13">
        <v>40532</v>
      </c>
      <c r="D4621" s="13" t="s">
        <v>8465</v>
      </c>
      <c r="E4621" s="10" t="s">
        <v>4577</v>
      </c>
      <c r="F4621" s="10" t="s">
        <v>4577</v>
      </c>
      <c r="G4621" s="11" t="s">
        <v>4578</v>
      </c>
      <c r="H4621" s="2" t="s">
        <v>1040</v>
      </c>
      <c r="L4621" s="18">
        <v>1</v>
      </c>
      <c r="N4621" s="13">
        <v>40901</v>
      </c>
      <c r="P4621" s="18" t="s">
        <v>1107</v>
      </c>
      <c r="Q4621" s="18">
        <v>0</v>
      </c>
      <c r="U4621" s="22">
        <v>0.6</v>
      </c>
      <c r="V4621" s="22">
        <f>3.23/5</f>
        <v>0.64600000000000002</v>
      </c>
      <c r="W4621" s="14" t="s">
        <v>7777</v>
      </c>
      <c r="X4621" s="3">
        <v>3</v>
      </c>
      <c r="Z4621" s="23">
        <v>12.5</v>
      </c>
      <c r="AB4621" s="18">
        <f t="shared" si="144"/>
        <v>2010</v>
      </c>
      <c r="AC4621" s="22">
        <f t="shared" si="145"/>
        <v>0.6153333333333334</v>
      </c>
    </row>
    <row r="4622" spans="1:29" ht="25.5">
      <c r="A4622" s="8" t="s">
        <v>7250</v>
      </c>
      <c r="B4622" s="17" t="s">
        <v>7781</v>
      </c>
      <c r="C4622" s="13">
        <v>40532</v>
      </c>
      <c r="D4622" s="13" t="s">
        <v>8465</v>
      </c>
      <c r="E4622" s="10" t="s">
        <v>7262</v>
      </c>
      <c r="F4622" s="10" t="s">
        <v>7262</v>
      </c>
      <c r="H4622" s="2" t="s">
        <v>1267</v>
      </c>
      <c r="L4622" s="18">
        <v>0</v>
      </c>
      <c r="Q4622" s="18">
        <v>0</v>
      </c>
      <c r="W4622" s="15" t="str">
        <f>HYPERLINK("https://flasharch.com/en/archive/play/be21c860eb32e27ecd27e414d65d25df", "Link")</f>
        <v>Link</v>
      </c>
      <c r="X4622" s="3">
        <v>3</v>
      </c>
      <c r="AB4622" s="18">
        <f t="shared" si="144"/>
        <v>2010</v>
      </c>
      <c r="AC4622" s="22">
        <f t="shared" si="145"/>
        <v>0.6</v>
      </c>
    </row>
    <row r="4623" spans="1:29">
      <c r="A4623" s="8" t="s">
        <v>7251</v>
      </c>
      <c r="B4623" s="17" t="s">
        <v>7781</v>
      </c>
      <c r="C4623" s="13">
        <v>40530</v>
      </c>
      <c r="D4623" s="13" t="s">
        <v>8465</v>
      </c>
      <c r="E4623" s="10" t="s">
        <v>7263</v>
      </c>
      <c r="F4623" s="10" t="s">
        <v>7263</v>
      </c>
      <c r="H4623" s="2" t="s">
        <v>151</v>
      </c>
      <c r="L4623" s="18">
        <v>0</v>
      </c>
      <c r="Q4623" s="18">
        <v>0</v>
      </c>
      <c r="V4623" s="22">
        <f>3.5/5</f>
        <v>0.7</v>
      </c>
      <c r="W4623" s="15" t="str">
        <f>HYPERLINK("https://www.kongregate.com/games/armorgames/k-o-l-m", "Link")</f>
        <v>Link</v>
      </c>
      <c r="X4623" s="3">
        <v>3</v>
      </c>
      <c r="AB4623" s="18">
        <f t="shared" si="144"/>
        <v>2010</v>
      </c>
      <c r="AC4623" s="22">
        <f t="shared" si="145"/>
        <v>0.64999999999999991</v>
      </c>
    </row>
    <row r="4624" spans="1:29" ht="30">
      <c r="A4624" s="8" t="s">
        <v>8184</v>
      </c>
      <c r="B4624" s="17" t="s">
        <v>7762</v>
      </c>
      <c r="C4624" s="13">
        <v>40528</v>
      </c>
      <c r="D4624" s="13" t="s">
        <v>8463</v>
      </c>
      <c r="E4624" s="10" t="s">
        <v>455</v>
      </c>
      <c r="F4624" s="10" t="s">
        <v>1710</v>
      </c>
      <c r="G4624" s="11" t="s">
        <v>1661</v>
      </c>
      <c r="H4624" s="2" t="s">
        <v>75</v>
      </c>
      <c r="K4624" s="18">
        <v>0</v>
      </c>
      <c r="L4624" s="18">
        <v>0</v>
      </c>
      <c r="Q4624" s="18">
        <v>0</v>
      </c>
      <c r="V4624" s="22">
        <f>3.92/5</f>
        <v>0.78400000000000003</v>
      </c>
      <c r="X4624" s="3">
        <v>2</v>
      </c>
      <c r="AB4624" s="18">
        <f t="shared" si="144"/>
        <v>2010</v>
      </c>
      <c r="AC4624" s="22">
        <f t="shared" si="145"/>
        <v>0.59200000000000008</v>
      </c>
    </row>
    <row r="4625" spans="1:29">
      <c r="A4625" s="8" t="s">
        <v>7309</v>
      </c>
      <c r="B4625" s="17" t="s">
        <v>7783</v>
      </c>
      <c r="C4625" s="13">
        <v>40527</v>
      </c>
      <c r="D4625" s="13" t="s">
        <v>8465</v>
      </c>
      <c r="E4625" s="10" t="s">
        <v>7279</v>
      </c>
      <c r="F4625" s="10" t="s">
        <v>7279</v>
      </c>
      <c r="H4625" s="2" t="s">
        <v>1334</v>
      </c>
      <c r="L4625" s="18">
        <v>1</v>
      </c>
      <c r="N4625" s="13">
        <v>41541</v>
      </c>
      <c r="O4625" s="29">
        <v>0.99</v>
      </c>
      <c r="P4625" s="18" t="s">
        <v>1107</v>
      </c>
      <c r="Q4625" s="18">
        <v>0</v>
      </c>
      <c r="U4625" s="22">
        <v>0.85</v>
      </c>
      <c r="V4625" s="22">
        <f>4.27/5</f>
        <v>0.85399999999999987</v>
      </c>
      <c r="X4625" s="3">
        <v>3</v>
      </c>
      <c r="AB4625" s="18">
        <f t="shared" si="144"/>
        <v>2010</v>
      </c>
      <c r="AC4625" s="22">
        <f t="shared" si="145"/>
        <v>0.7679999999999999</v>
      </c>
    </row>
    <row r="4626" spans="1:29" ht="25.5">
      <c r="A4626" s="8" t="s">
        <v>3085</v>
      </c>
      <c r="B4626" s="17" t="s">
        <v>7800</v>
      </c>
      <c r="C4626" s="13">
        <v>40526</v>
      </c>
      <c r="D4626" s="13" t="s">
        <v>8465</v>
      </c>
      <c r="E4626" s="10" t="s">
        <v>3086</v>
      </c>
      <c r="F4626" s="10" t="s">
        <v>3087</v>
      </c>
      <c r="G4626" s="11" t="s">
        <v>3088</v>
      </c>
      <c r="H4626" s="2" t="s">
        <v>56</v>
      </c>
      <c r="L4626" s="18">
        <v>1</v>
      </c>
      <c r="N4626" s="13">
        <v>41442</v>
      </c>
      <c r="O4626" s="29">
        <v>2.4900000000000002</v>
      </c>
      <c r="P4626" s="18" t="s">
        <v>1107</v>
      </c>
      <c r="Q4626" s="18">
        <v>0</v>
      </c>
      <c r="U4626" s="22">
        <v>0.74</v>
      </c>
      <c r="V4626" s="22">
        <f>3.21/5</f>
        <v>0.64200000000000002</v>
      </c>
      <c r="W4626" s="14" t="s">
        <v>7777</v>
      </c>
      <c r="X4626" s="3">
        <v>2</v>
      </c>
      <c r="Z4626" s="23">
        <v>2</v>
      </c>
      <c r="AB4626" s="18">
        <f t="shared" si="144"/>
        <v>2010</v>
      </c>
      <c r="AC4626" s="22">
        <f t="shared" si="145"/>
        <v>0.59399999999999997</v>
      </c>
    </row>
    <row r="4627" spans="1:29">
      <c r="A4627" s="8" t="s">
        <v>718</v>
      </c>
      <c r="B4627" s="17" t="s">
        <v>7741</v>
      </c>
      <c r="C4627" s="13">
        <v>40524</v>
      </c>
      <c r="D4627" s="13" t="s">
        <v>8465</v>
      </c>
      <c r="E4627" s="10" t="s">
        <v>86</v>
      </c>
      <c r="F4627" s="10" t="s">
        <v>87</v>
      </c>
      <c r="G4627" s="11" t="s">
        <v>137</v>
      </c>
      <c r="H4627" s="2" t="s">
        <v>64</v>
      </c>
      <c r="L4627" s="18">
        <v>0</v>
      </c>
      <c r="Q4627" s="18">
        <v>0</v>
      </c>
      <c r="U4627" s="22">
        <v>0.73</v>
      </c>
      <c r="V4627" s="22">
        <f>4.05/5</f>
        <v>0.80999999999999994</v>
      </c>
      <c r="X4627" s="3">
        <v>3</v>
      </c>
      <c r="Z4627" s="23">
        <v>14.5</v>
      </c>
      <c r="AB4627" s="18">
        <f t="shared" si="144"/>
        <v>2010</v>
      </c>
      <c r="AC4627" s="22">
        <f t="shared" si="145"/>
        <v>0.71333333333333337</v>
      </c>
    </row>
    <row r="4628" spans="1:29" ht="30">
      <c r="A4628" s="8" t="s">
        <v>4028</v>
      </c>
      <c r="B4628" s="17" t="s">
        <v>7800</v>
      </c>
      <c r="C4628" s="13">
        <v>40522</v>
      </c>
      <c r="D4628" s="13" t="s">
        <v>8465</v>
      </c>
      <c r="E4628" s="10" t="s">
        <v>4029</v>
      </c>
      <c r="F4628" s="10" t="s">
        <v>4030</v>
      </c>
      <c r="H4628" s="2" t="s">
        <v>69</v>
      </c>
      <c r="L4628" s="18">
        <v>1</v>
      </c>
      <c r="N4628" s="13">
        <v>41248</v>
      </c>
      <c r="P4628" s="18" t="s">
        <v>1107</v>
      </c>
      <c r="Q4628" s="18">
        <v>0</v>
      </c>
      <c r="U4628" s="22">
        <v>0.75</v>
      </c>
      <c r="V4628" s="22">
        <f>3.19/5</f>
        <v>0.63800000000000001</v>
      </c>
      <c r="W4628" s="14" t="s">
        <v>7777</v>
      </c>
      <c r="X4628" s="3">
        <v>2</v>
      </c>
      <c r="Z4628" s="23">
        <v>8.5</v>
      </c>
      <c r="AB4628" s="18">
        <f t="shared" si="144"/>
        <v>2010</v>
      </c>
      <c r="AC4628" s="22">
        <f t="shared" si="145"/>
        <v>0.59599999999999997</v>
      </c>
    </row>
    <row r="4629" spans="1:29">
      <c r="A4629" s="8" t="s">
        <v>13425</v>
      </c>
      <c r="B4629" s="17" t="s">
        <v>7748</v>
      </c>
      <c r="C4629" s="13">
        <v>40522</v>
      </c>
      <c r="D4629" s="13" t="s">
        <v>8467</v>
      </c>
      <c r="E4629" s="10" t="s">
        <v>3625</v>
      </c>
      <c r="F4629" s="10" t="s">
        <v>13426</v>
      </c>
      <c r="H4629" s="2" t="s">
        <v>67</v>
      </c>
      <c r="L4629" s="18">
        <v>0</v>
      </c>
      <c r="Q4629" s="18">
        <v>0</v>
      </c>
      <c r="V4629" s="22">
        <f>3.18/5</f>
        <v>0.63600000000000001</v>
      </c>
      <c r="X4629" s="3">
        <v>2</v>
      </c>
      <c r="AB4629" s="18">
        <f t="shared" si="144"/>
        <v>2010</v>
      </c>
      <c r="AC4629" s="22">
        <f t="shared" si="145"/>
        <v>0.51800000000000002</v>
      </c>
    </row>
    <row r="4630" spans="1:29" ht="25.5">
      <c r="A4630" s="8" t="s">
        <v>8887</v>
      </c>
      <c r="B4630" s="17" t="s">
        <v>7748</v>
      </c>
      <c r="C4630" s="13">
        <v>40521</v>
      </c>
      <c r="D4630" s="13" t="s">
        <v>8463</v>
      </c>
      <c r="E4630" s="10" t="s">
        <v>2129</v>
      </c>
      <c r="F4630" s="10" t="s">
        <v>2129</v>
      </c>
      <c r="G4630" s="11" t="s">
        <v>6062</v>
      </c>
      <c r="H4630" s="2" t="s">
        <v>149</v>
      </c>
      <c r="K4630" s="18">
        <v>2</v>
      </c>
      <c r="L4630" s="18">
        <v>0</v>
      </c>
      <c r="Q4630" s="18">
        <v>0</v>
      </c>
      <c r="V4630" s="22">
        <f>4.23/5</f>
        <v>0.84600000000000009</v>
      </c>
      <c r="X4630" s="3">
        <v>3</v>
      </c>
      <c r="Z4630" s="23">
        <v>41.5</v>
      </c>
      <c r="AB4630" s="18">
        <f t="shared" si="144"/>
        <v>2010</v>
      </c>
      <c r="AC4630" s="22">
        <f t="shared" si="145"/>
        <v>0.72300000000000009</v>
      </c>
    </row>
    <row r="4631" spans="1:29">
      <c r="A4631" s="8" t="s">
        <v>7256</v>
      </c>
      <c r="B4631" s="17" t="s">
        <v>7781</v>
      </c>
      <c r="C4631" s="13">
        <v>40520</v>
      </c>
      <c r="D4631" s="13" t="s">
        <v>8465</v>
      </c>
      <c r="E4631" s="10" t="s">
        <v>7267</v>
      </c>
      <c r="F4631" s="10" t="s">
        <v>7267</v>
      </c>
      <c r="H4631" s="2" t="s">
        <v>80</v>
      </c>
      <c r="L4631" s="18">
        <v>0</v>
      </c>
      <c r="Q4631" s="18">
        <v>0</v>
      </c>
      <c r="W4631" s="15" t="str">
        <f>HYPERLINK("https://www.newgrounds.com/portal/view/555641", "Link")</f>
        <v>Link</v>
      </c>
      <c r="X4631" s="3">
        <v>3</v>
      </c>
      <c r="AB4631" s="18">
        <f t="shared" si="144"/>
        <v>2010</v>
      </c>
      <c r="AC4631" s="22">
        <f t="shared" si="145"/>
        <v>0.6</v>
      </c>
    </row>
    <row r="4632" spans="1:29" ht="30">
      <c r="A4632" s="8" t="s">
        <v>11572</v>
      </c>
      <c r="B4632" s="17" t="s">
        <v>7762</v>
      </c>
      <c r="C4632" s="13">
        <v>40519</v>
      </c>
      <c r="D4632" s="13" t="s">
        <v>8465</v>
      </c>
      <c r="E4632" s="10" t="s">
        <v>11188</v>
      </c>
      <c r="F4632" s="10" t="s">
        <v>11188</v>
      </c>
      <c r="H4632" s="2" t="s">
        <v>21</v>
      </c>
      <c r="L4632" s="18">
        <v>0</v>
      </c>
      <c r="Q4632" s="18">
        <v>0</v>
      </c>
      <c r="V4632" s="22">
        <f>3.66/5</f>
        <v>0.73199999999999998</v>
      </c>
      <c r="X4632" s="3">
        <v>3</v>
      </c>
      <c r="Z4632" s="23">
        <f>27/60</f>
        <v>0.45</v>
      </c>
      <c r="AB4632" s="18">
        <f t="shared" si="144"/>
        <v>2010</v>
      </c>
      <c r="AC4632" s="22">
        <f t="shared" si="145"/>
        <v>0.66599999999999993</v>
      </c>
    </row>
    <row r="4633" spans="1:29">
      <c r="A4633" s="8" t="s">
        <v>7248</v>
      </c>
      <c r="B4633" s="17" t="s">
        <v>7781</v>
      </c>
      <c r="C4633" s="13">
        <v>40519</v>
      </c>
      <c r="D4633" s="13" t="s">
        <v>8465</v>
      </c>
      <c r="E4633" s="10" t="s">
        <v>7260</v>
      </c>
      <c r="F4633" s="10" t="s">
        <v>7260</v>
      </c>
      <c r="H4633" s="2" t="s">
        <v>151</v>
      </c>
      <c r="L4633" s="18">
        <v>0</v>
      </c>
      <c r="Q4633" s="18">
        <v>0</v>
      </c>
      <c r="W4633" s="15" t="str">
        <f>HYPERLINK("https://www.kongregate.com/games/zillix/endeavor", "Link")</f>
        <v>Link</v>
      </c>
      <c r="X4633" s="3">
        <v>3</v>
      </c>
      <c r="AB4633" s="18">
        <f t="shared" si="144"/>
        <v>2010</v>
      </c>
      <c r="AC4633" s="22">
        <f t="shared" si="145"/>
        <v>0.6</v>
      </c>
    </row>
    <row r="4634" spans="1:29">
      <c r="A4634" s="8" t="s">
        <v>3287</v>
      </c>
      <c r="B4634" s="17" t="s">
        <v>7800</v>
      </c>
      <c r="C4634" s="13">
        <v>40519</v>
      </c>
      <c r="D4634" s="13" t="s">
        <v>8465</v>
      </c>
      <c r="E4634" s="10" t="s">
        <v>3288</v>
      </c>
      <c r="F4634" s="10" t="s">
        <v>3288</v>
      </c>
      <c r="G4634" s="11" t="s">
        <v>3289</v>
      </c>
      <c r="H4634" s="2" t="s">
        <v>78</v>
      </c>
      <c r="L4634" s="18">
        <v>1</v>
      </c>
      <c r="N4634" s="13">
        <v>42108</v>
      </c>
      <c r="P4634" s="18" t="s">
        <v>1107</v>
      </c>
      <c r="Q4634" s="18">
        <v>0</v>
      </c>
      <c r="U4634" s="22">
        <v>0.82</v>
      </c>
      <c r="V4634" s="22">
        <f>3.89/5</f>
        <v>0.77800000000000002</v>
      </c>
      <c r="W4634" s="14" t="s">
        <v>7777</v>
      </c>
      <c r="X4634" s="3">
        <v>2</v>
      </c>
      <c r="Z4634" s="23">
        <v>4.5</v>
      </c>
      <c r="AB4634" s="18">
        <f t="shared" si="144"/>
        <v>2010</v>
      </c>
      <c r="AC4634" s="22">
        <f t="shared" si="145"/>
        <v>0.66599999999999993</v>
      </c>
    </row>
    <row r="4635" spans="1:29">
      <c r="A4635" s="8" t="s">
        <v>11176</v>
      </c>
      <c r="B4635" s="17" t="s">
        <v>7742</v>
      </c>
      <c r="C4635" s="13">
        <v>40518</v>
      </c>
      <c r="D4635" s="13" t="s">
        <v>8465</v>
      </c>
      <c r="E4635" s="10" t="s">
        <v>86</v>
      </c>
      <c r="F4635" s="10" t="s">
        <v>3846</v>
      </c>
      <c r="G4635" s="11" t="s">
        <v>11176</v>
      </c>
      <c r="H4635" s="2" t="s">
        <v>78</v>
      </c>
      <c r="L4635" s="18">
        <v>0</v>
      </c>
      <c r="Q4635" s="18">
        <v>0</v>
      </c>
      <c r="U4635" s="22">
        <v>0.86</v>
      </c>
      <c r="V4635" s="22">
        <f>3.93/5</f>
        <v>0.78600000000000003</v>
      </c>
      <c r="X4635" s="3">
        <v>3</v>
      </c>
      <c r="Z4635" s="23">
        <v>8.5</v>
      </c>
      <c r="AB4635" s="18">
        <f t="shared" si="144"/>
        <v>2010</v>
      </c>
      <c r="AC4635" s="22">
        <f t="shared" si="145"/>
        <v>0.7486666666666667</v>
      </c>
    </row>
    <row r="4636" spans="1:29" ht="25.5">
      <c r="A4636" s="8" t="s">
        <v>7272</v>
      </c>
      <c r="B4636" s="17" t="s">
        <v>7783</v>
      </c>
      <c r="C4636" s="13">
        <v>40515</v>
      </c>
      <c r="D4636" s="13" t="s">
        <v>8465</v>
      </c>
      <c r="E4636" s="10" t="s">
        <v>4785</v>
      </c>
      <c r="F4636" s="10" t="s">
        <v>4785</v>
      </c>
      <c r="G4636" s="11" t="s">
        <v>7273</v>
      </c>
      <c r="H4636" s="2" t="s">
        <v>171</v>
      </c>
      <c r="L4636" s="18">
        <v>1</v>
      </c>
      <c r="N4636" s="13">
        <v>41255</v>
      </c>
      <c r="O4636" s="29">
        <v>0</v>
      </c>
      <c r="P4636" s="18" t="s">
        <v>1107</v>
      </c>
      <c r="Q4636" s="18">
        <v>0</v>
      </c>
      <c r="U4636" s="22">
        <v>0.84</v>
      </c>
      <c r="V4636" s="22">
        <f>3.56/5</f>
        <v>0.71199999999999997</v>
      </c>
      <c r="X4636" s="3">
        <v>2</v>
      </c>
      <c r="Z4636" s="23">
        <v>11</v>
      </c>
      <c r="AB4636" s="18">
        <f t="shared" si="144"/>
        <v>2010</v>
      </c>
      <c r="AC4636" s="22">
        <f t="shared" si="145"/>
        <v>0.65066666666666662</v>
      </c>
    </row>
    <row r="4637" spans="1:29">
      <c r="A4637" s="8" t="s">
        <v>5204</v>
      </c>
      <c r="B4637" s="17" t="s">
        <v>7800</v>
      </c>
      <c r="C4637" s="13">
        <v>40512</v>
      </c>
      <c r="D4637" s="13" t="s">
        <v>8465</v>
      </c>
      <c r="E4637" s="10" t="s">
        <v>5205</v>
      </c>
      <c r="F4637" s="10" t="s">
        <v>5205</v>
      </c>
      <c r="G4637" s="11" t="s">
        <v>5206</v>
      </c>
      <c r="H4637" s="2" t="s">
        <v>64</v>
      </c>
      <c r="L4637" s="18">
        <v>1</v>
      </c>
      <c r="N4637" s="13">
        <v>40890</v>
      </c>
      <c r="P4637" s="18" t="s">
        <v>1107</v>
      </c>
      <c r="Q4637" s="18">
        <v>0</v>
      </c>
      <c r="U4637" s="22">
        <v>0.91</v>
      </c>
      <c r="V4637" s="22">
        <f>4/5</f>
        <v>0.8</v>
      </c>
      <c r="W4637" s="14" t="s">
        <v>7777</v>
      </c>
      <c r="X4637" s="3">
        <v>4</v>
      </c>
      <c r="Z4637" s="23">
        <v>10</v>
      </c>
      <c r="AB4637" s="18">
        <f t="shared" si="144"/>
        <v>2010</v>
      </c>
      <c r="AC4637" s="22">
        <f t="shared" si="145"/>
        <v>0.83666666666666656</v>
      </c>
    </row>
    <row r="4638" spans="1:29">
      <c r="A4638" s="8" t="s">
        <v>994</v>
      </c>
      <c r="B4638" s="17" t="s">
        <v>7741</v>
      </c>
      <c r="C4638" s="13">
        <v>40512</v>
      </c>
      <c r="D4638" s="13" t="s">
        <v>8465</v>
      </c>
      <c r="E4638" s="10" t="s">
        <v>1532</v>
      </c>
      <c r="F4638" s="10" t="s">
        <v>1533</v>
      </c>
      <c r="G4638" s="11" t="s">
        <v>994</v>
      </c>
      <c r="H4638" s="2" t="s">
        <v>1040</v>
      </c>
      <c r="L4638" s="18">
        <v>1</v>
      </c>
      <c r="M4638" s="14" t="s">
        <v>8462</v>
      </c>
      <c r="N4638" s="13">
        <v>43569</v>
      </c>
      <c r="P4638" s="18" t="s">
        <v>14</v>
      </c>
      <c r="Q4638" s="18">
        <v>0</v>
      </c>
      <c r="U4638" s="22">
        <v>0.73</v>
      </c>
      <c r="V4638" s="22">
        <f>3.62/5</f>
        <v>0.72399999999999998</v>
      </c>
      <c r="X4638" s="3">
        <v>3</v>
      </c>
      <c r="Z4638" s="23">
        <v>13</v>
      </c>
      <c r="AB4638" s="18">
        <f t="shared" si="144"/>
        <v>2010</v>
      </c>
      <c r="AC4638" s="22">
        <f t="shared" si="145"/>
        <v>0.68466666666666665</v>
      </c>
    </row>
    <row r="4639" spans="1:29">
      <c r="A4639" s="8" t="s">
        <v>7247</v>
      </c>
      <c r="B4639" s="17" t="s">
        <v>7781</v>
      </c>
      <c r="C4639" s="13">
        <v>40512</v>
      </c>
      <c r="D4639" s="13" t="s">
        <v>8465</v>
      </c>
      <c r="E4639" s="10" t="s">
        <v>7259</v>
      </c>
      <c r="F4639" s="10" t="s">
        <v>7259</v>
      </c>
      <c r="H4639" s="2" t="s">
        <v>151</v>
      </c>
      <c r="L4639" s="18">
        <v>0</v>
      </c>
      <c r="Q4639" s="18">
        <v>0</v>
      </c>
      <c r="W4639" s="15" t="str">
        <f>HYPERLINK("https://www.kongregate.com/games/mofunzone/blue-knight", "Link")</f>
        <v>Link</v>
      </c>
      <c r="X4639" s="3">
        <v>3</v>
      </c>
      <c r="AB4639" s="18">
        <f t="shared" si="144"/>
        <v>2010</v>
      </c>
      <c r="AC4639" s="22">
        <f t="shared" si="145"/>
        <v>0.6</v>
      </c>
    </row>
    <row r="4640" spans="1:29" ht="25.5">
      <c r="A4640" s="8" t="s">
        <v>3613</v>
      </c>
      <c r="B4640" s="17" t="s">
        <v>7800</v>
      </c>
      <c r="C4640" s="13">
        <v>40512</v>
      </c>
      <c r="D4640" s="13" t="s">
        <v>8465</v>
      </c>
      <c r="E4640" s="10" t="s">
        <v>231</v>
      </c>
      <c r="F4640" s="10" t="s">
        <v>3612</v>
      </c>
      <c r="G4640" s="11" t="s">
        <v>3611</v>
      </c>
      <c r="H4640" s="2" t="s">
        <v>171</v>
      </c>
      <c r="L4640" s="18">
        <v>1</v>
      </c>
      <c r="N4640" s="13">
        <v>41564</v>
      </c>
      <c r="P4640" s="18" t="s">
        <v>1107</v>
      </c>
      <c r="Q4640" s="18">
        <v>0</v>
      </c>
      <c r="U4640" s="22">
        <v>0.79</v>
      </c>
      <c r="V4640" s="22">
        <f>3.47/5</f>
        <v>0.69400000000000006</v>
      </c>
      <c r="W4640" s="14" t="s">
        <v>7777</v>
      </c>
      <c r="X4640" s="3">
        <v>2</v>
      </c>
      <c r="Z4640" s="23">
        <v>10</v>
      </c>
      <c r="AB4640" s="18">
        <f t="shared" si="144"/>
        <v>2010</v>
      </c>
      <c r="AC4640" s="22">
        <f t="shared" si="145"/>
        <v>0.628</v>
      </c>
    </row>
    <row r="4641" spans="1:29" ht="30">
      <c r="A4641" s="8" t="s">
        <v>2246</v>
      </c>
      <c r="B4641" s="17" t="s">
        <v>7748</v>
      </c>
      <c r="C4641" s="13">
        <v>40511</v>
      </c>
      <c r="D4641" s="13" t="s">
        <v>8465</v>
      </c>
      <c r="E4641" s="10" t="s">
        <v>86</v>
      </c>
      <c r="F4641" s="10" t="s">
        <v>1160</v>
      </c>
      <c r="G4641" s="11" t="s">
        <v>1982</v>
      </c>
      <c r="H4641" s="2" t="s">
        <v>149</v>
      </c>
      <c r="L4641" s="18">
        <v>0</v>
      </c>
      <c r="Q4641" s="18">
        <v>0</v>
      </c>
      <c r="U4641" s="22">
        <v>0.81</v>
      </c>
      <c r="V4641" s="22">
        <f>3.95/5</f>
        <v>0.79</v>
      </c>
      <c r="X4641" s="3">
        <v>4</v>
      </c>
      <c r="Z4641" s="23">
        <v>27</v>
      </c>
      <c r="AB4641" s="18">
        <f t="shared" si="144"/>
        <v>2010</v>
      </c>
      <c r="AC4641" s="22">
        <f t="shared" si="145"/>
        <v>0.80000000000000016</v>
      </c>
    </row>
    <row r="4642" spans="1:29" ht="30">
      <c r="A4642" s="8" t="s">
        <v>8022</v>
      </c>
      <c r="B4642" s="17" t="s">
        <v>7759</v>
      </c>
      <c r="C4642" s="13">
        <v>40506</v>
      </c>
      <c r="D4642" s="13" t="s">
        <v>8465</v>
      </c>
      <c r="E4642" s="10" t="s">
        <v>2908</v>
      </c>
      <c r="F4642" s="10" t="s">
        <v>8019</v>
      </c>
      <c r="G4642" s="11" t="s">
        <v>8016</v>
      </c>
      <c r="H4642" s="2" t="s">
        <v>150</v>
      </c>
      <c r="L4642" s="18">
        <v>0</v>
      </c>
      <c r="Q4642" s="18">
        <v>0</v>
      </c>
      <c r="U4642" s="22">
        <v>0.84330000000000005</v>
      </c>
      <c r="V4642" s="22">
        <f>4.12/5</f>
        <v>0.82400000000000007</v>
      </c>
      <c r="X4642" s="3">
        <v>3</v>
      </c>
      <c r="Y4642" s="18">
        <v>1</v>
      </c>
      <c r="Z4642" s="23">
        <v>45.5</v>
      </c>
      <c r="AB4642" s="18">
        <f t="shared" si="144"/>
        <v>2010</v>
      </c>
      <c r="AC4642" s="22">
        <f t="shared" si="145"/>
        <v>0.7557666666666667</v>
      </c>
    </row>
    <row r="4643" spans="1:29" ht="30">
      <c r="A4643" s="8" t="s">
        <v>303</v>
      </c>
      <c r="B4643" s="17" t="s">
        <v>7759</v>
      </c>
      <c r="C4643" s="13">
        <v>40505</v>
      </c>
      <c r="D4643" s="13" t="s">
        <v>8465</v>
      </c>
      <c r="E4643" s="10" t="s">
        <v>1604</v>
      </c>
      <c r="F4643" s="10" t="s">
        <v>6020</v>
      </c>
      <c r="G4643" s="11" t="s">
        <v>303</v>
      </c>
      <c r="H4643" s="2" t="s">
        <v>1059</v>
      </c>
      <c r="L4643" s="18">
        <v>1</v>
      </c>
      <c r="M4643" s="14" t="s">
        <v>8462</v>
      </c>
      <c r="N4643" s="13">
        <v>43559</v>
      </c>
      <c r="O4643" s="29">
        <v>20.99</v>
      </c>
      <c r="P4643" s="18" t="s">
        <v>14</v>
      </c>
      <c r="Q4643" s="18">
        <v>0</v>
      </c>
      <c r="U4643" s="22">
        <v>0.61</v>
      </c>
      <c r="V4643" s="22">
        <f>3.52/5</f>
        <v>0.70399999999999996</v>
      </c>
      <c r="X4643" s="3">
        <v>3</v>
      </c>
      <c r="Z4643" s="23">
        <v>8.5</v>
      </c>
      <c r="AB4643" s="18">
        <f t="shared" si="144"/>
        <v>2010</v>
      </c>
      <c r="AC4643" s="22">
        <f t="shared" si="145"/>
        <v>0.63800000000000001</v>
      </c>
    </row>
    <row r="4644" spans="1:29" ht="25.5">
      <c r="A4644" s="8" t="s">
        <v>13146</v>
      </c>
      <c r="B4644" s="17" t="s">
        <v>7759</v>
      </c>
      <c r="C4644" s="13">
        <v>40505</v>
      </c>
      <c r="D4644" s="13" t="s">
        <v>8465</v>
      </c>
      <c r="E4644" s="10" t="s">
        <v>1509</v>
      </c>
      <c r="F4644" s="10" t="s">
        <v>6259</v>
      </c>
      <c r="H4644" s="2" t="s">
        <v>80</v>
      </c>
      <c r="L4644" s="18">
        <v>0</v>
      </c>
      <c r="Q4644" s="18">
        <v>0</v>
      </c>
      <c r="U4644" s="22">
        <v>0.72</v>
      </c>
      <c r="V4644" s="22">
        <f>3.86/5</f>
        <v>0.77200000000000002</v>
      </c>
      <c r="X4644" s="3">
        <v>2</v>
      </c>
      <c r="Y4644" s="18">
        <v>1</v>
      </c>
      <c r="Z4644" s="23">
        <v>14</v>
      </c>
      <c r="AB4644" s="18">
        <f t="shared" si="144"/>
        <v>2010</v>
      </c>
      <c r="AC4644" s="22">
        <f t="shared" si="145"/>
        <v>0.6306666666666666</v>
      </c>
    </row>
    <row r="4645" spans="1:29" ht="25.5">
      <c r="A4645" s="8" t="s">
        <v>4725</v>
      </c>
      <c r="B4645" s="17" t="s">
        <v>7800</v>
      </c>
      <c r="C4645" s="13">
        <v>40504</v>
      </c>
      <c r="D4645" s="13" t="s">
        <v>8465</v>
      </c>
      <c r="E4645" s="10" t="s">
        <v>3246</v>
      </c>
      <c r="F4645" s="10" t="s">
        <v>3246</v>
      </c>
      <c r="G4645" s="11" t="s">
        <v>4724</v>
      </c>
      <c r="H4645" s="2" t="s">
        <v>3411</v>
      </c>
      <c r="L4645" s="18">
        <v>1</v>
      </c>
      <c r="N4645" s="13">
        <v>41211</v>
      </c>
      <c r="O4645" s="29">
        <v>0</v>
      </c>
      <c r="P4645" s="18" t="s">
        <v>1107</v>
      </c>
      <c r="Q4645" s="18">
        <v>0</v>
      </c>
      <c r="U4645" s="22">
        <v>0.78</v>
      </c>
      <c r="V4645" s="22">
        <f>3.47/5</f>
        <v>0.69400000000000006</v>
      </c>
      <c r="W4645" s="14" t="s">
        <v>7777</v>
      </c>
      <c r="X4645" s="3">
        <v>2</v>
      </c>
      <c r="Z4645" s="23">
        <v>3</v>
      </c>
      <c r="AB4645" s="18">
        <f t="shared" si="144"/>
        <v>2010</v>
      </c>
      <c r="AC4645" s="22">
        <f t="shared" si="145"/>
        <v>0.6246666666666667</v>
      </c>
    </row>
    <row r="4646" spans="1:29" ht="25.5">
      <c r="A4646" s="8" t="s">
        <v>991</v>
      </c>
      <c r="B4646" s="17" t="s">
        <v>7741</v>
      </c>
      <c r="C4646" s="13">
        <v>40503</v>
      </c>
      <c r="D4646" s="13" t="s">
        <v>8465</v>
      </c>
      <c r="E4646" s="10" t="s">
        <v>86</v>
      </c>
      <c r="F4646" s="10" t="s">
        <v>1139</v>
      </c>
      <c r="G4646" s="11" t="s">
        <v>1254</v>
      </c>
      <c r="H4646" s="2" t="s">
        <v>64</v>
      </c>
      <c r="L4646" s="18">
        <v>0</v>
      </c>
      <c r="Q4646" s="18">
        <v>0</v>
      </c>
      <c r="U4646" s="22">
        <v>0.88</v>
      </c>
      <c r="V4646" s="22">
        <f>4.15/5</f>
        <v>0.83000000000000007</v>
      </c>
      <c r="X4646" s="3">
        <v>3</v>
      </c>
      <c r="Z4646" s="23">
        <v>12</v>
      </c>
      <c r="AB4646" s="18">
        <f t="shared" si="144"/>
        <v>2010</v>
      </c>
      <c r="AC4646" s="22">
        <f t="shared" si="145"/>
        <v>0.77</v>
      </c>
    </row>
    <row r="4647" spans="1:29" ht="30">
      <c r="A4647" s="8" t="s">
        <v>9140</v>
      </c>
      <c r="B4647" s="17" t="s">
        <v>7762</v>
      </c>
      <c r="C4647" s="13">
        <v>40500</v>
      </c>
      <c r="D4647" s="13" t="s">
        <v>8463</v>
      </c>
      <c r="E4647" s="10" t="s">
        <v>2285</v>
      </c>
      <c r="F4647" s="10" t="s">
        <v>6037</v>
      </c>
      <c r="G4647" s="11" t="s">
        <v>9140</v>
      </c>
      <c r="H4647" s="2" t="s">
        <v>1377</v>
      </c>
      <c r="K4647" s="18">
        <v>0</v>
      </c>
      <c r="L4647" s="18">
        <v>0</v>
      </c>
      <c r="Q4647" s="18">
        <v>0</v>
      </c>
      <c r="V4647" s="22">
        <f>4.04/5</f>
        <v>0.80800000000000005</v>
      </c>
      <c r="X4647" s="3">
        <v>2</v>
      </c>
      <c r="Z4647" s="23">
        <v>18.5</v>
      </c>
      <c r="AB4647" s="18">
        <f t="shared" si="144"/>
        <v>2010</v>
      </c>
      <c r="AC4647" s="22">
        <f t="shared" si="145"/>
        <v>0.60400000000000009</v>
      </c>
    </row>
    <row r="4648" spans="1:29">
      <c r="A4648" s="8" t="s">
        <v>3140</v>
      </c>
      <c r="B4648" s="17" t="s">
        <v>7800</v>
      </c>
      <c r="C4648" s="13">
        <v>40499</v>
      </c>
      <c r="D4648" s="13" t="s">
        <v>8465</v>
      </c>
      <c r="E4648" s="10" t="s">
        <v>1634</v>
      </c>
      <c r="F4648" s="10" t="s">
        <v>1634</v>
      </c>
      <c r="G4648" s="11" t="s">
        <v>3139</v>
      </c>
      <c r="H4648" s="2" t="s">
        <v>2138</v>
      </c>
      <c r="L4648" s="18">
        <v>1</v>
      </c>
      <c r="N4648" s="13">
        <v>41956</v>
      </c>
      <c r="P4648" s="18" t="s">
        <v>1107</v>
      </c>
      <c r="Q4648" s="18">
        <v>0</v>
      </c>
      <c r="U4648" s="22">
        <v>0.56000000000000005</v>
      </c>
      <c r="V4648" s="22">
        <f>2.65/5</f>
        <v>0.53</v>
      </c>
      <c r="W4648" s="14" t="s">
        <v>7777</v>
      </c>
      <c r="X4648" s="3">
        <v>2</v>
      </c>
      <c r="Z4648" s="23">
        <v>5</v>
      </c>
      <c r="AB4648" s="18">
        <f t="shared" si="144"/>
        <v>2010</v>
      </c>
      <c r="AC4648" s="22">
        <f t="shared" si="145"/>
        <v>0.49666666666666676</v>
      </c>
    </row>
    <row r="4649" spans="1:29" ht="25.5">
      <c r="A4649" s="8" t="s">
        <v>4517</v>
      </c>
      <c r="B4649" s="17" t="s">
        <v>7800</v>
      </c>
      <c r="C4649" s="13">
        <v>40498</v>
      </c>
      <c r="D4649" s="13" t="s">
        <v>8465</v>
      </c>
      <c r="E4649" s="10" t="s">
        <v>231</v>
      </c>
      <c r="F4649" s="10" t="s">
        <v>3393</v>
      </c>
      <c r="G4649" s="11" t="s">
        <v>4518</v>
      </c>
      <c r="H4649" s="2" t="s">
        <v>150</v>
      </c>
      <c r="L4649" s="18">
        <v>1</v>
      </c>
      <c r="N4649" s="13">
        <v>41705</v>
      </c>
      <c r="O4649" s="29">
        <v>4.87</v>
      </c>
      <c r="P4649" s="18" t="s">
        <v>1107</v>
      </c>
      <c r="Q4649" s="18">
        <v>0</v>
      </c>
      <c r="U4649" s="22">
        <v>0.86</v>
      </c>
      <c r="V4649" s="22">
        <f>3.74/5</f>
        <v>0.748</v>
      </c>
      <c r="W4649" s="14" t="s">
        <v>7777</v>
      </c>
      <c r="X4649" s="3">
        <v>3</v>
      </c>
      <c r="Z4649" s="23">
        <v>14</v>
      </c>
      <c r="AB4649" s="18">
        <f t="shared" si="144"/>
        <v>2010</v>
      </c>
      <c r="AC4649" s="22">
        <f t="shared" si="145"/>
        <v>0.7360000000000001</v>
      </c>
    </row>
    <row r="4650" spans="1:29">
      <c r="A4650" s="8" t="s">
        <v>2215</v>
      </c>
      <c r="B4650" s="17" t="s">
        <v>7741</v>
      </c>
      <c r="C4650" s="13">
        <v>40498</v>
      </c>
      <c r="D4650" s="13" t="s">
        <v>8465</v>
      </c>
      <c r="E4650" s="10" t="s">
        <v>455</v>
      </c>
      <c r="F4650" s="10" t="s">
        <v>1492</v>
      </c>
      <c r="G4650" s="11" t="s">
        <v>1688</v>
      </c>
      <c r="H4650" s="2" t="s">
        <v>64</v>
      </c>
      <c r="L4650" s="18">
        <v>0</v>
      </c>
      <c r="Q4650" s="18">
        <v>0</v>
      </c>
      <c r="U4650" s="22">
        <v>0.78</v>
      </c>
      <c r="V4650" s="22">
        <f>3.93/5</f>
        <v>0.78600000000000003</v>
      </c>
      <c r="X4650" s="3">
        <v>3</v>
      </c>
      <c r="Z4650" s="23">
        <v>5</v>
      </c>
      <c r="AB4650" s="18">
        <f t="shared" si="144"/>
        <v>2010</v>
      </c>
      <c r="AC4650" s="22">
        <f t="shared" si="145"/>
        <v>0.72199999999999998</v>
      </c>
    </row>
    <row r="4651" spans="1:29">
      <c r="A4651" s="8" t="s">
        <v>2215</v>
      </c>
      <c r="B4651" s="17" t="s">
        <v>7748</v>
      </c>
      <c r="C4651" s="13">
        <v>40498</v>
      </c>
      <c r="D4651" s="13" t="s">
        <v>8465</v>
      </c>
      <c r="E4651" s="10" t="s">
        <v>455</v>
      </c>
      <c r="F4651" s="10" t="s">
        <v>1232</v>
      </c>
      <c r="G4651" s="11" t="s">
        <v>1688</v>
      </c>
      <c r="H4651" s="2" t="s">
        <v>64</v>
      </c>
      <c r="L4651" s="18">
        <v>0</v>
      </c>
      <c r="Q4651" s="18">
        <v>0</v>
      </c>
      <c r="U4651" s="22">
        <v>0.78</v>
      </c>
      <c r="V4651" s="22">
        <f>3.74/5</f>
        <v>0.748</v>
      </c>
      <c r="X4651" s="3">
        <v>3</v>
      </c>
      <c r="Z4651" s="23">
        <v>5</v>
      </c>
      <c r="AB4651" s="18">
        <f t="shared" si="144"/>
        <v>2010</v>
      </c>
      <c r="AC4651" s="22">
        <f t="shared" si="145"/>
        <v>0.70933333333333337</v>
      </c>
    </row>
    <row r="4652" spans="1:29" ht="30">
      <c r="A4652" s="8" t="s">
        <v>7456</v>
      </c>
      <c r="B4652" s="17" t="s">
        <v>7762</v>
      </c>
      <c r="C4652" s="13">
        <v>40498</v>
      </c>
      <c r="D4652" s="13" t="s">
        <v>8465</v>
      </c>
      <c r="E4652" s="10" t="s">
        <v>1047</v>
      </c>
      <c r="F4652" s="10" t="s">
        <v>7455</v>
      </c>
      <c r="G4652" s="11" t="s">
        <v>2474</v>
      </c>
      <c r="H4652" s="2" t="s">
        <v>7448</v>
      </c>
      <c r="L4652" s="18">
        <v>0</v>
      </c>
      <c r="Q4652" s="18">
        <v>0</v>
      </c>
      <c r="U4652" s="22">
        <v>0.56000000000000005</v>
      </c>
      <c r="V4652" s="22">
        <f>4.22/5</f>
        <v>0.84399999999999997</v>
      </c>
      <c r="X4652" s="3">
        <v>2</v>
      </c>
      <c r="Z4652" s="23">
        <v>4</v>
      </c>
      <c r="AB4652" s="18">
        <f t="shared" si="144"/>
        <v>2010</v>
      </c>
      <c r="AC4652" s="22">
        <f t="shared" si="145"/>
        <v>0.60133333333333328</v>
      </c>
    </row>
    <row r="4653" spans="1:29">
      <c r="A4653" s="8" t="s">
        <v>5620</v>
      </c>
      <c r="B4653" s="17" t="s">
        <v>7800</v>
      </c>
      <c r="C4653" s="13">
        <v>40498</v>
      </c>
      <c r="D4653" s="13" t="s">
        <v>8465</v>
      </c>
      <c r="E4653" s="10" t="s">
        <v>5621</v>
      </c>
      <c r="F4653" s="10" t="s">
        <v>5621</v>
      </c>
      <c r="G4653" s="11" t="s">
        <v>5622</v>
      </c>
      <c r="H4653" s="2" t="s">
        <v>78</v>
      </c>
      <c r="L4653" s="18">
        <v>1</v>
      </c>
      <c r="N4653" s="13">
        <v>41228</v>
      </c>
      <c r="P4653" s="18" t="s">
        <v>1107</v>
      </c>
      <c r="Q4653" s="18">
        <v>0</v>
      </c>
      <c r="U4653" s="22">
        <v>0.75</v>
      </c>
      <c r="V4653" s="22">
        <f>3.08/5</f>
        <v>0.61599999999999999</v>
      </c>
      <c r="W4653" s="14" t="s">
        <v>7777</v>
      </c>
      <c r="X4653" s="3">
        <v>2</v>
      </c>
      <c r="Z4653" s="23">
        <v>4.5</v>
      </c>
      <c r="AB4653" s="18">
        <f t="shared" si="144"/>
        <v>2010</v>
      </c>
      <c r="AC4653" s="22">
        <f t="shared" si="145"/>
        <v>0.58866666666666667</v>
      </c>
    </row>
    <row r="4654" spans="1:29" ht="25.5">
      <c r="A4654" s="8" t="s">
        <v>7447</v>
      </c>
      <c r="B4654" s="17" t="s">
        <v>7741</v>
      </c>
      <c r="C4654" s="13">
        <v>40498</v>
      </c>
      <c r="D4654" s="13" t="s">
        <v>8465</v>
      </c>
      <c r="E4654" s="10" t="s">
        <v>1047</v>
      </c>
      <c r="F4654" s="10" t="s">
        <v>1535</v>
      </c>
      <c r="G4654" s="11" t="s">
        <v>2474</v>
      </c>
      <c r="H4654" s="2" t="s">
        <v>7448</v>
      </c>
      <c r="L4654" s="18">
        <v>0</v>
      </c>
      <c r="Q4654" s="18">
        <v>0</v>
      </c>
      <c r="U4654" s="22">
        <v>0.47</v>
      </c>
      <c r="V4654" s="22">
        <f>4.1/5</f>
        <v>0.82</v>
      </c>
      <c r="X4654" s="3">
        <v>2</v>
      </c>
      <c r="Z4654" s="23">
        <v>20</v>
      </c>
      <c r="AB4654" s="18">
        <f t="shared" si="144"/>
        <v>2010</v>
      </c>
      <c r="AC4654" s="22">
        <f t="shared" si="145"/>
        <v>0.56333333333333335</v>
      </c>
    </row>
    <row r="4655" spans="1:29" ht="25.5">
      <c r="A4655" s="8" t="s">
        <v>13456</v>
      </c>
      <c r="B4655" s="17" t="s">
        <v>7759</v>
      </c>
      <c r="C4655" s="13">
        <v>40498</v>
      </c>
      <c r="D4655" s="13" t="s">
        <v>8465</v>
      </c>
      <c r="E4655" s="10" t="s">
        <v>231</v>
      </c>
      <c r="F4655" s="10" t="s">
        <v>13455</v>
      </c>
      <c r="G4655" s="11" t="s">
        <v>13449</v>
      </c>
      <c r="H4655" s="2" t="s">
        <v>80</v>
      </c>
      <c r="L4655" s="18">
        <v>0</v>
      </c>
      <c r="Q4655" s="18">
        <v>0</v>
      </c>
      <c r="U4655" s="22">
        <v>0.38</v>
      </c>
      <c r="V4655" s="22">
        <f>2.86/5</f>
        <v>0.57199999999999995</v>
      </c>
      <c r="X4655" s="3">
        <v>2</v>
      </c>
      <c r="Y4655" s="18">
        <v>1</v>
      </c>
      <c r="Z4655" s="23">
        <v>5</v>
      </c>
      <c r="AB4655" s="18">
        <f t="shared" si="144"/>
        <v>2010</v>
      </c>
      <c r="AC4655" s="22">
        <f t="shared" si="145"/>
        <v>0.4506666666666666</v>
      </c>
    </row>
    <row r="4656" spans="1:29" ht="38.25">
      <c r="A4656" s="8" t="s">
        <v>2199</v>
      </c>
      <c r="B4656" s="17" t="s">
        <v>7748</v>
      </c>
      <c r="C4656" s="13">
        <v>40496</v>
      </c>
      <c r="D4656" s="13" t="s">
        <v>8465</v>
      </c>
      <c r="E4656" s="10" t="s">
        <v>86</v>
      </c>
      <c r="F4656" s="10" t="s">
        <v>1506</v>
      </c>
      <c r="G4656" s="11" t="s">
        <v>1964</v>
      </c>
      <c r="H4656" s="2" t="s">
        <v>78</v>
      </c>
      <c r="L4656" s="18">
        <v>0</v>
      </c>
      <c r="Q4656" s="18">
        <v>0</v>
      </c>
      <c r="U4656" s="22">
        <v>0.8</v>
      </c>
      <c r="V4656" s="22">
        <f>3.61/5</f>
        <v>0.72199999999999998</v>
      </c>
      <c r="X4656" s="3">
        <v>3</v>
      </c>
      <c r="Z4656" s="23">
        <v>5.5</v>
      </c>
      <c r="AB4656" s="18">
        <f t="shared" si="144"/>
        <v>2010</v>
      </c>
      <c r="AC4656" s="22">
        <f t="shared" si="145"/>
        <v>0.70733333333333326</v>
      </c>
    </row>
    <row r="4657" spans="1:29">
      <c r="A4657" s="8" t="s">
        <v>6678</v>
      </c>
      <c r="B4657" s="17" t="s">
        <v>7748</v>
      </c>
      <c r="C4657" s="13">
        <v>40491</v>
      </c>
      <c r="D4657" s="13" t="s">
        <v>8465</v>
      </c>
      <c r="E4657" s="10" t="s">
        <v>1273</v>
      </c>
      <c r="F4657" s="10" t="s">
        <v>2454</v>
      </c>
      <c r="G4657" s="11" t="s">
        <v>3401</v>
      </c>
      <c r="H4657" s="2" t="s">
        <v>1050</v>
      </c>
      <c r="L4657" s="18">
        <v>0</v>
      </c>
      <c r="Q4657" s="18">
        <v>0</v>
      </c>
      <c r="U4657" s="22">
        <v>0.74</v>
      </c>
      <c r="V4657" s="22">
        <f>3.23/5</f>
        <v>0.64600000000000002</v>
      </c>
      <c r="X4657" s="3">
        <v>2</v>
      </c>
      <c r="Z4657" s="23">
        <v>7</v>
      </c>
      <c r="AB4657" s="18">
        <f t="shared" si="144"/>
        <v>2010</v>
      </c>
      <c r="AC4657" s="22">
        <f t="shared" si="145"/>
        <v>0.59533333333333338</v>
      </c>
    </row>
    <row r="4658" spans="1:29">
      <c r="A4658" s="8" t="s">
        <v>6678</v>
      </c>
      <c r="B4658" s="17" t="s">
        <v>7741</v>
      </c>
      <c r="C4658" s="13">
        <v>40491</v>
      </c>
      <c r="D4658" s="13" t="s">
        <v>8465</v>
      </c>
      <c r="E4658" s="10" t="s">
        <v>1273</v>
      </c>
      <c r="F4658" s="10" t="s">
        <v>1508</v>
      </c>
      <c r="G4658" s="11" t="s">
        <v>3401</v>
      </c>
      <c r="H4658" s="2" t="s">
        <v>1050</v>
      </c>
      <c r="L4658" s="18">
        <v>0</v>
      </c>
      <c r="Q4658" s="18">
        <v>0</v>
      </c>
      <c r="U4658" s="22">
        <v>0.81</v>
      </c>
      <c r="V4658" s="22">
        <f>4/5</f>
        <v>0.8</v>
      </c>
      <c r="X4658" s="3">
        <v>2</v>
      </c>
      <c r="Z4658" s="23">
        <v>7</v>
      </c>
      <c r="AB4658" s="18">
        <f t="shared" si="144"/>
        <v>2010</v>
      </c>
      <c r="AC4658" s="22">
        <f t="shared" si="145"/>
        <v>0.67</v>
      </c>
    </row>
    <row r="4659" spans="1:29">
      <c r="A4659" s="8" t="s">
        <v>6678</v>
      </c>
      <c r="B4659" s="17" t="s">
        <v>7800</v>
      </c>
      <c r="C4659" s="13">
        <v>40491</v>
      </c>
      <c r="D4659" s="13" t="s">
        <v>8465</v>
      </c>
      <c r="E4659" s="10" t="s">
        <v>1273</v>
      </c>
      <c r="F4659" s="10" t="s">
        <v>1508</v>
      </c>
      <c r="G4659" s="11" t="s">
        <v>3401</v>
      </c>
      <c r="H4659" s="2" t="s">
        <v>1050</v>
      </c>
      <c r="L4659" s="18">
        <v>1</v>
      </c>
      <c r="N4659" s="13">
        <v>44210</v>
      </c>
      <c r="O4659" s="29">
        <v>15.67</v>
      </c>
      <c r="P4659" s="18" t="s">
        <v>1107</v>
      </c>
      <c r="Q4659" s="18">
        <v>0</v>
      </c>
      <c r="U4659" s="22">
        <v>0.81</v>
      </c>
      <c r="V4659" s="22">
        <f>3.6/5</f>
        <v>0.72</v>
      </c>
      <c r="W4659" s="14" t="s">
        <v>7777</v>
      </c>
      <c r="X4659" s="3">
        <v>4</v>
      </c>
      <c r="Z4659" s="23">
        <v>7</v>
      </c>
      <c r="AB4659" s="18">
        <f t="shared" si="144"/>
        <v>2010</v>
      </c>
      <c r="AC4659" s="22">
        <f t="shared" si="145"/>
        <v>0.77666666666666673</v>
      </c>
    </row>
    <row r="4660" spans="1:29" ht="30">
      <c r="A4660" s="8" t="s">
        <v>6035</v>
      </c>
      <c r="B4660" s="17" t="s">
        <v>7759</v>
      </c>
      <c r="C4660" s="13">
        <v>40491</v>
      </c>
      <c r="D4660" s="13" t="s">
        <v>8465</v>
      </c>
      <c r="E4660" s="10" t="s">
        <v>2908</v>
      </c>
      <c r="F4660" s="10" t="s">
        <v>5954</v>
      </c>
      <c r="G4660" s="11" t="s">
        <v>5886</v>
      </c>
      <c r="H4660" s="2" t="s">
        <v>1040</v>
      </c>
      <c r="L4660" s="18">
        <v>1</v>
      </c>
      <c r="M4660" s="14" t="s">
        <v>8462</v>
      </c>
      <c r="N4660" s="13">
        <v>43483</v>
      </c>
      <c r="O4660" s="29">
        <v>19.989999999999998</v>
      </c>
      <c r="P4660" s="18" t="s">
        <v>14</v>
      </c>
      <c r="Q4660" s="18">
        <v>0</v>
      </c>
      <c r="U4660" s="22">
        <v>0.87</v>
      </c>
      <c r="V4660" s="22">
        <f>4.22/5</f>
        <v>0.84399999999999997</v>
      </c>
      <c r="X4660" s="3">
        <v>4</v>
      </c>
      <c r="Z4660" s="23">
        <v>30.5</v>
      </c>
      <c r="AB4660" s="18">
        <f t="shared" si="144"/>
        <v>2010</v>
      </c>
      <c r="AC4660" s="22">
        <f t="shared" si="145"/>
        <v>0.83800000000000008</v>
      </c>
    </row>
    <row r="4661" spans="1:29" ht="25.5">
      <c r="A4661" s="8" t="s">
        <v>2210</v>
      </c>
      <c r="B4661" s="17" t="s">
        <v>7748</v>
      </c>
      <c r="C4661" s="13">
        <v>40491</v>
      </c>
      <c r="D4661" s="13" t="s">
        <v>8465</v>
      </c>
      <c r="E4661" s="10" t="s">
        <v>66</v>
      </c>
      <c r="F4661" s="10" t="s">
        <v>1269</v>
      </c>
      <c r="G4661" s="11" t="s">
        <v>1540</v>
      </c>
      <c r="H4661" s="2" t="s">
        <v>171</v>
      </c>
      <c r="L4661" s="18">
        <v>0</v>
      </c>
      <c r="Q4661" s="18">
        <v>0</v>
      </c>
      <c r="U4661" s="22">
        <v>0.79</v>
      </c>
      <c r="V4661" s="22">
        <f>4.28/5</f>
        <v>0.85600000000000009</v>
      </c>
      <c r="X4661" s="3">
        <v>3</v>
      </c>
      <c r="Z4661" s="23">
        <v>20</v>
      </c>
      <c r="AB4661" s="18">
        <f t="shared" si="144"/>
        <v>2010</v>
      </c>
      <c r="AC4661" s="22">
        <f t="shared" si="145"/>
        <v>0.7486666666666667</v>
      </c>
    </row>
    <row r="4662" spans="1:29">
      <c r="A4662" s="8" t="s">
        <v>14734</v>
      </c>
      <c r="B4662" s="17" t="s">
        <v>7741</v>
      </c>
      <c r="C4662" s="13">
        <v>40489</v>
      </c>
      <c r="D4662" s="13" t="s">
        <v>8465</v>
      </c>
      <c r="E4662" s="10" t="s">
        <v>86</v>
      </c>
      <c r="F4662" s="10" t="s">
        <v>2135</v>
      </c>
      <c r="H4662" s="2" t="s">
        <v>31</v>
      </c>
      <c r="L4662" s="18">
        <v>0</v>
      </c>
      <c r="Q4662" s="18">
        <v>0</v>
      </c>
      <c r="U4662" s="22">
        <v>0.48</v>
      </c>
      <c r="V4662" s="22">
        <f>3.19/5</f>
        <v>0.63800000000000001</v>
      </c>
      <c r="X4662" s="3">
        <v>2</v>
      </c>
      <c r="Z4662" s="23">
        <v>3.5</v>
      </c>
      <c r="AB4662" s="18">
        <f t="shared" si="144"/>
        <v>2010</v>
      </c>
      <c r="AC4662" s="22">
        <f t="shared" si="145"/>
        <v>0.50599999999999989</v>
      </c>
    </row>
    <row r="4663" spans="1:29" ht="30">
      <c r="A4663" s="8" t="s">
        <v>8387</v>
      </c>
      <c r="B4663" s="17" t="s">
        <v>7741</v>
      </c>
      <c r="C4663" s="13">
        <v>40487</v>
      </c>
      <c r="D4663" s="13" t="s">
        <v>8465</v>
      </c>
      <c r="E4663" s="10" t="s">
        <v>1551</v>
      </c>
      <c r="F4663" s="10" t="s">
        <v>8385</v>
      </c>
      <c r="G4663" s="11" t="s">
        <v>8386</v>
      </c>
      <c r="H4663" s="2" t="s">
        <v>1142</v>
      </c>
      <c r="L4663" s="18">
        <v>1</v>
      </c>
      <c r="M4663" s="14" t="s">
        <v>11021</v>
      </c>
      <c r="N4663" s="13">
        <v>43880</v>
      </c>
      <c r="O4663" s="29">
        <v>5.41</v>
      </c>
      <c r="P4663" s="18" t="s">
        <v>14</v>
      </c>
      <c r="Q4663" s="18">
        <v>0</v>
      </c>
      <c r="V4663" s="22">
        <f>3.21/5</f>
        <v>0.64200000000000002</v>
      </c>
      <c r="X4663" s="3">
        <v>2</v>
      </c>
      <c r="Z4663" s="23">
        <v>7</v>
      </c>
      <c r="AB4663" s="18">
        <f t="shared" si="144"/>
        <v>2010</v>
      </c>
      <c r="AC4663" s="22">
        <f t="shared" si="145"/>
        <v>0.52100000000000002</v>
      </c>
    </row>
    <row r="4664" spans="1:29">
      <c r="A4664" s="8" t="s">
        <v>14584</v>
      </c>
      <c r="B4664" s="17" t="s">
        <v>7765</v>
      </c>
      <c r="C4664" s="13">
        <v>40486</v>
      </c>
      <c r="D4664" s="13" t="s">
        <v>8465</v>
      </c>
      <c r="E4664" s="10" t="s">
        <v>455</v>
      </c>
      <c r="F4664" s="10" t="s">
        <v>1492</v>
      </c>
      <c r="G4664" s="11" t="s">
        <v>1688</v>
      </c>
      <c r="H4664" s="2" t="s">
        <v>150</v>
      </c>
      <c r="L4664" s="18">
        <v>0</v>
      </c>
      <c r="Q4664" s="18">
        <v>0</v>
      </c>
      <c r="U4664" s="22">
        <v>0.47</v>
      </c>
      <c r="V4664" s="22">
        <f>2.32/5</f>
        <v>0.46399999999999997</v>
      </c>
      <c r="X4664" s="3">
        <v>2</v>
      </c>
      <c r="Y4664" s="18">
        <v>1</v>
      </c>
      <c r="Z4664" s="23">
        <v>8</v>
      </c>
      <c r="AB4664" s="18">
        <f t="shared" si="144"/>
        <v>2010</v>
      </c>
      <c r="AC4664" s="22">
        <f t="shared" si="145"/>
        <v>0.44466666666666671</v>
      </c>
    </row>
    <row r="4665" spans="1:29">
      <c r="A4665" s="8" t="s">
        <v>897</v>
      </c>
      <c r="B4665" s="17" t="s">
        <v>7741</v>
      </c>
      <c r="C4665" s="13">
        <v>40484</v>
      </c>
      <c r="D4665" s="13" t="s">
        <v>8465</v>
      </c>
      <c r="E4665" s="10" t="s">
        <v>1273</v>
      </c>
      <c r="F4665" s="10" t="s">
        <v>241</v>
      </c>
      <c r="G4665" s="11" t="s">
        <v>1482</v>
      </c>
      <c r="H4665" s="2" t="s">
        <v>1050</v>
      </c>
      <c r="L4665" s="18">
        <v>0</v>
      </c>
      <c r="Q4665" s="18">
        <v>0</v>
      </c>
      <c r="U4665" s="22">
        <v>0.81</v>
      </c>
      <c r="V4665" s="22">
        <f>4.03/5</f>
        <v>0.80600000000000005</v>
      </c>
      <c r="X4665" s="3">
        <v>3</v>
      </c>
      <c r="Z4665" s="23">
        <v>8</v>
      </c>
      <c r="AB4665" s="18">
        <f t="shared" si="144"/>
        <v>2010</v>
      </c>
      <c r="AC4665" s="22">
        <f t="shared" si="145"/>
        <v>0.73866666666666669</v>
      </c>
    </row>
    <row r="4666" spans="1:29" ht="30">
      <c r="A4666" s="8" t="s">
        <v>6242</v>
      </c>
      <c r="B4666" s="17" t="s">
        <v>7762</v>
      </c>
      <c r="C4666" s="13">
        <v>40484</v>
      </c>
      <c r="D4666" s="13" t="s">
        <v>8465</v>
      </c>
      <c r="E4666" s="10" t="s">
        <v>1290</v>
      </c>
      <c r="F4666" s="10" t="s">
        <v>1555</v>
      </c>
      <c r="G4666" s="11" t="s">
        <v>5718</v>
      </c>
      <c r="H4666" s="2" t="s">
        <v>1059</v>
      </c>
      <c r="L4666" s="18">
        <v>0</v>
      </c>
      <c r="Q4666" s="18">
        <v>0</v>
      </c>
      <c r="U4666" s="22">
        <v>0.87</v>
      </c>
      <c r="V4666" s="22">
        <f>4.18/5</f>
        <v>0.83599999999999997</v>
      </c>
      <c r="X4666" s="3">
        <v>2</v>
      </c>
      <c r="Z4666" s="23">
        <v>6.5</v>
      </c>
      <c r="AB4666" s="18">
        <f t="shared" si="144"/>
        <v>2010</v>
      </c>
      <c r="AC4666" s="22">
        <f t="shared" si="145"/>
        <v>0.70199999999999996</v>
      </c>
    </row>
    <row r="4667" spans="1:29">
      <c r="A4667" s="8" t="s">
        <v>3316</v>
      </c>
      <c r="B4667" s="17" t="s">
        <v>7800</v>
      </c>
      <c r="C4667" s="13">
        <v>40484</v>
      </c>
      <c r="D4667" s="13" t="s">
        <v>8465</v>
      </c>
      <c r="E4667" s="10" t="s">
        <v>2471</v>
      </c>
      <c r="F4667" s="10" t="s">
        <v>2471</v>
      </c>
      <c r="G4667" s="11" t="s">
        <v>1653</v>
      </c>
      <c r="H4667" s="2" t="s">
        <v>1220</v>
      </c>
      <c r="L4667" s="18">
        <v>1</v>
      </c>
      <c r="N4667" s="13">
        <v>40509</v>
      </c>
      <c r="O4667" s="29">
        <v>0.99</v>
      </c>
      <c r="P4667" s="18" t="s">
        <v>1107</v>
      </c>
      <c r="Q4667" s="18">
        <v>0</v>
      </c>
      <c r="U4667" s="22">
        <v>0.75</v>
      </c>
      <c r="V4667" s="22">
        <f>3.4/5</f>
        <v>0.67999999999999994</v>
      </c>
      <c r="W4667" s="14" t="s">
        <v>7777</v>
      </c>
      <c r="X4667" s="3">
        <v>2</v>
      </c>
      <c r="Z4667" s="23">
        <v>3.5</v>
      </c>
      <c r="AB4667" s="18">
        <f t="shared" si="144"/>
        <v>2010</v>
      </c>
      <c r="AC4667" s="22">
        <f t="shared" si="145"/>
        <v>0.61</v>
      </c>
    </row>
    <row r="4668" spans="1:29" ht="25.5">
      <c r="A4668" s="8" t="s">
        <v>7964</v>
      </c>
      <c r="B4668" s="17" t="s">
        <v>7759</v>
      </c>
      <c r="C4668" s="13">
        <v>40484</v>
      </c>
      <c r="D4668" s="13" t="s">
        <v>8465</v>
      </c>
      <c r="E4668" s="10" t="s">
        <v>2335</v>
      </c>
      <c r="F4668" s="10" t="s">
        <v>68</v>
      </c>
      <c r="G4668" s="11" t="s">
        <v>7845</v>
      </c>
      <c r="H4668" s="2" t="s">
        <v>153</v>
      </c>
      <c r="L4668" s="18">
        <v>0</v>
      </c>
      <c r="Q4668" s="18">
        <v>0</v>
      </c>
      <c r="U4668" s="22">
        <v>0.61699999999999999</v>
      </c>
      <c r="V4668" s="22">
        <f>3.77/5</f>
        <v>0.754</v>
      </c>
      <c r="X4668" s="3">
        <v>2</v>
      </c>
      <c r="Y4668" s="18">
        <v>1</v>
      </c>
      <c r="Z4668" s="23">
        <v>14.5</v>
      </c>
      <c r="AB4668" s="18">
        <f t="shared" si="144"/>
        <v>2010</v>
      </c>
      <c r="AC4668" s="22">
        <f t="shared" si="145"/>
        <v>0.59033333333333327</v>
      </c>
    </row>
    <row r="4669" spans="1:29" ht="25.5">
      <c r="A4669" s="8" t="s">
        <v>10806</v>
      </c>
      <c r="B4669" s="17" t="s">
        <v>7759</v>
      </c>
      <c r="C4669" s="13">
        <v>40484</v>
      </c>
      <c r="D4669" s="13" t="s">
        <v>8465</v>
      </c>
      <c r="E4669" s="10" t="s">
        <v>1273</v>
      </c>
      <c r="F4669" s="10" t="s">
        <v>1052</v>
      </c>
      <c r="G4669" s="11" t="s">
        <v>1482</v>
      </c>
      <c r="H4669" s="2" t="s">
        <v>1168</v>
      </c>
      <c r="L4669" s="18">
        <v>0</v>
      </c>
      <c r="Q4669" s="18">
        <v>0</v>
      </c>
      <c r="U4669" s="22">
        <v>0.65</v>
      </c>
      <c r="V4669" s="22">
        <f>3.57/5</f>
        <v>0.71399999999999997</v>
      </c>
      <c r="X4669" s="3">
        <v>2</v>
      </c>
      <c r="Y4669" s="18">
        <v>1</v>
      </c>
      <c r="Z4669" s="23">
        <v>6</v>
      </c>
      <c r="AB4669" s="18">
        <f t="shared" si="144"/>
        <v>2010</v>
      </c>
      <c r="AC4669" s="22">
        <f t="shared" si="145"/>
        <v>0.58799999999999997</v>
      </c>
    </row>
    <row r="4670" spans="1:29" ht="25.5">
      <c r="A4670" s="8" t="s">
        <v>7705</v>
      </c>
      <c r="B4670" s="17" t="s">
        <v>7741</v>
      </c>
      <c r="C4670" s="13">
        <v>40483</v>
      </c>
      <c r="D4670" s="13" t="s">
        <v>8465</v>
      </c>
      <c r="E4670" s="10" t="s">
        <v>86</v>
      </c>
      <c r="F4670" s="10" t="s">
        <v>2451</v>
      </c>
      <c r="G4670" s="11" t="s">
        <v>1470</v>
      </c>
      <c r="H4670" s="2" t="s">
        <v>80</v>
      </c>
      <c r="L4670" s="18">
        <v>0</v>
      </c>
      <c r="Q4670" s="18">
        <v>0</v>
      </c>
      <c r="U4670" s="22">
        <v>0.65</v>
      </c>
      <c r="V4670" s="22">
        <f>3.72/5</f>
        <v>0.74399999999999999</v>
      </c>
      <c r="X4670" s="3">
        <v>3</v>
      </c>
      <c r="Z4670" s="23">
        <v>9</v>
      </c>
      <c r="AB4670" s="18">
        <f t="shared" si="144"/>
        <v>2010</v>
      </c>
      <c r="AC4670" s="22">
        <f t="shared" si="145"/>
        <v>0.66466666666666674</v>
      </c>
    </row>
    <row r="4671" spans="1:29">
      <c r="A4671" s="8" t="s">
        <v>15178</v>
      </c>
      <c r="B4671" s="17" t="s">
        <v>7742</v>
      </c>
      <c r="C4671" s="13">
        <v>40483</v>
      </c>
      <c r="D4671" s="13" t="s">
        <v>8465</v>
      </c>
      <c r="E4671" s="10" t="s">
        <v>15179</v>
      </c>
      <c r="F4671" s="10" t="s">
        <v>15179</v>
      </c>
      <c r="H4671" s="2" t="s">
        <v>151</v>
      </c>
      <c r="L4671" s="18">
        <v>0</v>
      </c>
      <c r="Q4671" s="18">
        <v>0</v>
      </c>
      <c r="U4671" s="22">
        <v>0.5</v>
      </c>
      <c r="V4671" s="22">
        <f>3.75/5</f>
        <v>0.75</v>
      </c>
      <c r="X4671" s="3">
        <v>3</v>
      </c>
      <c r="AB4671" s="18">
        <f t="shared" si="144"/>
        <v>2010</v>
      </c>
      <c r="AC4671" s="22">
        <f t="shared" si="145"/>
        <v>0.6166666666666667</v>
      </c>
    </row>
    <row r="4672" spans="1:29" ht="25.5">
      <c r="A4672" s="8" t="s">
        <v>14980</v>
      </c>
      <c r="B4672" s="17" t="s">
        <v>7748</v>
      </c>
      <c r="C4672" s="13">
        <v>40479</v>
      </c>
      <c r="D4672" s="13" t="s">
        <v>8463</v>
      </c>
      <c r="E4672" s="10" t="s">
        <v>72</v>
      </c>
      <c r="F4672" s="10" t="s">
        <v>14981</v>
      </c>
      <c r="H4672" s="2" t="s">
        <v>67</v>
      </c>
      <c r="K4672" s="18">
        <v>0</v>
      </c>
      <c r="L4672" s="18">
        <v>0</v>
      </c>
      <c r="Q4672" s="18">
        <v>0</v>
      </c>
      <c r="V4672" s="22">
        <f>4.08/5</f>
        <v>0.81600000000000006</v>
      </c>
      <c r="X4672" s="3">
        <v>2</v>
      </c>
      <c r="AB4672" s="18">
        <f t="shared" si="144"/>
        <v>2010</v>
      </c>
      <c r="AC4672" s="22">
        <f t="shared" si="145"/>
        <v>0.6080000000000001</v>
      </c>
    </row>
    <row r="4673" spans="1:29" ht="30">
      <c r="A4673" s="8" t="s">
        <v>5126</v>
      </c>
      <c r="B4673" s="17" t="s">
        <v>7800</v>
      </c>
      <c r="C4673" s="13">
        <v>40477</v>
      </c>
      <c r="D4673" s="13" t="s">
        <v>8465</v>
      </c>
      <c r="E4673" s="10" t="s">
        <v>1284</v>
      </c>
      <c r="F4673" s="10" t="s">
        <v>1284</v>
      </c>
      <c r="G4673" s="11" t="s">
        <v>5125</v>
      </c>
      <c r="H4673" s="2" t="s">
        <v>80</v>
      </c>
      <c r="L4673" s="18">
        <v>1</v>
      </c>
      <c r="N4673" s="13">
        <v>42038</v>
      </c>
      <c r="O4673" s="29">
        <v>1.99</v>
      </c>
      <c r="P4673" s="18" t="s">
        <v>1107</v>
      </c>
      <c r="Q4673" s="18">
        <v>0</v>
      </c>
      <c r="U4673" s="22">
        <v>0.56999999999999995</v>
      </c>
      <c r="V4673" s="22">
        <f>3.3/5</f>
        <v>0.65999999999999992</v>
      </c>
      <c r="W4673" s="14" t="s">
        <v>7777</v>
      </c>
      <c r="X4673" s="3">
        <v>4</v>
      </c>
      <c r="Z4673" s="23">
        <v>5.5</v>
      </c>
      <c r="AB4673" s="18">
        <f t="shared" ref="AB4673:AB4736" si="146">IFERROR(YEAR(C4673), "Early Access")</f>
        <v>2010</v>
      </c>
      <c r="AC4673" s="22">
        <f t="shared" ref="AC4673:AC4736" si="147">AVERAGE(T4673, U4673, V4673, IF(ISBLANK(X4673), X4673, X4673/5))</f>
        <v>0.67666666666666675</v>
      </c>
    </row>
    <row r="4674" spans="1:29">
      <c r="A4674" s="8" t="s">
        <v>3611</v>
      </c>
      <c r="B4674" s="17" t="s">
        <v>7800</v>
      </c>
      <c r="C4674" s="13">
        <v>40477</v>
      </c>
      <c r="D4674" s="13" t="s">
        <v>8465</v>
      </c>
      <c r="E4674" s="10" t="s">
        <v>231</v>
      </c>
      <c r="F4674" s="10" t="s">
        <v>3612</v>
      </c>
      <c r="G4674" s="11" t="s">
        <v>3299</v>
      </c>
      <c r="H4674" s="2" t="s">
        <v>171</v>
      </c>
      <c r="L4674" s="18">
        <v>1</v>
      </c>
      <c r="N4674" s="13">
        <v>41564</v>
      </c>
      <c r="P4674" s="18" t="s">
        <v>1107</v>
      </c>
      <c r="Q4674" s="18">
        <v>0</v>
      </c>
      <c r="U4674" s="22">
        <v>0.77</v>
      </c>
      <c r="V4674" s="22">
        <f>3.69/5</f>
        <v>0.73799999999999999</v>
      </c>
      <c r="W4674" s="14" t="s">
        <v>7777</v>
      </c>
      <c r="X4674" s="3">
        <v>2</v>
      </c>
      <c r="Z4674" s="23">
        <v>9</v>
      </c>
      <c r="AB4674" s="18">
        <f t="shared" si="146"/>
        <v>2010</v>
      </c>
      <c r="AC4674" s="22">
        <f t="shared" si="147"/>
        <v>0.63600000000000001</v>
      </c>
    </row>
    <row r="4675" spans="1:29">
      <c r="A4675" s="8" t="s">
        <v>5270</v>
      </c>
      <c r="B4675" s="17" t="s">
        <v>7800</v>
      </c>
      <c r="C4675" s="13">
        <v>40477</v>
      </c>
      <c r="D4675" s="13" t="s">
        <v>8465</v>
      </c>
      <c r="E4675" s="10" t="s">
        <v>4798</v>
      </c>
      <c r="F4675" s="10" t="s">
        <v>5271</v>
      </c>
      <c r="H4675" s="2" t="s">
        <v>80</v>
      </c>
      <c r="L4675" s="18">
        <v>1</v>
      </c>
      <c r="N4675" s="13">
        <v>42431</v>
      </c>
      <c r="P4675" s="18" t="s">
        <v>1107</v>
      </c>
      <c r="Q4675" s="18">
        <v>0</v>
      </c>
      <c r="U4675" s="22">
        <v>0.74</v>
      </c>
      <c r="V4675" s="22">
        <f>2.92/5</f>
        <v>0.58399999999999996</v>
      </c>
      <c r="W4675" s="14" t="s">
        <v>7777</v>
      </c>
      <c r="X4675" s="3">
        <v>2</v>
      </c>
      <c r="Z4675" s="23">
        <v>6</v>
      </c>
      <c r="AB4675" s="18">
        <f t="shared" si="146"/>
        <v>2010</v>
      </c>
      <c r="AC4675" s="22">
        <f t="shared" si="147"/>
        <v>0.57466666666666655</v>
      </c>
    </row>
    <row r="4676" spans="1:29">
      <c r="A4676" s="8" t="s">
        <v>3868</v>
      </c>
      <c r="B4676" s="17" t="s">
        <v>7800</v>
      </c>
      <c r="C4676" s="13">
        <v>40470</v>
      </c>
      <c r="D4676" s="13" t="s">
        <v>8465</v>
      </c>
      <c r="E4676" s="10" t="s">
        <v>1690</v>
      </c>
      <c r="F4676" s="10" t="s">
        <v>3166</v>
      </c>
      <c r="G4676" s="11" t="s">
        <v>3864</v>
      </c>
      <c r="H4676" s="2" t="s">
        <v>171</v>
      </c>
      <c r="L4676" s="18">
        <v>1</v>
      </c>
      <c r="N4676" s="13">
        <v>41469</v>
      </c>
      <c r="O4676" s="29">
        <v>2.4900000000000002</v>
      </c>
      <c r="P4676" s="18" t="s">
        <v>1107</v>
      </c>
      <c r="Q4676" s="18">
        <v>0</v>
      </c>
      <c r="U4676" s="22">
        <v>0.84</v>
      </c>
      <c r="V4676" s="22">
        <f>4.27/5</f>
        <v>0.85399999999999987</v>
      </c>
      <c r="W4676" s="14" t="s">
        <v>7777</v>
      </c>
      <c r="X4676" s="3">
        <v>4</v>
      </c>
      <c r="Z4676" s="23">
        <v>27.5</v>
      </c>
      <c r="AB4676" s="18">
        <f t="shared" si="146"/>
        <v>2010</v>
      </c>
      <c r="AC4676" s="22">
        <f t="shared" si="147"/>
        <v>0.83133333333333326</v>
      </c>
    </row>
    <row r="4677" spans="1:29" ht="30">
      <c r="A4677" s="8" t="s">
        <v>8432</v>
      </c>
      <c r="B4677" s="17" t="s">
        <v>7762</v>
      </c>
      <c r="C4677" s="13">
        <v>40470</v>
      </c>
      <c r="D4677" s="13" t="s">
        <v>8465</v>
      </c>
      <c r="E4677" s="10" t="s">
        <v>1519</v>
      </c>
      <c r="F4677" s="10" t="s">
        <v>3113</v>
      </c>
      <c r="H4677" s="2" t="s">
        <v>75</v>
      </c>
      <c r="L4677" s="18">
        <v>0</v>
      </c>
      <c r="Q4677" s="18">
        <v>0</v>
      </c>
      <c r="V4677" s="22">
        <f>3.67/5</f>
        <v>0.73399999999999999</v>
      </c>
      <c r="X4677" s="3">
        <v>3</v>
      </c>
      <c r="AB4677" s="18">
        <f t="shared" si="146"/>
        <v>2010</v>
      </c>
      <c r="AC4677" s="22">
        <f t="shared" si="147"/>
        <v>0.66700000000000004</v>
      </c>
    </row>
    <row r="4678" spans="1:29" ht="25.5">
      <c r="A4678" s="8" t="s">
        <v>10628</v>
      </c>
      <c r="B4678" s="17" t="s">
        <v>7759</v>
      </c>
      <c r="C4678" s="13">
        <v>40470</v>
      </c>
      <c r="D4678" s="13" t="s">
        <v>8465</v>
      </c>
      <c r="E4678" s="10" t="s">
        <v>1509</v>
      </c>
      <c r="F4678" s="10" t="s">
        <v>2472</v>
      </c>
      <c r="G4678" s="11" t="s">
        <v>10629</v>
      </c>
      <c r="H4678" s="2" t="s">
        <v>1170</v>
      </c>
      <c r="L4678" s="18">
        <v>0</v>
      </c>
      <c r="Q4678" s="18">
        <v>0</v>
      </c>
      <c r="U4678" s="22">
        <v>0.57999999999999996</v>
      </c>
      <c r="V4678" s="22">
        <f>3.82/5</f>
        <v>0.76400000000000001</v>
      </c>
      <c r="X4678" s="3">
        <v>2</v>
      </c>
      <c r="Y4678" s="18">
        <v>1</v>
      </c>
      <c r="Z4678" s="23">
        <v>1.5</v>
      </c>
      <c r="AB4678" s="18">
        <f t="shared" si="146"/>
        <v>2010</v>
      </c>
      <c r="AC4678" s="22">
        <f t="shared" si="147"/>
        <v>0.58133333333333326</v>
      </c>
    </row>
    <row r="4679" spans="1:29" ht="30">
      <c r="A4679" s="8" t="s">
        <v>3205</v>
      </c>
      <c r="B4679" s="17" t="s">
        <v>7800</v>
      </c>
      <c r="C4679" s="13">
        <v>40470</v>
      </c>
      <c r="D4679" s="13" t="s">
        <v>8465</v>
      </c>
      <c r="E4679" s="10" t="s">
        <v>3206</v>
      </c>
      <c r="F4679" s="10" t="s">
        <v>3207</v>
      </c>
      <c r="G4679" s="11" t="s">
        <v>3208</v>
      </c>
      <c r="H4679" s="2" t="s">
        <v>171</v>
      </c>
      <c r="L4679" s="18">
        <v>1</v>
      </c>
      <c r="N4679" s="13">
        <v>41795</v>
      </c>
      <c r="P4679" s="18" t="s">
        <v>1107</v>
      </c>
      <c r="Q4679" s="18">
        <v>0</v>
      </c>
      <c r="U4679" s="22">
        <v>0.63</v>
      </c>
      <c r="V4679" s="22">
        <f>2.71/5</f>
        <v>0.54200000000000004</v>
      </c>
      <c r="W4679" s="14" t="s">
        <v>7777</v>
      </c>
      <c r="X4679" s="3">
        <v>2</v>
      </c>
      <c r="Z4679" s="23">
        <v>16</v>
      </c>
      <c r="AB4679" s="18">
        <f t="shared" si="146"/>
        <v>2010</v>
      </c>
      <c r="AC4679" s="22">
        <f t="shared" si="147"/>
        <v>0.52400000000000002</v>
      </c>
    </row>
    <row r="4680" spans="1:29">
      <c r="A4680" s="8" t="s">
        <v>9289</v>
      </c>
      <c r="B4680" s="17" t="s">
        <v>7759</v>
      </c>
      <c r="C4680" s="13">
        <v>40470</v>
      </c>
      <c r="D4680" s="13" t="s">
        <v>8465</v>
      </c>
      <c r="E4680" s="10" t="s">
        <v>72</v>
      </c>
      <c r="F4680" s="10" t="s">
        <v>9288</v>
      </c>
      <c r="G4680" s="11" t="s">
        <v>9287</v>
      </c>
      <c r="H4680" s="2" t="s">
        <v>1061</v>
      </c>
      <c r="L4680" s="18">
        <v>0</v>
      </c>
      <c r="Q4680" s="18">
        <v>0</v>
      </c>
      <c r="U4680" s="22">
        <v>0.45</v>
      </c>
      <c r="V4680" s="22">
        <f>2.7/5</f>
        <v>0.54</v>
      </c>
      <c r="X4680" s="3">
        <v>2</v>
      </c>
      <c r="Y4680" s="18">
        <v>1</v>
      </c>
      <c r="Z4680" s="23">
        <v>8.5</v>
      </c>
      <c r="AB4680" s="18">
        <f t="shared" si="146"/>
        <v>2010</v>
      </c>
      <c r="AC4680" s="22">
        <f t="shared" si="147"/>
        <v>0.46333333333333337</v>
      </c>
    </row>
    <row r="4681" spans="1:29">
      <c r="A4681" s="8" t="s">
        <v>13782</v>
      </c>
      <c r="B4681" s="17" t="s">
        <v>8754</v>
      </c>
      <c r="C4681" s="13">
        <v>40469</v>
      </c>
      <c r="D4681" s="13" t="s">
        <v>8465</v>
      </c>
      <c r="E4681" s="10" t="s">
        <v>86</v>
      </c>
      <c r="F4681" s="10" t="s">
        <v>13783</v>
      </c>
      <c r="H4681" s="2" t="s">
        <v>78</v>
      </c>
      <c r="L4681" s="18">
        <v>0</v>
      </c>
      <c r="Q4681" s="18">
        <v>0</v>
      </c>
      <c r="V4681" s="22">
        <f>3.95/5</f>
        <v>0.79</v>
      </c>
      <c r="W4681" s="14" t="s">
        <v>9890</v>
      </c>
      <c r="X4681" s="3">
        <v>2</v>
      </c>
      <c r="Z4681" s="23">
        <v>6</v>
      </c>
      <c r="AB4681" s="18">
        <f t="shared" si="146"/>
        <v>2010</v>
      </c>
      <c r="AC4681" s="22">
        <f t="shared" si="147"/>
        <v>0.59499999999999997</v>
      </c>
    </row>
    <row r="4682" spans="1:29">
      <c r="A4682" s="8" t="s">
        <v>11267</v>
      </c>
      <c r="B4682" s="17" t="s">
        <v>7742</v>
      </c>
      <c r="C4682" s="13">
        <v>40469</v>
      </c>
      <c r="D4682" s="13" t="s">
        <v>8465</v>
      </c>
      <c r="E4682" s="10" t="s">
        <v>86</v>
      </c>
      <c r="F4682" s="10" t="s">
        <v>11268</v>
      </c>
      <c r="G4682" s="11" t="s">
        <v>11267</v>
      </c>
      <c r="H4682" s="2" t="s">
        <v>78</v>
      </c>
      <c r="L4682" s="18">
        <v>0</v>
      </c>
      <c r="Q4682" s="18">
        <v>0</v>
      </c>
      <c r="U4682" s="22">
        <v>0.73</v>
      </c>
      <c r="V4682" s="22">
        <f>3.71/5</f>
        <v>0.74199999999999999</v>
      </c>
      <c r="X4682" s="3">
        <v>2</v>
      </c>
      <c r="AB4682" s="18">
        <f t="shared" si="146"/>
        <v>2010</v>
      </c>
      <c r="AC4682" s="22">
        <f t="shared" si="147"/>
        <v>0.624</v>
      </c>
    </row>
    <row r="4683" spans="1:29" ht="30">
      <c r="A4683" s="8" t="s">
        <v>2220</v>
      </c>
      <c r="B4683" s="17" t="s">
        <v>7748</v>
      </c>
      <c r="C4683" s="13">
        <v>40463</v>
      </c>
      <c r="D4683" s="13" t="s">
        <v>8465</v>
      </c>
      <c r="E4683" s="10" t="s">
        <v>1529</v>
      </c>
      <c r="F4683" s="10" t="s">
        <v>2311</v>
      </c>
      <c r="G4683" s="11" t="s">
        <v>2212</v>
      </c>
      <c r="H4683" s="2" t="s">
        <v>78</v>
      </c>
      <c r="L4683" s="18">
        <v>0</v>
      </c>
      <c r="Q4683" s="18">
        <v>0</v>
      </c>
      <c r="U4683" s="22">
        <v>0.83</v>
      </c>
      <c r="V4683" s="22">
        <f>4/5</f>
        <v>0.8</v>
      </c>
      <c r="X4683" s="3">
        <v>3</v>
      </c>
      <c r="Z4683" s="23">
        <v>7.5</v>
      </c>
      <c r="AB4683" s="18">
        <f t="shared" si="146"/>
        <v>2010</v>
      </c>
      <c r="AC4683" s="22">
        <f t="shared" si="147"/>
        <v>0.74333333333333329</v>
      </c>
    </row>
    <row r="4684" spans="1:29" ht="25.5">
      <c r="A4684" s="8" t="s">
        <v>2150</v>
      </c>
      <c r="B4684" s="17" t="s">
        <v>7748</v>
      </c>
      <c r="C4684" s="13">
        <v>40463</v>
      </c>
      <c r="D4684" s="13" t="s">
        <v>8465</v>
      </c>
      <c r="E4684" s="10" t="s">
        <v>66</v>
      </c>
      <c r="F4684" s="10" t="s">
        <v>1269</v>
      </c>
      <c r="G4684" s="11" t="s">
        <v>1270</v>
      </c>
      <c r="H4684" s="2" t="s">
        <v>171</v>
      </c>
      <c r="L4684" s="18">
        <v>0</v>
      </c>
      <c r="Q4684" s="18">
        <v>0</v>
      </c>
      <c r="U4684" s="22">
        <v>0.77</v>
      </c>
      <c r="V4684" s="22">
        <f>3.57/5</f>
        <v>0.71399999999999997</v>
      </c>
      <c r="X4684" s="3">
        <v>3</v>
      </c>
      <c r="Z4684" s="23">
        <v>16.5</v>
      </c>
      <c r="AB4684" s="18">
        <f t="shared" si="146"/>
        <v>2010</v>
      </c>
      <c r="AC4684" s="22">
        <f t="shared" si="147"/>
        <v>0.69466666666666665</v>
      </c>
    </row>
    <row r="4685" spans="1:29" ht="25.5">
      <c r="A4685" s="8" t="s">
        <v>10220</v>
      </c>
      <c r="B4685" s="17" t="s">
        <v>7759</v>
      </c>
      <c r="C4685" s="13">
        <v>40463</v>
      </c>
      <c r="D4685" s="13" t="s">
        <v>8465</v>
      </c>
      <c r="E4685" s="10" t="s">
        <v>73</v>
      </c>
      <c r="F4685" s="10" t="s">
        <v>73</v>
      </c>
      <c r="G4685" s="11" t="s">
        <v>8133</v>
      </c>
      <c r="H4685" s="2" t="s">
        <v>1059</v>
      </c>
      <c r="L4685" s="18">
        <v>0</v>
      </c>
      <c r="Q4685" s="18">
        <v>0</v>
      </c>
      <c r="U4685" s="22">
        <v>0.61</v>
      </c>
      <c r="V4685" s="22">
        <f>4.11/5</f>
        <v>0.82200000000000006</v>
      </c>
      <c r="X4685" s="3">
        <v>3</v>
      </c>
      <c r="Y4685" s="18">
        <v>1</v>
      </c>
      <c r="Z4685" s="23">
        <v>10</v>
      </c>
      <c r="AB4685" s="18">
        <f t="shared" si="146"/>
        <v>2010</v>
      </c>
      <c r="AC4685" s="22">
        <f t="shared" si="147"/>
        <v>0.67733333333333334</v>
      </c>
    </row>
    <row r="4686" spans="1:29">
      <c r="A4686" s="8" t="s">
        <v>4347</v>
      </c>
      <c r="B4686" s="17" t="s">
        <v>7800</v>
      </c>
      <c r="C4686" s="13">
        <v>40463</v>
      </c>
      <c r="D4686" s="13" t="s">
        <v>8465</v>
      </c>
      <c r="E4686" s="10" t="s">
        <v>73</v>
      </c>
      <c r="F4686" s="10" t="s">
        <v>73</v>
      </c>
      <c r="G4686" s="11" t="s">
        <v>4348</v>
      </c>
      <c r="H4686" s="2" t="s">
        <v>1168</v>
      </c>
      <c r="L4686" s="18">
        <v>1</v>
      </c>
      <c r="N4686" s="13">
        <v>43324</v>
      </c>
      <c r="O4686" s="29">
        <v>4.09</v>
      </c>
      <c r="P4686" s="18" t="s">
        <v>1107</v>
      </c>
      <c r="Q4686" s="18">
        <v>0</v>
      </c>
      <c r="U4686" s="22">
        <v>0.59</v>
      </c>
      <c r="V4686" s="22">
        <f>3.29/5</f>
        <v>0.65800000000000003</v>
      </c>
      <c r="W4686" s="14" t="s">
        <v>7777</v>
      </c>
      <c r="X4686" s="3">
        <v>3</v>
      </c>
      <c r="Z4686" s="23">
        <v>10</v>
      </c>
      <c r="AB4686" s="18">
        <f t="shared" si="146"/>
        <v>2010</v>
      </c>
      <c r="AC4686" s="22">
        <f t="shared" si="147"/>
        <v>0.61599999999999999</v>
      </c>
    </row>
    <row r="4687" spans="1:29">
      <c r="A4687" s="8" t="s">
        <v>2944</v>
      </c>
      <c r="B4687" s="17" t="s">
        <v>7800</v>
      </c>
      <c r="C4687" s="13">
        <v>40463</v>
      </c>
      <c r="D4687" s="13" t="s">
        <v>8465</v>
      </c>
      <c r="E4687" s="10" t="s">
        <v>231</v>
      </c>
      <c r="F4687" s="10" t="s">
        <v>4417</v>
      </c>
      <c r="G4687" s="11" t="s">
        <v>2944</v>
      </c>
      <c r="H4687" s="2" t="s">
        <v>1050</v>
      </c>
      <c r="L4687" s="18">
        <v>1</v>
      </c>
      <c r="N4687" s="13">
        <v>41502</v>
      </c>
      <c r="O4687" s="29">
        <v>0</v>
      </c>
      <c r="P4687" s="18" t="s">
        <v>1107</v>
      </c>
      <c r="Q4687" s="18">
        <v>0</v>
      </c>
      <c r="U4687" s="22">
        <v>0.71</v>
      </c>
      <c r="V4687" s="22">
        <f>3.34/5</f>
        <v>0.66799999999999993</v>
      </c>
      <c r="W4687" s="14" t="s">
        <v>7777</v>
      </c>
      <c r="X4687" s="3">
        <v>3</v>
      </c>
      <c r="Z4687" s="23">
        <v>5</v>
      </c>
      <c r="AB4687" s="18">
        <f t="shared" si="146"/>
        <v>2010</v>
      </c>
      <c r="AC4687" s="22">
        <f t="shared" si="147"/>
        <v>0.65933333333333322</v>
      </c>
    </row>
    <row r="4688" spans="1:29">
      <c r="A4688" s="8" t="s">
        <v>10309</v>
      </c>
      <c r="B4688" s="17" t="s">
        <v>7765</v>
      </c>
      <c r="C4688" s="13">
        <v>40457</v>
      </c>
      <c r="D4688" s="13" t="s">
        <v>8465</v>
      </c>
      <c r="E4688" s="10" t="s">
        <v>3740</v>
      </c>
      <c r="F4688" s="10" t="s">
        <v>4339</v>
      </c>
      <c r="H4688" s="2" t="s">
        <v>64</v>
      </c>
      <c r="L4688" s="18">
        <v>1</v>
      </c>
      <c r="N4688" s="13">
        <v>45155</v>
      </c>
      <c r="O4688" s="29">
        <v>14.99</v>
      </c>
      <c r="P4688" s="18" t="s">
        <v>1107</v>
      </c>
      <c r="Q4688" s="18">
        <v>0</v>
      </c>
      <c r="U4688" s="22">
        <v>0.74</v>
      </c>
      <c r="V4688" s="22">
        <f>3.44/5</f>
        <v>0.68799999999999994</v>
      </c>
      <c r="X4688" s="3">
        <v>3</v>
      </c>
      <c r="Z4688" s="23">
        <v>5.5</v>
      </c>
      <c r="AB4688" s="18">
        <f t="shared" si="146"/>
        <v>2010</v>
      </c>
      <c r="AC4688" s="22">
        <f t="shared" si="147"/>
        <v>0.67600000000000005</v>
      </c>
    </row>
    <row r="4689" spans="1:29" ht="25.5">
      <c r="A4689" s="8" t="s">
        <v>2177</v>
      </c>
      <c r="B4689" s="17" t="s">
        <v>7748</v>
      </c>
      <c r="C4689" s="13">
        <v>40456</v>
      </c>
      <c r="D4689" s="13" t="s">
        <v>8465</v>
      </c>
      <c r="E4689" s="10" t="s">
        <v>1082</v>
      </c>
      <c r="F4689" s="10" t="s">
        <v>1083</v>
      </c>
      <c r="G4689" s="11" t="s">
        <v>126</v>
      </c>
      <c r="H4689" s="2" t="s">
        <v>149</v>
      </c>
      <c r="L4689" s="18">
        <v>0</v>
      </c>
      <c r="Q4689" s="18">
        <v>0</v>
      </c>
      <c r="U4689" s="22">
        <v>0.74</v>
      </c>
      <c r="V4689" s="22">
        <f>3.64/5</f>
        <v>0.72799999999999998</v>
      </c>
      <c r="X4689" s="3">
        <v>3</v>
      </c>
      <c r="Z4689" s="23">
        <v>33</v>
      </c>
      <c r="AB4689" s="18">
        <f t="shared" si="146"/>
        <v>2010</v>
      </c>
      <c r="AC4689" s="22">
        <f t="shared" si="147"/>
        <v>0.68933333333333335</v>
      </c>
    </row>
    <row r="4690" spans="1:29" ht="25.5">
      <c r="A4690" s="8" t="s">
        <v>2260</v>
      </c>
      <c r="B4690" s="17" t="s">
        <v>7748</v>
      </c>
      <c r="C4690" s="13">
        <v>40455</v>
      </c>
      <c r="D4690" s="13" t="s">
        <v>8465</v>
      </c>
      <c r="E4690" s="10" t="s">
        <v>86</v>
      </c>
      <c r="F4690" s="10" t="s">
        <v>2330</v>
      </c>
      <c r="G4690" s="11" t="s">
        <v>2259</v>
      </c>
      <c r="H4690" s="2" t="s">
        <v>171</v>
      </c>
      <c r="L4690" s="18">
        <v>0</v>
      </c>
      <c r="Q4690" s="18">
        <v>0</v>
      </c>
      <c r="U4690" s="22">
        <v>0.7</v>
      </c>
      <c r="V4690" s="22">
        <f>3.85/5</f>
        <v>0.77</v>
      </c>
      <c r="X4690" s="3">
        <v>4</v>
      </c>
      <c r="Z4690" s="23">
        <v>20</v>
      </c>
      <c r="AB4690" s="18">
        <f t="shared" si="146"/>
        <v>2010</v>
      </c>
      <c r="AC4690" s="22">
        <f t="shared" si="147"/>
        <v>0.75666666666666671</v>
      </c>
    </row>
    <row r="4691" spans="1:29" ht="30">
      <c r="A4691" s="8" t="s">
        <v>7865</v>
      </c>
      <c r="B4691" s="17" t="s">
        <v>7762</v>
      </c>
      <c r="C4691" s="13">
        <v>40451</v>
      </c>
      <c r="D4691" s="13" t="s">
        <v>8463</v>
      </c>
      <c r="E4691" s="10" t="s">
        <v>1245</v>
      </c>
      <c r="F4691" s="10" t="s">
        <v>1245</v>
      </c>
      <c r="G4691" s="11" t="s">
        <v>2892</v>
      </c>
      <c r="H4691" s="2" t="s">
        <v>149</v>
      </c>
      <c r="K4691" s="18">
        <v>2</v>
      </c>
      <c r="L4691" s="18">
        <v>0</v>
      </c>
      <c r="Q4691" s="18">
        <v>0</v>
      </c>
      <c r="V4691" s="22">
        <f>4.23/5</f>
        <v>0.84600000000000009</v>
      </c>
      <c r="X4691" s="3">
        <v>4</v>
      </c>
      <c r="Z4691" s="23">
        <v>44.5</v>
      </c>
      <c r="AB4691" s="18">
        <f t="shared" si="146"/>
        <v>2010</v>
      </c>
      <c r="AC4691" s="22">
        <f t="shared" si="147"/>
        <v>0.82300000000000006</v>
      </c>
    </row>
    <row r="4692" spans="1:29" ht="25.5">
      <c r="A4692" s="8" t="s">
        <v>4272</v>
      </c>
      <c r="B4692" s="17" t="s">
        <v>7800</v>
      </c>
      <c r="C4692" s="13">
        <v>40449</v>
      </c>
      <c r="D4692" s="13" t="s">
        <v>8465</v>
      </c>
      <c r="E4692" s="10" t="s">
        <v>1082</v>
      </c>
      <c r="F4692" s="10" t="s">
        <v>1198</v>
      </c>
      <c r="G4692" s="11" t="s">
        <v>1853</v>
      </c>
      <c r="H4692" s="2" t="s">
        <v>80</v>
      </c>
      <c r="L4692" s="18">
        <v>1</v>
      </c>
      <c r="N4692" s="13">
        <v>41920</v>
      </c>
      <c r="O4692" s="29">
        <v>2.4900000000000002</v>
      </c>
      <c r="P4692" s="18" t="s">
        <v>1107</v>
      </c>
      <c r="Q4692" s="18">
        <v>0</v>
      </c>
      <c r="U4692" s="22">
        <v>0.82</v>
      </c>
      <c r="V4692" s="22">
        <f>3.57/5</f>
        <v>0.71399999999999997</v>
      </c>
      <c r="W4692" s="14" t="s">
        <v>7777</v>
      </c>
      <c r="X4692" s="3">
        <v>4</v>
      </c>
      <c r="Z4692" s="23">
        <v>6</v>
      </c>
      <c r="AB4692" s="18">
        <f t="shared" si="146"/>
        <v>2010</v>
      </c>
      <c r="AC4692" s="22">
        <f t="shared" si="147"/>
        <v>0.77799999999999991</v>
      </c>
    </row>
    <row r="4693" spans="1:29">
      <c r="A4693" s="8" t="s">
        <v>3590</v>
      </c>
      <c r="B4693" s="17" t="s">
        <v>7800</v>
      </c>
      <c r="C4693" s="13">
        <v>40449</v>
      </c>
      <c r="D4693" s="13" t="s">
        <v>8465</v>
      </c>
      <c r="E4693" s="10" t="s">
        <v>73</v>
      </c>
      <c r="F4693" s="10" t="s">
        <v>3591</v>
      </c>
      <c r="G4693" s="11" t="s">
        <v>3589</v>
      </c>
      <c r="H4693" s="2" t="s">
        <v>80</v>
      </c>
      <c r="L4693" s="18">
        <v>1</v>
      </c>
      <c r="N4693" s="13">
        <v>43643</v>
      </c>
      <c r="O4693" s="29">
        <v>5.99</v>
      </c>
      <c r="P4693" s="18" t="s">
        <v>1107</v>
      </c>
      <c r="Q4693" s="18">
        <v>0</v>
      </c>
      <c r="U4693" s="22">
        <v>0.77</v>
      </c>
      <c r="V4693" s="22">
        <f>3.62/5</f>
        <v>0.72399999999999998</v>
      </c>
      <c r="W4693" s="14" t="s">
        <v>7777</v>
      </c>
      <c r="X4693" s="3">
        <v>3</v>
      </c>
      <c r="Z4693" s="23">
        <v>14</v>
      </c>
      <c r="AB4693" s="18">
        <f t="shared" si="146"/>
        <v>2010</v>
      </c>
      <c r="AC4693" s="22">
        <f t="shared" si="147"/>
        <v>0.69799999999999995</v>
      </c>
    </row>
    <row r="4694" spans="1:29" ht="25.5">
      <c r="A4694" s="8" t="s">
        <v>5927</v>
      </c>
      <c r="B4694" s="17" t="s">
        <v>7759</v>
      </c>
      <c r="C4694" s="13">
        <v>40449</v>
      </c>
      <c r="D4694" s="13" t="s">
        <v>8465</v>
      </c>
      <c r="E4694" s="10" t="s">
        <v>1062</v>
      </c>
      <c r="F4694" s="10" t="s">
        <v>1566</v>
      </c>
      <c r="G4694" s="11" t="s">
        <v>1567</v>
      </c>
      <c r="H4694" s="2" t="s">
        <v>149</v>
      </c>
      <c r="L4694" s="18">
        <v>1</v>
      </c>
      <c r="M4694" s="14" t="s">
        <v>8462</v>
      </c>
      <c r="N4694" s="13">
        <v>43533</v>
      </c>
      <c r="O4694" s="29">
        <v>15.5</v>
      </c>
      <c r="P4694" s="18" t="s">
        <v>14</v>
      </c>
      <c r="Q4694" s="18">
        <v>0</v>
      </c>
      <c r="U4694" s="22">
        <v>0.71</v>
      </c>
      <c r="V4694" s="22">
        <f>3.69/5</f>
        <v>0.73799999999999999</v>
      </c>
      <c r="X4694" s="3">
        <v>3</v>
      </c>
      <c r="Z4694" s="23">
        <v>19</v>
      </c>
      <c r="AB4694" s="18">
        <f t="shared" si="146"/>
        <v>2010</v>
      </c>
      <c r="AC4694" s="22">
        <f t="shared" si="147"/>
        <v>0.68266666666666664</v>
      </c>
    </row>
    <row r="4695" spans="1:29" ht="25.5">
      <c r="A4695" s="8" t="s">
        <v>3592</v>
      </c>
      <c r="B4695" s="17" t="s">
        <v>7800</v>
      </c>
      <c r="C4695" s="13">
        <v>40449</v>
      </c>
      <c r="D4695" s="13" t="s">
        <v>8465</v>
      </c>
      <c r="E4695" s="10" t="s">
        <v>73</v>
      </c>
      <c r="F4695" s="10" t="s">
        <v>3591</v>
      </c>
      <c r="G4695" s="11" t="s">
        <v>3589</v>
      </c>
      <c r="H4695" s="2" t="s">
        <v>80</v>
      </c>
      <c r="L4695" s="18">
        <v>1</v>
      </c>
      <c r="N4695" s="13">
        <v>42103</v>
      </c>
      <c r="O4695" s="29">
        <v>3.38</v>
      </c>
      <c r="P4695" s="18" t="s">
        <v>1107</v>
      </c>
      <c r="Q4695" s="18">
        <v>0</v>
      </c>
      <c r="U4695" s="22">
        <v>0.57999999999999996</v>
      </c>
      <c r="V4695" s="22">
        <f>3.77/5</f>
        <v>0.754</v>
      </c>
      <c r="W4695" s="14" t="s">
        <v>7777</v>
      </c>
      <c r="X4695" s="3">
        <v>3</v>
      </c>
      <c r="Z4695" s="23">
        <v>13.5</v>
      </c>
      <c r="AB4695" s="18">
        <f t="shared" si="146"/>
        <v>2010</v>
      </c>
      <c r="AC4695" s="22">
        <f t="shared" si="147"/>
        <v>0.64466666666666672</v>
      </c>
    </row>
    <row r="4696" spans="1:29">
      <c r="A4696" s="8" t="s">
        <v>7955</v>
      </c>
      <c r="B4696" s="17" t="s">
        <v>7741</v>
      </c>
      <c r="C4696" s="13">
        <v>40449</v>
      </c>
      <c r="D4696" s="13" t="s">
        <v>8465</v>
      </c>
      <c r="E4696" s="10" t="s">
        <v>86</v>
      </c>
      <c r="F4696" s="10" t="s">
        <v>1471</v>
      </c>
      <c r="G4696" s="11" t="s">
        <v>2465</v>
      </c>
      <c r="H4696" s="2" t="s">
        <v>1059</v>
      </c>
      <c r="L4696" s="18">
        <v>0</v>
      </c>
      <c r="Q4696" s="18">
        <v>0</v>
      </c>
      <c r="U4696" s="22">
        <v>0.58730000000000004</v>
      </c>
      <c r="V4696" s="22">
        <f>4.08/5</f>
        <v>0.81600000000000006</v>
      </c>
      <c r="X4696" s="3">
        <v>2</v>
      </c>
      <c r="Z4696" s="23">
        <v>30</v>
      </c>
      <c r="AB4696" s="18">
        <f t="shared" si="146"/>
        <v>2010</v>
      </c>
      <c r="AC4696" s="22">
        <f t="shared" si="147"/>
        <v>0.60110000000000008</v>
      </c>
    </row>
    <row r="4697" spans="1:29">
      <c r="A4697" s="8" t="s">
        <v>5948</v>
      </c>
      <c r="B4697" s="17" t="s">
        <v>7759</v>
      </c>
      <c r="C4697" s="13">
        <v>40449</v>
      </c>
      <c r="D4697" s="13" t="s">
        <v>8465</v>
      </c>
      <c r="E4697" s="10" t="s">
        <v>1082</v>
      </c>
      <c r="F4697" s="10" t="s">
        <v>5158</v>
      </c>
      <c r="G4697" s="11" t="s">
        <v>812</v>
      </c>
      <c r="H4697" s="2" t="s">
        <v>1168</v>
      </c>
      <c r="L4697" s="18">
        <v>1</v>
      </c>
      <c r="M4697" s="14" t="s">
        <v>8462</v>
      </c>
      <c r="N4697" s="13">
        <v>43532</v>
      </c>
      <c r="O4697" s="29">
        <v>8.0399999999999991</v>
      </c>
      <c r="P4697" s="18" t="s">
        <v>14</v>
      </c>
      <c r="Q4697" s="18">
        <v>0</v>
      </c>
      <c r="U4697" s="22">
        <v>0.61</v>
      </c>
      <c r="V4697" s="22">
        <f>3.03/5</f>
        <v>0.60599999999999998</v>
      </c>
      <c r="X4697" s="3">
        <v>2</v>
      </c>
      <c r="Z4697" s="23">
        <v>7.5</v>
      </c>
      <c r="AB4697" s="18">
        <f t="shared" si="146"/>
        <v>2010</v>
      </c>
      <c r="AC4697" s="22">
        <f t="shared" si="147"/>
        <v>0.53866666666666674</v>
      </c>
    </row>
    <row r="4698" spans="1:29">
      <c r="A4698" s="8" t="s">
        <v>5993</v>
      </c>
      <c r="B4698" s="17" t="s">
        <v>7759</v>
      </c>
      <c r="C4698" s="13">
        <v>40449</v>
      </c>
      <c r="D4698" s="13" t="s">
        <v>8465</v>
      </c>
      <c r="E4698" s="10" t="s">
        <v>76</v>
      </c>
      <c r="F4698" s="10" t="s">
        <v>5994</v>
      </c>
      <c r="H4698" s="2" t="s">
        <v>1168</v>
      </c>
      <c r="L4698" s="18">
        <v>1</v>
      </c>
      <c r="M4698" s="14" t="s">
        <v>8462</v>
      </c>
      <c r="N4698" s="13">
        <v>43544</v>
      </c>
      <c r="O4698" s="29">
        <v>9.9499999999999993</v>
      </c>
      <c r="P4698" s="18" t="s">
        <v>14</v>
      </c>
      <c r="Q4698" s="18">
        <v>0</v>
      </c>
      <c r="U4698" s="22">
        <v>0.46</v>
      </c>
      <c r="V4698" s="22">
        <f>2.94/5</f>
        <v>0.58799999999999997</v>
      </c>
      <c r="X4698" s="3">
        <v>2</v>
      </c>
      <c r="Z4698" s="23">
        <v>7</v>
      </c>
      <c r="AB4698" s="18">
        <f t="shared" si="146"/>
        <v>2010</v>
      </c>
      <c r="AC4698" s="22">
        <f t="shared" si="147"/>
        <v>0.48266666666666663</v>
      </c>
    </row>
    <row r="4699" spans="1:29">
      <c r="A4699" s="8" t="s">
        <v>13668</v>
      </c>
      <c r="B4699" s="17" t="s">
        <v>8754</v>
      </c>
      <c r="C4699" s="13">
        <v>40448</v>
      </c>
      <c r="D4699" s="13" t="s">
        <v>8465</v>
      </c>
      <c r="E4699" s="10" t="s">
        <v>13669</v>
      </c>
      <c r="F4699" s="10" t="s">
        <v>13669</v>
      </c>
      <c r="G4699" s="11" t="s">
        <v>13668</v>
      </c>
      <c r="H4699" s="2" t="s">
        <v>171</v>
      </c>
      <c r="L4699" s="18">
        <v>1</v>
      </c>
      <c r="N4699" s="13">
        <v>44990</v>
      </c>
      <c r="O4699" s="29">
        <v>7.99</v>
      </c>
      <c r="P4699" s="18" t="s">
        <v>1107</v>
      </c>
      <c r="Q4699" s="18">
        <v>0</v>
      </c>
      <c r="V4699" s="22">
        <f>3.52/5</f>
        <v>0.70399999999999996</v>
      </c>
      <c r="X4699" s="3">
        <v>2</v>
      </c>
      <c r="Z4699" s="23">
        <v>18</v>
      </c>
      <c r="AB4699" s="18">
        <f t="shared" si="146"/>
        <v>2010</v>
      </c>
      <c r="AC4699" s="22">
        <f t="shared" si="147"/>
        <v>0.55200000000000005</v>
      </c>
    </row>
    <row r="4700" spans="1:29" ht="25.5">
      <c r="A4700" s="8" t="s">
        <v>4559</v>
      </c>
      <c r="B4700" s="17" t="s">
        <v>7800</v>
      </c>
      <c r="C4700" s="13">
        <v>40448</v>
      </c>
      <c r="D4700" s="13" t="s">
        <v>8465</v>
      </c>
      <c r="E4700" s="10" t="s">
        <v>4560</v>
      </c>
      <c r="F4700" s="10" t="s">
        <v>4560</v>
      </c>
      <c r="H4700" s="2" t="s">
        <v>64</v>
      </c>
      <c r="L4700" s="18">
        <v>1</v>
      </c>
      <c r="N4700" s="13">
        <v>40734</v>
      </c>
      <c r="O4700" s="29">
        <v>2.4900000000000002</v>
      </c>
      <c r="P4700" s="18" t="s">
        <v>1107</v>
      </c>
      <c r="Q4700" s="18">
        <v>0</v>
      </c>
      <c r="U4700" s="22">
        <v>0.62</v>
      </c>
      <c r="V4700" s="22">
        <f>3.54/5</f>
        <v>0.70799999999999996</v>
      </c>
      <c r="W4700" s="14" t="s">
        <v>7777</v>
      </c>
      <c r="X4700" s="3">
        <v>2</v>
      </c>
      <c r="Z4700" s="23">
        <v>3</v>
      </c>
      <c r="AB4700" s="18">
        <f t="shared" si="146"/>
        <v>2010</v>
      </c>
      <c r="AC4700" s="22">
        <f t="shared" si="147"/>
        <v>0.57599999999999996</v>
      </c>
    </row>
    <row r="4701" spans="1:29" ht="30">
      <c r="A4701" s="8" t="s">
        <v>10481</v>
      </c>
      <c r="B4701" s="17" t="s">
        <v>7762</v>
      </c>
      <c r="C4701" s="13">
        <v>40443</v>
      </c>
      <c r="D4701" s="13" t="s">
        <v>8463</v>
      </c>
      <c r="E4701" s="10" t="s">
        <v>455</v>
      </c>
      <c r="F4701" s="10" t="s">
        <v>6137</v>
      </c>
      <c r="G4701" s="11" t="s">
        <v>5600</v>
      </c>
      <c r="H4701" s="2" t="s">
        <v>80</v>
      </c>
      <c r="K4701" s="18">
        <v>2</v>
      </c>
      <c r="L4701" s="18">
        <v>0</v>
      </c>
      <c r="Q4701" s="18">
        <v>0</v>
      </c>
      <c r="V4701" s="22">
        <f>3.96/5</f>
        <v>0.79200000000000004</v>
      </c>
      <c r="X4701" s="3">
        <v>3</v>
      </c>
      <c r="Z4701" s="23">
        <v>17</v>
      </c>
      <c r="AB4701" s="18">
        <f t="shared" si="146"/>
        <v>2010</v>
      </c>
      <c r="AC4701" s="22">
        <f t="shared" si="147"/>
        <v>0.69599999999999995</v>
      </c>
    </row>
    <row r="4702" spans="1:29">
      <c r="A4702" s="8" t="s">
        <v>3138</v>
      </c>
      <c r="B4702" s="17" t="s">
        <v>7800</v>
      </c>
      <c r="C4702" s="13">
        <v>40443</v>
      </c>
      <c r="D4702" s="13" t="s">
        <v>8465</v>
      </c>
      <c r="E4702" s="10" t="s">
        <v>1634</v>
      </c>
      <c r="F4702" s="10" t="s">
        <v>1634</v>
      </c>
      <c r="G4702" s="11" t="s">
        <v>3139</v>
      </c>
      <c r="H4702" s="2" t="s">
        <v>2138</v>
      </c>
      <c r="L4702" s="18">
        <v>1</v>
      </c>
      <c r="N4702" s="13">
        <v>40731</v>
      </c>
      <c r="O4702" s="29">
        <v>0</v>
      </c>
      <c r="P4702" s="18" t="s">
        <v>1107</v>
      </c>
      <c r="Q4702" s="18">
        <v>0</v>
      </c>
      <c r="U4702" s="22">
        <v>0.7</v>
      </c>
      <c r="V4702" s="22">
        <f>2.68/5</f>
        <v>0.53600000000000003</v>
      </c>
      <c r="W4702" s="14" t="s">
        <v>7777</v>
      </c>
      <c r="X4702" s="3">
        <v>2</v>
      </c>
      <c r="Z4702" s="23">
        <v>5.5</v>
      </c>
      <c r="AB4702" s="18">
        <f t="shared" si="146"/>
        <v>2010</v>
      </c>
      <c r="AC4702" s="22">
        <f t="shared" si="147"/>
        <v>0.54533333333333334</v>
      </c>
    </row>
    <row r="4703" spans="1:29">
      <c r="A4703" s="8" t="s">
        <v>3330</v>
      </c>
      <c r="B4703" s="17" t="s">
        <v>7800</v>
      </c>
      <c r="C4703" s="13">
        <v>40443</v>
      </c>
      <c r="D4703" s="13" t="s">
        <v>8465</v>
      </c>
      <c r="E4703" s="10" t="s">
        <v>3331</v>
      </c>
      <c r="F4703" s="10" t="s">
        <v>3331</v>
      </c>
      <c r="H4703" s="2" t="s">
        <v>64</v>
      </c>
      <c r="L4703" s="18">
        <v>1</v>
      </c>
      <c r="N4703" s="13">
        <v>42175</v>
      </c>
      <c r="O4703" s="29">
        <v>1.49</v>
      </c>
      <c r="P4703" s="18" t="s">
        <v>1107</v>
      </c>
      <c r="Q4703" s="18">
        <v>0</v>
      </c>
      <c r="U4703" s="22">
        <v>0.5</v>
      </c>
      <c r="V4703" s="22">
        <f>3.4/5</f>
        <v>0.67999999999999994</v>
      </c>
      <c r="W4703" s="14" t="s">
        <v>7777</v>
      </c>
      <c r="X4703" s="3">
        <v>2</v>
      </c>
      <c r="Z4703" s="23">
        <v>5</v>
      </c>
      <c r="AB4703" s="18">
        <f t="shared" si="146"/>
        <v>2010</v>
      </c>
      <c r="AC4703" s="22">
        <f t="shared" si="147"/>
        <v>0.52666666666666673</v>
      </c>
    </row>
    <row r="4704" spans="1:29" ht="25.5">
      <c r="A4704" s="8" t="s">
        <v>2241</v>
      </c>
      <c r="B4704" s="17" t="s">
        <v>7748</v>
      </c>
      <c r="C4704" s="13">
        <v>40442</v>
      </c>
      <c r="D4704" s="13" t="s">
        <v>8465</v>
      </c>
      <c r="E4704" s="10" t="s">
        <v>228</v>
      </c>
      <c r="F4704" s="10" t="s">
        <v>228</v>
      </c>
      <c r="G4704" s="11" t="s">
        <v>2239</v>
      </c>
      <c r="H4704" s="2" t="s">
        <v>1377</v>
      </c>
      <c r="L4704" s="18">
        <v>0</v>
      </c>
      <c r="Q4704" s="18">
        <v>0</v>
      </c>
      <c r="U4704" s="22">
        <v>0.8</v>
      </c>
      <c r="V4704" s="22">
        <f>4.21/5</f>
        <v>0.84199999999999997</v>
      </c>
      <c r="X4704" s="3">
        <v>4</v>
      </c>
      <c r="Z4704" s="23">
        <v>47</v>
      </c>
      <c r="AB4704" s="18">
        <f t="shared" si="146"/>
        <v>2010</v>
      </c>
      <c r="AC4704" s="22">
        <f t="shared" si="147"/>
        <v>0.81400000000000006</v>
      </c>
    </row>
    <row r="4705" spans="1:29" ht="25.5">
      <c r="A4705" s="8" t="s">
        <v>4998</v>
      </c>
      <c r="B4705" s="17" t="s">
        <v>7800</v>
      </c>
      <c r="C4705" s="13">
        <v>40442</v>
      </c>
      <c r="D4705" s="13" t="s">
        <v>8465</v>
      </c>
      <c r="E4705" s="10" t="s">
        <v>3310</v>
      </c>
      <c r="F4705" s="10" t="s">
        <v>4993</v>
      </c>
      <c r="G4705" s="11" t="s">
        <v>4994</v>
      </c>
      <c r="H4705" s="2" t="s">
        <v>3123</v>
      </c>
      <c r="L4705" s="18">
        <v>1</v>
      </c>
      <c r="N4705" s="13">
        <v>41104</v>
      </c>
      <c r="O4705" s="29">
        <v>7.49</v>
      </c>
      <c r="P4705" s="18" t="s">
        <v>1107</v>
      </c>
      <c r="Q4705" s="18">
        <v>0</v>
      </c>
      <c r="U4705" s="22">
        <v>0.89</v>
      </c>
      <c r="V4705" s="22">
        <f>4.17/5</f>
        <v>0.83399999999999996</v>
      </c>
      <c r="W4705" s="14" t="s">
        <v>7777</v>
      </c>
      <c r="X4705" s="3">
        <v>3</v>
      </c>
      <c r="Z4705" s="23">
        <v>36.5</v>
      </c>
      <c r="AB4705" s="18">
        <f t="shared" si="146"/>
        <v>2010</v>
      </c>
      <c r="AC4705" s="22">
        <f t="shared" si="147"/>
        <v>0.77466666666666661</v>
      </c>
    </row>
    <row r="4706" spans="1:29" ht="30">
      <c r="A4706" s="8" t="s">
        <v>11544</v>
      </c>
      <c r="B4706" s="17" t="s">
        <v>7762</v>
      </c>
      <c r="C4706" s="13">
        <v>40441</v>
      </c>
      <c r="D4706" s="13" t="s">
        <v>8465</v>
      </c>
      <c r="E4706" s="10" t="s">
        <v>1062</v>
      </c>
      <c r="F4706" s="10" t="s">
        <v>10247</v>
      </c>
      <c r="G4706" s="11" t="s">
        <v>11545</v>
      </c>
      <c r="H4706" s="2" t="s">
        <v>171</v>
      </c>
      <c r="L4706" s="18">
        <v>0</v>
      </c>
      <c r="Q4706" s="18">
        <v>0</v>
      </c>
      <c r="U4706" s="22">
        <v>0.78</v>
      </c>
      <c r="V4706" s="22">
        <f>3.82/5</f>
        <v>0.76400000000000001</v>
      </c>
      <c r="X4706" s="3">
        <v>2</v>
      </c>
      <c r="Z4706" s="23">
        <v>16</v>
      </c>
      <c r="AB4706" s="18">
        <f t="shared" si="146"/>
        <v>2010</v>
      </c>
      <c r="AC4706" s="22">
        <f t="shared" si="147"/>
        <v>0.64800000000000002</v>
      </c>
    </row>
    <row r="4707" spans="1:29" ht="38.25">
      <c r="A4707" s="8" t="s">
        <v>13377</v>
      </c>
      <c r="B4707" s="17" t="s">
        <v>7825</v>
      </c>
      <c r="C4707" s="13">
        <v>40441</v>
      </c>
      <c r="D4707" s="13" t="s">
        <v>8465</v>
      </c>
      <c r="E4707" s="10" t="s">
        <v>8805</v>
      </c>
      <c r="F4707" s="10" t="s">
        <v>13378</v>
      </c>
      <c r="G4707" s="11" t="s">
        <v>1362</v>
      </c>
      <c r="H4707" s="2" t="s">
        <v>21</v>
      </c>
      <c r="L4707" s="18">
        <v>0</v>
      </c>
      <c r="Q4707" s="18">
        <v>0</v>
      </c>
      <c r="V4707" s="22">
        <f>2.98/5</f>
        <v>0.59599999999999997</v>
      </c>
      <c r="X4707" s="3">
        <v>2</v>
      </c>
      <c r="Y4707" s="18">
        <v>1</v>
      </c>
      <c r="Z4707" s="23">
        <v>2</v>
      </c>
      <c r="AB4707" s="18">
        <f t="shared" si="146"/>
        <v>2010</v>
      </c>
      <c r="AC4707" s="22">
        <f t="shared" si="147"/>
        <v>0.498</v>
      </c>
    </row>
    <row r="4708" spans="1:29" ht="25.5">
      <c r="A4708" s="8" t="s">
        <v>2250</v>
      </c>
      <c r="B4708" s="17" t="s">
        <v>7748</v>
      </c>
      <c r="C4708" s="13">
        <v>40438</v>
      </c>
      <c r="D4708" s="13" t="s">
        <v>8467</v>
      </c>
      <c r="E4708" s="10" t="s">
        <v>86</v>
      </c>
      <c r="F4708" s="10" t="s">
        <v>1525</v>
      </c>
      <c r="G4708" s="11" t="s">
        <v>2128</v>
      </c>
      <c r="H4708" s="2" t="s">
        <v>67</v>
      </c>
      <c r="L4708" s="18">
        <v>0</v>
      </c>
      <c r="Q4708" s="18">
        <v>0</v>
      </c>
      <c r="U4708" s="22">
        <v>0.8</v>
      </c>
      <c r="V4708" s="22">
        <f>4.29/5</f>
        <v>0.85799999999999998</v>
      </c>
      <c r="X4708" s="3">
        <v>4</v>
      </c>
      <c r="Z4708" s="23">
        <v>14</v>
      </c>
      <c r="AB4708" s="18">
        <f t="shared" si="146"/>
        <v>2010</v>
      </c>
      <c r="AC4708" s="22">
        <f t="shared" si="147"/>
        <v>0.81933333333333336</v>
      </c>
    </row>
    <row r="4709" spans="1:29">
      <c r="A4709" s="8" t="s">
        <v>14618</v>
      </c>
      <c r="B4709" s="17" t="s">
        <v>7800</v>
      </c>
      <c r="C4709" s="13">
        <v>40438</v>
      </c>
      <c r="D4709" s="13" t="s">
        <v>8465</v>
      </c>
      <c r="E4709" s="10" t="s">
        <v>14619</v>
      </c>
      <c r="F4709" s="10" t="s">
        <v>14619</v>
      </c>
      <c r="H4709" s="2" t="s">
        <v>149</v>
      </c>
      <c r="L4709" s="18">
        <v>0</v>
      </c>
      <c r="Q4709" s="18">
        <v>0</v>
      </c>
      <c r="V4709" s="22">
        <f>4.5/5</f>
        <v>0.9</v>
      </c>
      <c r="W4709" s="14" t="s">
        <v>5674</v>
      </c>
      <c r="X4709" s="3">
        <v>2</v>
      </c>
      <c r="Z4709" s="23">
        <v>1</v>
      </c>
      <c r="AB4709" s="18">
        <f t="shared" si="146"/>
        <v>2010</v>
      </c>
      <c r="AC4709" s="22">
        <f t="shared" si="147"/>
        <v>0.65</v>
      </c>
    </row>
    <row r="4710" spans="1:29">
      <c r="A4710" s="8" t="s">
        <v>4671</v>
      </c>
      <c r="B4710" s="17" t="s">
        <v>7800</v>
      </c>
      <c r="C4710" s="13">
        <v>40438</v>
      </c>
      <c r="D4710" s="13" t="s">
        <v>8465</v>
      </c>
      <c r="E4710" s="10" t="s">
        <v>3553</v>
      </c>
      <c r="F4710" s="10" t="s">
        <v>4672</v>
      </c>
      <c r="G4710" s="11" t="s">
        <v>4673</v>
      </c>
      <c r="H4710" s="2" t="s">
        <v>1334</v>
      </c>
      <c r="L4710" s="18">
        <v>1</v>
      </c>
      <c r="N4710" s="13">
        <v>41408</v>
      </c>
      <c r="P4710" s="18" t="s">
        <v>1107</v>
      </c>
      <c r="Q4710" s="18">
        <v>0</v>
      </c>
      <c r="U4710" s="22">
        <v>0.7</v>
      </c>
      <c r="V4710" s="22">
        <f>3.38/5</f>
        <v>0.67599999999999993</v>
      </c>
      <c r="W4710" s="14" t="s">
        <v>7777</v>
      </c>
      <c r="X4710" s="3">
        <v>2</v>
      </c>
      <c r="Z4710" s="23">
        <v>6</v>
      </c>
      <c r="AB4710" s="18">
        <f t="shared" si="146"/>
        <v>2010</v>
      </c>
      <c r="AC4710" s="22">
        <f t="shared" si="147"/>
        <v>0.59199999999999997</v>
      </c>
    </row>
    <row r="4711" spans="1:29" ht="30">
      <c r="A4711" s="8" t="s">
        <v>15269</v>
      </c>
      <c r="B4711" s="17" t="s">
        <v>7759</v>
      </c>
      <c r="C4711" s="13">
        <v>40438</v>
      </c>
      <c r="D4711" s="13" t="s">
        <v>8465</v>
      </c>
      <c r="E4711" s="10" t="s">
        <v>2908</v>
      </c>
      <c r="F4711" s="10" t="s">
        <v>5862</v>
      </c>
      <c r="H4711" s="2" t="s">
        <v>143</v>
      </c>
      <c r="L4711" s="18">
        <v>0</v>
      </c>
      <c r="Q4711" s="18">
        <v>0</v>
      </c>
      <c r="U4711" s="22">
        <v>0.36</v>
      </c>
      <c r="V4711" s="22">
        <f>2.68/5</f>
        <v>0.53600000000000003</v>
      </c>
      <c r="X4711" s="3">
        <v>2</v>
      </c>
      <c r="Z4711" s="23">
        <v>1.5</v>
      </c>
      <c r="AB4711" s="18">
        <f t="shared" si="146"/>
        <v>2010</v>
      </c>
      <c r="AC4711" s="22">
        <f t="shared" si="147"/>
        <v>0.432</v>
      </c>
    </row>
    <row r="4712" spans="1:29" ht="30">
      <c r="A4712" s="8" t="s">
        <v>11825</v>
      </c>
      <c r="B4712" s="17" t="s">
        <v>7762</v>
      </c>
      <c r="C4712" s="13">
        <v>40436</v>
      </c>
      <c r="D4712" s="13" t="s">
        <v>8465</v>
      </c>
      <c r="E4712" s="10" t="s">
        <v>1519</v>
      </c>
      <c r="F4712" s="10" t="s">
        <v>11826</v>
      </c>
      <c r="G4712" s="11" t="s">
        <v>9315</v>
      </c>
      <c r="H4712" s="2" t="s">
        <v>171</v>
      </c>
      <c r="L4712" s="18">
        <v>0</v>
      </c>
      <c r="Q4712" s="18">
        <v>0</v>
      </c>
      <c r="U4712" s="22">
        <v>0.59</v>
      </c>
      <c r="V4712" s="22">
        <f>4.15/5</f>
        <v>0.83000000000000007</v>
      </c>
      <c r="X4712" s="3">
        <v>2</v>
      </c>
      <c r="Z4712" s="23">
        <v>10</v>
      </c>
      <c r="AB4712" s="18">
        <f t="shared" si="146"/>
        <v>2010</v>
      </c>
      <c r="AC4712" s="22">
        <f t="shared" si="147"/>
        <v>0.60666666666666658</v>
      </c>
    </row>
    <row r="4713" spans="1:29">
      <c r="A4713" s="8" t="s">
        <v>11587</v>
      </c>
      <c r="B4713" s="17" t="s">
        <v>7765</v>
      </c>
      <c r="C4713" s="13">
        <v>40436</v>
      </c>
      <c r="D4713" s="13" t="s">
        <v>8465</v>
      </c>
      <c r="E4713" s="10" t="s">
        <v>8539</v>
      </c>
      <c r="F4713" s="10" t="s">
        <v>11188</v>
      </c>
      <c r="G4713" s="11" t="s">
        <v>567</v>
      </c>
      <c r="H4713" s="2" t="s">
        <v>21</v>
      </c>
      <c r="L4713" s="18">
        <v>1</v>
      </c>
      <c r="N4713" s="13">
        <v>45155</v>
      </c>
      <c r="O4713" s="29">
        <v>9.99</v>
      </c>
      <c r="P4713" s="18" t="s">
        <v>1107</v>
      </c>
      <c r="Q4713" s="18">
        <v>0</v>
      </c>
      <c r="V4713" s="22">
        <f>2.72/5</f>
        <v>0.54400000000000004</v>
      </c>
      <c r="X4713" s="3">
        <v>2</v>
      </c>
      <c r="Z4713" s="23">
        <f>30/60</f>
        <v>0.5</v>
      </c>
      <c r="AB4713" s="18">
        <f t="shared" si="146"/>
        <v>2010</v>
      </c>
      <c r="AC4713" s="22">
        <f t="shared" si="147"/>
        <v>0.47200000000000003</v>
      </c>
    </row>
    <row r="4714" spans="1:29" ht="30">
      <c r="A4714" s="8" t="s">
        <v>9420</v>
      </c>
      <c r="B4714" s="17" t="s">
        <v>7762</v>
      </c>
      <c r="C4714" s="13">
        <v>40435</v>
      </c>
      <c r="D4714" s="13" t="s">
        <v>8465</v>
      </c>
      <c r="E4714" s="10" t="s">
        <v>455</v>
      </c>
      <c r="F4714" s="10" t="s">
        <v>1375</v>
      </c>
      <c r="G4714" s="11" t="s">
        <v>1936</v>
      </c>
      <c r="H4714" s="2" t="s">
        <v>171</v>
      </c>
      <c r="L4714" s="18">
        <v>0</v>
      </c>
      <c r="Q4714" s="18">
        <v>0</v>
      </c>
      <c r="U4714" s="22">
        <v>0.69</v>
      </c>
      <c r="V4714" s="22">
        <f>4.24/5</f>
        <v>0.84800000000000009</v>
      </c>
      <c r="X4714" s="3">
        <v>3</v>
      </c>
      <c r="Z4714" s="23">
        <v>19</v>
      </c>
      <c r="AB4714" s="18">
        <f t="shared" si="146"/>
        <v>2010</v>
      </c>
      <c r="AC4714" s="22">
        <f t="shared" si="147"/>
        <v>0.71266666666666667</v>
      </c>
    </row>
    <row r="4715" spans="1:29" ht="45">
      <c r="A4715" s="8" t="s">
        <v>13081</v>
      </c>
      <c r="B4715" s="17" t="s">
        <v>7759</v>
      </c>
      <c r="C4715" s="13">
        <v>40435</v>
      </c>
      <c r="D4715" s="13" t="s">
        <v>8465</v>
      </c>
      <c r="E4715" s="10" t="s">
        <v>1156</v>
      </c>
      <c r="F4715" s="10" t="s">
        <v>4304</v>
      </c>
      <c r="G4715" s="11" t="s">
        <v>4445</v>
      </c>
      <c r="H4715" s="2" t="s">
        <v>80</v>
      </c>
      <c r="L4715" s="18">
        <v>0</v>
      </c>
      <c r="Q4715" s="18">
        <v>0</v>
      </c>
      <c r="U4715" s="22">
        <v>0.57999999999999996</v>
      </c>
      <c r="V4715" s="22">
        <f>3.09/5</f>
        <v>0.61799999999999999</v>
      </c>
      <c r="X4715" s="3">
        <v>2</v>
      </c>
      <c r="Y4715" s="18">
        <v>1</v>
      </c>
      <c r="Z4715" s="23">
        <v>6.5</v>
      </c>
      <c r="AB4715" s="18">
        <f t="shared" si="146"/>
        <v>2010</v>
      </c>
      <c r="AC4715" s="22">
        <f t="shared" si="147"/>
        <v>0.53266666666666662</v>
      </c>
    </row>
    <row r="4716" spans="1:29">
      <c r="A4716" s="8" t="s">
        <v>2164</v>
      </c>
      <c r="B4716" s="17" t="s">
        <v>7748</v>
      </c>
      <c r="C4716" s="13">
        <v>40434</v>
      </c>
      <c r="D4716" s="13" t="s">
        <v>8465</v>
      </c>
      <c r="E4716" s="10" t="s">
        <v>1551</v>
      </c>
      <c r="F4716" s="10" t="s">
        <v>2299</v>
      </c>
      <c r="H4716" s="2" t="s">
        <v>75</v>
      </c>
      <c r="L4716" s="18">
        <v>0</v>
      </c>
      <c r="Q4716" s="18">
        <v>0</v>
      </c>
      <c r="U4716" s="22">
        <v>0.62</v>
      </c>
      <c r="V4716" s="22">
        <f>3.64/5</f>
        <v>0.72799999999999998</v>
      </c>
      <c r="X4716" s="3">
        <v>3</v>
      </c>
      <c r="AB4716" s="18">
        <f t="shared" si="146"/>
        <v>2010</v>
      </c>
      <c r="AC4716" s="22">
        <f t="shared" si="147"/>
        <v>0.64933333333333332</v>
      </c>
    </row>
    <row r="4717" spans="1:29" ht="25.5">
      <c r="A4717" s="8" t="s">
        <v>4792</v>
      </c>
      <c r="B4717" s="17" t="s">
        <v>7800</v>
      </c>
      <c r="C4717" s="13">
        <v>40431</v>
      </c>
      <c r="D4717" s="13" t="s">
        <v>8465</v>
      </c>
      <c r="E4717" s="10" t="s">
        <v>3430</v>
      </c>
      <c r="F4717" s="10" t="s">
        <v>3431</v>
      </c>
      <c r="H4717" s="2" t="s">
        <v>171</v>
      </c>
      <c r="L4717" s="18">
        <v>1</v>
      </c>
      <c r="N4717" s="13">
        <v>41108</v>
      </c>
      <c r="O4717" s="29">
        <v>4.99</v>
      </c>
      <c r="P4717" s="18" t="s">
        <v>1107</v>
      </c>
      <c r="Q4717" s="18">
        <v>0</v>
      </c>
      <c r="U4717" s="22">
        <v>0.82</v>
      </c>
      <c r="V4717" s="22">
        <f>4.07/5</f>
        <v>0.81400000000000006</v>
      </c>
      <c r="W4717" s="14" t="s">
        <v>7777</v>
      </c>
      <c r="X4717" s="3">
        <v>4</v>
      </c>
      <c r="Z4717" s="23">
        <v>13</v>
      </c>
      <c r="AB4717" s="18">
        <f t="shared" si="146"/>
        <v>2010</v>
      </c>
      <c r="AC4717" s="22">
        <f t="shared" si="147"/>
        <v>0.81133333333333335</v>
      </c>
    </row>
    <row r="4718" spans="1:29" ht="25.5">
      <c r="A4718" s="8" t="s">
        <v>7467</v>
      </c>
      <c r="B4718" s="17" t="s">
        <v>7759</v>
      </c>
      <c r="C4718" s="13">
        <v>40431</v>
      </c>
      <c r="D4718" s="13" t="s">
        <v>8465</v>
      </c>
      <c r="E4718" s="10" t="s">
        <v>1047</v>
      </c>
      <c r="F4718" s="10" t="s">
        <v>7465</v>
      </c>
      <c r="G4718" s="11" t="s">
        <v>7466</v>
      </c>
      <c r="H4718" s="2" t="s">
        <v>7594</v>
      </c>
      <c r="L4718" s="18">
        <v>0</v>
      </c>
      <c r="Q4718" s="18">
        <v>0</v>
      </c>
      <c r="U4718" s="22">
        <v>0.67</v>
      </c>
      <c r="V4718" s="22">
        <f>3.2/5</f>
        <v>0.64</v>
      </c>
      <c r="X4718" s="3">
        <v>3</v>
      </c>
      <c r="Y4718" s="18">
        <v>1</v>
      </c>
      <c r="Z4718" s="23">
        <v>8</v>
      </c>
      <c r="AB4718" s="18">
        <f t="shared" si="146"/>
        <v>2010</v>
      </c>
      <c r="AC4718" s="22">
        <f t="shared" si="147"/>
        <v>0.63666666666666671</v>
      </c>
    </row>
    <row r="4719" spans="1:29" ht="30">
      <c r="A4719" s="8" t="s">
        <v>6215</v>
      </c>
      <c r="B4719" s="17" t="s">
        <v>7762</v>
      </c>
      <c r="C4719" s="13">
        <v>40428</v>
      </c>
      <c r="D4719" s="13" t="s">
        <v>8465</v>
      </c>
      <c r="E4719" s="10" t="s">
        <v>1082</v>
      </c>
      <c r="F4719" s="10" t="s">
        <v>1082</v>
      </c>
      <c r="G4719" s="11" t="s">
        <v>1957</v>
      </c>
      <c r="H4719" s="2" t="s">
        <v>171</v>
      </c>
      <c r="L4719" s="18">
        <v>0</v>
      </c>
      <c r="Q4719" s="18">
        <v>0</v>
      </c>
      <c r="U4719" s="22">
        <v>0.82</v>
      </c>
      <c r="V4719" s="22">
        <f>4.33/5</f>
        <v>0.86599999999999999</v>
      </c>
      <c r="X4719" s="3">
        <v>3</v>
      </c>
      <c r="Z4719" s="23">
        <v>29.5</v>
      </c>
      <c r="AB4719" s="18">
        <f t="shared" si="146"/>
        <v>2010</v>
      </c>
      <c r="AC4719" s="22">
        <f t="shared" si="147"/>
        <v>0.76200000000000001</v>
      </c>
    </row>
    <row r="4720" spans="1:29" ht="25.5">
      <c r="A4720" s="8" t="s">
        <v>15089</v>
      </c>
      <c r="B4720" s="17" t="s">
        <v>7759</v>
      </c>
      <c r="C4720" s="13">
        <v>40428</v>
      </c>
      <c r="D4720" s="13" t="s">
        <v>8465</v>
      </c>
      <c r="E4720" s="10" t="s">
        <v>1273</v>
      </c>
      <c r="F4720" s="10" t="s">
        <v>6103</v>
      </c>
      <c r="G4720" s="11" t="s">
        <v>1264</v>
      </c>
      <c r="H4720" s="2" t="s">
        <v>80</v>
      </c>
      <c r="L4720" s="18">
        <v>0</v>
      </c>
      <c r="Q4720" s="18">
        <v>0</v>
      </c>
      <c r="U4720" s="22">
        <v>0.74</v>
      </c>
      <c r="V4720" s="22">
        <f>3.82/5</f>
        <v>0.76400000000000001</v>
      </c>
      <c r="X4720" s="3">
        <v>3</v>
      </c>
      <c r="Y4720" s="18">
        <v>1</v>
      </c>
      <c r="Z4720" s="23">
        <v>10</v>
      </c>
      <c r="AB4720" s="18">
        <f t="shared" si="146"/>
        <v>2010</v>
      </c>
      <c r="AC4720" s="22">
        <f t="shared" si="147"/>
        <v>0.70133333333333336</v>
      </c>
    </row>
    <row r="4721" spans="1:29" ht="38.25">
      <c r="A4721" s="8" t="s">
        <v>980</v>
      </c>
      <c r="B4721" s="17" t="s">
        <v>7741</v>
      </c>
      <c r="C4721" s="13">
        <v>40428</v>
      </c>
      <c r="D4721" s="13" t="s">
        <v>8465</v>
      </c>
      <c r="E4721" s="10" t="s">
        <v>1529</v>
      </c>
      <c r="F4721" s="10" t="s">
        <v>1084</v>
      </c>
      <c r="G4721" s="11" t="s">
        <v>207</v>
      </c>
      <c r="H4721" s="2" t="s">
        <v>153</v>
      </c>
      <c r="L4721" s="18">
        <v>0</v>
      </c>
      <c r="Q4721" s="18">
        <v>0</v>
      </c>
      <c r="U4721" s="22">
        <v>0.73</v>
      </c>
      <c r="V4721" s="22">
        <f>3.64/5</f>
        <v>0.72799999999999998</v>
      </c>
      <c r="X4721" s="3">
        <v>3</v>
      </c>
      <c r="Z4721" s="23">
        <v>3.5</v>
      </c>
      <c r="AB4721" s="18">
        <f t="shared" si="146"/>
        <v>2010</v>
      </c>
      <c r="AC4721" s="22">
        <f t="shared" si="147"/>
        <v>0.68599999999999994</v>
      </c>
    </row>
    <row r="4722" spans="1:29" ht="25.5">
      <c r="A4722" s="8" t="s">
        <v>3338</v>
      </c>
      <c r="B4722" s="17" t="s">
        <v>7800</v>
      </c>
      <c r="C4722" s="13">
        <v>40423</v>
      </c>
      <c r="D4722" s="13" t="s">
        <v>8465</v>
      </c>
      <c r="E4722" s="10" t="s">
        <v>3339</v>
      </c>
      <c r="F4722" s="10" t="s">
        <v>479</v>
      </c>
      <c r="G4722" s="11" t="s">
        <v>3340</v>
      </c>
      <c r="H4722" s="2" t="s">
        <v>459</v>
      </c>
      <c r="L4722" s="18">
        <v>1</v>
      </c>
      <c r="N4722" s="13">
        <v>41944</v>
      </c>
      <c r="P4722" s="18" t="s">
        <v>1107</v>
      </c>
      <c r="Q4722" s="18">
        <v>0</v>
      </c>
      <c r="U4722" s="22">
        <v>0.75</v>
      </c>
      <c r="V4722" s="22">
        <f>3.86/5</f>
        <v>0.77200000000000002</v>
      </c>
      <c r="W4722" s="14" t="s">
        <v>7777</v>
      </c>
      <c r="X4722" s="3">
        <v>2</v>
      </c>
      <c r="Z4722" s="23">
        <v>12.5</v>
      </c>
      <c r="AB4722" s="18">
        <f t="shared" si="146"/>
        <v>2010</v>
      </c>
      <c r="AC4722" s="22">
        <f t="shared" si="147"/>
        <v>0.64066666666666672</v>
      </c>
    </row>
    <row r="4723" spans="1:29">
      <c r="A4723" s="8" t="s">
        <v>10058</v>
      </c>
      <c r="B4723" s="17" t="s">
        <v>7800</v>
      </c>
      <c r="C4723" s="13">
        <v>40422</v>
      </c>
      <c r="D4723" s="13" t="s">
        <v>8465</v>
      </c>
      <c r="E4723" s="10" t="s">
        <v>3805</v>
      </c>
      <c r="F4723" s="10" t="s">
        <v>3805</v>
      </c>
      <c r="G4723" s="11" t="s">
        <v>3806</v>
      </c>
      <c r="H4723" s="2" t="s">
        <v>149</v>
      </c>
      <c r="L4723" s="18">
        <v>1</v>
      </c>
      <c r="N4723" s="13">
        <v>44294</v>
      </c>
      <c r="O4723" s="29">
        <v>0</v>
      </c>
      <c r="P4723" s="18" t="s">
        <v>1107</v>
      </c>
      <c r="Q4723" s="18">
        <v>0</v>
      </c>
      <c r="V4723" s="22">
        <f>4.07/5</f>
        <v>0.81400000000000006</v>
      </c>
      <c r="W4723" s="14" t="s">
        <v>7777</v>
      </c>
      <c r="X4723" s="3">
        <v>3</v>
      </c>
      <c r="Z4723" s="23">
        <v>16</v>
      </c>
      <c r="AB4723" s="18">
        <f t="shared" si="146"/>
        <v>2010</v>
      </c>
      <c r="AC4723" s="22">
        <f t="shared" si="147"/>
        <v>0.70700000000000007</v>
      </c>
    </row>
    <row r="4724" spans="1:29">
      <c r="A4724" s="8" t="s">
        <v>7135</v>
      </c>
      <c r="B4724" s="17" t="s">
        <v>7800</v>
      </c>
      <c r="C4724" s="13">
        <v>40422</v>
      </c>
      <c r="D4724" s="13" t="s">
        <v>8465</v>
      </c>
      <c r="E4724" s="10" t="s">
        <v>7220</v>
      </c>
      <c r="F4724" s="10" t="s">
        <v>7220</v>
      </c>
      <c r="H4724" s="2" t="s">
        <v>147</v>
      </c>
      <c r="L4724" s="18">
        <v>0</v>
      </c>
      <c r="Q4724" s="18">
        <v>0</v>
      </c>
      <c r="W4724" s="14" t="s">
        <v>5674</v>
      </c>
      <c r="X4724" s="3">
        <v>3</v>
      </c>
      <c r="AB4724" s="18">
        <f t="shared" si="146"/>
        <v>2010</v>
      </c>
      <c r="AC4724" s="22">
        <f t="shared" si="147"/>
        <v>0.6</v>
      </c>
    </row>
    <row r="4725" spans="1:29" ht="30">
      <c r="A4725" s="8" t="s">
        <v>6254</v>
      </c>
      <c r="B4725" s="17" t="s">
        <v>7762</v>
      </c>
      <c r="C4725" s="13">
        <v>40421</v>
      </c>
      <c r="D4725" s="13" t="s">
        <v>8465</v>
      </c>
      <c r="E4725" s="10" t="s">
        <v>455</v>
      </c>
      <c r="F4725" s="10" t="s">
        <v>455</v>
      </c>
      <c r="G4725" s="11" t="s">
        <v>5494</v>
      </c>
      <c r="H4725" s="2" t="s">
        <v>75</v>
      </c>
      <c r="L4725" s="18">
        <v>0</v>
      </c>
      <c r="Q4725" s="18">
        <v>0</v>
      </c>
      <c r="U4725" s="22">
        <v>0.84</v>
      </c>
      <c r="V4725" s="22">
        <f>4.11/5</f>
        <v>0.82200000000000006</v>
      </c>
      <c r="X4725" s="3">
        <v>4</v>
      </c>
      <c r="Z4725" s="23">
        <v>38</v>
      </c>
      <c r="AB4725" s="18">
        <f t="shared" si="146"/>
        <v>2010</v>
      </c>
      <c r="AC4725" s="22">
        <f t="shared" si="147"/>
        <v>0.82066666666666654</v>
      </c>
    </row>
    <row r="4726" spans="1:29" ht="25.5">
      <c r="A4726" s="8" t="s">
        <v>6315</v>
      </c>
      <c r="B4726" s="17" t="s">
        <v>7765</v>
      </c>
      <c r="C4726" s="13">
        <v>40421</v>
      </c>
      <c r="D4726" s="13" t="s">
        <v>8465</v>
      </c>
      <c r="E4726" s="10" t="s">
        <v>73</v>
      </c>
      <c r="F4726" s="10" t="s">
        <v>3591</v>
      </c>
      <c r="G4726" s="11" t="s">
        <v>3589</v>
      </c>
      <c r="H4726" s="2" t="s">
        <v>80</v>
      </c>
      <c r="L4726" s="18">
        <v>1</v>
      </c>
      <c r="P4726" s="18" t="s">
        <v>1107</v>
      </c>
      <c r="Q4726" s="18">
        <v>0</v>
      </c>
      <c r="U4726" s="22">
        <v>0.83</v>
      </c>
      <c r="V4726" s="22">
        <f>3.74/5</f>
        <v>0.748</v>
      </c>
      <c r="X4726" s="3">
        <v>2</v>
      </c>
      <c r="Z4726" s="23">
        <v>2</v>
      </c>
      <c r="AB4726" s="18">
        <f t="shared" si="146"/>
        <v>2010</v>
      </c>
      <c r="AC4726" s="22">
        <f t="shared" si="147"/>
        <v>0.65933333333333322</v>
      </c>
    </row>
    <row r="4727" spans="1:29" ht="30">
      <c r="A4727" s="8" t="s">
        <v>7919</v>
      </c>
      <c r="B4727" s="17" t="s">
        <v>7762</v>
      </c>
      <c r="C4727" s="13">
        <v>40421</v>
      </c>
      <c r="D4727" s="13" t="s">
        <v>8465</v>
      </c>
      <c r="E4727" s="10" t="s">
        <v>1509</v>
      </c>
      <c r="F4727" s="10" t="s">
        <v>3539</v>
      </c>
      <c r="G4727" s="11" t="s">
        <v>3101</v>
      </c>
      <c r="H4727" s="2" t="s">
        <v>7594</v>
      </c>
      <c r="L4727" s="18">
        <v>0</v>
      </c>
      <c r="Q4727" s="18">
        <v>0</v>
      </c>
      <c r="U4727" s="22">
        <v>0.7268</v>
      </c>
      <c r="V4727" s="22">
        <f>3.69/5</f>
        <v>0.73799999999999999</v>
      </c>
      <c r="X4727" s="3">
        <v>2</v>
      </c>
      <c r="Z4727" s="23">
        <v>7</v>
      </c>
      <c r="AB4727" s="18">
        <f t="shared" si="146"/>
        <v>2010</v>
      </c>
      <c r="AC4727" s="22">
        <f t="shared" si="147"/>
        <v>0.62159999999999993</v>
      </c>
    </row>
    <row r="4728" spans="1:29" ht="38.25">
      <c r="A4728" s="8" t="s">
        <v>14470</v>
      </c>
      <c r="B4728" s="17" t="s">
        <v>7741</v>
      </c>
      <c r="C4728" s="13">
        <v>40420</v>
      </c>
      <c r="D4728" s="13" t="s">
        <v>8465</v>
      </c>
      <c r="E4728" s="10" t="s">
        <v>455</v>
      </c>
      <c r="F4728" s="10" t="s">
        <v>455</v>
      </c>
      <c r="G4728" s="11" t="s">
        <v>14471</v>
      </c>
      <c r="H4728" s="2" t="s">
        <v>1170</v>
      </c>
      <c r="L4728" s="18">
        <v>0</v>
      </c>
      <c r="Q4728" s="18">
        <v>0</v>
      </c>
      <c r="V4728" s="22">
        <f>3.83/5</f>
        <v>0.76600000000000001</v>
      </c>
      <c r="X4728" s="3">
        <v>3</v>
      </c>
      <c r="Z4728" s="23">
        <f>50/60</f>
        <v>0.83333333333333337</v>
      </c>
      <c r="AB4728" s="18">
        <f t="shared" si="146"/>
        <v>2010</v>
      </c>
      <c r="AC4728" s="22">
        <f t="shared" si="147"/>
        <v>0.68300000000000005</v>
      </c>
    </row>
    <row r="4729" spans="1:29">
      <c r="A4729" s="8" t="s">
        <v>13279</v>
      </c>
      <c r="B4729" s="17" t="s">
        <v>8754</v>
      </c>
      <c r="C4729" s="13">
        <v>40420</v>
      </c>
      <c r="D4729" s="13" t="s">
        <v>8465</v>
      </c>
      <c r="E4729" s="10" t="s">
        <v>6486</v>
      </c>
      <c r="F4729" s="10" t="s">
        <v>6486</v>
      </c>
      <c r="H4729" s="2" t="s">
        <v>21</v>
      </c>
      <c r="L4729" s="18">
        <v>0</v>
      </c>
      <c r="Q4729" s="18">
        <v>0</v>
      </c>
      <c r="U4729" s="22">
        <v>0.54</v>
      </c>
      <c r="V4729" s="22">
        <f>4/5</f>
        <v>0.8</v>
      </c>
      <c r="W4729" s="14" t="s">
        <v>9890</v>
      </c>
      <c r="X4729" s="3">
        <v>2</v>
      </c>
      <c r="AB4729" s="18">
        <f t="shared" si="146"/>
        <v>2010</v>
      </c>
      <c r="AC4729" s="22">
        <f t="shared" si="147"/>
        <v>0.58000000000000007</v>
      </c>
    </row>
    <row r="4730" spans="1:29">
      <c r="A4730" s="8" t="s">
        <v>4377</v>
      </c>
      <c r="B4730" s="17" t="s">
        <v>7800</v>
      </c>
      <c r="C4730" s="13">
        <v>40414</v>
      </c>
      <c r="D4730" s="13" t="s">
        <v>8465</v>
      </c>
      <c r="E4730" s="10" t="s">
        <v>3310</v>
      </c>
      <c r="F4730" s="10" t="s">
        <v>4378</v>
      </c>
      <c r="G4730" s="11" t="s">
        <v>4379</v>
      </c>
      <c r="H4730" s="2" t="s">
        <v>80</v>
      </c>
      <c r="L4730" s="18">
        <v>1</v>
      </c>
      <c r="N4730" s="13">
        <v>41559</v>
      </c>
      <c r="P4730" s="18" t="s">
        <v>1107</v>
      </c>
      <c r="Q4730" s="18">
        <v>0</v>
      </c>
      <c r="U4730" s="22">
        <v>0.77</v>
      </c>
      <c r="V4730" s="22">
        <f>3.78/5</f>
        <v>0.75600000000000001</v>
      </c>
      <c r="W4730" s="14" t="s">
        <v>7777</v>
      </c>
      <c r="X4730" s="3">
        <v>3</v>
      </c>
      <c r="Z4730" s="23">
        <v>12</v>
      </c>
      <c r="AB4730" s="18">
        <f t="shared" si="146"/>
        <v>2010</v>
      </c>
      <c r="AC4730" s="22">
        <f t="shared" si="147"/>
        <v>0.70866666666666667</v>
      </c>
    </row>
    <row r="4731" spans="1:29">
      <c r="A4731" s="8" t="s">
        <v>1000</v>
      </c>
      <c r="B4731" s="17" t="s">
        <v>7741</v>
      </c>
      <c r="C4731" s="13">
        <v>40414</v>
      </c>
      <c r="D4731" s="13" t="s">
        <v>8465</v>
      </c>
      <c r="E4731" s="10" t="s">
        <v>1534</v>
      </c>
      <c r="F4731" s="10" t="s">
        <v>1063</v>
      </c>
      <c r="H4731" s="2" t="s">
        <v>64</v>
      </c>
      <c r="L4731" s="18">
        <v>0</v>
      </c>
      <c r="Q4731" s="18">
        <v>0</v>
      </c>
      <c r="U4731" s="22">
        <v>0.77</v>
      </c>
      <c r="V4731" s="22">
        <f>3.62/5</f>
        <v>0.72399999999999998</v>
      </c>
      <c r="X4731" s="3">
        <v>3</v>
      </c>
      <c r="Z4731" s="23">
        <v>5</v>
      </c>
      <c r="AB4731" s="18">
        <f t="shared" si="146"/>
        <v>2010</v>
      </c>
      <c r="AC4731" s="22">
        <f t="shared" si="147"/>
        <v>0.69799999999999995</v>
      </c>
    </row>
    <row r="4732" spans="1:29" ht="30">
      <c r="A4732" s="8" t="s">
        <v>10109</v>
      </c>
      <c r="B4732" s="17" t="s">
        <v>7759</v>
      </c>
      <c r="C4732" s="13">
        <v>40414</v>
      </c>
      <c r="D4732" s="13" t="s">
        <v>8465</v>
      </c>
      <c r="E4732" s="10" t="s">
        <v>2908</v>
      </c>
      <c r="F4732" s="10" t="s">
        <v>2127</v>
      </c>
      <c r="G4732" s="11" t="s">
        <v>4707</v>
      </c>
      <c r="H4732" s="2" t="s">
        <v>150</v>
      </c>
      <c r="L4732" s="18">
        <v>1</v>
      </c>
      <c r="N4732" s="13">
        <v>44302</v>
      </c>
      <c r="O4732" s="29">
        <v>6.99</v>
      </c>
      <c r="P4732" s="18" t="s">
        <v>1107</v>
      </c>
      <c r="Q4732" s="18">
        <v>0</v>
      </c>
      <c r="U4732" s="22">
        <v>0.66</v>
      </c>
      <c r="V4732" s="22">
        <f>2.96/5</f>
        <v>0.59199999999999997</v>
      </c>
      <c r="X4732" s="3">
        <v>3</v>
      </c>
      <c r="Z4732" s="23">
        <v>6</v>
      </c>
      <c r="AB4732" s="18">
        <f t="shared" si="146"/>
        <v>2010</v>
      </c>
      <c r="AC4732" s="22">
        <f t="shared" si="147"/>
        <v>0.61733333333333329</v>
      </c>
    </row>
    <row r="4733" spans="1:29">
      <c r="A4733" s="8" t="s">
        <v>10856</v>
      </c>
      <c r="B4733" s="17" t="s">
        <v>6317</v>
      </c>
      <c r="C4733" s="13">
        <v>40410</v>
      </c>
      <c r="D4733" s="13" t="s">
        <v>8463</v>
      </c>
      <c r="E4733" s="10" t="s">
        <v>467</v>
      </c>
      <c r="F4733" s="10" t="s">
        <v>467</v>
      </c>
      <c r="H4733" s="2" t="s">
        <v>21</v>
      </c>
      <c r="K4733" s="18">
        <v>0</v>
      </c>
      <c r="L4733" s="18">
        <v>0</v>
      </c>
      <c r="Q4733" s="18">
        <v>0</v>
      </c>
      <c r="V4733" s="22">
        <f>3.54/5</f>
        <v>0.70799999999999996</v>
      </c>
      <c r="X4733" s="3">
        <v>3</v>
      </c>
      <c r="Z4733" s="23">
        <f>40/60</f>
        <v>0.66666666666666663</v>
      </c>
      <c r="AB4733" s="18">
        <f t="shared" si="146"/>
        <v>2010</v>
      </c>
      <c r="AC4733" s="22">
        <f t="shared" si="147"/>
        <v>0.65399999999999991</v>
      </c>
    </row>
    <row r="4734" spans="1:29" ht="30">
      <c r="A4734" s="8" t="s">
        <v>10877</v>
      </c>
      <c r="B4734" s="17" t="s">
        <v>7759</v>
      </c>
      <c r="C4734" s="13">
        <v>40409</v>
      </c>
      <c r="D4734" s="13" t="s">
        <v>8463</v>
      </c>
      <c r="E4734" s="10" t="s">
        <v>1509</v>
      </c>
      <c r="F4734" s="10" t="s">
        <v>1580</v>
      </c>
      <c r="G4734" s="11" t="s">
        <v>10874</v>
      </c>
      <c r="H4734" s="2" t="s">
        <v>1204</v>
      </c>
      <c r="K4734" s="18">
        <v>0</v>
      </c>
      <c r="L4734" s="18">
        <v>0</v>
      </c>
      <c r="Q4734" s="18">
        <v>0</v>
      </c>
      <c r="V4734" s="22">
        <f>3.61/5</f>
        <v>0.72199999999999998</v>
      </c>
      <c r="X4734" s="3">
        <v>3</v>
      </c>
      <c r="Y4734" s="18">
        <v>1</v>
      </c>
      <c r="AB4734" s="18">
        <f t="shared" si="146"/>
        <v>2010</v>
      </c>
      <c r="AC4734" s="22">
        <f t="shared" si="147"/>
        <v>0.66100000000000003</v>
      </c>
    </row>
    <row r="4735" spans="1:29" ht="30">
      <c r="A4735" s="8" t="s">
        <v>6255</v>
      </c>
      <c r="B4735" s="17" t="s">
        <v>7762</v>
      </c>
      <c r="C4735" s="13">
        <v>40407</v>
      </c>
      <c r="D4735" s="13" t="s">
        <v>8465</v>
      </c>
      <c r="E4735" s="10" t="s">
        <v>1534</v>
      </c>
      <c r="F4735" s="10" t="s">
        <v>1245</v>
      </c>
      <c r="G4735" s="11" t="s">
        <v>304</v>
      </c>
      <c r="H4735" s="2" t="s">
        <v>171</v>
      </c>
      <c r="L4735" s="18">
        <v>0</v>
      </c>
      <c r="Q4735" s="18">
        <v>0</v>
      </c>
      <c r="U4735" s="22">
        <v>0.81</v>
      </c>
      <c r="V4735" s="22">
        <f>4.22/5</f>
        <v>0.84399999999999997</v>
      </c>
      <c r="X4735" s="3">
        <v>4</v>
      </c>
      <c r="Z4735" s="23">
        <v>23</v>
      </c>
      <c r="AB4735" s="18">
        <f t="shared" si="146"/>
        <v>2010</v>
      </c>
      <c r="AC4735" s="22">
        <f t="shared" si="147"/>
        <v>0.81799999999999995</v>
      </c>
    </row>
    <row r="4736" spans="1:29" ht="25.5">
      <c r="A4736" s="8" t="s">
        <v>4220</v>
      </c>
      <c r="B4736" s="17" t="s">
        <v>7759</v>
      </c>
      <c r="C4736" s="13">
        <v>40407</v>
      </c>
      <c r="D4736" s="13" t="s">
        <v>8465</v>
      </c>
      <c r="E4736" s="10" t="s">
        <v>1082</v>
      </c>
      <c r="F4736" s="10" t="s">
        <v>4118</v>
      </c>
      <c r="G4736" s="11" t="s">
        <v>4221</v>
      </c>
      <c r="H4736" s="2" t="s">
        <v>1168</v>
      </c>
      <c r="L4736" s="18">
        <v>1</v>
      </c>
      <c r="M4736" s="14" t="s">
        <v>8462</v>
      </c>
      <c r="N4736" s="13">
        <v>43533</v>
      </c>
      <c r="P4736" s="18" t="s">
        <v>14</v>
      </c>
      <c r="Q4736" s="18">
        <v>0</v>
      </c>
      <c r="U4736" s="22">
        <v>0.61</v>
      </c>
      <c r="V4736" s="22">
        <f>2.93/5</f>
        <v>0.58600000000000008</v>
      </c>
      <c r="X4736" s="3">
        <v>1</v>
      </c>
      <c r="Z4736" s="23">
        <v>4</v>
      </c>
      <c r="AB4736" s="18">
        <f t="shared" si="146"/>
        <v>2010</v>
      </c>
      <c r="AC4736" s="22">
        <f t="shared" si="147"/>
        <v>0.46533333333333338</v>
      </c>
    </row>
    <row r="4737" spans="1:29">
      <c r="A4737" s="8" t="s">
        <v>11506</v>
      </c>
      <c r="B4737" s="17" t="s">
        <v>8754</v>
      </c>
      <c r="C4737" s="13">
        <v>40406</v>
      </c>
      <c r="D4737" s="13" t="s">
        <v>8465</v>
      </c>
      <c r="E4737" s="10" t="s">
        <v>72</v>
      </c>
      <c r="F4737" s="10" t="s">
        <v>11507</v>
      </c>
      <c r="H4737" s="2" t="s">
        <v>64</v>
      </c>
      <c r="L4737" s="18">
        <v>0</v>
      </c>
      <c r="Q4737" s="18">
        <v>0</v>
      </c>
      <c r="U4737" s="22">
        <v>0.71</v>
      </c>
      <c r="V4737" s="22">
        <f>3.8/5</f>
        <v>0.76</v>
      </c>
      <c r="W4737" s="14" t="s">
        <v>9890</v>
      </c>
      <c r="X4737" s="3">
        <v>2</v>
      </c>
      <c r="AB4737" s="18">
        <f t="shared" ref="AB4737:AB4800" si="148">IFERROR(YEAR(C4737), "Early Access")</f>
        <v>2010</v>
      </c>
      <c r="AC4737" s="22">
        <f t="shared" ref="AC4737:AC4800" si="149">AVERAGE(T4737, U4737, V4737, IF(ISBLANK(X4737), X4737, X4737/5))</f>
        <v>0.62333333333333341</v>
      </c>
    </row>
    <row r="4738" spans="1:29">
      <c r="A4738" s="8" t="s">
        <v>7257</v>
      </c>
      <c r="B4738" s="17" t="s">
        <v>7781</v>
      </c>
      <c r="C4738" s="13">
        <v>40401</v>
      </c>
      <c r="D4738" s="13" t="s">
        <v>8465</v>
      </c>
      <c r="E4738" s="10" t="s">
        <v>3272</v>
      </c>
      <c r="F4738" s="10" t="s">
        <v>7214</v>
      </c>
      <c r="G4738" s="11" t="s">
        <v>7257</v>
      </c>
      <c r="H4738" s="2" t="s">
        <v>56</v>
      </c>
      <c r="L4738" s="18">
        <v>0</v>
      </c>
      <c r="Q4738" s="18">
        <v>0</v>
      </c>
      <c r="W4738" s="15" t="str">
        <f>HYPERLINK("https://www.gameflare.com/online-game/give-up-robot/", "Link")</f>
        <v>Link</v>
      </c>
      <c r="X4738" s="3">
        <v>3</v>
      </c>
      <c r="Z4738" s="23">
        <v>1</v>
      </c>
      <c r="AB4738" s="18">
        <f t="shared" si="148"/>
        <v>2010</v>
      </c>
      <c r="AC4738" s="22">
        <f t="shared" si="149"/>
        <v>0.6</v>
      </c>
    </row>
    <row r="4739" spans="1:29" ht="38.25">
      <c r="A4739" s="8" t="s">
        <v>14222</v>
      </c>
      <c r="B4739" s="17" t="s">
        <v>7800</v>
      </c>
      <c r="C4739" s="13">
        <v>40401</v>
      </c>
      <c r="D4739" s="13" t="s">
        <v>8465</v>
      </c>
      <c r="E4739" s="10" t="s">
        <v>7193</v>
      </c>
      <c r="F4739" s="10" t="s">
        <v>7193</v>
      </c>
      <c r="G4739" s="11" t="s">
        <v>7194</v>
      </c>
      <c r="H4739" s="2" t="s">
        <v>2820</v>
      </c>
      <c r="L4739" s="18">
        <v>0</v>
      </c>
      <c r="Q4739" s="18">
        <v>0</v>
      </c>
      <c r="W4739" s="14" t="s">
        <v>5674</v>
      </c>
      <c r="X4739" s="3">
        <v>3</v>
      </c>
      <c r="AB4739" s="18">
        <f t="shared" si="148"/>
        <v>2010</v>
      </c>
      <c r="AC4739" s="22">
        <f t="shared" si="149"/>
        <v>0.6</v>
      </c>
    </row>
    <row r="4740" spans="1:29">
      <c r="A4740" s="8" t="s">
        <v>7109</v>
      </c>
      <c r="B4740" s="17" t="s">
        <v>7800</v>
      </c>
      <c r="C4740" s="13">
        <v>40400</v>
      </c>
      <c r="D4740" s="13" t="s">
        <v>8465</v>
      </c>
      <c r="E4740" s="10" t="s">
        <v>7198</v>
      </c>
      <c r="F4740" s="10" t="s">
        <v>7198</v>
      </c>
      <c r="H4740" s="2" t="s">
        <v>64</v>
      </c>
      <c r="L4740" s="18">
        <v>1</v>
      </c>
      <c r="N4740" s="13">
        <v>45023</v>
      </c>
      <c r="O4740" s="29">
        <v>0</v>
      </c>
      <c r="P4740" s="18" t="s">
        <v>1107</v>
      </c>
      <c r="Q4740" s="18">
        <v>0</v>
      </c>
      <c r="W4740" s="14" t="s">
        <v>7777</v>
      </c>
      <c r="X4740" s="3">
        <v>3</v>
      </c>
      <c r="AB4740" s="18">
        <f t="shared" si="148"/>
        <v>2010</v>
      </c>
      <c r="AC4740" s="22">
        <f t="shared" si="149"/>
        <v>0.6</v>
      </c>
    </row>
    <row r="4741" spans="1:29">
      <c r="A4741" s="8" t="s">
        <v>4466</v>
      </c>
      <c r="B4741" s="17" t="s">
        <v>7800</v>
      </c>
      <c r="C4741" s="13">
        <v>40398</v>
      </c>
      <c r="D4741" s="13" t="s">
        <v>8465</v>
      </c>
      <c r="E4741" s="10" t="s">
        <v>4465</v>
      </c>
      <c r="F4741" s="10" t="s">
        <v>4465</v>
      </c>
      <c r="G4741" s="11" t="s">
        <v>4466</v>
      </c>
      <c r="H4741" s="2" t="s">
        <v>151</v>
      </c>
      <c r="L4741" s="18">
        <v>0</v>
      </c>
      <c r="Q4741" s="18">
        <v>0</v>
      </c>
      <c r="V4741" s="22">
        <f>3.46/5</f>
        <v>0.69199999999999995</v>
      </c>
      <c r="W4741" s="14" t="s">
        <v>5674</v>
      </c>
      <c r="X4741" s="3">
        <v>4</v>
      </c>
      <c r="Z4741" s="23">
        <v>4.5</v>
      </c>
      <c r="AB4741" s="18">
        <f t="shared" si="148"/>
        <v>2010</v>
      </c>
      <c r="AC4741" s="22">
        <f t="shared" si="149"/>
        <v>0.746</v>
      </c>
    </row>
    <row r="4742" spans="1:29" ht="30">
      <c r="A4742" s="8" t="s">
        <v>12001</v>
      </c>
      <c r="B4742" s="17" t="s">
        <v>7762</v>
      </c>
      <c r="C4742" s="13">
        <v>40395</v>
      </c>
      <c r="D4742" s="13" t="s">
        <v>8463</v>
      </c>
      <c r="E4742" s="10" t="s">
        <v>1541</v>
      </c>
      <c r="F4742" s="10" t="s">
        <v>1500</v>
      </c>
      <c r="G4742" s="11" t="s">
        <v>1422</v>
      </c>
      <c r="H4742" s="2" t="s">
        <v>171</v>
      </c>
      <c r="K4742" s="18">
        <v>1</v>
      </c>
      <c r="L4742" s="18">
        <v>0</v>
      </c>
      <c r="Q4742" s="18">
        <v>0</v>
      </c>
      <c r="V4742" s="22">
        <f>4.2/5</f>
        <v>0.84000000000000008</v>
      </c>
      <c r="X4742" s="3">
        <v>3</v>
      </c>
      <c r="Z4742" s="23">
        <v>25</v>
      </c>
      <c r="AB4742" s="18">
        <f t="shared" si="148"/>
        <v>2010</v>
      </c>
      <c r="AC4742" s="22">
        <f t="shared" si="149"/>
        <v>0.72</v>
      </c>
    </row>
    <row r="4743" spans="1:29" ht="25.5">
      <c r="A4743" s="8" t="s">
        <v>15404</v>
      </c>
      <c r="B4743" s="17" t="s">
        <v>7800</v>
      </c>
      <c r="C4743" s="13">
        <v>40394</v>
      </c>
      <c r="D4743" s="13" t="s">
        <v>8465</v>
      </c>
      <c r="E4743" s="10" t="s">
        <v>6967</v>
      </c>
      <c r="F4743" s="10" t="s">
        <v>6967</v>
      </c>
      <c r="H4743" s="2" t="s">
        <v>67</v>
      </c>
      <c r="L4743" s="18">
        <v>1</v>
      </c>
      <c r="N4743" s="13">
        <v>45128</v>
      </c>
      <c r="O4743" s="29">
        <v>0</v>
      </c>
      <c r="P4743" s="18" t="s">
        <v>1107</v>
      </c>
      <c r="Q4743" s="18">
        <v>0</v>
      </c>
      <c r="V4743" s="22">
        <f>3.86/5</f>
        <v>0.77200000000000002</v>
      </c>
      <c r="W4743" s="14" t="s">
        <v>7777</v>
      </c>
      <c r="X4743" s="3">
        <v>2</v>
      </c>
      <c r="Z4743" s="23">
        <f>15/60</f>
        <v>0.25</v>
      </c>
      <c r="AB4743" s="18">
        <f t="shared" si="148"/>
        <v>2010</v>
      </c>
      <c r="AC4743" s="22">
        <f t="shared" si="149"/>
        <v>0.58600000000000008</v>
      </c>
    </row>
    <row r="4744" spans="1:29">
      <c r="A4744" s="8" t="s">
        <v>11860</v>
      </c>
      <c r="B4744" s="17" t="s">
        <v>7748</v>
      </c>
      <c r="C4744" s="13">
        <v>40393</v>
      </c>
      <c r="D4744" s="13" t="s">
        <v>8465</v>
      </c>
      <c r="E4744" s="10" t="s">
        <v>10149</v>
      </c>
      <c r="F4744" s="10" t="s">
        <v>1525</v>
      </c>
      <c r="G4744" s="11" t="s">
        <v>7681</v>
      </c>
      <c r="H4744" s="2" t="s">
        <v>1334</v>
      </c>
      <c r="L4744" s="18">
        <v>0</v>
      </c>
      <c r="Q4744" s="18">
        <v>0</v>
      </c>
      <c r="U4744" s="22">
        <v>0.57999999999999996</v>
      </c>
      <c r="V4744" s="22">
        <f>3.71/5</f>
        <v>0.74199999999999999</v>
      </c>
      <c r="X4744" s="3">
        <v>3</v>
      </c>
      <c r="Z4744" s="23">
        <v>36</v>
      </c>
      <c r="AB4744" s="18">
        <f t="shared" si="148"/>
        <v>2010</v>
      </c>
      <c r="AC4744" s="22">
        <f t="shared" si="149"/>
        <v>0.64066666666666672</v>
      </c>
    </row>
    <row r="4745" spans="1:29" ht="38.25">
      <c r="A4745" s="8" t="s">
        <v>10358</v>
      </c>
      <c r="B4745" s="17" t="s">
        <v>8754</v>
      </c>
      <c r="C4745" s="13">
        <v>40392</v>
      </c>
      <c r="D4745" s="13" t="s">
        <v>8465</v>
      </c>
      <c r="E4745" s="10" t="s">
        <v>479</v>
      </c>
      <c r="F4745" s="10" t="s">
        <v>479</v>
      </c>
      <c r="G4745" s="11" t="s">
        <v>3340</v>
      </c>
      <c r="H4745" s="2" t="s">
        <v>459</v>
      </c>
      <c r="L4745" s="18">
        <v>1</v>
      </c>
      <c r="N4745" s="13">
        <v>44636</v>
      </c>
      <c r="O4745" s="29">
        <v>4.99</v>
      </c>
      <c r="P4745" s="18" t="s">
        <v>1107</v>
      </c>
      <c r="Q4745" s="18">
        <v>0</v>
      </c>
      <c r="V4745" s="22">
        <f>3.04/5</f>
        <v>0.60799999999999998</v>
      </c>
      <c r="X4745" s="3">
        <v>2</v>
      </c>
      <c r="Z4745" s="23">
        <f>15/60</f>
        <v>0.25</v>
      </c>
      <c r="AB4745" s="18">
        <f t="shared" si="148"/>
        <v>2010</v>
      </c>
      <c r="AC4745" s="22">
        <f t="shared" si="149"/>
        <v>0.504</v>
      </c>
    </row>
    <row r="4746" spans="1:29">
      <c r="A4746" s="8" t="s">
        <v>7141</v>
      </c>
      <c r="B4746" s="17" t="s">
        <v>7800</v>
      </c>
      <c r="C4746" s="13">
        <v>40389</v>
      </c>
      <c r="D4746" s="13" t="s">
        <v>8465</v>
      </c>
      <c r="E4746" s="10" t="s">
        <v>7211</v>
      </c>
      <c r="F4746" s="10" t="s">
        <v>7211</v>
      </c>
      <c r="H4746" s="2" t="s">
        <v>56</v>
      </c>
      <c r="L4746" s="18">
        <v>0</v>
      </c>
      <c r="Q4746" s="18">
        <v>0</v>
      </c>
      <c r="V4746" s="22">
        <f>2.63/5</f>
        <v>0.52600000000000002</v>
      </c>
      <c r="W4746" s="14" t="s">
        <v>5674</v>
      </c>
      <c r="X4746" s="3">
        <v>3</v>
      </c>
      <c r="Z4746" s="23">
        <v>1.5</v>
      </c>
      <c r="AB4746" s="18">
        <f t="shared" si="148"/>
        <v>2010</v>
      </c>
      <c r="AC4746" s="22">
        <f t="shared" si="149"/>
        <v>0.56299999999999994</v>
      </c>
    </row>
    <row r="4747" spans="1:29">
      <c r="A4747" s="8" t="s">
        <v>8950</v>
      </c>
      <c r="B4747" s="17" t="s">
        <v>7748</v>
      </c>
      <c r="C4747" s="13">
        <v>40388</v>
      </c>
      <c r="D4747" s="13" t="s">
        <v>8463</v>
      </c>
      <c r="E4747" s="10" t="s">
        <v>1167</v>
      </c>
      <c r="F4747" s="10" t="s">
        <v>1087</v>
      </c>
      <c r="G4747" s="11" t="s">
        <v>1392</v>
      </c>
      <c r="H4747" s="2" t="s">
        <v>149</v>
      </c>
      <c r="K4747" s="18">
        <v>2</v>
      </c>
      <c r="L4747" s="18">
        <v>0</v>
      </c>
      <c r="Q4747" s="18">
        <v>0</v>
      </c>
      <c r="V4747" s="22">
        <f>4.13/5</f>
        <v>0.82599999999999996</v>
      </c>
      <c r="X4747" s="3">
        <v>3</v>
      </c>
      <c r="AB4747" s="18">
        <f t="shared" si="148"/>
        <v>2010</v>
      </c>
      <c r="AC4747" s="22">
        <f t="shared" si="149"/>
        <v>0.71299999999999997</v>
      </c>
    </row>
    <row r="4748" spans="1:29" ht="30">
      <c r="A4748" s="9" t="s">
        <v>8899</v>
      </c>
      <c r="B4748" s="17" t="s">
        <v>7762</v>
      </c>
      <c r="C4748" s="13">
        <v>40388</v>
      </c>
      <c r="D4748" s="13" t="s">
        <v>8463</v>
      </c>
      <c r="E4748" s="10" t="s">
        <v>1245</v>
      </c>
      <c r="F4748" s="10" t="s">
        <v>1245</v>
      </c>
      <c r="G4748" s="11" t="s">
        <v>2892</v>
      </c>
      <c r="H4748" s="2" t="s">
        <v>459</v>
      </c>
      <c r="K4748" s="18">
        <v>2</v>
      </c>
      <c r="L4748" s="18">
        <v>0</v>
      </c>
      <c r="Q4748" s="18">
        <v>0</v>
      </c>
      <c r="V4748" s="22">
        <f>3.89/5</f>
        <v>0.77800000000000002</v>
      </c>
      <c r="X4748" s="3">
        <v>3</v>
      </c>
      <c r="Z4748" s="23">
        <v>3</v>
      </c>
      <c r="AB4748" s="18">
        <f t="shared" si="148"/>
        <v>2010</v>
      </c>
      <c r="AC4748" s="22">
        <f t="shared" si="149"/>
        <v>0.68900000000000006</v>
      </c>
    </row>
    <row r="4749" spans="1:29" ht="25.5">
      <c r="A4749" s="8" t="s">
        <v>10310</v>
      </c>
      <c r="B4749" s="17" t="s">
        <v>7765</v>
      </c>
      <c r="C4749" s="13">
        <v>40387</v>
      </c>
      <c r="D4749" s="13" t="s">
        <v>8465</v>
      </c>
      <c r="E4749" s="10" t="s">
        <v>3740</v>
      </c>
      <c r="F4749" s="10" t="s">
        <v>10311</v>
      </c>
      <c r="G4749" s="11" t="s">
        <v>10312</v>
      </c>
      <c r="H4749" s="2" t="s">
        <v>150</v>
      </c>
      <c r="L4749" s="18">
        <v>1</v>
      </c>
      <c r="N4749" s="13">
        <v>44695</v>
      </c>
      <c r="O4749" s="29">
        <v>0</v>
      </c>
      <c r="P4749" s="18" t="s">
        <v>1107</v>
      </c>
      <c r="Q4749" s="18">
        <v>0</v>
      </c>
      <c r="U4749" s="22">
        <v>0.75</v>
      </c>
      <c r="V4749" s="22">
        <f>4/5</f>
        <v>0.8</v>
      </c>
      <c r="W4749" s="14" t="s">
        <v>11393</v>
      </c>
      <c r="X4749" s="3">
        <v>3</v>
      </c>
      <c r="Z4749" s="23">
        <v>5.5</v>
      </c>
      <c r="AB4749" s="18">
        <f t="shared" si="148"/>
        <v>2010</v>
      </c>
      <c r="AC4749" s="22">
        <f t="shared" si="149"/>
        <v>0.71666666666666667</v>
      </c>
    </row>
    <row r="4750" spans="1:29">
      <c r="A4750" s="8" t="s">
        <v>978</v>
      </c>
      <c r="B4750" s="17" t="s">
        <v>7741</v>
      </c>
      <c r="C4750" s="13">
        <v>40386</v>
      </c>
      <c r="D4750" s="13" t="s">
        <v>8465</v>
      </c>
      <c r="E4750" s="10" t="s">
        <v>1527</v>
      </c>
      <c r="F4750" s="10" t="s">
        <v>1528</v>
      </c>
      <c r="H4750" s="2" t="s">
        <v>149</v>
      </c>
      <c r="L4750" s="18">
        <v>0</v>
      </c>
      <c r="Q4750" s="18">
        <v>0</v>
      </c>
      <c r="U4750" s="22">
        <v>0.68</v>
      </c>
      <c r="V4750" s="22">
        <f>3.93/5</f>
        <v>0.78600000000000003</v>
      </c>
      <c r="X4750" s="3">
        <v>4</v>
      </c>
      <c r="Z4750" s="23">
        <v>52</v>
      </c>
      <c r="AB4750" s="18">
        <f t="shared" si="148"/>
        <v>2010</v>
      </c>
      <c r="AC4750" s="22">
        <f t="shared" si="149"/>
        <v>0.7553333333333333</v>
      </c>
    </row>
    <row r="4751" spans="1:29">
      <c r="A4751" s="8" t="s">
        <v>13179</v>
      </c>
      <c r="B4751" s="17" t="s">
        <v>7742</v>
      </c>
      <c r="C4751" s="13">
        <v>40386</v>
      </c>
      <c r="D4751" s="13" t="s">
        <v>8463</v>
      </c>
      <c r="E4751" s="10" t="s">
        <v>86</v>
      </c>
      <c r="F4751" s="10" t="s">
        <v>2453</v>
      </c>
      <c r="H4751" s="2" t="s">
        <v>143</v>
      </c>
      <c r="K4751" s="18">
        <v>2</v>
      </c>
      <c r="L4751" s="18">
        <v>0</v>
      </c>
      <c r="Q4751" s="18">
        <v>0</v>
      </c>
      <c r="V4751" s="22">
        <f>4/5</f>
        <v>0.8</v>
      </c>
      <c r="X4751" s="3">
        <v>2</v>
      </c>
      <c r="AB4751" s="18">
        <f t="shared" si="148"/>
        <v>2010</v>
      </c>
      <c r="AC4751" s="22">
        <f t="shared" si="149"/>
        <v>0.60000000000000009</v>
      </c>
    </row>
    <row r="4752" spans="1:29">
      <c r="A4752" s="8" t="s">
        <v>13777</v>
      </c>
      <c r="B4752" s="17" t="s">
        <v>8754</v>
      </c>
      <c r="C4752" s="13">
        <v>40385</v>
      </c>
      <c r="D4752" s="13" t="s">
        <v>8465</v>
      </c>
      <c r="E4752" s="10" t="s">
        <v>7461</v>
      </c>
      <c r="F4752" s="10" t="s">
        <v>7461</v>
      </c>
      <c r="H4752" s="2" t="s">
        <v>149</v>
      </c>
      <c r="L4752" s="18">
        <v>0</v>
      </c>
      <c r="Q4752" s="18">
        <v>0</v>
      </c>
      <c r="V4752" s="22">
        <f>3.16/5</f>
        <v>0.63200000000000001</v>
      </c>
      <c r="W4752" s="14" t="s">
        <v>9890</v>
      </c>
      <c r="X4752" s="3">
        <v>2</v>
      </c>
      <c r="AB4752" s="18">
        <f t="shared" si="148"/>
        <v>2010</v>
      </c>
      <c r="AC4752" s="22">
        <f t="shared" si="149"/>
        <v>0.51600000000000001</v>
      </c>
    </row>
    <row r="4753" spans="1:29" ht="25.5">
      <c r="A4753" s="8" t="s">
        <v>15117</v>
      </c>
      <c r="B4753" s="17" t="s">
        <v>7783</v>
      </c>
      <c r="C4753" s="13">
        <v>40380</v>
      </c>
      <c r="D4753" s="13" t="s">
        <v>8465</v>
      </c>
      <c r="E4753" s="10" t="s">
        <v>72</v>
      </c>
      <c r="F4753" s="10" t="s">
        <v>72</v>
      </c>
      <c r="G4753" s="11" t="s">
        <v>113</v>
      </c>
      <c r="H4753" s="2" t="s">
        <v>78</v>
      </c>
      <c r="L4753" s="18">
        <v>1</v>
      </c>
      <c r="P4753" s="18" t="s">
        <v>1107</v>
      </c>
      <c r="Q4753" s="18">
        <v>0</v>
      </c>
      <c r="U4753" s="22">
        <v>0.8</v>
      </c>
      <c r="V4753" s="22">
        <f>3.42/5</f>
        <v>0.68399999999999994</v>
      </c>
      <c r="W4753" s="14" t="s">
        <v>15118</v>
      </c>
      <c r="X4753" s="3">
        <v>2</v>
      </c>
      <c r="Z4753" s="23">
        <v>7</v>
      </c>
      <c r="AB4753" s="18">
        <f t="shared" si="148"/>
        <v>2010</v>
      </c>
      <c r="AC4753" s="22">
        <f t="shared" si="149"/>
        <v>0.628</v>
      </c>
    </row>
    <row r="4754" spans="1:29" ht="25.5">
      <c r="A4754" s="8" t="s">
        <v>3671</v>
      </c>
      <c r="B4754" s="17" t="s">
        <v>7800</v>
      </c>
      <c r="C4754" s="13">
        <v>40375</v>
      </c>
      <c r="D4754" s="13" t="s">
        <v>8465</v>
      </c>
      <c r="E4754" s="10" t="s">
        <v>3672</v>
      </c>
      <c r="F4754" s="10" t="s">
        <v>3673</v>
      </c>
      <c r="G4754" s="11" t="s">
        <v>3670</v>
      </c>
      <c r="H4754" s="2" t="s">
        <v>69</v>
      </c>
      <c r="L4754" s="18">
        <v>1</v>
      </c>
      <c r="N4754" s="13">
        <v>41711</v>
      </c>
      <c r="P4754" s="18" t="s">
        <v>1107</v>
      </c>
      <c r="Q4754" s="18">
        <v>0</v>
      </c>
      <c r="U4754" s="22">
        <v>0.59</v>
      </c>
      <c r="V4754" s="22">
        <f>3.14/5</f>
        <v>0.628</v>
      </c>
      <c r="W4754" s="14" t="s">
        <v>7777</v>
      </c>
      <c r="X4754" s="3">
        <v>2</v>
      </c>
      <c r="Z4754" s="23">
        <v>25</v>
      </c>
      <c r="AB4754" s="18">
        <f t="shared" si="148"/>
        <v>2010</v>
      </c>
      <c r="AC4754" s="22">
        <f t="shared" si="149"/>
        <v>0.53933333333333333</v>
      </c>
    </row>
    <row r="4755" spans="1:29" ht="38.25">
      <c r="A4755" s="8" t="s">
        <v>2244</v>
      </c>
      <c r="B4755" s="17" t="s">
        <v>7748</v>
      </c>
      <c r="C4755" s="13">
        <v>40374</v>
      </c>
      <c r="D4755" s="13" t="s">
        <v>8463</v>
      </c>
      <c r="E4755" s="10" t="s">
        <v>86</v>
      </c>
      <c r="F4755" s="10" t="s">
        <v>1069</v>
      </c>
      <c r="G4755" s="11" t="s">
        <v>305</v>
      </c>
      <c r="H4755" s="2" t="s">
        <v>75</v>
      </c>
      <c r="K4755" s="18">
        <v>2</v>
      </c>
      <c r="L4755" s="18">
        <v>0</v>
      </c>
      <c r="Q4755" s="18">
        <v>0</v>
      </c>
      <c r="U4755" s="22">
        <v>0.9</v>
      </c>
      <c r="V4755" s="22">
        <f>4.09/5</f>
        <v>0.81799999999999995</v>
      </c>
      <c r="X4755" s="3">
        <v>4</v>
      </c>
      <c r="Z4755" s="23">
        <v>17</v>
      </c>
      <c r="AB4755" s="18">
        <f t="shared" si="148"/>
        <v>2010</v>
      </c>
      <c r="AC4755" s="22">
        <f t="shared" si="149"/>
        <v>0.83933333333333326</v>
      </c>
    </row>
    <row r="4756" spans="1:29" ht="30">
      <c r="A4756" s="8" t="s">
        <v>6216</v>
      </c>
      <c r="B4756" s="17" t="s">
        <v>7762</v>
      </c>
      <c r="C4756" s="13">
        <v>40374</v>
      </c>
      <c r="D4756" s="13" t="s">
        <v>8463</v>
      </c>
      <c r="E4756" s="10" t="s">
        <v>73</v>
      </c>
      <c r="F4756" s="10" t="s">
        <v>1528</v>
      </c>
      <c r="H4756" s="2" t="s">
        <v>149</v>
      </c>
      <c r="K4756" s="18">
        <v>1</v>
      </c>
      <c r="L4756" s="18">
        <v>0</v>
      </c>
      <c r="Q4756" s="18">
        <v>0</v>
      </c>
      <c r="V4756" s="22">
        <f>3.84/5</f>
        <v>0.76800000000000002</v>
      </c>
      <c r="X4756" s="3">
        <v>4</v>
      </c>
      <c r="Z4756" s="23">
        <v>19.5</v>
      </c>
      <c r="AB4756" s="18">
        <f t="shared" si="148"/>
        <v>2010</v>
      </c>
      <c r="AC4756" s="22">
        <f t="shared" si="149"/>
        <v>0.78400000000000003</v>
      </c>
    </row>
    <row r="4757" spans="1:29" ht="38.25">
      <c r="A4757" s="8" t="s">
        <v>15607</v>
      </c>
      <c r="B4757" s="17" t="s">
        <v>7741</v>
      </c>
      <c r="C4757" s="13">
        <v>40374</v>
      </c>
      <c r="D4757" s="13" t="s">
        <v>8463</v>
      </c>
      <c r="E4757" s="10" t="s">
        <v>1082</v>
      </c>
      <c r="F4757" s="10" t="s">
        <v>1082</v>
      </c>
      <c r="G4757" s="11" t="s">
        <v>140</v>
      </c>
      <c r="H4757" s="2" t="s">
        <v>3411</v>
      </c>
      <c r="K4757" s="18">
        <v>0</v>
      </c>
      <c r="L4757" s="18">
        <v>0</v>
      </c>
      <c r="Q4757" s="18">
        <v>0</v>
      </c>
      <c r="V4757" s="22">
        <f>4.29/5</f>
        <v>0.85799999999999998</v>
      </c>
      <c r="X4757" s="3">
        <v>2</v>
      </c>
      <c r="AB4757" s="18">
        <f t="shared" si="148"/>
        <v>2010</v>
      </c>
      <c r="AC4757" s="22">
        <f t="shared" si="149"/>
        <v>0.629</v>
      </c>
    </row>
    <row r="4758" spans="1:29" ht="38.25">
      <c r="A4758" s="8" t="s">
        <v>2170</v>
      </c>
      <c r="B4758" s="17" t="s">
        <v>7748</v>
      </c>
      <c r="C4758" s="13">
        <v>40370</v>
      </c>
      <c r="D4758" s="13" t="s">
        <v>8465</v>
      </c>
      <c r="E4758" s="10" t="s">
        <v>86</v>
      </c>
      <c r="F4758" s="10" t="s">
        <v>2129</v>
      </c>
      <c r="G4758" s="11" t="s">
        <v>140</v>
      </c>
      <c r="H4758" s="2" t="s">
        <v>149</v>
      </c>
      <c r="L4758" s="18">
        <v>0</v>
      </c>
      <c r="Q4758" s="18">
        <v>0</v>
      </c>
      <c r="U4758" s="22">
        <v>0.88</v>
      </c>
      <c r="V4758" s="22">
        <f>4.29/5</f>
        <v>0.85799999999999998</v>
      </c>
      <c r="X4758" s="3">
        <v>4</v>
      </c>
      <c r="Z4758" s="23">
        <v>49.5</v>
      </c>
      <c r="AB4758" s="18">
        <f t="shared" si="148"/>
        <v>2010</v>
      </c>
      <c r="AC4758" s="22">
        <f t="shared" si="149"/>
        <v>0.84600000000000009</v>
      </c>
    </row>
    <row r="4759" spans="1:29">
      <c r="A4759" s="8" t="s">
        <v>7106</v>
      </c>
      <c r="B4759" s="17" t="s">
        <v>7800</v>
      </c>
      <c r="C4759" s="13">
        <v>40370</v>
      </c>
      <c r="D4759" s="13" t="s">
        <v>8465</v>
      </c>
      <c r="E4759" s="10" t="s">
        <v>7195</v>
      </c>
      <c r="F4759" s="10" t="s">
        <v>7195</v>
      </c>
      <c r="H4759" s="2" t="s">
        <v>143</v>
      </c>
      <c r="L4759" s="18">
        <v>0</v>
      </c>
      <c r="Q4759" s="18">
        <v>0</v>
      </c>
      <c r="W4759" s="14" t="s">
        <v>5674</v>
      </c>
      <c r="X4759" s="3">
        <v>3</v>
      </c>
      <c r="AB4759" s="18">
        <f t="shared" si="148"/>
        <v>2010</v>
      </c>
      <c r="AC4759" s="22">
        <f t="shared" si="149"/>
        <v>0.6</v>
      </c>
    </row>
    <row r="4760" spans="1:29">
      <c r="A4760" s="8" t="s">
        <v>7249</v>
      </c>
      <c r="B4760" s="17" t="s">
        <v>7781</v>
      </c>
      <c r="C4760" s="13">
        <v>40369</v>
      </c>
      <c r="D4760" s="13" t="s">
        <v>8465</v>
      </c>
      <c r="E4760" s="10" t="s">
        <v>7261</v>
      </c>
      <c r="F4760" s="10" t="s">
        <v>7261</v>
      </c>
      <c r="H4760" s="2" t="s">
        <v>1267</v>
      </c>
      <c r="L4760" s="18">
        <v>0</v>
      </c>
      <c r="Q4760" s="18">
        <v>0</v>
      </c>
      <c r="W4760" s="15" t="str">
        <f>HYPERLINK("https://www.newgrounds.com/portal/view/541803", "Link")</f>
        <v>Link</v>
      </c>
      <c r="X4760" s="3">
        <v>3</v>
      </c>
      <c r="AB4760" s="18">
        <f t="shared" si="148"/>
        <v>2010</v>
      </c>
      <c r="AC4760" s="22">
        <f t="shared" si="149"/>
        <v>0.6</v>
      </c>
    </row>
    <row r="4761" spans="1:29">
      <c r="A4761" s="8" t="s">
        <v>6313</v>
      </c>
      <c r="B4761" s="17" t="s">
        <v>7765</v>
      </c>
      <c r="C4761" s="13">
        <v>40365</v>
      </c>
      <c r="D4761" s="13" t="s">
        <v>8465</v>
      </c>
      <c r="E4761" s="10" t="s">
        <v>3740</v>
      </c>
      <c r="F4761" s="10" t="s">
        <v>6314</v>
      </c>
      <c r="G4761" s="11" t="s">
        <v>6311</v>
      </c>
      <c r="H4761" s="2" t="s">
        <v>80</v>
      </c>
      <c r="L4761" s="18">
        <v>1</v>
      </c>
      <c r="N4761" s="13">
        <v>43533</v>
      </c>
      <c r="P4761" s="18" t="s">
        <v>1107</v>
      </c>
      <c r="Q4761" s="18">
        <v>0</v>
      </c>
      <c r="U4761" s="22">
        <v>0.71</v>
      </c>
      <c r="V4761" s="22">
        <f>3.52/5</f>
        <v>0.70399999999999996</v>
      </c>
      <c r="X4761" s="3">
        <v>3</v>
      </c>
      <c r="Z4761" s="23">
        <v>7</v>
      </c>
      <c r="AB4761" s="18">
        <f t="shared" si="148"/>
        <v>2010</v>
      </c>
      <c r="AC4761" s="22">
        <f t="shared" si="149"/>
        <v>0.67133333333333323</v>
      </c>
    </row>
    <row r="4762" spans="1:29" ht="25.5">
      <c r="A4762" s="8" t="s">
        <v>11277</v>
      </c>
      <c r="B4762" s="17" t="s">
        <v>8754</v>
      </c>
      <c r="C4762" s="13">
        <v>40364</v>
      </c>
      <c r="D4762" s="13" t="s">
        <v>8465</v>
      </c>
      <c r="E4762" s="10" t="s">
        <v>2480</v>
      </c>
      <c r="F4762" s="10" t="s">
        <v>2480</v>
      </c>
      <c r="G4762" s="11" t="s">
        <v>2481</v>
      </c>
      <c r="H4762" s="2" t="s">
        <v>1169</v>
      </c>
      <c r="L4762" s="18">
        <v>1</v>
      </c>
      <c r="N4762" s="13">
        <v>44619</v>
      </c>
      <c r="O4762" s="29">
        <v>4.99</v>
      </c>
      <c r="P4762" s="18" t="s">
        <v>1107</v>
      </c>
      <c r="Q4762" s="18">
        <v>0</v>
      </c>
      <c r="U4762" s="22">
        <v>0.71</v>
      </c>
      <c r="V4762" s="22">
        <f>3.64/5</f>
        <v>0.72799999999999998</v>
      </c>
      <c r="X4762" s="3">
        <v>3</v>
      </c>
      <c r="AB4762" s="18">
        <f t="shared" si="148"/>
        <v>2010</v>
      </c>
      <c r="AC4762" s="22">
        <f t="shared" si="149"/>
        <v>0.67933333333333323</v>
      </c>
    </row>
    <row r="4763" spans="1:29" ht="25.5">
      <c r="A4763" s="8" t="s">
        <v>11724</v>
      </c>
      <c r="B4763" s="17" t="s">
        <v>7748</v>
      </c>
      <c r="C4763" s="13">
        <v>40360</v>
      </c>
      <c r="D4763" s="13" t="s">
        <v>8463</v>
      </c>
      <c r="E4763" s="10" t="s">
        <v>3568</v>
      </c>
      <c r="F4763" s="10" t="s">
        <v>3568</v>
      </c>
      <c r="G4763" s="11" t="s">
        <v>8877</v>
      </c>
      <c r="H4763" s="2" t="s">
        <v>149</v>
      </c>
      <c r="K4763" s="18">
        <v>2</v>
      </c>
      <c r="L4763" s="18">
        <v>0</v>
      </c>
      <c r="Q4763" s="18">
        <v>0</v>
      </c>
      <c r="V4763" s="22">
        <f>4.26/5</f>
        <v>0.85199999999999998</v>
      </c>
      <c r="X4763" s="3">
        <v>2</v>
      </c>
      <c r="Z4763" s="23">
        <v>28</v>
      </c>
      <c r="AB4763" s="18">
        <f t="shared" si="148"/>
        <v>2010</v>
      </c>
      <c r="AC4763" s="22">
        <f t="shared" si="149"/>
        <v>0.626</v>
      </c>
    </row>
    <row r="4764" spans="1:29" ht="45">
      <c r="A4764" s="8" t="s">
        <v>4297</v>
      </c>
      <c r="B4764" s="17" t="s">
        <v>7800</v>
      </c>
      <c r="C4764" s="13">
        <v>40358</v>
      </c>
      <c r="D4764" s="13" t="s">
        <v>8465</v>
      </c>
      <c r="E4764" s="10" t="s">
        <v>1156</v>
      </c>
      <c r="F4764" s="10" t="s">
        <v>1309</v>
      </c>
      <c r="G4764" s="11" t="s">
        <v>4298</v>
      </c>
      <c r="H4764" s="2" t="s">
        <v>80</v>
      </c>
      <c r="L4764" s="18">
        <v>1</v>
      </c>
      <c r="N4764" s="13">
        <v>42048</v>
      </c>
      <c r="O4764" s="29">
        <v>1.81</v>
      </c>
      <c r="P4764" s="18" t="s">
        <v>1107</v>
      </c>
      <c r="Q4764" s="18">
        <v>0</v>
      </c>
      <c r="U4764" s="22">
        <v>0.79</v>
      </c>
      <c r="V4764" s="22">
        <f>3.68/5</f>
        <v>0.73599999999999999</v>
      </c>
      <c r="W4764" s="14" t="s">
        <v>7777</v>
      </c>
      <c r="X4764" s="3">
        <v>3</v>
      </c>
      <c r="Z4764" s="23">
        <v>12.5</v>
      </c>
      <c r="AB4764" s="18">
        <f t="shared" si="148"/>
        <v>2010</v>
      </c>
      <c r="AC4764" s="22">
        <f t="shared" si="149"/>
        <v>0.70866666666666667</v>
      </c>
    </row>
    <row r="4765" spans="1:29" ht="30">
      <c r="A4765" s="8" t="s">
        <v>11037</v>
      </c>
      <c r="B4765" s="17" t="s">
        <v>7762</v>
      </c>
      <c r="C4765" s="13">
        <v>40358</v>
      </c>
      <c r="D4765" s="13" t="s">
        <v>8465</v>
      </c>
      <c r="E4765" s="10" t="s">
        <v>2908</v>
      </c>
      <c r="F4765" s="10" t="s">
        <v>10091</v>
      </c>
      <c r="G4765" s="11" t="s">
        <v>11029</v>
      </c>
      <c r="H4765" s="2" t="s">
        <v>255</v>
      </c>
      <c r="L4765" s="18">
        <v>0</v>
      </c>
      <c r="Q4765" s="18">
        <v>0</v>
      </c>
      <c r="U4765" s="22">
        <v>0.8</v>
      </c>
      <c r="V4765" s="22">
        <f>4.24/5</f>
        <v>0.84800000000000009</v>
      </c>
      <c r="X4765" s="3">
        <v>2</v>
      </c>
      <c r="Z4765" s="23">
        <v>14</v>
      </c>
      <c r="AB4765" s="18">
        <f t="shared" si="148"/>
        <v>2010</v>
      </c>
      <c r="AC4765" s="22">
        <f t="shared" si="149"/>
        <v>0.68266666666666664</v>
      </c>
    </row>
    <row r="4766" spans="1:29">
      <c r="A4766" s="8" t="s">
        <v>15342</v>
      </c>
      <c r="B4766" s="17" t="s">
        <v>7765</v>
      </c>
      <c r="C4766" s="13">
        <v>40358</v>
      </c>
      <c r="D4766" s="13" t="s">
        <v>8465</v>
      </c>
      <c r="E4766" s="10" t="s">
        <v>72</v>
      </c>
      <c r="F4766" s="10" t="s">
        <v>5984</v>
      </c>
      <c r="G4766" s="11" t="s">
        <v>15341</v>
      </c>
      <c r="H4766" s="2" t="s">
        <v>1059</v>
      </c>
      <c r="L4766" s="18">
        <v>0</v>
      </c>
      <c r="Q4766" s="18">
        <v>0</v>
      </c>
      <c r="U4766" s="22">
        <v>0.45</v>
      </c>
      <c r="V4766" s="22">
        <f>3.39/5</f>
        <v>0.67800000000000005</v>
      </c>
      <c r="X4766" s="3">
        <v>3</v>
      </c>
      <c r="Y4766" s="18">
        <v>1</v>
      </c>
      <c r="Z4766" s="23">
        <v>6</v>
      </c>
      <c r="AB4766" s="18">
        <f t="shared" si="148"/>
        <v>2010</v>
      </c>
      <c r="AC4766" s="22">
        <f t="shared" si="149"/>
        <v>0.57600000000000007</v>
      </c>
    </row>
    <row r="4767" spans="1:29">
      <c r="A4767" s="8" t="s">
        <v>9285</v>
      </c>
      <c r="B4767" s="17" t="s">
        <v>7759</v>
      </c>
      <c r="C4767" s="13">
        <v>40358</v>
      </c>
      <c r="D4767" s="13" t="s">
        <v>8465</v>
      </c>
      <c r="E4767" s="10" t="s">
        <v>1062</v>
      </c>
      <c r="F4767" s="10" t="s">
        <v>2285</v>
      </c>
      <c r="H4767" s="2" t="s">
        <v>75</v>
      </c>
      <c r="L4767" s="18">
        <v>0</v>
      </c>
      <c r="Q4767" s="18">
        <v>0</v>
      </c>
      <c r="U4767" s="22">
        <v>0.62</v>
      </c>
      <c r="V4767" s="22">
        <f>3.69/5</f>
        <v>0.73799999999999999</v>
      </c>
      <c r="X4767" s="3">
        <v>2</v>
      </c>
      <c r="Y4767" s="18">
        <v>1</v>
      </c>
      <c r="Z4767" s="23">
        <v>60</v>
      </c>
      <c r="AB4767" s="18">
        <f t="shared" si="148"/>
        <v>2010</v>
      </c>
      <c r="AC4767" s="22">
        <f t="shared" si="149"/>
        <v>0.58599999999999997</v>
      </c>
    </row>
    <row r="4768" spans="1:29">
      <c r="A4768" s="8" t="s">
        <v>5052</v>
      </c>
      <c r="B4768" s="17" t="s">
        <v>7800</v>
      </c>
      <c r="C4768" s="13">
        <v>40358</v>
      </c>
      <c r="D4768" s="13" t="s">
        <v>8465</v>
      </c>
      <c r="E4768" s="10" t="s">
        <v>5053</v>
      </c>
      <c r="F4768" s="10" t="s">
        <v>5053</v>
      </c>
      <c r="G4768" s="11" t="s">
        <v>5052</v>
      </c>
      <c r="H4768" s="2" t="s">
        <v>245</v>
      </c>
      <c r="L4768" s="18">
        <v>1</v>
      </c>
      <c r="N4768" s="13">
        <v>41711</v>
      </c>
      <c r="P4768" s="18" t="s">
        <v>1107</v>
      </c>
      <c r="Q4768" s="18">
        <v>0</v>
      </c>
      <c r="U4768" s="22">
        <v>0.56000000000000005</v>
      </c>
      <c r="V4768" s="22">
        <f>2.81/5</f>
        <v>0.56200000000000006</v>
      </c>
      <c r="W4768" s="14" t="s">
        <v>7777</v>
      </c>
      <c r="X4768" s="3">
        <v>2</v>
      </c>
      <c r="Z4768" s="23">
        <v>5</v>
      </c>
      <c r="AB4768" s="18">
        <f t="shared" si="148"/>
        <v>2010</v>
      </c>
      <c r="AC4768" s="22">
        <f t="shared" si="149"/>
        <v>0.50733333333333341</v>
      </c>
    </row>
    <row r="4769" spans="1:29">
      <c r="A4769" s="8" t="s">
        <v>9880</v>
      </c>
      <c r="B4769" s="17" t="s">
        <v>7742</v>
      </c>
      <c r="C4769" s="13">
        <v>40357</v>
      </c>
      <c r="D4769" s="13" t="s">
        <v>8465</v>
      </c>
      <c r="E4769" s="10" t="s">
        <v>1733</v>
      </c>
      <c r="F4769" s="10" t="s">
        <v>1733</v>
      </c>
      <c r="G4769" s="11" t="s">
        <v>9880</v>
      </c>
      <c r="H4769" s="2" t="s">
        <v>1040</v>
      </c>
      <c r="L4769" s="18">
        <v>0</v>
      </c>
      <c r="Q4769" s="18">
        <v>0</v>
      </c>
      <c r="U4769" s="22">
        <v>0.7</v>
      </c>
      <c r="V4769" s="22">
        <f>3.83/5</f>
        <v>0.76600000000000001</v>
      </c>
      <c r="X4769" s="3">
        <v>3</v>
      </c>
      <c r="Z4769" s="23">
        <v>3</v>
      </c>
      <c r="AB4769" s="18">
        <f t="shared" si="148"/>
        <v>2010</v>
      </c>
      <c r="AC4769" s="22">
        <f t="shared" si="149"/>
        <v>0.68866666666666665</v>
      </c>
    </row>
    <row r="4770" spans="1:29">
      <c r="A4770" s="8" t="s">
        <v>7108</v>
      </c>
      <c r="B4770" s="17" t="s">
        <v>7800</v>
      </c>
      <c r="C4770" s="13">
        <v>40357</v>
      </c>
      <c r="D4770" s="13" t="s">
        <v>8465</v>
      </c>
      <c r="E4770" s="10" t="s">
        <v>7197</v>
      </c>
      <c r="F4770" s="10" t="s">
        <v>7197</v>
      </c>
      <c r="H4770" s="2" t="s">
        <v>1334</v>
      </c>
      <c r="L4770" s="18">
        <v>0</v>
      </c>
      <c r="Q4770" s="18">
        <v>0</v>
      </c>
      <c r="W4770" s="14" t="s">
        <v>5674</v>
      </c>
      <c r="X4770" s="3">
        <v>3</v>
      </c>
      <c r="Z4770" s="23">
        <v>5.5</v>
      </c>
      <c r="AB4770" s="18">
        <f t="shared" si="148"/>
        <v>2010</v>
      </c>
      <c r="AC4770" s="22">
        <f t="shared" si="149"/>
        <v>0.6</v>
      </c>
    </row>
    <row r="4771" spans="1:29" ht="25.5">
      <c r="A4771" s="8" t="s">
        <v>1025</v>
      </c>
      <c r="B4771" s="17" t="s">
        <v>7741</v>
      </c>
      <c r="C4771" s="13">
        <v>40356</v>
      </c>
      <c r="D4771" s="13" t="s">
        <v>8465</v>
      </c>
      <c r="E4771" s="10" t="s">
        <v>86</v>
      </c>
      <c r="F4771" s="10" t="s">
        <v>1474</v>
      </c>
      <c r="G4771" s="11" t="s">
        <v>1479</v>
      </c>
      <c r="H4771" s="2" t="s">
        <v>1170</v>
      </c>
      <c r="L4771" s="18">
        <v>0</v>
      </c>
      <c r="Q4771" s="18">
        <v>0</v>
      </c>
      <c r="U4771" s="22">
        <v>0.86</v>
      </c>
      <c r="V4771" s="22">
        <f>4.11/5</f>
        <v>0.82200000000000006</v>
      </c>
      <c r="X4771" s="3">
        <v>4</v>
      </c>
      <c r="Z4771" s="23">
        <v>6</v>
      </c>
      <c r="AB4771" s="18">
        <f t="shared" si="148"/>
        <v>2010</v>
      </c>
      <c r="AC4771" s="22">
        <f t="shared" si="149"/>
        <v>0.82733333333333337</v>
      </c>
    </row>
    <row r="4772" spans="1:29" ht="30">
      <c r="A4772" s="8" t="s">
        <v>13853</v>
      </c>
      <c r="B4772" s="17" t="s">
        <v>7759</v>
      </c>
      <c r="C4772" s="13">
        <v>40354</v>
      </c>
      <c r="D4772" s="13" t="s">
        <v>8465</v>
      </c>
      <c r="E4772" s="10" t="s">
        <v>1571</v>
      </c>
      <c r="F4772" s="10" t="s">
        <v>13854</v>
      </c>
      <c r="G4772" s="11" t="s">
        <v>13853</v>
      </c>
      <c r="H4772" s="2" t="s">
        <v>80</v>
      </c>
      <c r="L4772" s="18">
        <v>0</v>
      </c>
      <c r="Q4772" s="18">
        <v>0</v>
      </c>
      <c r="U4772" s="22">
        <v>0.43</v>
      </c>
      <c r="V4772" s="22">
        <f>3.05/5</f>
        <v>0.61</v>
      </c>
      <c r="X4772" s="3">
        <v>2</v>
      </c>
      <c r="Y4772" s="18">
        <v>1</v>
      </c>
      <c r="Z4772" s="23">
        <v>10</v>
      </c>
      <c r="AB4772" s="18">
        <f t="shared" si="148"/>
        <v>2010</v>
      </c>
      <c r="AC4772" s="22">
        <f t="shared" si="149"/>
        <v>0.48</v>
      </c>
    </row>
    <row r="4773" spans="1:29" ht="25.5">
      <c r="A4773" s="8" t="s">
        <v>8936</v>
      </c>
      <c r="B4773" s="17" t="s">
        <v>7759</v>
      </c>
      <c r="C4773" s="13">
        <v>40351</v>
      </c>
      <c r="D4773" s="13" t="s">
        <v>8465</v>
      </c>
      <c r="E4773" s="10" t="s">
        <v>1273</v>
      </c>
      <c r="F4773" s="10" t="s">
        <v>5879</v>
      </c>
      <c r="G4773" s="11" t="s">
        <v>6198</v>
      </c>
      <c r="H4773" s="2" t="s">
        <v>1168</v>
      </c>
      <c r="L4773" s="18">
        <v>1</v>
      </c>
      <c r="M4773" s="14" t="s">
        <v>8462</v>
      </c>
      <c r="N4773" s="13">
        <v>44011</v>
      </c>
      <c r="O4773" s="29">
        <v>9.2200000000000006</v>
      </c>
      <c r="P4773" s="18" t="s">
        <v>14</v>
      </c>
      <c r="Q4773" s="18">
        <v>0</v>
      </c>
      <c r="U4773" s="22">
        <v>0.77</v>
      </c>
      <c r="V4773" s="22">
        <f>4.01/5</f>
        <v>0.80199999999999994</v>
      </c>
      <c r="X4773" s="3">
        <v>3</v>
      </c>
      <c r="Z4773" s="23">
        <v>8.5</v>
      </c>
      <c r="AB4773" s="18">
        <f t="shared" si="148"/>
        <v>2010</v>
      </c>
      <c r="AC4773" s="22">
        <f t="shared" si="149"/>
        <v>0.72400000000000009</v>
      </c>
    </row>
    <row r="4774" spans="1:29">
      <c r="A4774" s="8" t="s">
        <v>2262</v>
      </c>
      <c r="B4774" s="17" t="s">
        <v>7748</v>
      </c>
      <c r="C4774" s="13">
        <v>40351</v>
      </c>
      <c r="D4774" s="13" t="s">
        <v>8465</v>
      </c>
      <c r="E4774" s="10" t="s">
        <v>2298</v>
      </c>
      <c r="F4774" s="10" t="s">
        <v>2331</v>
      </c>
      <c r="G4774" s="11" t="s">
        <v>2332</v>
      </c>
      <c r="H4774" s="2" t="s">
        <v>78</v>
      </c>
      <c r="L4774" s="18">
        <v>0</v>
      </c>
      <c r="Q4774" s="18">
        <v>0</v>
      </c>
      <c r="U4774" s="22">
        <v>0.74</v>
      </c>
      <c r="V4774" s="22">
        <f>3.47/5</f>
        <v>0.69400000000000006</v>
      </c>
      <c r="X4774" s="3">
        <v>3</v>
      </c>
      <c r="Z4774" s="23">
        <v>30</v>
      </c>
      <c r="AB4774" s="18">
        <f t="shared" si="148"/>
        <v>2010</v>
      </c>
      <c r="AC4774" s="22">
        <f t="shared" si="149"/>
        <v>0.67800000000000005</v>
      </c>
    </row>
    <row r="4775" spans="1:29">
      <c r="A4775" s="8" t="s">
        <v>11152</v>
      </c>
      <c r="B4775" s="17" t="s">
        <v>7748</v>
      </c>
      <c r="C4775" s="13">
        <v>40351</v>
      </c>
      <c r="D4775" s="13" t="s">
        <v>8465</v>
      </c>
      <c r="E4775" s="10" t="s">
        <v>1509</v>
      </c>
      <c r="F4775" s="10" t="s">
        <v>6259</v>
      </c>
      <c r="G4775" s="11" t="s">
        <v>11042</v>
      </c>
      <c r="H4775" s="2" t="s">
        <v>80</v>
      </c>
      <c r="L4775" s="18">
        <v>0</v>
      </c>
      <c r="Q4775" s="18">
        <v>0</v>
      </c>
      <c r="U4775" s="22">
        <v>0.7</v>
      </c>
      <c r="V4775" s="22">
        <f>3.81/5</f>
        <v>0.76200000000000001</v>
      </c>
      <c r="X4775" s="3">
        <v>2</v>
      </c>
      <c r="Z4775" s="23">
        <v>9.5</v>
      </c>
      <c r="AB4775" s="18">
        <f t="shared" si="148"/>
        <v>2010</v>
      </c>
      <c r="AC4775" s="22">
        <f t="shared" si="149"/>
        <v>0.6206666666666667</v>
      </c>
    </row>
    <row r="4776" spans="1:29" ht="25.5">
      <c r="A4776" s="8" t="s">
        <v>8940</v>
      </c>
      <c r="B4776" s="17" t="s">
        <v>7741</v>
      </c>
      <c r="C4776" s="13">
        <v>40351</v>
      </c>
      <c r="D4776" s="13" t="s">
        <v>8465</v>
      </c>
      <c r="E4776" s="10" t="s">
        <v>1273</v>
      </c>
      <c r="F4776" s="10" t="s">
        <v>1535</v>
      </c>
      <c r="G4776" s="11" t="s">
        <v>6198</v>
      </c>
      <c r="H4776" s="2" t="s">
        <v>1168</v>
      </c>
      <c r="L4776" s="18">
        <v>0</v>
      </c>
      <c r="Q4776" s="18">
        <v>0</v>
      </c>
      <c r="U4776" s="22">
        <v>0.41</v>
      </c>
      <c r="V4776" s="22">
        <f>4.22/5</f>
        <v>0.84399999999999997</v>
      </c>
      <c r="X4776" s="3">
        <v>2</v>
      </c>
      <c r="Z4776" s="23">
        <v>2</v>
      </c>
      <c r="AB4776" s="18">
        <f t="shared" si="148"/>
        <v>2010</v>
      </c>
      <c r="AC4776" s="22">
        <f t="shared" si="149"/>
        <v>0.55133333333333334</v>
      </c>
    </row>
    <row r="4777" spans="1:29">
      <c r="A4777" s="8" t="s">
        <v>11287</v>
      </c>
      <c r="B4777" s="17" t="s">
        <v>7742</v>
      </c>
      <c r="C4777" s="13">
        <v>40350</v>
      </c>
      <c r="D4777" s="13" t="s">
        <v>8465</v>
      </c>
      <c r="E4777" s="10" t="s">
        <v>86</v>
      </c>
      <c r="F4777" s="10" t="s">
        <v>1493</v>
      </c>
      <c r="G4777" s="11" t="s">
        <v>11257</v>
      </c>
      <c r="H4777" s="2" t="s">
        <v>78</v>
      </c>
      <c r="L4777" s="18">
        <v>0</v>
      </c>
      <c r="Q4777" s="18">
        <v>0</v>
      </c>
      <c r="U4777" s="22">
        <v>0.68</v>
      </c>
      <c r="V4777" s="22">
        <f>3.88/5</f>
        <v>0.77600000000000002</v>
      </c>
      <c r="X4777" s="3">
        <v>2</v>
      </c>
      <c r="Z4777" s="23">
        <v>3</v>
      </c>
      <c r="AB4777" s="18">
        <f t="shared" si="148"/>
        <v>2010</v>
      </c>
      <c r="AC4777" s="22">
        <f t="shared" si="149"/>
        <v>0.61866666666666659</v>
      </c>
    </row>
    <row r="4778" spans="1:29" ht="38.25">
      <c r="A4778" s="8" t="s">
        <v>15604</v>
      </c>
      <c r="B4778" s="17" t="s">
        <v>7742</v>
      </c>
      <c r="C4778" s="13">
        <v>40350</v>
      </c>
      <c r="D4778" s="13" t="s">
        <v>8465</v>
      </c>
      <c r="E4778" s="10" t="s">
        <v>1082</v>
      </c>
      <c r="F4778" s="10" t="s">
        <v>1082</v>
      </c>
      <c r="G4778" s="11" t="s">
        <v>15605</v>
      </c>
      <c r="H4778" s="2" t="s">
        <v>31</v>
      </c>
      <c r="L4778" s="18">
        <v>0</v>
      </c>
      <c r="Q4778" s="18">
        <v>0</v>
      </c>
      <c r="U4778" s="22">
        <v>0.57999999999999996</v>
      </c>
      <c r="V4778" s="22">
        <f>3.8/5</f>
        <v>0.76</v>
      </c>
      <c r="X4778" s="3">
        <v>2</v>
      </c>
      <c r="AB4778" s="18">
        <f t="shared" si="148"/>
        <v>2010</v>
      </c>
      <c r="AC4778" s="22">
        <f t="shared" si="149"/>
        <v>0.57999999999999996</v>
      </c>
    </row>
    <row r="4779" spans="1:29" ht="38.25">
      <c r="A4779" s="8" t="s">
        <v>15606</v>
      </c>
      <c r="B4779" s="17" t="s">
        <v>7742</v>
      </c>
      <c r="C4779" s="13">
        <v>40350</v>
      </c>
      <c r="D4779" s="13" t="s">
        <v>8465</v>
      </c>
      <c r="E4779" s="10" t="s">
        <v>1082</v>
      </c>
      <c r="F4779" s="10" t="s">
        <v>1082</v>
      </c>
      <c r="G4779" s="11" t="s">
        <v>15605</v>
      </c>
      <c r="H4779" s="2" t="s">
        <v>31</v>
      </c>
      <c r="L4779" s="18">
        <v>0</v>
      </c>
      <c r="Q4779" s="18">
        <v>0</v>
      </c>
      <c r="U4779" s="22">
        <v>0.54</v>
      </c>
      <c r="V4779" s="22">
        <f>3.8/5</f>
        <v>0.76</v>
      </c>
      <c r="X4779" s="3">
        <v>2</v>
      </c>
      <c r="AB4779" s="18">
        <f t="shared" si="148"/>
        <v>2010</v>
      </c>
      <c r="AC4779" s="22">
        <f t="shared" si="149"/>
        <v>0.56666666666666676</v>
      </c>
    </row>
    <row r="4780" spans="1:29" ht="38.25">
      <c r="A4780" s="8" t="s">
        <v>13776</v>
      </c>
      <c r="B4780" s="17" t="s">
        <v>8754</v>
      </c>
      <c r="C4780" s="13">
        <v>40345</v>
      </c>
      <c r="D4780" s="13" t="s">
        <v>8463</v>
      </c>
      <c r="E4780" s="10" t="s">
        <v>62</v>
      </c>
      <c r="F4780" s="10" t="s">
        <v>62</v>
      </c>
      <c r="G4780" s="11" t="s">
        <v>13775</v>
      </c>
      <c r="H4780" s="2" t="s">
        <v>171</v>
      </c>
      <c r="K4780" s="18">
        <v>0</v>
      </c>
      <c r="L4780" s="18">
        <v>0</v>
      </c>
      <c r="Q4780" s="18">
        <v>0</v>
      </c>
      <c r="V4780" s="22">
        <f>3.9/5</f>
        <v>0.78</v>
      </c>
      <c r="W4780" s="14" t="s">
        <v>9890</v>
      </c>
      <c r="X4780" s="3">
        <v>2</v>
      </c>
      <c r="AB4780" s="18">
        <f t="shared" si="148"/>
        <v>2010</v>
      </c>
      <c r="AC4780" s="22">
        <f t="shared" si="149"/>
        <v>0.59000000000000008</v>
      </c>
    </row>
    <row r="4781" spans="1:29" ht="30">
      <c r="A4781" s="8" t="s">
        <v>15805</v>
      </c>
      <c r="B4781" s="17" t="s">
        <v>7759</v>
      </c>
      <c r="C4781" s="13">
        <v>40344</v>
      </c>
      <c r="D4781" s="13" t="s">
        <v>8465</v>
      </c>
      <c r="E4781" s="10" t="s">
        <v>2317</v>
      </c>
      <c r="F4781" s="10" t="s">
        <v>11989</v>
      </c>
      <c r="G4781" s="11" t="s">
        <v>15802</v>
      </c>
      <c r="H4781" s="2" t="s">
        <v>1040</v>
      </c>
      <c r="L4781" s="18">
        <v>0</v>
      </c>
      <c r="Q4781" s="18">
        <v>0</v>
      </c>
      <c r="U4781" s="22">
        <v>0.78</v>
      </c>
      <c r="V4781" s="22">
        <f>3.86/5</f>
        <v>0.77200000000000002</v>
      </c>
      <c r="X4781" s="3">
        <v>3</v>
      </c>
      <c r="Y4781" s="18">
        <v>1</v>
      </c>
      <c r="Z4781" s="23">
        <v>4.5</v>
      </c>
      <c r="AB4781" s="18">
        <f t="shared" si="148"/>
        <v>2010</v>
      </c>
      <c r="AC4781" s="22">
        <f t="shared" si="149"/>
        <v>0.71733333333333338</v>
      </c>
    </row>
    <row r="4782" spans="1:29">
      <c r="A4782" s="8" t="s">
        <v>2424</v>
      </c>
      <c r="B4782" s="17" t="s">
        <v>8754</v>
      </c>
      <c r="C4782" s="13">
        <v>40343</v>
      </c>
      <c r="D4782" s="13" t="s">
        <v>8465</v>
      </c>
      <c r="E4782" s="10" t="s">
        <v>86</v>
      </c>
      <c r="F4782" s="10" t="s">
        <v>1962</v>
      </c>
      <c r="H4782" s="2" t="s">
        <v>31</v>
      </c>
      <c r="L4782" s="18">
        <v>1</v>
      </c>
      <c r="N4782" s="13">
        <v>41988</v>
      </c>
      <c r="O4782" s="29">
        <v>0</v>
      </c>
      <c r="P4782" s="18" t="s">
        <v>1107</v>
      </c>
      <c r="Q4782" s="18">
        <v>0</v>
      </c>
      <c r="U4782" s="22">
        <v>0.78</v>
      </c>
      <c r="V4782" s="22">
        <f>3.73/5</f>
        <v>0.746</v>
      </c>
      <c r="X4782" s="3">
        <v>2</v>
      </c>
      <c r="Z4782" s="23">
        <v>6</v>
      </c>
      <c r="AB4782" s="18">
        <f t="shared" si="148"/>
        <v>2010</v>
      </c>
      <c r="AC4782" s="22">
        <f t="shared" si="149"/>
        <v>0.64200000000000002</v>
      </c>
    </row>
    <row r="4783" spans="1:29" ht="25.5">
      <c r="A4783" s="8" t="s">
        <v>1557</v>
      </c>
      <c r="B4783" s="17" t="s">
        <v>7800</v>
      </c>
      <c r="C4783" s="13">
        <v>40341</v>
      </c>
      <c r="D4783" s="13" t="s">
        <v>8465</v>
      </c>
      <c r="E4783" s="10" t="s">
        <v>1047</v>
      </c>
      <c r="F4783" s="10" t="s">
        <v>1048</v>
      </c>
      <c r="G4783" s="11" t="s">
        <v>677</v>
      </c>
      <c r="H4783" s="2" t="s">
        <v>80</v>
      </c>
      <c r="L4783" s="18">
        <v>1</v>
      </c>
      <c r="N4783" s="13">
        <v>43339</v>
      </c>
      <c r="O4783" s="29">
        <v>3.39</v>
      </c>
      <c r="P4783" s="18" t="s">
        <v>1107</v>
      </c>
      <c r="Q4783" s="18">
        <v>0</v>
      </c>
      <c r="U4783" s="22">
        <v>0.78</v>
      </c>
      <c r="V4783" s="22">
        <f>3.42/5</f>
        <v>0.68399999999999994</v>
      </c>
      <c r="W4783" s="14" t="s">
        <v>7777</v>
      </c>
      <c r="X4783" s="3">
        <v>3</v>
      </c>
      <c r="Z4783" s="23">
        <v>8</v>
      </c>
      <c r="AB4783" s="18">
        <f t="shared" si="148"/>
        <v>2010</v>
      </c>
      <c r="AC4783" s="22">
        <f t="shared" si="149"/>
        <v>0.68800000000000006</v>
      </c>
    </row>
    <row r="4784" spans="1:29" ht="25.5">
      <c r="A4784" s="8" t="s">
        <v>15668</v>
      </c>
      <c r="B4784" s="17" t="s">
        <v>7748</v>
      </c>
      <c r="C4784" s="13">
        <v>40339</v>
      </c>
      <c r="D4784" s="13" t="s">
        <v>8465</v>
      </c>
      <c r="E4784" s="10" t="s">
        <v>1519</v>
      </c>
      <c r="F4784" s="10" t="s">
        <v>9866</v>
      </c>
      <c r="G4784" s="11" t="s">
        <v>226</v>
      </c>
      <c r="H4784" s="2" t="s">
        <v>255</v>
      </c>
      <c r="L4784" s="18">
        <v>0</v>
      </c>
      <c r="Q4784" s="18">
        <v>0</v>
      </c>
      <c r="V4784" s="22">
        <f>4/5</f>
        <v>0.8</v>
      </c>
      <c r="X4784" s="3">
        <v>2</v>
      </c>
      <c r="AB4784" s="18">
        <f t="shared" si="148"/>
        <v>2010</v>
      </c>
      <c r="AC4784" s="22">
        <f t="shared" si="149"/>
        <v>0.60000000000000009</v>
      </c>
    </row>
    <row r="4785" spans="1:29" ht="30">
      <c r="A4785" s="8" t="s">
        <v>6236</v>
      </c>
      <c r="B4785" s="17" t="s">
        <v>7762</v>
      </c>
      <c r="C4785" s="13">
        <v>40337</v>
      </c>
      <c r="D4785" s="13" t="s">
        <v>8465</v>
      </c>
      <c r="E4785" s="10" t="s">
        <v>1062</v>
      </c>
      <c r="F4785" s="10" t="s">
        <v>2285</v>
      </c>
      <c r="G4785" s="11" t="s">
        <v>2302</v>
      </c>
      <c r="H4785" s="2" t="s">
        <v>1057</v>
      </c>
      <c r="L4785" s="18">
        <v>0</v>
      </c>
      <c r="Q4785" s="18">
        <v>0</v>
      </c>
      <c r="U4785" s="22">
        <v>0.68</v>
      </c>
      <c r="V4785" s="22">
        <f>3.59/5</f>
        <v>0.71799999999999997</v>
      </c>
      <c r="X4785" s="3">
        <v>3</v>
      </c>
      <c r="Z4785" s="23">
        <v>5</v>
      </c>
      <c r="AB4785" s="18">
        <f t="shared" si="148"/>
        <v>2010</v>
      </c>
      <c r="AC4785" s="22">
        <f t="shared" si="149"/>
        <v>0.66600000000000004</v>
      </c>
    </row>
    <row r="4786" spans="1:29">
      <c r="A4786" s="8" t="s">
        <v>11251</v>
      </c>
      <c r="B4786" s="17" t="s">
        <v>8754</v>
      </c>
      <c r="C4786" s="13">
        <v>40336</v>
      </c>
      <c r="D4786" s="13" t="s">
        <v>8465</v>
      </c>
      <c r="E4786" s="10" t="s">
        <v>86</v>
      </c>
      <c r="F4786" s="10" t="s">
        <v>11258</v>
      </c>
      <c r="H4786" s="2" t="s">
        <v>143</v>
      </c>
      <c r="L4786" s="18">
        <v>1</v>
      </c>
      <c r="N4786" s="13">
        <v>44646</v>
      </c>
      <c r="O4786" s="29">
        <v>4.99</v>
      </c>
      <c r="P4786" s="18" t="s">
        <v>1107</v>
      </c>
      <c r="Q4786" s="18">
        <v>0</v>
      </c>
      <c r="U4786" s="22">
        <v>0.76</v>
      </c>
      <c r="V4786" s="22">
        <f>3.72/5</f>
        <v>0.74399999999999999</v>
      </c>
      <c r="X4786" s="3">
        <v>2</v>
      </c>
      <c r="AB4786" s="18">
        <f t="shared" si="148"/>
        <v>2010</v>
      </c>
      <c r="AC4786" s="22">
        <f t="shared" si="149"/>
        <v>0.6346666666666666</v>
      </c>
    </row>
    <row r="4787" spans="1:29">
      <c r="A4787" s="8" t="s">
        <v>7149</v>
      </c>
      <c r="B4787" s="17" t="s">
        <v>7800</v>
      </c>
      <c r="C4787" s="13">
        <v>40332</v>
      </c>
      <c r="D4787" s="13" t="s">
        <v>8465</v>
      </c>
      <c r="E4787" s="10" t="s">
        <v>7012</v>
      </c>
      <c r="F4787" s="10" t="s">
        <v>7012</v>
      </c>
      <c r="G4787" s="11" t="s">
        <v>7149</v>
      </c>
      <c r="H4787" s="2" t="s">
        <v>64</v>
      </c>
      <c r="L4787" s="18">
        <v>0</v>
      </c>
      <c r="Q4787" s="18">
        <v>0</v>
      </c>
      <c r="V4787" s="22">
        <f>3.89/5</f>
        <v>0.77800000000000002</v>
      </c>
      <c r="W4787" s="14" t="s">
        <v>5674</v>
      </c>
      <c r="X4787" s="3">
        <v>3</v>
      </c>
      <c r="AB4787" s="18">
        <f t="shared" si="148"/>
        <v>2010</v>
      </c>
      <c r="AC4787" s="22">
        <f t="shared" si="149"/>
        <v>0.68900000000000006</v>
      </c>
    </row>
    <row r="4788" spans="1:29">
      <c r="A4788" s="8" t="s">
        <v>3141</v>
      </c>
      <c r="B4788" s="17" t="s">
        <v>7800</v>
      </c>
      <c r="C4788" s="13">
        <v>40332</v>
      </c>
      <c r="D4788" s="13" t="s">
        <v>8465</v>
      </c>
      <c r="E4788" s="10" t="s">
        <v>1634</v>
      </c>
      <c r="F4788" s="10" t="s">
        <v>1634</v>
      </c>
      <c r="G4788" s="11" t="s">
        <v>3139</v>
      </c>
      <c r="H4788" s="2" t="s">
        <v>2138</v>
      </c>
      <c r="L4788" s="18">
        <v>1</v>
      </c>
      <c r="N4788" s="13">
        <v>41956</v>
      </c>
      <c r="P4788" s="18" t="s">
        <v>1107</v>
      </c>
      <c r="Q4788" s="18">
        <v>0</v>
      </c>
      <c r="U4788" s="22">
        <v>0.72</v>
      </c>
      <c r="V4788" s="22">
        <f>2.93/5</f>
        <v>0.58600000000000008</v>
      </c>
      <c r="W4788" s="14" t="s">
        <v>7777</v>
      </c>
      <c r="X4788" s="3">
        <v>2</v>
      </c>
      <c r="Z4788" s="23">
        <v>5.5</v>
      </c>
      <c r="AB4788" s="18">
        <f t="shared" si="148"/>
        <v>2010</v>
      </c>
      <c r="AC4788" s="22">
        <f t="shared" si="149"/>
        <v>0.56866666666666665</v>
      </c>
    </row>
    <row r="4789" spans="1:29" ht="30">
      <c r="A4789" s="8" t="s">
        <v>2628</v>
      </c>
      <c r="B4789" s="17" t="s">
        <v>7765</v>
      </c>
      <c r="C4789" s="13">
        <v>40331</v>
      </c>
      <c r="D4789" s="13" t="s">
        <v>8465</v>
      </c>
      <c r="E4789" s="10" t="s">
        <v>455</v>
      </c>
      <c r="F4789" s="10" t="s">
        <v>1970</v>
      </c>
      <c r="G4789" s="11" t="s">
        <v>1688</v>
      </c>
      <c r="H4789" s="2" t="s">
        <v>64</v>
      </c>
      <c r="L4789" s="18">
        <v>1</v>
      </c>
      <c r="P4789" s="18" t="s">
        <v>1107</v>
      </c>
      <c r="Q4789" s="18">
        <v>0</v>
      </c>
      <c r="U4789" s="22">
        <v>0.66</v>
      </c>
      <c r="V4789" s="22">
        <f>4.07/5</f>
        <v>0.81400000000000006</v>
      </c>
      <c r="X4789" s="3">
        <v>4</v>
      </c>
      <c r="Z4789" s="23">
        <v>3</v>
      </c>
      <c r="AB4789" s="18">
        <f t="shared" si="148"/>
        <v>2010</v>
      </c>
      <c r="AC4789" s="22">
        <f t="shared" si="149"/>
        <v>0.75800000000000001</v>
      </c>
    </row>
    <row r="4790" spans="1:29">
      <c r="A4790" s="8" t="s">
        <v>3165</v>
      </c>
      <c r="B4790" s="17" t="s">
        <v>7800</v>
      </c>
      <c r="C4790" s="13">
        <v>40330</v>
      </c>
      <c r="D4790" s="13" t="s">
        <v>8465</v>
      </c>
      <c r="E4790" s="10" t="s">
        <v>455</v>
      </c>
      <c r="F4790" s="10" t="s">
        <v>3166</v>
      </c>
      <c r="H4790" s="2" t="s">
        <v>171</v>
      </c>
      <c r="L4790" s="18">
        <v>1</v>
      </c>
      <c r="N4790" s="13">
        <v>43342</v>
      </c>
      <c r="O4790" s="29">
        <v>1.34</v>
      </c>
      <c r="P4790" s="18" t="s">
        <v>1107</v>
      </c>
      <c r="Q4790" s="18">
        <v>0</v>
      </c>
      <c r="U4790" s="22">
        <v>0.73</v>
      </c>
      <c r="V4790" s="22">
        <f>3.59/5</f>
        <v>0.71799999999999997</v>
      </c>
      <c r="W4790" s="14" t="s">
        <v>7777</v>
      </c>
      <c r="X4790" s="3">
        <v>4</v>
      </c>
      <c r="Z4790" s="23">
        <v>13</v>
      </c>
      <c r="AB4790" s="18">
        <f t="shared" si="148"/>
        <v>2010</v>
      </c>
      <c r="AC4790" s="22">
        <f t="shared" si="149"/>
        <v>0.74933333333333341</v>
      </c>
    </row>
    <row r="4791" spans="1:29" ht="25.5">
      <c r="A4791" s="8" t="s">
        <v>15517</v>
      </c>
      <c r="B4791" s="17" t="s">
        <v>7759</v>
      </c>
      <c r="C4791" s="13">
        <v>40330</v>
      </c>
      <c r="D4791" s="13" t="s">
        <v>8465</v>
      </c>
      <c r="E4791" s="10" t="s">
        <v>11735</v>
      </c>
      <c r="F4791" s="10" t="s">
        <v>4898</v>
      </c>
      <c r="G4791" s="11" t="s">
        <v>15512</v>
      </c>
      <c r="H4791" s="2" t="s">
        <v>255</v>
      </c>
      <c r="L4791" s="18">
        <v>0</v>
      </c>
      <c r="Q4791" s="18">
        <v>0</v>
      </c>
      <c r="U4791" s="22">
        <v>0.66</v>
      </c>
      <c r="V4791" s="22">
        <f>2.87/5</f>
        <v>0.57400000000000007</v>
      </c>
      <c r="X4791" s="3">
        <v>2</v>
      </c>
      <c r="Y4791" s="18">
        <v>1</v>
      </c>
      <c r="AB4791" s="18">
        <f t="shared" si="148"/>
        <v>2010</v>
      </c>
      <c r="AC4791" s="22">
        <f t="shared" si="149"/>
        <v>0.54466666666666663</v>
      </c>
    </row>
    <row r="4792" spans="1:29">
      <c r="A4792" s="8" t="s">
        <v>11254</v>
      </c>
      <c r="B4792" s="17" t="s">
        <v>8754</v>
      </c>
      <c r="C4792" s="13">
        <v>40329</v>
      </c>
      <c r="D4792" s="13" t="s">
        <v>8465</v>
      </c>
      <c r="E4792" s="10" t="s">
        <v>86</v>
      </c>
      <c r="F4792" s="10" t="s">
        <v>2127</v>
      </c>
      <c r="G4792" s="11" t="s">
        <v>5588</v>
      </c>
      <c r="H4792" s="2" t="s">
        <v>7594</v>
      </c>
      <c r="L4792" s="18">
        <v>1</v>
      </c>
      <c r="N4792" s="13">
        <v>44619</v>
      </c>
      <c r="O4792" s="29">
        <v>7.99</v>
      </c>
      <c r="P4792" s="18" t="s">
        <v>1107</v>
      </c>
      <c r="Q4792" s="18">
        <v>0</v>
      </c>
      <c r="U4792" s="22">
        <v>0.82</v>
      </c>
      <c r="V4792" s="22">
        <f>3.99/5</f>
        <v>0.79800000000000004</v>
      </c>
      <c r="X4792" s="3">
        <v>3</v>
      </c>
      <c r="AB4792" s="18">
        <f t="shared" si="148"/>
        <v>2010</v>
      </c>
      <c r="AC4792" s="22">
        <f t="shared" si="149"/>
        <v>0.73933333333333329</v>
      </c>
    </row>
    <row r="4793" spans="1:29" ht="25.5">
      <c r="A4793" s="8" t="s">
        <v>7503</v>
      </c>
      <c r="B4793" s="17" t="s">
        <v>7742</v>
      </c>
      <c r="C4793" s="13">
        <v>40329</v>
      </c>
      <c r="D4793" s="13" t="s">
        <v>8465</v>
      </c>
      <c r="E4793" s="10" t="s">
        <v>2294</v>
      </c>
      <c r="F4793" s="10" t="s">
        <v>2294</v>
      </c>
      <c r="G4793" s="11" t="s">
        <v>2153</v>
      </c>
      <c r="H4793" s="2" t="s">
        <v>1169</v>
      </c>
      <c r="L4793" s="18">
        <v>0</v>
      </c>
      <c r="Q4793" s="18">
        <v>0</v>
      </c>
      <c r="U4793" s="22">
        <v>0.68</v>
      </c>
      <c r="V4793" s="22">
        <f>3.75/5</f>
        <v>0.75</v>
      </c>
      <c r="X4793" s="3">
        <v>2</v>
      </c>
      <c r="AB4793" s="18">
        <f t="shared" si="148"/>
        <v>2010</v>
      </c>
      <c r="AC4793" s="22">
        <f t="shared" si="149"/>
        <v>0.61</v>
      </c>
    </row>
    <row r="4794" spans="1:29" ht="25.5">
      <c r="A4794" s="8" t="s">
        <v>3575</v>
      </c>
      <c r="B4794" s="17" t="s">
        <v>7800</v>
      </c>
      <c r="C4794" s="13">
        <v>40326</v>
      </c>
      <c r="D4794" s="13" t="s">
        <v>8465</v>
      </c>
      <c r="E4794" s="10" t="s">
        <v>3559</v>
      </c>
      <c r="F4794" s="10" t="s">
        <v>3576</v>
      </c>
      <c r="G4794" s="11" t="s">
        <v>3577</v>
      </c>
      <c r="H4794" s="2" t="s">
        <v>67</v>
      </c>
      <c r="L4794" s="18">
        <v>1</v>
      </c>
      <c r="N4794" s="13">
        <v>42431</v>
      </c>
      <c r="P4794" s="18" t="s">
        <v>1107</v>
      </c>
      <c r="Q4794" s="18">
        <v>0</v>
      </c>
      <c r="U4794" s="22">
        <v>0.6</v>
      </c>
      <c r="V4794" s="22">
        <f>3.5/5</f>
        <v>0.7</v>
      </c>
      <c r="W4794" s="14" t="s">
        <v>7777</v>
      </c>
      <c r="X4794" s="3">
        <v>3</v>
      </c>
      <c r="Z4794" s="23">
        <v>7</v>
      </c>
      <c r="AB4794" s="18">
        <f t="shared" si="148"/>
        <v>2010</v>
      </c>
      <c r="AC4794" s="22">
        <f t="shared" si="149"/>
        <v>0.6333333333333333</v>
      </c>
    </row>
    <row r="4795" spans="1:29" ht="30">
      <c r="A4795" s="8" t="s">
        <v>8896</v>
      </c>
      <c r="B4795" s="17" t="s">
        <v>7762</v>
      </c>
      <c r="C4795" s="13">
        <v>40325</v>
      </c>
      <c r="D4795" s="13" t="s">
        <v>8463</v>
      </c>
      <c r="E4795" s="10" t="s">
        <v>8897</v>
      </c>
      <c r="F4795" s="10" t="s">
        <v>3861</v>
      </c>
      <c r="H4795" s="2" t="s">
        <v>1057</v>
      </c>
      <c r="K4795" s="18">
        <v>2</v>
      </c>
      <c r="L4795" s="18">
        <v>0</v>
      </c>
      <c r="Q4795" s="18">
        <v>0</v>
      </c>
      <c r="V4795" s="22">
        <f>3.44/5</f>
        <v>0.68799999999999994</v>
      </c>
      <c r="X4795" s="3">
        <v>3</v>
      </c>
      <c r="AB4795" s="18">
        <f t="shared" si="148"/>
        <v>2010</v>
      </c>
      <c r="AC4795" s="22">
        <f t="shared" si="149"/>
        <v>0.64399999999999991</v>
      </c>
    </row>
    <row r="4796" spans="1:29" ht="30">
      <c r="A4796" s="8" t="s">
        <v>11015</v>
      </c>
      <c r="B4796" s="17" t="s">
        <v>7762</v>
      </c>
      <c r="C4796" s="13">
        <v>40325</v>
      </c>
      <c r="D4796" s="13" t="s">
        <v>8463</v>
      </c>
      <c r="E4796" s="10" t="s">
        <v>228</v>
      </c>
      <c r="F4796" s="10" t="s">
        <v>1416</v>
      </c>
      <c r="G4796" s="11" t="s">
        <v>1987</v>
      </c>
      <c r="H4796" s="2" t="s">
        <v>75</v>
      </c>
      <c r="K4796" s="18">
        <v>0</v>
      </c>
      <c r="L4796" s="18">
        <v>0</v>
      </c>
      <c r="Q4796" s="18">
        <v>0</v>
      </c>
      <c r="V4796" s="22">
        <f>4.08/5</f>
        <v>0.81600000000000006</v>
      </c>
      <c r="X4796" s="3">
        <v>2</v>
      </c>
      <c r="AB4796" s="18">
        <f t="shared" si="148"/>
        <v>2010</v>
      </c>
      <c r="AC4796" s="22">
        <f t="shared" si="149"/>
        <v>0.6080000000000001</v>
      </c>
    </row>
    <row r="4797" spans="1:29">
      <c r="A4797" s="8" t="s">
        <v>5930</v>
      </c>
      <c r="B4797" s="17" t="s">
        <v>7759</v>
      </c>
      <c r="C4797" s="13">
        <v>40323</v>
      </c>
      <c r="D4797" s="13" t="s">
        <v>8465</v>
      </c>
      <c r="E4797" s="10" t="s">
        <v>1273</v>
      </c>
      <c r="F4797" s="10" t="s">
        <v>1052</v>
      </c>
      <c r="H4797" s="2" t="s">
        <v>150</v>
      </c>
      <c r="L4797" s="18">
        <v>1</v>
      </c>
      <c r="M4797" s="14" t="s">
        <v>8462</v>
      </c>
      <c r="N4797" s="13">
        <v>43544</v>
      </c>
      <c r="O4797" s="29">
        <v>10</v>
      </c>
      <c r="P4797" s="18" t="s">
        <v>14</v>
      </c>
      <c r="Q4797" s="18">
        <v>0</v>
      </c>
      <c r="U4797" s="22">
        <v>0.81</v>
      </c>
      <c r="V4797" s="22">
        <f>3.57/5</f>
        <v>0.71399999999999997</v>
      </c>
      <c r="X4797" s="3">
        <v>3</v>
      </c>
      <c r="Z4797" s="23">
        <v>9</v>
      </c>
      <c r="AB4797" s="18">
        <f t="shared" si="148"/>
        <v>2010</v>
      </c>
      <c r="AC4797" s="22">
        <f t="shared" si="149"/>
        <v>0.70800000000000007</v>
      </c>
    </row>
    <row r="4798" spans="1:29" ht="30">
      <c r="A4798" s="8" t="s">
        <v>8426</v>
      </c>
      <c r="B4798" s="17" t="s">
        <v>7762</v>
      </c>
      <c r="C4798" s="13">
        <v>40323</v>
      </c>
      <c r="D4798" s="13" t="s">
        <v>8465</v>
      </c>
      <c r="E4798" s="10" t="s">
        <v>228</v>
      </c>
      <c r="F4798" s="10" t="s">
        <v>1416</v>
      </c>
      <c r="H4798" s="2" t="s">
        <v>149</v>
      </c>
      <c r="L4798" s="18">
        <v>0</v>
      </c>
      <c r="Q4798" s="18">
        <v>0</v>
      </c>
      <c r="U4798" s="22">
        <v>0.68</v>
      </c>
      <c r="V4798" s="22">
        <f>3.93/5</f>
        <v>0.78600000000000003</v>
      </c>
      <c r="X4798" s="3">
        <v>3</v>
      </c>
      <c r="Z4798" s="23">
        <v>21.5</v>
      </c>
      <c r="AB4798" s="18">
        <f t="shared" si="148"/>
        <v>2010</v>
      </c>
      <c r="AC4798" s="22">
        <f t="shared" si="149"/>
        <v>0.68866666666666676</v>
      </c>
    </row>
    <row r="4799" spans="1:29" ht="30">
      <c r="A4799" s="8" t="s">
        <v>9887</v>
      </c>
      <c r="B4799" s="17" t="s">
        <v>7759</v>
      </c>
      <c r="C4799" s="13">
        <v>40323</v>
      </c>
      <c r="D4799" s="13" t="s">
        <v>8465</v>
      </c>
      <c r="E4799" s="10" t="s">
        <v>2908</v>
      </c>
      <c r="F4799" s="10" t="s">
        <v>5040</v>
      </c>
      <c r="G4799" s="11" t="s">
        <v>9887</v>
      </c>
      <c r="H4799" s="2" t="s">
        <v>150</v>
      </c>
      <c r="L4799" s="18">
        <v>0</v>
      </c>
      <c r="Q4799" s="18">
        <v>0</v>
      </c>
      <c r="U4799" s="22">
        <v>0.82</v>
      </c>
      <c r="V4799" s="22">
        <f>3.81/5</f>
        <v>0.76200000000000001</v>
      </c>
      <c r="X4799" s="3">
        <v>2</v>
      </c>
      <c r="Y4799" s="18">
        <v>1</v>
      </c>
      <c r="Z4799" s="23">
        <v>8</v>
      </c>
      <c r="AB4799" s="18">
        <f t="shared" si="148"/>
        <v>2010</v>
      </c>
      <c r="AC4799" s="22">
        <f t="shared" si="149"/>
        <v>0.66066666666666662</v>
      </c>
    </row>
    <row r="4800" spans="1:29">
      <c r="A4800" s="8" t="s">
        <v>11290</v>
      </c>
      <c r="B4800" s="17" t="s">
        <v>7742</v>
      </c>
      <c r="C4800" s="13">
        <v>40322</v>
      </c>
      <c r="D4800" s="13" t="s">
        <v>8465</v>
      </c>
      <c r="E4800" s="10" t="s">
        <v>86</v>
      </c>
      <c r="F4800" s="10" t="s">
        <v>1493</v>
      </c>
      <c r="G4800" s="11" t="s">
        <v>11257</v>
      </c>
      <c r="H4800" s="2" t="s">
        <v>78</v>
      </c>
      <c r="L4800" s="18">
        <v>0</v>
      </c>
      <c r="Q4800" s="18">
        <v>0</v>
      </c>
      <c r="U4800" s="22">
        <v>0.76</v>
      </c>
      <c r="V4800" s="22">
        <f>4.15/5</f>
        <v>0.83000000000000007</v>
      </c>
      <c r="X4800" s="3">
        <v>2</v>
      </c>
      <c r="AB4800" s="18">
        <f t="shared" si="148"/>
        <v>2010</v>
      </c>
      <c r="AC4800" s="22">
        <f t="shared" si="149"/>
        <v>0.66333333333333344</v>
      </c>
    </row>
    <row r="4801" spans="1:29">
      <c r="A4801" s="8" t="s">
        <v>13779</v>
      </c>
      <c r="B4801" s="17" t="s">
        <v>8754</v>
      </c>
      <c r="C4801" s="13">
        <v>40322</v>
      </c>
      <c r="D4801" s="13" t="s">
        <v>8465</v>
      </c>
      <c r="E4801" s="10" t="s">
        <v>86</v>
      </c>
      <c r="F4801" s="10" t="s">
        <v>1046</v>
      </c>
      <c r="H4801" s="2" t="s">
        <v>21</v>
      </c>
      <c r="L4801" s="18">
        <v>0</v>
      </c>
      <c r="Q4801" s="18">
        <v>0</v>
      </c>
      <c r="U4801" s="22">
        <v>0.62</v>
      </c>
      <c r="V4801" s="22">
        <f>3.52/5</f>
        <v>0.70399999999999996</v>
      </c>
      <c r="W4801" s="14" t="s">
        <v>9890</v>
      </c>
      <c r="X4801" s="3">
        <v>2</v>
      </c>
      <c r="Z4801" s="23">
        <f>15/60</f>
        <v>0.25</v>
      </c>
      <c r="AB4801" s="18">
        <f t="shared" ref="AB4801:AB4864" si="150">IFERROR(YEAR(C4801), "Early Access")</f>
        <v>2010</v>
      </c>
      <c r="AC4801" s="22">
        <f t="shared" ref="AC4801:AC4864" si="151">AVERAGE(T4801, U4801, V4801, IF(ISBLANK(X4801), X4801, X4801/5))</f>
        <v>0.57466666666666655</v>
      </c>
    </row>
    <row r="4802" spans="1:29" ht="30">
      <c r="A4802" s="8" t="s">
        <v>13282</v>
      </c>
      <c r="B4802" s="17" t="s">
        <v>7748</v>
      </c>
      <c r="C4802" s="13">
        <v>40319</v>
      </c>
      <c r="D4802" s="13" t="s">
        <v>8467</v>
      </c>
      <c r="E4802" s="10" t="s">
        <v>86</v>
      </c>
      <c r="F4802" s="10" t="s">
        <v>1515</v>
      </c>
      <c r="G4802" s="11" t="s">
        <v>13281</v>
      </c>
      <c r="H4802" s="2" t="s">
        <v>1220</v>
      </c>
      <c r="L4802" s="18">
        <v>0</v>
      </c>
      <c r="Q4802" s="18">
        <v>0</v>
      </c>
      <c r="V4802" s="22">
        <f>4.15/5</f>
        <v>0.83000000000000007</v>
      </c>
      <c r="X4802" s="3">
        <v>3</v>
      </c>
      <c r="Z4802" s="23">
        <v>3.5</v>
      </c>
      <c r="AB4802" s="18">
        <f t="shared" si="150"/>
        <v>2010</v>
      </c>
      <c r="AC4802" s="22">
        <f t="shared" si="151"/>
        <v>0.71500000000000008</v>
      </c>
    </row>
    <row r="4803" spans="1:29">
      <c r="A4803" s="8" t="s">
        <v>1031</v>
      </c>
      <c r="B4803" s="17" t="s">
        <v>7741</v>
      </c>
      <c r="C4803" s="13">
        <v>40316</v>
      </c>
      <c r="D4803" s="13" t="s">
        <v>8465</v>
      </c>
      <c r="E4803" s="10" t="s">
        <v>228</v>
      </c>
      <c r="F4803" s="10" t="s">
        <v>228</v>
      </c>
      <c r="G4803" s="11" t="s">
        <v>1542</v>
      </c>
      <c r="H4803" s="2" t="s">
        <v>1334</v>
      </c>
      <c r="L4803" s="18">
        <v>0</v>
      </c>
      <c r="Q4803" s="18">
        <v>0</v>
      </c>
      <c r="U4803" s="22">
        <v>0.81</v>
      </c>
      <c r="V4803" s="22">
        <f>4.23/5</f>
        <v>0.84600000000000009</v>
      </c>
      <c r="X4803" s="3">
        <v>3</v>
      </c>
      <c r="Z4803" s="23">
        <v>23.5</v>
      </c>
      <c r="AB4803" s="18">
        <f t="shared" si="150"/>
        <v>2010</v>
      </c>
      <c r="AC4803" s="22">
        <f t="shared" si="151"/>
        <v>0.75200000000000011</v>
      </c>
    </row>
    <row r="4804" spans="1:29" ht="30">
      <c r="A4804" s="8" t="s">
        <v>5098</v>
      </c>
      <c r="B4804" s="17" t="s">
        <v>7800</v>
      </c>
      <c r="C4804" s="13">
        <v>40316</v>
      </c>
      <c r="D4804" s="13" t="s">
        <v>8465</v>
      </c>
      <c r="E4804" s="10" t="s">
        <v>2317</v>
      </c>
      <c r="F4804" s="10" t="s">
        <v>4757</v>
      </c>
      <c r="H4804" s="2" t="s">
        <v>150</v>
      </c>
      <c r="L4804" s="18">
        <v>1</v>
      </c>
      <c r="N4804" s="13">
        <v>42338</v>
      </c>
      <c r="O4804" s="29">
        <v>3.74</v>
      </c>
      <c r="P4804" s="18" t="s">
        <v>1107</v>
      </c>
      <c r="Q4804" s="18">
        <v>0</v>
      </c>
      <c r="U4804" s="22">
        <v>0.8</v>
      </c>
      <c r="V4804" s="22">
        <f>3.83/5</f>
        <v>0.76600000000000001</v>
      </c>
      <c r="W4804" s="14" t="s">
        <v>7777</v>
      </c>
      <c r="X4804" s="3">
        <v>3</v>
      </c>
      <c r="Z4804" s="23">
        <v>9.5</v>
      </c>
      <c r="AB4804" s="18">
        <f t="shared" si="150"/>
        <v>2010</v>
      </c>
      <c r="AC4804" s="22">
        <f t="shared" si="151"/>
        <v>0.72199999999999998</v>
      </c>
    </row>
    <row r="4805" spans="1:29" ht="25.5">
      <c r="A4805" s="8" t="s">
        <v>1557</v>
      </c>
      <c r="B4805" s="17" t="s">
        <v>7741</v>
      </c>
      <c r="C4805" s="13">
        <v>40316</v>
      </c>
      <c r="D4805" s="13" t="s">
        <v>8465</v>
      </c>
      <c r="E4805" s="10" t="s">
        <v>1047</v>
      </c>
      <c r="F4805" s="10" t="s">
        <v>1538</v>
      </c>
      <c r="G4805" s="11" t="s">
        <v>677</v>
      </c>
      <c r="H4805" s="2" t="s">
        <v>1040</v>
      </c>
      <c r="L4805" s="18">
        <v>0</v>
      </c>
      <c r="Q4805" s="18">
        <v>0</v>
      </c>
      <c r="U4805" s="22">
        <v>0.77</v>
      </c>
      <c r="V4805" s="22">
        <f>3.76/5</f>
        <v>0.752</v>
      </c>
      <c r="X4805" s="3">
        <v>3</v>
      </c>
      <c r="Z4805" s="23">
        <v>8</v>
      </c>
      <c r="AB4805" s="18">
        <f t="shared" si="150"/>
        <v>2010</v>
      </c>
      <c r="AC4805" s="22">
        <f t="shared" si="151"/>
        <v>0.70733333333333326</v>
      </c>
    </row>
    <row r="4806" spans="1:29" ht="25.5">
      <c r="A4806" s="8" t="s">
        <v>2162</v>
      </c>
      <c r="B4806" s="17" t="s">
        <v>7748</v>
      </c>
      <c r="C4806" s="13">
        <v>40316</v>
      </c>
      <c r="D4806" s="13" t="s">
        <v>8465</v>
      </c>
      <c r="E4806" s="10" t="s">
        <v>2298</v>
      </c>
      <c r="F4806" s="10" t="s">
        <v>1548</v>
      </c>
      <c r="G4806" s="11" t="s">
        <v>2297</v>
      </c>
      <c r="H4806" s="2" t="s">
        <v>149</v>
      </c>
      <c r="L4806" s="18">
        <v>0</v>
      </c>
      <c r="Q4806" s="18">
        <v>0</v>
      </c>
      <c r="U4806" s="22">
        <v>0.64</v>
      </c>
      <c r="V4806" s="22">
        <f>3.79/5</f>
        <v>0.75800000000000001</v>
      </c>
      <c r="X4806" s="3">
        <v>3</v>
      </c>
      <c r="Z4806" s="23">
        <v>24.5</v>
      </c>
      <c r="AB4806" s="18">
        <f t="shared" si="150"/>
        <v>2010</v>
      </c>
      <c r="AC4806" s="22">
        <f t="shared" si="151"/>
        <v>0.66600000000000004</v>
      </c>
    </row>
    <row r="4807" spans="1:29">
      <c r="A4807" s="8" t="s">
        <v>13778</v>
      </c>
      <c r="B4807" s="17" t="s">
        <v>8754</v>
      </c>
      <c r="C4807" s="13">
        <v>40315</v>
      </c>
      <c r="D4807" s="13" t="s">
        <v>8465</v>
      </c>
      <c r="E4807" s="10" t="s">
        <v>86</v>
      </c>
      <c r="F4807" s="10" t="s">
        <v>1172</v>
      </c>
      <c r="H4807" s="2" t="s">
        <v>3422</v>
      </c>
      <c r="L4807" s="18">
        <v>0</v>
      </c>
      <c r="Q4807" s="18">
        <v>0</v>
      </c>
      <c r="V4807" s="22">
        <f>3.5/5</f>
        <v>0.7</v>
      </c>
      <c r="W4807" s="14" t="s">
        <v>9890</v>
      </c>
      <c r="X4807" s="3">
        <v>2</v>
      </c>
      <c r="AB4807" s="18">
        <f t="shared" si="150"/>
        <v>2010</v>
      </c>
      <c r="AC4807" s="22">
        <f t="shared" si="151"/>
        <v>0.55000000000000004</v>
      </c>
    </row>
    <row r="4808" spans="1:29">
      <c r="A4808" s="8" t="s">
        <v>3819</v>
      </c>
      <c r="B4808" s="17" t="s">
        <v>7800</v>
      </c>
      <c r="C4808" s="13">
        <v>40310</v>
      </c>
      <c r="D4808" s="13" t="s">
        <v>8465</v>
      </c>
      <c r="E4808" s="10" t="s">
        <v>3817</v>
      </c>
      <c r="F4808" s="10" t="s">
        <v>3817</v>
      </c>
      <c r="G4808" s="11" t="s">
        <v>3818</v>
      </c>
      <c r="H4808" s="2" t="s">
        <v>1720</v>
      </c>
      <c r="L4808" s="18">
        <v>1</v>
      </c>
      <c r="N4808" s="13">
        <v>41319</v>
      </c>
      <c r="P4808" s="18" t="s">
        <v>1107</v>
      </c>
      <c r="Q4808" s="18">
        <v>0</v>
      </c>
      <c r="U4808" s="22">
        <v>0.85</v>
      </c>
      <c r="V4808" s="22">
        <f>3.67/5</f>
        <v>0.73399999999999999</v>
      </c>
      <c r="W4808" s="14" t="s">
        <v>7777</v>
      </c>
      <c r="X4808" s="3">
        <v>2</v>
      </c>
      <c r="Z4808" s="23">
        <v>19</v>
      </c>
      <c r="AB4808" s="18">
        <f t="shared" si="150"/>
        <v>2010</v>
      </c>
      <c r="AC4808" s="22">
        <f t="shared" si="151"/>
        <v>0.66133333333333333</v>
      </c>
    </row>
    <row r="4809" spans="1:29">
      <c r="A4809" s="8" t="s">
        <v>6017</v>
      </c>
      <c r="B4809" s="17" t="s">
        <v>7759</v>
      </c>
      <c r="C4809" s="13">
        <v>40309</v>
      </c>
      <c r="D4809" s="13" t="s">
        <v>8465</v>
      </c>
      <c r="E4809" s="10" t="s">
        <v>231</v>
      </c>
      <c r="F4809" s="10" t="s">
        <v>6015</v>
      </c>
      <c r="G4809" s="11" t="s">
        <v>6014</v>
      </c>
      <c r="H4809" s="2" t="s">
        <v>255</v>
      </c>
      <c r="L4809" s="18">
        <v>1</v>
      </c>
      <c r="M4809" s="14" t="s">
        <v>8462</v>
      </c>
      <c r="N4809" s="13">
        <v>43483</v>
      </c>
      <c r="O4809" s="29">
        <v>15.68</v>
      </c>
      <c r="P4809" s="18" t="s">
        <v>14</v>
      </c>
      <c r="Q4809" s="18">
        <v>0</v>
      </c>
      <c r="U4809" s="22">
        <v>0.8</v>
      </c>
      <c r="V4809" s="22">
        <f>3.97/5</f>
        <v>0.79400000000000004</v>
      </c>
      <c r="X4809" s="3">
        <v>3</v>
      </c>
      <c r="Z4809" s="23">
        <v>8.5</v>
      </c>
      <c r="AB4809" s="18">
        <f t="shared" si="150"/>
        <v>2010</v>
      </c>
      <c r="AC4809" s="22">
        <f t="shared" si="151"/>
        <v>0.73133333333333328</v>
      </c>
    </row>
    <row r="4810" spans="1:29">
      <c r="A4810" s="8" t="s">
        <v>5907</v>
      </c>
      <c r="B4810" s="17" t="s">
        <v>7759</v>
      </c>
      <c r="C4810" s="13">
        <v>40309</v>
      </c>
      <c r="D4810" s="13" t="s">
        <v>8465</v>
      </c>
      <c r="E4810" s="10" t="s">
        <v>2461</v>
      </c>
      <c r="F4810" s="10" t="s">
        <v>2449</v>
      </c>
      <c r="H4810" s="2" t="s">
        <v>80</v>
      </c>
      <c r="L4810" s="18">
        <v>1</v>
      </c>
      <c r="M4810" s="14" t="s">
        <v>8462</v>
      </c>
      <c r="N4810" s="13">
        <v>43414</v>
      </c>
      <c r="O4810" s="29">
        <v>19.989999999999998</v>
      </c>
      <c r="P4810" s="18" t="s">
        <v>14</v>
      </c>
      <c r="Q4810" s="18">
        <v>0</v>
      </c>
      <c r="U4810" s="22">
        <v>0.78</v>
      </c>
      <c r="V4810" s="22">
        <f>3.93/5</f>
        <v>0.78600000000000003</v>
      </c>
      <c r="X4810" s="3">
        <v>3</v>
      </c>
      <c r="Z4810" s="23">
        <v>15.5</v>
      </c>
      <c r="AB4810" s="18">
        <f t="shared" si="150"/>
        <v>2010</v>
      </c>
      <c r="AC4810" s="22">
        <f t="shared" si="151"/>
        <v>0.72199999999999998</v>
      </c>
    </row>
    <row r="4811" spans="1:29">
      <c r="A4811" s="8" t="s">
        <v>4864</v>
      </c>
      <c r="B4811" s="17" t="s">
        <v>7800</v>
      </c>
      <c r="C4811" s="13">
        <v>40309</v>
      </c>
      <c r="D4811" s="13" t="s">
        <v>8465</v>
      </c>
      <c r="E4811" s="10" t="s">
        <v>72</v>
      </c>
      <c r="F4811" s="10" t="s">
        <v>1552</v>
      </c>
      <c r="G4811" s="11" t="s">
        <v>680</v>
      </c>
      <c r="H4811" s="2" t="s">
        <v>56</v>
      </c>
      <c r="L4811" s="18">
        <v>1</v>
      </c>
      <c r="N4811" s="13">
        <v>42338</v>
      </c>
      <c r="O4811" s="29">
        <v>3.74</v>
      </c>
      <c r="P4811" s="18" t="s">
        <v>1107</v>
      </c>
      <c r="Q4811" s="18">
        <v>0</v>
      </c>
      <c r="U4811" s="22">
        <v>0.68</v>
      </c>
      <c r="V4811" s="22">
        <f>3.17/5</f>
        <v>0.63400000000000001</v>
      </c>
      <c r="W4811" s="14" t="s">
        <v>7777</v>
      </c>
      <c r="X4811" s="3">
        <v>3</v>
      </c>
      <c r="Z4811" s="23">
        <v>2</v>
      </c>
      <c r="AB4811" s="18">
        <f t="shared" si="150"/>
        <v>2010</v>
      </c>
      <c r="AC4811" s="22">
        <f t="shared" si="151"/>
        <v>0.63800000000000001</v>
      </c>
    </row>
    <row r="4812" spans="1:29">
      <c r="A4812" s="8" t="s">
        <v>11851</v>
      </c>
      <c r="B4812" s="17" t="s">
        <v>7748</v>
      </c>
      <c r="C4812" s="13">
        <v>40309</v>
      </c>
      <c r="D4812" s="13" t="s">
        <v>8465</v>
      </c>
      <c r="E4812" s="10" t="s">
        <v>10149</v>
      </c>
      <c r="F4812" s="10" t="s">
        <v>68</v>
      </c>
      <c r="G4812" s="11" t="s">
        <v>11855</v>
      </c>
      <c r="H4812" s="2" t="s">
        <v>171</v>
      </c>
      <c r="L4812" s="18">
        <v>0</v>
      </c>
      <c r="Q4812" s="18">
        <v>0</v>
      </c>
      <c r="U4812" s="22">
        <v>0.7</v>
      </c>
      <c r="V4812" s="22">
        <f>3.99/5</f>
        <v>0.79800000000000004</v>
      </c>
      <c r="X4812" s="3">
        <v>2</v>
      </c>
      <c r="AB4812" s="18">
        <f t="shared" si="150"/>
        <v>2010</v>
      </c>
      <c r="AC4812" s="22">
        <f t="shared" si="151"/>
        <v>0.63266666666666671</v>
      </c>
    </row>
    <row r="4813" spans="1:29">
      <c r="A4813" s="8" t="s">
        <v>4759</v>
      </c>
      <c r="B4813" s="17" t="s">
        <v>7800</v>
      </c>
      <c r="C4813" s="13">
        <v>40305</v>
      </c>
      <c r="D4813" s="13" t="s">
        <v>8465</v>
      </c>
      <c r="E4813" s="10" t="s">
        <v>3066</v>
      </c>
      <c r="F4813" s="10" t="s">
        <v>4760</v>
      </c>
      <c r="H4813" s="2" t="s">
        <v>67</v>
      </c>
      <c r="L4813" s="18">
        <v>1</v>
      </c>
      <c r="N4813" s="13">
        <v>41346</v>
      </c>
      <c r="P4813" s="18" t="s">
        <v>1107</v>
      </c>
      <c r="Q4813" s="18">
        <v>0</v>
      </c>
      <c r="U4813" s="22">
        <v>0.77</v>
      </c>
      <c r="V4813" s="22">
        <f>2.64/5</f>
        <v>0.52800000000000002</v>
      </c>
      <c r="W4813" s="14" t="s">
        <v>7777</v>
      </c>
      <c r="X4813" s="3">
        <v>2</v>
      </c>
      <c r="Z4813" s="23">
        <v>2.5</v>
      </c>
      <c r="AB4813" s="18">
        <f t="shared" si="150"/>
        <v>2010</v>
      </c>
      <c r="AC4813" s="22">
        <f t="shared" si="151"/>
        <v>0.56599999999999995</v>
      </c>
    </row>
    <row r="4814" spans="1:29">
      <c r="A4814" s="8" t="s">
        <v>2165</v>
      </c>
      <c r="B4814" s="17" t="s">
        <v>7748</v>
      </c>
      <c r="C4814" s="13">
        <v>40302</v>
      </c>
      <c r="D4814" s="13" t="s">
        <v>8465</v>
      </c>
      <c r="E4814" s="10" t="s">
        <v>1972</v>
      </c>
      <c r="F4814" s="10" t="s">
        <v>2300</v>
      </c>
      <c r="G4814" s="11" t="s">
        <v>2301</v>
      </c>
      <c r="H4814" s="2" t="s">
        <v>1061</v>
      </c>
      <c r="L4814" s="18">
        <v>0</v>
      </c>
      <c r="Q4814" s="18">
        <v>0</v>
      </c>
      <c r="U4814" s="22">
        <v>0.75</v>
      </c>
      <c r="V4814" s="22">
        <f>3.82/5</f>
        <v>0.76400000000000001</v>
      </c>
      <c r="X4814" s="3">
        <v>3</v>
      </c>
      <c r="Z4814" s="23">
        <v>3.5</v>
      </c>
      <c r="AB4814" s="18">
        <f t="shared" si="150"/>
        <v>2010</v>
      </c>
      <c r="AC4814" s="22">
        <f t="shared" si="151"/>
        <v>0.70466666666666666</v>
      </c>
    </row>
    <row r="4815" spans="1:29" ht="38.25">
      <c r="A4815" s="8" t="s">
        <v>6229</v>
      </c>
      <c r="B4815" s="17" t="s">
        <v>7762</v>
      </c>
      <c r="C4815" s="13">
        <v>40302</v>
      </c>
      <c r="D4815" s="13" t="s">
        <v>8465</v>
      </c>
      <c r="E4815" s="10" t="s">
        <v>2285</v>
      </c>
      <c r="F4815" s="10" t="s">
        <v>3029</v>
      </c>
      <c r="G4815" s="11" t="s">
        <v>6267</v>
      </c>
      <c r="H4815" s="2" t="s">
        <v>75</v>
      </c>
      <c r="L4815" s="18">
        <v>0</v>
      </c>
      <c r="Q4815" s="18">
        <v>0</v>
      </c>
      <c r="U4815" s="22">
        <v>0.75</v>
      </c>
      <c r="V4815" s="22">
        <f>3.82/5</f>
        <v>0.76400000000000001</v>
      </c>
      <c r="X4815" s="3">
        <v>3</v>
      </c>
      <c r="Z4815" s="23">
        <v>8</v>
      </c>
      <c r="AB4815" s="18">
        <f t="shared" si="150"/>
        <v>2010</v>
      </c>
      <c r="AC4815" s="22">
        <f t="shared" si="151"/>
        <v>0.70466666666666666</v>
      </c>
    </row>
    <row r="4816" spans="1:29">
      <c r="A4816" s="8" t="s">
        <v>15096</v>
      </c>
      <c r="B4816" s="17" t="s">
        <v>7759</v>
      </c>
      <c r="C4816" s="13">
        <v>40302</v>
      </c>
      <c r="D4816" s="13" t="s">
        <v>8465</v>
      </c>
      <c r="E4816" s="10" t="s">
        <v>455</v>
      </c>
      <c r="F4816" s="10" t="s">
        <v>455</v>
      </c>
      <c r="G4816" s="11" t="s">
        <v>1978</v>
      </c>
      <c r="H4816" s="2" t="s">
        <v>80</v>
      </c>
      <c r="L4816" s="18">
        <v>0</v>
      </c>
      <c r="Q4816" s="18">
        <v>0</v>
      </c>
      <c r="U4816" s="22">
        <v>0.41</v>
      </c>
      <c r="V4816" s="22">
        <f>2.78/5</f>
        <v>0.55599999999999994</v>
      </c>
      <c r="X4816" s="3">
        <v>2</v>
      </c>
      <c r="Y4816" s="18">
        <v>1</v>
      </c>
      <c r="Z4816" s="23">
        <v>5</v>
      </c>
      <c r="AB4816" s="18">
        <f t="shared" si="150"/>
        <v>2010</v>
      </c>
      <c r="AC4816" s="22">
        <f t="shared" si="151"/>
        <v>0.45533333333333337</v>
      </c>
    </row>
    <row r="4817" spans="1:29">
      <c r="A4817" s="8" t="s">
        <v>11198</v>
      </c>
      <c r="B4817" s="17" t="s">
        <v>7748</v>
      </c>
      <c r="C4817" s="13">
        <v>40301</v>
      </c>
      <c r="D4817" s="13" t="s">
        <v>8465</v>
      </c>
      <c r="E4817" s="10" t="s">
        <v>86</v>
      </c>
      <c r="F4817" s="10" t="s">
        <v>30</v>
      </c>
      <c r="G4817" s="11" t="s">
        <v>10286</v>
      </c>
      <c r="H4817" s="2" t="s">
        <v>78</v>
      </c>
      <c r="L4817" s="18">
        <v>0</v>
      </c>
      <c r="Q4817" s="18">
        <v>0</v>
      </c>
      <c r="U4817" s="22">
        <v>0.83</v>
      </c>
      <c r="V4817" s="22">
        <f>4.16/5</f>
        <v>0.83200000000000007</v>
      </c>
      <c r="X4817" s="3">
        <v>3</v>
      </c>
      <c r="Z4817" s="23">
        <v>42</v>
      </c>
      <c r="AB4817" s="18">
        <f t="shared" si="150"/>
        <v>2010</v>
      </c>
      <c r="AC4817" s="22">
        <f t="shared" si="151"/>
        <v>0.754</v>
      </c>
    </row>
    <row r="4818" spans="1:29">
      <c r="A4818" s="9" t="s">
        <v>7103</v>
      </c>
      <c r="B4818" s="17" t="s">
        <v>7800</v>
      </c>
      <c r="C4818" s="13">
        <v>40299</v>
      </c>
      <c r="D4818" s="13" t="s">
        <v>8465</v>
      </c>
      <c r="E4818" s="10" t="s">
        <v>7190</v>
      </c>
      <c r="F4818" s="10" t="s">
        <v>7190</v>
      </c>
      <c r="H4818" s="2" t="s">
        <v>2820</v>
      </c>
      <c r="L4818" s="18">
        <v>0</v>
      </c>
      <c r="Q4818" s="18">
        <v>0</v>
      </c>
      <c r="V4818" s="22">
        <f>4.5/5</f>
        <v>0.9</v>
      </c>
      <c r="W4818" s="14" t="s">
        <v>5674</v>
      </c>
      <c r="X4818" s="3">
        <v>3</v>
      </c>
      <c r="Z4818" s="23">
        <v>0.5</v>
      </c>
      <c r="AB4818" s="18">
        <f t="shared" si="150"/>
        <v>2010</v>
      </c>
      <c r="AC4818" s="22">
        <f t="shared" si="151"/>
        <v>0.75</v>
      </c>
    </row>
    <row r="4819" spans="1:29">
      <c r="A4819" s="8" t="s">
        <v>7104</v>
      </c>
      <c r="B4819" s="17" t="s">
        <v>7800</v>
      </c>
      <c r="C4819" s="12">
        <v>40299</v>
      </c>
      <c r="D4819" s="13" t="s">
        <v>8465</v>
      </c>
      <c r="E4819" s="10" t="s">
        <v>7191</v>
      </c>
      <c r="F4819" s="10" t="s">
        <v>7191</v>
      </c>
      <c r="H4819" s="2" t="s">
        <v>64</v>
      </c>
      <c r="L4819" s="18">
        <v>0</v>
      </c>
      <c r="Q4819" s="18">
        <v>0</v>
      </c>
      <c r="W4819" s="14" t="s">
        <v>5674</v>
      </c>
      <c r="X4819" s="3">
        <v>3</v>
      </c>
      <c r="AB4819" s="18">
        <f t="shared" si="150"/>
        <v>2010</v>
      </c>
      <c r="AC4819" s="22">
        <f t="shared" si="151"/>
        <v>0.6</v>
      </c>
    </row>
    <row r="4820" spans="1:29" ht="25.5">
      <c r="A4820" s="8" t="s">
        <v>5429</v>
      </c>
      <c r="B4820" s="17" t="s">
        <v>7800</v>
      </c>
      <c r="C4820" s="13">
        <v>40297</v>
      </c>
      <c r="D4820" s="13" t="s">
        <v>8465</v>
      </c>
      <c r="E4820" s="10" t="s">
        <v>1047</v>
      </c>
      <c r="F4820" s="10" t="s">
        <v>1048</v>
      </c>
      <c r="G4820" s="11" t="s">
        <v>5430</v>
      </c>
      <c r="H4820" s="2" t="s">
        <v>245</v>
      </c>
      <c r="L4820" s="18">
        <v>1</v>
      </c>
      <c r="N4820" s="13">
        <v>41691</v>
      </c>
      <c r="O4820" s="29">
        <v>4.99</v>
      </c>
      <c r="P4820" s="18" t="s">
        <v>1107</v>
      </c>
      <c r="Q4820" s="18">
        <v>0</v>
      </c>
      <c r="U4820" s="22">
        <v>0.83</v>
      </c>
      <c r="V4820" s="22">
        <f>3.67/5</f>
        <v>0.73399999999999999</v>
      </c>
      <c r="W4820" s="14" t="s">
        <v>7777</v>
      </c>
      <c r="X4820" s="3">
        <v>3</v>
      </c>
      <c r="Z4820" s="23">
        <v>7.5</v>
      </c>
      <c r="AB4820" s="18">
        <f t="shared" si="150"/>
        <v>2010</v>
      </c>
      <c r="AC4820" s="22">
        <f t="shared" si="151"/>
        <v>0.72133333333333338</v>
      </c>
    </row>
    <row r="4821" spans="1:29" ht="25.5">
      <c r="A4821" s="8" t="s">
        <v>4948</v>
      </c>
      <c r="B4821" s="17" t="s">
        <v>7800</v>
      </c>
      <c r="C4821" s="13">
        <v>40296</v>
      </c>
      <c r="D4821" s="13" t="s">
        <v>8465</v>
      </c>
      <c r="E4821" s="10" t="s">
        <v>3063</v>
      </c>
      <c r="F4821" s="10" t="s">
        <v>4942</v>
      </c>
      <c r="G4821" s="11" t="s">
        <v>4943</v>
      </c>
      <c r="H4821" s="2" t="s">
        <v>1050</v>
      </c>
      <c r="L4821" s="18">
        <v>1</v>
      </c>
      <c r="N4821" s="13">
        <v>41431</v>
      </c>
      <c r="P4821" s="18" t="s">
        <v>1107</v>
      </c>
      <c r="Q4821" s="18">
        <v>0</v>
      </c>
      <c r="U4821" s="22">
        <v>0.77</v>
      </c>
      <c r="V4821" s="22">
        <f>3.78/5</f>
        <v>0.75600000000000001</v>
      </c>
      <c r="W4821" s="14" t="s">
        <v>7777</v>
      </c>
      <c r="X4821" s="3">
        <v>3</v>
      </c>
      <c r="Z4821" s="23">
        <v>7.5</v>
      </c>
      <c r="AB4821" s="18">
        <f t="shared" si="150"/>
        <v>2010</v>
      </c>
      <c r="AC4821" s="22">
        <f t="shared" si="151"/>
        <v>0.70866666666666667</v>
      </c>
    </row>
    <row r="4822" spans="1:29">
      <c r="A4822" s="8" t="s">
        <v>5980</v>
      </c>
      <c r="B4822" s="17" t="s">
        <v>7759</v>
      </c>
      <c r="C4822" s="13">
        <v>40295</v>
      </c>
      <c r="D4822" s="13" t="s">
        <v>8465</v>
      </c>
      <c r="E4822" s="10" t="s">
        <v>1082</v>
      </c>
      <c r="F4822" s="10" t="s">
        <v>5866</v>
      </c>
      <c r="G4822" s="11" t="s">
        <v>4538</v>
      </c>
      <c r="H4822" s="2" t="s">
        <v>171</v>
      </c>
      <c r="L4822" s="18">
        <v>1</v>
      </c>
      <c r="M4822" s="14" t="s">
        <v>8462</v>
      </c>
      <c r="N4822" s="13">
        <v>43316</v>
      </c>
      <c r="O4822" s="29">
        <v>28.99</v>
      </c>
      <c r="P4822" s="18" t="s">
        <v>14</v>
      </c>
      <c r="Q4822" s="18">
        <v>0</v>
      </c>
      <c r="U4822" s="22">
        <v>0.7</v>
      </c>
      <c r="V4822" s="22">
        <f>4.11/5</f>
        <v>0.82200000000000006</v>
      </c>
      <c r="X4822" s="3">
        <v>2</v>
      </c>
      <c r="Z4822" s="23">
        <v>20</v>
      </c>
      <c r="AB4822" s="18">
        <f t="shared" si="150"/>
        <v>2010</v>
      </c>
      <c r="AC4822" s="22">
        <f t="shared" si="151"/>
        <v>0.64066666666666672</v>
      </c>
    </row>
    <row r="4823" spans="1:29" ht="25.5">
      <c r="A4823" s="8" t="s">
        <v>11558</v>
      </c>
      <c r="B4823" s="17" t="s">
        <v>7759</v>
      </c>
      <c r="C4823" s="13">
        <v>40295</v>
      </c>
      <c r="D4823" s="13" t="s">
        <v>8465</v>
      </c>
      <c r="E4823" s="10" t="s">
        <v>1509</v>
      </c>
      <c r="F4823" s="10" t="s">
        <v>11559</v>
      </c>
      <c r="G4823" s="11" t="s">
        <v>11555</v>
      </c>
      <c r="H4823" s="2" t="s">
        <v>1168</v>
      </c>
      <c r="L4823" s="18">
        <v>0</v>
      </c>
      <c r="Q4823" s="18">
        <v>0</v>
      </c>
      <c r="U4823" s="22">
        <v>0.6</v>
      </c>
      <c r="V4823" s="22">
        <f>3.41/5</f>
        <v>0.68200000000000005</v>
      </c>
      <c r="X4823" s="3">
        <v>2</v>
      </c>
      <c r="Y4823" s="18">
        <v>1</v>
      </c>
      <c r="Z4823" s="23">
        <v>8</v>
      </c>
      <c r="AB4823" s="18">
        <f t="shared" si="150"/>
        <v>2010</v>
      </c>
      <c r="AC4823" s="22">
        <f t="shared" si="151"/>
        <v>0.56066666666666665</v>
      </c>
    </row>
    <row r="4824" spans="1:29">
      <c r="A4824" s="8" t="s">
        <v>5004</v>
      </c>
      <c r="B4824" s="17" t="s">
        <v>7800</v>
      </c>
      <c r="C4824" s="13">
        <v>40294</v>
      </c>
      <c r="D4824" s="13" t="s">
        <v>8465</v>
      </c>
      <c r="E4824" s="10" t="s">
        <v>3072</v>
      </c>
      <c r="F4824" s="10" t="s">
        <v>3072</v>
      </c>
      <c r="G4824" s="11" t="s">
        <v>5004</v>
      </c>
      <c r="H4824" s="2" t="s">
        <v>67</v>
      </c>
      <c r="L4824" s="18">
        <v>1</v>
      </c>
      <c r="N4824" s="13">
        <v>41507</v>
      </c>
      <c r="P4824" s="18" t="s">
        <v>1107</v>
      </c>
      <c r="Q4824" s="18">
        <v>0</v>
      </c>
      <c r="U4824" s="22">
        <v>0.71</v>
      </c>
      <c r="V4824" s="22">
        <f>3.79/5</f>
        <v>0.75800000000000001</v>
      </c>
      <c r="W4824" s="14" t="s">
        <v>7777</v>
      </c>
      <c r="X4824" s="3">
        <v>3</v>
      </c>
      <c r="Z4824" s="23">
        <v>10.5</v>
      </c>
      <c r="AB4824" s="18">
        <f t="shared" si="150"/>
        <v>2010</v>
      </c>
      <c r="AC4824" s="22">
        <f t="shared" si="151"/>
        <v>0.68933333333333335</v>
      </c>
    </row>
    <row r="4825" spans="1:29" ht="30">
      <c r="A4825" s="8" t="s">
        <v>11568</v>
      </c>
      <c r="B4825" s="17" t="s">
        <v>7762</v>
      </c>
      <c r="C4825" s="13">
        <v>40294</v>
      </c>
      <c r="D4825" s="13" t="s">
        <v>8465</v>
      </c>
      <c r="E4825" s="10" t="s">
        <v>66</v>
      </c>
      <c r="F4825" s="10" t="s">
        <v>1953</v>
      </c>
      <c r="G4825" s="11" t="s">
        <v>710</v>
      </c>
      <c r="H4825" s="2" t="s">
        <v>1334</v>
      </c>
      <c r="L4825" s="18">
        <v>0</v>
      </c>
      <c r="Q4825" s="18">
        <v>0</v>
      </c>
      <c r="U4825" s="22">
        <v>0.74</v>
      </c>
      <c r="V4825" s="22">
        <f>4.1/5</f>
        <v>0.82</v>
      </c>
      <c r="X4825" s="3">
        <v>2</v>
      </c>
      <c r="AB4825" s="18">
        <f t="shared" si="150"/>
        <v>2010</v>
      </c>
      <c r="AC4825" s="22">
        <f t="shared" si="151"/>
        <v>0.65333333333333332</v>
      </c>
    </row>
    <row r="4826" spans="1:29">
      <c r="A4826" s="8" t="s">
        <v>11531</v>
      </c>
      <c r="B4826" s="17" t="s">
        <v>7759</v>
      </c>
      <c r="C4826" s="13">
        <v>40290</v>
      </c>
      <c r="D4826" s="13" t="s">
        <v>8465</v>
      </c>
      <c r="E4826" s="10" t="s">
        <v>455</v>
      </c>
      <c r="F4826" s="10" t="s">
        <v>456</v>
      </c>
      <c r="G4826" s="11" t="s">
        <v>357</v>
      </c>
      <c r="H4826" s="2" t="s">
        <v>7594</v>
      </c>
      <c r="L4826" s="18">
        <v>0</v>
      </c>
      <c r="Q4826" s="18">
        <v>0</v>
      </c>
      <c r="U4826" s="22">
        <v>0.75</v>
      </c>
      <c r="V4826" s="22">
        <f>3.76/5</f>
        <v>0.752</v>
      </c>
      <c r="W4826" s="14" t="s">
        <v>9890</v>
      </c>
      <c r="X4826" s="3">
        <v>3</v>
      </c>
      <c r="Z4826" s="23">
        <f>15/60</f>
        <v>0.25</v>
      </c>
      <c r="AB4826" s="18">
        <f t="shared" si="150"/>
        <v>2010</v>
      </c>
      <c r="AC4826" s="22">
        <f t="shared" si="151"/>
        <v>0.70066666666666666</v>
      </c>
    </row>
    <row r="4827" spans="1:29">
      <c r="A4827" s="8" t="s">
        <v>7116</v>
      </c>
      <c r="B4827" s="17" t="s">
        <v>7800</v>
      </c>
      <c r="C4827" s="13">
        <v>40289</v>
      </c>
      <c r="D4827" s="13" t="s">
        <v>8465</v>
      </c>
      <c r="E4827" s="10" t="s">
        <v>7204</v>
      </c>
      <c r="F4827" s="10" t="s">
        <v>7204</v>
      </c>
      <c r="H4827" s="2" t="s">
        <v>147</v>
      </c>
      <c r="L4827" s="18">
        <v>0</v>
      </c>
      <c r="Q4827" s="18">
        <v>0</v>
      </c>
      <c r="W4827" s="14" t="s">
        <v>5674</v>
      </c>
      <c r="X4827" s="3">
        <v>3</v>
      </c>
      <c r="AB4827" s="18">
        <f t="shared" si="150"/>
        <v>2010</v>
      </c>
      <c r="AC4827" s="22">
        <f t="shared" si="151"/>
        <v>0.6</v>
      </c>
    </row>
    <row r="4828" spans="1:29" ht="30">
      <c r="A4828" s="8" t="s">
        <v>7393</v>
      </c>
      <c r="B4828" s="17" t="s">
        <v>7741</v>
      </c>
      <c r="C4828" s="13">
        <v>40288</v>
      </c>
      <c r="D4828" s="13" t="s">
        <v>8465</v>
      </c>
      <c r="E4828" s="10" t="s">
        <v>73</v>
      </c>
      <c r="F4828" s="10" t="s">
        <v>1140</v>
      </c>
      <c r="G4828" s="11" t="s">
        <v>1141</v>
      </c>
      <c r="H4828" s="2" t="s">
        <v>171</v>
      </c>
      <c r="L4828" s="18">
        <v>0</v>
      </c>
      <c r="Q4828" s="18">
        <v>0</v>
      </c>
      <c r="U4828" s="22">
        <v>0.85</v>
      </c>
      <c r="V4828" s="22">
        <f>4.28/5</f>
        <v>0.85600000000000009</v>
      </c>
      <c r="X4828" s="3">
        <v>3</v>
      </c>
      <c r="Z4828" s="23">
        <v>63</v>
      </c>
      <c r="AB4828" s="18">
        <f t="shared" si="150"/>
        <v>2010</v>
      </c>
      <c r="AC4828" s="22">
        <f t="shared" si="151"/>
        <v>0.76866666666666672</v>
      </c>
    </row>
    <row r="4829" spans="1:29" ht="25.5">
      <c r="A4829" s="8" t="s">
        <v>4910</v>
      </c>
      <c r="B4829" s="17" t="s">
        <v>7800</v>
      </c>
      <c r="C4829" s="13">
        <v>40283</v>
      </c>
      <c r="D4829" s="13" t="s">
        <v>8465</v>
      </c>
      <c r="E4829" s="10" t="s">
        <v>3246</v>
      </c>
      <c r="F4829" s="10" t="s">
        <v>3246</v>
      </c>
      <c r="G4829" s="11" t="s">
        <v>4908</v>
      </c>
      <c r="H4829" s="2" t="s">
        <v>67</v>
      </c>
      <c r="L4829" s="18">
        <v>1</v>
      </c>
      <c r="N4829" s="13">
        <v>41104</v>
      </c>
      <c r="O4829" s="29">
        <v>4.16</v>
      </c>
      <c r="P4829" s="18" t="s">
        <v>1107</v>
      </c>
      <c r="Q4829" s="18">
        <v>0</v>
      </c>
      <c r="V4829" s="22">
        <f>3.98/5</f>
        <v>0.79600000000000004</v>
      </c>
      <c r="W4829" s="14" t="s">
        <v>7777</v>
      </c>
      <c r="X4829" s="3">
        <v>3</v>
      </c>
      <c r="Z4829" s="23">
        <v>15.5</v>
      </c>
      <c r="AB4829" s="18">
        <f t="shared" si="150"/>
        <v>2010</v>
      </c>
      <c r="AC4829" s="22">
        <f t="shared" si="151"/>
        <v>0.69799999999999995</v>
      </c>
    </row>
    <row r="4830" spans="1:29" ht="38.25">
      <c r="A4830" s="8" t="s">
        <v>4021</v>
      </c>
      <c r="B4830" s="17" t="s">
        <v>7800</v>
      </c>
      <c r="C4830" s="13">
        <v>40281</v>
      </c>
      <c r="D4830" s="13" t="s">
        <v>8465</v>
      </c>
      <c r="E4830" s="10" t="s">
        <v>1618</v>
      </c>
      <c r="F4830" s="10" t="s">
        <v>4019</v>
      </c>
      <c r="G4830" s="11" t="s">
        <v>2306</v>
      </c>
      <c r="H4830" s="2" t="s">
        <v>1168</v>
      </c>
      <c r="L4830" s="18">
        <v>1</v>
      </c>
      <c r="N4830" s="13">
        <v>41107</v>
      </c>
      <c r="O4830" s="29">
        <v>1.04</v>
      </c>
      <c r="P4830" s="18" t="s">
        <v>1107</v>
      </c>
      <c r="Q4830" s="18">
        <v>0</v>
      </c>
      <c r="U4830" s="22">
        <v>0.85</v>
      </c>
      <c r="V4830" s="22">
        <f>3.92/5</f>
        <v>0.78400000000000003</v>
      </c>
      <c r="W4830" s="14" t="s">
        <v>7777</v>
      </c>
      <c r="X4830" s="3">
        <v>4</v>
      </c>
      <c r="Z4830" s="23">
        <v>19.5</v>
      </c>
      <c r="AB4830" s="18">
        <f t="shared" si="150"/>
        <v>2010</v>
      </c>
      <c r="AC4830" s="22">
        <f t="shared" si="151"/>
        <v>0.81133333333333335</v>
      </c>
    </row>
    <row r="4831" spans="1:29">
      <c r="A4831" s="8" t="s">
        <v>13300</v>
      </c>
      <c r="B4831" s="17" t="s">
        <v>8754</v>
      </c>
      <c r="C4831" s="13">
        <v>40280</v>
      </c>
      <c r="D4831" s="13" t="s">
        <v>8465</v>
      </c>
      <c r="E4831" s="10" t="s">
        <v>13301</v>
      </c>
      <c r="F4831" s="10" t="s">
        <v>1587</v>
      </c>
      <c r="H4831" s="2" t="s">
        <v>143</v>
      </c>
      <c r="L4831" s="18">
        <v>0</v>
      </c>
      <c r="Q4831" s="18">
        <v>0</v>
      </c>
      <c r="U4831" s="22">
        <v>0.78</v>
      </c>
      <c r="V4831" s="22">
        <f>4/5</f>
        <v>0.8</v>
      </c>
      <c r="W4831" s="14" t="s">
        <v>9890</v>
      </c>
      <c r="X4831" s="3">
        <v>3</v>
      </c>
      <c r="AB4831" s="18">
        <f t="shared" si="150"/>
        <v>2010</v>
      </c>
      <c r="AC4831" s="22">
        <f t="shared" si="151"/>
        <v>0.72666666666666668</v>
      </c>
    </row>
    <row r="4832" spans="1:29">
      <c r="A4832" s="8" t="s">
        <v>3573</v>
      </c>
      <c r="B4832" s="17" t="s">
        <v>7800</v>
      </c>
      <c r="C4832" s="13">
        <v>40280</v>
      </c>
      <c r="D4832" s="13" t="s">
        <v>8465</v>
      </c>
      <c r="E4832" s="10" t="s">
        <v>73</v>
      </c>
      <c r="F4832" s="10" t="s">
        <v>3574</v>
      </c>
      <c r="G4832" s="11" t="s">
        <v>3571</v>
      </c>
      <c r="H4832" s="2" t="s">
        <v>56</v>
      </c>
      <c r="L4832" s="18">
        <v>1</v>
      </c>
      <c r="N4832" s="13">
        <v>41557</v>
      </c>
      <c r="O4832" s="29">
        <v>1.24</v>
      </c>
      <c r="P4832" s="18" t="s">
        <v>1107</v>
      </c>
      <c r="Q4832" s="18">
        <v>0</v>
      </c>
      <c r="U4832" s="22">
        <v>0.47</v>
      </c>
      <c r="V4832" s="22">
        <f>3.73/5</f>
        <v>0.746</v>
      </c>
      <c r="W4832" s="14" t="s">
        <v>7777</v>
      </c>
      <c r="X4832" s="3">
        <v>3</v>
      </c>
      <c r="Z4832" s="23">
        <v>2</v>
      </c>
      <c r="AB4832" s="18">
        <f t="shared" si="150"/>
        <v>2010</v>
      </c>
      <c r="AC4832" s="22">
        <f t="shared" si="151"/>
        <v>0.60533333333333328</v>
      </c>
    </row>
    <row r="4833" spans="1:29" ht="25.5">
      <c r="A4833" s="8" t="s">
        <v>12375</v>
      </c>
      <c r="B4833" s="17" t="s">
        <v>8754</v>
      </c>
      <c r="C4833" s="13">
        <v>40273</v>
      </c>
      <c r="D4833" s="13" t="s">
        <v>8465</v>
      </c>
      <c r="E4833" s="10" t="s">
        <v>1509</v>
      </c>
      <c r="F4833" s="10" t="s">
        <v>1509</v>
      </c>
      <c r="G4833" s="11" t="s">
        <v>7502</v>
      </c>
      <c r="H4833" s="2" t="s">
        <v>78</v>
      </c>
      <c r="L4833" s="18">
        <v>0</v>
      </c>
      <c r="Q4833" s="18">
        <v>0</v>
      </c>
      <c r="U4833" s="22">
        <v>0.73</v>
      </c>
      <c r="V4833" s="22">
        <f>3.78/5</f>
        <v>0.75600000000000001</v>
      </c>
      <c r="W4833" s="14" t="s">
        <v>9890</v>
      </c>
      <c r="X4833" s="3">
        <v>2</v>
      </c>
      <c r="AB4833" s="18">
        <f t="shared" si="150"/>
        <v>2010</v>
      </c>
      <c r="AC4833" s="22">
        <f t="shared" si="151"/>
        <v>0.62866666666666671</v>
      </c>
    </row>
    <row r="4834" spans="1:29">
      <c r="A4834" s="8" t="s">
        <v>13186</v>
      </c>
      <c r="B4834" s="17" t="s">
        <v>7748</v>
      </c>
      <c r="C4834" s="13">
        <v>40270</v>
      </c>
      <c r="D4834" s="13" t="s">
        <v>8465</v>
      </c>
      <c r="E4834" s="10" t="s">
        <v>76</v>
      </c>
      <c r="F4834" s="10" t="s">
        <v>1525</v>
      </c>
      <c r="H4834" s="2" t="s">
        <v>67</v>
      </c>
      <c r="L4834" s="18">
        <v>0</v>
      </c>
      <c r="Q4834" s="18">
        <v>0</v>
      </c>
      <c r="U4834" s="22">
        <v>0.52</v>
      </c>
      <c r="V4834" s="22">
        <f>3.33/5</f>
        <v>0.66600000000000004</v>
      </c>
      <c r="X4834" s="3">
        <v>2</v>
      </c>
      <c r="Z4834" s="23">
        <v>10.5</v>
      </c>
      <c r="AB4834" s="18">
        <f t="shared" si="150"/>
        <v>2010</v>
      </c>
      <c r="AC4834" s="22">
        <f t="shared" si="151"/>
        <v>0.52866666666666662</v>
      </c>
    </row>
    <row r="4835" spans="1:29" ht="30">
      <c r="A4835" s="8" t="s">
        <v>13640</v>
      </c>
      <c r="B4835" s="17" t="s">
        <v>7800</v>
      </c>
      <c r="C4835" s="13">
        <v>40268</v>
      </c>
      <c r="D4835" s="13" t="s">
        <v>8465</v>
      </c>
      <c r="E4835" s="10" t="s">
        <v>13641</v>
      </c>
      <c r="F4835" s="10" t="s">
        <v>13641</v>
      </c>
      <c r="G4835" s="11" t="s">
        <v>13642</v>
      </c>
      <c r="H4835" s="2" t="s">
        <v>1720</v>
      </c>
      <c r="L4835" s="18">
        <v>1</v>
      </c>
      <c r="N4835" s="13">
        <v>44986</v>
      </c>
      <c r="O4835" s="29">
        <v>0</v>
      </c>
      <c r="P4835" s="18" t="s">
        <v>1107</v>
      </c>
      <c r="Q4835" s="18">
        <v>0</v>
      </c>
      <c r="U4835" s="22">
        <v>0.78</v>
      </c>
      <c r="V4835" s="22">
        <f>4.18/5</f>
        <v>0.83599999999999997</v>
      </c>
      <c r="W4835" s="14" t="s">
        <v>7777</v>
      </c>
      <c r="X4835" s="3">
        <v>2</v>
      </c>
      <c r="Z4835" s="23">
        <v>118</v>
      </c>
      <c r="AB4835" s="18">
        <f t="shared" si="150"/>
        <v>2010</v>
      </c>
      <c r="AC4835" s="22">
        <f t="shared" si="151"/>
        <v>0.67200000000000004</v>
      </c>
    </row>
    <row r="4836" spans="1:29">
      <c r="A4836" s="8" t="s">
        <v>3662</v>
      </c>
      <c r="B4836" s="17" t="s">
        <v>7800</v>
      </c>
      <c r="C4836" s="13">
        <v>40268</v>
      </c>
      <c r="D4836" s="13" t="s">
        <v>8465</v>
      </c>
      <c r="E4836" s="10" t="s">
        <v>3663</v>
      </c>
      <c r="F4836" s="10" t="s">
        <v>3634</v>
      </c>
      <c r="G4836" s="11" t="s">
        <v>3662</v>
      </c>
      <c r="H4836" s="2" t="s">
        <v>171</v>
      </c>
      <c r="L4836" s="18">
        <v>1</v>
      </c>
      <c r="N4836" s="13">
        <v>43339</v>
      </c>
      <c r="O4836" s="29">
        <v>2.4900000000000002</v>
      </c>
      <c r="P4836" s="18" t="s">
        <v>1107</v>
      </c>
      <c r="Q4836" s="18">
        <v>0</v>
      </c>
      <c r="U4836" s="22">
        <v>0.77</v>
      </c>
      <c r="V4836" s="22">
        <f>3.88/5</f>
        <v>0.77600000000000002</v>
      </c>
      <c r="W4836" s="14" t="s">
        <v>7777</v>
      </c>
      <c r="X4836" s="3">
        <v>2</v>
      </c>
      <c r="Z4836" s="23">
        <v>12</v>
      </c>
      <c r="AB4836" s="18">
        <f t="shared" si="150"/>
        <v>2010</v>
      </c>
      <c r="AC4836" s="22">
        <f t="shared" si="151"/>
        <v>0.64866666666666672</v>
      </c>
    </row>
    <row r="4837" spans="1:29" ht="25.5">
      <c r="A4837" s="8" t="s">
        <v>5768</v>
      </c>
      <c r="B4837" s="17" t="s">
        <v>7758</v>
      </c>
      <c r="C4837" s="13">
        <v>40267</v>
      </c>
      <c r="D4837" s="13" t="s">
        <v>8465</v>
      </c>
      <c r="E4837" s="10" t="s">
        <v>1062</v>
      </c>
      <c r="F4837" s="10" t="s">
        <v>455</v>
      </c>
      <c r="G4837" s="11" t="s">
        <v>5874</v>
      </c>
      <c r="H4837" s="2" t="s">
        <v>75</v>
      </c>
      <c r="L4837" s="18">
        <v>0</v>
      </c>
      <c r="Q4837" s="18">
        <v>0</v>
      </c>
      <c r="U4837" s="22">
        <v>0.81</v>
      </c>
      <c r="V4837" s="22">
        <f>4.13/5</f>
        <v>0.82599999999999996</v>
      </c>
      <c r="X4837" s="3">
        <v>4</v>
      </c>
      <c r="Z4837" s="23">
        <v>21.5</v>
      </c>
      <c r="AB4837" s="18">
        <f t="shared" si="150"/>
        <v>2010</v>
      </c>
      <c r="AC4837" s="22">
        <f t="shared" si="151"/>
        <v>0.81199999999999994</v>
      </c>
    </row>
    <row r="4838" spans="1:29" ht="30">
      <c r="A4838" s="8" t="s">
        <v>9153</v>
      </c>
      <c r="B4838" s="17" t="s">
        <v>7762</v>
      </c>
      <c r="C4838" s="13">
        <v>40267</v>
      </c>
      <c r="D4838" s="13" t="s">
        <v>8465</v>
      </c>
      <c r="E4838" s="10" t="s">
        <v>1519</v>
      </c>
      <c r="F4838" s="10" t="s">
        <v>8409</v>
      </c>
      <c r="H4838" s="2" t="s">
        <v>149</v>
      </c>
      <c r="L4838" s="18">
        <v>0</v>
      </c>
      <c r="Q4838" s="18">
        <v>0</v>
      </c>
      <c r="U4838" s="22">
        <v>0.45</v>
      </c>
      <c r="V4838" s="22">
        <f>3.6/5</f>
        <v>0.72</v>
      </c>
      <c r="X4838" s="3">
        <v>2</v>
      </c>
      <c r="Z4838" s="23">
        <v>16.5</v>
      </c>
      <c r="AB4838" s="18">
        <f t="shared" si="150"/>
        <v>2010</v>
      </c>
      <c r="AC4838" s="22">
        <f t="shared" si="151"/>
        <v>0.52333333333333332</v>
      </c>
    </row>
    <row r="4839" spans="1:29" ht="30">
      <c r="A4839" s="8" t="s">
        <v>14572</v>
      </c>
      <c r="B4839" s="17" t="s">
        <v>7762</v>
      </c>
      <c r="C4839" s="13">
        <v>40267</v>
      </c>
      <c r="D4839" s="13" t="s">
        <v>8465</v>
      </c>
      <c r="E4839" s="10" t="s">
        <v>2335</v>
      </c>
      <c r="F4839" s="10" t="s">
        <v>14573</v>
      </c>
      <c r="G4839" s="11" t="s">
        <v>10281</v>
      </c>
      <c r="H4839" s="2" t="s">
        <v>255</v>
      </c>
      <c r="L4839" s="18">
        <v>0</v>
      </c>
      <c r="Q4839" s="18">
        <v>0</v>
      </c>
      <c r="U4839" s="22">
        <v>0.38</v>
      </c>
      <c r="V4839" s="22">
        <f>3.22/5</f>
        <v>0.64400000000000002</v>
      </c>
      <c r="X4839" s="3">
        <v>2</v>
      </c>
      <c r="Z4839" s="23">
        <v>19.5</v>
      </c>
      <c r="AB4839" s="18">
        <f t="shared" si="150"/>
        <v>2010</v>
      </c>
      <c r="AC4839" s="22">
        <f t="shared" si="151"/>
        <v>0.47466666666666663</v>
      </c>
    </row>
    <row r="4840" spans="1:29">
      <c r="A4840" s="8" t="s">
        <v>3914</v>
      </c>
      <c r="B4840" s="17" t="s">
        <v>7800</v>
      </c>
      <c r="C4840" s="13">
        <v>40266</v>
      </c>
      <c r="D4840" s="13" t="s">
        <v>8465</v>
      </c>
      <c r="E4840" s="10" t="s">
        <v>3915</v>
      </c>
      <c r="F4840" s="10" t="s">
        <v>3915</v>
      </c>
      <c r="G4840" s="11" t="s">
        <v>3914</v>
      </c>
      <c r="H4840" s="2" t="s">
        <v>69</v>
      </c>
      <c r="L4840" s="18">
        <v>1</v>
      </c>
      <c r="N4840" s="13">
        <v>41373</v>
      </c>
      <c r="P4840" s="18" t="s">
        <v>1107</v>
      </c>
      <c r="Q4840" s="18">
        <v>0</v>
      </c>
      <c r="U4840" s="22">
        <v>0.75</v>
      </c>
      <c r="V4840" s="22">
        <f>3.38/5</f>
        <v>0.67599999999999993</v>
      </c>
      <c r="W4840" s="14" t="s">
        <v>7777</v>
      </c>
      <c r="X4840" s="3">
        <v>2</v>
      </c>
      <c r="Z4840" s="23">
        <v>2</v>
      </c>
      <c r="AB4840" s="18">
        <f t="shared" si="150"/>
        <v>2010</v>
      </c>
      <c r="AC4840" s="22">
        <f t="shared" si="151"/>
        <v>0.60866666666666669</v>
      </c>
    </row>
    <row r="4841" spans="1:29">
      <c r="A4841" s="8" t="s">
        <v>13658</v>
      </c>
      <c r="B4841" s="17" t="s">
        <v>7748</v>
      </c>
      <c r="C4841" s="13">
        <v>40265</v>
      </c>
      <c r="D4841" s="13" t="s">
        <v>8465</v>
      </c>
      <c r="E4841" s="10" t="s">
        <v>86</v>
      </c>
      <c r="F4841" s="10" t="s">
        <v>1515</v>
      </c>
      <c r="G4841" s="11" t="s">
        <v>1516</v>
      </c>
      <c r="H4841" s="2" t="s">
        <v>1142</v>
      </c>
      <c r="L4841" s="18">
        <v>0</v>
      </c>
      <c r="Q4841" s="18">
        <v>0</v>
      </c>
      <c r="U4841" s="22">
        <v>0.82</v>
      </c>
      <c r="V4841" s="22">
        <f>3.96/5</f>
        <v>0.79200000000000004</v>
      </c>
      <c r="X4841" s="3">
        <v>2</v>
      </c>
      <c r="Z4841" s="23">
        <v>3</v>
      </c>
      <c r="AB4841" s="18">
        <f t="shared" si="150"/>
        <v>2010</v>
      </c>
      <c r="AC4841" s="22">
        <f t="shared" si="151"/>
        <v>0.67066666666666663</v>
      </c>
    </row>
    <row r="4842" spans="1:29">
      <c r="A4842" s="8" t="s">
        <v>11289</v>
      </c>
      <c r="B4842" s="17" t="s">
        <v>7742</v>
      </c>
      <c r="C4842" s="13">
        <v>40263</v>
      </c>
      <c r="D4842" s="13" t="s">
        <v>8465</v>
      </c>
      <c r="E4842" s="10" t="s">
        <v>1733</v>
      </c>
      <c r="F4842" s="10" t="s">
        <v>1733</v>
      </c>
      <c r="G4842" s="11" t="s">
        <v>11289</v>
      </c>
      <c r="H4842" s="2" t="s">
        <v>78</v>
      </c>
      <c r="L4842" s="18">
        <v>0</v>
      </c>
      <c r="Q4842" s="18">
        <v>0</v>
      </c>
      <c r="U4842" s="22">
        <v>0.88</v>
      </c>
      <c r="V4842" s="22">
        <f>4.19/5</f>
        <v>0.83800000000000008</v>
      </c>
      <c r="X4842" s="3">
        <v>2</v>
      </c>
      <c r="Z4842" s="23">
        <v>5.5</v>
      </c>
      <c r="AB4842" s="18">
        <f t="shared" si="150"/>
        <v>2010</v>
      </c>
      <c r="AC4842" s="22">
        <f t="shared" si="151"/>
        <v>0.70599999999999996</v>
      </c>
    </row>
    <row r="4843" spans="1:29" ht="30">
      <c r="A4843" s="8" t="s">
        <v>11542</v>
      </c>
      <c r="B4843" s="17" t="s">
        <v>7762</v>
      </c>
      <c r="C4843" s="13">
        <v>40262</v>
      </c>
      <c r="D4843" s="13" t="s">
        <v>8465</v>
      </c>
      <c r="E4843" s="10" t="s">
        <v>1519</v>
      </c>
      <c r="F4843" s="10" t="s">
        <v>11543</v>
      </c>
      <c r="G4843" s="11" t="s">
        <v>1362</v>
      </c>
      <c r="H4843" s="2" t="s">
        <v>21</v>
      </c>
      <c r="L4843" s="18">
        <v>0</v>
      </c>
      <c r="Q4843" s="18">
        <v>0</v>
      </c>
      <c r="V4843" s="22">
        <f>2.87/5</f>
        <v>0.57400000000000007</v>
      </c>
      <c r="X4843" s="3">
        <v>3</v>
      </c>
      <c r="AB4843" s="18">
        <f t="shared" si="150"/>
        <v>2010</v>
      </c>
      <c r="AC4843" s="22">
        <f t="shared" si="151"/>
        <v>0.58699999999999997</v>
      </c>
    </row>
    <row r="4844" spans="1:29">
      <c r="A4844" s="8" t="s">
        <v>1019</v>
      </c>
      <c r="B4844" s="17" t="s">
        <v>7741</v>
      </c>
      <c r="C4844" s="13">
        <v>40260</v>
      </c>
      <c r="D4844" s="13" t="s">
        <v>8465</v>
      </c>
      <c r="E4844" s="10" t="s">
        <v>1047</v>
      </c>
      <c r="F4844" s="10" t="s">
        <v>1539</v>
      </c>
      <c r="G4844" s="11" t="s">
        <v>1018</v>
      </c>
      <c r="H4844" s="2" t="s">
        <v>1050</v>
      </c>
      <c r="L4844" s="18">
        <v>0</v>
      </c>
      <c r="Q4844" s="18">
        <v>0</v>
      </c>
      <c r="U4844" s="22">
        <v>0.81</v>
      </c>
      <c r="V4844" s="22">
        <f>3.83/5</f>
        <v>0.76600000000000001</v>
      </c>
      <c r="X4844" s="3">
        <v>3</v>
      </c>
      <c r="Z4844" s="23">
        <v>8</v>
      </c>
      <c r="AB4844" s="18">
        <f t="shared" si="150"/>
        <v>2010</v>
      </c>
      <c r="AC4844" s="22">
        <f t="shared" si="151"/>
        <v>0.72533333333333339</v>
      </c>
    </row>
    <row r="4845" spans="1:29" ht="25.5">
      <c r="A4845" s="8" t="s">
        <v>2265</v>
      </c>
      <c r="B4845" s="17" t="s">
        <v>7748</v>
      </c>
      <c r="C4845" s="13">
        <v>40260</v>
      </c>
      <c r="D4845" s="13" t="s">
        <v>8465</v>
      </c>
      <c r="E4845" s="10" t="s">
        <v>228</v>
      </c>
      <c r="F4845" s="10" t="s">
        <v>228</v>
      </c>
      <c r="G4845" s="11" t="s">
        <v>1171</v>
      </c>
      <c r="H4845" s="2" t="s">
        <v>1377</v>
      </c>
      <c r="L4845" s="18">
        <v>0</v>
      </c>
      <c r="Q4845" s="18">
        <v>0</v>
      </c>
      <c r="U4845" s="22">
        <v>0.81</v>
      </c>
      <c r="V4845" s="22">
        <f>3.77/5</f>
        <v>0.754</v>
      </c>
      <c r="X4845" s="3">
        <v>4</v>
      </c>
      <c r="Z4845" s="23">
        <v>56</v>
      </c>
      <c r="AB4845" s="18">
        <f t="shared" si="150"/>
        <v>2010</v>
      </c>
      <c r="AC4845" s="22">
        <f t="shared" si="151"/>
        <v>0.78799999999999992</v>
      </c>
    </row>
    <row r="4846" spans="1:29">
      <c r="A4846" s="8" t="s">
        <v>4217</v>
      </c>
      <c r="B4846" s="17" t="s">
        <v>7800</v>
      </c>
      <c r="C4846" s="13">
        <v>40260</v>
      </c>
      <c r="D4846" s="13" t="s">
        <v>8465</v>
      </c>
      <c r="E4846" s="10" t="s">
        <v>1870</v>
      </c>
      <c r="F4846" s="10" t="s">
        <v>4216</v>
      </c>
      <c r="G4846" s="11" t="s">
        <v>4215</v>
      </c>
      <c r="H4846" s="2" t="s">
        <v>1168</v>
      </c>
      <c r="L4846" s="18">
        <v>1</v>
      </c>
      <c r="N4846" s="13">
        <v>41107</v>
      </c>
      <c r="O4846" s="29">
        <v>3.74</v>
      </c>
      <c r="P4846" s="18" t="s">
        <v>1107</v>
      </c>
      <c r="Q4846" s="18">
        <v>0</v>
      </c>
      <c r="U4846" s="22">
        <v>0.86</v>
      </c>
      <c r="V4846" s="22">
        <f>3.83/5</f>
        <v>0.76600000000000001</v>
      </c>
      <c r="W4846" s="14" t="s">
        <v>7777</v>
      </c>
      <c r="X4846" s="3">
        <v>3</v>
      </c>
      <c r="Z4846" s="23">
        <v>17.5</v>
      </c>
      <c r="AB4846" s="18">
        <f t="shared" si="150"/>
        <v>2010</v>
      </c>
      <c r="AC4846" s="22">
        <f t="shared" si="151"/>
        <v>0.74199999999999999</v>
      </c>
    </row>
    <row r="4847" spans="1:29">
      <c r="A4847" s="8" t="s">
        <v>2248</v>
      </c>
      <c r="B4847" s="17" t="s">
        <v>7748</v>
      </c>
      <c r="C4847" s="13">
        <v>40253</v>
      </c>
      <c r="D4847" s="13" t="s">
        <v>8465</v>
      </c>
      <c r="E4847" s="10" t="s">
        <v>455</v>
      </c>
      <c r="F4847" s="10" t="s">
        <v>1058</v>
      </c>
      <c r="H4847" s="2" t="s">
        <v>75</v>
      </c>
      <c r="L4847" s="18">
        <v>0</v>
      </c>
      <c r="Q4847" s="18">
        <v>0</v>
      </c>
      <c r="U4847" s="22">
        <v>0.76</v>
      </c>
      <c r="V4847" s="22">
        <f>4.12/5</f>
        <v>0.82400000000000007</v>
      </c>
      <c r="X4847" s="3">
        <v>4</v>
      </c>
      <c r="Z4847" s="23">
        <v>42</v>
      </c>
      <c r="AB4847" s="18">
        <f t="shared" si="150"/>
        <v>2010</v>
      </c>
      <c r="AC4847" s="22">
        <f t="shared" si="151"/>
        <v>0.79466666666666674</v>
      </c>
    </row>
    <row r="4848" spans="1:29">
      <c r="A4848" s="8" t="s">
        <v>6008</v>
      </c>
      <c r="B4848" s="17" t="s">
        <v>7759</v>
      </c>
      <c r="C4848" s="13">
        <v>40253</v>
      </c>
      <c r="D4848" s="13" t="s">
        <v>8465</v>
      </c>
      <c r="E4848" s="10" t="s">
        <v>455</v>
      </c>
      <c r="F4848" s="10" t="s">
        <v>1423</v>
      </c>
      <c r="H4848" s="2" t="s">
        <v>149</v>
      </c>
      <c r="L4848" s="18">
        <v>1</v>
      </c>
      <c r="M4848" s="14" t="s">
        <v>8462</v>
      </c>
      <c r="N4848" s="13">
        <v>43358</v>
      </c>
      <c r="O4848" s="29">
        <v>9.99</v>
      </c>
      <c r="P4848" s="18" t="s">
        <v>14</v>
      </c>
      <c r="Q4848" s="18">
        <v>0</v>
      </c>
      <c r="U4848" s="22">
        <v>0.73</v>
      </c>
      <c r="V4848" s="22">
        <f>3.85/5</f>
        <v>0.77</v>
      </c>
      <c r="X4848" s="3">
        <v>4</v>
      </c>
      <c r="Z4848" s="23">
        <v>53.5</v>
      </c>
      <c r="AB4848" s="18">
        <f t="shared" si="150"/>
        <v>2010</v>
      </c>
      <c r="AC4848" s="22">
        <f t="shared" si="151"/>
        <v>0.76666666666666661</v>
      </c>
    </row>
    <row r="4849" spans="1:29" ht="38.25">
      <c r="A4849" s="8" t="s">
        <v>999</v>
      </c>
      <c r="B4849" s="17" t="s">
        <v>7741</v>
      </c>
      <c r="C4849" s="13">
        <v>40253</v>
      </c>
      <c r="D4849" s="13" t="s">
        <v>8465</v>
      </c>
      <c r="E4849" s="10" t="s">
        <v>1534</v>
      </c>
      <c r="F4849" s="10" t="s">
        <v>1541</v>
      </c>
      <c r="H4849" s="2" t="s">
        <v>149</v>
      </c>
      <c r="L4849" s="18">
        <v>0</v>
      </c>
      <c r="Q4849" s="18">
        <v>0</v>
      </c>
      <c r="U4849" s="22">
        <v>0.66</v>
      </c>
      <c r="V4849" s="22">
        <f>3.92/5</f>
        <v>0.78400000000000003</v>
      </c>
      <c r="X4849" s="3">
        <v>4</v>
      </c>
      <c r="Z4849" s="23">
        <v>12</v>
      </c>
      <c r="AB4849" s="18">
        <f t="shared" si="150"/>
        <v>2010</v>
      </c>
      <c r="AC4849" s="22">
        <f t="shared" si="151"/>
        <v>0.74799999999999989</v>
      </c>
    </row>
    <row r="4850" spans="1:29" ht="25.5">
      <c r="A4850" s="8" t="s">
        <v>6536</v>
      </c>
      <c r="B4850" s="17" t="s">
        <v>7800</v>
      </c>
      <c r="C4850" s="13">
        <v>40253</v>
      </c>
      <c r="D4850" s="13" t="s">
        <v>8465</v>
      </c>
      <c r="E4850" s="10" t="s">
        <v>231</v>
      </c>
      <c r="F4850" s="10" t="s">
        <v>1039</v>
      </c>
      <c r="G4850" s="11" t="s">
        <v>3043</v>
      </c>
      <c r="H4850" s="2" t="s">
        <v>1143</v>
      </c>
      <c r="L4850" s="18">
        <v>1</v>
      </c>
      <c r="N4850" s="13">
        <v>41627</v>
      </c>
      <c r="O4850" s="29">
        <v>0.33</v>
      </c>
      <c r="P4850" s="18" t="s">
        <v>1107</v>
      </c>
      <c r="Q4850" s="18">
        <v>0</v>
      </c>
      <c r="U4850" s="22">
        <v>0.63</v>
      </c>
      <c r="V4850" s="22">
        <f>2.43/5</f>
        <v>0.48600000000000004</v>
      </c>
      <c r="W4850" s="14" t="s">
        <v>7796</v>
      </c>
      <c r="X4850" s="3">
        <v>3</v>
      </c>
      <c r="Z4850" s="23">
        <v>8</v>
      </c>
      <c r="AB4850" s="18">
        <f t="shared" si="150"/>
        <v>2010</v>
      </c>
      <c r="AC4850" s="22">
        <f t="shared" si="151"/>
        <v>0.57200000000000006</v>
      </c>
    </row>
    <row r="4851" spans="1:29">
      <c r="A4851" s="8" t="s">
        <v>4438</v>
      </c>
      <c r="B4851" s="17" t="s">
        <v>7800</v>
      </c>
      <c r="C4851" s="13">
        <v>40253</v>
      </c>
      <c r="D4851" s="13" t="s">
        <v>8465</v>
      </c>
      <c r="E4851" s="10" t="s">
        <v>1342</v>
      </c>
      <c r="F4851" s="10" t="s">
        <v>4439</v>
      </c>
      <c r="G4851" s="11" t="s">
        <v>4440</v>
      </c>
      <c r="H4851" s="2" t="s">
        <v>1050</v>
      </c>
      <c r="L4851" s="18">
        <v>1</v>
      </c>
      <c r="N4851" s="13">
        <v>41105</v>
      </c>
      <c r="O4851" s="29">
        <v>4.99</v>
      </c>
      <c r="P4851" s="18" t="s">
        <v>1107</v>
      </c>
      <c r="Q4851" s="18">
        <v>0</v>
      </c>
      <c r="U4851" s="22">
        <v>0.81</v>
      </c>
      <c r="V4851" s="22">
        <f>3.7/5</f>
        <v>0.74</v>
      </c>
      <c r="W4851" s="14" t="s">
        <v>7777</v>
      </c>
      <c r="X4851" s="3">
        <v>4</v>
      </c>
      <c r="Z4851" s="23">
        <v>9.5</v>
      </c>
      <c r="AB4851" s="18">
        <f t="shared" si="150"/>
        <v>2010</v>
      </c>
      <c r="AC4851" s="22">
        <f t="shared" si="151"/>
        <v>0.78333333333333333</v>
      </c>
    </row>
    <row r="4852" spans="1:29">
      <c r="A4852" s="8" t="s">
        <v>1077</v>
      </c>
      <c r="B4852" s="17" t="s">
        <v>7742</v>
      </c>
      <c r="C4852" s="13">
        <v>40252</v>
      </c>
      <c r="D4852" s="13" t="s">
        <v>8465</v>
      </c>
      <c r="E4852" s="10" t="s">
        <v>1086</v>
      </c>
      <c r="F4852" s="10" t="s">
        <v>1086</v>
      </c>
      <c r="H4852" s="2" t="s">
        <v>143</v>
      </c>
      <c r="L4852" s="18">
        <v>0</v>
      </c>
      <c r="Q4852" s="18">
        <v>0</v>
      </c>
      <c r="U4852" s="22">
        <v>0.82</v>
      </c>
      <c r="V4852" s="22">
        <f>3.8/5</f>
        <v>0.76</v>
      </c>
      <c r="X4852" s="3">
        <v>3</v>
      </c>
      <c r="AB4852" s="18">
        <f t="shared" si="150"/>
        <v>2010</v>
      </c>
      <c r="AC4852" s="22">
        <f t="shared" si="151"/>
        <v>0.72666666666666668</v>
      </c>
    </row>
    <row r="4853" spans="1:29">
      <c r="A4853" s="8" t="s">
        <v>11879</v>
      </c>
      <c r="B4853" s="17" t="s">
        <v>7748</v>
      </c>
      <c r="C4853" s="13">
        <v>40249</v>
      </c>
      <c r="D4853" s="13" t="s">
        <v>8465</v>
      </c>
      <c r="E4853" s="10" t="s">
        <v>1527</v>
      </c>
      <c r="F4853" s="10" t="s">
        <v>3113</v>
      </c>
      <c r="G4853" s="11" t="s">
        <v>8820</v>
      </c>
      <c r="H4853" s="2" t="s">
        <v>75</v>
      </c>
      <c r="L4853" s="18">
        <v>0</v>
      </c>
      <c r="Q4853" s="18">
        <v>0</v>
      </c>
      <c r="U4853" s="22">
        <v>0.46</v>
      </c>
      <c r="V4853" s="22">
        <f>3.29/5</f>
        <v>0.65800000000000003</v>
      </c>
      <c r="X4853" s="3">
        <v>2</v>
      </c>
      <c r="Z4853" s="23">
        <v>18.5</v>
      </c>
      <c r="AB4853" s="18">
        <f t="shared" si="150"/>
        <v>2010</v>
      </c>
      <c r="AC4853" s="22">
        <f t="shared" si="151"/>
        <v>0.50600000000000012</v>
      </c>
    </row>
    <row r="4854" spans="1:29" ht="38.25">
      <c r="A4854" s="8" t="s">
        <v>8800</v>
      </c>
      <c r="B4854" s="17" t="s">
        <v>7762</v>
      </c>
      <c r="C4854" s="13">
        <v>40248</v>
      </c>
      <c r="D4854" s="13" t="s">
        <v>8465</v>
      </c>
      <c r="E4854" s="10" t="s">
        <v>1062</v>
      </c>
      <c r="F4854" s="10" t="s">
        <v>2285</v>
      </c>
      <c r="H4854" s="2" t="s">
        <v>75</v>
      </c>
      <c r="L4854" s="18">
        <v>0</v>
      </c>
      <c r="Q4854" s="18">
        <v>0</v>
      </c>
      <c r="U4854" s="22">
        <v>0.81</v>
      </c>
      <c r="V4854" s="22">
        <f>4.14/5</f>
        <v>0.82799999999999996</v>
      </c>
      <c r="X4854" s="3">
        <v>3</v>
      </c>
      <c r="Z4854" s="23">
        <v>26</v>
      </c>
      <c r="AB4854" s="18">
        <f t="shared" si="150"/>
        <v>2010</v>
      </c>
      <c r="AC4854" s="22">
        <f t="shared" si="151"/>
        <v>0.746</v>
      </c>
    </row>
    <row r="4855" spans="1:29">
      <c r="A4855" s="8" t="s">
        <v>7254</v>
      </c>
      <c r="B4855" s="17" t="s">
        <v>7781</v>
      </c>
      <c r="C4855" s="13">
        <v>40247</v>
      </c>
      <c r="D4855" s="13" t="s">
        <v>8465</v>
      </c>
      <c r="E4855" s="10" t="s">
        <v>7265</v>
      </c>
      <c r="F4855" s="10" t="s">
        <v>7265</v>
      </c>
      <c r="H4855" s="2" t="s">
        <v>1267</v>
      </c>
      <c r="L4855" s="18">
        <v>0</v>
      </c>
      <c r="Q4855" s="18">
        <v>0</v>
      </c>
      <c r="W4855" s="15" t="str">
        <f>HYPERLINK("https://www.newgrounds.com/portal/view/529992", "Link")</f>
        <v>Link</v>
      </c>
      <c r="X4855" s="3">
        <v>3</v>
      </c>
      <c r="AB4855" s="18">
        <f t="shared" si="150"/>
        <v>2010</v>
      </c>
      <c r="AC4855" s="22">
        <f t="shared" si="151"/>
        <v>0.6</v>
      </c>
    </row>
    <row r="4856" spans="1:29">
      <c r="A4856" s="8" t="s">
        <v>6052</v>
      </c>
      <c r="B4856" s="17" t="s">
        <v>7759</v>
      </c>
      <c r="C4856" s="13">
        <v>40246</v>
      </c>
      <c r="D4856" s="13" t="s">
        <v>8465</v>
      </c>
      <c r="E4856" s="10" t="s">
        <v>455</v>
      </c>
      <c r="F4856" s="10" t="s">
        <v>5599</v>
      </c>
      <c r="G4856" s="11" t="s">
        <v>5600</v>
      </c>
      <c r="H4856" s="2" t="s">
        <v>80</v>
      </c>
      <c r="L4856" s="18">
        <v>1</v>
      </c>
      <c r="M4856" s="14" t="s">
        <v>8462</v>
      </c>
      <c r="N4856" s="13">
        <v>43484</v>
      </c>
      <c r="O4856" s="29">
        <v>41.5</v>
      </c>
      <c r="P4856" s="18" t="s">
        <v>14</v>
      </c>
      <c r="Q4856" s="18">
        <v>0</v>
      </c>
      <c r="U4856" s="22">
        <v>0.8</v>
      </c>
      <c r="V4856" s="22">
        <f>4.14/5</f>
        <v>0.82799999999999996</v>
      </c>
      <c r="X4856" s="3">
        <v>3</v>
      </c>
      <c r="Z4856" s="23">
        <v>18.5</v>
      </c>
      <c r="AB4856" s="18">
        <f t="shared" si="150"/>
        <v>2010</v>
      </c>
      <c r="AC4856" s="22">
        <f t="shared" si="151"/>
        <v>0.7426666666666667</v>
      </c>
    </row>
    <row r="4857" spans="1:29">
      <c r="A4857" s="8" t="s">
        <v>982</v>
      </c>
      <c r="B4857" s="17" t="s">
        <v>7741</v>
      </c>
      <c r="C4857" s="13">
        <v>40246</v>
      </c>
      <c r="D4857" s="13" t="s">
        <v>8465</v>
      </c>
      <c r="E4857" s="10" t="s">
        <v>62</v>
      </c>
      <c r="F4857" s="10" t="s">
        <v>62</v>
      </c>
      <c r="H4857" s="2" t="s">
        <v>1061</v>
      </c>
      <c r="L4857" s="18">
        <v>0</v>
      </c>
      <c r="Q4857" s="18">
        <v>0</v>
      </c>
      <c r="U4857" s="22">
        <v>0.51</v>
      </c>
      <c r="V4857" s="22">
        <f>3.58/5</f>
        <v>0.71599999999999997</v>
      </c>
      <c r="X4857" s="3">
        <v>3</v>
      </c>
      <c r="Z4857" s="23">
        <v>9</v>
      </c>
      <c r="AB4857" s="18">
        <f t="shared" si="150"/>
        <v>2010</v>
      </c>
      <c r="AC4857" s="22">
        <f t="shared" si="151"/>
        <v>0.60866666666666669</v>
      </c>
    </row>
    <row r="4858" spans="1:29">
      <c r="A4858" s="8" t="s">
        <v>13295</v>
      </c>
      <c r="B4858" s="17" t="s">
        <v>13296</v>
      </c>
      <c r="C4858" s="13">
        <v>40246</v>
      </c>
      <c r="D4858" s="13" t="s">
        <v>8465</v>
      </c>
      <c r="E4858" s="10" t="s">
        <v>72</v>
      </c>
      <c r="F4858" s="10" t="s">
        <v>13297</v>
      </c>
      <c r="H4858" s="2" t="s">
        <v>149</v>
      </c>
      <c r="L4858" s="18">
        <v>0</v>
      </c>
      <c r="Q4858" s="18">
        <v>0</v>
      </c>
      <c r="V4858" s="22">
        <f>3.93/5</f>
        <v>0.78600000000000003</v>
      </c>
      <c r="X4858" s="3">
        <v>2</v>
      </c>
      <c r="Z4858" s="23">
        <v>13</v>
      </c>
      <c r="AB4858" s="18">
        <f t="shared" si="150"/>
        <v>2010</v>
      </c>
      <c r="AC4858" s="22">
        <f t="shared" si="151"/>
        <v>0.59299999999999997</v>
      </c>
    </row>
    <row r="4859" spans="1:29" ht="30">
      <c r="A4859" s="8" t="s">
        <v>12199</v>
      </c>
      <c r="B4859" s="17" t="s">
        <v>7762</v>
      </c>
      <c r="C4859" s="13">
        <v>40246</v>
      </c>
      <c r="D4859" s="13" t="s">
        <v>8465</v>
      </c>
      <c r="E4859" s="10" t="s">
        <v>2908</v>
      </c>
      <c r="F4859" s="10" t="s">
        <v>5862</v>
      </c>
      <c r="G4859" s="11" t="s">
        <v>12200</v>
      </c>
      <c r="H4859" s="2" t="s">
        <v>3411</v>
      </c>
      <c r="L4859" s="18">
        <v>0</v>
      </c>
      <c r="Q4859" s="18">
        <v>0</v>
      </c>
      <c r="U4859" s="22">
        <v>0.69</v>
      </c>
      <c r="V4859" s="22">
        <f>3.79/5</f>
        <v>0.75800000000000001</v>
      </c>
      <c r="X4859" s="3">
        <v>2</v>
      </c>
      <c r="AB4859" s="18">
        <f t="shared" si="150"/>
        <v>2010</v>
      </c>
      <c r="AC4859" s="22">
        <f t="shared" si="151"/>
        <v>0.61599999999999999</v>
      </c>
    </row>
    <row r="4860" spans="1:29">
      <c r="A4860" s="8" t="s">
        <v>15128</v>
      </c>
      <c r="B4860" s="17" t="s">
        <v>7782</v>
      </c>
      <c r="C4860" s="13">
        <v>40242</v>
      </c>
      <c r="D4860" s="13" t="s">
        <v>8465</v>
      </c>
      <c r="E4860" s="10" t="s">
        <v>72</v>
      </c>
      <c r="F4860" s="10" t="s">
        <v>15129</v>
      </c>
      <c r="G4860" s="11" t="s">
        <v>1449</v>
      </c>
      <c r="H4860" s="2" t="s">
        <v>1061</v>
      </c>
      <c r="L4860" s="18">
        <v>0</v>
      </c>
      <c r="Q4860" s="18">
        <v>0</v>
      </c>
      <c r="X4860" s="3">
        <v>2</v>
      </c>
      <c r="Z4860" s="23">
        <f>58/60</f>
        <v>0.96666666666666667</v>
      </c>
      <c r="AB4860" s="18">
        <f t="shared" si="150"/>
        <v>2010</v>
      </c>
      <c r="AC4860" s="22">
        <f t="shared" si="151"/>
        <v>0.4</v>
      </c>
    </row>
    <row r="4861" spans="1:29" ht="30">
      <c r="A4861" s="8" t="s">
        <v>8889</v>
      </c>
      <c r="B4861" s="17" t="s">
        <v>7762</v>
      </c>
      <c r="C4861" s="13">
        <v>40241</v>
      </c>
      <c r="D4861" s="13" t="s">
        <v>8463</v>
      </c>
      <c r="E4861" s="10" t="s">
        <v>1509</v>
      </c>
      <c r="F4861" s="10" t="s">
        <v>2314</v>
      </c>
      <c r="G4861" s="11" t="s">
        <v>8682</v>
      </c>
      <c r="H4861" s="2" t="s">
        <v>171</v>
      </c>
      <c r="K4861" s="18">
        <v>2</v>
      </c>
      <c r="L4861" s="18">
        <v>0</v>
      </c>
      <c r="Q4861" s="18">
        <v>0</v>
      </c>
      <c r="V4861" s="22">
        <f>3.96/5</f>
        <v>0.79200000000000004</v>
      </c>
      <c r="X4861" s="3">
        <v>3</v>
      </c>
      <c r="Z4861" s="23">
        <v>29</v>
      </c>
      <c r="AB4861" s="18">
        <f t="shared" si="150"/>
        <v>2010</v>
      </c>
      <c r="AC4861" s="22">
        <f t="shared" si="151"/>
        <v>0.69599999999999995</v>
      </c>
    </row>
    <row r="4862" spans="1:29" ht="25.5">
      <c r="A4862" s="9" t="s">
        <v>5065</v>
      </c>
      <c r="B4862" s="17" t="s">
        <v>7800</v>
      </c>
      <c r="C4862" s="13">
        <v>40240</v>
      </c>
      <c r="D4862" s="13" t="s">
        <v>8465</v>
      </c>
      <c r="E4862" s="10" t="s">
        <v>455</v>
      </c>
      <c r="F4862" s="10" t="s">
        <v>1687</v>
      </c>
      <c r="G4862" s="11" t="s">
        <v>1688</v>
      </c>
      <c r="H4862" s="2" t="s">
        <v>150</v>
      </c>
      <c r="L4862" s="18">
        <v>1</v>
      </c>
      <c r="N4862" s="13">
        <v>41765</v>
      </c>
      <c r="P4862" s="18" t="s">
        <v>1107</v>
      </c>
      <c r="Q4862" s="18">
        <v>0</v>
      </c>
      <c r="U4862" s="22">
        <v>0.6</v>
      </c>
      <c r="V4862" s="22">
        <f>3.73/5</f>
        <v>0.746</v>
      </c>
      <c r="W4862" s="14" t="s">
        <v>7777</v>
      </c>
      <c r="X4862" s="3">
        <v>3</v>
      </c>
      <c r="Z4862" s="23">
        <v>5.5</v>
      </c>
      <c r="AB4862" s="18">
        <f t="shared" si="150"/>
        <v>2010</v>
      </c>
      <c r="AC4862" s="22">
        <f t="shared" si="151"/>
        <v>0.64866666666666672</v>
      </c>
    </row>
    <row r="4863" spans="1:29" ht="25.5">
      <c r="A4863" s="8" t="s">
        <v>6533</v>
      </c>
      <c r="B4863" s="17" t="s">
        <v>7800</v>
      </c>
      <c r="C4863" s="13">
        <v>40239</v>
      </c>
      <c r="D4863" s="13" t="s">
        <v>8465</v>
      </c>
      <c r="E4863" s="10" t="s">
        <v>231</v>
      </c>
      <c r="F4863" s="10" t="s">
        <v>4461</v>
      </c>
      <c r="G4863" s="11" t="s">
        <v>6350</v>
      </c>
      <c r="H4863" s="2" t="s">
        <v>1050</v>
      </c>
      <c r="L4863" s="18">
        <v>1</v>
      </c>
      <c r="N4863" s="13">
        <v>41608</v>
      </c>
      <c r="O4863" s="29">
        <v>1</v>
      </c>
      <c r="P4863" s="18" t="s">
        <v>1107</v>
      </c>
      <c r="Q4863" s="18">
        <v>0</v>
      </c>
      <c r="U4863" s="22">
        <v>0.88</v>
      </c>
      <c r="V4863" s="22">
        <f>3.94/5</f>
        <v>0.78800000000000003</v>
      </c>
      <c r="W4863" s="14" t="s">
        <v>7796</v>
      </c>
      <c r="X4863" s="3">
        <v>3</v>
      </c>
      <c r="Z4863" s="23">
        <v>7</v>
      </c>
      <c r="AB4863" s="18">
        <f t="shared" si="150"/>
        <v>2010</v>
      </c>
      <c r="AC4863" s="22">
        <f t="shared" si="151"/>
        <v>0.75600000000000012</v>
      </c>
    </row>
    <row r="4864" spans="1:29" ht="30">
      <c r="A4864" s="8" t="s">
        <v>10888</v>
      </c>
      <c r="B4864" s="17" t="s">
        <v>7762</v>
      </c>
      <c r="C4864" s="13">
        <v>40239</v>
      </c>
      <c r="D4864" s="13" t="s">
        <v>8465</v>
      </c>
      <c r="E4864" s="10" t="s">
        <v>1534</v>
      </c>
      <c r="F4864" s="10" t="s">
        <v>1512</v>
      </c>
      <c r="G4864" s="11" t="s">
        <v>1960</v>
      </c>
      <c r="H4864" s="2" t="s">
        <v>149</v>
      </c>
      <c r="L4864" s="18">
        <v>0</v>
      </c>
      <c r="Q4864" s="18">
        <v>0</v>
      </c>
      <c r="U4864" s="22">
        <v>0.8</v>
      </c>
      <c r="V4864" s="22">
        <f>4.05/5</f>
        <v>0.80999999999999994</v>
      </c>
      <c r="X4864" s="3">
        <v>4</v>
      </c>
      <c r="Z4864" s="23">
        <v>27</v>
      </c>
      <c r="AB4864" s="18">
        <f t="shared" si="150"/>
        <v>2010</v>
      </c>
      <c r="AC4864" s="22">
        <f t="shared" si="151"/>
        <v>0.80333333333333334</v>
      </c>
    </row>
    <row r="4865" spans="1:29" ht="25.5">
      <c r="A4865" s="8" t="s">
        <v>5214</v>
      </c>
      <c r="B4865" s="17" t="s">
        <v>7800</v>
      </c>
      <c r="C4865" s="13">
        <v>40239</v>
      </c>
      <c r="D4865" s="13" t="s">
        <v>8465</v>
      </c>
      <c r="E4865" s="10" t="s">
        <v>1082</v>
      </c>
      <c r="F4865" s="10" t="s">
        <v>3738</v>
      </c>
      <c r="G4865" s="11" t="s">
        <v>5213</v>
      </c>
      <c r="H4865" s="2" t="s">
        <v>1143</v>
      </c>
      <c r="L4865" s="18">
        <v>1</v>
      </c>
      <c r="N4865" s="13">
        <v>41196</v>
      </c>
      <c r="P4865" s="18" t="s">
        <v>1107</v>
      </c>
      <c r="Q4865" s="18">
        <v>0</v>
      </c>
      <c r="U4865" s="22">
        <v>0.77</v>
      </c>
      <c r="V4865" s="22">
        <f>3.57/5</f>
        <v>0.71399999999999997</v>
      </c>
      <c r="W4865" s="14" t="s">
        <v>7777</v>
      </c>
      <c r="X4865" s="3">
        <v>4</v>
      </c>
      <c r="Z4865" s="23">
        <v>14</v>
      </c>
      <c r="AB4865" s="18">
        <f t="shared" ref="AB4865:AB4928" si="152">IFERROR(YEAR(C4865), "Early Access")</f>
        <v>2010</v>
      </c>
      <c r="AC4865" s="22">
        <f t="shared" ref="AC4865:AC4928" si="153">AVERAGE(T4865, U4865, V4865, IF(ISBLANK(X4865), X4865, X4865/5))</f>
        <v>0.76133333333333331</v>
      </c>
    </row>
    <row r="4866" spans="1:29" ht="30">
      <c r="A4866" s="8" t="s">
        <v>6046</v>
      </c>
      <c r="B4866" s="17" t="s">
        <v>7759</v>
      </c>
      <c r="C4866" s="13">
        <v>40239</v>
      </c>
      <c r="D4866" s="13" t="s">
        <v>8465</v>
      </c>
      <c r="E4866" s="10" t="s">
        <v>2908</v>
      </c>
      <c r="F4866" s="10" t="s">
        <v>2129</v>
      </c>
      <c r="G4866" s="11" t="s">
        <v>6046</v>
      </c>
      <c r="H4866" s="2" t="s">
        <v>149</v>
      </c>
      <c r="L4866" s="18">
        <v>1</v>
      </c>
      <c r="M4866" s="14" t="s">
        <v>8462</v>
      </c>
      <c r="N4866" s="13">
        <v>43399</v>
      </c>
      <c r="O4866" s="29">
        <v>6.99</v>
      </c>
      <c r="P4866" s="18" t="s">
        <v>14</v>
      </c>
      <c r="Q4866" s="18">
        <v>0</v>
      </c>
      <c r="U4866" s="22">
        <v>0.66</v>
      </c>
      <c r="V4866" s="22">
        <f>3.64/5</f>
        <v>0.72799999999999998</v>
      </c>
      <c r="X4866" s="3">
        <v>2</v>
      </c>
      <c r="Z4866" s="23">
        <v>25.5</v>
      </c>
      <c r="AB4866" s="18">
        <f t="shared" si="152"/>
        <v>2010</v>
      </c>
      <c r="AC4866" s="22">
        <f t="shared" si="153"/>
        <v>0.59599999999999997</v>
      </c>
    </row>
    <row r="4867" spans="1:29">
      <c r="A4867" s="8" t="s">
        <v>3305</v>
      </c>
      <c r="B4867" s="17" t="s">
        <v>7800</v>
      </c>
      <c r="C4867" s="13">
        <v>40238</v>
      </c>
      <c r="D4867" s="13" t="s">
        <v>8465</v>
      </c>
      <c r="E4867" s="10" t="s">
        <v>3306</v>
      </c>
      <c r="F4867" s="10" t="s">
        <v>3306</v>
      </c>
      <c r="H4867" s="2" t="s">
        <v>1054</v>
      </c>
      <c r="L4867" s="18">
        <v>1</v>
      </c>
      <c r="N4867" s="13">
        <v>42058</v>
      </c>
      <c r="P4867" s="18" t="s">
        <v>1107</v>
      </c>
      <c r="Q4867" s="18">
        <v>0</v>
      </c>
      <c r="V4867" s="22">
        <f>4.13/5</f>
        <v>0.82599999999999996</v>
      </c>
      <c r="W4867" s="14" t="s">
        <v>7777</v>
      </c>
      <c r="X4867" s="3">
        <v>2</v>
      </c>
      <c r="AB4867" s="18">
        <f t="shared" si="152"/>
        <v>2010</v>
      </c>
      <c r="AC4867" s="22">
        <f t="shared" si="153"/>
        <v>0.61299999999999999</v>
      </c>
    </row>
    <row r="4868" spans="1:29">
      <c r="A4868" s="8" t="s">
        <v>3240</v>
      </c>
      <c r="B4868" s="17" t="s">
        <v>7800</v>
      </c>
      <c r="C4868" s="13">
        <v>40238</v>
      </c>
      <c r="D4868" s="13" t="s">
        <v>8465</v>
      </c>
      <c r="E4868" s="10" t="s">
        <v>3234</v>
      </c>
      <c r="F4868" s="10" t="s">
        <v>3234</v>
      </c>
      <c r="G4868" s="11" t="s">
        <v>3238</v>
      </c>
      <c r="H4868" s="2" t="s">
        <v>1720</v>
      </c>
      <c r="L4868" s="18">
        <v>1</v>
      </c>
      <c r="N4868" s="13">
        <v>41087</v>
      </c>
      <c r="P4868" s="18" t="s">
        <v>1107</v>
      </c>
      <c r="Q4868" s="18">
        <v>0</v>
      </c>
      <c r="U4868" s="22">
        <v>0.73</v>
      </c>
      <c r="V4868" s="22">
        <f>3.57/5</f>
        <v>0.71399999999999997</v>
      </c>
      <c r="W4868" s="14" t="s">
        <v>7777</v>
      </c>
      <c r="X4868" s="3">
        <v>2</v>
      </c>
      <c r="AB4868" s="18">
        <f t="shared" si="152"/>
        <v>2010</v>
      </c>
      <c r="AC4868" s="22">
        <f t="shared" si="153"/>
        <v>0.61466666666666658</v>
      </c>
    </row>
    <row r="4869" spans="1:29">
      <c r="A4869" s="8" t="s">
        <v>10943</v>
      </c>
      <c r="B4869" s="17" t="s">
        <v>7741</v>
      </c>
      <c r="C4869" s="13">
        <v>40234</v>
      </c>
      <c r="D4869" s="13" t="s">
        <v>8463</v>
      </c>
      <c r="E4869" s="10" t="s">
        <v>6634</v>
      </c>
      <c r="F4869" s="10" t="s">
        <v>6634</v>
      </c>
      <c r="G4869" s="11" t="s">
        <v>10944</v>
      </c>
      <c r="H4869" s="2" t="s">
        <v>21</v>
      </c>
      <c r="K4869" s="18">
        <v>0</v>
      </c>
      <c r="L4869" s="18">
        <v>0</v>
      </c>
      <c r="Q4869" s="18">
        <v>0</v>
      </c>
      <c r="V4869" s="22">
        <f>4.36/5</f>
        <v>0.87200000000000011</v>
      </c>
      <c r="X4869" s="3">
        <v>3</v>
      </c>
      <c r="AB4869" s="18">
        <f t="shared" si="152"/>
        <v>2010</v>
      </c>
      <c r="AC4869" s="22">
        <f t="shared" si="153"/>
        <v>0.73599999999999999</v>
      </c>
    </row>
    <row r="4870" spans="1:29" ht="38.25">
      <c r="A4870" s="8" t="s">
        <v>8376</v>
      </c>
      <c r="B4870" s="17" t="s">
        <v>7748</v>
      </c>
      <c r="C4870" s="13">
        <v>40234</v>
      </c>
      <c r="D4870" s="13" t="s">
        <v>8463</v>
      </c>
      <c r="E4870" s="10" t="s">
        <v>1509</v>
      </c>
      <c r="F4870" s="10" t="s">
        <v>1145</v>
      </c>
      <c r="G4870" s="11" t="s">
        <v>299</v>
      </c>
      <c r="H4870" s="2" t="s">
        <v>75</v>
      </c>
      <c r="K4870" s="18">
        <v>2</v>
      </c>
      <c r="L4870" s="18">
        <v>0</v>
      </c>
      <c r="Q4870" s="18">
        <v>0</v>
      </c>
      <c r="V4870" s="22">
        <f>4.19/5</f>
        <v>0.83800000000000008</v>
      </c>
      <c r="X4870" s="3">
        <v>3</v>
      </c>
      <c r="Z4870" s="23">
        <v>42</v>
      </c>
      <c r="AB4870" s="18">
        <f t="shared" si="152"/>
        <v>2010</v>
      </c>
      <c r="AC4870" s="22">
        <f t="shared" si="153"/>
        <v>0.71900000000000008</v>
      </c>
    </row>
    <row r="4871" spans="1:29" ht="30">
      <c r="A4871" s="8" t="s">
        <v>6272</v>
      </c>
      <c r="B4871" s="17" t="s">
        <v>7762</v>
      </c>
      <c r="C4871" s="13">
        <v>40234</v>
      </c>
      <c r="D4871" s="13" t="s">
        <v>8465</v>
      </c>
      <c r="E4871" s="10" t="s">
        <v>2908</v>
      </c>
      <c r="F4871" s="10" t="s">
        <v>2135</v>
      </c>
      <c r="G4871" s="11" t="s">
        <v>6237</v>
      </c>
      <c r="H4871" s="2" t="s">
        <v>78</v>
      </c>
      <c r="L4871" s="18">
        <v>0</v>
      </c>
      <c r="Q4871" s="18">
        <v>0</v>
      </c>
      <c r="U4871" s="22">
        <v>0.74</v>
      </c>
      <c r="V4871" s="22">
        <f>3.61/5</f>
        <v>0.72199999999999998</v>
      </c>
      <c r="X4871" s="3">
        <v>2</v>
      </c>
      <c r="AB4871" s="18">
        <f t="shared" si="152"/>
        <v>2010</v>
      </c>
      <c r="AC4871" s="22">
        <f t="shared" si="153"/>
        <v>0.6206666666666667</v>
      </c>
    </row>
    <row r="4872" spans="1:29">
      <c r="A4872" s="8" t="s">
        <v>12810</v>
      </c>
      <c r="B4872" s="17" t="s">
        <v>7759</v>
      </c>
      <c r="C4872" s="13">
        <v>40232</v>
      </c>
      <c r="D4872" s="13" t="s">
        <v>8465</v>
      </c>
      <c r="E4872" s="10" t="s">
        <v>1062</v>
      </c>
      <c r="F4872" s="10" t="s">
        <v>2285</v>
      </c>
      <c r="H4872" s="2" t="s">
        <v>171</v>
      </c>
      <c r="L4872" s="18">
        <v>0</v>
      </c>
      <c r="Q4872" s="18">
        <v>0</v>
      </c>
      <c r="U4872" s="22">
        <v>0.44</v>
      </c>
      <c r="V4872" s="22">
        <f>2.62/5</f>
        <v>0.52400000000000002</v>
      </c>
      <c r="X4872" s="3">
        <v>2</v>
      </c>
      <c r="Y4872" s="18">
        <v>1</v>
      </c>
      <c r="Z4872" s="23">
        <v>11</v>
      </c>
      <c r="AB4872" s="18">
        <f t="shared" si="152"/>
        <v>2010</v>
      </c>
      <c r="AC4872" s="22">
        <f t="shared" si="153"/>
        <v>0.45466666666666661</v>
      </c>
    </row>
    <row r="4873" spans="1:29" ht="25.5">
      <c r="A4873" s="8" t="s">
        <v>7378</v>
      </c>
      <c r="B4873" s="17" t="s">
        <v>7741</v>
      </c>
      <c r="C4873" s="13">
        <v>40231</v>
      </c>
      <c r="D4873" s="13" t="s">
        <v>8465</v>
      </c>
      <c r="E4873" s="10" t="s">
        <v>86</v>
      </c>
      <c r="F4873" s="10" t="s">
        <v>1046</v>
      </c>
      <c r="G4873" s="11" t="s">
        <v>1038</v>
      </c>
      <c r="H4873" s="2" t="s">
        <v>67</v>
      </c>
      <c r="L4873" s="18">
        <v>0</v>
      </c>
      <c r="Q4873" s="18">
        <v>0</v>
      </c>
      <c r="U4873" s="22">
        <v>0.79</v>
      </c>
      <c r="V4873" s="22">
        <f>4.23/5</f>
        <v>0.84600000000000009</v>
      </c>
      <c r="X4873" s="3">
        <v>2</v>
      </c>
      <c r="Z4873" s="23">
        <v>15.5</v>
      </c>
      <c r="AB4873" s="18">
        <f t="shared" si="152"/>
        <v>2010</v>
      </c>
      <c r="AC4873" s="22">
        <f t="shared" si="153"/>
        <v>0.67866666666666664</v>
      </c>
    </row>
    <row r="4874" spans="1:29" ht="30">
      <c r="A4874" s="8" t="s">
        <v>11248</v>
      </c>
      <c r="B4874" s="17" t="s">
        <v>8754</v>
      </c>
      <c r="C4874" s="13">
        <v>40231</v>
      </c>
      <c r="D4874" s="13" t="s">
        <v>8465</v>
      </c>
      <c r="E4874" s="10" t="s">
        <v>86</v>
      </c>
      <c r="F4874" s="10" t="s">
        <v>1506</v>
      </c>
      <c r="H4874" s="2" t="s">
        <v>143</v>
      </c>
      <c r="L4874" s="18">
        <v>1</v>
      </c>
      <c r="N4874" s="13">
        <v>44626</v>
      </c>
      <c r="O4874" s="29">
        <v>1.99</v>
      </c>
      <c r="P4874" s="18" t="s">
        <v>1107</v>
      </c>
      <c r="Q4874" s="18">
        <v>0</v>
      </c>
      <c r="V4874" s="22">
        <f>3.88/5</f>
        <v>0.77600000000000002</v>
      </c>
      <c r="X4874" s="3">
        <v>2</v>
      </c>
      <c r="Z4874" s="23">
        <v>1</v>
      </c>
      <c r="AB4874" s="18">
        <f t="shared" si="152"/>
        <v>2010</v>
      </c>
      <c r="AC4874" s="22">
        <f t="shared" si="153"/>
        <v>0.58800000000000008</v>
      </c>
    </row>
    <row r="4875" spans="1:29" ht="25.5">
      <c r="A4875" s="8" t="s">
        <v>4516</v>
      </c>
      <c r="B4875" s="17" t="s">
        <v>7800</v>
      </c>
      <c r="C4875" s="13">
        <v>40228</v>
      </c>
      <c r="D4875" s="13" t="s">
        <v>8465</v>
      </c>
      <c r="E4875" s="10" t="s">
        <v>4514</v>
      </c>
      <c r="F4875" s="10" t="s">
        <v>4515</v>
      </c>
      <c r="G4875" s="11" t="s">
        <v>4513</v>
      </c>
      <c r="H4875" s="2" t="s">
        <v>1050</v>
      </c>
      <c r="L4875" s="18">
        <v>1</v>
      </c>
      <c r="N4875" s="13">
        <v>41453</v>
      </c>
      <c r="P4875" s="18" t="s">
        <v>1107</v>
      </c>
      <c r="Q4875" s="18">
        <v>0</v>
      </c>
      <c r="V4875" s="22">
        <f>2.6/5</f>
        <v>0.52</v>
      </c>
      <c r="W4875" s="14" t="s">
        <v>7777</v>
      </c>
      <c r="X4875" s="3">
        <v>3</v>
      </c>
      <c r="Z4875" s="23">
        <v>4.5</v>
      </c>
      <c r="AB4875" s="18">
        <f t="shared" si="152"/>
        <v>2010</v>
      </c>
      <c r="AC4875" s="22">
        <f t="shared" si="153"/>
        <v>0.56000000000000005</v>
      </c>
    </row>
    <row r="4876" spans="1:29" ht="30">
      <c r="A4876" s="8" t="s">
        <v>7525</v>
      </c>
      <c r="B4876" s="17" t="s">
        <v>7800</v>
      </c>
      <c r="C4876" s="13">
        <v>40225</v>
      </c>
      <c r="D4876" s="13" t="s">
        <v>8465</v>
      </c>
      <c r="E4876" s="10" t="s">
        <v>455</v>
      </c>
      <c r="F4876" s="10" t="s">
        <v>3152</v>
      </c>
      <c r="G4876" s="11" t="s">
        <v>442</v>
      </c>
      <c r="H4876" s="2" t="s">
        <v>1050</v>
      </c>
      <c r="L4876" s="18">
        <v>1</v>
      </c>
      <c r="N4876" s="13">
        <v>41990</v>
      </c>
      <c r="O4876" s="29">
        <v>1.34</v>
      </c>
      <c r="P4876" s="18" t="s">
        <v>1107</v>
      </c>
      <c r="Q4876" s="18">
        <v>0</v>
      </c>
      <c r="U4876" s="22">
        <v>0.68</v>
      </c>
      <c r="V4876" s="22">
        <f>3.27/5</f>
        <v>0.65400000000000003</v>
      </c>
      <c r="W4876" s="14" t="s">
        <v>7777</v>
      </c>
      <c r="X4876" s="3">
        <v>3</v>
      </c>
      <c r="Z4876" s="23">
        <v>8.5</v>
      </c>
      <c r="AB4876" s="18">
        <f t="shared" si="152"/>
        <v>2010</v>
      </c>
      <c r="AC4876" s="22">
        <f t="shared" si="153"/>
        <v>0.64466666666666672</v>
      </c>
    </row>
    <row r="4877" spans="1:29" ht="38.25">
      <c r="A4877" s="8" t="s">
        <v>2232</v>
      </c>
      <c r="B4877" s="17" t="s">
        <v>7748</v>
      </c>
      <c r="C4877" s="13">
        <v>40225</v>
      </c>
      <c r="D4877" s="13" t="s">
        <v>8465</v>
      </c>
      <c r="E4877" s="10" t="s">
        <v>73</v>
      </c>
      <c r="F4877" s="10" t="s">
        <v>73</v>
      </c>
      <c r="G4877" s="11" t="s">
        <v>2323</v>
      </c>
      <c r="H4877" s="2" t="s">
        <v>67</v>
      </c>
      <c r="L4877" s="18">
        <v>0</v>
      </c>
      <c r="Q4877" s="18">
        <v>0</v>
      </c>
      <c r="U4877" s="22">
        <v>0.79</v>
      </c>
      <c r="V4877" s="22">
        <f>4.11/5</f>
        <v>0.82200000000000006</v>
      </c>
      <c r="X4877" s="3">
        <v>4</v>
      </c>
      <c r="Z4877" s="23">
        <v>23</v>
      </c>
      <c r="AB4877" s="18">
        <f t="shared" si="152"/>
        <v>2010</v>
      </c>
      <c r="AC4877" s="22">
        <f t="shared" si="153"/>
        <v>0.80399999999999994</v>
      </c>
    </row>
    <row r="4878" spans="1:29" ht="38.25">
      <c r="A4878" s="8" t="s">
        <v>11941</v>
      </c>
      <c r="B4878" s="17" t="s">
        <v>7762</v>
      </c>
      <c r="C4878" s="13">
        <v>40225</v>
      </c>
      <c r="D4878" s="13" t="s">
        <v>8465</v>
      </c>
      <c r="E4878" s="10" t="s">
        <v>2908</v>
      </c>
      <c r="F4878" s="10" t="s">
        <v>6003</v>
      </c>
      <c r="G4878" s="11" t="s">
        <v>11933</v>
      </c>
      <c r="H4878" s="2" t="s">
        <v>7448</v>
      </c>
      <c r="L4878" s="18">
        <v>0</v>
      </c>
      <c r="Q4878" s="18">
        <v>0</v>
      </c>
      <c r="U4878" s="22">
        <v>0.74</v>
      </c>
      <c r="V4878" s="22">
        <f>4.25/5</f>
        <v>0.85</v>
      </c>
      <c r="X4878" s="3">
        <v>2</v>
      </c>
      <c r="Z4878" s="23">
        <v>4.5</v>
      </c>
      <c r="AB4878" s="18">
        <f t="shared" si="152"/>
        <v>2010</v>
      </c>
      <c r="AC4878" s="22">
        <f t="shared" si="153"/>
        <v>0.66333333333333322</v>
      </c>
    </row>
    <row r="4879" spans="1:29" ht="30">
      <c r="A4879" s="8" t="s">
        <v>9134</v>
      </c>
      <c r="B4879" s="17" t="s">
        <v>7748</v>
      </c>
      <c r="C4879" s="13">
        <v>40225</v>
      </c>
      <c r="D4879" s="13" t="s">
        <v>8465</v>
      </c>
      <c r="E4879" s="10" t="s">
        <v>1534</v>
      </c>
      <c r="F4879" s="10" t="s">
        <v>2459</v>
      </c>
      <c r="G4879" s="11" t="s">
        <v>9135</v>
      </c>
      <c r="H4879" s="2" t="s">
        <v>171</v>
      </c>
      <c r="L4879" s="18">
        <v>0</v>
      </c>
      <c r="Q4879" s="18">
        <v>0</v>
      </c>
      <c r="U4879" s="22">
        <v>0.53</v>
      </c>
      <c r="V4879" s="22">
        <f>3.83/5</f>
        <v>0.76600000000000001</v>
      </c>
      <c r="X4879" s="3">
        <v>2</v>
      </c>
      <c r="Z4879" s="23">
        <v>18</v>
      </c>
      <c r="AB4879" s="18">
        <f t="shared" si="152"/>
        <v>2010</v>
      </c>
      <c r="AC4879" s="22">
        <f t="shared" si="153"/>
        <v>0.56533333333333335</v>
      </c>
    </row>
    <row r="4880" spans="1:29">
      <c r="A4880" s="8" t="s">
        <v>1033</v>
      </c>
      <c r="B4880" s="17" t="s">
        <v>7741</v>
      </c>
      <c r="C4880" s="13">
        <v>40220</v>
      </c>
      <c r="D4880" s="13" t="s">
        <v>8463</v>
      </c>
      <c r="E4880" s="10" t="s">
        <v>86</v>
      </c>
      <c r="F4880" s="10" t="s">
        <v>1549</v>
      </c>
      <c r="H4880" s="2" t="s">
        <v>143</v>
      </c>
      <c r="K4880" s="18">
        <v>2</v>
      </c>
      <c r="L4880" s="18">
        <v>0</v>
      </c>
      <c r="Q4880" s="18">
        <v>0</v>
      </c>
      <c r="V4880" s="22">
        <f>4.09/5</f>
        <v>0.81799999999999995</v>
      </c>
      <c r="X4880" s="3">
        <v>4</v>
      </c>
      <c r="AB4880" s="18">
        <f t="shared" si="152"/>
        <v>2010</v>
      </c>
      <c r="AC4880" s="22">
        <f t="shared" si="153"/>
        <v>0.80899999999999994</v>
      </c>
    </row>
    <row r="4881" spans="1:29" ht="25.5">
      <c r="A4881" s="8" t="s">
        <v>4888</v>
      </c>
      <c r="B4881" s="17" t="s">
        <v>7800</v>
      </c>
      <c r="C4881" s="13">
        <v>40220</v>
      </c>
      <c r="D4881" s="13" t="s">
        <v>8465</v>
      </c>
      <c r="E4881" s="10" t="s">
        <v>4889</v>
      </c>
      <c r="F4881" s="10" t="s">
        <v>4889</v>
      </c>
      <c r="G4881" s="11" t="s">
        <v>4890</v>
      </c>
      <c r="H4881" s="2" t="s">
        <v>1050</v>
      </c>
      <c r="L4881" s="18">
        <v>1</v>
      </c>
      <c r="N4881" s="13">
        <v>42134</v>
      </c>
      <c r="P4881" s="18" t="s">
        <v>1107</v>
      </c>
      <c r="Q4881" s="18">
        <v>0</v>
      </c>
      <c r="U4881" s="22">
        <v>0.81</v>
      </c>
      <c r="V4881" s="22">
        <f>4/5</f>
        <v>0.8</v>
      </c>
      <c r="W4881" s="14" t="s">
        <v>7777</v>
      </c>
      <c r="X4881" s="3">
        <v>3</v>
      </c>
      <c r="Z4881" s="23">
        <v>16</v>
      </c>
      <c r="AB4881" s="18">
        <f t="shared" si="152"/>
        <v>2010</v>
      </c>
      <c r="AC4881" s="22">
        <f t="shared" si="153"/>
        <v>0.73666666666666669</v>
      </c>
    </row>
    <row r="4882" spans="1:29">
      <c r="A4882" s="8" t="s">
        <v>1376</v>
      </c>
      <c r="B4882" s="17" t="s">
        <v>7741</v>
      </c>
      <c r="C4882" s="13">
        <v>40218</v>
      </c>
      <c r="D4882" s="13" t="s">
        <v>8465</v>
      </c>
      <c r="E4882" s="10" t="s">
        <v>228</v>
      </c>
      <c r="F4882" s="10" t="s">
        <v>164</v>
      </c>
      <c r="G4882" s="11" t="s">
        <v>11001</v>
      </c>
      <c r="H4882" s="2" t="s">
        <v>1377</v>
      </c>
      <c r="L4882" s="18">
        <v>0</v>
      </c>
      <c r="Q4882" s="18">
        <v>0</v>
      </c>
      <c r="U4882" s="22">
        <v>0.74</v>
      </c>
      <c r="V4882" s="22">
        <f>3.74/5</f>
        <v>0.748</v>
      </c>
      <c r="X4882" s="3">
        <v>4</v>
      </c>
      <c r="Z4882" s="23">
        <v>14</v>
      </c>
      <c r="AB4882" s="18">
        <f t="shared" si="152"/>
        <v>2010</v>
      </c>
      <c r="AC4882" s="22">
        <f t="shared" si="153"/>
        <v>0.76266666666666671</v>
      </c>
    </row>
    <row r="4883" spans="1:29">
      <c r="A4883" s="8" t="s">
        <v>5933</v>
      </c>
      <c r="B4883" s="17" t="s">
        <v>7759</v>
      </c>
      <c r="C4883" s="13">
        <v>40218</v>
      </c>
      <c r="D4883" s="13" t="s">
        <v>8465</v>
      </c>
      <c r="E4883" s="10" t="s">
        <v>231</v>
      </c>
      <c r="F4883" s="10" t="s">
        <v>1543</v>
      </c>
      <c r="H4883" s="2" t="s">
        <v>1059</v>
      </c>
      <c r="L4883" s="18">
        <v>1</v>
      </c>
      <c r="M4883" s="14" t="s">
        <v>8462</v>
      </c>
      <c r="N4883" s="13">
        <v>43393</v>
      </c>
      <c r="O4883" s="29">
        <v>8</v>
      </c>
      <c r="P4883" s="18" t="s">
        <v>14</v>
      </c>
      <c r="Q4883" s="18">
        <v>0</v>
      </c>
      <c r="U4883" s="22">
        <v>0.76</v>
      </c>
      <c r="V4883" s="22">
        <f>3.68/5</f>
        <v>0.73599999999999999</v>
      </c>
      <c r="X4883" s="3">
        <v>3</v>
      </c>
      <c r="Z4883" s="23">
        <v>8</v>
      </c>
      <c r="AB4883" s="18">
        <f t="shared" si="152"/>
        <v>2010</v>
      </c>
      <c r="AC4883" s="22">
        <f t="shared" si="153"/>
        <v>0.69866666666666666</v>
      </c>
    </row>
    <row r="4884" spans="1:29">
      <c r="A4884" s="8" t="s">
        <v>3312</v>
      </c>
      <c r="B4884" s="17" t="s">
        <v>7765</v>
      </c>
      <c r="C4884" s="13">
        <v>40218</v>
      </c>
      <c r="D4884" s="13" t="s">
        <v>8465</v>
      </c>
      <c r="E4884" s="10" t="s">
        <v>3310</v>
      </c>
      <c r="F4884" s="10" t="s">
        <v>3313</v>
      </c>
      <c r="G4884" s="11" t="s">
        <v>3309</v>
      </c>
      <c r="H4884" s="2" t="s">
        <v>1050</v>
      </c>
      <c r="L4884" s="18">
        <v>1</v>
      </c>
      <c r="M4884" s="14" t="s">
        <v>8462</v>
      </c>
      <c r="N4884" s="13">
        <v>44029</v>
      </c>
      <c r="O4884" s="29">
        <v>0</v>
      </c>
      <c r="P4884" s="18" t="s">
        <v>14</v>
      </c>
      <c r="Q4884" s="18">
        <v>0</v>
      </c>
      <c r="U4884" s="22">
        <v>0.88</v>
      </c>
      <c r="V4884" s="22">
        <f>4.03/5</f>
        <v>0.80600000000000005</v>
      </c>
      <c r="X4884" s="3">
        <v>1</v>
      </c>
      <c r="Z4884" s="23">
        <v>11</v>
      </c>
      <c r="AB4884" s="18">
        <f t="shared" si="152"/>
        <v>2010</v>
      </c>
      <c r="AC4884" s="22">
        <f t="shared" si="153"/>
        <v>0.6286666666666666</v>
      </c>
    </row>
    <row r="4885" spans="1:29">
      <c r="A4885" s="8" t="s">
        <v>1079</v>
      </c>
      <c r="B4885" s="17" t="s">
        <v>7742</v>
      </c>
      <c r="C4885" s="13">
        <v>40217</v>
      </c>
      <c r="D4885" s="13" t="s">
        <v>8465</v>
      </c>
      <c r="E4885" s="10" t="s">
        <v>72</v>
      </c>
      <c r="F4885" s="10" t="s">
        <v>72</v>
      </c>
      <c r="H4885" s="2" t="s">
        <v>1089</v>
      </c>
      <c r="L4885" s="18">
        <v>0</v>
      </c>
      <c r="Q4885" s="18">
        <v>0</v>
      </c>
      <c r="U4885" s="22">
        <v>0.77</v>
      </c>
      <c r="V4885" s="22">
        <f>3.83/5</f>
        <v>0.76600000000000001</v>
      </c>
      <c r="X4885" s="3">
        <v>3</v>
      </c>
      <c r="AB4885" s="18">
        <f t="shared" si="152"/>
        <v>2010</v>
      </c>
      <c r="AC4885" s="22">
        <f t="shared" si="153"/>
        <v>0.71200000000000008</v>
      </c>
    </row>
    <row r="4886" spans="1:29" ht="25.5">
      <c r="A4886" s="8" t="s">
        <v>1071</v>
      </c>
      <c r="B4886" s="17" t="s">
        <v>7742</v>
      </c>
      <c r="C4886" s="13">
        <v>40217</v>
      </c>
      <c r="D4886" s="13" t="s">
        <v>8465</v>
      </c>
      <c r="E4886" s="10" t="s">
        <v>1080</v>
      </c>
      <c r="F4886" s="10" t="s">
        <v>160</v>
      </c>
      <c r="G4886" s="11" t="s">
        <v>208</v>
      </c>
      <c r="H4886" s="2" t="s">
        <v>147</v>
      </c>
      <c r="L4886" s="18">
        <v>0</v>
      </c>
      <c r="Q4886" s="18">
        <v>0</v>
      </c>
      <c r="U4886" s="22">
        <v>0.61</v>
      </c>
      <c r="V4886" s="22">
        <f>3.76/5</f>
        <v>0.752</v>
      </c>
      <c r="X4886" s="3">
        <v>3</v>
      </c>
      <c r="Z4886" s="23">
        <v>2.5</v>
      </c>
      <c r="AB4886" s="18">
        <f t="shared" si="152"/>
        <v>2010</v>
      </c>
      <c r="AC4886" s="22">
        <f t="shared" si="153"/>
        <v>0.65400000000000003</v>
      </c>
    </row>
    <row r="4887" spans="1:29">
      <c r="A4887" s="8" t="s">
        <v>11297</v>
      </c>
      <c r="B4887" s="17" t="s">
        <v>8754</v>
      </c>
      <c r="C4887" s="13">
        <v>40217</v>
      </c>
      <c r="D4887" s="13" t="s">
        <v>8465</v>
      </c>
      <c r="E4887" s="10" t="s">
        <v>86</v>
      </c>
      <c r="F4887" s="10" t="s">
        <v>1069</v>
      </c>
      <c r="H4887" s="2" t="s">
        <v>78</v>
      </c>
      <c r="L4887" s="18">
        <v>1</v>
      </c>
      <c r="N4887" s="13">
        <v>44666</v>
      </c>
      <c r="O4887" s="29">
        <v>4.99</v>
      </c>
      <c r="P4887" s="18" t="s">
        <v>1107</v>
      </c>
      <c r="Q4887" s="18">
        <v>0</v>
      </c>
      <c r="U4887" s="22">
        <v>0.73</v>
      </c>
      <c r="V4887" s="22">
        <f>3.72/5</f>
        <v>0.74399999999999999</v>
      </c>
      <c r="X4887" s="3">
        <v>2</v>
      </c>
      <c r="AB4887" s="18">
        <f t="shared" si="152"/>
        <v>2010</v>
      </c>
      <c r="AC4887" s="22">
        <f t="shared" si="153"/>
        <v>0.6246666666666667</v>
      </c>
    </row>
    <row r="4888" spans="1:29">
      <c r="A4888" s="8" t="s">
        <v>5420</v>
      </c>
      <c r="B4888" s="17" t="s">
        <v>7800</v>
      </c>
      <c r="C4888" s="13">
        <v>40206</v>
      </c>
      <c r="D4888" s="13" t="s">
        <v>8465</v>
      </c>
      <c r="E4888" s="10" t="s">
        <v>5421</v>
      </c>
      <c r="F4888" s="10" t="s">
        <v>5421</v>
      </c>
      <c r="G4888" s="11" t="s">
        <v>5420</v>
      </c>
      <c r="H4888" s="2" t="s">
        <v>27</v>
      </c>
      <c r="L4888" s="18">
        <v>1</v>
      </c>
      <c r="N4888" s="13">
        <v>41204</v>
      </c>
      <c r="O4888" s="29">
        <v>1.24</v>
      </c>
      <c r="P4888" s="18" t="s">
        <v>1107</v>
      </c>
      <c r="Q4888" s="18">
        <v>0</v>
      </c>
      <c r="U4888" s="22">
        <v>0.84</v>
      </c>
      <c r="V4888" s="22">
        <f>3.38/5</f>
        <v>0.67599999999999993</v>
      </c>
      <c r="W4888" s="14" t="s">
        <v>7777</v>
      </c>
      <c r="X4888" s="3">
        <v>3</v>
      </c>
      <c r="Z4888" s="23">
        <v>6</v>
      </c>
      <c r="AB4888" s="18">
        <f t="shared" si="152"/>
        <v>2010</v>
      </c>
      <c r="AC4888" s="22">
        <f t="shared" si="153"/>
        <v>0.70533333333333337</v>
      </c>
    </row>
    <row r="4889" spans="1:29" ht="38.25">
      <c r="A4889" s="8" t="s">
        <v>7399</v>
      </c>
      <c r="B4889" s="17" t="s">
        <v>7741</v>
      </c>
      <c r="C4889" s="13">
        <v>40204</v>
      </c>
      <c r="D4889" s="13" t="s">
        <v>8465</v>
      </c>
      <c r="E4889" s="10" t="s">
        <v>73</v>
      </c>
      <c r="F4889" s="10" t="s">
        <v>461</v>
      </c>
      <c r="G4889" s="11" t="s">
        <v>7415</v>
      </c>
      <c r="H4889" s="2" t="s">
        <v>459</v>
      </c>
      <c r="L4889" s="18">
        <v>0</v>
      </c>
      <c r="Q4889" s="18">
        <v>0</v>
      </c>
      <c r="U4889" s="22">
        <v>0.86</v>
      </c>
      <c r="V4889" s="22">
        <f>4.2/5</f>
        <v>0.84000000000000008</v>
      </c>
      <c r="X4889" s="3">
        <v>4</v>
      </c>
      <c r="Z4889" s="23">
        <v>2</v>
      </c>
      <c r="AB4889" s="18">
        <f t="shared" si="152"/>
        <v>2010</v>
      </c>
      <c r="AC4889" s="22">
        <f t="shared" si="153"/>
        <v>0.83333333333333337</v>
      </c>
    </row>
    <row r="4890" spans="1:29" ht="30">
      <c r="A4890" s="8" t="s">
        <v>1013</v>
      </c>
      <c r="B4890" s="17" t="s">
        <v>7741</v>
      </c>
      <c r="C4890" s="13">
        <v>40204</v>
      </c>
      <c r="D4890" s="13" t="s">
        <v>8465</v>
      </c>
      <c r="E4890" s="10" t="s">
        <v>1047</v>
      </c>
      <c r="F4890" s="10" t="s">
        <v>1505</v>
      </c>
      <c r="G4890" s="11" t="s">
        <v>1012</v>
      </c>
      <c r="H4890" s="2" t="s">
        <v>1059</v>
      </c>
      <c r="L4890" s="18">
        <v>1</v>
      </c>
      <c r="M4890" s="14" t="s">
        <v>8462</v>
      </c>
      <c r="P4890" s="18" t="s">
        <v>14</v>
      </c>
      <c r="Q4890" s="18">
        <v>0</v>
      </c>
      <c r="U4890" s="22">
        <v>0.84</v>
      </c>
      <c r="V4890" s="22">
        <f>4.11/5</f>
        <v>0.82200000000000006</v>
      </c>
      <c r="X4890" s="3">
        <v>4</v>
      </c>
      <c r="Z4890" s="23">
        <v>8.5</v>
      </c>
      <c r="AB4890" s="18">
        <f t="shared" si="152"/>
        <v>2010</v>
      </c>
      <c r="AC4890" s="22">
        <f t="shared" si="153"/>
        <v>0.82066666666666654</v>
      </c>
    </row>
    <row r="4891" spans="1:29">
      <c r="A4891" s="8" t="s">
        <v>5969</v>
      </c>
      <c r="B4891" s="17" t="s">
        <v>7800</v>
      </c>
      <c r="C4891" s="13">
        <v>40204</v>
      </c>
      <c r="D4891" s="13" t="s">
        <v>8465</v>
      </c>
      <c r="E4891" s="10" t="s">
        <v>231</v>
      </c>
      <c r="F4891" s="10" t="s">
        <v>1161</v>
      </c>
      <c r="G4891" s="11" t="s">
        <v>1162</v>
      </c>
      <c r="H4891" s="2" t="s">
        <v>171</v>
      </c>
      <c r="L4891" s="18">
        <v>1</v>
      </c>
      <c r="N4891" s="13">
        <v>41760</v>
      </c>
      <c r="O4891" s="29">
        <v>2.5</v>
      </c>
      <c r="P4891" s="18" t="s">
        <v>1107</v>
      </c>
      <c r="Q4891" s="18">
        <v>0</v>
      </c>
      <c r="U4891" s="22">
        <v>0.95</v>
      </c>
      <c r="V4891" s="22">
        <f>4.33/5</f>
        <v>0.86599999999999999</v>
      </c>
      <c r="W4891" s="14" t="s">
        <v>7796</v>
      </c>
      <c r="X4891" s="3">
        <v>2</v>
      </c>
      <c r="Z4891" s="23">
        <v>24.5</v>
      </c>
      <c r="AB4891" s="18">
        <f t="shared" si="152"/>
        <v>2010</v>
      </c>
      <c r="AC4891" s="22">
        <f t="shared" si="153"/>
        <v>0.73866666666666658</v>
      </c>
    </row>
    <row r="4892" spans="1:29" ht="30">
      <c r="A4892" s="8" t="s">
        <v>9380</v>
      </c>
      <c r="B4892" s="17" t="s">
        <v>7759</v>
      </c>
      <c r="C4892" s="13">
        <v>40199</v>
      </c>
      <c r="D4892" s="13" t="s">
        <v>8465</v>
      </c>
      <c r="E4892" s="10" t="s">
        <v>9381</v>
      </c>
      <c r="F4892" s="10" t="s">
        <v>9382</v>
      </c>
      <c r="G4892" s="11" t="s">
        <v>3002</v>
      </c>
      <c r="H4892" s="2" t="s">
        <v>75</v>
      </c>
      <c r="L4892" s="18">
        <v>1</v>
      </c>
      <c r="N4892" s="13">
        <v>44120</v>
      </c>
      <c r="O4892" s="29">
        <v>14.99</v>
      </c>
      <c r="P4892" s="18" t="s">
        <v>1107</v>
      </c>
      <c r="Q4892" s="18">
        <v>0</v>
      </c>
      <c r="U4892" s="22">
        <v>0.7</v>
      </c>
      <c r="V4892" s="22">
        <f>3.24/5</f>
        <v>0.64800000000000002</v>
      </c>
      <c r="X4892" s="3">
        <v>3</v>
      </c>
      <c r="Z4892" s="23">
        <v>11</v>
      </c>
      <c r="AB4892" s="18">
        <f t="shared" si="152"/>
        <v>2010</v>
      </c>
      <c r="AC4892" s="22">
        <f t="shared" si="153"/>
        <v>0.64933333333333332</v>
      </c>
    </row>
    <row r="4893" spans="1:29">
      <c r="A4893" s="8" t="s">
        <v>15617</v>
      </c>
      <c r="B4893" s="17" t="s">
        <v>7765</v>
      </c>
      <c r="C4893" s="13">
        <v>40198</v>
      </c>
      <c r="D4893" s="13" t="s">
        <v>8465</v>
      </c>
      <c r="E4893" s="10" t="s">
        <v>1082</v>
      </c>
      <c r="F4893" s="10" t="s">
        <v>15618</v>
      </c>
      <c r="H4893" s="2" t="s">
        <v>1054</v>
      </c>
      <c r="L4893" s="18">
        <v>0</v>
      </c>
      <c r="Q4893" s="18">
        <v>0</v>
      </c>
      <c r="U4893" s="22">
        <v>0.56000000000000005</v>
      </c>
      <c r="V4893" s="22">
        <f>2.72/5</f>
        <v>0.54400000000000004</v>
      </c>
      <c r="X4893" s="3">
        <v>2</v>
      </c>
      <c r="AB4893" s="18">
        <f t="shared" si="152"/>
        <v>2010</v>
      </c>
      <c r="AC4893" s="22">
        <f t="shared" si="153"/>
        <v>0.5013333333333333</v>
      </c>
    </row>
    <row r="4894" spans="1:29">
      <c r="A4894" s="8" t="s">
        <v>3571</v>
      </c>
      <c r="B4894" s="17" t="s">
        <v>7800</v>
      </c>
      <c r="C4894" s="13">
        <v>40197</v>
      </c>
      <c r="D4894" s="13" t="s">
        <v>8465</v>
      </c>
      <c r="E4894" s="10" t="s">
        <v>73</v>
      </c>
      <c r="F4894" s="10" t="s">
        <v>3572</v>
      </c>
      <c r="G4894" s="11" t="s">
        <v>3571</v>
      </c>
      <c r="H4894" s="2" t="s">
        <v>1168</v>
      </c>
      <c r="L4894" s="18">
        <v>1</v>
      </c>
      <c r="N4894" s="13">
        <v>41557</v>
      </c>
      <c r="O4894" s="29">
        <v>2.4900000000000002</v>
      </c>
      <c r="P4894" s="18" t="s">
        <v>1107</v>
      </c>
      <c r="Q4894" s="18">
        <v>0</v>
      </c>
      <c r="U4894" s="22">
        <v>0.61</v>
      </c>
      <c r="V4894" s="22">
        <f>2.68/5</f>
        <v>0.53600000000000003</v>
      </c>
      <c r="W4894" s="14" t="s">
        <v>7777</v>
      </c>
      <c r="X4894" s="3">
        <v>3</v>
      </c>
      <c r="Z4894" s="23">
        <v>7.5</v>
      </c>
      <c r="AB4894" s="18">
        <f t="shared" si="152"/>
        <v>2010</v>
      </c>
      <c r="AC4894" s="22">
        <f t="shared" si="153"/>
        <v>0.58199999999999996</v>
      </c>
    </row>
    <row r="4895" spans="1:29">
      <c r="A4895" s="8" t="s">
        <v>1243</v>
      </c>
      <c r="B4895" s="17" t="s">
        <v>7748</v>
      </c>
      <c r="C4895" s="13">
        <v>40196</v>
      </c>
      <c r="D4895" s="13" t="s">
        <v>8465</v>
      </c>
      <c r="E4895" s="10" t="s">
        <v>86</v>
      </c>
      <c r="F4895" s="10" t="s">
        <v>1545</v>
      </c>
      <c r="G4895" s="11" t="s">
        <v>1243</v>
      </c>
      <c r="H4895" s="2" t="s">
        <v>149</v>
      </c>
      <c r="L4895" s="18">
        <v>0</v>
      </c>
      <c r="Q4895" s="18">
        <v>0</v>
      </c>
      <c r="U4895" s="22">
        <v>0.71</v>
      </c>
      <c r="V4895" s="22">
        <f>3.61/5</f>
        <v>0.72199999999999998</v>
      </c>
      <c r="X4895" s="3">
        <v>3</v>
      </c>
      <c r="Z4895" s="23">
        <v>31.5</v>
      </c>
      <c r="AB4895" s="18">
        <f t="shared" si="152"/>
        <v>2010</v>
      </c>
      <c r="AC4895" s="22">
        <f t="shared" si="153"/>
        <v>0.67733333333333334</v>
      </c>
    </row>
    <row r="4896" spans="1:29">
      <c r="A4896" s="8" t="s">
        <v>11298</v>
      </c>
      <c r="B4896" s="17" t="s">
        <v>8754</v>
      </c>
      <c r="C4896" s="13">
        <v>40196</v>
      </c>
      <c r="D4896" s="13" t="s">
        <v>8465</v>
      </c>
      <c r="E4896" s="10" t="s">
        <v>86</v>
      </c>
      <c r="F4896" s="10" t="s">
        <v>2127</v>
      </c>
      <c r="H4896" s="2" t="s">
        <v>1169</v>
      </c>
      <c r="L4896" s="18">
        <v>1</v>
      </c>
      <c r="N4896" s="13">
        <v>44636</v>
      </c>
      <c r="O4896" s="29">
        <v>4.99</v>
      </c>
      <c r="P4896" s="18" t="s">
        <v>1107</v>
      </c>
      <c r="Q4896" s="18">
        <v>0</v>
      </c>
      <c r="U4896" s="22">
        <v>0.82</v>
      </c>
      <c r="V4896" s="22">
        <f>3.95/5</f>
        <v>0.79</v>
      </c>
      <c r="X4896" s="3">
        <v>2</v>
      </c>
      <c r="Z4896" s="23">
        <v>10</v>
      </c>
      <c r="AB4896" s="18">
        <f t="shared" si="152"/>
        <v>2010</v>
      </c>
      <c r="AC4896" s="22">
        <f t="shared" si="153"/>
        <v>0.66999999999999993</v>
      </c>
    </row>
    <row r="4897" spans="1:29">
      <c r="A4897" s="8" t="s">
        <v>13181</v>
      </c>
      <c r="B4897" s="17" t="s">
        <v>7742</v>
      </c>
      <c r="C4897" s="13">
        <v>40196</v>
      </c>
      <c r="D4897" s="13" t="s">
        <v>8465</v>
      </c>
      <c r="E4897" s="10" t="s">
        <v>1509</v>
      </c>
      <c r="F4897" s="10" t="s">
        <v>1509</v>
      </c>
      <c r="H4897" s="2" t="s">
        <v>143</v>
      </c>
      <c r="L4897" s="18">
        <v>0</v>
      </c>
      <c r="Q4897" s="18">
        <v>0</v>
      </c>
      <c r="U4897" s="22">
        <v>0.62</v>
      </c>
      <c r="V4897" s="22">
        <f>3.88/5</f>
        <v>0.77600000000000002</v>
      </c>
      <c r="X4897" s="3">
        <v>2</v>
      </c>
      <c r="Z4897" s="23">
        <f>31/60</f>
        <v>0.51666666666666672</v>
      </c>
      <c r="AB4897" s="18">
        <f t="shared" si="152"/>
        <v>2010</v>
      </c>
      <c r="AC4897" s="22">
        <f t="shared" si="153"/>
        <v>0.59866666666666657</v>
      </c>
    </row>
    <row r="4898" spans="1:29" ht="30">
      <c r="A4898" s="8" t="s">
        <v>16085</v>
      </c>
      <c r="B4898" s="17" t="s">
        <v>7800</v>
      </c>
      <c r="C4898" s="13">
        <v>40193</v>
      </c>
      <c r="D4898" s="13" t="s">
        <v>8465</v>
      </c>
      <c r="E4898" s="10" t="s">
        <v>3152</v>
      </c>
      <c r="F4898" s="10" t="s">
        <v>3152</v>
      </c>
      <c r="G4898" s="11" t="s">
        <v>442</v>
      </c>
      <c r="H4898" s="2" t="s">
        <v>1050</v>
      </c>
      <c r="L4898" s="18">
        <v>1</v>
      </c>
      <c r="N4898" s="13">
        <v>45225</v>
      </c>
      <c r="O4898" s="29">
        <v>0.99</v>
      </c>
      <c r="P4898" s="18" t="s">
        <v>1107</v>
      </c>
      <c r="Q4898" s="18">
        <v>0</v>
      </c>
      <c r="V4898" s="22">
        <f>3.57/5</f>
        <v>0.71399999999999997</v>
      </c>
      <c r="W4898" s="14" t="s">
        <v>7777</v>
      </c>
      <c r="X4898" s="3">
        <v>3</v>
      </c>
      <c r="Z4898" s="23">
        <v>6</v>
      </c>
      <c r="AB4898" s="18">
        <f t="shared" si="152"/>
        <v>2010</v>
      </c>
      <c r="AC4898" s="22">
        <f t="shared" si="153"/>
        <v>0.65700000000000003</v>
      </c>
    </row>
    <row r="4899" spans="1:29">
      <c r="A4899" s="8" t="s">
        <v>8013</v>
      </c>
      <c r="B4899" s="17" t="s">
        <v>7748</v>
      </c>
      <c r="C4899" s="13">
        <v>40190</v>
      </c>
      <c r="D4899" s="13" t="s">
        <v>8465</v>
      </c>
      <c r="E4899" s="10" t="s">
        <v>455</v>
      </c>
      <c r="F4899" s="10" t="s">
        <v>1528</v>
      </c>
      <c r="H4899" s="2" t="s">
        <v>149</v>
      </c>
      <c r="L4899" s="18">
        <v>0</v>
      </c>
      <c r="Q4899" s="18">
        <v>0</v>
      </c>
      <c r="U4899" s="22">
        <v>0.65890000000000004</v>
      </c>
      <c r="V4899" s="22">
        <f>3.73/5</f>
        <v>0.746</v>
      </c>
      <c r="X4899" s="3">
        <v>3</v>
      </c>
      <c r="Z4899" s="23">
        <v>20.5</v>
      </c>
      <c r="AB4899" s="18">
        <f t="shared" si="152"/>
        <v>2010</v>
      </c>
      <c r="AC4899" s="22">
        <f t="shared" si="153"/>
        <v>0.66830000000000001</v>
      </c>
    </row>
    <row r="4900" spans="1:29">
      <c r="A4900" s="8" t="s">
        <v>5628</v>
      </c>
      <c r="B4900" s="17" t="s">
        <v>7800</v>
      </c>
      <c r="C4900" s="13">
        <v>40190</v>
      </c>
      <c r="D4900" s="13" t="s">
        <v>8465</v>
      </c>
      <c r="E4900" s="10" t="s">
        <v>5629</v>
      </c>
      <c r="F4900" s="10" t="s">
        <v>5629</v>
      </c>
      <c r="H4900" s="2" t="s">
        <v>150</v>
      </c>
      <c r="L4900" s="18">
        <v>1</v>
      </c>
      <c r="N4900" s="13">
        <v>41144</v>
      </c>
      <c r="P4900" s="18" t="s">
        <v>1107</v>
      </c>
      <c r="Q4900" s="18">
        <v>0</v>
      </c>
      <c r="U4900" s="22">
        <v>0.62</v>
      </c>
      <c r="V4900" s="22">
        <f>3.04/5</f>
        <v>0.60799999999999998</v>
      </c>
      <c r="W4900" s="14" t="s">
        <v>7777</v>
      </c>
      <c r="X4900" s="3">
        <v>3</v>
      </c>
      <c r="Z4900" s="23">
        <v>1</v>
      </c>
      <c r="AB4900" s="18">
        <f t="shared" si="152"/>
        <v>2010</v>
      </c>
      <c r="AC4900" s="22">
        <f t="shared" si="153"/>
        <v>0.60933333333333328</v>
      </c>
    </row>
    <row r="4901" spans="1:29" ht="25.5">
      <c r="A4901" s="8" t="s">
        <v>7917</v>
      </c>
      <c r="B4901" s="17" t="s">
        <v>7741</v>
      </c>
      <c r="C4901" s="13">
        <v>40190</v>
      </c>
      <c r="D4901" s="13" t="s">
        <v>8465</v>
      </c>
      <c r="E4901" s="10" t="s">
        <v>1534</v>
      </c>
      <c r="F4901" s="10" t="s">
        <v>3100</v>
      </c>
      <c r="H4901" s="2" t="s">
        <v>7594</v>
      </c>
      <c r="L4901" s="18">
        <v>0</v>
      </c>
      <c r="Q4901" s="18">
        <v>0</v>
      </c>
      <c r="U4901" s="22">
        <v>0.75309999999999999</v>
      </c>
      <c r="V4901" s="22">
        <f>3.89/5</f>
        <v>0.77800000000000002</v>
      </c>
      <c r="X4901" s="3">
        <v>2</v>
      </c>
      <c r="Z4901" s="23">
        <v>6</v>
      </c>
      <c r="AB4901" s="18">
        <f t="shared" si="152"/>
        <v>2010</v>
      </c>
      <c r="AC4901" s="22">
        <f t="shared" si="153"/>
        <v>0.64369999999999994</v>
      </c>
    </row>
    <row r="4902" spans="1:29" ht="30">
      <c r="A4902" s="8" t="s">
        <v>5919</v>
      </c>
      <c r="B4902" s="17" t="s">
        <v>7762</v>
      </c>
      <c r="C4902" s="13">
        <v>40190</v>
      </c>
      <c r="D4902" s="13" t="s">
        <v>8465</v>
      </c>
      <c r="E4902" s="10" t="s">
        <v>231</v>
      </c>
      <c r="F4902" s="10" t="s">
        <v>6074</v>
      </c>
      <c r="G4902" s="11" t="s">
        <v>5921</v>
      </c>
      <c r="H4902" s="2" t="s">
        <v>1168</v>
      </c>
      <c r="L4902" s="18">
        <v>1</v>
      </c>
      <c r="M4902" s="14" t="s">
        <v>8462</v>
      </c>
      <c r="N4902" s="13">
        <v>43871</v>
      </c>
      <c r="O4902" s="29">
        <v>14.09</v>
      </c>
      <c r="P4902" s="18" t="s">
        <v>14</v>
      </c>
      <c r="Q4902" s="18">
        <v>0</v>
      </c>
      <c r="U4902" s="22">
        <v>0.49</v>
      </c>
      <c r="V4902" s="22">
        <f>3.24/5</f>
        <v>0.64800000000000002</v>
      </c>
      <c r="X4902" s="3">
        <v>2</v>
      </c>
      <c r="Z4902" s="23">
        <v>7.5</v>
      </c>
      <c r="AB4902" s="18">
        <f t="shared" si="152"/>
        <v>2010</v>
      </c>
      <c r="AC4902" s="22">
        <f t="shared" si="153"/>
        <v>0.5126666666666666</v>
      </c>
    </row>
    <row r="4903" spans="1:29">
      <c r="A4903" s="8" t="s">
        <v>13968</v>
      </c>
      <c r="B4903" s="17" t="s">
        <v>7800</v>
      </c>
      <c r="C4903" s="24">
        <v>40179</v>
      </c>
      <c r="D4903" s="13" t="s">
        <v>8465</v>
      </c>
      <c r="E4903" s="10" t="s">
        <v>13969</v>
      </c>
      <c r="F4903" s="10" t="s">
        <v>13969</v>
      </c>
      <c r="H4903" s="2" t="s">
        <v>149</v>
      </c>
      <c r="L4903" s="18">
        <v>0</v>
      </c>
      <c r="Q4903" s="18">
        <v>0</v>
      </c>
      <c r="V4903" s="22">
        <f>4.5/5</f>
        <v>0.9</v>
      </c>
      <c r="W4903" s="14" t="s">
        <v>5674</v>
      </c>
      <c r="X4903" s="3">
        <v>3</v>
      </c>
      <c r="Z4903" s="23">
        <v>1.5</v>
      </c>
      <c r="AB4903" s="18">
        <f t="shared" si="152"/>
        <v>2010</v>
      </c>
      <c r="AC4903" s="22">
        <f t="shared" si="153"/>
        <v>0.75</v>
      </c>
    </row>
    <row r="4904" spans="1:29">
      <c r="A4904" s="8" t="s">
        <v>7255</v>
      </c>
      <c r="B4904" s="17" t="s">
        <v>7781</v>
      </c>
      <c r="C4904" s="12">
        <v>40179</v>
      </c>
      <c r="D4904" s="13" t="s">
        <v>8465</v>
      </c>
      <c r="E4904" s="10" t="s">
        <v>7266</v>
      </c>
      <c r="F4904" s="10" t="s">
        <v>7266</v>
      </c>
      <c r="H4904" s="2" t="s">
        <v>21</v>
      </c>
      <c r="L4904" s="18">
        <v>0</v>
      </c>
      <c r="Q4904" s="18">
        <v>0</v>
      </c>
      <c r="W4904" s="15" t="str">
        <f>HYPERLINK("https://kbhgames.com/game/action-escape-kitty", "Link")</f>
        <v>Link</v>
      </c>
      <c r="X4904" s="3">
        <v>3</v>
      </c>
      <c r="AB4904" s="18">
        <f t="shared" si="152"/>
        <v>2010</v>
      </c>
      <c r="AC4904" s="22">
        <f t="shared" si="153"/>
        <v>0.6</v>
      </c>
    </row>
    <row r="4905" spans="1:29">
      <c r="A4905" s="8" t="s">
        <v>7130</v>
      </c>
      <c r="B4905" s="17" t="s">
        <v>7800</v>
      </c>
      <c r="C4905" s="12">
        <v>40179</v>
      </c>
      <c r="D4905" s="13" t="s">
        <v>8465</v>
      </c>
      <c r="E4905" s="10" t="s">
        <v>7215</v>
      </c>
      <c r="F4905" s="10" t="s">
        <v>7215</v>
      </c>
      <c r="H4905" s="2" t="s">
        <v>27</v>
      </c>
      <c r="L4905" s="18">
        <v>0</v>
      </c>
      <c r="Q4905" s="18">
        <v>0</v>
      </c>
      <c r="W4905" s="14" t="s">
        <v>5674</v>
      </c>
      <c r="X4905" s="3">
        <v>3</v>
      </c>
      <c r="AB4905" s="18">
        <f t="shared" si="152"/>
        <v>2010</v>
      </c>
      <c r="AC4905" s="22">
        <f t="shared" si="153"/>
        <v>0.6</v>
      </c>
    </row>
    <row r="4906" spans="1:29">
      <c r="A4906" s="8" t="s">
        <v>7132</v>
      </c>
      <c r="B4906" s="17" t="s">
        <v>7800</v>
      </c>
      <c r="C4906" s="12">
        <v>40179</v>
      </c>
      <c r="D4906" s="13" t="s">
        <v>8465</v>
      </c>
      <c r="E4906" s="10" t="s">
        <v>7217</v>
      </c>
      <c r="F4906" s="10" t="s">
        <v>7217</v>
      </c>
      <c r="H4906" s="2" t="s">
        <v>143</v>
      </c>
      <c r="L4906" s="18">
        <v>0</v>
      </c>
      <c r="Q4906" s="18">
        <v>0</v>
      </c>
      <c r="W4906" s="14" t="s">
        <v>5674</v>
      </c>
      <c r="X4906" s="3">
        <v>3</v>
      </c>
      <c r="AB4906" s="18">
        <f t="shared" si="152"/>
        <v>2010</v>
      </c>
      <c r="AC4906" s="22">
        <f t="shared" si="153"/>
        <v>0.6</v>
      </c>
    </row>
    <row r="4907" spans="1:29">
      <c r="A4907" s="8" t="s">
        <v>14425</v>
      </c>
      <c r="B4907" s="17" t="s">
        <v>6317</v>
      </c>
      <c r="C4907" s="24">
        <v>40179</v>
      </c>
      <c r="D4907" s="13" t="s">
        <v>8465</v>
      </c>
      <c r="E4907" s="10" t="s">
        <v>455</v>
      </c>
      <c r="F4907" s="10" t="s">
        <v>455</v>
      </c>
      <c r="H4907" s="2" t="s">
        <v>1170</v>
      </c>
      <c r="L4907" s="18">
        <v>0</v>
      </c>
      <c r="Q4907" s="18">
        <v>0</v>
      </c>
      <c r="V4907" s="22">
        <f>3.4/5</f>
        <v>0.67999999999999994</v>
      </c>
      <c r="X4907" s="3">
        <v>2</v>
      </c>
      <c r="Z4907" s="23">
        <f>32/60</f>
        <v>0.53333333333333333</v>
      </c>
      <c r="AB4907" s="18">
        <f t="shared" si="152"/>
        <v>2010</v>
      </c>
      <c r="AC4907" s="22">
        <f t="shared" si="153"/>
        <v>0.54</v>
      </c>
    </row>
    <row r="4908" spans="1:29">
      <c r="A4908" s="8" t="s">
        <v>7147</v>
      </c>
      <c r="B4908" s="17" t="s">
        <v>7800</v>
      </c>
      <c r="C4908" s="12">
        <v>40179</v>
      </c>
      <c r="D4908" s="13" t="s">
        <v>8465</v>
      </c>
      <c r="E4908" s="10" t="s">
        <v>7210</v>
      </c>
      <c r="F4908" s="10" t="s">
        <v>7210</v>
      </c>
      <c r="H4908" s="2" t="s">
        <v>56</v>
      </c>
      <c r="L4908" s="18">
        <v>0</v>
      </c>
      <c r="Q4908" s="18">
        <v>0</v>
      </c>
      <c r="W4908" s="14" t="s">
        <v>5674</v>
      </c>
      <c r="X4908" s="3">
        <v>2</v>
      </c>
      <c r="AB4908" s="18">
        <f t="shared" si="152"/>
        <v>2010</v>
      </c>
      <c r="AC4908" s="22">
        <f t="shared" si="153"/>
        <v>0.4</v>
      </c>
    </row>
    <row r="4909" spans="1:29" ht="30">
      <c r="A4909" s="8" t="s">
        <v>6420</v>
      </c>
      <c r="B4909" s="17" t="s">
        <v>7765</v>
      </c>
      <c r="C4909" s="13">
        <v>40542</v>
      </c>
      <c r="D4909" s="13" t="s">
        <v>8465</v>
      </c>
      <c r="E4909" s="10" t="s">
        <v>6479</v>
      </c>
      <c r="F4909" s="10" t="s">
        <v>6479</v>
      </c>
      <c r="H4909" s="2" t="s">
        <v>21</v>
      </c>
      <c r="L4909" s="18">
        <v>1</v>
      </c>
      <c r="Q4909" s="18">
        <v>1</v>
      </c>
      <c r="T4909" s="22">
        <v>0.8</v>
      </c>
      <c r="V4909" s="22">
        <f>4.67/5</f>
        <v>0.93399999999999994</v>
      </c>
      <c r="W4909" s="14" t="s">
        <v>6487</v>
      </c>
      <c r="AB4909" s="18">
        <f t="shared" si="152"/>
        <v>2010</v>
      </c>
      <c r="AC4909" s="22">
        <f t="shared" si="153"/>
        <v>0.86699999999999999</v>
      </c>
    </row>
    <row r="4910" spans="1:29" ht="30">
      <c r="A4910" s="8" t="s">
        <v>6417</v>
      </c>
      <c r="B4910" s="17" t="s">
        <v>7765</v>
      </c>
      <c r="C4910" s="13">
        <v>40538</v>
      </c>
      <c r="D4910" s="13" t="s">
        <v>8465</v>
      </c>
      <c r="E4910" s="10" t="s">
        <v>4834</v>
      </c>
      <c r="F4910" s="10" t="s">
        <v>4834</v>
      </c>
      <c r="G4910" s="11" t="s">
        <v>6417</v>
      </c>
      <c r="H4910" s="2" t="s">
        <v>21</v>
      </c>
      <c r="L4910" s="18">
        <v>1</v>
      </c>
      <c r="Q4910" s="18">
        <v>1</v>
      </c>
      <c r="T4910" s="22">
        <v>0.8</v>
      </c>
      <c r="V4910" s="22">
        <f>3.67/5</f>
        <v>0.73399999999999999</v>
      </c>
      <c r="W4910" s="14" t="s">
        <v>6487</v>
      </c>
      <c r="AB4910" s="18">
        <f t="shared" si="152"/>
        <v>2010</v>
      </c>
      <c r="AC4910" s="22">
        <f t="shared" si="153"/>
        <v>0.76700000000000002</v>
      </c>
    </row>
    <row r="4911" spans="1:29" ht="30">
      <c r="A4911" s="8" t="s">
        <v>6411</v>
      </c>
      <c r="B4911" s="17" t="s">
        <v>7765</v>
      </c>
      <c r="C4911" s="13">
        <v>40531</v>
      </c>
      <c r="D4911" s="13" t="s">
        <v>8465</v>
      </c>
      <c r="E4911" s="10" t="s">
        <v>6469</v>
      </c>
      <c r="F4911" s="10" t="s">
        <v>6469</v>
      </c>
      <c r="G4911" s="11" t="s">
        <v>6470</v>
      </c>
      <c r="H4911" s="2" t="s">
        <v>149</v>
      </c>
      <c r="L4911" s="18">
        <v>1</v>
      </c>
      <c r="Q4911" s="18">
        <v>1</v>
      </c>
      <c r="T4911" s="22">
        <v>0.7</v>
      </c>
      <c r="U4911" s="22">
        <v>0.71</v>
      </c>
      <c r="V4911" s="22">
        <f>3.82/5</f>
        <v>0.76400000000000001</v>
      </c>
      <c r="W4911" s="14" t="s">
        <v>6487</v>
      </c>
      <c r="AB4911" s="18">
        <f t="shared" si="152"/>
        <v>2010</v>
      </c>
      <c r="AC4911" s="22">
        <f t="shared" si="153"/>
        <v>0.72466666666666668</v>
      </c>
    </row>
    <row r="4912" spans="1:29" ht="30">
      <c r="A4912" s="8" t="s">
        <v>6405</v>
      </c>
      <c r="B4912" s="17" t="s">
        <v>7765</v>
      </c>
      <c r="C4912" s="13">
        <v>40528</v>
      </c>
      <c r="D4912" s="13" t="s">
        <v>8465</v>
      </c>
      <c r="E4912" s="10" t="s">
        <v>6438</v>
      </c>
      <c r="F4912" s="10" t="s">
        <v>6438</v>
      </c>
      <c r="G4912" s="11" t="s">
        <v>6438</v>
      </c>
      <c r="H4912" s="2" t="s">
        <v>21</v>
      </c>
      <c r="L4912" s="18">
        <v>1</v>
      </c>
      <c r="Q4912" s="18">
        <v>1</v>
      </c>
      <c r="T4912" s="22">
        <v>0.8</v>
      </c>
      <c r="U4912" s="22">
        <v>0.85</v>
      </c>
      <c r="V4912" s="22">
        <f>4/5</f>
        <v>0.8</v>
      </c>
      <c r="W4912" s="14" t="s">
        <v>6487</v>
      </c>
      <c r="AB4912" s="18">
        <f t="shared" si="152"/>
        <v>2010</v>
      </c>
      <c r="AC4912" s="22">
        <f t="shared" si="153"/>
        <v>0.81666666666666676</v>
      </c>
    </row>
    <row r="4913" spans="1:29" ht="30">
      <c r="A4913" s="8" t="s">
        <v>6412</v>
      </c>
      <c r="B4913" s="17" t="s">
        <v>7765</v>
      </c>
      <c r="C4913" s="13">
        <v>40528</v>
      </c>
      <c r="D4913" s="13" t="s">
        <v>8465</v>
      </c>
      <c r="E4913" s="10" t="s">
        <v>6473</v>
      </c>
      <c r="F4913" s="10" t="s">
        <v>6473</v>
      </c>
      <c r="G4913" s="11" t="s">
        <v>6427</v>
      </c>
      <c r="H4913" s="2" t="s">
        <v>255</v>
      </c>
      <c r="L4913" s="18">
        <v>1</v>
      </c>
      <c r="Q4913" s="18">
        <v>1</v>
      </c>
      <c r="T4913" s="22">
        <v>0.8</v>
      </c>
      <c r="U4913" s="22">
        <v>0.8</v>
      </c>
      <c r="V4913" s="22">
        <f>3.1/5</f>
        <v>0.62</v>
      </c>
      <c r="W4913" s="14" t="s">
        <v>6487</v>
      </c>
      <c r="AB4913" s="18">
        <f t="shared" si="152"/>
        <v>2010</v>
      </c>
      <c r="AC4913" s="22">
        <f t="shared" si="153"/>
        <v>0.7400000000000001</v>
      </c>
    </row>
    <row r="4914" spans="1:29" ht="30">
      <c r="A4914" s="8" t="s">
        <v>6410</v>
      </c>
      <c r="B4914" s="17" t="s">
        <v>7765</v>
      </c>
      <c r="C4914" s="13">
        <v>40526</v>
      </c>
      <c r="D4914" s="13" t="s">
        <v>8465</v>
      </c>
      <c r="E4914" s="10" t="s">
        <v>6447</v>
      </c>
      <c r="F4914" s="10" t="s">
        <v>6447</v>
      </c>
      <c r="G4914" s="11" t="s">
        <v>6381</v>
      </c>
      <c r="H4914" s="2" t="s">
        <v>75</v>
      </c>
      <c r="L4914" s="18">
        <v>1</v>
      </c>
      <c r="Q4914" s="18">
        <v>1</v>
      </c>
      <c r="T4914" s="22">
        <v>0.9</v>
      </c>
      <c r="U4914" s="22">
        <v>0.9</v>
      </c>
      <c r="V4914" s="22">
        <f>4.18/5</f>
        <v>0.83599999999999997</v>
      </c>
      <c r="W4914" s="14" t="s">
        <v>6487</v>
      </c>
      <c r="AB4914" s="18">
        <f t="shared" si="152"/>
        <v>2010</v>
      </c>
      <c r="AC4914" s="22">
        <f t="shared" si="153"/>
        <v>0.87866666666666671</v>
      </c>
    </row>
    <row r="4915" spans="1:29" ht="30">
      <c r="A4915" s="8" t="s">
        <v>6404</v>
      </c>
      <c r="B4915" s="17" t="s">
        <v>7765</v>
      </c>
      <c r="C4915" s="13">
        <v>40522</v>
      </c>
      <c r="D4915" s="13" t="s">
        <v>8465</v>
      </c>
      <c r="E4915" s="10" t="s">
        <v>6468</v>
      </c>
      <c r="F4915" s="10" t="s">
        <v>6468</v>
      </c>
      <c r="H4915" s="2" t="s">
        <v>459</v>
      </c>
      <c r="L4915" s="18">
        <v>1</v>
      </c>
      <c r="Q4915" s="18">
        <v>1</v>
      </c>
      <c r="T4915" s="22">
        <v>0.7</v>
      </c>
      <c r="U4915" s="22">
        <v>0.8</v>
      </c>
      <c r="W4915" s="14" t="s">
        <v>6487</v>
      </c>
      <c r="AB4915" s="18">
        <f t="shared" si="152"/>
        <v>2010</v>
      </c>
      <c r="AC4915" s="22">
        <f t="shared" si="153"/>
        <v>0.75</v>
      </c>
    </row>
    <row r="4916" spans="1:29" ht="30">
      <c r="A4916" s="8" t="s">
        <v>6413</v>
      </c>
      <c r="B4916" s="17" t="s">
        <v>7765</v>
      </c>
      <c r="C4916" s="13">
        <v>40521</v>
      </c>
      <c r="D4916" s="13" t="s">
        <v>8465</v>
      </c>
      <c r="E4916" s="10" t="s">
        <v>6455</v>
      </c>
      <c r="F4916" s="10" t="s">
        <v>6455</v>
      </c>
      <c r="H4916" s="2" t="s">
        <v>21</v>
      </c>
      <c r="L4916" s="18">
        <v>1</v>
      </c>
      <c r="Q4916" s="18">
        <v>1</v>
      </c>
      <c r="T4916" s="22">
        <v>0.8</v>
      </c>
      <c r="U4916" s="22">
        <v>0.86</v>
      </c>
      <c r="V4916" s="22">
        <f>4.38/5</f>
        <v>0.876</v>
      </c>
      <c r="W4916" s="14" t="s">
        <v>6487</v>
      </c>
      <c r="AB4916" s="18">
        <f t="shared" si="152"/>
        <v>2010</v>
      </c>
      <c r="AC4916" s="22">
        <f t="shared" si="153"/>
        <v>0.84533333333333338</v>
      </c>
    </row>
    <row r="4917" spans="1:29">
      <c r="A4917" s="8" t="s">
        <v>7310</v>
      </c>
      <c r="B4917" s="17" t="s">
        <v>7783</v>
      </c>
      <c r="C4917" s="13">
        <v>40521</v>
      </c>
      <c r="D4917" s="13" t="s">
        <v>8465</v>
      </c>
      <c r="E4917" s="10" t="s">
        <v>6304</v>
      </c>
      <c r="F4917" s="10" t="s">
        <v>6331</v>
      </c>
      <c r="G4917" s="11" t="s">
        <v>7310</v>
      </c>
      <c r="H4917" s="2" t="s">
        <v>171</v>
      </c>
      <c r="L4917" s="18">
        <v>1</v>
      </c>
      <c r="N4917" s="13">
        <v>41097</v>
      </c>
      <c r="O4917" s="29">
        <v>0.99</v>
      </c>
      <c r="P4917" s="18" t="s">
        <v>1107</v>
      </c>
      <c r="Q4917" s="18">
        <v>1</v>
      </c>
      <c r="T4917" s="22">
        <v>0.7</v>
      </c>
      <c r="U4917" s="22">
        <v>0.92</v>
      </c>
      <c r="V4917" s="22">
        <f>3.93/5</f>
        <v>0.78600000000000003</v>
      </c>
      <c r="AB4917" s="18">
        <f t="shared" si="152"/>
        <v>2010</v>
      </c>
      <c r="AC4917" s="22">
        <f t="shared" si="153"/>
        <v>0.80200000000000005</v>
      </c>
    </row>
    <row r="4918" spans="1:29">
      <c r="A4918" s="8" t="s">
        <v>6498</v>
      </c>
      <c r="B4918" s="17" t="s">
        <v>7765</v>
      </c>
      <c r="C4918" s="13">
        <v>40520</v>
      </c>
      <c r="D4918" s="13" t="s">
        <v>8465</v>
      </c>
      <c r="E4918" s="10" t="s">
        <v>3116</v>
      </c>
      <c r="F4918" s="10" t="s">
        <v>6507</v>
      </c>
      <c r="G4918" s="11" t="s">
        <v>6498</v>
      </c>
      <c r="H4918" s="2" t="s">
        <v>64</v>
      </c>
      <c r="L4918" s="18">
        <v>0</v>
      </c>
      <c r="Q4918" s="18">
        <v>1</v>
      </c>
      <c r="R4918" s="13">
        <v>40528</v>
      </c>
      <c r="T4918" s="22">
        <v>0.7</v>
      </c>
      <c r="U4918" s="22">
        <v>0.71</v>
      </c>
      <c r="V4918" s="22">
        <f>3.19/5</f>
        <v>0.63800000000000001</v>
      </c>
      <c r="AB4918" s="18">
        <f t="shared" si="152"/>
        <v>2010</v>
      </c>
      <c r="AC4918" s="22">
        <f t="shared" si="153"/>
        <v>0.68266666666666664</v>
      </c>
    </row>
    <row r="4919" spans="1:29">
      <c r="A4919" s="8" t="s">
        <v>6499</v>
      </c>
      <c r="B4919" s="17" t="s">
        <v>7765</v>
      </c>
      <c r="C4919" s="13">
        <v>40520</v>
      </c>
      <c r="D4919" s="13" t="s">
        <v>8465</v>
      </c>
      <c r="E4919" s="10" t="s">
        <v>3116</v>
      </c>
      <c r="F4919" s="10" t="s">
        <v>6508</v>
      </c>
      <c r="H4919" s="2" t="s">
        <v>150</v>
      </c>
      <c r="L4919" s="18">
        <v>0</v>
      </c>
      <c r="Q4919" s="18">
        <v>1</v>
      </c>
      <c r="T4919" s="22">
        <v>0.7</v>
      </c>
      <c r="U4919" s="22">
        <v>0.68</v>
      </c>
      <c r="V4919" s="22">
        <f>2.99/5</f>
        <v>0.59800000000000009</v>
      </c>
      <c r="AB4919" s="18">
        <f t="shared" si="152"/>
        <v>2010</v>
      </c>
      <c r="AC4919" s="22">
        <f t="shared" si="153"/>
        <v>0.65933333333333333</v>
      </c>
    </row>
    <row r="4920" spans="1:29" ht="38.25">
      <c r="A4920" s="8" t="s">
        <v>5654</v>
      </c>
      <c r="B4920" s="17" t="s">
        <v>7800</v>
      </c>
      <c r="C4920" s="13">
        <v>40519</v>
      </c>
      <c r="D4920" s="13" t="s">
        <v>8465</v>
      </c>
      <c r="E4920" s="10" t="s">
        <v>5690</v>
      </c>
      <c r="F4920" s="10" t="s">
        <v>5690</v>
      </c>
      <c r="H4920" s="2" t="s">
        <v>80</v>
      </c>
      <c r="L4920" s="18">
        <v>0</v>
      </c>
      <c r="Q4920" s="18">
        <v>1</v>
      </c>
      <c r="T4920" s="22">
        <v>0.8</v>
      </c>
      <c r="W4920" s="14" t="s">
        <v>5674</v>
      </c>
      <c r="AB4920" s="18">
        <f t="shared" si="152"/>
        <v>2010</v>
      </c>
      <c r="AC4920" s="22">
        <f t="shared" si="153"/>
        <v>0.8</v>
      </c>
    </row>
    <row r="4921" spans="1:29" ht="30">
      <c r="A4921" s="8" t="s">
        <v>6406</v>
      </c>
      <c r="B4921" s="17" t="s">
        <v>7765</v>
      </c>
      <c r="C4921" s="13">
        <v>40519</v>
      </c>
      <c r="D4921" s="13" t="s">
        <v>8465</v>
      </c>
      <c r="E4921" s="10" t="s">
        <v>6455</v>
      </c>
      <c r="F4921" s="10" t="s">
        <v>6455</v>
      </c>
      <c r="G4921" s="11" t="s">
        <v>6389</v>
      </c>
      <c r="H4921" s="2" t="s">
        <v>21</v>
      </c>
      <c r="L4921" s="18">
        <v>1</v>
      </c>
      <c r="Q4921" s="18">
        <v>1</v>
      </c>
      <c r="T4921" s="22">
        <v>0.7</v>
      </c>
      <c r="U4921" s="22">
        <v>0.87</v>
      </c>
      <c r="V4921" s="22">
        <f>4.33/5</f>
        <v>0.86599999999999999</v>
      </c>
      <c r="W4921" s="14" t="s">
        <v>6487</v>
      </c>
      <c r="AB4921" s="18">
        <f t="shared" si="152"/>
        <v>2010</v>
      </c>
      <c r="AC4921" s="22">
        <f t="shared" si="153"/>
        <v>0.81199999999999994</v>
      </c>
    </row>
    <row r="4922" spans="1:29">
      <c r="A4922" s="8" t="s">
        <v>2806</v>
      </c>
      <c r="B4922" s="17" t="s">
        <v>7781</v>
      </c>
      <c r="C4922" s="13">
        <v>40519</v>
      </c>
      <c r="D4922" s="13" t="s">
        <v>8465</v>
      </c>
      <c r="E4922" s="10" t="s">
        <v>2818</v>
      </c>
      <c r="F4922" s="10" t="s">
        <v>2818</v>
      </c>
      <c r="H4922" s="2" t="s">
        <v>1054</v>
      </c>
      <c r="L4922" s="18">
        <v>0</v>
      </c>
      <c r="Q4922" s="18">
        <v>1</v>
      </c>
      <c r="T4922" s="22">
        <v>0.7</v>
      </c>
      <c r="AB4922" s="18">
        <f t="shared" si="152"/>
        <v>2010</v>
      </c>
      <c r="AC4922" s="22">
        <f t="shared" si="153"/>
        <v>0.7</v>
      </c>
    </row>
    <row r="4923" spans="1:29" ht="30">
      <c r="A4923" s="8" t="s">
        <v>6419</v>
      </c>
      <c r="B4923" s="17" t="s">
        <v>7765</v>
      </c>
      <c r="C4923" s="13">
        <v>40517</v>
      </c>
      <c r="D4923" s="13" t="s">
        <v>8465</v>
      </c>
      <c r="E4923" s="10" t="s">
        <v>8791</v>
      </c>
      <c r="F4923" s="10" t="s">
        <v>8791</v>
      </c>
      <c r="G4923" s="11" t="s">
        <v>6419</v>
      </c>
      <c r="H4923" s="2" t="s">
        <v>64</v>
      </c>
      <c r="L4923" s="18">
        <v>1</v>
      </c>
      <c r="Q4923" s="18">
        <v>1</v>
      </c>
      <c r="T4923" s="22">
        <v>0.7</v>
      </c>
      <c r="V4923" s="22">
        <f>4/5</f>
        <v>0.8</v>
      </c>
      <c r="W4923" s="14" t="s">
        <v>6487</v>
      </c>
      <c r="AB4923" s="18">
        <f t="shared" si="152"/>
        <v>2010</v>
      </c>
      <c r="AC4923" s="22">
        <f t="shared" si="153"/>
        <v>0.75</v>
      </c>
    </row>
    <row r="4924" spans="1:29" ht="30">
      <c r="A4924" s="8" t="s">
        <v>6403</v>
      </c>
      <c r="B4924" s="17" t="s">
        <v>7765</v>
      </c>
      <c r="C4924" s="13">
        <v>40516</v>
      </c>
      <c r="D4924" s="13" t="s">
        <v>8465</v>
      </c>
      <c r="E4924" s="10" t="s">
        <v>3685</v>
      </c>
      <c r="F4924" s="10" t="s">
        <v>3685</v>
      </c>
      <c r="H4924" s="2" t="s">
        <v>1089</v>
      </c>
      <c r="L4924" s="18">
        <v>1</v>
      </c>
      <c r="Q4924" s="18">
        <v>1</v>
      </c>
      <c r="T4924" s="22">
        <v>0.5</v>
      </c>
      <c r="W4924" s="14" t="s">
        <v>6487</v>
      </c>
      <c r="AB4924" s="18">
        <f t="shared" si="152"/>
        <v>2010</v>
      </c>
      <c r="AC4924" s="22">
        <f t="shared" si="153"/>
        <v>0.5</v>
      </c>
    </row>
    <row r="4925" spans="1:29" ht="30">
      <c r="A4925" s="8" t="s">
        <v>6401</v>
      </c>
      <c r="B4925" s="17" t="s">
        <v>7765</v>
      </c>
      <c r="C4925" s="13">
        <v>40514</v>
      </c>
      <c r="D4925" s="13" t="s">
        <v>8465</v>
      </c>
      <c r="E4925" s="10" t="s">
        <v>6465</v>
      </c>
      <c r="F4925" s="10" t="s">
        <v>6465</v>
      </c>
      <c r="H4925" s="2" t="s">
        <v>21</v>
      </c>
      <c r="L4925" s="18">
        <v>1</v>
      </c>
      <c r="Q4925" s="18">
        <v>1</v>
      </c>
      <c r="T4925" s="22">
        <v>0.7</v>
      </c>
      <c r="U4925" s="22">
        <v>0.8</v>
      </c>
      <c r="V4925" s="22">
        <f>3.5/5</f>
        <v>0.7</v>
      </c>
      <c r="W4925" s="14" t="s">
        <v>6487</v>
      </c>
      <c r="AB4925" s="18">
        <f t="shared" si="152"/>
        <v>2010</v>
      </c>
      <c r="AC4925" s="22">
        <f t="shared" si="153"/>
        <v>0.73333333333333339</v>
      </c>
    </row>
    <row r="4926" spans="1:29" ht="25.5">
      <c r="A4926" s="8" t="s">
        <v>5225</v>
      </c>
      <c r="B4926" s="17" t="s">
        <v>7800</v>
      </c>
      <c r="C4926" s="13">
        <v>40514</v>
      </c>
      <c r="D4926" s="13" t="s">
        <v>8465</v>
      </c>
      <c r="E4926" s="10" t="s">
        <v>5223</v>
      </c>
      <c r="F4926" s="10" t="s">
        <v>5223</v>
      </c>
      <c r="G4926" s="11" t="s">
        <v>5224</v>
      </c>
      <c r="H4926" s="2" t="s">
        <v>1143</v>
      </c>
      <c r="L4926" s="18">
        <v>1</v>
      </c>
      <c r="N4926" s="13">
        <v>41167</v>
      </c>
      <c r="P4926" s="18" t="s">
        <v>1107</v>
      </c>
      <c r="Q4926" s="18">
        <v>1</v>
      </c>
      <c r="S4926" s="21">
        <v>5.2</v>
      </c>
      <c r="T4926" s="22">
        <v>0.6</v>
      </c>
      <c r="U4926" s="22">
        <v>0.8</v>
      </c>
      <c r="V4926" s="22">
        <f>2.94/5</f>
        <v>0.58799999999999997</v>
      </c>
      <c r="W4926" s="14" t="s">
        <v>7777</v>
      </c>
      <c r="AB4926" s="18">
        <f t="shared" si="152"/>
        <v>2010</v>
      </c>
      <c r="AC4926" s="22">
        <f t="shared" si="153"/>
        <v>0.66266666666666663</v>
      </c>
    </row>
    <row r="4927" spans="1:29" ht="30">
      <c r="A4927" s="8" t="s">
        <v>6395</v>
      </c>
      <c r="B4927" s="17" t="s">
        <v>7765</v>
      </c>
      <c r="C4927" s="13">
        <v>40505</v>
      </c>
      <c r="D4927" s="13" t="s">
        <v>8465</v>
      </c>
      <c r="E4927" s="10" t="s">
        <v>6459</v>
      </c>
      <c r="F4927" s="10" t="s">
        <v>6459</v>
      </c>
      <c r="H4927" s="2" t="s">
        <v>64</v>
      </c>
      <c r="L4927" s="18">
        <v>1</v>
      </c>
      <c r="Q4927" s="18">
        <v>1</v>
      </c>
      <c r="T4927" s="22">
        <v>0.8</v>
      </c>
      <c r="V4927" s="22">
        <f>4.5/5</f>
        <v>0.9</v>
      </c>
      <c r="W4927" s="14" t="s">
        <v>6487</v>
      </c>
      <c r="AB4927" s="18">
        <f t="shared" si="152"/>
        <v>2010</v>
      </c>
      <c r="AC4927" s="22">
        <f t="shared" si="153"/>
        <v>0.85000000000000009</v>
      </c>
    </row>
    <row r="4928" spans="1:29" ht="30">
      <c r="A4928" s="8" t="s">
        <v>6418</v>
      </c>
      <c r="B4928" s="17" t="s">
        <v>7765</v>
      </c>
      <c r="C4928" s="13">
        <v>40503</v>
      </c>
      <c r="D4928" s="13" t="s">
        <v>8465</v>
      </c>
      <c r="E4928" s="10" t="s">
        <v>6478</v>
      </c>
      <c r="F4928" s="10" t="s">
        <v>6478</v>
      </c>
      <c r="H4928" s="2" t="s">
        <v>150</v>
      </c>
      <c r="L4928" s="18">
        <v>1</v>
      </c>
      <c r="Q4928" s="18">
        <v>1</v>
      </c>
      <c r="T4928" s="22">
        <v>0.5</v>
      </c>
      <c r="V4928" s="22">
        <f>2/5</f>
        <v>0.4</v>
      </c>
      <c r="W4928" s="14" t="s">
        <v>6487</v>
      </c>
      <c r="AB4928" s="18">
        <f t="shared" si="152"/>
        <v>2010</v>
      </c>
      <c r="AC4928" s="22">
        <f t="shared" si="153"/>
        <v>0.45</v>
      </c>
    </row>
    <row r="4929" spans="1:29" ht="30">
      <c r="A4929" s="8" t="s">
        <v>6422</v>
      </c>
      <c r="B4929" s="17" t="s">
        <v>7765</v>
      </c>
      <c r="C4929" s="13">
        <v>40500</v>
      </c>
      <c r="D4929" s="13" t="s">
        <v>8465</v>
      </c>
      <c r="E4929" s="10" t="s">
        <v>6461</v>
      </c>
      <c r="F4929" s="10" t="s">
        <v>6461</v>
      </c>
      <c r="G4929" s="11" t="s">
        <v>6462</v>
      </c>
      <c r="H4929" s="2" t="s">
        <v>78</v>
      </c>
      <c r="L4929" s="18">
        <v>1</v>
      </c>
      <c r="Q4929" s="18">
        <v>1</v>
      </c>
      <c r="T4929" s="22">
        <v>0.6</v>
      </c>
      <c r="V4929" s="22">
        <f>3.83/5</f>
        <v>0.76600000000000001</v>
      </c>
      <c r="W4929" s="14" t="s">
        <v>6487</v>
      </c>
      <c r="AB4929" s="18">
        <f t="shared" ref="AB4929:AB4992" si="154">IFERROR(YEAR(C4929), "Early Access")</f>
        <v>2010</v>
      </c>
      <c r="AC4929" s="22">
        <f t="shared" ref="AC4929:AC4992" si="155">AVERAGE(T4929, U4929, V4929, IF(ISBLANK(X4929), X4929, X4929/5))</f>
        <v>0.68300000000000005</v>
      </c>
    </row>
    <row r="4930" spans="1:29">
      <c r="A4930" s="8" t="s">
        <v>3660</v>
      </c>
      <c r="B4930" s="17" t="s">
        <v>7800</v>
      </c>
      <c r="C4930" s="13">
        <v>40499</v>
      </c>
      <c r="D4930" s="13" t="s">
        <v>8465</v>
      </c>
      <c r="E4930" s="10" t="s">
        <v>3661</v>
      </c>
      <c r="F4930" s="10" t="s">
        <v>3661</v>
      </c>
      <c r="H4930" s="2" t="s">
        <v>2820</v>
      </c>
      <c r="L4930" s="18">
        <v>1</v>
      </c>
      <c r="N4930" s="13">
        <v>41365</v>
      </c>
      <c r="P4930" s="18" t="s">
        <v>1107</v>
      </c>
      <c r="Q4930" s="18">
        <v>1</v>
      </c>
      <c r="R4930" s="13">
        <v>44732</v>
      </c>
      <c r="S4930" s="21">
        <f>20/60</f>
        <v>0.33333333333333331</v>
      </c>
      <c r="T4930" s="22">
        <v>0.1</v>
      </c>
      <c r="U4930" s="22">
        <v>0.56999999999999995</v>
      </c>
      <c r="V4930" s="22">
        <f>2.7/5</f>
        <v>0.54</v>
      </c>
      <c r="W4930" s="14" t="s">
        <v>7777</v>
      </c>
      <c r="AB4930" s="18">
        <f t="shared" si="154"/>
        <v>2010</v>
      </c>
      <c r="AC4930" s="22">
        <f t="shared" si="155"/>
        <v>0.40333333333333332</v>
      </c>
    </row>
    <row r="4931" spans="1:29" ht="25.5">
      <c r="A4931" s="8" t="s">
        <v>2124</v>
      </c>
      <c r="B4931" s="17" t="s">
        <v>7748</v>
      </c>
      <c r="C4931" s="13">
        <v>40498</v>
      </c>
      <c r="D4931" s="13" t="s">
        <v>8465</v>
      </c>
      <c r="E4931" s="10" t="s">
        <v>1519</v>
      </c>
      <c r="F4931" s="10" t="s">
        <v>164</v>
      </c>
      <c r="G4931" s="11" t="s">
        <v>2141</v>
      </c>
      <c r="H4931" s="2" t="s">
        <v>1057</v>
      </c>
      <c r="L4931" s="18">
        <v>0</v>
      </c>
      <c r="Q4931" s="18">
        <v>1</v>
      </c>
      <c r="R4931" s="13">
        <v>42195</v>
      </c>
      <c r="S4931" s="21">
        <v>17.53</v>
      </c>
      <c r="T4931" s="22">
        <v>0.8</v>
      </c>
      <c r="U4931" s="22">
        <v>0.83</v>
      </c>
      <c r="V4931" s="22">
        <f>4.39/5</f>
        <v>0.87799999999999989</v>
      </c>
      <c r="AB4931" s="18">
        <f t="shared" si="154"/>
        <v>2010</v>
      </c>
      <c r="AC4931" s="22">
        <f t="shared" si="155"/>
        <v>0.83599999999999997</v>
      </c>
    </row>
    <row r="4932" spans="1:29" ht="30">
      <c r="A4932" s="8" t="s">
        <v>6408</v>
      </c>
      <c r="B4932" s="17" t="s">
        <v>7765</v>
      </c>
      <c r="C4932" s="13">
        <v>40494</v>
      </c>
      <c r="D4932" s="13" t="s">
        <v>8465</v>
      </c>
      <c r="E4932" s="10" t="s">
        <v>6471</v>
      </c>
      <c r="F4932" s="10" t="s">
        <v>6471</v>
      </c>
      <c r="H4932" s="2" t="s">
        <v>255</v>
      </c>
      <c r="L4932" s="18">
        <v>1</v>
      </c>
      <c r="Q4932" s="18">
        <v>1</v>
      </c>
      <c r="T4932" s="22">
        <v>0.7</v>
      </c>
      <c r="V4932" s="22">
        <f>4/5</f>
        <v>0.8</v>
      </c>
      <c r="W4932" s="14" t="s">
        <v>6487</v>
      </c>
      <c r="AB4932" s="18">
        <f t="shared" si="154"/>
        <v>2010</v>
      </c>
      <c r="AC4932" s="22">
        <f t="shared" si="155"/>
        <v>0.75</v>
      </c>
    </row>
    <row r="4933" spans="1:29" ht="30">
      <c r="A4933" s="8" t="s">
        <v>6402</v>
      </c>
      <c r="B4933" s="17" t="s">
        <v>7765</v>
      </c>
      <c r="C4933" s="13">
        <v>40494</v>
      </c>
      <c r="D4933" s="13" t="s">
        <v>8465</v>
      </c>
      <c r="E4933" s="10" t="s">
        <v>6466</v>
      </c>
      <c r="F4933" s="10" t="s">
        <v>6466</v>
      </c>
      <c r="H4933" s="2" t="s">
        <v>6467</v>
      </c>
      <c r="L4933" s="18">
        <v>1</v>
      </c>
      <c r="Q4933" s="18">
        <v>1</v>
      </c>
      <c r="T4933" s="22">
        <v>0.2</v>
      </c>
      <c r="W4933" s="14" t="s">
        <v>6487</v>
      </c>
      <c r="AB4933" s="18">
        <f t="shared" si="154"/>
        <v>2010</v>
      </c>
      <c r="AC4933" s="22">
        <f t="shared" si="155"/>
        <v>0.2</v>
      </c>
    </row>
    <row r="4934" spans="1:29" ht="30">
      <c r="A4934" s="8" t="s">
        <v>6391</v>
      </c>
      <c r="B4934" s="17" t="s">
        <v>7765</v>
      </c>
      <c r="C4934" s="13">
        <v>40493</v>
      </c>
      <c r="D4934" s="13" t="s">
        <v>8465</v>
      </c>
      <c r="E4934" s="10" t="s">
        <v>6438</v>
      </c>
      <c r="F4934" s="10" t="s">
        <v>6438</v>
      </c>
      <c r="G4934" s="11" t="s">
        <v>6438</v>
      </c>
      <c r="H4934" s="2" t="s">
        <v>1054</v>
      </c>
      <c r="L4934" s="18">
        <v>1</v>
      </c>
      <c r="Q4934" s="18">
        <v>1</v>
      </c>
      <c r="T4934" s="22">
        <v>0.7</v>
      </c>
      <c r="U4934" s="22">
        <v>0.93</v>
      </c>
      <c r="V4934" s="22">
        <f>3.67/5</f>
        <v>0.73399999999999999</v>
      </c>
      <c r="W4934" s="14" t="s">
        <v>6487</v>
      </c>
      <c r="AB4934" s="18">
        <f t="shared" si="154"/>
        <v>2010</v>
      </c>
      <c r="AC4934" s="22">
        <f t="shared" si="155"/>
        <v>0.78799999999999992</v>
      </c>
    </row>
    <row r="4935" spans="1:29" ht="30">
      <c r="A4935" s="8" t="s">
        <v>6394</v>
      </c>
      <c r="B4935" s="17" t="s">
        <v>7765</v>
      </c>
      <c r="C4935" s="13">
        <v>40491</v>
      </c>
      <c r="D4935" s="13" t="s">
        <v>8465</v>
      </c>
      <c r="E4935" s="10" t="s">
        <v>3050</v>
      </c>
      <c r="F4935" s="10" t="s">
        <v>3050</v>
      </c>
      <c r="H4935" s="2" t="s">
        <v>56</v>
      </c>
      <c r="L4935" s="18">
        <v>1</v>
      </c>
      <c r="Q4935" s="18">
        <v>1</v>
      </c>
      <c r="T4935" s="22">
        <v>0.9</v>
      </c>
      <c r="U4935" s="22">
        <v>0.7</v>
      </c>
      <c r="V4935" s="22">
        <f>3.79/5</f>
        <v>0.75800000000000001</v>
      </c>
      <c r="W4935" s="14" t="s">
        <v>6487</v>
      </c>
      <c r="AB4935" s="18">
        <f t="shared" si="154"/>
        <v>2010</v>
      </c>
      <c r="AC4935" s="22">
        <f t="shared" si="155"/>
        <v>0.78600000000000003</v>
      </c>
    </row>
    <row r="4936" spans="1:29" ht="30">
      <c r="A4936" s="8" t="s">
        <v>6429</v>
      </c>
      <c r="B4936" s="17" t="s">
        <v>7765</v>
      </c>
      <c r="C4936" s="13">
        <v>40488</v>
      </c>
      <c r="D4936" s="13" t="s">
        <v>8465</v>
      </c>
      <c r="E4936" s="10" t="s">
        <v>6483</v>
      </c>
      <c r="F4936" s="10" t="s">
        <v>6483</v>
      </c>
      <c r="H4936" s="2" t="s">
        <v>6467</v>
      </c>
      <c r="L4936" s="18">
        <v>1</v>
      </c>
      <c r="Q4936" s="18">
        <v>1</v>
      </c>
      <c r="T4936" s="22">
        <v>0.6</v>
      </c>
      <c r="W4936" s="14" t="s">
        <v>6487</v>
      </c>
      <c r="AB4936" s="18">
        <f t="shared" si="154"/>
        <v>2010</v>
      </c>
      <c r="AC4936" s="22">
        <f t="shared" si="155"/>
        <v>0.6</v>
      </c>
    </row>
    <row r="4937" spans="1:29" ht="30">
      <c r="A4937" s="8" t="s">
        <v>6409</v>
      </c>
      <c r="B4937" s="17" t="s">
        <v>7765</v>
      </c>
      <c r="C4937" s="13">
        <v>40482</v>
      </c>
      <c r="D4937" s="13" t="s">
        <v>8465</v>
      </c>
      <c r="E4937" s="10" t="s">
        <v>6472</v>
      </c>
      <c r="F4937" s="10" t="s">
        <v>6472</v>
      </c>
      <c r="H4937" s="2" t="s">
        <v>64</v>
      </c>
      <c r="L4937" s="18">
        <v>1</v>
      </c>
      <c r="Q4937" s="18">
        <v>1</v>
      </c>
      <c r="T4937" s="22">
        <v>0.7</v>
      </c>
      <c r="V4937" s="22">
        <f>4.25/5</f>
        <v>0.85</v>
      </c>
      <c r="W4937" s="14" t="s">
        <v>6487</v>
      </c>
      <c r="AB4937" s="18">
        <f t="shared" si="154"/>
        <v>2010</v>
      </c>
      <c r="AC4937" s="22">
        <f t="shared" si="155"/>
        <v>0.77499999999999991</v>
      </c>
    </row>
    <row r="4938" spans="1:29">
      <c r="A4938" s="8" t="s">
        <v>6319</v>
      </c>
      <c r="B4938" s="17" t="s">
        <v>7765</v>
      </c>
      <c r="C4938" s="13">
        <v>40477</v>
      </c>
      <c r="D4938" s="13" t="s">
        <v>8465</v>
      </c>
      <c r="E4938" s="10" t="s">
        <v>3740</v>
      </c>
      <c r="F4938" s="10" t="s">
        <v>3856</v>
      </c>
      <c r="G4938" s="11" t="s">
        <v>3857</v>
      </c>
      <c r="H4938" s="2" t="s">
        <v>171</v>
      </c>
      <c r="L4938" s="18">
        <v>1</v>
      </c>
      <c r="P4938" s="18" t="s">
        <v>1107</v>
      </c>
      <c r="Q4938" s="18">
        <v>1</v>
      </c>
      <c r="R4938" s="13">
        <v>41608</v>
      </c>
      <c r="S4938" s="21">
        <v>23.37</v>
      </c>
      <c r="T4938" s="22">
        <v>0.6</v>
      </c>
      <c r="U4938" s="22">
        <v>0.8</v>
      </c>
      <c r="V4938" s="22">
        <f>3.65/5</f>
        <v>0.73</v>
      </c>
      <c r="AB4938" s="18">
        <f t="shared" si="154"/>
        <v>2010</v>
      </c>
      <c r="AC4938" s="22">
        <f t="shared" si="155"/>
        <v>0.71</v>
      </c>
    </row>
    <row r="4939" spans="1:29">
      <c r="A4939" s="8" t="s">
        <v>4974</v>
      </c>
      <c r="B4939" s="17" t="s">
        <v>7800</v>
      </c>
      <c r="C4939" s="13">
        <v>40476</v>
      </c>
      <c r="D4939" s="13" t="s">
        <v>8465</v>
      </c>
      <c r="E4939" s="10" t="s">
        <v>3521</v>
      </c>
      <c r="F4939" s="10" t="s">
        <v>3521</v>
      </c>
      <c r="G4939" s="11" t="s">
        <v>4974</v>
      </c>
      <c r="H4939" s="2" t="s">
        <v>153</v>
      </c>
      <c r="L4939" s="18">
        <v>1</v>
      </c>
      <c r="N4939" s="13">
        <v>40890</v>
      </c>
      <c r="P4939" s="18" t="s">
        <v>1107</v>
      </c>
      <c r="Q4939" s="18">
        <v>1</v>
      </c>
      <c r="R4939" s="13">
        <v>41504</v>
      </c>
      <c r="S4939" s="21">
        <v>2.2599999999999998</v>
      </c>
      <c r="T4939" s="22">
        <v>0.6</v>
      </c>
      <c r="U4939" s="22">
        <v>0.68</v>
      </c>
      <c r="V4939" s="22">
        <f>3.35/5</f>
        <v>0.67</v>
      </c>
      <c r="W4939" s="14" t="s">
        <v>7777</v>
      </c>
      <c r="AB4939" s="18">
        <f t="shared" si="154"/>
        <v>2010</v>
      </c>
      <c r="AC4939" s="22">
        <f t="shared" si="155"/>
        <v>0.65</v>
      </c>
    </row>
    <row r="4940" spans="1:29" ht="30">
      <c r="A4940" s="8" t="s">
        <v>6388</v>
      </c>
      <c r="B4940" s="17" t="s">
        <v>7765</v>
      </c>
      <c r="C4940" s="13">
        <v>40473</v>
      </c>
      <c r="D4940" s="13" t="s">
        <v>8465</v>
      </c>
      <c r="E4940" s="10" t="s">
        <v>6438</v>
      </c>
      <c r="F4940" s="10" t="s">
        <v>6438</v>
      </c>
      <c r="G4940" s="11" t="s">
        <v>6438</v>
      </c>
      <c r="H4940" s="2" t="s">
        <v>143</v>
      </c>
      <c r="L4940" s="18">
        <v>1</v>
      </c>
      <c r="Q4940" s="18">
        <v>1</v>
      </c>
      <c r="T4940" s="22">
        <v>0.9</v>
      </c>
      <c r="U4940" s="22">
        <v>0.8</v>
      </c>
      <c r="V4940" s="22">
        <f>2.88/5</f>
        <v>0.57599999999999996</v>
      </c>
      <c r="W4940" s="14" t="s">
        <v>6487</v>
      </c>
      <c r="AB4940" s="18">
        <f t="shared" si="154"/>
        <v>2010</v>
      </c>
      <c r="AC4940" s="22">
        <f t="shared" si="155"/>
        <v>0.75866666666666671</v>
      </c>
    </row>
    <row r="4941" spans="1:29">
      <c r="A4941" s="8" t="s">
        <v>972</v>
      </c>
      <c r="B4941" s="17" t="s">
        <v>7741</v>
      </c>
      <c r="C4941" s="13">
        <v>40468</v>
      </c>
      <c r="D4941" s="13" t="s">
        <v>8465</v>
      </c>
      <c r="E4941" s="10" t="s">
        <v>86</v>
      </c>
      <c r="F4941" s="10" t="s">
        <v>30</v>
      </c>
      <c r="G4941" s="11" t="s">
        <v>223</v>
      </c>
      <c r="H4941" s="2" t="s">
        <v>64</v>
      </c>
      <c r="L4941" s="18">
        <v>1</v>
      </c>
      <c r="M4941" s="14" t="s">
        <v>8462</v>
      </c>
      <c r="N4941" s="13">
        <v>43569</v>
      </c>
      <c r="P4941" s="18" t="s">
        <v>14</v>
      </c>
      <c r="Q4941" s="18">
        <v>1</v>
      </c>
      <c r="T4941" s="22">
        <v>0.9</v>
      </c>
      <c r="U4941" s="22">
        <v>0.89</v>
      </c>
      <c r="V4941" s="22">
        <f>3.98/5</f>
        <v>0.79600000000000004</v>
      </c>
      <c r="AB4941" s="18">
        <f t="shared" si="154"/>
        <v>2010</v>
      </c>
      <c r="AC4941" s="22">
        <f t="shared" si="155"/>
        <v>0.8620000000000001</v>
      </c>
    </row>
    <row r="4942" spans="1:29">
      <c r="A4942" s="8" t="s">
        <v>13323</v>
      </c>
      <c r="B4942" s="17" t="s">
        <v>7765</v>
      </c>
      <c r="C4942" s="13">
        <v>40464</v>
      </c>
      <c r="D4942" s="13" t="s">
        <v>8465</v>
      </c>
      <c r="E4942" s="10" t="s">
        <v>231</v>
      </c>
      <c r="F4942" s="10" t="s">
        <v>1543</v>
      </c>
      <c r="G4942" s="11" t="s">
        <v>1544</v>
      </c>
      <c r="H4942" s="2" t="s">
        <v>31</v>
      </c>
      <c r="L4942" s="18">
        <v>0</v>
      </c>
      <c r="Q4942" s="18">
        <v>1</v>
      </c>
      <c r="R4942" s="13">
        <v>44976</v>
      </c>
      <c r="S4942" s="21">
        <f>1+4/60</f>
        <v>1.0666666666666667</v>
      </c>
      <c r="T4942" s="22">
        <v>0.2</v>
      </c>
      <c r="U4942" s="22">
        <v>0.35</v>
      </c>
      <c r="V4942" s="22">
        <f>2.57/5</f>
        <v>0.51400000000000001</v>
      </c>
      <c r="AB4942" s="18">
        <f t="shared" si="154"/>
        <v>2010</v>
      </c>
      <c r="AC4942" s="22">
        <f t="shared" si="155"/>
        <v>0.35466666666666669</v>
      </c>
    </row>
    <row r="4943" spans="1:29">
      <c r="A4943" s="8" t="s">
        <v>7302</v>
      </c>
      <c r="B4943" s="17" t="s">
        <v>7783</v>
      </c>
      <c r="C4943" s="13">
        <v>40460</v>
      </c>
      <c r="D4943" s="13" t="s">
        <v>8465</v>
      </c>
      <c r="E4943" s="10" t="s">
        <v>7279</v>
      </c>
      <c r="F4943" s="10" t="s">
        <v>7279</v>
      </c>
      <c r="H4943" s="2" t="s">
        <v>1334</v>
      </c>
      <c r="L4943" s="18">
        <v>1</v>
      </c>
      <c r="N4943" s="13">
        <v>41270</v>
      </c>
      <c r="O4943" s="29">
        <v>3.99</v>
      </c>
      <c r="P4943" s="18" t="s">
        <v>1107</v>
      </c>
      <c r="Q4943" s="18">
        <v>1</v>
      </c>
      <c r="T4943" s="22">
        <v>0.9</v>
      </c>
      <c r="U4943" s="22">
        <v>0.9</v>
      </c>
      <c r="V4943" s="22">
        <f>4.28/5</f>
        <v>0.85600000000000009</v>
      </c>
      <c r="AB4943" s="18">
        <f t="shared" si="154"/>
        <v>2010</v>
      </c>
      <c r="AC4943" s="22">
        <f t="shared" si="155"/>
        <v>0.88533333333333342</v>
      </c>
    </row>
    <row r="4944" spans="1:29" ht="30">
      <c r="A4944" s="8" t="s">
        <v>6387</v>
      </c>
      <c r="B4944" s="17" t="s">
        <v>7765</v>
      </c>
      <c r="C4944" s="13">
        <v>40458</v>
      </c>
      <c r="D4944" s="13" t="s">
        <v>8465</v>
      </c>
      <c r="E4944" s="10" t="s">
        <v>4946</v>
      </c>
      <c r="F4944" s="10" t="s">
        <v>4946</v>
      </c>
      <c r="H4944" s="2" t="s">
        <v>31</v>
      </c>
      <c r="L4944" s="18">
        <v>1</v>
      </c>
      <c r="Q4944" s="18">
        <v>1</v>
      </c>
      <c r="T4944" s="22">
        <v>0.7</v>
      </c>
      <c r="U4944" s="22">
        <v>0.88</v>
      </c>
      <c r="V4944" s="22">
        <f>3.93/5</f>
        <v>0.78600000000000003</v>
      </c>
      <c r="W4944" s="14" t="s">
        <v>6487</v>
      </c>
      <c r="AB4944" s="18">
        <f t="shared" si="154"/>
        <v>2010</v>
      </c>
      <c r="AC4944" s="22">
        <f t="shared" si="155"/>
        <v>0.78866666666666674</v>
      </c>
    </row>
    <row r="4945" spans="1:29" ht="25.5">
      <c r="A4945" s="8" t="s">
        <v>3423</v>
      </c>
      <c r="B4945" s="17" t="s">
        <v>7765</v>
      </c>
      <c r="C4945" s="13">
        <v>40456</v>
      </c>
      <c r="D4945" s="13" t="s">
        <v>8465</v>
      </c>
      <c r="E4945" s="10" t="s">
        <v>72</v>
      </c>
      <c r="F4945" s="10" t="s">
        <v>2456</v>
      </c>
      <c r="G4945" s="11" t="s">
        <v>113</v>
      </c>
      <c r="H4945" s="2" t="s">
        <v>1059</v>
      </c>
      <c r="L4945" s="18">
        <v>0</v>
      </c>
      <c r="Q4945" s="18">
        <v>1</v>
      </c>
      <c r="R4945" s="13">
        <v>40710</v>
      </c>
      <c r="T4945" s="22">
        <v>0.8</v>
      </c>
      <c r="U4945" s="22">
        <v>0.82</v>
      </c>
      <c r="V4945" s="22">
        <f>3.86/5</f>
        <v>0.77200000000000002</v>
      </c>
      <c r="AB4945" s="18">
        <f t="shared" si="154"/>
        <v>2010</v>
      </c>
      <c r="AC4945" s="22">
        <f t="shared" si="155"/>
        <v>0.79733333333333345</v>
      </c>
    </row>
    <row r="4946" spans="1:29" ht="30">
      <c r="A4946" s="8" t="s">
        <v>6393</v>
      </c>
      <c r="B4946" s="17" t="s">
        <v>7765</v>
      </c>
      <c r="C4946" s="13">
        <v>40455</v>
      </c>
      <c r="D4946" s="13" t="s">
        <v>8465</v>
      </c>
      <c r="E4946" s="10" t="s">
        <v>6458</v>
      </c>
      <c r="F4946" s="10" t="s">
        <v>6458</v>
      </c>
      <c r="H4946" s="2" t="s">
        <v>31</v>
      </c>
      <c r="L4946" s="18">
        <v>1</v>
      </c>
      <c r="Q4946" s="18">
        <v>1</v>
      </c>
      <c r="T4946" s="22">
        <v>0.7</v>
      </c>
      <c r="W4946" s="14" t="s">
        <v>6487</v>
      </c>
      <c r="AB4946" s="18">
        <f t="shared" si="154"/>
        <v>2010</v>
      </c>
      <c r="AC4946" s="22">
        <f t="shared" si="155"/>
        <v>0.7</v>
      </c>
    </row>
    <row r="4947" spans="1:29">
      <c r="A4947" s="8" t="s">
        <v>3316</v>
      </c>
      <c r="B4947" s="17" t="s">
        <v>7783</v>
      </c>
      <c r="C4947" s="13">
        <v>40451</v>
      </c>
      <c r="D4947" s="13" t="s">
        <v>8465</v>
      </c>
      <c r="E4947" s="10" t="s">
        <v>1541</v>
      </c>
      <c r="F4947" s="10" t="s">
        <v>2471</v>
      </c>
      <c r="G4947" s="11" t="s">
        <v>1653</v>
      </c>
      <c r="H4947" s="2" t="s">
        <v>1220</v>
      </c>
      <c r="L4947" s="18">
        <v>1</v>
      </c>
      <c r="N4947" s="13">
        <v>41094</v>
      </c>
      <c r="O4947" s="29">
        <v>0.99</v>
      </c>
      <c r="P4947" s="18" t="s">
        <v>1107</v>
      </c>
      <c r="Q4947" s="18">
        <v>1</v>
      </c>
      <c r="T4947" s="22">
        <v>0.7</v>
      </c>
      <c r="U4947" s="22">
        <v>0.73</v>
      </c>
      <c r="V4947" s="22">
        <f>4.25/5</f>
        <v>0.85</v>
      </c>
      <c r="AB4947" s="18">
        <f t="shared" si="154"/>
        <v>2010</v>
      </c>
      <c r="AC4947" s="22">
        <f t="shared" si="155"/>
        <v>0.7599999999999999</v>
      </c>
    </row>
    <row r="4948" spans="1:29">
      <c r="A4948" s="8" t="s">
        <v>7289</v>
      </c>
      <c r="B4948" s="17" t="s">
        <v>7783</v>
      </c>
      <c r="C4948" s="13">
        <v>40451</v>
      </c>
      <c r="D4948" s="13" t="s">
        <v>8465</v>
      </c>
      <c r="E4948" s="10" t="s">
        <v>7290</v>
      </c>
      <c r="F4948" s="10" t="s">
        <v>7290</v>
      </c>
      <c r="G4948" s="11" t="s">
        <v>7289</v>
      </c>
      <c r="H4948" s="2" t="s">
        <v>67</v>
      </c>
      <c r="L4948" s="18">
        <v>1</v>
      </c>
      <c r="N4948" s="13">
        <v>41078</v>
      </c>
      <c r="O4948" s="29">
        <v>0.99</v>
      </c>
      <c r="P4948" s="18" t="s">
        <v>1107</v>
      </c>
      <c r="Q4948" s="18">
        <v>1</v>
      </c>
      <c r="T4948" s="22">
        <v>0.7</v>
      </c>
      <c r="U4948" s="22">
        <v>0.74</v>
      </c>
      <c r="V4948" s="22">
        <f>3.41/5</f>
        <v>0.68200000000000005</v>
      </c>
      <c r="AB4948" s="18">
        <f t="shared" si="154"/>
        <v>2010</v>
      </c>
      <c r="AC4948" s="22">
        <f t="shared" si="155"/>
        <v>0.70733333333333326</v>
      </c>
    </row>
    <row r="4949" spans="1:29" ht="30">
      <c r="A4949" s="8" t="s">
        <v>6385</v>
      </c>
      <c r="B4949" s="17" t="s">
        <v>7765</v>
      </c>
      <c r="C4949" s="13">
        <v>40445</v>
      </c>
      <c r="D4949" s="13" t="s">
        <v>8465</v>
      </c>
      <c r="E4949" s="10" t="s">
        <v>6453</v>
      </c>
      <c r="F4949" s="10" t="s">
        <v>6453</v>
      </c>
      <c r="H4949" s="2" t="s">
        <v>21</v>
      </c>
      <c r="L4949" s="18">
        <v>1</v>
      </c>
      <c r="Q4949" s="18">
        <v>1</v>
      </c>
      <c r="T4949" s="22">
        <v>0.5</v>
      </c>
      <c r="U4949" s="22">
        <v>0.65</v>
      </c>
      <c r="W4949" s="14" t="s">
        <v>6487</v>
      </c>
      <c r="AB4949" s="18">
        <f t="shared" si="154"/>
        <v>2010</v>
      </c>
      <c r="AC4949" s="22">
        <f t="shared" si="155"/>
        <v>0.57499999999999996</v>
      </c>
    </row>
    <row r="4950" spans="1:29" ht="30">
      <c r="A4950" s="8" t="s">
        <v>6390</v>
      </c>
      <c r="B4950" s="17" t="s">
        <v>7765</v>
      </c>
      <c r="C4950" s="13">
        <v>40443</v>
      </c>
      <c r="D4950" s="13" t="s">
        <v>8465</v>
      </c>
      <c r="E4950" s="10" t="s">
        <v>6456</v>
      </c>
      <c r="F4950" s="10" t="s">
        <v>6456</v>
      </c>
      <c r="H4950" s="2" t="s">
        <v>3411</v>
      </c>
      <c r="L4950" s="18">
        <v>1</v>
      </c>
      <c r="Q4950" s="18">
        <v>1</v>
      </c>
      <c r="T4950" s="22">
        <v>0.5</v>
      </c>
      <c r="W4950" s="14" t="s">
        <v>6487</v>
      </c>
      <c r="AB4950" s="18">
        <f t="shared" si="154"/>
        <v>2010</v>
      </c>
      <c r="AC4950" s="22">
        <f t="shared" si="155"/>
        <v>0.5</v>
      </c>
    </row>
    <row r="4951" spans="1:29" ht="30">
      <c r="A4951" s="8" t="s">
        <v>3889</v>
      </c>
      <c r="B4951" s="17" t="s">
        <v>7765</v>
      </c>
      <c r="C4951" s="13">
        <v>40439</v>
      </c>
      <c r="D4951" s="13" t="s">
        <v>8465</v>
      </c>
      <c r="E4951" s="10" t="s">
        <v>6451</v>
      </c>
      <c r="F4951" s="10" t="s">
        <v>6451</v>
      </c>
      <c r="H4951" s="2" t="s">
        <v>64</v>
      </c>
      <c r="L4951" s="18">
        <v>1</v>
      </c>
      <c r="Q4951" s="18">
        <v>1</v>
      </c>
      <c r="T4951" s="22">
        <v>0.8</v>
      </c>
      <c r="W4951" s="14" t="s">
        <v>6487</v>
      </c>
      <c r="AB4951" s="18">
        <f t="shared" si="154"/>
        <v>2010</v>
      </c>
      <c r="AC4951" s="22">
        <f t="shared" si="155"/>
        <v>0.8</v>
      </c>
    </row>
    <row r="4952" spans="1:29" ht="30">
      <c r="A4952" s="8" t="s">
        <v>6386</v>
      </c>
      <c r="B4952" s="17" t="s">
        <v>7765</v>
      </c>
      <c r="C4952" s="13">
        <v>40436</v>
      </c>
      <c r="D4952" s="13" t="s">
        <v>8465</v>
      </c>
      <c r="E4952" s="10" t="s">
        <v>6454</v>
      </c>
      <c r="F4952" s="10" t="s">
        <v>6454</v>
      </c>
      <c r="G4952" s="11" t="s">
        <v>6386</v>
      </c>
      <c r="H4952" s="2" t="s">
        <v>21</v>
      </c>
      <c r="L4952" s="18">
        <v>1</v>
      </c>
      <c r="Q4952" s="18">
        <v>1</v>
      </c>
      <c r="T4952" s="22">
        <v>0.7</v>
      </c>
      <c r="U4952" s="22">
        <v>0.75</v>
      </c>
      <c r="V4952" s="22">
        <f>4.44/5</f>
        <v>0.88800000000000012</v>
      </c>
      <c r="W4952" s="14" t="s">
        <v>6487</v>
      </c>
      <c r="AB4952" s="18">
        <f t="shared" si="154"/>
        <v>2010</v>
      </c>
      <c r="AC4952" s="22">
        <f t="shared" si="155"/>
        <v>0.77933333333333332</v>
      </c>
    </row>
    <row r="4953" spans="1:29">
      <c r="A4953" s="8" t="s">
        <v>6361</v>
      </c>
      <c r="B4953" s="17" t="s">
        <v>7765</v>
      </c>
      <c r="C4953" s="13">
        <v>40435</v>
      </c>
      <c r="D4953" s="13" t="s">
        <v>8465</v>
      </c>
      <c r="E4953" s="10" t="s">
        <v>3116</v>
      </c>
      <c r="F4953" s="10" t="s">
        <v>6342</v>
      </c>
      <c r="G4953" s="11" t="s">
        <v>4079</v>
      </c>
      <c r="H4953" s="2" t="s">
        <v>1050</v>
      </c>
      <c r="L4953" s="18">
        <v>0</v>
      </c>
      <c r="P4953" s="18" t="s">
        <v>14</v>
      </c>
      <c r="Q4953" s="18">
        <v>1</v>
      </c>
      <c r="R4953" s="13">
        <v>41627</v>
      </c>
      <c r="T4953" s="22">
        <v>0.9</v>
      </c>
      <c r="U4953" s="22">
        <v>0.92</v>
      </c>
      <c r="V4953" s="22">
        <f>4.18/5</f>
        <v>0.83599999999999997</v>
      </c>
      <c r="AB4953" s="18">
        <f t="shared" si="154"/>
        <v>2010</v>
      </c>
      <c r="AC4953" s="22">
        <f t="shared" si="155"/>
        <v>0.88533333333333342</v>
      </c>
    </row>
    <row r="4954" spans="1:29" ht="25.5">
      <c r="A4954" s="8" t="s">
        <v>2123</v>
      </c>
      <c r="B4954" s="17" t="s">
        <v>7748</v>
      </c>
      <c r="C4954" s="13">
        <v>40433</v>
      </c>
      <c r="D4954" s="13" t="s">
        <v>8465</v>
      </c>
      <c r="E4954" s="10" t="s">
        <v>86</v>
      </c>
      <c r="F4954" s="10" t="s">
        <v>2129</v>
      </c>
      <c r="G4954" s="11" t="s">
        <v>2130</v>
      </c>
      <c r="H4954" s="2" t="s">
        <v>78</v>
      </c>
      <c r="L4954" s="18">
        <v>0</v>
      </c>
      <c r="Q4954" s="18">
        <v>1</v>
      </c>
      <c r="R4954" s="13">
        <v>41991</v>
      </c>
      <c r="S4954" s="21">
        <v>14.78</v>
      </c>
      <c r="T4954" s="22">
        <v>0.7</v>
      </c>
      <c r="U4954" s="22">
        <v>0.87</v>
      </c>
      <c r="V4954" s="22">
        <f>4.27/5</f>
        <v>0.85399999999999987</v>
      </c>
      <c r="AB4954" s="18">
        <f t="shared" si="154"/>
        <v>2010</v>
      </c>
      <c r="AC4954" s="22">
        <f t="shared" si="155"/>
        <v>0.80799999999999983</v>
      </c>
    </row>
    <row r="4955" spans="1:29">
      <c r="A4955" s="8" t="s">
        <v>7128</v>
      </c>
      <c r="B4955" s="17" t="s">
        <v>7800</v>
      </c>
      <c r="C4955" s="13">
        <v>40431</v>
      </c>
      <c r="D4955" s="13" t="s">
        <v>8465</v>
      </c>
      <c r="E4955" s="10" t="s">
        <v>7012</v>
      </c>
      <c r="F4955" s="10" t="s">
        <v>7012</v>
      </c>
      <c r="H4955" s="2" t="s">
        <v>151</v>
      </c>
      <c r="L4955" s="18">
        <v>0</v>
      </c>
      <c r="Q4955" s="18">
        <v>1</v>
      </c>
      <c r="R4955" s="13">
        <v>44750</v>
      </c>
      <c r="S4955" s="21">
        <f>45/60+24/3600</f>
        <v>0.75666666666666671</v>
      </c>
      <c r="T4955" s="22">
        <v>0.6</v>
      </c>
      <c r="V4955" s="22">
        <f>3/5</f>
        <v>0.6</v>
      </c>
      <c r="W4955" s="14" t="s">
        <v>5674</v>
      </c>
      <c r="AB4955" s="18">
        <f t="shared" si="154"/>
        <v>2010</v>
      </c>
      <c r="AC4955" s="22">
        <f t="shared" si="155"/>
        <v>0.6</v>
      </c>
    </row>
    <row r="4956" spans="1:29" ht="25.5">
      <c r="A4956" s="8" t="s">
        <v>3174</v>
      </c>
      <c r="B4956" s="17" t="s">
        <v>7800</v>
      </c>
      <c r="C4956" s="13">
        <v>40429</v>
      </c>
      <c r="D4956" s="13" t="s">
        <v>8465</v>
      </c>
      <c r="E4956" s="10" t="s">
        <v>3171</v>
      </c>
      <c r="F4956" s="10" t="s">
        <v>3171</v>
      </c>
      <c r="G4956" s="11" t="s">
        <v>3173</v>
      </c>
      <c r="H4956" s="2" t="s">
        <v>1061</v>
      </c>
      <c r="L4956" s="18">
        <v>1</v>
      </c>
      <c r="N4956" s="13">
        <v>41060</v>
      </c>
      <c r="P4956" s="18" t="s">
        <v>1107</v>
      </c>
      <c r="Q4956" s="18">
        <v>1</v>
      </c>
      <c r="S4956" s="21">
        <v>6.8</v>
      </c>
      <c r="T4956" s="22">
        <v>0.9</v>
      </c>
      <c r="U4956" s="22">
        <v>0.86</v>
      </c>
      <c r="V4956" s="22">
        <f>3.98/5</f>
        <v>0.79600000000000004</v>
      </c>
      <c r="W4956" s="14" t="s">
        <v>7777</v>
      </c>
      <c r="AB4956" s="18">
        <f t="shared" si="154"/>
        <v>2010</v>
      </c>
      <c r="AC4956" s="22">
        <f t="shared" si="155"/>
        <v>0.85199999999999998</v>
      </c>
    </row>
    <row r="4957" spans="1:29">
      <c r="A4957" s="8" t="s">
        <v>5523</v>
      </c>
      <c r="B4957" s="17" t="s">
        <v>7800</v>
      </c>
      <c r="C4957" s="13">
        <v>40428</v>
      </c>
      <c r="D4957" s="13" t="s">
        <v>8465</v>
      </c>
      <c r="E4957" s="10" t="s">
        <v>2824</v>
      </c>
      <c r="F4957" s="10" t="s">
        <v>2824</v>
      </c>
      <c r="H4957" s="2" t="s">
        <v>64</v>
      </c>
      <c r="L4957" s="18">
        <v>1</v>
      </c>
      <c r="N4957" s="13">
        <v>40508</v>
      </c>
      <c r="O4957" s="29">
        <v>0.83</v>
      </c>
      <c r="P4957" s="18" t="s">
        <v>1107</v>
      </c>
      <c r="Q4957" s="18">
        <v>1</v>
      </c>
      <c r="S4957" s="21">
        <v>4.2</v>
      </c>
      <c r="T4957" s="22">
        <v>0.9</v>
      </c>
      <c r="U4957" s="22">
        <v>0.8</v>
      </c>
      <c r="V4957" s="22">
        <f>3.92/5</f>
        <v>0.78400000000000003</v>
      </c>
      <c r="W4957" s="14" t="s">
        <v>7777</v>
      </c>
      <c r="AB4957" s="18">
        <f t="shared" si="154"/>
        <v>2010</v>
      </c>
      <c r="AC4957" s="22">
        <f t="shared" si="155"/>
        <v>0.82799999999999996</v>
      </c>
    </row>
    <row r="4958" spans="1:29" ht="51">
      <c r="A4958" s="8" t="s">
        <v>3375</v>
      </c>
      <c r="B4958" s="17" t="s">
        <v>7800</v>
      </c>
      <c r="C4958" s="13">
        <v>40423</v>
      </c>
      <c r="D4958" s="13" t="s">
        <v>8465</v>
      </c>
      <c r="E4958" s="10" t="s">
        <v>3372</v>
      </c>
      <c r="F4958" s="10" t="s">
        <v>3372</v>
      </c>
      <c r="G4958" s="11" t="s">
        <v>3373</v>
      </c>
      <c r="H4958" s="2" t="s">
        <v>67</v>
      </c>
      <c r="L4958" s="18">
        <v>1</v>
      </c>
      <c r="N4958" s="13">
        <v>40901</v>
      </c>
      <c r="O4958" s="29">
        <v>0.83</v>
      </c>
      <c r="P4958" s="18" t="s">
        <v>1107</v>
      </c>
      <c r="Q4958" s="18">
        <v>1</v>
      </c>
      <c r="S4958" s="21">
        <v>6.3</v>
      </c>
      <c r="T4958" s="22">
        <v>0.7</v>
      </c>
      <c r="U4958" s="22">
        <v>0.6</v>
      </c>
      <c r="V4958" s="22">
        <f>3.93/5</f>
        <v>0.78600000000000003</v>
      </c>
      <c r="W4958" s="14" t="s">
        <v>7777</v>
      </c>
      <c r="AB4958" s="18">
        <f t="shared" si="154"/>
        <v>2010</v>
      </c>
      <c r="AC4958" s="22">
        <f t="shared" si="155"/>
        <v>0.69533333333333325</v>
      </c>
    </row>
    <row r="4959" spans="1:29" ht="30">
      <c r="A4959" s="8" t="s">
        <v>6380</v>
      </c>
      <c r="B4959" s="17" t="s">
        <v>7765</v>
      </c>
      <c r="C4959" s="13">
        <v>40422</v>
      </c>
      <c r="D4959" s="13" t="s">
        <v>8465</v>
      </c>
      <c r="E4959" s="10" t="s">
        <v>6438</v>
      </c>
      <c r="F4959" s="10" t="s">
        <v>6438</v>
      </c>
      <c r="G4959" s="11" t="s">
        <v>6438</v>
      </c>
      <c r="H4959" s="2" t="s">
        <v>1054</v>
      </c>
      <c r="L4959" s="18">
        <v>1</v>
      </c>
      <c r="Q4959" s="18">
        <v>1</v>
      </c>
      <c r="T4959" s="22">
        <v>0.9</v>
      </c>
      <c r="V4959" s="22">
        <f>4.13/5</f>
        <v>0.82599999999999996</v>
      </c>
      <c r="W4959" s="14" t="s">
        <v>6487</v>
      </c>
      <c r="AB4959" s="18">
        <f t="shared" si="154"/>
        <v>2010</v>
      </c>
      <c r="AC4959" s="22">
        <f t="shared" si="155"/>
        <v>0.86299999999999999</v>
      </c>
    </row>
    <row r="4960" spans="1:29" ht="30">
      <c r="A4960" s="8" t="s">
        <v>6396</v>
      </c>
      <c r="B4960" s="17" t="s">
        <v>7765</v>
      </c>
      <c r="C4960" s="13">
        <v>40422</v>
      </c>
      <c r="D4960" s="13" t="s">
        <v>8465</v>
      </c>
      <c r="E4960" s="10" t="s">
        <v>6440</v>
      </c>
      <c r="F4960" s="10" t="s">
        <v>6440</v>
      </c>
      <c r="G4960" s="11" t="s">
        <v>6460</v>
      </c>
      <c r="H4960" s="2" t="s">
        <v>31</v>
      </c>
      <c r="L4960" s="18">
        <v>1</v>
      </c>
      <c r="Q4960" s="18">
        <v>1</v>
      </c>
      <c r="T4960" s="22">
        <v>0.7</v>
      </c>
      <c r="W4960" s="14" t="s">
        <v>6487</v>
      </c>
      <c r="AB4960" s="18">
        <f t="shared" si="154"/>
        <v>2010</v>
      </c>
      <c r="AC4960" s="22">
        <f t="shared" si="155"/>
        <v>0.7</v>
      </c>
    </row>
    <row r="4961" spans="1:29">
      <c r="A4961" s="8" t="s">
        <v>973</v>
      </c>
      <c r="B4961" s="17" t="s">
        <v>7741</v>
      </c>
      <c r="C4961" s="13">
        <v>40421</v>
      </c>
      <c r="D4961" s="13" t="s">
        <v>8465</v>
      </c>
      <c r="E4961" s="10" t="s">
        <v>86</v>
      </c>
      <c r="F4961" s="10" t="s">
        <v>1136</v>
      </c>
      <c r="G4961" s="11" t="s">
        <v>109</v>
      </c>
      <c r="H4961" s="2" t="s">
        <v>151</v>
      </c>
      <c r="L4961" s="18">
        <v>0</v>
      </c>
      <c r="Q4961" s="18">
        <v>1</v>
      </c>
      <c r="T4961" s="22">
        <v>0.7</v>
      </c>
      <c r="U4961" s="22">
        <v>0.79</v>
      </c>
      <c r="V4961" s="22">
        <f>3.49/5</f>
        <v>0.69800000000000006</v>
      </c>
      <c r="AB4961" s="18">
        <f t="shared" si="154"/>
        <v>2010</v>
      </c>
      <c r="AC4961" s="22">
        <f t="shared" si="155"/>
        <v>0.72933333333333339</v>
      </c>
    </row>
    <row r="4962" spans="1:29" ht="25.5">
      <c r="A4962" s="8" t="s">
        <v>6497</v>
      </c>
      <c r="B4962" s="17" t="s">
        <v>7765</v>
      </c>
      <c r="C4962" s="13">
        <v>40415</v>
      </c>
      <c r="D4962" s="13" t="s">
        <v>8465</v>
      </c>
      <c r="E4962" s="10" t="s">
        <v>1047</v>
      </c>
      <c r="F4962" s="10" t="s">
        <v>1048</v>
      </c>
      <c r="G4962" s="11" t="s">
        <v>9570</v>
      </c>
      <c r="H4962" s="2" t="s">
        <v>153</v>
      </c>
      <c r="L4962" s="18">
        <v>0</v>
      </c>
      <c r="Q4962" s="18">
        <v>1</v>
      </c>
      <c r="T4962" s="22">
        <v>0.9</v>
      </c>
      <c r="U4962" s="22">
        <v>0.76</v>
      </c>
      <c r="V4962" s="22">
        <f>4.11/5</f>
        <v>0.82200000000000006</v>
      </c>
      <c r="AB4962" s="18">
        <f t="shared" si="154"/>
        <v>2010</v>
      </c>
      <c r="AC4962" s="22">
        <f t="shared" si="155"/>
        <v>0.82733333333333337</v>
      </c>
    </row>
    <row r="4963" spans="1:29" ht="30">
      <c r="A4963" s="8" t="s">
        <v>6378</v>
      </c>
      <c r="B4963" s="17" t="s">
        <v>7765</v>
      </c>
      <c r="C4963" s="13">
        <v>40414</v>
      </c>
      <c r="D4963" s="13" t="s">
        <v>8465</v>
      </c>
      <c r="E4963" s="10" t="s">
        <v>4095</v>
      </c>
      <c r="F4963" s="10" t="s">
        <v>4095</v>
      </c>
      <c r="H4963" s="2" t="s">
        <v>64</v>
      </c>
      <c r="L4963" s="18">
        <v>1</v>
      </c>
      <c r="Q4963" s="18">
        <v>1</v>
      </c>
      <c r="T4963" s="22">
        <v>0.7</v>
      </c>
      <c r="U4963" s="22">
        <v>0.77</v>
      </c>
      <c r="V4963" s="22">
        <f>4/5</f>
        <v>0.8</v>
      </c>
      <c r="W4963" s="14" t="s">
        <v>6487</v>
      </c>
      <c r="AB4963" s="18">
        <f t="shared" si="154"/>
        <v>2010</v>
      </c>
      <c r="AC4963" s="22">
        <f t="shared" si="155"/>
        <v>0.75666666666666671</v>
      </c>
    </row>
    <row r="4964" spans="1:29" ht="25.5">
      <c r="A4964" s="8" t="s">
        <v>5651</v>
      </c>
      <c r="B4964" s="17" t="s">
        <v>7800</v>
      </c>
      <c r="C4964" s="13">
        <v>40412</v>
      </c>
      <c r="D4964" s="13" t="s">
        <v>8465</v>
      </c>
      <c r="E4964" s="10" t="s">
        <v>5688</v>
      </c>
      <c r="F4964" s="10" t="s">
        <v>5688</v>
      </c>
      <c r="H4964" s="2" t="s">
        <v>1057</v>
      </c>
      <c r="L4964" s="18">
        <v>0</v>
      </c>
      <c r="Q4964" s="18">
        <v>1</v>
      </c>
      <c r="T4964" s="22">
        <v>0.7</v>
      </c>
      <c r="V4964" s="22">
        <f>3/5</f>
        <v>0.6</v>
      </c>
      <c r="W4964" s="14" t="s">
        <v>5674</v>
      </c>
      <c r="AB4964" s="18">
        <f t="shared" si="154"/>
        <v>2010</v>
      </c>
      <c r="AC4964" s="22">
        <f t="shared" si="155"/>
        <v>0.64999999999999991</v>
      </c>
    </row>
    <row r="4965" spans="1:29" ht="25.5">
      <c r="A4965" s="8" t="s">
        <v>4220</v>
      </c>
      <c r="B4965" s="17" t="s">
        <v>7800</v>
      </c>
      <c r="C4965" s="13">
        <v>40407</v>
      </c>
      <c r="D4965" s="13" t="s">
        <v>8465</v>
      </c>
      <c r="E4965" s="10" t="s">
        <v>1082</v>
      </c>
      <c r="F4965" s="10" t="s">
        <v>4118</v>
      </c>
      <c r="G4965" s="11" t="s">
        <v>4221</v>
      </c>
      <c r="H4965" s="2" t="s">
        <v>1168</v>
      </c>
      <c r="L4965" s="18">
        <v>1</v>
      </c>
      <c r="N4965" s="13">
        <v>42005</v>
      </c>
      <c r="O4965" s="29">
        <v>2.4900000000000002</v>
      </c>
      <c r="P4965" s="18" t="s">
        <v>1107</v>
      </c>
      <c r="Q4965" s="18">
        <v>1</v>
      </c>
      <c r="R4965" s="13">
        <v>44014</v>
      </c>
      <c r="S4965" s="21">
        <f>2+41/60</f>
        <v>2.6833333333333336</v>
      </c>
      <c r="T4965" s="22">
        <v>0.2</v>
      </c>
      <c r="U4965" s="22">
        <v>0.65</v>
      </c>
      <c r="V4965" s="22">
        <f>2.94/5</f>
        <v>0.58799999999999997</v>
      </c>
      <c r="W4965" s="14" t="s">
        <v>7777</v>
      </c>
      <c r="AB4965" s="18">
        <f t="shared" si="154"/>
        <v>2010</v>
      </c>
      <c r="AC4965" s="22">
        <f t="shared" si="155"/>
        <v>0.47933333333333339</v>
      </c>
    </row>
    <row r="4966" spans="1:29" ht="30">
      <c r="A4966" s="8" t="s">
        <v>6379</v>
      </c>
      <c r="B4966" s="17" t="s">
        <v>7765</v>
      </c>
      <c r="C4966" s="13">
        <v>40404</v>
      </c>
      <c r="D4966" s="13" t="s">
        <v>8465</v>
      </c>
      <c r="E4966" s="10" t="s">
        <v>6446</v>
      </c>
      <c r="F4966" s="10" t="s">
        <v>6446</v>
      </c>
      <c r="H4966" s="2" t="s">
        <v>21</v>
      </c>
      <c r="L4966" s="18">
        <v>1</v>
      </c>
      <c r="Q4966" s="18">
        <v>1</v>
      </c>
      <c r="T4966" s="22">
        <v>0.8</v>
      </c>
      <c r="W4966" s="14" t="s">
        <v>6487</v>
      </c>
      <c r="AB4966" s="18">
        <f t="shared" si="154"/>
        <v>2010</v>
      </c>
      <c r="AC4966" s="22">
        <f t="shared" si="155"/>
        <v>0.8</v>
      </c>
    </row>
    <row r="4967" spans="1:29" ht="25.5">
      <c r="A4967" s="8" t="s">
        <v>6496</v>
      </c>
      <c r="B4967" s="17" t="s">
        <v>7765</v>
      </c>
      <c r="C4967" s="13">
        <v>40394</v>
      </c>
      <c r="D4967" s="13" t="s">
        <v>8465</v>
      </c>
      <c r="E4967" s="10" t="s">
        <v>72</v>
      </c>
      <c r="F4967" s="10" t="s">
        <v>72</v>
      </c>
      <c r="G4967" s="11" t="s">
        <v>113</v>
      </c>
      <c r="H4967" s="2" t="s">
        <v>56</v>
      </c>
      <c r="L4967" s="18">
        <v>0</v>
      </c>
      <c r="Q4967" s="18">
        <v>1</v>
      </c>
      <c r="R4967" s="13">
        <v>40395</v>
      </c>
      <c r="T4967" s="22">
        <v>0.9</v>
      </c>
      <c r="U4967" s="22">
        <v>0.71</v>
      </c>
      <c r="V4967" s="22">
        <f>4.07/5</f>
        <v>0.81400000000000006</v>
      </c>
      <c r="AB4967" s="18">
        <f t="shared" si="154"/>
        <v>2010</v>
      </c>
      <c r="AC4967" s="22">
        <f t="shared" si="155"/>
        <v>0.80799999999999994</v>
      </c>
    </row>
    <row r="4968" spans="1:29" ht="25.5">
      <c r="A4968" s="8" t="s">
        <v>6984</v>
      </c>
      <c r="B4968" s="17" t="s">
        <v>7800</v>
      </c>
      <c r="C4968" s="13">
        <v>40386</v>
      </c>
      <c r="D4968" s="13" t="s">
        <v>8465</v>
      </c>
      <c r="E4968" s="10" t="s">
        <v>1296</v>
      </c>
      <c r="F4968" s="10" t="s">
        <v>1296</v>
      </c>
      <c r="G4968" s="11" t="s">
        <v>6599</v>
      </c>
      <c r="H4968" s="2" t="s">
        <v>1143</v>
      </c>
      <c r="L4968" s="18">
        <v>1</v>
      </c>
      <c r="P4968" s="18" t="s">
        <v>1107</v>
      </c>
      <c r="Q4968" s="18">
        <v>1</v>
      </c>
      <c r="T4968" s="22">
        <v>1</v>
      </c>
      <c r="U4968" s="22">
        <v>0.92</v>
      </c>
      <c r="V4968" s="22">
        <f>4.3/5</f>
        <v>0.86</v>
      </c>
      <c r="W4968" s="14" t="s">
        <v>7797</v>
      </c>
      <c r="AB4968" s="18">
        <f t="shared" si="154"/>
        <v>2010</v>
      </c>
      <c r="AC4968" s="22">
        <f t="shared" si="155"/>
        <v>0.92666666666666664</v>
      </c>
    </row>
    <row r="4969" spans="1:29">
      <c r="A4969" s="8" t="s">
        <v>2810</v>
      </c>
      <c r="B4969" s="17" t="s">
        <v>7781</v>
      </c>
      <c r="C4969" s="13">
        <v>40383</v>
      </c>
      <c r="D4969" s="13" t="s">
        <v>8465</v>
      </c>
      <c r="E4969" s="10" t="s">
        <v>2823</v>
      </c>
      <c r="F4969" s="10" t="s">
        <v>2823</v>
      </c>
      <c r="H4969" s="2" t="s">
        <v>64</v>
      </c>
      <c r="L4969" s="18">
        <v>0</v>
      </c>
      <c r="Q4969" s="18">
        <v>1</v>
      </c>
      <c r="T4969" s="22">
        <v>0.8</v>
      </c>
      <c r="V4969" s="22">
        <f>3.55/5</f>
        <v>0.71</v>
      </c>
      <c r="AB4969" s="18">
        <f t="shared" si="154"/>
        <v>2010</v>
      </c>
      <c r="AC4969" s="22">
        <f t="shared" si="155"/>
        <v>0.755</v>
      </c>
    </row>
    <row r="4970" spans="1:29" ht="30">
      <c r="A4970" s="8" t="s">
        <v>6375</v>
      </c>
      <c r="B4970" s="17" t="s">
        <v>7765</v>
      </c>
      <c r="C4970" s="13">
        <v>40383</v>
      </c>
      <c r="D4970" s="13" t="s">
        <v>8465</v>
      </c>
      <c r="E4970" s="10" t="s">
        <v>6443</v>
      </c>
      <c r="F4970" s="10" t="s">
        <v>6443</v>
      </c>
      <c r="G4970" s="11" t="s">
        <v>6444</v>
      </c>
      <c r="H4970" s="2" t="s">
        <v>64</v>
      </c>
      <c r="L4970" s="18">
        <v>1</v>
      </c>
      <c r="Q4970" s="18">
        <v>1</v>
      </c>
      <c r="T4970" s="22">
        <v>0.8</v>
      </c>
      <c r="V4970" s="22">
        <f>3/5</f>
        <v>0.6</v>
      </c>
      <c r="W4970" s="14" t="s">
        <v>6487</v>
      </c>
      <c r="AB4970" s="18">
        <f t="shared" si="154"/>
        <v>2010</v>
      </c>
      <c r="AC4970" s="22">
        <f t="shared" si="155"/>
        <v>0.7</v>
      </c>
    </row>
    <row r="4971" spans="1:29">
      <c r="A4971" s="8" t="s">
        <v>3149</v>
      </c>
      <c r="B4971" s="17" t="s">
        <v>7800</v>
      </c>
      <c r="C4971" s="13">
        <v>40378</v>
      </c>
      <c r="D4971" s="13" t="s">
        <v>8465</v>
      </c>
      <c r="E4971" s="10" t="s">
        <v>5706</v>
      </c>
      <c r="F4971" s="10" t="s">
        <v>5706</v>
      </c>
      <c r="G4971" s="11" t="s">
        <v>3149</v>
      </c>
      <c r="H4971" s="2" t="s">
        <v>2138</v>
      </c>
      <c r="L4971" s="18">
        <v>1</v>
      </c>
      <c r="O4971" s="29">
        <v>0</v>
      </c>
      <c r="P4971" s="18" t="s">
        <v>1107</v>
      </c>
      <c r="Q4971" s="18">
        <v>1</v>
      </c>
      <c r="S4971" s="21">
        <v>5.0999999999999996</v>
      </c>
      <c r="T4971" s="22">
        <v>0.8</v>
      </c>
      <c r="U4971" s="22">
        <v>0.79</v>
      </c>
      <c r="V4971" s="22">
        <f>3.52/5</f>
        <v>0.70399999999999996</v>
      </c>
      <c r="W4971" s="14" t="s">
        <v>7777</v>
      </c>
      <c r="AB4971" s="18">
        <f t="shared" si="154"/>
        <v>2010</v>
      </c>
      <c r="AC4971" s="22">
        <f t="shared" si="155"/>
        <v>0.76466666666666672</v>
      </c>
    </row>
    <row r="4972" spans="1:29" ht="30">
      <c r="A4972" s="8" t="s">
        <v>6383</v>
      </c>
      <c r="B4972" s="17" t="s">
        <v>7765</v>
      </c>
      <c r="C4972" s="13">
        <v>40376</v>
      </c>
      <c r="D4972" s="13" t="s">
        <v>8465</v>
      </c>
      <c r="E4972" s="10" t="s">
        <v>6450</v>
      </c>
      <c r="F4972" s="10" t="s">
        <v>6450</v>
      </c>
      <c r="H4972" s="2" t="s">
        <v>151</v>
      </c>
      <c r="L4972" s="18">
        <v>1</v>
      </c>
      <c r="Q4972" s="18">
        <v>1</v>
      </c>
      <c r="T4972" s="22">
        <v>0.8</v>
      </c>
      <c r="V4972" s="22">
        <f>3.5/5</f>
        <v>0.7</v>
      </c>
      <c r="W4972" s="14" t="s">
        <v>6487</v>
      </c>
      <c r="AB4972" s="18">
        <f t="shared" si="154"/>
        <v>2010</v>
      </c>
      <c r="AC4972" s="22">
        <f t="shared" si="155"/>
        <v>0.75</v>
      </c>
    </row>
    <row r="4973" spans="1:29" ht="30">
      <c r="A4973" s="8" t="s">
        <v>6407</v>
      </c>
      <c r="B4973" s="17" t="s">
        <v>7765</v>
      </c>
      <c r="C4973" s="13">
        <v>40367</v>
      </c>
      <c r="D4973" s="13" t="s">
        <v>8465</v>
      </c>
      <c r="E4973" s="10" t="s">
        <v>6469</v>
      </c>
      <c r="F4973" s="10" t="s">
        <v>6469</v>
      </c>
      <c r="G4973" s="11" t="s">
        <v>6470</v>
      </c>
      <c r="H4973" s="2" t="s">
        <v>149</v>
      </c>
      <c r="L4973" s="18">
        <v>1</v>
      </c>
      <c r="Q4973" s="18">
        <v>1</v>
      </c>
      <c r="T4973" s="22">
        <v>0.7</v>
      </c>
      <c r="U4973" s="22">
        <v>0.66</v>
      </c>
      <c r="V4973" s="22">
        <f>4/5</f>
        <v>0.8</v>
      </c>
      <c r="W4973" s="14" t="s">
        <v>6487</v>
      </c>
      <c r="AB4973" s="18">
        <f t="shared" si="154"/>
        <v>2010</v>
      </c>
      <c r="AC4973" s="22">
        <f t="shared" si="155"/>
        <v>0.72000000000000008</v>
      </c>
    </row>
    <row r="4974" spans="1:29" ht="25.5">
      <c r="A4974" s="8" t="s">
        <v>4471</v>
      </c>
      <c r="B4974" s="17" t="s">
        <v>7800</v>
      </c>
      <c r="C4974" s="13">
        <v>40366</v>
      </c>
      <c r="D4974" s="13" t="s">
        <v>8465</v>
      </c>
      <c r="E4974" s="10" t="s">
        <v>1284</v>
      </c>
      <c r="F4974" s="10" t="s">
        <v>1284</v>
      </c>
      <c r="G4974" s="11" t="s">
        <v>4472</v>
      </c>
      <c r="H4974" s="2" t="s">
        <v>67</v>
      </c>
      <c r="L4974" s="18">
        <v>1</v>
      </c>
      <c r="N4974" s="13">
        <v>41155</v>
      </c>
      <c r="P4974" s="18" t="s">
        <v>1107</v>
      </c>
      <c r="Q4974" s="18">
        <v>1</v>
      </c>
      <c r="S4974" s="21">
        <v>6.2</v>
      </c>
      <c r="T4974" s="22">
        <v>0.7</v>
      </c>
      <c r="U4974" s="22">
        <v>0.88</v>
      </c>
      <c r="V4974" s="22">
        <f>4.18/5</f>
        <v>0.83599999999999997</v>
      </c>
      <c r="W4974" s="14" t="s">
        <v>7777</v>
      </c>
      <c r="AB4974" s="18">
        <f t="shared" si="154"/>
        <v>2010</v>
      </c>
      <c r="AC4974" s="22">
        <f t="shared" si="155"/>
        <v>0.80533333333333335</v>
      </c>
    </row>
    <row r="4975" spans="1:29" ht="30">
      <c r="A4975" s="8" t="s">
        <v>6371</v>
      </c>
      <c r="B4975" s="17" t="s">
        <v>7765</v>
      </c>
      <c r="C4975" s="13">
        <v>40366</v>
      </c>
      <c r="D4975" s="13" t="s">
        <v>8465</v>
      </c>
      <c r="E4975" s="10" t="s">
        <v>6438</v>
      </c>
      <c r="F4975" s="10" t="s">
        <v>6438</v>
      </c>
      <c r="G4975" s="11" t="s">
        <v>6438</v>
      </c>
      <c r="H4975" s="2" t="s">
        <v>21</v>
      </c>
      <c r="L4975" s="18">
        <v>1</v>
      </c>
      <c r="Q4975" s="18">
        <v>1</v>
      </c>
      <c r="T4975" s="22">
        <v>0.8</v>
      </c>
      <c r="U4975" s="22">
        <v>0.7</v>
      </c>
      <c r="V4975" s="22">
        <f>2.75/5</f>
        <v>0.55000000000000004</v>
      </c>
      <c r="W4975" s="14" t="s">
        <v>6487</v>
      </c>
      <c r="AB4975" s="18">
        <f t="shared" si="154"/>
        <v>2010</v>
      </c>
      <c r="AC4975" s="22">
        <f t="shared" si="155"/>
        <v>0.68333333333333324</v>
      </c>
    </row>
    <row r="4976" spans="1:29">
      <c r="A4976" s="8" t="s">
        <v>11252</v>
      </c>
      <c r="B4976" s="17" t="s">
        <v>8754</v>
      </c>
      <c r="C4976" s="13">
        <v>40364</v>
      </c>
      <c r="D4976" s="13" t="s">
        <v>8465</v>
      </c>
      <c r="E4976" s="10" t="s">
        <v>7461</v>
      </c>
      <c r="F4976" s="10" t="s">
        <v>7461</v>
      </c>
      <c r="H4976" s="2" t="s">
        <v>151</v>
      </c>
      <c r="L4976" s="18">
        <v>1</v>
      </c>
      <c r="N4976" s="13">
        <v>44619</v>
      </c>
      <c r="O4976" s="29">
        <v>4.99</v>
      </c>
      <c r="P4976" s="18" t="s">
        <v>1107</v>
      </c>
      <c r="Q4976" s="18">
        <v>1</v>
      </c>
      <c r="R4976" s="13">
        <v>44625</v>
      </c>
      <c r="S4976" s="21">
        <f>1+29/60</f>
        <v>1.4833333333333334</v>
      </c>
      <c r="T4976" s="22">
        <v>0.5</v>
      </c>
      <c r="U4976" s="22">
        <v>0.78</v>
      </c>
      <c r="V4976" s="22">
        <f>3.62/5</f>
        <v>0.72399999999999998</v>
      </c>
      <c r="AB4976" s="18">
        <f t="shared" si="154"/>
        <v>2010</v>
      </c>
      <c r="AC4976" s="22">
        <f t="shared" si="155"/>
        <v>0.66800000000000004</v>
      </c>
    </row>
    <row r="4977" spans="1:29" ht="25.5">
      <c r="A4977" s="8" t="s">
        <v>4519</v>
      </c>
      <c r="B4977" s="17" t="s">
        <v>7800</v>
      </c>
      <c r="C4977" s="13">
        <v>40359</v>
      </c>
      <c r="D4977" s="13" t="s">
        <v>8465</v>
      </c>
      <c r="E4977" s="10" t="s">
        <v>3246</v>
      </c>
      <c r="F4977" s="10" t="s">
        <v>3246</v>
      </c>
      <c r="G4977" s="11" t="s">
        <v>4520</v>
      </c>
      <c r="H4977" s="2" t="s">
        <v>67</v>
      </c>
      <c r="L4977" s="18">
        <v>1</v>
      </c>
      <c r="N4977" s="13">
        <v>40537</v>
      </c>
      <c r="O4977" s="29">
        <v>0.99</v>
      </c>
      <c r="P4977" s="18" t="s">
        <v>1107</v>
      </c>
      <c r="Q4977" s="18">
        <v>1</v>
      </c>
      <c r="S4977" s="21">
        <v>2.4</v>
      </c>
      <c r="T4977" s="22">
        <v>0.8</v>
      </c>
      <c r="U4977" s="22">
        <v>0.73</v>
      </c>
      <c r="V4977" s="22">
        <f>3.44/5</f>
        <v>0.68799999999999994</v>
      </c>
      <c r="W4977" s="14" t="s">
        <v>7777</v>
      </c>
      <c r="AB4977" s="18">
        <f t="shared" si="154"/>
        <v>2010</v>
      </c>
      <c r="AC4977" s="22">
        <f t="shared" si="155"/>
        <v>0.73933333333333329</v>
      </c>
    </row>
    <row r="4978" spans="1:29">
      <c r="A4978" s="8" t="s">
        <v>5016</v>
      </c>
      <c r="B4978" s="17" t="s">
        <v>7800</v>
      </c>
      <c r="C4978" s="13">
        <v>40359</v>
      </c>
      <c r="D4978" s="13" t="s">
        <v>8465</v>
      </c>
      <c r="E4978" s="10" t="s">
        <v>1273</v>
      </c>
      <c r="F4978" s="10" t="s">
        <v>5017</v>
      </c>
      <c r="H4978" s="2" t="s">
        <v>1050</v>
      </c>
      <c r="L4978" s="18">
        <v>1</v>
      </c>
      <c r="N4978" s="13">
        <v>42098</v>
      </c>
      <c r="P4978" s="18" t="s">
        <v>1107</v>
      </c>
      <c r="Q4978" s="18">
        <v>1</v>
      </c>
      <c r="R4978" s="13">
        <v>43445</v>
      </c>
      <c r="S4978" s="21">
        <v>7.78</v>
      </c>
      <c r="T4978" s="22">
        <v>0.7</v>
      </c>
      <c r="U4978" s="22">
        <v>0.78</v>
      </c>
      <c r="V4978" s="22">
        <f>3.62/5</f>
        <v>0.72399999999999998</v>
      </c>
      <c r="W4978" s="14" t="s">
        <v>7777</v>
      </c>
      <c r="AB4978" s="18">
        <f t="shared" si="154"/>
        <v>2010</v>
      </c>
      <c r="AC4978" s="22">
        <f t="shared" si="155"/>
        <v>0.73466666666666658</v>
      </c>
    </row>
    <row r="4979" spans="1:29" ht="30">
      <c r="A4979" s="8" t="s">
        <v>6425</v>
      </c>
      <c r="B4979" s="17" t="s">
        <v>7765</v>
      </c>
      <c r="C4979" s="13">
        <v>40358</v>
      </c>
      <c r="D4979" s="13" t="s">
        <v>8465</v>
      </c>
      <c r="E4979" s="10" t="s">
        <v>6482</v>
      </c>
      <c r="F4979" s="10" t="s">
        <v>6482</v>
      </c>
      <c r="H4979" s="2" t="s">
        <v>21</v>
      </c>
      <c r="L4979" s="18">
        <v>1</v>
      </c>
      <c r="Q4979" s="18">
        <v>1</v>
      </c>
      <c r="T4979" s="22">
        <v>0.5</v>
      </c>
      <c r="V4979" s="22">
        <f>3.5/5</f>
        <v>0.7</v>
      </c>
      <c r="W4979" s="14" t="s">
        <v>6487</v>
      </c>
      <c r="AB4979" s="18">
        <f t="shared" si="154"/>
        <v>2010</v>
      </c>
      <c r="AC4979" s="22">
        <f t="shared" si="155"/>
        <v>0.6</v>
      </c>
    </row>
    <row r="4980" spans="1:29" ht="30">
      <c r="A4980" s="8" t="s">
        <v>6399</v>
      </c>
      <c r="B4980" s="17" t="s">
        <v>7765</v>
      </c>
      <c r="C4980" s="13">
        <v>40355</v>
      </c>
      <c r="D4980" s="13" t="s">
        <v>8465</v>
      </c>
      <c r="E4980" s="10" t="s">
        <v>6463</v>
      </c>
      <c r="F4980" s="10" t="s">
        <v>6463</v>
      </c>
      <c r="H4980" s="2" t="s">
        <v>21</v>
      </c>
      <c r="L4980" s="18">
        <v>1</v>
      </c>
      <c r="Q4980" s="18">
        <v>1</v>
      </c>
      <c r="T4980" s="22">
        <v>0.7</v>
      </c>
      <c r="U4980" s="22">
        <v>0.9</v>
      </c>
      <c r="V4980" s="22">
        <f>2.57/5</f>
        <v>0.51400000000000001</v>
      </c>
      <c r="W4980" s="14" t="s">
        <v>6487</v>
      </c>
      <c r="AB4980" s="18">
        <f t="shared" si="154"/>
        <v>2010</v>
      </c>
      <c r="AC4980" s="22">
        <f t="shared" si="155"/>
        <v>0.70466666666666666</v>
      </c>
    </row>
    <row r="4981" spans="1:29">
      <c r="A4981" s="8" t="s">
        <v>6495</v>
      </c>
      <c r="B4981" s="17" t="s">
        <v>7765</v>
      </c>
      <c r="C4981" s="13">
        <v>40352</v>
      </c>
      <c r="D4981" s="13" t="s">
        <v>8465</v>
      </c>
      <c r="E4981" s="10" t="s">
        <v>231</v>
      </c>
      <c r="F4981" s="10" t="s">
        <v>3413</v>
      </c>
      <c r="G4981" s="11" t="s">
        <v>6506</v>
      </c>
      <c r="H4981" s="2" t="s">
        <v>1469</v>
      </c>
      <c r="L4981" s="18">
        <v>0</v>
      </c>
      <c r="Q4981" s="18">
        <v>1</v>
      </c>
      <c r="R4981" s="13">
        <v>40370</v>
      </c>
      <c r="T4981" s="22">
        <v>0.8</v>
      </c>
      <c r="U4981" s="22">
        <v>0.78</v>
      </c>
      <c r="V4981" s="22">
        <f>3.61/5</f>
        <v>0.72199999999999998</v>
      </c>
      <c r="AB4981" s="18">
        <f t="shared" si="154"/>
        <v>2010</v>
      </c>
      <c r="AC4981" s="22">
        <f t="shared" si="155"/>
        <v>0.76733333333333331</v>
      </c>
    </row>
    <row r="4982" spans="1:29" ht="30">
      <c r="A4982" s="8" t="s">
        <v>6427</v>
      </c>
      <c r="B4982" s="17" t="s">
        <v>7765</v>
      </c>
      <c r="C4982" s="13">
        <v>40348</v>
      </c>
      <c r="D4982" s="13" t="s">
        <v>8465</v>
      </c>
      <c r="E4982" s="10" t="s">
        <v>6473</v>
      </c>
      <c r="F4982" s="10" t="s">
        <v>6473</v>
      </c>
      <c r="G4982" s="11" t="s">
        <v>6427</v>
      </c>
      <c r="H4982" s="2" t="s">
        <v>255</v>
      </c>
      <c r="L4982" s="18">
        <v>1</v>
      </c>
      <c r="Q4982" s="18">
        <v>1</v>
      </c>
      <c r="T4982" s="22">
        <v>0.8</v>
      </c>
      <c r="V4982" s="22">
        <f>3.06/5</f>
        <v>0.61199999999999999</v>
      </c>
      <c r="W4982" s="14" t="s">
        <v>6487</v>
      </c>
      <c r="AB4982" s="18">
        <f t="shared" si="154"/>
        <v>2010</v>
      </c>
      <c r="AC4982" s="22">
        <f t="shared" si="155"/>
        <v>0.70599999999999996</v>
      </c>
    </row>
    <row r="4983" spans="1:29">
      <c r="A4983" s="8" t="s">
        <v>6493</v>
      </c>
      <c r="B4983" s="17" t="s">
        <v>7765</v>
      </c>
      <c r="C4983" s="13">
        <v>40343</v>
      </c>
      <c r="D4983" s="13" t="s">
        <v>8465</v>
      </c>
      <c r="E4983" s="10" t="s">
        <v>3116</v>
      </c>
      <c r="F4983" s="10" t="s">
        <v>6505</v>
      </c>
      <c r="G4983" s="11" t="s">
        <v>3723</v>
      </c>
      <c r="H4983" s="2" t="s">
        <v>1050</v>
      </c>
      <c r="L4983" s="18">
        <v>0</v>
      </c>
      <c r="Q4983" s="18">
        <v>1</v>
      </c>
      <c r="R4983" s="13">
        <v>39988</v>
      </c>
      <c r="T4983" s="22">
        <v>0.8</v>
      </c>
      <c r="U4983" s="22">
        <v>0.81</v>
      </c>
      <c r="V4983" s="22">
        <f>4.06/5</f>
        <v>0.81199999999999994</v>
      </c>
      <c r="AB4983" s="18">
        <f t="shared" si="154"/>
        <v>2010</v>
      </c>
      <c r="AC4983" s="22">
        <f t="shared" si="155"/>
        <v>0.80733333333333335</v>
      </c>
    </row>
    <row r="4984" spans="1:29">
      <c r="A4984" s="8" t="s">
        <v>4205</v>
      </c>
      <c r="B4984" s="17" t="s">
        <v>7800</v>
      </c>
      <c r="C4984" s="13">
        <v>40336</v>
      </c>
      <c r="D4984" s="13" t="s">
        <v>8465</v>
      </c>
      <c r="E4984" s="10" t="s">
        <v>4206</v>
      </c>
      <c r="F4984" s="10" t="s">
        <v>4206</v>
      </c>
      <c r="H4984" s="2" t="s">
        <v>67</v>
      </c>
      <c r="L4984" s="18">
        <v>1</v>
      </c>
      <c r="N4984" s="13">
        <v>40537</v>
      </c>
      <c r="O4984" s="29">
        <v>0.99</v>
      </c>
      <c r="P4984" s="18" t="s">
        <v>1107</v>
      </c>
      <c r="Q4984" s="18">
        <v>1</v>
      </c>
      <c r="T4984" s="22">
        <v>0.7</v>
      </c>
      <c r="U4984" s="22">
        <v>0.76</v>
      </c>
      <c r="V4984" s="22">
        <f>3.35/5</f>
        <v>0.67</v>
      </c>
      <c r="W4984" s="14" t="s">
        <v>7777</v>
      </c>
      <c r="AB4984" s="18">
        <f t="shared" si="154"/>
        <v>2010</v>
      </c>
      <c r="AC4984" s="22">
        <f t="shared" si="155"/>
        <v>0.71</v>
      </c>
    </row>
    <row r="4985" spans="1:29">
      <c r="A4985" s="8" t="s">
        <v>3832</v>
      </c>
      <c r="B4985" s="17" t="s">
        <v>7800</v>
      </c>
      <c r="C4985" s="13">
        <v>40336</v>
      </c>
      <c r="D4985" s="13" t="s">
        <v>8465</v>
      </c>
      <c r="E4985" s="10" t="s">
        <v>3833</v>
      </c>
      <c r="F4985" s="10" t="s">
        <v>3833</v>
      </c>
      <c r="H4985" s="2" t="s">
        <v>64</v>
      </c>
      <c r="L4985" s="18">
        <v>1</v>
      </c>
      <c r="N4985" s="13">
        <v>41247</v>
      </c>
      <c r="P4985" s="18" t="s">
        <v>1107</v>
      </c>
      <c r="Q4985" s="18">
        <v>1</v>
      </c>
      <c r="S4985" s="21">
        <v>1.6</v>
      </c>
      <c r="T4985" s="22">
        <v>0.6</v>
      </c>
      <c r="U4985" s="22">
        <v>0.79</v>
      </c>
      <c r="V4985" s="22">
        <f>3.65/5</f>
        <v>0.73</v>
      </c>
      <c r="W4985" s="14" t="s">
        <v>7777</v>
      </c>
      <c r="AB4985" s="18">
        <f t="shared" si="154"/>
        <v>2010</v>
      </c>
      <c r="AC4985" s="22">
        <f t="shared" si="155"/>
        <v>0.70666666666666667</v>
      </c>
    </row>
    <row r="4986" spans="1:29">
      <c r="A4986" s="8" t="s">
        <v>7859</v>
      </c>
      <c r="B4986" s="17" t="s">
        <v>7800</v>
      </c>
      <c r="C4986" s="13">
        <v>40335</v>
      </c>
      <c r="D4986" s="13" t="s">
        <v>8465</v>
      </c>
      <c r="E4986" s="10" t="s">
        <v>7860</v>
      </c>
      <c r="F4986" s="10" t="s">
        <v>7860</v>
      </c>
      <c r="G4986" s="11" t="s">
        <v>7861</v>
      </c>
      <c r="H4986" s="2" t="s">
        <v>1057</v>
      </c>
      <c r="L4986" s="18">
        <v>0</v>
      </c>
      <c r="Q4986" s="18">
        <v>1</v>
      </c>
      <c r="R4986" s="13">
        <v>41589</v>
      </c>
      <c r="T4986" s="22">
        <v>0.7</v>
      </c>
      <c r="V4986" s="22">
        <f>3.08/5</f>
        <v>0.61599999999999999</v>
      </c>
      <c r="W4986" s="14" t="s">
        <v>5678</v>
      </c>
      <c r="AB4986" s="18">
        <f t="shared" si="154"/>
        <v>2010</v>
      </c>
      <c r="AC4986" s="22">
        <f t="shared" si="155"/>
        <v>0.65799999999999992</v>
      </c>
    </row>
    <row r="4987" spans="1:29" ht="30">
      <c r="A4987" s="8" t="s">
        <v>6398</v>
      </c>
      <c r="B4987" s="17" t="s">
        <v>7765</v>
      </c>
      <c r="C4987" s="13">
        <v>40333</v>
      </c>
      <c r="D4987" s="13" t="s">
        <v>8465</v>
      </c>
      <c r="E4987" s="10" t="s">
        <v>6461</v>
      </c>
      <c r="F4987" s="10" t="s">
        <v>6461</v>
      </c>
      <c r="G4987" s="11" t="s">
        <v>6462</v>
      </c>
      <c r="H4987" s="2" t="s">
        <v>61</v>
      </c>
      <c r="L4987" s="18">
        <v>1</v>
      </c>
      <c r="Q4987" s="18">
        <v>1</v>
      </c>
      <c r="T4987" s="22">
        <v>0.5</v>
      </c>
      <c r="V4987" s="22">
        <f>3/5</f>
        <v>0.6</v>
      </c>
      <c r="W4987" s="14" t="s">
        <v>6487</v>
      </c>
      <c r="AB4987" s="18">
        <f t="shared" si="154"/>
        <v>2010</v>
      </c>
      <c r="AC4987" s="22">
        <f t="shared" si="155"/>
        <v>0.55000000000000004</v>
      </c>
    </row>
    <row r="4988" spans="1:29" ht="38.25">
      <c r="A4988" s="8" t="s">
        <v>5649</v>
      </c>
      <c r="B4988" s="17" t="s">
        <v>7800</v>
      </c>
      <c r="C4988" s="13">
        <v>40329</v>
      </c>
      <c r="D4988" s="13" t="s">
        <v>8465</v>
      </c>
      <c r="E4988" s="10" t="s">
        <v>5688</v>
      </c>
      <c r="F4988" s="10" t="s">
        <v>5688</v>
      </c>
      <c r="H4988" s="2" t="s">
        <v>1057</v>
      </c>
      <c r="L4988" s="18">
        <v>0</v>
      </c>
      <c r="Q4988" s="18">
        <v>1</v>
      </c>
      <c r="T4988" s="22">
        <v>0.6</v>
      </c>
      <c r="V4988" s="22">
        <f>2.5/5</f>
        <v>0.5</v>
      </c>
      <c r="W4988" s="14" t="s">
        <v>5674</v>
      </c>
      <c r="AB4988" s="18">
        <f t="shared" si="154"/>
        <v>2010</v>
      </c>
      <c r="AC4988" s="22">
        <f t="shared" si="155"/>
        <v>0.55000000000000004</v>
      </c>
    </row>
    <row r="4989" spans="1:29" ht="30">
      <c r="A4989" s="8" t="s">
        <v>6367</v>
      </c>
      <c r="B4989" s="17" t="s">
        <v>7765</v>
      </c>
      <c r="C4989" s="13">
        <v>40322</v>
      </c>
      <c r="D4989" s="13" t="s">
        <v>8465</v>
      </c>
      <c r="E4989" s="10" t="s">
        <v>1944</v>
      </c>
      <c r="F4989" s="10" t="s">
        <v>1944</v>
      </c>
      <c r="G4989" s="11" t="s">
        <v>6367</v>
      </c>
      <c r="H4989" s="2" t="s">
        <v>1169</v>
      </c>
      <c r="L4989" s="18">
        <v>1</v>
      </c>
      <c r="Q4989" s="18">
        <v>1</v>
      </c>
      <c r="T4989" s="22">
        <v>0.9</v>
      </c>
      <c r="V4989" s="22">
        <f>4.35/5</f>
        <v>0.86999999999999988</v>
      </c>
      <c r="W4989" s="14" t="s">
        <v>6487</v>
      </c>
      <c r="AB4989" s="18">
        <f t="shared" si="154"/>
        <v>2010</v>
      </c>
      <c r="AC4989" s="22">
        <f t="shared" si="155"/>
        <v>0.88500000000000001</v>
      </c>
    </row>
    <row r="4990" spans="1:29">
      <c r="A4990" s="8" t="s">
        <v>971</v>
      </c>
      <c r="B4990" s="17" t="s">
        <v>7741</v>
      </c>
      <c r="C4990" s="13">
        <v>40321</v>
      </c>
      <c r="D4990" s="13" t="s">
        <v>8465</v>
      </c>
      <c r="E4990" s="10" t="s">
        <v>86</v>
      </c>
      <c r="F4990" s="10" t="s">
        <v>87</v>
      </c>
      <c r="G4990" s="11" t="s">
        <v>137</v>
      </c>
      <c r="H4990" s="2" t="s">
        <v>1040</v>
      </c>
      <c r="L4990" s="18">
        <v>1</v>
      </c>
      <c r="M4990" s="14" t="s">
        <v>8462</v>
      </c>
      <c r="N4990" s="13">
        <v>43569</v>
      </c>
      <c r="P4990" s="18" t="s">
        <v>14</v>
      </c>
      <c r="Q4990" s="18">
        <v>1</v>
      </c>
      <c r="T4990" s="22">
        <v>0.9</v>
      </c>
      <c r="U4990" s="22">
        <v>0.97</v>
      </c>
      <c r="V4990" s="22">
        <f>4.46/5</f>
        <v>0.89200000000000002</v>
      </c>
      <c r="AB4990" s="18">
        <f t="shared" si="154"/>
        <v>2010</v>
      </c>
      <c r="AC4990" s="22">
        <f t="shared" si="155"/>
        <v>0.92066666666666663</v>
      </c>
    </row>
    <row r="4991" spans="1:29">
      <c r="A4991" s="8" t="s">
        <v>6360</v>
      </c>
      <c r="B4991" s="17" t="s">
        <v>7765</v>
      </c>
      <c r="C4991" s="13">
        <v>40316</v>
      </c>
      <c r="D4991" s="13" t="s">
        <v>8465</v>
      </c>
      <c r="E4991" s="10" t="s">
        <v>1618</v>
      </c>
      <c r="F4991" s="10" t="s">
        <v>5883</v>
      </c>
      <c r="G4991" s="11" t="s">
        <v>5884</v>
      </c>
      <c r="H4991" s="2" t="s">
        <v>1168</v>
      </c>
      <c r="L4991" s="18">
        <v>0</v>
      </c>
      <c r="Q4991" s="18">
        <v>1</v>
      </c>
      <c r="R4991" s="13">
        <v>41612</v>
      </c>
      <c r="S4991" s="21">
        <v>11.95</v>
      </c>
      <c r="T4991" s="22">
        <v>0.9</v>
      </c>
      <c r="U4991" s="22">
        <v>0.94</v>
      </c>
      <c r="V4991" s="22">
        <f>4.39/5</f>
        <v>0.87799999999999989</v>
      </c>
      <c r="AB4991" s="18">
        <f t="shared" si="154"/>
        <v>2010</v>
      </c>
      <c r="AC4991" s="22">
        <f t="shared" si="155"/>
        <v>0.90600000000000003</v>
      </c>
    </row>
    <row r="4992" spans="1:29">
      <c r="A4992" s="8" t="s">
        <v>3131</v>
      </c>
      <c r="B4992" s="17" t="s">
        <v>7765</v>
      </c>
      <c r="C4992" s="13">
        <v>40316</v>
      </c>
      <c r="D4992" s="13" t="s">
        <v>8465</v>
      </c>
      <c r="E4992" s="10" t="s">
        <v>3116</v>
      </c>
      <c r="F4992" s="10" t="s">
        <v>3130</v>
      </c>
      <c r="G4992" s="11" t="s">
        <v>3131</v>
      </c>
      <c r="H4992" s="2" t="s">
        <v>1168</v>
      </c>
      <c r="L4992" s="18">
        <v>0</v>
      </c>
      <c r="Q4992" s="18">
        <v>1</v>
      </c>
      <c r="R4992" s="13">
        <v>40538</v>
      </c>
      <c r="T4992" s="22">
        <v>0.8</v>
      </c>
      <c r="U4992" s="22">
        <v>0.84</v>
      </c>
      <c r="V4992" s="22">
        <f>3.97/5</f>
        <v>0.79400000000000004</v>
      </c>
      <c r="AB4992" s="18">
        <f t="shared" si="154"/>
        <v>2010</v>
      </c>
      <c r="AC4992" s="22">
        <f t="shared" si="155"/>
        <v>0.81133333333333335</v>
      </c>
    </row>
    <row r="4993" spans="1:29" ht="30">
      <c r="A4993" s="8" t="s">
        <v>6370</v>
      </c>
      <c r="B4993" s="17" t="s">
        <v>7765</v>
      </c>
      <c r="C4993" s="13">
        <v>40314</v>
      </c>
      <c r="D4993" s="13" t="s">
        <v>8465</v>
      </c>
      <c r="E4993" s="10" t="s">
        <v>6438</v>
      </c>
      <c r="F4993" s="10" t="s">
        <v>6438</v>
      </c>
      <c r="G4993" s="11" t="s">
        <v>6438</v>
      </c>
      <c r="H4993" s="2" t="s">
        <v>1054</v>
      </c>
      <c r="L4993" s="18">
        <v>1</v>
      </c>
      <c r="Q4993" s="18">
        <v>1</v>
      </c>
      <c r="T4993" s="22">
        <v>0.9</v>
      </c>
      <c r="U4993" s="22">
        <v>0.7</v>
      </c>
      <c r="V4993" s="22">
        <f>3.75/5</f>
        <v>0.75</v>
      </c>
      <c r="W4993" s="14" t="s">
        <v>6487</v>
      </c>
      <c r="AB4993" s="18">
        <f t="shared" ref="AB4993:AB5056" si="156">IFERROR(YEAR(C4993), "Early Access")</f>
        <v>2010</v>
      </c>
      <c r="AC4993" s="22">
        <f t="shared" ref="AC4993:AC5056" si="157">AVERAGE(T4993, U4993, V4993, IF(ISBLANK(X4993), X4993, X4993/5))</f>
        <v>0.78333333333333333</v>
      </c>
    </row>
    <row r="4994" spans="1:29" ht="30">
      <c r="A4994" s="8" t="s">
        <v>6414</v>
      </c>
      <c r="B4994" s="17" t="s">
        <v>7765</v>
      </c>
      <c r="C4994" s="13">
        <v>40313</v>
      </c>
      <c r="D4994" s="13" t="s">
        <v>8465</v>
      </c>
      <c r="E4994" s="10" t="s">
        <v>6474</v>
      </c>
      <c r="F4994" s="10" t="s">
        <v>6474</v>
      </c>
      <c r="G4994" s="11" t="s">
        <v>6414</v>
      </c>
      <c r="H4994" s="2" t="s">
        <v>1054</v>
      </c>
      <c r="L4994" s="18">
        <v>1</v>
      </c>
      <c r="Q4994" s="18">
        <v>1</v>
      </c>
      <c r="T4994" s="22">
        <v>0.8</v>
      </c>
      <c r="U4994" s="22">
        <v>0.8</v>
      </c>
      <c r="V4994" s="22">
        <f>4.2/5</f>
        <v>0.84000000000000008</v>
      </c>
      <c r="W4994" s="14" t="s">
        <v>6487</v>
      </c>
      <c r="AB4994" s="18">
        <f t="shared" si="156"/>
        <v>2010</v>
      </c>
      <c r="AC4994" s="22">
        <f t="shared" si="157"/>
        <v>0.81333333333333346</v>
      </c>
    </row>
    <row r="4995" spans="1:29">
      <c r="A4995" s="8" t="s">
        <v>5644</v>
      </c>
      <c r="B4995" s="17" t="s">
        <v>7800</v>
      </c>
      <c r="C4995" s="13">
        <v>40309</v>
      </c>
      <c r="D4995" s="13" t="s">
        <v>8465</v>
      </c>
      <c r="E4995" s="10" t="s">
        <v>4364</v>
      </c>
      <c r="F4995" s="10" t="s">
        <v>4364</v>
      </c>
      <c r="H4995" s="2" t="s">
        <v>2138</v>
      </c>
      <c r="L4995" s="18">
        <v>0</v>
      </c>
      <c r="Q4995" s="18">
        <v>1</v>
      </c>
      <c r="T4995" s="22">
        <v>0.7</v>
      </c>
      <c r="V4995" s="22">
        <f>3.43/5</f>
        <v>0.68600000000000005</v>
      </c>
      <c r="W4995" s="14" t="s">
        <v>5674</v>
      </c>
      <c r="AB4995" s="18">
        <f t="shared" si="156"/>
        <v>2010</v>
      </c>
      <c r="AC4995" s="22">
        <f t="shared" si="157"/>
        <v>0.69300000000000006</v>
      </c>
    </row>
    <row r="4996" spans="1:29" ht="30">
      <c r="A4996" s="8" t="s">
        <v>6374</v>
      </c>
      <c r="B4996" s="17" t="s">
        <v>7765</v>
      </c>
      <c r="C4996" s="13">
        <v>40306</v>
      </c>
      <c r="D4996" s="13" t="s">
        <v>8465</v>
      </c>
      <c r="E4996" s="10" t="s">
        <v>6442</v>
      </c>
      <c r="F4996" s="10" t="s">
        <v>6442</v>
      </c>
      <c r="H4996" s="2" t="s">
        <v>21</v>
      </c>
      <c r="L4996" s="18">
        <v>1</v>
      </c>
      <c r="Q4996" s="18">
        <v>1</v>
      </c>
      <c r="T4996" s="22">
        <v>0.6</v>
      </c>
      <c r="V4996" s="22">
        <f>4.5/5</f>
        <v>0.9</v>
      </c>
      <c r="W4996" s="14" t="s">
        <v>6487</v>
      </c>
      <c r="AB4996" s="18">
        <f t="shared" si="156"/>
        <v>2010</v>
      </c>
      <c r="AC4996" s="22">
        <f t="shared" si="157"/>
        <v>0.75</v>
      </c>
    </row>
    <row r="4997" spans="1:29">
      <c r="A4997" s="8" t="s">
        <v>5668</v>
      </c>
      <c r="B4997" s="17" t="s">
        <v>7800</v>
      </c>
      <c r="C4997" s="13">
        <v>40301</v>
      </c>
      <c r="D4997" s="13" t="s">
        <v>8465</v>
      </c>
      <c r="E4997" s="10" t="s">
        <v>5701</v>
      </c>
      <c r="F4997" s="10" t="s">
        <v>5701</v>
      </c>
      <c r="G4997" s="11" t="s">
        <v>5702</v>
      </c>
      <c r="H4997" s="2" t="s">
        <v>151</v>
      </c>
      <c r="L4997" s="18">
        <v>0</v>
      </c>
      <c r="Q4997" s="18">
        <v>1</v>
      </c>
      <c r="R4997" s="13">
        <v>41498</v>
      </c>
      <c r="S4997" s="21">
        <v>1.3</v>
      </c>
      <c r="T4997" s="22">
        <v>0.8</v>
      </c>
      <c r="V4997" s="22">
        <f>4.11/5</f>
        <v>0.82200000000000006</v>
      </c>
      <c r="W4997" s="14" t="s">
        <v>5674</v>
      </c>
      <c r="AB4997" s="18">
        <f t="shared" si="156"/>
        <v>2010</v>
      </c>
      <c r="AC4997" s="22">
        <f t="shared" si="157"/>
        <v>0.81100000000000005</v>
      </c>
    </row>
    <row r="4998" spans="1:29" ht="30">
      <c r="A4998" s="8" t="s">
        <v>6416</v>
      </c>
      <c r="B4998" s="17" t="s">
        <v>7765</v>
      </c>
      <c r="C4998" s="13">
        <v>40299</v>
      </c>
      <c r="D4998" s="13" t="s">
        <v>8465</v>
      </c>
      <c r="E4998" s="10" t="s">
        <v>6476</v>
      </c>
      <c r="F4998" s="10" t="s">
        <v>6476</v>
      </c>
      <c r="G4998" s="11" t="s">
        <v>6477</v>
      </c>
      <c r="H4998" s="2" t="s">
        <v>1061</v>
      </c>
      <c r="L4998" s="18">
        <v>1</v>
      </c>
      <c r="Q4998" s="18">
        <v>1</v>
      </c>
      <c r="T4998" s="22">
        <v>0.7</v>
      </c>
      <c r="V4998" s="22">
        <f>3.47/5</f>
        <v>0.69400000000000006</v>
      </c>
      <c r="W4998" s="14" t="s">
        <v>6487</v>
      </c>
      <c r="AB4998" s="18">
        <f t="shared" si="156"/>
        <v>2010</v>
      </c>
      <c r="AC4998" s="22">
        <f t="shared" si="157"/>
        <v>0.69700000000000006</v>
      </c>
    </row>
    <row r="4999" spans="1:29" ht="30">
      <c r="A4999" s="8" t="s">
        <v>3365</v>
      </c>
      <c r="B4999" s="17" t="s">
        <v>7765</v>
      </c>
      <c r="C4999" s="13">
        <v>40290</v>
      </c>
      <c r="D4999" s="13" t="s">
        <v>8465</v>
      </c>
      <c r="E4999" s="10" t="s">
        <v>3366</v>
      </c>
      <c r="F4999" s="10" t="s">
        <v>3366</v>
      </c>
      <c r="H4999" s="2" t="s">
        <v>149</v>
      </c>
      <c r="L4999" s="18">
        <v>1</v>
      </c>
      <c r="Q4999" s="18">
        <v>1</v>
      </c>
      <c r="T4999" s="22">
        <v>0.8</v>
      </c>
      <c r="U4999" s="22">
        <v>0.84</v>
      </c>
      <c r="V4999" s="22">
        <f>3.84/5</f>
        <v>0.76800000000000002</v>
      </c>
      <c r="W4999" s="14" t="s">
        <v>6487</v>
      </c>
      <c r="AB4999" s="18">
        <f t="shared" si="156"/>
        <v>2010</v>
      </c>
      <c r="AC4999" s="22">
        <f t="shared" si="157"/>
        <v>0.80266666666666675</v>
      </c>
    </row>
    <row r="5000" spans="1:29">
      <c r="A5000" s="8" t="s">
        <v>3280</v>
      </c>
      <c r="B5000" s="17" t="s">
        <v>7800</v>
      </c>
      <c r="C5000" s="13">
        <v>40283</v>
      </c>
      <c r="D5000" s="13" t="s">
        <v>8465</v>
      </c>
      <c r="E5000" s="10" t="s">
        <v>3281</v>
      </c>
      <c r="F5000" s="10" t="s">
        <v>3281</v>
      </c>
      <c r="G5000" s="11" t="s">
        <v>3280</v>
      </c>
      <c r="H5000" s="2" t="s">
        <v>1054</v>
      </c>
      <c r="L5000" s="18">
        <v>1</v>
      </c>
      <c r="N5000" s="13">
        <v>40509</v>
      </c>
      <c r="O5000" s="29">
        <v>0.99</v>
      </c>
      <c r="P5000" s="18" t="s">
        <v>1107</v>
      </c>
      <c r="Q5000" s="18">
        <v>1</v>
      </c>
      <c r="T5000" s="22">
        <v>0.8</v>
      </c>
      <c r="U5000" s="22">
        <v>0.72</v>
      </c>
      <c r="V5000" s="22">
        <f>3.68/5</f>
        <v>0.73599999999999999</v>
      </c>
      <c r="W5000" s="14" t="s">
        <v>7777</v>
      </c>
      <c r="AB5000" s="18">
        <f t="shared" si="156"/>
        <v>2010</v>
      </c>
      <c r="AC5000" s="22">
        <f t="shared" si="157"/>
        <v>0.75200000000000011</v>
      </c>
    </row>
    <row r="5001" spans="1:29">
      <c r="A5001" s="8" t="s">
        <v>7303</v>
      </c>
      <c r="B5001" s="17" t="s">
        <v>7783</v>
      </c>
      <c r="C5001" s="13">
        <v>40269</v>
      </c>
      <c r="D5001" s="13" t="s">
        <v>8465</v>
      </c>
      <c r="E5001" s="10" t="s">
        <v>1273</v>
      </c>
      <c r="F5001" s="10" t="s">
        <v>1052</v>
      </c>
      <c r="G5001" s="11" t="s">
        <v>1053</v>
      </c>
      <c r="H5001" s="2" t="s">
        <v>1054</v>
      </c>
      <c r="L5001" s="18">
        <v>1</v>
      </c>
      <c r="N5001" s="13">
        <v>41078</v>
      </c>
      <c r="O5001" s="29">
        <v>0.99</v>
      </c>
      <c r="P5001" s="18" t="s">
        <v>1107</v>
      </c>
      <c r="Q5001" s="18">
        <v>1</v>
      </c>
      <c r="T5001" s="22">
        <v>0.7</v>
      </c>
      <c r="U5001" s="22">
        <v>0.78</v>
      </c>
      <c r="V5001" s="22">
        <f>3.83/5</f>
        <v>0.76600000000000001</v>
      </c>
      <c r="AB5001" s="18">
        <f t="shared" si="156"/>
        <v>2010</v>
      </c>
      <c r="AC5001" s="22">
        <f t="shared" si="157"/>
        <v>0.7486666666666667</v>
      </c>
    </row>
    <row r="5002" spans="1:29">
      <c r="A5002" s="8" t="s">
        <v>4460</v>
      </c>
      <c r="B5002" s="17" t="s">
        <v>7783</v>
      </c>
      <c r="C5002" s="13">
        <v>40269</v>
      </c>
      <c r="D5002" s="13" t="s">
        <v>8465</v>
      </c>
      <c r="E5002" s="10" t="s">
        <v>231</v>
      </c>
      <c r="F5002" s="10" t="s">
        <v>7281</v>
      </c>
      <c r="G5002" s="11" t="s">
        <v>4460</v>
      </c>
      <c r="H5002" s="2" t="s">
        <v>64</v>
      </c>
      <c r="L5002" s="18">
        <v>1</v>
      </c>
      <c r="N5002" s="13">
        <v>41097</v>
      </c>
      <c r="O5002" s="29">
        <v>0.99</v>
      </c>
      <c r="P5002" s="18" t="s">
        <v>1107</v>
      </c>
      <c r="Q5002" s="18">
        <v>1</v>
      </c>
      <c r="T5002" s="22">
        <v>0.7</v>
      </c>
      <c r="U5002" s="22">
        <v>0.88</v>
      </c>
      <c r="V5002" s="22">
        <f>3.31/5</f>
        <v>0.66200000000000003</v>
      </c>
      <c r="AB5002" s="18">
        <f t="shared" si="156"/>
        <v>2010</v>
      </c>
      <c r="AC5002" s="22">
        <f t="shared" si="157"/>
        <v>0.74733333333333329</v>
      </c>
    </row>
    <row r="5003" spans="1:29">
      <c r="A5003" s="8" t="s">
        <v>6327</v>
      </c>
      <c r="B5003" s="17" t="s">
        <v>7765</v>
      </c>
      <c r="C5003" s="13">
        <v>40268</v>
      </c>
      <c r="D5003" s="13" t="s">
        <v>8465</v>
      </c>
      <c r="E5003" s="10" t="s">
        <v>73</v>
      </c>
      <c r="F5003" s="10" t="s">
        <v>1070</v>
      </c>
      <c r="G5003" s="11" t="s">
        <v>89</v>
      </c>
      <c r="H5003" s="2" t="s">
        <v>56</v>
      </c>
      <c r="L5003" s="18">
        <v>1</v>
      </c>
      <c r="P5003" s="18" t="s">
        <v>1107</v>
      </c>
      <c r="Q5003" s="18">
        <v>1</v>
      </c>
      <c r="R5003" s="13">
        <v>40368</v>
      </c>
      <c r="T5003" s="22">
        <v>0.8</v>
      </c>
      <c r="U5003" s="22">
        <v>0.8</v>
      </c>
      <c r="V5003" s="22">
        <f>4.15/5</f>
        <v>0.83000000000000007</v>
      </c>
      <c r="AB5003" s="18">
        <f t="shared" si="156"/>
        <v>2010</v>
      </c>
      <c r="AC5003" s="22">
        <f t="shared" si="157"/>
        <v>0.81</v>
      </c>
    </row>
    <row r="5004" spans="1:29" ht="30">
      <c r="A5004" s="8" t="s">
        <v>6400</v>
      </c>
      <c r="B5004" s="17" t="s">
        <v>7765</v>
      </c>
      <c r="C5004" s="13">
        <v>40262</v>
      </c>
      <c r="D5004" s="13" t="s">
        <v>8465</v>
      </c>
      <c r="E5004" s="10" t="s">
        <v>6464</v>
      </c>
      <c r="F5004" s="10" t="s">
        <v>6464</v>
      </c>
      <c r="H5004" s="2" t="s">
        <v>78</v>
      </c>
      <c r="L5004" s="18">
        <v>1</v>
      </c>
      <c r="Q5004" s="18">
        <v>1</v>
      </c>
      <c r="T5004" s="22">
        <v>0.5</v>
      </c>
      <c r="U5004" s="22">
        <v>0.7</v>
      </c>
      <c r="W5004" s="14" t="s">
        <v>6487</v>
      </c>
      <c r="AB5004" s="18">
        <f t="shared" si="156"/>
        <v>2010</v>
      </c>
      <c r="AC5004" s="22">
        <f t="shared" si="157"/>
        <v>0.6</v>
      </c>
    </row>
    <row r="5005" spans="1:29">
      <c r="A5005" s="8" t="s">
        <v>4977</v>
      </c>
      <c r="B5005" s="17" t="s">
        <v>7800</v>
      </c>
      <c r="C5005" s="13">
        <v>40252</v>
      </c>
      <c r="D5005" s="13" t="s">
        <v>8465</v>
      </c>
      <c r="E5005" s="10" t="s">
        <v>4978</v>
      </c>
      <c r="F5005" s="10" t="s">
        <v>4979</v>
      </c>
      <c r="H5005" s="2" t="s">
        <v>143</v>
      </c>
      <c r="L5005" s="18">
        <v>1</v>
      </c>
      <c r="N5005" s="13">
        <v>41165</v>
      </c>
      <c r="O5005" s="29">
        <v>2.87</v>
      </c>
      <c r="P5005" s="18" t="s">
        <v>1107</v>
      </c>
      <c r="Q5005" s="18">
        <v>1</v>
      </c>
      <c r="S5005" s="21">
        <v>2.4</v>
      </c>
      <c r="T5005" s="22">
        <v>0.9</v>
      </c>
      <c r="U5005" s="22">
        <v>0.85</v>
      </c>
      <c r="V5005" s="22">
        <f>3.71/5</f>
        <v>0.74199999999999999</v>
      </c>
      <c r="W5005" s="14" t="s">
        <v>7777</v>
      </c>
      <c r="AB5005" s="18">
        <f t="shared" si="156"/>
        <v>2010</v>
      </c>
      <c r="AC5005" s="22">
        <f t="shared" si="157"/>
        <v>0.83066666666666666</v>
      </c>
    </row>
    <row r="5006" spans="1:29">
      <c r="A5006" s="8" t="s">
        <v>2115</v>
      </c>
      <c r="B5006" s="17" t="s">
        <v>7748</v>
      </c>
      <c r="C5006" s="13">
        <v>40251</v>
      </c>
      <c r="D5006" s="13" t="s">
        <v>8465</v>
      </c>
      <c r="E5006" s="10" t="s">
        <v>86</v>
      </c>
      <c r="F5006" s="10" t="s">
        <v>1354</v>
      </c>
      <c r="G5006" s="11" t="s">
        <v>1470</v>
      </c>
      <c r="H5006" s="2" t="s">
        <v>149</v>
      </c>
      <c r="L5006" s="18">
        <v>0</v>
      </c>
      <c r="Q5006" s="18">
        <v>1</v>
      </c>
      <c r="T5006" s="22">
        <v>0.7</v>
      </c>
      <c r="U5006" s="22">
        <v>0.88</v>
      </c>
      <c r="V5006" s="22">
        <f>4.4/5</f>
        <v>0.88000000000000012</v>
      </c>
      <c r="AB5006" s="18">
        <f t="shared" si="156"/>
        <v>2010</v>
      </c>
      <c r="AC5006" s="22">
        <f t="shared" si="157"/>
        <v>0.82</v>
      </c>
    </row>
    <row r="5007" spans="1:29">
      <c r="A5007" s="8" t="s">
        <v>5645</v>
      </c>
      <c r="B5007" s="17" t="s">
        <v>7800</v>
      </c>
      <c r="C5007" s="13">
        <v>40241</v>
      </c>
      <c r="D5007" s="13" t="s">
        <v>8465</v>
      </c>
      <c r="E5007" s="10" t="s">
        <v>5681</v>
      </c>
      <c r="F5007" s="10" t="s">
        <v>5681</v>
      </c>
      <c r="G5007" s="11" t="s">
        <v>5682</v>
      </c>
      <c r="H5007" s="2" t="s">
        <v>1057</v>
      </c>
      <c r="L5007" s="18">
        <v>0</v>
      </c>
      <c r="Q5007" s="18">
        <v>1</v>
      </c>
      <c r="T5007" s="22">
        <v>0.9</v>
      </c>
      <c r="V5007" s="22">
        <f>3.82/5</f>
        <v>0.76400000000000001</v>
      </c>
      <c r="W5007" s="14" t="s">
        <v>5674</v>
      </c>
      <c r="AB5007" s="18">
        <f t="shared" si="156"/>
        <v>2010</v>
      </c>
      <c r="AC5007" s="22">
        <f t="shared" si="157"/>
        <v>0.83200000000000007</v>
      </c>
    </row>
    <row r="5008" spans="1:29" ht="30">
      <c r="A5008" s="8" t="s">
        <v>6381</v>
      </c>
      <c r="B5008" s="17" t="s">
        <v>7765</v>
      </c>
      <c r="C5008" s="13">
        <v>40238</v>
      </c>
      <c r="D5008" s="13" t="s">
        <v>8465</v>
      </c>
      <c r="E5008" s="10" t="s">
        <v>6447</v>
      </c>
      <c r="F5008" s="10" t="s">
        <v>6447</v>
      </c>
      <c r="G5008" s="11" t="s">
        <v>6381</v>
      </c>
      <c r="H5008" s="2" t="s">
        <v>75</v>
      </c>
      <c r="L5008" s="18">
        <v>1</v>
      </c>
      <c r="Q5008" s="18">
        <v>1</v>
      </c>
      <c r="T5008" s="22">
        <v>0.8</v>
      </c>
      <c r="V5008" s="22">
        <f>4.04/5</f>
        <v>0.80800000000000005</v>
      </c>
      <c r="W5008" s="14" t="s">
        <v>6487</v>
      </c>
      <c r="AB5008" s="18">
        <f t="shared" si="156"/>
        <v>2010</v>
      </c>
      <c r="AC5008" s="22">
        <f t="shared" si="157"/>
        <v>0.80400000000000005</v>
      </c>
    </row>
    <row r="5009" spans="1:29">
      <c r="A5009" s="8" t="s">
        <v>5650</v>
      </c>
      <c r="B5009" s="17" t="s">
        <v>7800</v>
      </c>
      <c r="C5009" s="13">
        <v>40238</v>
      </c>
      <c r="D5009" s="13" t="s">
        <v>8465</v>
      </c>
      <c r="E5009" s="10" t="s">
        <v>5688</v>
      </c>
      <c r="F5009" s="10" t="s">
        <v>5688</v>
      </c>
      <c r="H5009" s="2" t="s">
        <v>1057</v>
      </c>
      <c r="L5009" s="18">
        <v>0</v>
      </c>
      <c r="Q5009" s="18">
        <v>1</v>
      </c>
      <c r="T5009" s="22">
        <v>0.7</v>
      </c>
      <c r="V5009" s="22">
        <f>3.13/5</f>
        <v>0.626</v>
      </c>
      <c r="W5009" s="14" t="s">
        <v>5674</v>
      </c>
      <c r="AB5009" s="18">
        <f t="shared" si="156"/>
        <v>2010</v>
      </c>
      <c r="AC5009" s="22">
        <f t="shared" si="157"/>
        <v>0.66300000000000003</v>
      </c>
    </row>
    <row r="5010" spans="1:29" ht="30">
      <c r="A5010" s="8" t="s">
        <v>6423</v>
      </c>
      <c r="B5010" s="17" t="s">
        <v>7765</v>
      </c>
      <c r="C5010" s="13">
        <v>40235</v>
      </c>
      <c r="D5010" s="13" t="s">
        <v>8465</v>
      </c>
      <c r="E5010" s="10" t="s">
        <v>5556</v>
      </c>
      <c r="F5010" s="10" t="s">
        <v>5556</v>
      </c>
      <c r="H5010" s="2" t="s">
        <v>150</v>
      </c>
      <c r="L5010" s="18">
        <v>1</v>
      </c>
      <c r="Q5010" s="18">
        <v>1</v>
      </c>
      <c r="T5010" s="22">
        <v>0.7</v>
      </c>
      <c r="U5010" s="22">
        <v>0.84</v>
      </c>
      <c r="V5010" s="22">
        <f>4.31/5</f>
        <v>0.86199999999999988</v>
      </c>
      <c r="W5010" s="14" t="s">
        <v>6487</v>
      </c>
      <c r="AB5010" s="18">
        <f t="shared" si="156"/>
        <v>2010</v>
      </c>
      <c r="AC5010" s="22">
        <f t="shared" si="157"/>
        <v>0.80066666666666675</v>
      </c>
    </row>
    <row r="5011" spans="1:29" ht="30">
      <c r="A5011" s="8" t="s">
        <v>6368</v>
      </c>
      <c r="B5011" s="17" t="s">
        <v>7765</v>
      </c>
      <c r="C5011" s="13">
        <v>40234</v>
      </c>
      <c r="D5011" s="13" t="s">
        <v>8465</v>
      </c>
      <c r="E5011" s="10" t="s">
        <v>4946</v>
      </c>
      <c r="F5011" s="10" t="s">
        <v>4946</v>
      </c>
      <c r="H5011" s="2" t="s">
        <v>21</v>
      </c>
      <c r="L5011" s="18">
        <v>1</v>
      </c>
      <c r="Q5011" s="18">
        <v>1</v>
      </c>
      <c r="T5011" s="22">
        <v>0.8</v>
      </c>
      <c r="U5011" s="22">
        <v>0.83</v>
      </c>
      <c r="V5011" s="22">
        <f>3.67/5</f>
        <v>0.73399999999999999</v>
      </c>
      <c r="W5011" s="14" t="s">
        <v>6487</v>
      </c>
      <c r="AB5011" s="18">
        <f t="shared" si="156"/>
        <v>2010</v>
      </c>
      <c r="AC5011" s="22">
        <f t="shared" si="157"/>
        <v>0.78799999999999992</v>
      </c>
    </row>
    <row r="5012" spans="1:29" ht="25.5">
      <c r="A5012" s="8" t="s">
        <v>6335</v>
      </c>
      <c r="B5012" s="17" t="s">
        <v>7765</v>
      </c>
      <c r="C5012" s="13">
        <v>40226</v>
      </c>
      <c r="D5012" s="13" t="s">
        <v>8465</v>
      </c>
      <c r="E5012" s="10" t="s">
        <v>6336</v>
      </c>
      <c r="F5012" s="10" t="s">
        <v>6337</v>
      </c>
      <c r="H5012" s="2" t="s">
        <v>78</v>
      </c>
      <c r="L5012" s="18">
        <v>1</v>
      </c>
      <c r="P5012" s="18" t="s">
        <v>1107</v>
      </c>
      <c r="Q5012" s="18">
        <v>1</v>
      </c>
      <c r="R5012" s="13">
        <v>40267</v>
      </c>
      <c r="T5012" s="22">
        <v>0.7</v>
      </c>
      <c r="U5012" s="22">
        <v>0.85</v>
      </c>
      <c r="V5012" s="22">
        <f>3.83/5</f>
        <v>0.76600000000000001</v>
      </c>
      <c r="AB5012" s="18">
        <f t="shared" si="156"/>
        <v>2010</v>
      </c>
      <c r="AC5012" s="22">
        <f t="shared" si="157"/>
        <v>0.77199999999999991</v>
      </c>
    </row>
    <row r="5013" spans="1:29">
      <c r="A5013" s="8" t="s">
        <v>3312</v>
      </c>
      <c r="B5013" s="17" t="s">
        <v>7800</v>
      </c>
      <c r="C5013" s="13">
        <v>40218</v>
      </c>
      <c r="D5013" s="13" t="s">
        <v>8465</v>
      </c>
      <c r="E5013" s="10" t="s">
        <v>3310</v>
      </c>
      <c r="F5013" s="10" t="s">
        <v>3313</v>
      </c>
      <c r="G5013" s="11" t="s">
        <v>3309</v>
      </c>
      <c r="H5013" s="2" t="s">
        <v>1050</v>
      </c>
      <c r="L5013" s="18">
        <v>1</v>
      </c>
      <c r="N5013" s="13">
        <v>41550</v>
      </c>
      <c r="P5013" s="18" t="s">
        <v>1107</v>
      </c>
      <c r="Q5013" s="18">
        <v>1</v>
      </c>
      <c r="R5013" s="13">
        <v>41827</v>
      </c>
      <c r="S5013" s="21">
        <v>9.07</v>
      </c>
      <c r="T5013" s="22">
        <v>0.8</v>
      </c>
      <c r="U5013" s="22">
        <v>0.88</v>
      </c>
      <c r="V5013" s="22">
        <f>3.81/5</f>
        <v>0.76200000000000001</v>
      </c>
      <c r="W5013" s="14" t="s">
        <v>7777</v>
      </c>
      <c r="AB5013" s="18">
        <f t="shared" si="156"/>
        <v>2010</v>
      </c>
      <c r="AC5013" s="22">
        <f t="shared" si="157"/>
        <v>0.81400000000000006</v>
      </c>
    </row>
    <row r="5014" spans="1:29">
      <c r="A5014" s="8" t="s">
        <v>7287</v>
      </c>
      <c r="B5014" s="17" t="s">
        <v>7783</v>
      </c>
      <c r="C5014" s="13">
        <v>40217</v>
      </c>
      <c r="D5014" s="13" t="s">
        <v>8465</v>
      </c>
      <c r="E5014" s="10" t="s">
        <v>7288</v>
      </c>
      <c r="F5014" s="10" t="s">
        <v>7288</v>
      </c>
      <c r="G5014" s="11" t="s">
        <v>1890</v>
      </c>
      <c r="H5014" s="2" t="s">
        <v>149</v>
      </c>
      <c r="L5014" s="18">
        <v>1</v>
      </c>
      <c r="N5014" s="13">
        <v>41128</v>
      </c>
      <c r="O5014" s="29">
        <v>0.99</v>
      </c>
      <c r="P5014" s="18" t="s">
        <v>1107</v>
      </c>
      <c r="Q5014" s="18">
        <v>1</v>
      </c>
      <c r="T5014" s="22">
        <v>0.8</v>
      </c>
      <c r="U5014" s="22">
        <v>0.79</v>
      </c>
      <c r="V5014" s="22">
        <f>4.06/5</f>
        <v>0.81199999999999994</v>
      </c>
      <c r="AB5014" s="18">
        <f t="shared" si="156"/>
        <v>2010</v>
      </c>
      <c r="AC5014" s="22">
        <f t="shared" si="157"/>
        <v>0.80066666666666675</v>
      </c>
    </row>
    <row r="5015" spans="1:29" ht="30">
      <c r="A5015" s="8" t="s">
        <v>4412</v>
      </c>
      <c r="B5015" s="17" t="s">
        <v>7800</v>
      </c>
      <c r="C5015" s="13">
        <v>40217</v>
      </c>
      <c r="D5015" s="13" t="s">
        <v>8465</v>
      </c>
      <c r="E5015" s="10" t="s">
        <v>5689</v>
      </c>
      <c r="F5015" s="10" t="s">
        <v>4411</v>
      </c>
      <c r="G5015" s="11" t="s">
        <v>4412</v>
      </c>
      <c r="H5015" s="2" t="s">
        <v>27</v>
      </c>
      <c r="L5015" s="18">
        <v>1</v>
      </c>
      <c r="P5015" s="18" t="s">
        <v>1107</v>
      </c>
      <c r="Q5015" s="18">
        <v>1</v>
      </c>
      <c r="T5015" s="22">
        <v>0.7</v>
      </c>
      <c r="U5015" s="22">
        <v>0.77</v>
      </c>
      <c r="V5015" s="22">
        <f>3.7/5</f>
        <v>0.74</v>
      </c>
      <c r="W5015" s="14" t="s">
        <v>5675</v>
      </c>
      <c r="AB5015" s="18">
        <f t="shared" si="156"/>
        <v>2010</v>
      </c>
      <c r="AC5015" s="22">
        <f t="shared" si="157"/>
        <v>0.73666666666666669</v>
      </c>
    </row>
    <row r="5016" spans="1:29">
      <c r="A5016" s="8" t="s">
        <v>2768</v>
      </c>
      <c r="B5016" s="17" t="s">
        <v>7765</v>
      </c>
      <c r="C5016" s="13">
        <v>40212</v>
      </c>
      <c r="D5016" s="13" t="s">
        <v>8465</v>
      </c>
      <c r="E5016" s="10" t="s">
        <v>6502</v>
      </c>
      <c r="F5016" s="10" t="s">
        <v>6503</v>
      </c>
      <c r="G5016" s="11" t="s">
        <v>2768</v>
      </c>
      <c r="H5016" s="2" t="s">
        <v>78</v>
      </c>
      <c r="L5016" s="18">
        <v>1</v>
      </c>
      <c r="Q5016" s="18">
        <v>1</v>
      </c>
      <c r="R5016" s="13">
        <v>40229</v>
      </c>
      <c r="T5016" s="22">
        <v>0.7</v>
      </c>
      <c r="U5016" s="22">
        <v>0.8</v>
      </c>
      <c r="V5016" s="22">
        <f>3.68/5</f>
        <v>0.73599999999999999</v>
      </c>
      <c r="AB5016" s="18">
        <f t="shared" si="156"/>
        <v>2010</v>
      </c>
      <c r="AC5016" s="22">
        <f t="shared" si="157"/>
        <v>0.74533333333333329</v>
      </c>
    </row>
    <row r="5017" spans="1:29">
      <c r="A5017" s="8" t="s">
        <v>5969</v>
      </c>
      <c r="B5017" s="17" t="s">
        <v>7765</v>
      </c>
      <c r="C5017" s="13">
        <v>40204</v>
      </c>
      <c r="D5017" s="13" t="s">
        <v>8465</v>
      </c>
      <c r="E5017" s="10" t="s">
        <v>231</v>
      </c>
      <c r="F5017" s="10" t="s">
        <v>1161</v>
      </c>
      <c r="G5017" s="11" t="s">
        <v>1162</v>
      </c>
      <c r="H5017" s="2" t="s">
        <v>171</v>
      </c>
      <c r="L5017" s="18">
        <v>0</v>
      </c>
      <c r="Q5017" s="18">
        <v>1</v>
      </c>
      <c r="R5017" s="13">
        <v>40298</v>
      </c>
      <c r="T5017" s="22">
        <v>0.9</v>
      </c>
      <c r="U5017" s="22">
        <v>0.96</v>
      </c>
      <c r="V5017" s="22">
        <f>4.45/5</f>
        <v>0.89</v>
      </c>
      <c r="AB5017" s="18">
        <f t="shared" si="156"/>
        <v>2010</v>
      </c>
      <c r="AC5017" s="22">
        <f t="shared" si="157"/>
        <v>0.91666666666666663</v>
      </c>
    </row>
    <row r="5018" spans="1:29" ht="25.5">
      <c r="A5018" s="8" t="s">
        <v>2179</v>
      </c>
      <c r="B5018" s="17" t="s">
        <v>7783</v>
      </c>
      <c r="C5018" s="13">
        <v>40195</v>
      </c>
      <c r="D5018" s="13" t="s">
        <v>8465</v>
      </c>
      <c r="E5018" s="10" t="s">
        <v>1618</v>
      </c>
      <c r="F5018" s="10" t="s">
        <v>2305</v>
      </c>
      <c r="G5018" s="11" t="s">
        <v>2306</v>
      </c>
      <c r="H5018" s="2" t="s">
        <v>80</v>
      </c>
      <c r="L5018" s="18">
        <v>1</v>
      </c>
      <c r="N5018" s="13">
        <v>41211</v>
      </c>
      <c r="O5018" s="29">
        <v>0.99</v>
      </c>
      <c r="P5018" s="18" t="s">
        <v>1107</v>
      </c>
      <c r="Q5018" s="18">
        <v>1</v>
      </c>
      <c r="T5018" s="22">
        <v>0.7</v>
      </c>
      <c r="U5018" s="22">
        <v>0.96</v>
      </c>
      <c r="V5018" s="22">
        <f>3.66/5</f>
        <v>0.73199999999999998</v>
      </c>
      <c r="AB5018" s="18">
        <f t="shared" si="156"/>
        <v>2010</v>
      </c>
      <c r="AC5018" s="22">
        <f t="shared" si="157"/>
        <v>0.79733333333333334</v>
      </c>
    </row>
    <row r="5019" spans="1:29" ht="30">
      <c r="A5019" s="8" t="s">
        <v>6389</v>
      </c>
      <c r="B5019" s="17" t="s">
        <v>7765</v>
      </c>
      <c r="C5019" s="13">
        <v>40194</v>
      </c>
      <c r="D5019" s="13" t="s">
        <v>8465</v>
      </c>
      <c r="E5019" s="10" t="s">
        <v>6455</v>
      </c>
      <c r="F5019" s="10" t="s">
        <v>6455</v>
      </c>
      <c r="G5019" s="11" t="s">
        <v>6389</v>
      </c>
      <c r="H5019" s="2" t="s">
        <v>21</v>
      </c>
      <c r="L5019" s="18">
        <v>1</v>
      </c>
      <c r="Q5019" s="18">
        <v>1</v>
      </c>
      <c r="T5019" s="22">
        <v>0.6</v>
      </c>
      <c r="V5019" s="22">
        <f>3.5/5</f>
        <v>0.7</v>
      </c>
      <c r="W5019" s="14" t="s">
        <v>6487</v>
      </c>
      <c r="AB5019" s="18">
        <f t="shared" si="156"/>
        <v>2010</v>
      </c>
      <c r="AC5019" s="22">
        <f t="shared" si="157"/>
        <v>0.64999999999999991</v>
      </c>
    </row>
    <row r="5020" spans="1:29" ht="25.5">
      <c r="A5020" s="8" t="s">
        <v>5919</v>
      </c>
      <c r="B5020" s="17" t="s">
        <v>7759</v>
      </c>
      <c r="C5020" s="13">
        <v>40190</v>
      </c>
      <c r="D5020" s="13" t="s">
        <v>8465</v>
      </c>
      <c r="E5020" s="10" t="s">
        <v>231</v>
      </c>
      <c r="F5020" s="10" t="s">
        <v>5920</v>
      </c>
      <c r="G5020" s="11" t="s">
        <v>5921</v>
      </c>
      <c r="H5020" s="2" t="s">
        <v>1168</v>
      </c>
      <c r="L5020" s="18">
        <v>1</v>
      </c>
      <c r="M5020" s="14" t="s">
        <v>8462</v>
      </c>
      <c r="N5020" s="13">
        <v>43479</v>
      </c>
      <c r="O5020" s="29">
        <v>8</v>
      </c>
      <c r="P5020" s="18" t="s">
        <v>14</v>
      </c>
      <c r="Q5020" s="18">
        <v>1</v>
      </c>
      <c r="R5020" s="13">
        <v>43653</v>
      </c>
      <c r="S5020" s="21">
        <v>4.5999999999999996</v>
      </c>
      <c r="T5020" s="22">
        <v>0.5</v>
      </c>
      <c r="U5020" s="22">
        <v>0.72</v>
      </c>
      <c r="V5020" s="22">
        <f>3.6/5</f>
        <v>0.72</v>
      </c>
      <c r="AB5020" s="18">
        <f t="shared" si="156"/>
        <v>2010</v>
      </c>
      <c r="AC5020" s="22">
        <f t="shared" si="157"/>
        <v>0.64666666666666661</v>
      </c>
    </row>
    <row r="5021" spans="1:29">
      <c r="A5021" s="8" t="s">
        <v>1585</v>
      </c>
      <c r="B5021" s="17" t="s">
        <v>7765</v>
      </c>
      <c r="C5021" s="13">
        <v>40183</v>
      </c>
      <c r="D5021" s="13" t="s">
        <v>8465</v>
      </c>
      <c r="E5021" s="10" t="s">
        <v>1342</v>
      </c>
      <c r="F5021" s="10" t="s">
        <v>6353</v>
      </c>
      <c r="G5021" s="11" t="s">
        <v>1585</v>
      </c>
      <c r="H5021" s="2" t="s">
        <v>1059</v>
      </c>
      <c r="L5021" s="18">
        <v>0</v>
      </c>
      <c r="Q5021" s="18">
        <v>1</v>
      </c>
      <c r="R5021" s="13">
        <v>40217</v>
      </c>
      <c r="T5021" s="22">
        <v>0.8</v>
      </c>
      <c r="U5021" s="22">
        <v>0.84</v>
      </c>
      <c r="V5021" s="22">
        <f>3.89/5</f>
        <v>0.77800000000000002</v>
      </c>
      <c r="AB5021" s="18">
        <f t="shared" si="156"/>
        <v>2010</v>
      </c>
      <c r="AC5021" s="22">
        <f t="shared" si="157"/>
        <v>0.80600000000000005</v>
      </c>
    </row>
    <row r="5022" spans="1:29" ht="30">
      <c r="A5022" s="8" t="s">
        <v>6329</v>
      </c>
      <c r="B5022" s="17" t="s">
        <v>7765</v>
      </c>
      <c r="C5022" s="13">
        <v>40182</v>
      </c>
      <c r="D5022" s="13" t="s">
        <v>8465</v>
      </c>
      <c r="E5022" s="10" t="s">
        <v>1604</v>
      </c>
      <c r="F5022" s="10" t="s">
        <v>1604</v>
      </c>
      <c r="G5022" s="11" t="s">
        <v>4639</v>
      </c>
      <c r="H5022" s="2" t="s">
        <v>6317</v>
      </c>
      <c r="L5022" s="18">
        <v>1</v>
      </c>
      <c r="P5022" s="18" t="s">
        <v>1107</v>
      </c>
      <c r="Q5022" s="18">
        <v>1</v>
      </c>
      <c r="R5022" s="13">
        <v>40142</v>
      </c>
      <c r="T5022" s="22">
        <v>0.7</v>
      </c>
      <c r="U5022" s="22">
        <v>0.64</v>
      </c>
      <c r="V5022" s="22">
        <f>3.83/5</f>
        <v>0.76600000000000001</v>
      </c>
      <c r="AB5022" s="18">
        <f t="shared" si="156"/>
        <v>2010</v>
      </c>
      <c r="AC5022" s="22">
        <f t="shared" si="157"/>
        <v>0.70199999999999996</v>
      </c>
    </row>
    <row r="5023" spans="1:29">
      <c r="A5023" s="8" t="s">
        <v>7851</v>
      </c>
      <c r="B5023" s="17" t="s">
        <v>7800</v>
      </c>
      <c r="C5023" s="12">
        <v>40179</v>
      </c>
      <c r="D5023" s="13" t="s">
        <v>8465</v>
      </c>
      <c r="E5023" s="10" t="s">
        <v>7187</v>
      </c>
      <c r="F5023" s="10" t="s">
        <v>7187</v>
      </c>
      <c r="H5023" s="2" t="s">
        <v>78</v>
      </c>
      <c r="L5023" s="18">
        <v>0</v>
      </c>
      <c r="Q5023" s="18">
        <v>1</v>
      </c>
      <c r="R5023" s="13">
        <v>41593</v>
      </c>
      <c r="T5023" s="22">
        <v>0.5</v>
      </c>
      <c r="V5023" s="22">
        <f>3.15/5</f>
        <v>0.63</v>
      </c>
      <c r="W5023" s="14" t="s">
        <v>5674</v>
      </c>
      <c r="AB5023" s="18">
        <f t="shared" si="156"/>
        <v>2010</v>
      </c>
      <c r="AC5023" s="22">
        <f t="shared" si="157"/>
        <v>0.56499999999999995</v>
      </c>
    </row>
    <row r="5024" spans="1:29">
      <c r="A5024" s="8" t="s">
        <v>7252</v>
      </c>
      <c r="B5024" s="17" t="s">
        <v>7781</v>
      </c>
      <c r="C5024" s="13">
        <v>40176</v>
      </c>
      <c r="D5024" s="13" t="s">
        <v>8465</v>
      </c>
      <c r="E5024" s="10" t="s">
        <v>1737</v>
      </c>
      <c r="F5024" s="10" t="s">
        <v>1737</v>
      </c>
      <c r="H5024" s="2" t="s">
        <v>80</v>
      </c>
      <c r="L5024" s="18">
        <v>0</v>
      </c>
      <c r="Q5024" s="18">
        <v>0</v>
      </c>
      <c r="W5024" s="15" t="str">
        <f>HYPERLINK("https://www.y8.com/games/mamono_slayer", "Link")</f>
        <v>Link</v>
      </c>
      <c r="X5024" s="3">
        <v>3</v>
      </c>
      <c r="AB5024" s="18">
        <f t="shared" si="156"/>
        <v>2009</v>
      </c>
      <c r="AC5024" s="22">
        <f t="shared" si="157"/>
        <v>0.6</v>
      </c>
    </row>
    <row r="5025" spans="1:29" ht="25.5">
      <c r="A5025" s="8" t="s">
        <v>1072</v>
      </c>
      <c r="B5025" s="17" t="s">
        <v>7742</v>
      </c>
      <c r="C5025" s="13">
        <v>40175</v>
      </c>
      <c r="D5025" s="13" t="s">
        <v>8465</v>
      </c>
      <c r="E5025" s="10" t="s">
        <v>72</v>
      </c>
      <c r="F5025" s="10" t="s">
        <v>1081</v>
      </c>
      <c r="G5025" s="11" t="s">
        <v>113</v>
      </c>
      <c r="H5025" s="2" t="s">
        <v>56</v>
      </c>
      <c r="L5025" s="18">
        <v>0</v>
      </c>
      <c r="Q5025" s="18">
        <v>0</v>
      </c>
      <c r="U5025" s="22">
        <v>0.81</v>
      </c>
      <c r="V5025" s="22">
        <f>3.83/5</f>
        <v>0.76600000000000001</v>
      </c>
      <c r="X5025" s="3">
        <v>3</v>
      </c>
      <c r="Z5025" s="23">
        <v>3.5</v>
      </c>
      <c r="AB5025" s="18">
        <f t="shared" si="156"/>
        <v>2009</v>
      </c>
      <c r="AC5025" s="22">
        <f t="shared" si="157"/>
        <v>0.72533333333333339</v>
      </c>
    </row>
    <row r="5026" spans="1:29">
      <c r="A5026" s="8" t="s">
        <v>13785</v>
      </c>
      <c r="B5026" s="17" t="s">
        <v>8754</v>
      </c>
      <c r="C5026" s="13">
        <v>40175</v>
      </c>
      <c r="D5026" s="13" t="s">
        <v>8465</v>
      </c>
      <c r="E5026" s="10" t="s">
        <v>13786</v>
      </c>
      <c r="F5026" s="10" t="s">
        <v>13786</v>
      </c>
      <c r="H5026" s="2" t="s">
        <v>78</v>
      </c>
      <c r="L5026" s="18">
        <v>0</v>
      </c>
      <c r="Q5026" s="18">
        <v>0</v>
      </c>
      <c r="V5026" s="22">
        <f>3.89/5</f>
        <v>0.77800000000000002</v>
      </c>
      <c r="W5026" s="14" t="s">
        <v>9890</v>
      </c>
      <c r="X5026" s="3">
        <v>2</v>
      </c>
      <c r="AB5026" s="18">
        <f t="shared" si="156"/>
        <v>2009</v>
      </c>
      <c r="AC5026" s="22">
        <f t="shared" si="157"/>
        <v>0.58899999999999997</v>
      </c>
    </row>
    <row r="5027" spans="1:29" ht="38.25">
      <c r="A5027" s="8" t="s">
        <v>996</v>
      </c>
      <c r="B5027" s="17" t="s">
        <v>7741</v>
      </c>
      <c r="C5027" s="13">
        <v>40173</v>
      </c>
      <c r="D5027" s="13" t="s">
        <v>8465</v>
      </c>
      <c r="E5027" s="10" t="s">
        <v>1082</v>
      </c>
      <c r="F5027" s="10" t="s">
        <v>1082</v>
      </c>
      <c r="G5027" s="11" t="s">
        <v>938</v>
      </c>
      <c r="H5027" s="2" t="s">
        <v>149</v>
      </c>
      <c r="L5027" s="18">
        <v>0</v>
      </c>
      <c r="Q5027" s="18">
        <v>0</v>
      </c>
      <c r="U5027" s="22">
        <v>0.68</v>
      </c>
      <c r="V5027" s="22">
        <f>3.53/5</f>
        <v>0.70599999999999996</v>
      </c>
      <c r="X5027" s="3">
        <v>3</v>
      </c>
      <c r="Z5027" s="23">
        <v>11.5</v>
      </c>
      <c r="AB5027" s="18">
        <f t="shared" si="156"/>
        <v>2009</v>
      </c>
      <c r="AC5027" s="22">
        <f t="shared" si="157"/>
        <v>0.66200000000000003</v>
      </c>
    </row>
    <row r="5028" spans="1:29" ht="30">
      <c r="A5028" s="8" t="s">
        <v>6271</v>
      </c>
      <c r="B5028" s="17" t="s">
        <v>7762</v>
      </c>
      <c r="C5028" s="13">
        <v>40171</v>
      </c>
      <c r="D5028" s="13" t="s">
        <v>8463</v>
      </c>
      <c r="E5028" s="10" t="s">
        <v>54</v>
      </c>
      <c r="F5028" s="10" t="s">
        <v>6261</v>
      </c>
      <c r="G5028" s="11" t="s">
        <v>330</v>
      </c>
      <c r="H5028" s="2" t="s">
        <v>21</v>
      </c>
      <c r="K5028" s="18">
        <v>0</v>
      </c>
      <c r="L5028" s="18">
        <v>0</v>
      </c>
      <c r="Q5028" s="18">
        <v>0</v>
      </c>
      <c r="V5028" s="22">
        <f>4.01/5</f>
        <v>0.80199999999999994</v>
      </c>
      <c r="X5028" s="3">
        <v>3</v>
      </c>
      <c r="Z5028" s="23">
        <v>0.48</v>
      </c>
      <c r="AB5028" s="18">
        <f t="shared" si="156"/>
        <v>2009</v>
      </c>
      <c r="AC5028" s="22">
        <f t="shared" si="157"/>
        <v>0.70099999999999996</v>
      </c>
    </row>
    <row r="5029" spans="1:29">
      <c r="A5029" s="8" t="s">
        <v>15615</v>
      </c>
      <c r="B5029" s="17" t="s">
        <v>7765</v>
      </c>
      <c r="C5029" s="13">
        <v>40170</v>
      </c>
      <c r="D5029" s="13" t="s">
        <v>8465</v>
      </c>
      <c r="E5029" s="10" t="s">
        <v>1082</v>
      </c>
      <c r="F5029" s="10" t="s">
        <v>15616</v>
      </c>
      <c r="H5029" s="2" t="s">
        <v>1054</v>
      </c>
      <c r="L5029" s="18">
        <v>0</v>
      </c>
      <c r="Q5029" s="18">
        <v>0</v>
      </c>
      <c r="U5029" s="22">
        <v>0.41</v>
      </c>
      <c r="V5029" s="22">
        <f>2.72/5</f>
        <v>0.54400000000000004</v>
      </c>
      <c r="X5029" s="3">
        <v>2</v>
      </c>
      <c r="Y5029" s="18">
        <v>1</v>
      </c>
      <c r="Z5029" s="23">
        <v>1.5</v>
      </c>
      <c r="AB5029" s="18">
        <f t="shared" si="156"/>
        <v>2009</v>
      </c>
      <c r="AC5029" s="22">
        <f t="shared" si="157"/>
        <v>0.45133333333333336</v>
      </c>
    </row>
    <row r="5030" spans="1:29">
      <c r="A5030" s="8" t="s">
        <v>14386</v>
      </c>
      <c r="B5030" s="17" t="s">
        <v>7742</v>
      </c>
      <c r="C5030" s="13">
        <v>40168</v>
      </c>
      <c r="D5030" s="13" t="s">
        <v>8465</v>
      </c>
      <c r="E5030" s="10" t="s">
        <v>86</v>
      </c>
      <c r="F5030" s="10" t="s">
        <v>1069</v>
      </c>
      <c r="H5030" s="2" t="s">
        <v>1170</v>
      </c>
      <c r="L5030" s="18">
        <v>0</v>
      </c>
      <c r="Q5030" s="18">
        <v>0</v>
      </c>
      <c r="U5030" s="22">
        <v>0.56000000000000005</v>
      </c>
      <c r="V5030" s="22">
        <f>3.67/5</f>
        <v>0.73399999999999999</v>
      </c>
      <c r="X5030" s="3">
        <v>2</v>
      </c>
      <c r="AB5030" s="18">
        <f t="shared" si="156"/>
        <v>2009</v>
      </c>
      <c r="AC5030" s="22">
        <f t="shared" si="157"/>
        <v>0.56466666666666665</v>
      </c>
    </row>
    <row r="5031" spans="1:29" ht="30">
      <c r="A5031" s="8" t="s">
        <v>13604</v>
      </c>
      <c r="B5031" s="17" t="s">
        <v>7762</v>
      </c>
      <c r="C5031" s="13">
        <v>40164</v>
      </c>
      <c r="D5031" s="13" t="s">
        <v>8463</v>
      </c>
      <c r="E5031" s="10" t="s">
        <v>3568</v>
      </c>
      <c r="F5031" s="10" t="s">
        <v>470</v>
      </c>
      <c r="G5031" s="11" t="s">
        <v>13603</v>
      </c>
      <c r="H5031" s="2" t="s">
        <v>75</v>
      </c>
      <c r="K5031" s="18">
        <v>0</v>
      </c>
      <c r="L5031" s="18">
        <v>0</v>
      </c>
      <c r="Q5031" s="18">
        <v>0</v>
      </c>
      <c r="V5031" s="22">
        <f>3.84/5</f>
        <v>0.76800000000000002</v>
      </c>
      <c r="X5031" s="3">
        <v>2</v>
      </c>
      <c r="Z5031" s="23">
        <v>28</v>
      </c>
      <c r="AB5031" s="18">
        <f t="shared" si="156"/>
        <v>2009</v>
      </c>
      <c r="AC5031" s="22">
        <f t="shared" si="157"/>
        <v>0.58400000000000007</v>
      </c>
    </row>
    <row r="5032" spans="1:29">
      <c r="A5032" s="8" t="s">
        <v>4904</v>
      </c>
      <c r="B5032" s="17" t="s">
        <v>7800</v>
      </c>
      <c r="C5032" s="13">
        <v>40159</v>
      </c>
      <c r="D5032" s="13" t="s">
        <v>8465</v>
      </c>
      <c r="E5032" s="10" t="s">
        <v>4905</v>
      </c>
      <c r="F5032" s="10" t="s">
        <v>4906</v>
      </c>
      <c r="H5032" s="2" t="s">
        <v>64</v>
      </c>
      <c r="L5032" s="18">
        <v>1</v>
      </c>
      <c r="N5032" s="13">
        <v>40883</v>
      </c>
      <c r="P5032" s="18" t="s">
        <v>1107</v>
      </c>
      <c r="Q5032" s="18">
        <v>0</v>
      </c>
      <c r="U5032" s="22">
        <v>0.79</v>
      </c>
      <c r="V5032" s="22">
        <f>3.58/5</f>
        <v>0.71599999999999997</v>
      </c>
      <c r="W5032" s="14" t="s">
        <v>7777</v>
      </c>
      <c r="X5032" s="3">
        <v>2</v>
      </c>
      <c r="Z5032" s="23">
        <v>4.5</v>
      </c>
      <c r="AB5032" s="18">
        <f t="shared" si="156"/>
        <v>2009</v>
      </c>
      <c r="AC5032" s="22">
        <f t="shared" si="157"/>
        <v>0.63533333333333342</v>
      </c>
    </row>
    <row r="5033" spans="1:29">
      <c r="A5033" s="8" t="s">
        <v>9271</v>
      </c>
      <c r="B5033" s="17" t="s">
        <v>7748</v>
      </c>
      <c r="C5033" s="13">
        <v>40157</v>
      </c>
      <c r="D5033" s="13" t="s">
        <v>8463</v>
      </c>
      <c r="E5033" s="10" t="s">
        <v>5025</v>
      </c>
      <c r="F5033" s="10" t="s">
        <v>6037</v>
      </c>
      <c r="G5033" s="11" t="s">
        <v>2251</v>
      </c>
      <c r="H5033" s="2" t="s">
        <v>75</v>
      </c>
      <c r="K5033" s="18">
        <v>2</v>
      </c>
      <c r="L5033" s="18">
        <v>0</v>
      </c>
      <c r="Q5033" s="18">
        <v>0</v>
      </c>
      <c r="V5033" s="22">
        <f>4.25/5</f>
        <v>0.85</v>
      </c>
      <c r="X5033" s="3">
        <v>3</v>
      </c>
      <c r="AB5033" s="18">
        <f t="shared" si="156"/>
        <v>2009</v>
      </c>
      <c r="AC5033" s="22">
        <f t="shared" si="157"/>
        <v>0.72499999999999998</v>
      </c>
    </row>
    <row r="5034" spans="1:29" ht="38.25">
      <c r="A5034" s="8" t="s">
        <v>8875</v>
      </c>
      <c r="B5034" s="17" t="s">
        <v>7762</v>
      </c>
      <c r="C5034" s="13">
        <v>40157</v>
      </c>
      <c r="D5034" s="13" t="s">
        <v>8463</v>
      </c>
      <c r="E5034" s="10" t="s">
        <v>144</v>
      </c>
      <c r="F5034" s="10" t="s">
        <v>144</v>
      </c>
      <c r="G5034" s="11" t="s">
        <v>404</v>
      </c>
      <c r="H5034" s="2" t="s">
        <v>75</v>
      </c>
      <c r="K5034" s="18">
        <v>2</v>
      </c>
      <c r="L5034" s="18">
        <v>0</v>
      </c>
      <c r="Q5034" s="18">
        <v>0</v>
      </c>
      <c r="V5034" s="22">
        <f>4.22/5</f>
        <v>0.84399999999999997</v>
      </c>
      <c r="X5034" s="3">
        <v>3</v>
      </c>
      <c r="AB5034" s="18">
        <f t="shared" si="156"/>
        <v>2009</v>
      </c>
      <c r="AC5034" s="22">
        <f t="shared" si="157"/>
        <v>0.72199999999999998</v>
      </c>
    </row>
    <row r="5035" spans="1:29" ht="25.5">
      <c r="A5035" s="8" t="s">
        <v>1024</v>
      </c>
      <c r="B5035" s="17" t="s">
        <v>7741</v>
      </c>
      <c r="C5035" s="13">
        <v>40155</v>
      </c>
      <c r="D5035" s="13" t="s">
        <v>8465</v>
      </c>
      <c r="E5035" s="10" t="s">
        <v>72</v>
      </c>
      <c r="F5035" s="10" t="s">
        <v>1552</v>
      </c>
      <c r="G5035" s="11" t="s">
        <v>1449</v>
      </c>
      <c r="H5035" s="2" t="s">
        <v>1061</v>
      </c>
      <c r="L5035" s="18">
        <v>0</v>
      </c>
      <c r="Q5035" s="18">
        <v>0</v>
      </c>
      <c r="U5035" s="22">
        <v>0.79</v>
      </c>
      <c r="V5035" s="22">
        <f>3.89/5</f>
        <v>0.77800000000000002</v>
      </c>
      <c r="X5035" s="3">
        <v>4</v>
      </c>
      <c r="Z5035" s="23">
        <v>7</v>
      </c>
      <c r="AB5035" s="18">
        <f t="shared" si="156"/>
        <v>2009</v>
      </c>
      <c r="AC5035" s="22">
        <f t="shared" si="157"/>
        <v>0.78933333333333344</v>
      </c>
    </row>
    <row r="5036" spans="1:29">
      <c r="A5036" s="8" t="s">
        <v>6557</v>
      </c>
      <c r="B5036" s="17" t="s">
        <v>7800</v>
      </c>
      <c r="C5036" s="13">
        <v>40155</v>
      </c>
      <c r="D5036" s="13" t="s">
        <v>8465</v>
      </c>
      <c r="E5036" s="10" t="s">
        <v>231</v>
      </c>
      <c r="F5036" s="10" t="s">
        <v>5109</v>
      </c>
      <c r="H5036" s="2" t="s">
        <v>80</v>
      </c>
      <c r="L5036" s="18">
        <v>1</v>
      </c>
      <c r="N5036" s="13">
        <v>41793</v>
      </c>
      <c r="O5036" s="29">
        <v>5.99</v>
      </c>
      <c r="P5036" s="18" t="s">
        <v>1107</v>
      </c>
      <c r="Q5036" s="18">
        <v>0</v>
      </c>
      <c r="U5036" s="22">
        <v>0.73</v>
      </c>
      <c r="V5036" s="22">
        <f>3.75/5</f>
        <v>0.75</v>
      </c>
      <c r="W5036" s="14" t="s">
        <v>7796</v>
      </c>
      <c r="X5036" s="3">
        <v>3</v>
      </c>
      <c r="Z5036" s="23">
        <v>11</v>
      </c>
      <c r="AB5036" s="18">
        <f t="shared" si="156"/>
        <v>2009</v>
      </c>
      <c r="AC5036" s="22">
        <f t="shared" si="157"/>
        <v>0.69333333333333336</v>
      </c>
    </row>
    <row r="5037" spans="1:29">
      <c r="A5037" s="8" t="s">
        <v>11588</v>
      </c>
      <c r="B5037" s="17" t="s">
        <v>7748</v>
      </c>
      <c r="C5037" s="13">
        <v>40150</v>
      </c>
      <c r="D5037" s="13" t="s">
        <v>8463</v>
      </c>
      <c r="E5037" s="10" t="s">
        <v>228</v>
      </c>
      <c r="F5037" s="10" t="s">
        <v>1416</v>
      </c>
      <c r="G5037" s="11" t="s">
        <v>1987</v>
      </c>
      <c r="H5037" s="2" t="s">
        <v>1143</v>
      </c>
      <c r="K5037" s="18">
        <v>0</v>
      </c>
      <c r="L5037" s="18">
        <v>0</v>
      </c>
      <c r="Q5037" s="18">
        <v>0</v>
      </c>
      <c r="V5037" s="22">
        <f>3.86/5</f>
        <v>0.77200000000000002</v>
      </c>
      <c r="X5037" s="3">
        <v>2</v>
      </c>
      <c r="AB5037" s="18">
        <f t="shared" si="156"/>
        <v>2009</v>
      </c>
      <c r="AC5037" s="22">
        <f t="shared" si="157"/>
        <v>0.58600000000000008</v>
      </c>
    </row>
    <row r="5038" spans="1:29">
      <c r="A5038" s="8" t="s">
        <v>15651</v>
      </c>
      <c r="B5038" s="17" t="s">
        <v>7748</v>
      </c>
      <c r="C5038" s="13">
        <v>40150</v>
      </c>
      <c r="D5038" s="13" t="s">
        <v>8463</v>
      </c>
      <c r="E5038" s="10" t="s">
        <v>1082</v>
      </c>
      <c r="F5038" s="10" t="s">
        <v>15652</v>
      </c>
      <c r="H5038" s="2" t="s">
        <v>171</v>
      </c>
      <c r="K5038" s="18">
        <v>1</v>
      </c>
      <c r="L5038" s="18">
        <v>0</v>
      </c>
      <c r="Q5038" s="18">
        <v>0</v>
      </c>
      <c r="V5038" s="22">
        <f>3.95/5</f>
        <v>0.79</v>
      </c>
      <c r="X5038" s="3">
        <v>2</v>
      </c>
      <c r="AB5038" s="18">
        <f t="shared" si="156"/>
        <v>2009</v>
      </c>
      <c r="AC5038" s="22">
        <f t="shared" si="157"/>
        <v>0.59499999999999997</v>
      </c>
    </row>
    <row r="5039" spans="1:29" ht="30">
      <c r="A5039" s="8" t="s">
        <v>4869</v>
      </c>
      <c r="B5039" s="17" t="s">
        <v>7800</v>
      </c>
      <c r="C5039" s="13">
        <v>40148</v>
      </c>
      <c r="D5039" s="13" t="s">
        <v>8465</v>
      </c>
      <c r="E5039" s="10" t="s">
        <v>1690</v>
      </c>
      <c r="F5039" s="10" t="s">
        <v>3152</v>
      </c>
      <c r="H5039" s="2" t="s">
        <v>1050</v>
      </c>
      <c r="L5039" s="18">
        <v>1</v>
      </c>
      <c r="N5039" s="13">
        <v>42726</v>
      </c>
      <c r="O5039" s="29">
        <v>1.64</v>
      </c>
      <c r="P5039" s="18" t="s">
        <v>1107</v>
      </c>
      <c r="Q5039" s="18">
        <v>0</v>
      </c>
      <c r="U5039" s="22">
        <v>0.27</v>
      </c>
      <c r="V5039" s="22">
        <f>2.13/5</f>
        <v>0.42599999999999999</v>
      </c>
      <c r="W5039" s="14" t="s">
        <v>7777</v>
      </c>
      <c r="X5039" s="3">
        <v>3</v>
      </c>
      <c r="Z5039" s="23">
        <v>2</v>
      </c>
      <c r="AB5039" s="18">
        <f t="shared" si="156"/>
        <v>2009</v>
      </c>
      <c r="AC5039" s="22">
        <f t="shared" si="157"/>
        <v>0.43199999999999994</v>
      </c>
    </row>
    <row r="5040" spans="1:29">
      <c r="A5040" s="8" t="s">
        <v>10857</v>
      </c>
      <c r="B5040" s="17" t="s">
        <v>6317</v>
      </c>
      <c r="C5040" s="13">
        <v>40144</v>
      </c>
      <c r="D5040" s="13" t="s">
        <v>8465</v>
      </c>
      <c r="E5040" s="10" t="s">
        <v>472</v>
      </c>
      <c r="F5040" s="10" t="s">
        <v>467</v>
      </c>
      <c r="G5040" s="11" t="s">
        <v>546</v>
      </c>
      <c r="H5040" s="2" t="s">
        <v>21</v>
      </c>
      <c r="L5040" s="18">
        <v>0</v>
      </c>
      <c r="Q5040" s="18">
        <v>0</v>
      </c>
      <c r="V5040" s="22">
        <f>4.14/5</f>
        <v>0.82799999999999996</v>
      </c>
      <c r="X5040" s="3">
        <v>3</v>
      </c>
      <c r="Z5040" s="23">
        <f>38/60</f>
        <v>0.6333333333333333</v>
      </c>
      <c r="AB5040" s="18">
        <f t="shared" si="156"/>
        <v>2009</v>
      </c>
      <c r="AC5040" s="22">
        <f t="shared" si="157"/>
        <v>0.71399999999999997</v>
      </c>
    </row>
    <row r="5041" spans="1:29">
      <c r="A5041" s="8" t="s">
        <v>10514</v>
      </c>
      <c r="B5041" s="17" t="s">
        <v>7741</v>
      </c>
      <c r="C5041" s="13">
        <v>40143</v>
      </c>
      <c r="D5041" s="13" t="s">
        <v>8463</v>
      </c>
      <c r="E5041" s="10" t="s">
        <v>455</v>
      </c>
      <c r="F5041" s="10" t="s">
        <v>1492</v>
      </c>
      <c r="G5041" s="11" t="s">
        <v>1211</v>
      </c>
      <c r="H5041" s="2" t="s">
        <v>78</v>
      </c>
      <c r="K5041" s="18">
        <v>2</v>
      </c>
      <c r="L5041" s="18">
        <v>0</v>
      </c>
      <c r="Q5041" s="18">
        <v>0</v>
      </c>
      <c r="V5041" s="22">
        <f>4.06/5</f>
        <v>0.81199999999999994</v>
      </c>
      <c r="X5041" s="3">
        <v>3</v>
      </c>
      <c r="Z5041" s="23">
        <v>3.5</v>
      </c>
      <c r="AB5041" s="18">
        <f t="shared" si="156"/>
        <v>2009</v>
      </c>
      <c r="AC5041" s="22">
        <f t="shared" si="157"/>
        <v>0.70599999999999996</v>
      </c>
    </row>
    <row r="5042" spans="1:29" ht="25.5">
      <c r="A5042" s="8" t="s">
        <v>12378</v>
      </c>
      <c r="B5042" s="17" t="s">
        <v>8754</v>
      </c>
      <c r="C5042" s="13">
        <v>40142</v>
      </c>
      <c r="D5042" s="13" t="s">
        <v>8463</v>
      </c>
      <c r="E5042" s="10" t="s">
        <v>234</v>
      </c>
      <c r="F5042" s="10" t="s">
        <v>234</v>
      </c>
      <c r="H5042" s="2" t="s">
        <v>21</v>
      </c>
      <c r="K5042" s="18">
        <v>0</v>
      </c>
      <c r="L5042" s="18">
        <v>0</v>
      </c>
      <c r="Q5042" s="18">
        <v>0</v>
      </c>
      <c r="V5042" s="22">
        <f>4.25/5</f>
        <v>0.85</v>
      </c>
      <c r="W5042" s="14" t="s">
        <v>9890</v>
      </c>
      <c r="X5042" s="3">
        <v>2</v>
      </c>
      <c r="AB5042" s="18">
        <f t="shared" si="156"/>
        <v>2009</v>
      </c>
      <c r="AC5042" s="22">
        <f t="shared" si="157"/>
        <v>0.625</v>
      </c>
    </row>
    <row r="5043" spans="1:29" ht="38.25">
      <c r="A5043" s="8" t="s">
        <v>10669</v>
      </c>
      <c r="B5043" s="17" t="s">
        <v>7748</v>
      </c>
      <c r="C5043" s="13">
        <v>40142</v>
      </c>
      <c r="D5043" s="13" t="s">
        <v>8465</v>
      </c>
      <c r="E5043" s="10" t="s">
        <v>3047</v>
      </c>
      <c r="F5043" s="10" t="s">
        <v>10670</v>
      </c>
      <c r="G5043" s="11" t="s">
        <v>10671</v>
      </c>
      <c r="H5043" s="2" t="s">
        <v>1377</v>
      </c>
      <c r="L5043" s="18">
        <v>0</v>
      </c>
      <c r="Q5043" s="18">
        <v>0</v>
      </c>
      <c r="U5043" s="22">
        <v>0.45</v>
      </c>
      <c r="V5043" s="22">
        <f>3.93/5</f>
        <v>0.78600000000000003</v>
      </c>
      <c r="X5043" s="3">
        <v>2</v>
      </c>
      <c r="Z5043" s="23">
        <v>8</v>
      </c>
      <c r="AB5043" s="18">
        <f t="shared" si="156"/>
        <v>2009</v>
      </c>
      <c r="AC5043" s="22">
        <f t="shared" si="157"/>
        <v>0.54533333333333334</v>
      </c>
    </row>
    <row r="5044" spans="1:29">
      <c r="A5044" s="8" t="s">
        <v>14985</v>
      </c>
      <c r="B5044" s="17" t="s">
        <v>7786</v>
      </c>
      <c r="C5044" s="13">
        <v>40141</v>
      </c>
      <c r="D5044" s="13" t="s">
        <v>8465</v>
      </c>
      <c r="E5044" s="10" t="s">
        <v>2661</v>
      </c>
      <c r="F5044" s="10" t="s">
        <v>14986</v>
      </c>
      <c r="H5044" s="2" t="s">
        <v>21</v>
      </c>
      <c r="L5044" s="18">
        <v>0</v>
      </c>
      <c r="Q5044" s="18">
        <v>0</v>
      </c>
      <c r="V5044" s="22">
        <f>4.2/5</f>
        <v>0.84000000000000008</v>
      </c>
      <c r="X5044" s="3">
        <v>2</v>
      </c>
      <c r="AB5044" s="18">
        <f t="shared" si="156"/>
        <v>2009</v>
      </c>
      <c r="AC5044" s="22">
        <f t="shared" si="157"/>
        <v>0.62000000000000011</v>
      </c>
    </row>
    <row r="5045" spans="1:29" ht="25.5">
      <c r="A5045" s="8" t="s">
        <v>4947</v>
      </c>
      <c r="B5045" s="17" t="s">
        <v>7800</v>
      </c>
      <c r="C5045" s="13">
        <v>40141</v>
      </c>
      <c r="D5045" s="13" t="s">
        <v>8465</v>
      </c>
      <c r="E5045" s="10" t="s">
        <v>3063</v>
      </c>
      <c r="F5045" s="10" t="s">
        <v>4942</v>
      </c>
      <c r="G5045" s="11" t="s">
        <v>4943</v>
      </c>
      <c r="H5045" s="2" t="s">
        <v>1050</v>
      </c>
      <c r="L5045" s="18">
        <v>1</v>
      </c>
      <c r="N5045" s="13">
        <v>41431</v>
      </c>
      <c r="P5045" s="18" t="s">
        <v>1107</v>
      </c>
      <c r="Q5045" s="18">
        <v>0</v>
      </c>
      <c r="U5045" s="22">
        <v>0.7</v>
      </c>
      <c r="V5045" s="22">
        <f>3.71/5</f>
        <v>0.74199999999999999</v>
      </c>
      <c r="W5045" s="14" t="s">
        <v>7777</v>
      </c>
      <c r="X5045" s="3">
        <v>3</v>
      </c>
      <c r="Z5045" s="23">
        <v>6</v>
      </c>
      <c r="AB5045" s="18">
        <f t="shared" si="156"/>
        <v>2009</v>
      </c>
      <c r="AC5045" s="22">
        <f t="shared" si="157"/>
        <v>0.68066666666666664</v>
      </c>
    </row>
    <row r="5046" spans="1:29">
      <c r="A5046" s="8" t="s">
        <v>11249</v>
      </c>
      <c r="B5046" s="17" t="s">
        <v>8754</v>
      </c>
      <c r="C5046" s="13">
        <v>40140</v>
      </c>
      <c r="D5046" s="13" t="s">
        <v>8465</v>
      </c>
      <c r="E5046" s="10" t="s">
        <v>7461</v>
      </c>
      <c r="F5046" s="10" t="s">
        <v>7461</v>
      </c>
      <c r="H5046" s="2" t="s">
        <v>64</v>
      </c>
      <c r="L5046" s="18">
        <v>1</v>
      </c>
      <c r="N5046" s="13">
        <v>44626</v>
      </c>
      <c r="O5046" s="29">
        <v>4.99</v>
      </c>
      <c r="P5046" s="18" t="s">
        <v>1107</v>
      </c>
      <c r="Q5046" s="18">
        <v>0</v>
      </c>
      <c r="V5046" s="22">
        <f>3.45/5</f>
        <v>0.69000000000000006</v>
      </c>
      <c r="X5046" s="3">
        <v>2</v>
      </c>
      <c r="Z5046" s="23">
        <f>36/60</f>
        <v>0.6</v>
      </c>
      <c r="AB5046" s="18">
        <f t="shared" si="156"/>
        <v>2009</v>
      </c>
      <c r="AC5046" s="22">
        <f t="shared" si="157"/>
        <v>0.54500000000000004</v>
      </c>
    </row>
    <row r="5047" spans="1:29" ht="25.5">
      <c r="A5047" s="8" t="s">
        <v>7500</v>
      </c>
      <c r="B5047" s="17" t="s">
        <v>7742</v>
      </c>
      <c r="C5047" s="13">
        <v>40140</v>
      </c>
      <c r="D5047" s="13" t="s">
        <v>8465</v>
      </c>
      <c r="E5047" s="10" t="s">
        <v>66</v>
      </c>
      <c r="F5047" s="10" t="s">
        <v>1521</v>
      </c>
      <c r="G5047" s="11" t="s">
        <v>710</v>
      </c>
      <c r="H5047" s="2" t="s">
        <v>1334</v>
      </c>
      <c r="L5047" s="18">
        <v>0</v>
      </c>
      <c r="Q5047" s="18">
        <v>0</v>
      </c>
      <c r="U5047" s="22">
        <v>0.4</v>
      </c>
      <c r="V5047" s="22">
        <f>3.22/5</f>
        <v>0.64400000000000002</v>
      </c>
      <c r="X5047" s="3">
        <v>2</v>
      </c>
      <c r="AB5047" s="18">
        <f t="shared" si="156"/>
        <v>2009</v>
      </c>
      <c r="AC5047" s="22">
        <f t="shared" si="157"/>
        <v>0.48133333333333334</v>
      </c>
    </row>
    <row r="5048" spans="1:29" ht="25.5">
      <c r="A5048" s="8" t="s">
        <v>4242</v>
      </c>
      <c r="B5048" s="17" t="s">
        <v>7800</v>
      </c>
      <c r="C5048" s="13">
        <v>40137</v>
      </c>
      <c r="D5048" s="13" t="s">
        <v>8465</v>
      </c>
      <c r="E5048" s="10" t="s">
        <v>3608</v>
      </c>
      <c r="F5048" s="10" t="s">
        <v>4243</v>
      </c>
      <c r="G5048" s="11" t="s">
        <v>2571</v>
      </c>
      <c r="H5048" s="2" t="s">
        <v>1720</v>
      </c>
      <c r="L5048" s="18">
        <v>1</v>
      </c>
      <c r="N5048" s="13">
        <v>41117</v>
      </c>
      <c r="P5048" s="18" t="s">
        <v>1107</v>
      </c>
      <c r="Q5048" s="18">
        <v>0</v>
      </c>
      <c r="U5048" s="22">
        <v>0.81</v>
      </c>
      <c r="V5048" s="22">
        <f>3.9/5</f>
        <v>0.78</v>
      </c>
      <c r="W5048" s="14" t="s">
        <v>7777</v>
      </c>
      <c r="X5048" s="3">
        <v>3</v>
      </c>
      <c r="Z5048" s="23">
        <v>28</v>
      </c>
      <c r="AB5048" s="18">
        <f t="shared" si="156"/>
        <v>2009</v>
      </c>
      <c r="AC5048" s="22">
        <f t="shared" si="157"/>
        <v>0.73</v>
      </c>
    </row>
    <row r="5049" spans="1:29" ht="25.5">
      <c r="A5049" s="8" t="s">
        <v>12335</v>
      </c>
      <c r="B5049" s="17" t="s">
        <v>7748</v>
      </c>
      <c r="C5049" s="13">
        <v>40136</v>
      </c>
      <c r="D5049" s="13" t="s">
        <v>8463</v>
      </c>
      <c r="E5049" s="10" t="s">
        <v>12336</v>
      </c>
      <c r="F5049" s="10" t="s">
        <v>12336</v>
      </c>
      <c r="G5049" s="11" t="s">
        <v>5566</v>
      </c>
      <c r="H5049" s="2" t="s">
        <v>149</v>
      </c>
      <c r="K5049" s="18">
        <v>1</v>
      </c>
      <c r="L5049" s="18">
        <v>0</v>
      </c>
      <c r="Q5049" s="18">
        <v>0</v>
      </c>
      <c r="V5049" s="22">
        <f>3.5/5</f>
        <v>0.7</v>
      </c>
      <c r="X5049" s="3">
        <v>3</v>
      </c>
      <c r="AB5049" s="18">
        <f t="shared" si="156"/>
        <v>2009</v>
      </c>
      <c r="AC5049" s="22">
        <f t="shared" si="157"/>
        <v>0.64999999999999991</v>
      </c>
    </row>
    <row r="5050" spans="1:29" ht="25.5">
      <c r="A5050" s="8" t="s">
        <v>1020</v>
      </c>
      <c r="B5050" s="17" t="s">
        <v>7741</v>
      </c>
      <c r="C5050" s="13">
        <v>40134</v>
      </c>
      <c r="D5050" s="13" t="s">
        <v>8465</v>
      </c>
      <c r="E5050" s="10" t="s">
        <v>73</v>
      </c>
      <c r="F5050" s="10" t="s">
        <v>73</v>
      </c>
      <c r="G5050" s="11" t="s">
        <v>943</v>
      </c>
      <c r="H5050" s="2" t="s">
        <v>1170</v>
      </c>
      <c r="L5050" s="18">
        <v>0</v>
      </c>
      <c r="Q5050" s="18">
        <v>0</v>
      </c>
      <c r="U5050" s="22">
        <v>0.75</v>
      </c>
      <c r="V5050" s="22">
        <f>3.86/5</f>
        <v>0.77200000000000002</v>
      </c>
      <c r="X5050" s="3">
        <v>4</v>
      </c>
      <c r="Z5050" s="23">
        <v>8.5</v>
      </c>
      <c r="AB5050" s="18">
        <f t="shared" si="156"/>
        <v>2009</v>
      </c>
      <c r="AC5050" s="22">
        <f t="shared" si="157"/>
        <v>0.77400000000000002</v>
      </c>
    </row>
    <row r="5051" spans="1:29">
      <c r="A5051" s="8" t="s">
        <v>4286</v>
      </c>
      <c r="B5051" s="17" t="s">
        <v>7800</v>
      </c>
      <c r="C5051" s="13">
        <v>40134</v>
      </c>
      <c r="D5051" s="13" t="s">
        <v>8465</v>
      </c>
      <c r="E5051" s="10" t="s">
        <v>4070</v>
      </c>
      <c r="F5051" s="10" t="s">
        <v>4070</v>
      </c>
      <c r="G5051" s="11" t="s">
        <v>4284</v>
      </c>
      <c r="H5051" s="2" t="s">
        <v>1050</v>
      </c>
      <c r="L5051" s="18">
        <v>1</v>
      </c>
      <c r="N5051" s="13">
        <v>41104</v>
      </c>
      <c r="O5051" s="29">
        <v>3.74</v>
      </c>
      <c r="P5051" s="18" t="s">
        <v>1107</v>
      </c>
      <c r="Q5051" s="18">
        <v>0</v>
      </c>
      <c r="U5051" s="22">
        <v>0.88</v>
      </c>
      <c r="V5051" s="22">
        <f>4/5</f>
        <v>0.8</v>
      </c>
      <c r="W5051" s="14" t="s">
        <v>7777</v>
      </c>
      <c r="X5051" s="3">
        <v>3</v>
      </c>
      <c r="Z5051" s="23">
        <v>9</v>
      </c>
      <c r="AB5051" s="18">
        <f t="shared" si="156"/>
        <v>2009</v>
      </c>
      <c r="AC5051" s="22">
        <f t="shared" si="157"/>
        <v>0.76000000000000012</v>
      </c>
    </row>
    <row r="5052" spans="1:29" ht="38.25">
      <c r="A5052" s="8" t="s">
        <v>4300</v>
      </c>
      <c r="B5052" s="17" t="s">
        <v>7800</v>
      </c>
      <c r="C5052" s="13">
        <v>40134</v>
      </c>
      <c r="D5052" s="13" t="s">
        <v>8465</v>
      </c>
      <c r="E5052" s="10" t="s">
        <v>1284</v>
      </c>
      <c r="F5052" s="10" t="s">
        <v>1309</v>
      </c>
      <c r="G5052" s="11" t="s">
        <v>4301</v>
      </c>
      <c r="H5052" s="2" t="s">
        <v>80</v>
      </c>
      <c r="L5052" s="18">
        <v>1</v>
      </c>
      <c r="N5052" s="13">
        <v>43643</v>
      </c>
      <c r="O5052" s="29">
        <v>4.99</v>
      </c>
      <c r="P5052" s="18" t="s">
        <v>1107</v>
      </c>
      <c r="Q5052" s="18">
        <v>0</v>
      </c>
      <c r="U5052" s="22">
        <v>0.63</v>
      </c>
      <c r="V5052" s="22">
        <f>3.66/5</f>
        <v>0.73199999999999998</v>
      </c>
      <c r="W5052" s="14" t="s">
        <v>7777</v>
      </c>
      <c r="X5052" s="3">
        <v>3</v>
      </c>
      <c r="Z5052" s="23">
        <v>10</v>
      </c>
      <c r="AB5052" s="18">
        <f t="shared" si="156"/>
        <v>2009</v>
      </c>
      <c r="AC5052" s="22">
        <f t="shared" si="157"/>
        <v>0.65400000000000003</v>
      </c>
    </row>
    <row r="5053" spans="1:29" ht="30">
      <c r="A5053" s="8" t="s">
        <v>4024</v>
      </c>
      <c r="B5053" s="17" t="s">
        <v>7800</v>
      </c>
      <c r="C5053" s="13">
        <v>40134</v>
      </c>
      <c r="D5053" s="13" t="s">
        <v>8465</v>
      </c>
      <c r="E5053" s="10" t="s">
        <v>4025</v>
      </c>
      <c r="F5053" s="10" t="s">
        <v>4025</v>
      </c>
      <c r="G5053" s="11" t="s">
        <v>4024</v>
      </c>
      <c r="H5053" s="2" t="s">
        <v>61</v>
      </c>
      <c r="L5053" s="18">
        <v>1</v>
      </c>
      <c r="N5053" s="13">
        <v>40890</v>
      </c>
      <c r="P5053" s="18" t="s">
        <v>1107</v>
      </c>
      <c r="Q5053" s="18">
        <v>0</v>
      </c>
      <c r="U5053" s="22">
        <v>0.76</v>
      </c>
      <c r="V5053" s="22">
        <f>3.3/5</f>
        <v>0.65999999999999992</v>
      </c>
      <c r="W5053" s="14" t="s">
        <v>7777</v>
      </c>
      <c r="X5053" s="3">
        <v>2</v>
      </c>
      <c r="Z5053" s="23">
        <v>3</v>
      </c>
      <c r="AB5053" s="18">
        <f t="shared" si="156"/>
        <v>2009</v>
      </c>
      <c r="AC5053" s="22">
        <f t="shared" si="157"/>
        <v>0.60666666666666658</v>
      </c>
    </row>
    <row r="5054" spans="1:29">
      <c r="A5054" s="8" t="s">
        <v>7704</v>
      </c>
      <c r="B5054" s="17" t="s">
        <v>7742</v>
      </c>
      <c r="C5054" s="13">
        <v>40133</v>
      </c>
      <c r="D5054" s="13" t="s">
        <v>8465</v>
      </c>
      <c r="E5054" s="10" t="s">
        <v>7684</v>
      </c>
      <c r="F5054" s="10" t="s">
        <v>7701</v>
      </c>
      <c r="G5054" s="11" t="s">
        <v>1470</v>
      </c>
      <c r="H5054" s="2" t="s">
        <v>153</v>
      </c>
      <c r="L5054" s="18">
        <v>0</v>
      </c>
      <c r="Q5054" s="18">
        <v>0</v>
      </c>
      <c r="U5054" s="22">
        <v>0.66</v>
      </c>
      <c r="V5054" s="22">
        <f>3.78/5</f>
        <v>0.75600000000000001</v>
      </c>
      <c r="X5054" s="3">
        <v>3</v>
      </c>
      <c r="Z5054" s="23">
        <v>3</v>
      </c>
      <c r="AB5054" s="18">
        <f t="shared" si="156"/>
        <v>2009</v>
      </c>
      <c r="AC5054" s="22">
        <f t="shared" si="157"/>
        <v>0.67200000000000004</v>
      </c>
    </row>
    <row r="5055" spans="1:29">
      <c r="A5055" s="8" t="s">
        <v>11295</v>
      </c>
      <c r="B5055" s="17" t="s">
        <v>8754</v>
      </c>
      <c r="C5055" s="13">
        <v>40133</v>
      </c>
      <c r="D5055" s="13" t="s">
        <v>8465</v>
      </c>
      <c r="E5055" s="10" t="s">
        <v>86</v>
      </c>
      <c r="F5055" s="10" t="s">
        <v>2127</v>
      </c>
      <c r="G5055" s="11" t="s">
        <v>11257</v>
      </c>
      <c r="H5055" s="2" t="s">
        <v>78</v>
      </c>
      <c r="L5055" s="18">
        <v>1</v>
      </c>
      <c r="N5055" s="13">
        <v>44666</v>
      </c>
      <c r="O5055" s="29">
        <v>4.99</v>
      </c>
      <c r="P5055" s="18" t="s">
        <v>1107</v>
      </c>
      <c r="Q5055" s="18">
        <v>0</v>
      </c>
      <c r="U5055" s="22">
        <v>0.83</v>
      </c>
      <c r="V5055" s="22">
        <f>3.67/5</f>
        <v>0.73399999999999999</v>
      </c>
      <c r="X5055" s="3">
        <v>2</v>
      </c>
      <c r="AB5055" s="18">
        <f t="shared" si="156"/>
        <v>2009</v>
      </c>
      <c r="AC5055" s="22">
        <f t="shared" si="157"/>
        <v>0.65466666666666662</v>
      </c>
    </row>
    <row r="5056" spans="1:29">
      <c r="A5056" s="8" t="s">
        <v>3558</v>
      </c>
      <c r="B5056" s="17" t="s">
        <v>7800</v>
      </c>
      <c r="C5056" s="13">
        <v>40130</v>
      </c>
      <c r="D5056" s="13" t="s">
        <v>8465</v>
      </c>
      <c r="E5056" s="10" t="s">
        <v>3559</v>
      </c>
      <c r="F5056" s="10" t="s">
        <v>3560</v>
      </c>
      <c r="G5056" s="11" t="s">
        <v>3557</v>
      </c>
      <c r="H5056" s="2" t="s">
        <v>67</v>
      </c>
      <c r="L5056" s="18">
        <v>1</v>
      </c>
      <c r="N5056" s="13">
        <v>43361</v>
      </c>
      <c r="O5056" s="29">
        <v>2.59</v>
      </c>
      <c r="P5056" s="18" t="s">
        <v>1107</v>
      </c>
      <c r="Q5056" s="18">
        <v>0</v>
      </c>
      <c r="U5056" s="22">
        <v>0.77</v>
      </c>
      <c r="V5056" s="22">
        <f>3.79/5</f>
        <v>0.75800000000000001</v>
      </c>
      <c r="W5056" s="14" t="s">
        <v>7777</v>
      </c>
      <c r="X5056" s="3">
        <v>3</v>
      </c>
      <c r="Z5056" s="23">
        <v>7</v>
      </c>
      <c r="AB5056" s="18">
        <f t="shared" si="156"/>
        <v>2009</v>
      </c>
      <c r="AC5056" s="22">
        <f t="shared" si="157"/>
        <v>0.70933333333333337</v>
      </c>
    </row>
    <row r="5057" spans="1:29" ht="25.5">
      <c r="A5057" s="8" t="s">
        <v>7381</v>
      </c>
      <c r="B5057" s="17" t="s">
        <v>7741</v>
      </c>
      <c r="C5057" s="13">
        <v>40129</v>
      </c>
      <c r="D5057" s="13" t="s">
        <v>8465</v>
      </c>
      <c r="E5057" s="10" t="s">
        <v>66</v>
      </c>
      <c r="F5057" s="10" t="s">
        <v>6645</v>
      </c>
      <c r="G5057" s="11" t="s">
        <v>710</v>
      </c>
      <c r="H5057" s="2" t="s">
        <v>1334</v>
      </c>
      <c r="L5057" s="18">
        <v>0</v>
      </c>
      <c r="Q5057" s="18">
        <v>0</v>
      </c>
      <c r="U5057" s="22">
        <v>0.79</v>
      </c>
      <c r="V5057" s="22">
        <f>4.22/5</f>
        <v>0.84399999999999997</v>
      </c>
      <c r="X5057" s="3">
        <v>3</v>
      </c>
      <c r="Z5057" s="23">
        <v>23.5</v>
      </c>
      <c r="AB5057" s="18">
        <f t="shared" ref="AB5057:AB5120" si="158">IFERROR(YEAR(C5057), "Early Access")</f>
        <v>2009</v>
      </c>
      <c r="AC5057" s="22">
        <f t="shared" ref="AC5057:AC5120" si="159">AVERAGE(T5057, U5057, V5057, IF(ISBLANK(X5057), X5057, X5057/5))</f>
        <v>0.7446666666666667</v>
      </c>
    </row>
    <row r="5058" spans="1:29" ht="38.25">
      <c r="A5058" s="8" t="s">
        <v>9111</v>
      </c>
      <c r="B5058" s="17" t="s">
        <v>7748</v>
      </c>
      <c r="C5058" s="13">
        <v>40129</v>
      </c>
      <c r="D5058" s="13" t="s">
        <v>8463</v>
      </c>
      <c r="E5058" s="10" t="s">
        <v>73</v>
      </c>
      <c r="F5058" s="10" t="s">
        <v>73</v>
      </c>
      <c r="G5058" s="11" t="s">
        <v>2312</v>
      </c>
      <c r="H5058" s="2" t="s">
        <v>171</v>
      </c>
      <c r="K5058" s="18">
        <v>2</v>
      </c>
      <c r="L5058" s="18">
        <v>0</v>
      </c>
      <c r="Q5058" s="18">
        <v>0</v>
      </c>
      <c r="V5058" s="22">
        <f>4.08/5</f>
        <v>0.81600000000000006</v>
      </c>
      <c r="X5058" s="3">
        <v>3</v>
      </c>
      <c r="Z5058" s="23">
        <v>12.5</v>
      </c>
      <c r="AB5058" s="18">
        <f t="shared" si="158"/>
        <v>2009</v>
      </c>
      <c r="AC5058" s="22">
        <f t="shared" si="159"/>
        <v>0.70799999999999996</v>
      </c>
    </row>
    <row r="5059" spans="1:29" ht="25.5">
      <c r="A5059" s="8" t="s">
        <v>6675</v>
      </c>
      <c r="B5059" s="17" t="s">
        <v>7748</v>
      </c>
      <c r="C5059" s="13">
        <v>40127</v>
      </c>
      <c r="D5059" s="13" t="s">
        <v>8465</v>
      </c>
      <c r="E5059" s="10" t="s">
        <v>1273</v>
      </c>
      <c r="F5059" s="10" t="s">
        <v>2454</v>
      </c>
      <c r="G5059" s="11" t="s">
        <v>3401</v>
      </c>
      <c r="H5059" s="2" t="s">
        <v>1050</v>
      </c>
      <c r="L5059" s="18">
        <v>0</v>
      </c>
      <c r="Q5059" s="18">
        <v>0</v>
      </c>
      <c r="U5059" s="22">
        <v>0.75</v>
      </c>
      <c r="V5059" s="22">
        <f>3.63/5</f>
        <v>0.72599999999999998</v>
      </c>
      <c r="X5059" s="3">
        <v>2</v>
      </c>
      <c r="Z5059" s="23">
        <v>5</v>
      </c>
      <c r="AB5059" s="18">
        <f t="shared" si="158"/>
        <v>2009</v>
      </c>
      <c r="AC5059" s="22">
        <f t="shared" si="159"/>
        <v>0.6253333333333333</v>
      </c>
    </row>
    <row r="5060" spans="1:29" ht="38.25">
      <c r="A5060" s="8" t="s">
        <v>6677</v>
      </c>
      <c r="B5060" s="17" t="s">
        <v>7741</v>
      </c>
      <c r="C5060" s="13">
        <v>40127</v>
      </c>
      <c r="D5060" s="13" t="s">
        <v>8465</v>
      </c>
      <c r="E5060" s="10" t="s">
        <v>1273</v>
      </c>
      <c r="F5060" s="10" t="s">
        <v>1508</v>
      </c>
      <c r="G5060" s="11" t="s">
        <v>3401</v>
      </c>
      <c r="H5060" s="2" t="s">
        <v>1050</v>
      </c>
      <c r="L5060" s="18">
        <v>0</v>
      </c>
      <c r="Q5060" s="18">
        <v>0</v>
      </c>
      <c r="U5060" s="22">
        <v>0.79</v>
      </c>
      <c r="V5060" s="22">
        <f>4.17/5</f>
        <v>0.83399999999999996</v>
      </c>
      <c r="X5060" s="3">
        <v>3</v>
      </c>
      <c r="Z5060" s="23">
        <v>7</v>
      </c>
      <c r="AB5060" s="18">
        <f t="shared" si="158"/>
        <v>2009</v>
      </c>
      <c r="AC5060" s="22">
        <f t="shared" si="159"/>
        <v>0.7413333333333334</v>
      </c>
    </row>
    <row r="5061" spans="1:29" ht="25.5">
      <c r="A5061" s="8" t="s">
        <v>3402</v>
      </c>
      <c r="B5061" s="17" t="s">
        <v>7800</v>
      </c>
      <c r="C5061" s="13">
        <v>40127</v>
      </c>
      <c r="D5061" s="13" t="s">
        <v>8465</v>
      </c>
      <c r="E5061" s="10" t="s">
        <v>1273</v>
      </c>
      <c r="F5061" s="10" t="s">
        <v>3400</v>
      </c>
      <c r="G5061" s="11" t="s">
        <v>3401</v>
      </c>
      <c r="H5061" s="2" t="s">
        <v>1050</v>
      </c>
      <c r="L5061" s="18">
        <v>1</v>
      </c>
      <c r="N5061" s="13">
        <v>42124</v>
      </c>
      <c r="O5061" s="29">
        <v>9.99</v>
      </c>
      <c r="P5061" s="18" t="s">
        <v>1107</v>
      </c>
      <c r="Q5061" s="18">
        <v>0</v>
      </c>
      <c r="U5061" s="22">
        <v>0.88</v>
      </c>
      <c r="V5061" s="22">
        <f>3.42/5</f>
        <v>0.68399999999999994</v>
      </c>
      <c r="W5061" s="14" t="s">
        <v>7777</v>
      </c>
      <c r="X5061" s="3">
        <v>2</v>
      </c>
      <c r="Z5061" s="23">
        <v>6.5</v>
      </c>
      <c r="AB5061" s="18">
        <f t="shared" si="158"/>
        <v>2009</v>
      </c>
      <c r="AC5061" s="22">
        <f t="shared" si="159"/>
        <v>0.65466666666666662</v>
      </c>
    </row>
    <row r="5062" spans="1:29">
      <c r="A5062" s="8" t="s">
        <v>2206</v>
      </c>
      <c r="B5062" s="17" t="s">
        <v>7748</v>
      </c>
      <c r="C5062" s="13">
        <v>40127</v>
      </c>
      <c r="D5062" s="13" t="s">
        <v>8465</v>
      </c>
      <c r="E5062" s="10" t="s">
        <v>455</v>
      </c>
      <c r="F5062" s="10" t="s">
        <v>1492</v>
      </c>
      <c r="G5062" s="11" t="s">
        <v>1936</v>
      </c>
      <c r="H5062" s="2" t="s">
        <v>149</v>
      </c>
      <c r="L5062" s="18">
        <v>0</v>
      </c>
      <c r="Q5062" s="18">
        <v>0</v>
      </c>
      <c r="U5062" s="22">
        <v>0.74</v>
      </c>
      <c r="V5062" s="22">
        <f>3.96/5</f>
        <v>0.79200000000000004</v>
      </c>
      <c r="X5062" s="3">
        <v>3</v>
      </c>
      <c r="Z5062" s="23">
        <v>13.5</v>
      </c>
      <c r="AB5062" s="18">
        <f t="shared" si="158"/>
        <v>2009</v>
      </c>
      <c r="AC5062" s="22">
        <f t="shared" si="159"/>
        <v>0.71066666666666667</v>
      </c>
    </row>
    <row r="5063" spans="1:29" ht="25.5">
      <c r="A5063" s="8" t="s">
        <v>11153</v>
      </c>
      <c r="B5063" s="17" t="s">
        <v>7748</v>
      </c>
      <c r="C5063" s="13">
        <v>40127</v>
      </c>
      <c r="D5063" s="13" t="s">
        <v>8465</v>
      </c>
      <c r="E5063" s="10" t="s">
        <v>1509</v>
      </c>
      <c r="F5063" s="10" t="s">
        <v>1145</v>
      </c>
      <c r="G5063" s="11" t="s">
        <v>11042</v>
      </c>
      <c r="H5063" s="2" t="s">
        <v>149</v>
      </c>
      <c r="L5063" s="18">
        <v>0</v>
      </c>
      <c r="Q5063" s="18">
        <v>0</v>
      </c>
      <c r="U5063" s="22">
        <v>0.73</v>
      </c>
      <c r="V5063" s="22">
        <f>4.01/5</f>
        <v>0.80199999999999994</v>
      </c>
      <c r="X5063" s="3">
        <v>3</v>
      </c>
      <c r="Z5063" s="23">
        <v>23.5</v>
      </c>
      <c r="AB5063" s="18">
        <f t="shared" si="158"/>
        <v>2009</v>
      </c>
      <c r="AC5063" s="22">
        <f t="shared" si="159"/>
        <v>0.71066666666666667</v>
      </c>
    </row>
    <row r="5064" spans="1:29" ht="30">
      <c r="A5064" s="8" t="s">
        <v>11585</v>
      </c>
      <c r="B5064" s="17" t="s">
        <v>7762</v>
      </c>
      <c r="C5064" s="13">
        <v>40127</v>
      </c>
      <c r="D5064" s="13" t="s">
        <v>8465</v>
      </c>
      <c r="E5064" s="10" t="s">
        <v>228</v>
      </c>
      <c r="F5064" s="10" t="s">
        <v>10183</v>
      </c>
      <c r="G5064" s="11" t="s">
        <v>11586</v>
      </c>
      <c r="H5064" s="2" t="s">
        <v>153</v>
      </c>
      <c r="L5064" s="18">
        <v>0</v>
      </c>
      <c r="Q5064" s="18">
        <v>0</v>
      </c>
      <c r="U5064" s="22">
        <v>0.7</v>
      </c>
      <c r="V5064" s="22">
        <f>3.94/5</f>
        <v>0.78800000000000003</v>
      </c>
      <c r="X5064" s="3">
        <v>2</v>
      </c>
      <c r="Z5064" s="23">
        <v>6.5</v>
      </c>
      <c r="AB5064" s="18">
        <f t="shared" si="158"/>
        <v>2009</v>
      </c>
      <c r="AC5064" s="22">
        <f t="shared" si="159"/>
        <v>0.6293333333333333</v>
      </c>
    </row>
    <row r="5065" spans="1:29">
      <c r="A5065" s="8" t="s">
        <v>7496</v>
      </c>
      <c r="B5065" s="17" t="s">
        <v>7742</v>
      </c>
      <c r="C5065" s="13">
        <v>40126</v>
      </c>
      <c r="D5065" s="13" t="s">
        <v>8465</v>
      </c>
      <c r="E5065" s="10" t="s">
        <v>86</v>
      </c>
      <c r="F5065" s="10" t="s">
        <v>1517</v>
      </c>
      <c r="G5065" s="11" t="s">
        <v>138</v>
      </c>
      <c r="H5065" s="2" t="s">
        <v>150</v>
      </c>
      <c r="L5065" s="18">
        <v>0</v>
      </c>
      <c r="Q5065" s="18">
        <v>0</v>
      </c>
      <c r="U5065" s="22">
        <v>0.72</v>
      </c>
      <c r="V5065" s="22">
        <f>3.94/5</f>
        <v>0.78800000000000003</v>
      </c>
      <c r="X5065" s="3">
        <v>2</v>
      </c>
      <c r="Z5065" s="23">
        <v>0.95</v>
      </c>
      <c r="AB5065" s="18">
        <f t="shared" si="158"/>
        <v>2009</v>
      </c>
      <c r="AC5065" s="22">
        <f t="shared" si="159"/>
        <v>0.63600000000000001</v>
      </c>
    </row>
    <row r="5066" spans="1:29">
      <c r="A5066" s="8" t="s">
        <v>13306</v>
      </c>
      <c r="B5066" s="17" t="s">
        <v>8754</v>
      </c>
      <c r="C5066" s="13">
        <v>40126</v>
      </c>
      <c r="D5066" s="13" t="s">
        <v>8465</v>
      </c>
      <c r="E5066" s="10" t="s">
        <v>62</v>
      </c>
      <c r="F5066" s="10" t="s">
        <v>62</v>
      </c>
      <c r="G5066" s="11" t="s">
        <v>7674</v>
      </c>
      <c r="H5066" s="2" t="s">
        <v>143</v>
      </c>
      <c r="L5066" s="18">
        <v>1</v>
      </c>
      <c r="N5066" s="13">
        <v>44990</v>
      </c>
      <c r="O5066" s="29">
        <v>4.99</v>
      </c>
      <c r="P5066" s="18" t="s">
        <v>1107</v>
      </c>
      <c r="Q5066" s="18">
        <v>0</v>
      </c>
      <c r="V5066" s="22">
        <f>3.75/5</f>
        <v>0.75</v>
      </c>
      <c r="X5066" s="3">
        <v>2</v>
      </c>
      <c r="Z5066" s="23">
        <v>7.5</v>
      </c>
      <c r="AB5066" s="18">
        <f t="shared" si="158"/>
        <v>2009</v>
      </c>
      <c r="AC5066" s="22">
        <f t="shared" si="159"/>
        <v>0.57499999999999996</v>
      </c>
    </row>
    <row r="5067" spans="1:29">
      <c r="A5067" s="8" t="s">
        <v>7146</v>
      </c>
      <c r="B5067" s="17" t="s">
        <v>7800</v>
      </c>
      <c r="C5067" s="13">
        <v>40124</v>
      </c>
      <c r="D5067" s="13" t="s">
        <v>8465</v>
      </c>
      <c r="E5067" s="10" t="s">
        <v>7218</v>
      </c>
      <c r="F5067" s="10" t="s">
        <v>7218</v>
      </c>
      <c r="G5067" s="11" t="s">
        <v>7146</v>
      </c>
      <c r="H5067" s="2" t="s">
        <v>64</v>
      </c>
      <c r="L5067" s="18">
        <v>0</v>
      </c>
      <c r="Q5067" s="18">
        <v>0</v>
      </c>
      <c r="W5067" s="14" t="s">
        <v>5674</v>
      </c>
      <c r="X5067" s="3">
        <v>2</v>
      </c>
      <c r="AB5067" s="18">
        <f t="shared" si="158"/>
        <v>2009</v>
      </c>
      <c r="AC5067" s="22">
        <f t="shared" si="159"/>
        <v>0.4</v>
      </c>
    </row>
    <row r="5068" spans="1:29" ht="30">
      <c r="A5068" s="8" t="s">
        <v>5125</v>
      </c>
      <c r="B5068" s="17" t="s">
        <v>7800</v>
      </c>
      <c r="C5068" s="13">
        <v>40123</v>
      </c>
      <c r="D5068" s="13" t="s">
        <v>8465</v>
      </c>
      <c r="E5068" s="10" t="s">
        <v>1284</v>
      </c>
      <c r="F5068" s="10" t="s">
        <v>1284</v>
      </c>
      <c r="G5068" s="11" t="s">
        <v>5125</v>
      </c>
      <c r="H5068" s="2" t="s">
        <v>80</v>
      </c>
      <c r="L5068" s="18">
        <v>1</v>
      </c>
      <c r="N5068" s="13">
        <v>42000</v>
      </c>
      <c r="O5068" s="29">
        <v>3.46</v>
      </c>
      <c r="P5068" s="18" t="s">
        <v>1107</v>
      </c>
      <c r="Q5068" s="18">
        <v>0</v>
      </c>
      <c r="U5068" s="22">
        <v>0.61</v>
      </c>
      <c r="V5068" s="22">
        <f>3.49/5</f>
        <v>0.69800000000000006</v>
      </c>
      <c r="W5068" s="14" t="s">
        <v>7777</v>
      </c>
      <c r="X5068" s="3">
        <v>4</v>
      </c>
      <c r="Z5068" s="23">
        <v>5.5</v>
      </c>
      <c r="AB5068" s="18">
        <f t="shared" si="158"/>
        <v>2009</v>
      </c>
      <c r="AC5068" s="22">
        <f t="shared" si="159"/>
        <v>0.70266666666666666</v>
      </c>
    </row>
    <row r="5069" spans="1:29">
      <c r="A5069" s="8" t="s">
        <v>12036</v>
      </c>
      <c r="B5069" s="17" t="s">
        <v>7748</v>
      </c>
      <c r="C5069" s="13">
        <v>40123</v>
      </c>
      <c r="D5069" s="13" t="s">
        <v>8467</v>
      </c>
      <c r="E5069" s="10" t="s">
        <v>6173</v>
      </c>
      <c r="F5069" s="10" t="s">
        <v>4703</v>
      </c>
      <c r="H5069" s="2" t="s">
        <v>1220</v>
      </c>
      <c r="L5069" s="18">
        <v>0</v>
      </c>
      <c r="Q5069" s="18">
        <v>0</v>
      </c>
      <c r="V5069" s="22">
        <f>3.94/5</f>
        <v>0.78800000000000003</v>
      </c>
      <c r="X5069" s="3">
        <v>2</v>
      </c>
      <c r="Z5069" s="23">
        <v>2</v>
      </c>
      <c r="AB5069" s="18">
        <f t="shared" si="158"/>
        <v>2009</v>
      </c>
      <c r="AC5069" s="22">
        <f t="shared" si="159"/>
        <v>0.59400000000000008</v>
      </c>
    </row>
    <row r="5070" spans="1:29" ht="25.5">
      <c r="A5070" s="8" t="s">
        <v>8702</v>
      </c>
      <c r="B5070" s="17" t="s">
        <v>7748</v>
      </c>
      <c r="C5070" s="13">
        <v>40122</v>
      </c>
      <c r="D5070" s="13" t="s">
        <v>8463</v>
      </c>
      <c r="E5070" s="10" t="s">
        <v>3568</v>
      </c>
      <c r="F5070" s="10" t="s">
        <v>1897</v>
      </c>
      <c r="G5070" s="11" t="s">
        <v>1898</v>
      </c>
      <c r="H5070" s="2" t="s">
        <v>149</v>
      </c>
      <c r="K5070" s="18">
        <v>2</v>
      </c>
      <c r="L5070" s="18">
        <v>0</v>
      </c>
      <c r="Q5070" s="18">
        <v>0</v>
      </c>
      <c r="V5070" s="22">
        <f>4.15/5</f>
        <v>0.83000000000000007</v>
      </c>
      <c r="X5070" s="3">
        <v>3</v>
      </c>
      <c r="Z5070" s="23">
        <v>20.5</v>
      </c>
      <c r="AB5070" s="18">
        <f t="shared" si="158"/>
        <v>2009</v>
      </c>
      <c r="AC5070" s="22">
        <f t="shared" si="159"/>
        <v>0.71500000000000008</v>
      </c>
    </row>
    <row r="5071" spans="1:29" ht="30">
      <c r="A5071" s="8" t="s">
        <v>9206</v>
      </c>
      <c r="B5071" s="17" t="s">
        <v>7748</v>
      </c>
      <c r="C5071" s="13">
        <v>40122</v>
      </c>
      <c r="D5071" s="13" t="s">
        <v>8463</v>
      </c>
      <c r="E5071" s="10" t="s">
        <v>1953</v>
      </c>
      <c r="F5071" s="10" t="s">
        <v>9207</v>
      </c>
      <c r="H5071" s="2" t="s">
        <v>67</v>
      </c>
      <c r="K5071" s="18">
        <v>0</v>
      </c>
      <c r="L5071" s="18">
        <v>0</v>
      </c>
      <c r="Q5071" s="18">
        <v>0</v>
      </c>
      <c r="V5071" s="22">
        <f>4.21/5</f>
        <v>0.84199999999999997</v>
      </c>
      <c r="X5071" s="3">
        <v>2</v>
      </c>
      <c r="AB5071" s="18">
        <f t="shared" si="158"/>
        <v>2009</v>
      </c>
      <c r="AC5071" s="22">
        <f t="shared" si="159"/>
        <v>0.621</v>
      </c>
    </row>
    <row r="5072" spans="1:29" ht="30">
      <c r="A5072" s="8" t="s">
        <v>15268</v>
      </c>
      <c r="B5072" s="17" t="s">
        <v>7759</v>
      </c>
      <c r="C5072" s="13">
        <v>40122</v>
      </c>
      <c r="D5072" s="13" t="s">
        <v>8465</v>
      </c>
      <c r="E5072" s="10" t="s">
        <v>2908</v>
      </c>
      <c r="F5072" s="10" t="s">
        <v>5862</v>
      </c>
      <c r="H5072" s="2" t="s">
        <v>78</v>
      </c>
      <c r="L5072" s="18">
        <v>0</v>
      </c>
      <c r="Q5072" s="18">
        <v>0</v>
      </c>
      <c r="V5072" s="22">
        <f>3/5</f>
        <v>0.6</v>
      </c>
      <c r="X5072" s="3">
        <v>2</v>
      </c>
      <c r="Z5072" s="23">
        <v>3</v>
      </c>
      <c r="AB5072" s="18">
        <f t="shared" si="158"/>
        <v>2009</v>
      </c>
      <c r="AC5072" s="22">
        <f t="shared" si="159"/>
        <v>0.5</v>
      </c>
    </row>
    <row r="5073" spans="1:29">
      <c r="A5073" s="8" t="s">
        <v>13308</v>
      </c>
      <c r="B5073" s="17" t="s">
        <v>7748</v>
      </c>
      <c r="C5073" s="13">
        <v>40120</v>
      </c>
      <c r="D5073" s="13" t="s">
        <v>8465</v>
      </c>
      <c r="E5073" s="10" t="s">
        <v>1047</v>
      </c>
      <c r="F5073" s="10" t="s">
        <v>10287</v>
      </c>
      <c r="H5073" s="2" t="s">
        <v>1168</v>
      </c>
      <c r="L5073" s="18">
        <v>0</v>
      </c>
      <c r="Q5073" s="18">
        <v>0</v>
      </c>
      <c r="U5073" s="22">
        <v>0.55000000000000004</v>
      </c>
      <c r="V5073" s="22">
        <f>3.18/5</f>
        <v>0.63600000000000001</v>
      </c>
      <c r="X5073" s="3">
        <v>2</v>
      </c>
      <c r="AB5073" s="18">
        <f t="shared" si="158"/>
        <v>2009</v>
      </c>
      <c r="AC5073" s="22">
        <f t="shared" si="159"/>
        <v>0.52866666666666662</v>
      </c>
    </row>
    <row r="5074" spans="1:29">
      <c r="A5074" s="8" t="s">
        <v>3704</v>
      </c>
      <c r="B5074" s="17" t="s">
        <v>7800</v>
      </c>
      <c r="C5074" s="13">
        <v>40120</v>
      </c>
      <c r="D5074" s="13" t="s">
        <v>8465</v>
      </c>
      <c r="E5074" s="10" t="s">
        <v>231</v>
      </c>
      <c r="F5074" s="10" t="s">
        <v>1161</v>
      </c>
      <c r="G5074" s="11" t="s">
        <v>3705</v>
      </c>
      <c r="H5074" s="2" t="s">
        <v>171</v>
      </c>
      <c r="L5074" s="18">
        <v>1</v>
      </c>
      <c r="N5074" s="13">
        <v>41195</v>
      </c>
      <c r="P5074" s="18" t="s">
        <v>1107</v>
      </c>
      <c r="Q5074" s="18">
        <v>0</v>
      </c>
      <c r="U5074" s="22">
        <v>0.91</v>
      </c>
      <c r="V5074" s="22">
        <f>4.29/5</f>
        <v>0.85799999999999998</v>
      </c>
      <c r="W5074" s="14" t="s">
        <v>7796</v>
      </c>
      <c r="X5074" s="3">
        <v>4</v>
      </c>
      <c r="Z5074" s="23">
        <v>40.5</v>
      </c>
      <c r="AB5074" s="18">
        <f t="shared" si="158"/>
        <v>2009</v>
      </c>
      <c r="AC5074" s="22">
        <f t="shared" si="159"/>
        <v>0.85599999999999998</v>
      </c>
    </row>
    <row r="5075" spans="1:29" ht="25.5">
      <c r="A5075" s="8" t="s">
        <v>5815</v>
      </c>
      <c r="B5075" s="17" t="s">
        <v>7758</v>
      </c>
      <c r="C5075" s="13">
        <v>40120</v>
      </c>
      <c r="D5075" s="13" t="s">
        <v>8465</v>
      </c>
      <c r="E5075" s="10" t="s">
        <v>1290</v>
      </c>
      <c r="F5075" s="10" t="s">
        <v>5881</v>
      </c>
      <c r="G5075" s="11" t="s">
        <v>5880</v>
      </c>
      <c r="H5075" s="2" t="s">
        <v>1040</v>
      </c>
      <c r="L5075" s="18">
        <v>0</v>
      </c>
      <c r="Q5075" s="18">
        <v>0</v>
      </c>
      <c r="U5075" s="22">
        <v>0.7</v>
      </c>
      <c r="V5075" s="22">
        <f>3.28/5</f>
        <v>0.65599999999999992</v>
      </c>
      <c r="X5075" s="3">
        <v>4</v>
      </c>
      <c r="Z5075" s="23">
        <v>8.5</v>
      </c>
      <c r="AB5075" s="18">
        <f t="shared" si="158"/>
        <v>2009</v>
      </c>
      <c r="AC5075" s="22">
        <f t="shared" si="159"/>
        <v>0.71866666666666656</v>
      </c>
    </row>
    <row r="5076" spans="1:29">
      <c r="A5076" s="8" t="s">
        <v>7492</v>
      </c>
      <c r="B5076" s="17" t="s">
        <v>7741</v>
      </c>
      <c r="C5076" s="13">
        <v>40120</v>
      </c>
      <c r="D5076" s="13" t="s">
        <v>8465</v>
      </c>
      <c r="E5076" s="10" t="s">
        <v>231</v>
      </c>
      <c r="F5076" s="10" t="s">
        <v>5920</v>
      </c>
      <c r="G5076" s="11" t="s">
        <v>4518</v>
      </c>
      <c r="H5076" s="2" t="s">
        <v>150</v>
      </c>
      <c r="L5076" s="18">
        <v>0</v>
      </c>
      <c r="Q5076" s="18">
        <v>0</v>
      </c>
      <c r="U5076" s="22">
        <v>0.73</v>
      </c>
      <c r="V5076" s="22">
        <f>3.72/5</f>
        <v>0.74399999999999999</v>
      </c>
      <c r="X5076" s="3">
        <v>2</v>
      </c>
      <c r="Z5076" s="23">
        <v>8</v>
      </c>
      <c r="AB5076" s="18">
        <f t="shared" si="158"/>
        <v>2009</v>
      </c>
      <c r="AC5076" s="22">
        <f t="shared" si="159"/>
        <v>0.6246666666666667</v>
      </c>
    </row>
    <row r="5077" spans="1:29" ht="30">
      <c r="A5077" s="8" t="s">
        <v>14838</v>
      </c>
      <c r="B5077" s="17" t="s">
        <v>7762</v>
      </c>
      <c r="C5077" s="13">
        <v>40120</v>
      </c>
      <c r="D5077" s="13" t="s">
        <v>8465</v>
      </c>
      <c r="E5077" s="10" t="s">
        <v>1284</v>
      </c>
      <c r="F5077" s="10" t="s">
        <v>3152</v>
      </c>
      <c r="G5077" s="11" t="s">
        <v>1481</v>
      </c>
      <c r="H5077" s="2" t="s">
        <v>1168</v>
      </c>
      <c r="L5077" s="18">
        <v>0</v>
      </c>
      <c r="Q5077" s="18">
        <v>0</v>
      </c>
      <c r="U5077" s="22">
        <v>0.63</v>
      </c>
      <c r="V5077" s="22">
        <f>3.78/5</f>
        <v>0.75600000000000001</v>
      </c>
      <c r="X5077" s="3">
        <v>2</v>
      </c>
      <c r="Z5077" s="23">
        <v>5</v>
      </c>
      <c r="AB5077" s="18">
        <f t="shared" si="158"/>
        <v>2009</v>
      </c>
      <c r="AC5077" s="22">
        <f t="shared" si="159"/>
        <v>0.59533333333333338</v>
      </c>
    </row>
    <row r="5078" spans="1:29" ht="30">
      <c r="A5078" s="8" t="s">
        <v>7088</v>
      </c>
      <c r="B5078" s="17" t="s">
        <v>7800</v>
      </c>
      <c r="C5078" s="13">
        <v>40117</v>
      </c>
      <c r="D5078" s="13" t="s">
        <v>8465</v>
      </c>
      <c r="E5078" s="10" t="s">
        <v>3740</v>
      </c>
      <c r="F5078" s="10" t="s">
        <v>1580</v>
      </c>
      <c r="H5078" s="2" t="s">
        <v>1059</v>
      </c>
      <c r="L5078" s="18">
        <v>1</v>
      </c>
      <c r="O5078" s="29">
        <v>0</v>
      </c>
      <c r="P5078" s="18" t="s">
        <v>1107</v>
      </c>
      <c r="Q5078" s="18">
        <v>0</v>
      </c>
      <c r="U5078" s="22">
        <v>0.55000000000000004</v>
      </c>
      <c r="V5078" s="22">
        <f>3.5/5</f>
        <v>0.7</v>
      </c>
      <c r="W5078" s="14" t="s">
        <v>7098</v>
      </c>
      <c r="X5078" s="3">
        <v>3</v>
      </c>
      <c r="Z5078" s="23">
        <v>9</v>
      </c>
      <c r="AB5078" s="18">
        <f t="shared" si="158"/>
        <v>2009</v>
      </c>
      <c r="AC5078" s="22">
        <f t="shared" si="159"/>
        <v>0.6166666666666667</v>
      </c>
    </row>
    <row r="5079" spans="1:29" ht="30">
      <c r="A5079" s="9" t="s">
        <v>6273</v>
      </c>
      <c r="B5079" s="17" t="s">
        <v>7762</v>
      </c>
      <c r="C5079" s="13">
        <v>40115</v>
      </c>
      <c r="D5079" s="13" t="s">
        <v>8465</v>
      </c>
      <c r="E5079" s="10" t="s">
        <v>2908</v>
      </c>
      <c r="F5079" s="10" t="s">
        <v>5862</v>
      </c>
      <c r="G5079" s="11" t="s">
        <v>6246</v>
      </c>
      <c r="H5079" s="2" t="s">
        <v>27</v>
      </c>
      <c r="L5079" s="18">
        <v>0</v>
      </c>
      <c r="Q5079" s="18">
        <v>0</v>
      </c>
      <c r="U5079" s="22">
        <v>0.74</v>
      </c>
      <c r="V5079" s="22">
        <f>3.73/5</f>
        <v>0.746</v>
      </c>
      <c r="X5079" s="3">
        <v>3</v>
      </c>
      <c r="Z5079" s="23">
        <v>3.5</v>
      </c>
      <c r="AB5079" s="18">
        <f t="shared" si="158"/>
        <v>2009</v>
      </c>
      <c r="AC5079" s="22">
        <f t="shared" si="159"/>
        <v>0.69533333333333325</v>
      </c>
    </row>
    <row r="5080" spans="1:29" ht="30">
      <c r="A5080" s="8" t="s">
        <v>8747</v>
      </c>
      <c r="B5080" s="17" t="s">
        <v>7762</v>
      </c>
      <c r="C5080" s="13">
        <v>40115</v>
      </c>
      <c r="D5080" s="13" t="s">
        <v>8465</v>
      </c>
      <c r="E5080" s="10" t="s">
        <v>1082</v>
      </c>
      <c r="F5080" s="10" t="s">
        <v>58</v>
      </c>
      <c r="G5080" s="11" t="s">
        <v>126</v>
      </c>
      <c r="H5080" s="2" t="s">
        <v>1169</v>
      </c>
      <c r="L5080" s="18">
        <v>0</v>
      </c>
      <c r="Q5080" s="18">
        <v>0</v>
      </c>
      <c r="V5080" s="22">
        <f>3.46/5</f>
        <v>0.69199999999999995</v>
      </c>
      <c r="X5080" s="3">
        <v>3</v>
      </c>
      <c r="Z5080" s="23">
        <v>7</v>
      </c>
      <c r="AB5080" s="18">
        <f t="shared" si="158"/>
        <v>2009</v>
      </c>
      <c r="AC5080" s="22">
        <f t="shared" si="159"/>
        <v>0.64599999999999991</v>
      </c>
    </row>
    <row r="5081" spans="1:29">
      <c r="A5081" s="8" t="s">
        <v>13183</v>
      </c>
      <c r="B5081" s="17" t="s">
        <v>7741</v>
      </c>
      <c r="C5081" s="13">
        <v>40115</v>
      </c>
      <c r="D5081" s="13" t="s">
        <v>8463</v>
      </c>
      <c r="E5081" s="10" t="s">
        <v>1509</v>
      </c>
      <c r="F5081" s="10" t="s">
        <v>13184</v>
      </c>
      <c r="G5081" s="11" t="s">
        <v>299</v>
      </c>
      <c r="H5081" s="2" t="s">
        <v>75</v>
      </c>
      <c r="K5081" s="18">
        <v>0</v>
      </c>
      <c r="L5081" s="18">
        <v>0</v>
      </c>
      <c r="Q5081" s="18">
        <v>0</v>
      </c>
      <c r="V5081" s="22">
        <f>4.14/5</f>
        <v>0.82799999999999996</v>
      </c>
      <c r="X5081" s="3">
        <v>2</v>
      </c>
      <c r="AB5081" s="18">
        <f t="shared" si="158"/>
        <v>2009</v>
      </c>
      <c r="AC5081" s="22">
        <f t="shared" si="159"/>
        <v>0.61399999999999999</v>
      </c>
    </row>
    <row r="5082" spans="1:29" ht="38.25">
      <c r="A5082" s="8" t="s">
        <v>5996</v>
      </c>
      <c r="B5082" s="17" t="s">
        <v>7759</v>
      </c>
      <c r="C5082" s="13">
        <v>40113</v>
      </c>
      <c r="D5082" s="13" t="s">
        <v>8465</v>
      </c>
      <c r="E5082" s="10" t="s">
        <v>2908</v>
      </c>
      <c r="F5082" s="10" t="s">
        <v>3039</v>
      </c>
      <c r="G5082" s="11" t="s">
        <v>5853</v>
      </c>
      <c r="H5082" s="2" t="s">
        <v>1040</v>
      </c>
      <c r="L5082" s="18">
        <v>1</v>
      </c>
      <c r="M5082" s="14" t="s">
        <v>8462</v>
      </c>
      <c r="N5082" s="13">
        <v>43394</v>
      </c>
      <c r="O5082" s="29">
        <v>8.5</v>
      </c>
      <c r="P5082" s="18" t="s">
        <v>14</v>
      </c>
      <c r="Q5082" s="18">
        <v>0</v>
      </c>
      <c r="U5082" s="22">
        <v>0.88</v>
      </c>
      <c r="V5082" s="22">
        <f>4.3/5</f>
        <v>0.86</v>
      </c>
      <c r="X5082" s="3">
        <v>4</v>
      </c>
      <c r="Z5082" s="23">
        <v>10.5</v>
      </c>
      <c r="AB5082" s="18">
        <f t="shared" si="158"/>
        <v>2009</v>
      </c>
      <c r="AC5082" s="22">
        <f t="shared" si="159"/>
        <v>0.84666666666666668</v>
      </c>
    </row>
    <row r="5083" spans="1:29">
      <c r="A5083" s="8" t="s">
        <v>8082</v>
      </c>
      <c r="B5083" s="17" t="s">
        <v>7759</v>
      </c>
      <c r="C5083" s="13">
        <v>40113</v>
      </c>
      <c r="D5083" s="13" t="s">
        <v>8465</v>
      </c>
      <c r="E5083" s="10" t="s">
        <v>1509</v>
      </c>
      <c r="F5083" s="10" t="s">
        <v>1509</v>
      </c>
      <c r="G5083" s="11" t="s">
        <v>8076</v>
      </c>
      <c r="H5083" s="2" t="s">
        <v>459</v>
      </c>
      <c r="L5083" s="18">
        <v>0</v>
      </c>
      <c r="Q5083" s="18">
        <v>0</v>
      </c>
      <c r="U5083" s="22">
        <v>0.79649999999999999</v>
      </c>
      <c r="V5083" s="22">
        <f>3.92/5</f>
        <v>0.78400000000000003</v>
      </c>
      <c r="X5083" s="3">
        <v>3</v>
      </c>
      <c r="Y5083" s="18">
        <v>1</v>
      </c>
      <c r="Z5083" s="23">
        <v>8</v>
      </c>
      <c r="AB5083" s="18">
        <f t="shared" si="158"/>
        <v>2009</v>
      </c>
      <c r="AC5083" s="22">
        <f t="shared" si="159"/>
        <v>0.72683333333333333</v>
      </c>
    </row>
    <row r="5084" spans="1:29" ht="38.25">
      <c r="A5084" s="8" t="s">
        <v>2145</v>
      </c>
      <c r="B5084" s="17" t="s">
        <v>7748</v>
      </c>
      <c r="C5084" s="13">
        <v>40113</v>
      </c>
      <c r="D5084" s="13" t="s">
        <v>8465</v>
      </c>
      <c r="E5084" s="10" t="s">
        <v>1062</v>
      </c>
      <c r="F5084" s="10" t="s">
        <v>2286</v>
      </c>
      <c r="G5084" s="11" t="s">
        <v>1567</v>
      </c>
      <c r="H5084" s="2" t="s">
        <v>149</v>
      </c>
      <c r="L5084" s="18">
        <v>0</v>
      </c>
      <c r="Q5084" s="18">
        <v>0</v>
      </c>
      <c r="U5084" s="22">
        <v>0.74</v>
      </c>
      <c r="V5084" s="22">
        <f>3.74/5</f>
        <v>0.748</v>
      </c>
      <c r="X5084" s="3">
        <v>3</v>
      </c>
      <c r="Z5084" s="23">
        <v>14</v>
      </c>
      <c r="AB5084" s="18">
        <f t="shared" si="158"/>
        <v>2009</v>
      </c>
      <c r="AC5084" s="22">
        <f t="shared" si="159"/>
        <v>0.69600000000000006</v>
      </c>
    </row>
    <row r="5085" spans="1:29">
      <c r="A5085" s="8" t="s">
        <v>7495</v>
      </c>
      <c r="B5085" s="17" t="s">
        <v>7742</v>
      </c>
      <c r="C5085" s="13">
        <v>40113</v>
      </c>
      <c r="D5085" s="13" t="s">
        <v>8465</v>
      </c>
      <c r="E5085" s="10" t="s">
        <v>86</v>
      </c>
      <c r="F5085" s="10" t="s">
        <v>1535</v>
      </c>
      <c r="G5085" s="11" t="s">
        <v>214</v>
      </c>
      <c r="H5085" s="2" t="s">
        <v>255</v>
      </c>
      <c r="L5085" s="18">
        <v>0</v>
      </c>
      <c r="Q5085" s="18">
        <v>0</v>
      </c>
      <c r="U5085" s="22">
        <v>0.7</v>
      </c>
      <c r="V5085" s="22">
        <f>3.64/5</f>
        <v>0.72799999999999998</v>
      </c>
      <c r="X5085" s="3">
        <v>3</v>
      </c>
      <c r="Z5085" s="23">
        <v>1</v>
      </c>
      <c r="AB5085" s="18">
        <f t="shared" si="158"/>
        <v>2009</v>
      </c>
      <c r="AC5085" s="22">
        <f t="shared" si="159"/>
        <v>0.67600000000000005</v>
      </c>
    </row>
    <row r="5086" spans="1:29">
      <c r="A5086" s="8" t="s">
        <v>10649</v>
      </c>
      <c r="B5086" s="17" t="s">
        <v>7765</v>
      </c>
      <c r="C5086" s="13">
        <v>40113</v>
      </c>
      <c r="D5086" s="13" t="s">
        <v>8465</v>
      </c>
      <c r="E5086" s="10" t="s">
        <v>3740</v>
      </c>
      <c r="F5086" s="10" t="s">
        <v>10651</v>
      </c>
      <c r="G5086" s="11" t="s">
        <v>10642</v>
      </c>
      <c r="H5086" s="2" t="s">
        <v>150</v>
      </c>
      <c r="L5086" s="18">
        <v>0</v>
      </c>
      <c r="Q5086" s="18">
        <v>0</v>
      </c>
      <c r="U5086" s="22">
        <v>0.92</v>
      </c>
      <c r="V5086" s="22">
        <f>4.15/5</f>
        <v>0.83000000000000007</v>
      </c>
      <c r="X5086" s="3">
        <v>2</v>
      </c>
      <c r="Y5086" s="18">
        <v>1</v>
      </c>
      <c r="Z5086" s="23">
        <v>35</v>
      </c>
      <c r="AB5086" s="18">
        <f t="shared" si="158"/>
        <v>2009</v>
      </c>
      <c r="AC5086" s="22">
        <f t="shared" si="159"/>
        <v>0.71666666666666667</v>
      </c>
    </row>
    <row r="5087" spans="1:29" ht="30">
      <c r="A5087" s="8" t="s">
        <v>11792</v>
      </c>
      <c r="B5087" s="17" t="s">
        <v>7762</v>
      </c>
      <c r="C5087" s="13">
        <v>40113</v>
      </c>
      <c r="D5087" s="13" t="s">
        <v>8465</v>
      </c>
      <c r="E5087" s="10" t="s">
        <v>11793</v>
      </c>
      <c r="F5087" s="10" t="s">
        <v>11794</v>
      </c>
      <c r="H5087" s="2" t="s">
        <v>75</v>
      </c>
      <c r="L5087" s="18">
        <v>0</v>
      </c>
      <c r="Q5087" s="18">
        <v>0</v>
      </c>
      <c r="U5087" s="22">
        <v>0.57999999999999996</v>
      </c>
      <c r="V5087" s="22">
        <f>3.59/5</f>
        <v>0.71799999999999997</v>
      </c>
      <c r="X5087" s="3">
        <v>2</v>
      </c>
      <c r="AB5087" s="18">
        <f t="shared" si="158"/>
        <v>2009</v>
      </c>
      <c r="AC5087" s="22">
        <f t="shared" si="159"/>
        <v>0.56599999999999995</v>
      </c>
    </row>
    <row r="5088" spans="1:29">
      <c r="A5088" s="8" t="s">
        <v>5171</v>
      </c>
      <c r="B5088" s="17" t="s">
        <v>7800</v>
      </c>
      <c r="C5088" s="13">
        <v>40113</v>
      </c>
      <c r="D5088" s="13" t="s">
        <v>8465</v>
      </c>
      <c r="E5088" s="10" t="s">
        <v>5167</v>
      </c>
      <c r="F5088" s="10" t="s">
        <v>5167</v>
      </c>
      <c r="G5088" s="11" t="s">
        <v>5166</v>
      </c>
      <c r="H5088" s="2" t="s">
        <v>1143</v>
      </c>
      <c r="L5088" s="18">
        <v>1</v>
      </c>
      <c r="N5088" s="13">
        <v>41349</v>
      </c>
      <c r="O5088" s="29">
        <v>0</v>
      </c>
      <c r="P5088" s="18" t="s">
        <v>1107</v>
      </c>
      <c r="Q5088" s="18">
        <v>0</v>
      </c>
      <c r="U5088" s="22">
        <v>0.56999999999999995</v>
      </c>
      <c r="V5088" s="22">
        <f>3.34/5</f>
        <v>0.66799999999999993</v>
      </c>
      <c r="W5088" s="14" t="s">
        <v>7777</v>
      </c>
      <c r="X5088" s="3">
        <v>2</v>
      </c>
      <c r="Z5088" s="23">
        <v>10</v>
      </c>
      <c r="AB5088" s="18">
        <f t="shared" si="158"/>
        <v>2009</v>
      </c>
      <c r="AC5088" s="22">
        <f t="shared" si="159"/>
        <v>0.54599999999999993</v>
      </c>
    </row>
    <row r="5089" spans="1:29">
      <c r="A5089" s="8" t="s">
        <v>3356</v>
      </c>
      <c r="B5089" s="17" t="s">
        <v>7800</v>
      </c>
      <c r="C5089" s="13">
        <v>40112</v>
      </c>
      <c r="D5089" s="13" t="s">
        <v>8465</v>
      </c>
      <c r="E5089" s="10" t="s">
        <v>3310</v>
      </c>
      <c r="F5089" s="10" t="s">
        <v>3154</v>
      </c>
      <c r="G5089" s="11" t="s">
        <v>3356</v>
      </c>
      <c r="H5089" s="2" t="s">
        <v>1050</v>
      </c>
      <c r="L5089" s="18">
        <v>1</v>
      </c>
      <c r="N5089" s="13">
        <v>41677</v>
      </c>
      <c r="P5089" s="18" t="s">
        <v>1107</v>
      </c>
      <c r="Q5089" s="18">
        <v>0</v>
      </c>
      <c r="U5089" s="22">
        <v>0.81</v>
      </c>
      <c r="V5089" s="22">
        <f>3.89/5</f>
        <v>0.77800000000000002</v>
      </c>
      <c r="W5089" s="14" t="s">
        <v>7777</v>
      </c>
      <c r="X5089" s="3">
        <v>2</v>
      </c>
      <c r="Z5089" s="23">
        <v>22.5</v>
      </c>
      <c r="AB5089" s="18">
        <f t="shared" si="158"/>
        <v>2009</v>
      </c>
      <c r="AC5089" s="22">
        <f t="shared" si="159"/>
        <v>0.66266666666666663</v>
      </c>
    </row>
    <row r="5090" spans="1:29" ht="30">
      <c r="A5090" s="8" t="s">
        <v>11392</v>
      </c>
      <c r="B5090" s="17" t="s">
        <v>7765</v>
      </c>
      <c r="C5090" s="13">
        <v>40112</v>
      </c>
      <c r="D5090" s="13" t="s">
        <v>8465</v>
      </c>
      <c r="E5090" s="10" t="s">
        <v>1342</v>
      </c>
      <c r="F5090" s="10" t="s">
        <v>10684</v>
      </c>
      <c r="G5090" s="11" t="s">
        <v>8653</v>
      </c>
      <c r="H5090" s="2" t="s">
        <v>1040</v>
      </c>
      <c r="L5090" s="18">
        <v>1</v>
      </c>
      <c r="N5090" s="13">
        <v>44636</v>
      </c>
      <c r="O5090" s="29">
        <v>0</v>
      </c>
      <c r="P5090" s="18" t="s">
        <v>1107</v>
      </c>
      <c r="Q5090" s="18">
        <v>0</v>
      </c>
      <c r="V5090" s="22">
        <f>3.35/5</f>
        <v>0.67</v>
      </c>
      <c r="W5090" s="14" t="s">
        <v>11393</v>
      </c>
      <c r="X5090" s="3">
        <v>2</v>
      </c>
      <c r="Z5090" s="23">
        <v>3.5</v>
      </c>
      <c r="AB5090" s="18">
        <f t="shared" si="158"/>
        <v>2009</v>
      </c>
      <c r="AC5090" s="22">
        <f t="shared" si="159"/>
        <v>0.53500000000000003</v>
      </c>
    </row>
    <row r="5091" spans="1:29">
      <c r="A5091" s="8" t="s">
        <v>8424</v>
      </c>
      <c r="B5091" s="17" t="s">
        <v>7748</v>
      </c>
      <c r="C5091" s="13">
        <v>40109</v>
      </c>
      <c r="D5091" s="13" t="s">
        <v>8465</v>
      </c>
      <c r="E5091" s="10" t="s">
        <v>1527</v>
      </c>
      <c r="F5091" s="10" t="s">
        <v>1083</v>
      </c>
      <c r="H5091" s="2" t="s">
        <v>149</v>
      </c>
      <c r="L5091" s="18">
        <v>0</v>
      </c>
      <c r="Q5091" s="18">
        <v>0</v>
      </c>
      <c r="U5091" s="22">
        <v>0.72</v>
      </c>
      <c r="V5091" s="22">
        <f>3.75/5</f>
        <v>0.75</v>
      </c>
      <c r="X5091" s="3">
        <v>3</v>
      </c>
      <c r="Z5091" s="23">
        <v>25.5</v>
      </c>
      <c r="AB5091" s="18">
        <f t="shared" si="158"/>
        <v>2009</v>
      </c>
      <c r="AC5091" s="22">
        <f t="shared" si="159"/>
        <v>0.69</v>
      </c>
    </row>
    <row r="5092" spans="1:29" ht="25.5">
      <c r="A5092" s="8" t="s">
        <v>12555</v>
      </c>
      <c r="B5092" s="17" t="s">
        <v>7800</v>
      </c>
      <c r="C5092" s="13">
        <v>40107</v>
      </c>
      <c r="D5092" s="13" t="s">
        <v>8465</v>
      </c>
      <c r="E5092" s="10" t="s">
        <v>8478</v>
      </c>
      <c r="F5092" s="10" t="s">
        <v>8478</v>
      </c>
      <c r="G5092" s="11" t="s">
        <v>8479</v>
      </c>
      <c r="H5092" s="2" t="s">
        <v>3123</v>
      </c>
      <c r="L5092" s="18">
        <v>1</v>
      </c>
      <c r="P5092" s="18" t="s">
        <v>1107</v>
      </c>
      <c r="Q5092" s="18">
        <v>0</v>
      </c>
      <c r="U5092" s="22">
        <v>0.8</v>
      </c>
      <c r="V5092" s="22">
        <f>3.58/5</f>
        <v>0.71599999999999997</v>
      </c>
      <c r="W5092" s="14" t="s">
        <v>7777</v>
      </c>
      <c r="X5092" s="3">
        <v>2</v>
      </c>
      <c r="Z5092" s="23">
        <v>23.5</v>
      </c>
      <c r="AB5092" s="18">
        <f t="shared" si="158"/>
        <v>2009</v>
      </c>
      <c r="AC5092" s="22">
        <f t="shared" si="159"/>
        <v>0.6386666666666666</v>
      </c>
    </row>
    <row r="5093" spans="1:29" ht="25.5">
      <c r="A5093" s="8" t="s">
        <v>2269</v>
      </c>
      <c r="B5093" s="17" t="s">
        <v>7748</v>
      </c>
      <c r="C5093" s="13">
        <v>40106</v>
      </c>
      <c r="D5093" s="13" t="s">
        <v>8465</v>
      </c>
      <c r="E5093" s="10" t="s">
        <v>54</v>
      </c>
      <c r="F5093" s="10" t="s">
        <v>2333</v>
      </c>
      <c r="G5093" s="11" t="s">
        <v>1088</v>
      </c>
      <c r="H5093" s="2" t="s">
        <v>2138</v>
      </c>
      <c r="L5093" s="18">
        <v>0</v>
      </c>
      <c r="Q5093" s="18">
        <v>0</v>
      </c>
      <c r="U5093" s="22">
        <v>0.83</v>
      </c>
      <c r="V5093" s="22">
        <f>4.1/5</f>
        <v>0.82</v>
      </c>
      <c r="X5093" s="3">
        <v>4</v>
      </c>
      <c r="Z5093" s="23">
        <v>3.5</v>
      </c>
      <c r="AB5093" s="18">
        <f t="shared" si="158"/>
        <v>2009</v>
      </c>
      <c r="AC5093" s="22">
        <f t="shared" si="159"/>
        <v>0.81666666666666676</v>
      </c>
    </row>
    <row r="5094" spans="1:29">
      <c r="A5094" s="8" t="s">
        <v>5472</v>
      </c>
      <c r="B5094" s="17" t="s">
        <v>7800</v>
      </c>
      <c r="C5094" s="13">
        <v>40106</v>
      </c>
      <c r="D5094" s="13" t="s">
        <v>8465</v>
      </c>
      <c r="E5094" s="10" t="s">
        <v>3553</v>
      </c>
      <c r="F5094" s="10" t="s">
        <v>1715</v>
      </c>
      <c r="G5094" s="11" t="s">
        <v>5473</v>
      </c>
      <c r="H5094" s="2" t="s">
        <v>1334</v>
      </c>
      <c r="L5094" s="18">
        <v>1</v>
      </c>
      <c r="N5094" s="13">
        <v>41543</v>
      </c>
      <c r="O5094" s="29">
        <v>0</v>
      </c>
      <c r="P5094" s="18" t="s">
        <v>1107</v>
      </c>
      <c r="Q5094" s="18">
        <v>0</v>
      </c>
      <c r="U5094" s="22">
        <v>0.8</v>
      </c>
      <c r="V5094" s="22">
        <f>3.83/5</f>
        <v>0.76600000000000001</v>
      </c>
      <c r="W5094" s="14" t="s">
        <v>7777</v>
      </c>
      <c r="X5094" s="3">
        <v>3</v>
      </c>
      <c r="Z5094" s="23">
        <v>25.5</v>
      </c>
      <c r="AB5094" s="18">
        <f t="shared" si="158"/>
        <v>2009</v>
      </c>
      <c r="AC5094" s="22">
        <f t="shared" si="159"/>
        <v>0.72199999999999998</v>
      </c>
    </row>
    <row r="5095" spans="1:29" ht="30">
      <c r="A5095" s="8" t="s">
        <v>9872</v>
      </c>
      <c r="B5095" s="17" t="s">
        <v>7758</v>
      </c>
      <c r="C5095" s="13">
        <v>40106</v>
      </c>
      <c r="D5095" s="13" t="s">
        <v>8465</v>
      </c>
      <c r="E5095" s="10" t="s">
        <v>2908</v>
      </c>
      <c r="F5095" s="10" t="s">
        <v>7455</v>
      </c>
      <c r="G5095" s="11" t="s">
        <v>5975</v>
      </c>
      <c r="H5095" s="2" t="s">
        <v>150</v>
      </c>
      <c r="L5095" s="18">
        <v>0</v>
      </c>
      <c r="Q5095" s="18">
        <v>0</v>
      </c>
      <c r="U5095" s="22">
        <v>0.72</v>
      </c>
      <c r="V5095" s="22">
        <f>3.73/5</f>
        <v>0.746</v>
      </c>
      <c r="X5095" s="3">
        <v>3</v>
      </c>
      <c r="Z5095" s="23">
        <v>15.5</v>
      </c>
      <c r="AB5095" s="18">
        <f t="shared" si="158"/>
        <v>2009</v>
      </c>
      <c r="AC5095" s="22">
        <f t="shared" si="159"/>
        <v>0.68866666666666665</v>
      </c>
    </row>
    <row r="5096" spans="1:29" ht="30">
      <c r="A5096" s="8" t="s">
        <v>6048</v>
      </c>
      <c r="B5096" s="17" t="s">
        <v>7759</v>
      </c>
      <c r="C5096" s="13">
        <v>40102</v>
      </c>
      <c r="D5096" s="13" t="s">
        <v>8467</v>
      </c>
      <c r="E5096" s="10" t="s">
        <v>2908</v>
      </c>
      <c r="F5096" s="10" t="s">
        <v>6049</v>
      </c>
      <c r="G5096" s="11" t="s">
        <v>6050</v>
      </c>
      <c r="H5096" s="2" t="s">
        <v>150</v>
      </c>
      <c r="L5096" s="18">
        <v>1</v>
      </c>
      <c r="M5096" s="14" t="s">
        <v>8462</v>
      </c>
      <c r="N5096" s="13">
        <v>43570</v>
      </c>
      <c r="O5096" s="29">
        <v>24.99</v>
      </c>
      <c r="P5096" s="18" t="s">
        <v>14</v>
      </c>
      <c r="Q5096" s="18">
        <v>0</v>
      </c>
      <c r="U5096" s="22">
        <v>0.91</v>
      </c>
      <c r="V5096" s="22">
        <f>3.85/5</f>
        <v>0.77</v>
      </c>
      <c r="X5096" s="3">
        <v>3</v>
      </c>
      <c r="Z5096" s="23">
        <v>11</v>
      </c>
      <c r="AB5096" s="18">
        <f t="shared" si="158"/>
        <v>2009</v>
      </c>
      <c r="AC5096" s="22">
        <f t="shared" si="159"/>
        <v>0.76000000000000012</v>
      </c>
    </row>
    <row r="5097" spans="1:29">
      <c r="A5097" s="8" t="s">
        <v>1624</v>
      </c>
      <c r="B5097" s="17" t="s">
        <v>7800</v>
      </c>
      <c r="C5097" s="13">
        <v>40102</v>
      </c>
      <c r="D5097" s="13" t="s">
        <v>8465</v>
      </c>
      <c r="E5097" s="10" t="s">
        <v>1625</v>
      </c>
      <c r="F5097" s="10" t="s">
        <v>1625</v>
      </c>
      <c r="H5097" s="2" t="s">
        <v>67</v>
      </c>
      <c r="L5097" s="18">
        <v>1</v>
      </c>
      <c r="N5097" s="13">
        <v>40531</v>
      </c>
      <c r="P5097" s="18" t="s">
        <v>1107</v>
      </c>
      <c r="Q5097" s="18">
        <v>0</v>
      </c>
      <c r="U5097" s="22">
        <v>0.85</v>
      </c>
      <c r="V5097" s="22">
        <f>3.9/5</f>
        <v>0.78</v>
      </c>
      <c r="W5097" s="14" t="s">
        <v>7777</v>
      </c>
      <c r="X5097" s="3">
        <v>3</v>
      </c>
      <c r="Z5097" s="23">
        <v>5</v>
      </c>
      <c r="AB5097" s="18">
        <f t="shared" si="158"/>
        <v>2009</v>
      </c>
      <c r="AC5097" s="22">
        <f t="shared" si="159"/>
        <v>0.74333333333333329</v>
      </c>
    </row>
    <row r="5098" spans="1:29" ht="30">
      <c r="A5098" s="8" t="s">
        <v>6039</v>
      </c>
      <c r="B5098" s="17" t="s">
        <v>7759</v>
      </c>
      <c r="C5098" s="13">
        <v>40099</v>
      </c>
      <c r="D5098" s="13" t="s">
        <v>8465</v>
      </c>
      <c r="E5098" s="10" t="s">
        <v>2908</v>
      </c>
      <c r="F5098" s="10" t="s">
        <v>2646</v>
      </c>
      <c r="G5098" s="11" t="s">
        <v>6040</v>
      </c>
      <c r="H5098" s="2" t="s">
        <v>80</v>
      </c>
      <c r="L5098" s="18">
        <v>1</v>
      </c>
      <c r="M5098" s="14" t="s">
        <v>8462</v>
      </c>
      <c r="P5098" s="18" t="s">
        <v>14</v>
      </c>
      <c r="Q5098" s="18">
        <v>0</v>
      </c>
      <c r="U5098" s="22">
        <v>0.96</v>
      </c>
      <c r="V5098" s="22">
        <f>4.44/5</f>
        <v>0.88800000000000012</v>
      </c>
      <c r="X5098" s="3">
        <v>4</v>
      </c>
      <c r="Z5098" s="23">
        <v>10.5</v>
      </c>
      <c r="AB5098" s="18">
        <f t="shared" si="158"/>
        <v>2009</v>
      </c>
      <c r="AC5098" s="22">
        <f t="shared" si="159"/>
        <v>0.88266666666666671</v>
      </c>
    </row>
    <row r="5099" spans="1:29" ht="45">
      <c r="A5099" s="8" t="s">
        <v>4311</v>
      </c>
      <c r="B5099" s="17" t="s">
        <v>7800</v>
      </c>
      <c r="C5099" s="13">
        <v>40099</v>
      </c>
      <c r="D5099" s="13" t="s">
        <v>8465</v>
      </c>
      <c r="E5099" s="10" t="s">
        <v>1156</v>
      </c>
      <c r="F5099" s="10" t="s">
        <v>1309</v>
      </c>
      <c r="G5099" s="11" t="s">
        <v>4310</v>
      </c>
      <c r="H5099" s="2" t="s">
        <v>80</v>
      </c>
      <c r="L5099" s="18">
        <v>1</v>
      </c>
      <c r="N5099" s="13">
        <v>42123</v>
      </c>
      <c r="O5099" s="29">
        <v>5.99</v>
      </c>
      <c r="P5099" s="18" t="s">
        <v>1107</v>
      </c>
      <c r="Q5099" s="18">
        <v>0</v>
      </c>
      <c r="V5099" s="22">
        <f>3.97/5</f>
        <v>0.79400000000000004</v>
      </c>
      <c r="W5099" s="14" t="s">
        <v>7777</v>
      </c>
      <c r="X5099" s="3">
        <v>3</v>
      </c>
      <c r="Z5099" s="23">
        <v>14</v>
      </c>
      <c r="AB5099" s="18">
        <f t="shared" si="158"/>
        <v>2009</v>
      </c>
      <c r="AC5099" s="22">
        <f t="shared" si="159"/>
        <v>0.69700000000000006</v>
      </c>
    </row>
    <row r="5100" spans="1:29" ht="25.5">
      <c r="A5100" s="8" t="s">
        <v>8419</v>
      </c>
      <c r="B5100" s="17" t="s">
        <v>7748</v>
      </c>
      <c r="C5100" s="13">
        <v>40099</v>
      </c>
      <c r="D5100" s="13" t="s">
        <v>8465</v>
      </c>
      <c r="E5100" s="10" t="s">
        <v>1519</v>
      </c>
      <c r="F5100" s="10" t="s">
        <v>8420</v>
      </c>
      <c r="H5100" s="2" t="s">
        <v>75</v>
      </c>
      <c r="L5100" s="18">
        <v>0</v>
      </c>
      <c r="Q5100" s="18">
        <v>0</v>
      </c>
      <c r="U5100" s="22">
        <v>0.62</v>
      </c>
      <c r="V5100" s="22">
        <f>3.39/5</f>
        <v>0.67800000000000005</v>
      </c>
      <c r="X5100" s="3">
        <v>3</v>
      </c>
      <c r="Z5100" s="23">
        <v>18.5</v>
      </c>
      <c r="AB5100" s="18">
        <f t="shared" si="158"/>
        <v>2009</v>
      </c>
      <c r="AC5100" s="22">
        <f t="shared" si="159"/>
        <v>0.63266666666666671</v>
      </c>
    </row>
    <row r="5101" spans="1:29" ht="25.5">
      <c r="A5101" s="8" t="s">
        <v>12824</v>
      </c>
      <c r="B5101" s="17" t="s">
        <v>7800</v>
      </c>
      <c r="C5101" s="13">
        <v>40099</v>
      </c>
      <c r="D5101" s="13" t="s">
        <v>8465</v>
      </c>
      <c r="E5101" s="10" t="s">
        <v>1690</v>
      </c>
      <c r="F5101" s="10" t="s">
        <v>1691</v>
      </c>
      <c r="G5101" s="11" t="s">
        <v>3864</v>
      </c>
      <c r="H5101" s="2" t="s">
        <v>171</v>
      </c>
      <c r="L5101" s="18">
        <v>1</v>
      </c>
      <c r="N5101" s="13">
        <v>44854</v>
      </c>
      <c r="O5101" s="29">
        <v>0</v>
      </c>
      <c r="P5101" s="18" t="s">
        <v>1107</v>
      </c>
      <c r="Q5101" s="18">
        <v>0</v>
      </c>
      <c r="V5101" s="22">
        <f>4.02/5</f>
        <v>0.80399999999999994</v>
      </c>
      <c r="W5101" s="14" t="s">
        <v>7097</v>
      </c>
      <c r="X5101" s="3">
        <v>2</v>
      </c>
      <c r="Z5101" s="23">
        <v>27.5</v>
      </c>
      <c r="AB5101" s="18">
        <f t="shared" si="158"/>
        <v>2009</v>
      </c>
      <c r="AC5101" s="22">
        <f t="shared" si="159"/>
        <v>0.60199999999999998</v>
      </c>
    </row>
    <row r="5102" spans="1:29" ht="25.5">
      <c r="A5102" s="8" t="s">
        <v>14367</v>
      </c>
      <c r="B5102" s="17" t="s">
        <v>7741</v>
      </c>
      <c r="C5102" s="13">
        <v>40099</v>
      </c>
      <c r="D5102" s="13" t="s">
        <v>8465</v>
      </c>
      <c r="E5102" s="10" t="s">
        <v>455</v>
      </c>
      <c r="F5102" s="10" t="s">
        <v>1492</v>
      </c>
      <c r="G5102" s="11" t="s">
        <v>14364</v>
      </c>
      <c r="H5102" s="2" t="s">
        <v>255</v>
      </c>
      <c r="L5102" s="18">
        <v>0</v>
      </c>
      <c r="Q5102" s="18">
        <v>0</v>
      </c>
      <c r="U5102" s="22">
        <v>0.72</v>
      </c>
      <c r="V5102" s="22">
        <f>3.66/5</f>
        <v>0.73199999999999998</v>
      </c>
      <c r="X5102" s="3">
        <v>2</v>
      </c>
      <c r="Z5102" s="23">
        <v>9.5</v>
      </c>
      <c r="AB5102" s="18">
        <f t="shared" si="158"/>
        <v>2009</v>
      </c>
      <c r="AC5102" s="22">
        <f t="shared" si="159"/>
        <v>0.61733333333333329</v>
      </c>
    </row>
    <row r="5103" spans="1:29">
      <c r="A5103" s="8" t="s">
        <v>12733</v>
      </c>
      <c r="B5103" s="17" t="s">
        <v>7765</v>
      </c>
      <c r="C5103" s="13">
        <v>40099</v>
      </c>
      <c r="D5103" s="13" t="s">
        <v>8465</v>
      </c>
      <c r="E5103" s="10" t="s">
        <v>3568</v>
      </c>
      <c r="F5103" s="10" t="s">
        <v>8442</v>
      </c>
      <c r="G5103" s="11" t="s">
        <v>8443</v>
      </c>
      <c r="H5103" s="2" t="s">
        <v>149</v>
      </c>
      <c r="L5103" s="18">
        <v>0</v>
      </c>
      <c r="Q5103" s="18">
        <v>0</v>
      </c>
      <c r="U5103" s="22">
        <v>0.69</v>
      </c>
      <c r="V5103" s="22">
        <f>3.78/5</f>
        <v>0.75600000000000001</v>
      </c>
      <c r="X5103" s="3">
        <v>2</v>
      </c>
      <c r="Y5103" s="18">
        <v>1</v>
      </c>
      <c r="Z5103" s="23">
        <v>39</v>
      </c>
      <c r="AB5103" s="18">
        <f t="shared" si="158"/>
        <v>2009</v>
      </c>
      <c r="AC5103" s="22">
        <f t="shared" si="159"/>
        <v>0.6153333333333334</v>
      </c>
    </row>
    <row r="5104" spans="1:29">
      <c r="A5104" s="8" t="s">
        <v>10690</v>
      </c>
      <c r="B5104" s="17" t="s">
        <v>7741</v>
      </c>
      <c r="C5104" s="13">
        <v>40099</v>
      </c>
      <c r="D5104" s="13" t="s">
        <v>8465</v>
      </c>
      <c r="E5104" s="10" t="s">
        <v>1534</v>
      </c>
      <c r="F5104" s="10" t="s">
        <v>5984</v>
      </c>
      <c r="G5104" s="11" t="s">
        <v>10691</v>
      </c>
      <c r="H5104" s="2" t="s">
        <v>1061</v>
      </c>
      <c r="L5104" s="18">
        <v>0</v>
      </c>
      <c r="Q5104" s="18">
        <v>0</v>
      </c>
      <c r="U5104" s="22">
        <v>0.39</v>
      </c>
      <c r="V5104" s="22">
        <f>3.01/5</f>
        <v>0.60199999999999998</v>
      </c>
      <c r="X5104" s="3">
        <v>2</v>
      </c>
      <c r="Z5104" s="23">
        <v>3.5</v>
      </c>
      <c r="AB5104" s="18">
        <f t="shared" si="158"/>
        <v>2009</v>
      </c>
      <c r="AC5104" s="22">
        <f t="shared" si="159"/>
        <v>0.46399999999999997</v>
      </c>
    </row>
    <row r="5105" spans="1:29" ht="38.25">
      <c r="A5105" s="8" t="s">
        <v>2359</v>
      </c>
      <c r="B5105" s="17" t="s">
        <v>7748</v>
      </c>
      <c r="C5105" s="13">
        <v>40098</v>
      </c>
      <c r="D5105" s="13" t="s">
        <v>8465</v>
      </c>
      <c r="E5105" s="10" t="s">
        <v>86</v>
      </c>
      <c r="F5105" s="10" t="s">
        <v>164</v>
      </c>
      <c r="G5105" s="11" t="s">
        <v>1984</v>
      </c>
      <c r="H5105" s="2" t="s">
        <v>1377</v>
      </c>
      <c r="L5105" s="18">
        <v>0</v>
      </c>
      <c r="Q5105" s="18">
        <v>0</v>
      </c>
      <c r="U5105" s="22">
        <v>0.56000000000000005</v>
      </c>
      <c r="V5105" s="22">
        <f>4.29/5</f>
        <v>0.85799999999999998</v>
      </c>
      <c r="X5105" s="3">
        <v>3</v>
      </c>
      <c r="Z5105" s="23">
        <v>25.5</v>
      </c>
      <c r="AB5105" s="18">
        <f t="shared" si="158"/>
        <v>2009</v>
      </c>
      <c r="AC5105" s="22">
        <f t="shared" si="159"/>
        <v>0.67266666666666675</v>
      </c>
    </row>
    <row r="5106" spans="1:29" ht="25.5">
      <c r="A5106" s="8" t="s">
        <v>12598</v>
      </c>
      <c r="B5106" s="17" t="s">
        <v>7800</v>
      </c>
      <c r="C5106" s="13">
        <v>40092</v>
      </c>
      <c r="D5106" s="13" t="s">
        <v>8465</v>
      </c>
      <c r="E5106" s="10" t="s">
        <v>1513</v>
      </c>
      <c r="F5106" s="10" t="s">
        <v>1513</v>
      </c>
      <c r="G5106" s="11" t="s">
        <v>12599</v>
      </c>
      <c r="H5106" s="2" t="s">
        <v>7448</v>
      </c>
      <c r="L5106" s="18">
        <v>1</v>
      </c>
      <c r="P5106" s="18" t="s">
        <v>1107</v>
      </c>
      <c r="Q5106" s="18">
        <v>0</v>
      </c>
      <c r="U5106" s="22">
        <v>0.76</v>
      </c>
      <c r="V5106" s="22">
        <f>3.53/5</f>
        <v>0.70599999999999996</v>
      </c>
      <c r="W5106" s="14" t="s">
        <v>7777</v>
      </c>
      <c r="X5106" s="3">
        <v>2</v>
      </c>
      <c r="Z5106" s="23">
        <v>11.5</v>
      </c>
      <c r="AB5106" s="18">
        <f t="shared" si="158"/>
        <v>2009</v>
      </c>
      <c r="AC5106" s="22">
        <f t="shared" si="159"/>
        <v>0.622</v>
      </c>
    </row>
    <row r="5107" spans="1:29">
      <c r="A5107" s="9" t="s">
        <v>10213</v>
      </c>
      <c r="B5107" s="17" t="s">
        <v>7759</v>
      </c>
      <c r="C5107" s="13">
        <v>40092</v>
      </c>
      <c r="D5107" s="13" t="s">
        <v>8465</v>
      </c>
      <c r="E5107" s="10" t="s">
        <v>66</v>
      </c>
      <c r="F5107" s="10" t="s">
        <v>10236</v>
      </c>
      <c r="H5107" s="2" t="s">
        <v>1334</v>
      </c>
      <c r="L5107" s="18">
        <v>0</v>
      </c>
      <c r="Q5107" s="18">
        <v>0</v>
      </c>
      <c r="U5107" s="22">
        <v>0.63</v>
      </c>
      <c r="V5107" s="22">
        <f>3.76/5</f>
        <v>0.752</v>
      </c>
      <c r="X5107" s="3">
        <v>2</v>
      </c>
      <c r="Y5107" s="18">
        <v>1</v>
      </c>
      <c r="Z5107" s="23">
        <v>22</v>
      </c>
      <c r="AB5107" s="18">
        <f t="shared" si="158"/>
        <v>2009</v>
      </c>
      <c r="AC5107" s="22">
        <f t="shared" si="159"/>
        <v>0.59399999999999997</v>
      </c>
    </row>
    <row r="5108" spans="1:29">
      <c r="A5108" s="8" t="s">
        <v>9284</v>
      </c>
      <c r="B5108" s="17" t="s">
        <v>7748</v>
      </c>
      <c r="C5108" s="13">
        <v>40092</v>
      </c>
      <c r="D5108" s="13" t="s">
        <v>8465</v>
      </c>
      <c r="E5108" s="10" t="s">
        <v>1062</v>
      </c>
      <c r="F5108" s="10" t="s">
        <v>9283</v>
      </c>
      <c r="H5108" s="2" t="s">
        <v>171</v>
      </c>
      <c r="L5108" s="18">
        <v>0</v>
      </c>
      <c r="Q5108" s="18">
        <v>0</v>
      </c>
      <c r="U5108" s="22">
        <v>0.5</v>
      </c>
      <c r="V5108" s="22">
        <f>3.53/5</f>
        <v>0.70599999999999996</v>
      </c>
      <c r="X5108" s="3">
        <v>2</v>
      </c>
      <c r="Z5108" s="23">
        <v>16</v>
      </c>
      <c r="AB5108" s="18">
        <f t="shared" si="158"/>
        <v>2009</v>
      </c>
      <c r="AC5108" s="22">
        <f t="shared" si="159"/>
        <v>0.53533333333333333</v>
      </c>
    </row>
    <row r="5109" spans="1:29">
      <c r="A5109" s="8" t="s">
        <v>9287</v>
      </c>
      <c r="B5109" s="17" t="s">
        <v>7759</v>
      </c>
      <c r="C5109" s="13">
        <v>40092</v>
      </c>
      <c r="D5109" s="13" t="s">
        <v>8465</v>
      </c>
      <c r="E5109" s="10" t="s">
        <v>72</v>
      </c>
      <c r="F5109" s="10" t="s">
        <v>9288</v>
      </c>
      <c r="G5109" s="11" t="s">
        <v>9287</v>
      </c>
      <c r="H5109" s="2" t="s">
        <v>1061</v>
      </c>
      <c r="L5109" s="18">
        <v>0</v>
      </c>
      <c r="Q5109" s="18">
        <v>0</v>
      </c>
      <c r="U5109" s="22">
        <v>0.59</v>
      </c>
      <c r="V5109" s="22">
        <f>2.99/5</f>
        <v>0.59800000000000009</v>
      </c>
      <c r="X5109" s="3">
        <v>2</v>
      </c>
      <c r="Y5109" s="18">
        <v>1</v>
      </c>
      <c r="Z5109" s="23">
        <v>6</v>
      </c>
      <c r="AB5109" s="18">
        <f t="shared" si="158"/>
        <v>2009</v>
      </c>
      <c r="AC5109" s="22">
        <f t="shared" si="159"/>
        <v>0.52933333333333332</v>
      </c>
    </row>
    <row r="5110" spans="1:29">
      <c r="A5110" s="8" t="s">
        <v>4846</v>
      </c>
      <c r="B5110" s="17" t="s">
        <v>7800</v>
      </c>
      <c r="C5110" s="13">
        <v>40088</v>
      </c>
      <c r="D5110" s="13" t="s">
        <v>8465</v>
      </c>
      <c r="E5110" s="10" t="s">
        <v>1163</v>
      </c>
      <c r="F5110" s="10" t="s">
        <v>4847</v>
      </c>
      <c r="G5110" s="11" t="s">
        <v>4846</v>
      </c>
      <c r="H5110" s="2" t="s">
        <v>171</v>
      </c>
      <c r="L5110" s="18">
        <v>1</v>
      </c>
      <c r="N5110" s="13">
        <v>41493</v>
      </c>
      <c r="P5110" s="18" t="s">
        <v>1107</v>
      </c>
      <c r="Q5110" s="18">
        <v>0</v>
      </c>
      <c r="U5110" s="22">
        <v>0.78</v>
      </c>
      <c r="V5110" s="22">
        <f>3.64/5</f>
        <v>0.72799999999999998</v>
      </c>
      <c r="W5110" s="14" t="s">
        <v>7777</v>
      </c>
      <c r="X5110" s="3">
        <v>3</v>
      </c>
      <c r="Z5110" s="23">
        <v>26</v>
      </c>
      <c r="AB5110" s="18">
        <f t="shared" si="158"/>
        <v>2009</v>
      </c>
      <c r="AC5110" s="22">
        <f t="shared" si="159"/>
        <v>0.70266666666666666</v>
      </c>
    </row>
    <row r="5111" spans="1:29" ht="30">
      <c r="A5111" s="8" t="s">
        <v>8016</v>
      </c>
      <c r="B5111" s="17" t="s">
        <v>7762</v>
      </c>
      <c r="C5111" s="13">
        <v>40087</v>
      </c>
      <c r="D5111" s="13" t="s">
        <v>8465</v>
      </c>
      <c r="E5111" s="10" t="s">
        <v>2908</v>
      </c>
      <c r="F5111" s="10" t="s">
        <v>8019</v>
      </c>
      <c r="G5111" s="11" t="s">
        <v>8016</v>
      </c>
      <c r="H5111" s="2" t="s">
        <v>150</v>
      </c>
      <c r="L5111" s="18">
        <v>0</v>
      </c>
      <c r="Q5111" s="18">
        <v>0</v>
      </c>
      <c r="U5111" s="22">
        <v>0.74629999999999996</v>
      </c>
      <c r="V5111" s="22">
        <f>3.89/5</f>
        <v>0.77800000000000002</v>
      </c>
      <c r="X5111" s="3">
        <v>2</v>
      </c>
      <c r="Z5111" s="23">
        <v>13</v>
      </c>
      <c r="AB5111" s="18">
        <f t="shared" si="158"/>
        <v>2009</v>
      </c>
      <c r="AC5111" s="22">
        <f t="shared" si="159"/>
        <v>0.64143333333333341</v>
      </c>
    </row>
    <row r="5112" spans="1:29" ht="30">
      <c r="A5112" s="8" t="s">
        <v>13948</v>
      </c>
      <c r="B5112" s="17" t="s">
        <v>7762</v>
      </c>
      <c r="C5112" s="13">
        <v>40087</v>
      </c>
      <c r="D5112" s="13" t="s">
        <v>8465</v>
      </c>
      <c r="E5112" s="10" t="s">
        <v>1082</v>
      </c>
      <c r="F5112" s="10" t="s">
        <v>13949</v>
      </c>
      <c r="G5112" s="11" t="s">
        <v>13885</v>
      </c>
      <c r="H5112" s="2" t="s">
        <v>147</v>
      </c>
      <c r="L5112" s="18">
        <v>0</v>
      </c>
      <c r="Q5112" s="18">
        <v>0</v>
      </c>
      <c r="V5112" s="22">
        <f>3.28/5</f>
        <v>0.65599999999999992</v>
      </c>
      <c r="X5112" s="3">
        <v>2</v>
      </c>
      <c r="Z5112" s="23">
        <f>30/60</f>
        <v>0.5</v>
      </c>
      <c r="AB5112" s="18">
        <f t="shared" si="158"/>
        <v>2009</v>
      </c>
      <c r="AC5112" s="22">
        <f t="shared" si="159"/>
        <v>0.52800000000000002</v>
      </c>
    </row>
    <row r="5113" spans="1:29" ht="38.25">
      <c r="A5113" s="8" t="s">
        <v>8823</v>
      </c>
      <c r="B5113" s="17" t="s">
        <v>7748</v>
      </c>
      <c r="C5113" s="13">
        <v>40086</v>
      </c>
      <c r="D5113" s="13" t="s">
        <v>8465</v>
      </c>
      <c r="E5113" s="10" t="s">
        <v>1534</v>
      </c>
      <c r="F5113" s="10" t="s">
        <v>6092</v>
      </c>
      <c r="G5113" s="11" t="s">
        <v>8824</v>
      </c>
      <c r="H5113" s="2" t="s">
        <v>149</v>
      </c>
      <c r="L5113" s="18">
        <v>0</v>
      </c>
      <c r="Q5113" s="18">
        <v>0</v>
      </c>
      <c r="U5113" s="22">
        <v>0.68</v>
      </c>
      <c r="V5113" s="22">
        <f>3.81/5</f>
        <v>0.76200000000000001</v>
      </c>
      <c r="X5113" s="3">
        <v>3</v>
      </c>
      <c r="Z5113" s="23">
        <v>21</v>
      </c>
      <c r="AB5113" s="18">
        <f t="shared" si="158"/>
        <v>2009</v>
      </c>
      <c r="AC5113" s="22">
        <f t="shared" si="159"/>
        <v>0.68066666666666675</v>
      </c>
    </row>
    <row r="5114" spans="1:29">
      <c r="A5114" s="8" t="s">
        <v>989</v>
      </c>
      <c r="B5114" s="17" t="s">
        <v>7741</v>
      </c>
      <c r="C5114" s="13">
        <v>40085</v>
      </c>
      <c r="D5114" s="13" t="s">
        <v>8465</v>
      </c>
      <c r="E5114" s="10" t="s">
        <v>231</v>
      </c>
      <c r="F5114" s="10" t="s">
        <v>1543</v>
      </c>
      <c r="G5114" s="11" t="s">
        <v>1544</v>
      </c>
      <c r="H5114" s="2" t="s">
        <v>1170</v>
      </c>
      <c r="L5114" s="18">
        <v>0</v>
      </c>
      <c r="Q5114" s="18">
        <v>0</v>
      </c>
      <c r="U5114" s="22">
        <v>0.84</v>
      </c>
      <c r="V5114" s="22">
        <f>3.7/5</f>
        <v>0.74</v>
      </c>
      <c r="X5114" s="3">
        <v>4</v>
      </c>
      <c r="Z5114" s="23">
        <v>6</v>
      </c>
      <c r="AB5114" s="18">
        <f t="shared" si="158"/>
        <v>2009</v>
      </c>
      <c r="AC5114" s="22">
        <f t="shared" si="159"/>
        <v>0.79333333333333333</v>
      </c>
    </row>
    <row r="5115" spans="1:29">
      <c r="A5115" s="8" t="s">
        <v>5982</v>
      </c>
      <c r="B5115" s="17" t="s">
        <v>7759</v>
      </c>
      <c r="C5115" s="13">
        <v>40085</v>
      </c>
      <c r="D5115" s="13" t="s">
        <v>8465</v>
      </c>
      <c r="E5115" s="10" t="s">
        <v>76</v>
      </c>
      <c r="F5115" s="10" t="s">
        <v>1136</v>
      </c>
      <c r="G5115" s="11" t="s">
        <v>139</v>
      </c>
      <c r="H5115" s="2" t="s">
        <v>1059</v>
      </c>
      <c r="L5115" s="18">
        <v>1</v>
      </c>
      <c r="M5115" s="14" t="s">
        <v>8462</v>
      </c>
      <c r="N5115" s="13">
        <v>43402</v>
      </c>
      <c r="O5115" s="29">
        <v>12.66</v>
      </c>
      <c r="P5115" s="18" t="s">
        <v>14</v>
      </c>
      <c r="Q5115" s="18">
        <v>0</v>
      </c>
      <c r="U5115" s="22">
        <v>0.83</v>
      </c>
      <c r="V5115" s="22">
        <f>4.07/5</f>
        <v>0.81400000000000006</v>
      </c>
      <c r="X5115" s="3">
        <v>3</v>
      </c>
      <c r="Z5115" s="23">
        <v>11.5</v>
      </c>
      <c r="AB5115" s="18">
        <f t="shared" si="158"/>
        <v>2009</v>
      </c>
      <c r="AC5115" s="22">
        <f t="shared" si="159"/>
        <v>0.74800000000000011</v>
      </c>
    </row>
    <row r="5116" spans="1:29" ht="25.5">
      <c r="A5116" s="8" t="s">
        <v>2186</v>
      </c>
      <c r="B5116" s="17" t="s">
        <v>7748</v>
      </c>
      <c r="C5116" s="13">
        <v>40085</v>
      </c>
      <c r="D5116" s="13" t="s">
        <v>8465</v>
      </c>
      <c r="E5116" s="10" t="s">
        <v>1082</v>
      </c>
      <c r="F5116" s="10" t="s">
        <v>1521</v>
      </c>
      <c r="G5116" s="11" t="s">
        <v>1957</v>
      </c>
      <c r="H5116" s="2" t="s">
        <v>171</v>
      </c>
      <c r="L5116" s="18">
        <v>0</v>
      </c>
      <c r="Q5116" s="18">
        <v>0</v>
      </c>
      <c r="U5116" s="22">
        <v>0.77</v>
      </c>
      <c r="V5116" s="22">
        <f>4/5</f>
        <v>0.8</v>
      </c>
      <c r="X5116" s="3">
        <v>3</v>
      </c>
      <c r="Z5116" s="23">
        <v>27</v>
      </c>
      <c r="AB5116" s="18">
        <f t="shared" si="158"/>
        <v>2009</v>
      </c>
      <c r="AC5116" s="22">
        <f t="shared" si="159"/>
        <v>0.72333333333333327</v>
      </c>
    </row>
    <row r="5117" spans="1:29" ht="25.5">
      <c r="A5117" s="8" t="s">
        <v>11777</v>
      </c>
      <c r="B5117" s="17" t="s">
        <v>7741</v>
      </c>
      <c r="C5117" s="13">
        <v>40085</v>
      </c>
      <c r="D5117" s="13" t="s">
        <v>8465</v>
      </c>
      <c r="E5117" s="10" t="s">
        <v>11776</v>
      </c>
      <c r="F5117" s="10" t="s">
        <v>11778</v>
      </c>
      <c r="G5117" s="11" t="s">
        <v>11781</v>
      </c>
      <c r="H5117" s="2" t="s">
        <v>67</v>
      </c>
      <c r="L5117" s="18">
        <v>0</v>
      </c>
      <c r="Q5117" s="18">
        <v>0</v>
      </c>
      <c r="U5117" s="22">
        <v>0.5</v>
      </c>
      <c r="V5117" s="22">
        <f>3.47/5</f>
        <v>0.69400000000000006</v>
      </c>
      <c r="X5117" s="3">
        <v>2</v>
      </c>
      <c r="Z5117" s="23">
        <v>5.5</v>
      </c>
      <c r="AB5117" s="18">
        <f t="shared" si="158"/>
        <v>2009</v>
      </c>
      <c r="AC5117" s="22">
        <f t="shared" si="159"/>
        <v>0.53133333333333332</v>
      </c>
    </row>
    <row r="5118" spans="1:29">
      <c r="A5118" s="8" t="s">
        <v>5637</v>
      </c>
      <c r="B5118" s="17" t="s">
        <v>7800</v>
      </c>
      <c r="C5118" s="13">
        <v>40079</v>
      </c>
      <c r="D5118" s="13" t="s">
        <v>8465</v>
      </c>
      <c r="E5118" s="10" t="s">
        <v>3143</v>
      </c>
      <c r="F5118" s="10" t="s">
        <v>3143</v>
      </c>
      <c r="G5118" s="11" t="s">
        <v>5636</v>
      </c>
      <c r="H5118" s="2" t="s">
        <v>2138</v>
      </c>
      <c r="L5118" s="18">
        <v>1</v>
      </c>
      <c r="N5118" s="13">
        <v>40883</v>
      </c>
      <c r="P5118" s="18" t="s">
        <v>1107</v>
      </c>
      <c r="Q5118" s="18">
        <v>0</v>
      </c>
      <c r="U5118" s="22">
        <v>0.7</v>
      </c>
      <c r="V5118" s="22">
        <f>3.08/5</f>
        <v>0.61599999999999999</v>
      </c>
      <c r="W5118" s="14" t="s">
        <v>7777</v>
      </c>
      <c r="X5118" s="3">
        <v>2</v>
      </c>
      <c r="Z5118" s="23">
        <v>4</v>
      </c>
      <c r="AB5118" s="18">
        <f t="shared" si="158"/>
        <v>2009</v>
      </c>
      <c r="AC5118" s="22">
        <f t="shared" si="159"/>
        <v>0.57199999999999995</v>
      </c>
    </row>
    <row r="5119" spans="1:29" ht="30">
      <c r="A5119" s="8" t="s">
        <v>7819</v>
      </c>
      <c r="B5119" s="17" t="s">
        <v>7762</v>
      </c>
      <c r="C5119" s="13">
        <v>40078</v>
      </c>
      <c r="D5119" s="13" t="s">
        <v>8465</v>
      </c>
      <c r="E5119" s="10" t="s">
        <v>228</v>
      </c>
      <c r="F5119" s="10" t="s">
        <v>228</v>
      </c>
      <c r="G5119" s="11" t="s">
        <v>1171</v>
      </c>
      <c r="H5119" s="2" t="s">
        <v>149</v>
      </c>
      <c r="L5119" s="18">
        <v>0</v>
      </c>
      <c r="Q5119" s="18">
        <v>0</v>
      </c>
      <c r="U5119" s="22">
        <v>0.78390000000000004</v>
      </c>
      <c r="V5119" s="22">
        <f>3.79/5</f>
        <v>0.75800000000000001</v>
      </c>
      <c r="X5119" s="3">
        <v>4</v>
      </c>
      <c r="Z5119" s="23">
        <v>32.5</v>
      </c>
      <c r="AB5119" s="18">
        <f t="shared" si="158"/>
        <v>2009</v>
      </c>
      <c r="AC5119" s="22">
        <f t="shared" si="159"/>
        <v>0.78063333333333329</v>
      </c>
    </row>
    <row r="5120" spans="1:29">
      <c r="A5120" s="8" t="s">
        <v>5960</v>
      </c>
      <c r="B5120" s="17" t="s">
        <v>7759</v>
      </c>
      <c r="C5120" s="13">
        <v>40078</v>
      </c>
      <c r="D5120" s="13" t="s">
        <v>8465</v>
      </c>
      <c r="E5120" s="10" t="s">
        <v>1509</v>
      </c>
      <c r="F5120" s="10" t="s">
        <v>1355</v>
      </c>
      <c r="G5120" s="11" t="s">
        <v>1615</v>
      </c>
      <c r="H5120" s="2" t="s">
        <v>78</v>
      </c>
      <c r="L5120" s="18">
        <v>1</v>
      </c>
      <c r="M5120" s="14" t="s">
        <v>8462</v>
      </c>
      <c r="N5120" s="13">
        <v>43480</v>
      </c>
      <c r="O5120" s="29">
        <v>21</v>
      </c>
      <c r="P5120" s="18" t="s">
        <v>14</v>
      </c>
      <c r="Q5120" s="18">
        <v>0</v>
      </c>
      <c r="U5120" s="22">
        <v>0.78</v>
      </c>
      <c r="V5120" s="22">
        <f>4.11/5</f>
        <v>0.82200000000000006</v>
      </c>
      <c r="X5120" s="3">
        <v>3</v>
      </c>
      <c r="Z5120" s="23">
        <v>11</v>
      </c>
      <c r="AB5120" s="18">
        <f t="shared" si="158"/>
        <v>2009</v>
      </c>
      <c r="AC5120" s="22">
        <f t="shared" si="159"/>
        <v>0.73399999999999999</v>
      </c>
    </row>
    <row r="5121" spans="1:29">
      <c r="A5121" s="8" t="s">
        <v>9214</v>
      </c>
      <c r="B5121" s="17" t="s">
        <v>7741</v>
      </c>
      <c r="C5121" s="13">
        <v>40078</v>
      </c>
      <c r="D5121" s="13" t="s">
        <v>8465</v>
      </c>
      <c r="E5121" s="10" t="s">
        <v>73</v>
      </c>
      <c r="F5121" s="10" t="s">
        <v>9215</v>
      </c>
      <c r="H5121" s="2" t="s">
        <v>153</v>
      </c>
      <c r="L5121" s="18">
        <v>0</v>
      </c>
      <c r="Q5121" s="18">
        <v>0</v>
      </c>
      <c r="U5121" s="22">
        <v>0.66</v>
      </c>
      <c r="V5121" s="22">
        <f>3.35/5</f>
        <v>0.67</v>
      </c>
      <c r="X5121" s="3">
        <v>3</v>
      </c>
      <c r="Z5121" s="23">
        <v>6</v>
      </c>
      <c r="AB5121" s="18">
        <f t="shared" ref="AB5121:AB5184" si="160">IFERROR(YEAR(C5121), "Early Access")</f>
        <v>2009</v>
      </c>
      <c r="AC5121" s="22">
        <f t="shared" ref="AC5121:AC5184" si="161">AVERAGE(T5121, U5121, V5121, IF(ISBLANK(X5121), X5121, X5121/5))</f>
        <v>0.64333333333333342</v>
      </c>
    </row>
    <row r="5122" spans="1:29" ht="25.5">
      <c r="A5122" s="8" t="s">
        <v>14333</v>
      </c>
      <c r="B5122" s="17" t="s">
        <v>7742</v>
      </c>
      <c r="C5122" s="13">
        <v>40077</v>
      </c>
      <c r="D5122" s="13" t="s">
        <v>8465</v>
      </c>
      <c r="E5122" s="10" t="s">
        <v>86</v>
      </c>
      <c r="F5122" s="10" t="s">
        <v>14334</v>
      </c>
      <c r="H5122" s="2" t="s">
        <v>31</v>
      </c>
      <c r="L5122" s="18">
        <v>0</v>
      </c>
      <c r="Q5122" s="18">
        <v>0</v>
      </c>
      <c r="U5122" s="22">
        <v>0.79</v>
      </c>
      <c r="V5122" s="22">
        <f>3.7/5</f>
        <v>0.74</v>
      </c>
      <c r="X5122" s="3">
        <v>2</v>
      </c>
      <c r="AB5122" s="18">
        <f t="shared" si="160"/>
        <v>2009</v>
      </c>
      <c r="AC5122" s="22">
        <f t="shared" si="161"/>
        <v>0.64333333333333342</v>
      </c>
    </row>
    <row r="5123" spans="1:29" ht="25.5">
      <c r="A5123" s="8" t="s">
        <v>4390</v>
      </c>
      <c r="B5123" s="17" t="s">
        <v>7800</v>
      </c>
      <c r="C5123" s="13">
        <v>40074</v>
      </c>
      <c r="D5123" s="13" t="s">
        <v>8465</v>
      </c>
      <c r="E5123" s="10" t="s">
        <v>3453</v>
      </c>
      <c r="F5123" s="10" t="s">
        <v>4391</v>
      </c>
      <c r="G5123" s="11" t="s">
        <v>4392</v>
      </c>
      <c r="H5123" s="2" t="s">
        <v>1143</v>
      </c>
      <c r="L5123" s="18">
        <v>1</v>
      </c>
      <c r="N5123" s="13">
        <v>41582</v>
      </c>
      <c r="P5123" s="18" t="s">
        <v>1107</v>
      </c>
      <c r="Q5123" s="18">
        <v>0</v>
      </c>
      <c r="U5123" s="22">
        <v>0.76</v>
      </c>
      <c r="V5123" s="22">
        <f>3.69/5</f>
        <v>0.73799999999999999</v>
      </c>
      <c r="W5123" s="14" t="s">
        <v>7777</v>
      </c>
      <c r="X5123" s="3">
        <v>2</v>
      </c>
      <c r="Z5123" s="23">
        <v>15</v>
      </c>
      <c r="AB5123" s="18">
        <f t="shared" si="160"/>
        <v>2009</v>
      </c>
      <c r="AC5123" s="22">
        <f t="shared" si="161"/>
        <v>0.63266666666666671</v>
      </c>
    </row>
    <row r="5124" spans="1:29" ht="38.25">
      <c r="A5124" s="8" t="s">
        <v>2211</v>
      </c>
      <c r="B5124" s="17" t="s">
        <v>7748</v>
      </c>
      <c r="C5124" s="13">
        <v>40073</v>
      </c>
      <c r="D5124" s="13" t="s">
        <v>8463</v>
      </c>
      <c r="E5124" s="10" t="s">
        <v>1082</v>
      </c>
      <c r="F5124" s="10" t="s">
        <v>1082</v>
      </c>
      <c r="G5124" s="11" t="s">
        <v>9517</v>
      </c>
      <c r="H5124" s="2" t="s">
        <v>149</v>
      </c>
      <c r="K5124" s="18">
        <v>2</v>
      </c>
      <c r="L5124" s="18">
        <v>0</v>
      </c>
      <c r="Q5124" s="18">
        <v>0</v>
      </c>
      <c r="U5124" s="22">
        <v>0.8</v>
      </c>
      <c r="V5124" s="22">
        <f>3.89/5</f>
        <v>0.77800000000000002</v>
      </c>
      <c r="X5124" s="3">
        <v>3</v>
      </c>
      <c r="Z5124" s="23">
        <v>24</v>
      </c>
      <c r="AB5124" s="18">
        <f t="shared" si="160"/>
        <v>2009</v>
      </c>
      <c r="AC5124" s="22">
        <f t="shared" si="161"/>
        <v>0.72599999999999998</v>
      </c>
    </row>
    <row r="5125" spans="1:29" ht="38.25">
      <c r="A5125" s="8" t="s">
        <v>11909</v>
      </c>
      <c r="B5125" s="17" t="s">
        <v>7748</v>
      </c>
      <c r="C5125" s="13">
        <v>40073</v>
      </c>
      <c r="D5125" s="13" t="s">
        <v>8463</v>
      </c>
      <c r="E5125" s="10" t="s">
        <v>10074</v>
      </c>
      <c r="F5125" s="10" t="s">
        <v>1374</v>
      </c>
      <c r="G5125" s="11" t="s">
        <v>11908</v>
      </c>
      <c r="H5125" s="2" t="s">
        <v>1334</v>
      </c>
      <c r="K5125" s="18">
        <v>2</v>
      </c>
      <c r="L5125" s="18">
        <v>0</v>
      </c>
      <c r="Q5125" s="18">
        <v>0</v>
      </c>
      <c r="V5125" s="22">
        <f>4.1/5</f>
        <v>0.82</v>
      </c>
      <c r="X5125" s="3">
        <v>2</v>
      </c>
      <c r="AB5125" s="18">
        <f t="shared" si="160"/>
        <v>2009</v>
      </c>
      <c r="AC5125" s="22">
        <f t="shared" si="161"/>
        <v>0.61</v>
      </c>
    </row>
    <row r="5126" spans="1:29" ht="30">
      <c r="A5126" s="8" t="s">
        <v>2212</v>
      </c>
      <c r="B5126" s="17" t="s">
        <v>7748</v>
      </c>
      <c r="C5126" s="13">
        <v>40071</v>
      </c>
      <c r="D5126" s="13" t="s">
        <v>8465</v>
      </c>
      <c r="E5126" s="10" t="s">
        <v>1529</v>
      </c>
      <c r="F5126" s="10" t="s">
        <v>2311</v>
      </c>
      <c r="G5126" s="11" t="s">
        <v>2212</v>
      </c>
      <c r="H5126" s="2" t="s">
        <v>78</v>
      </c>
      <c r="L5126" s="18">
        <v>0</v>
      </c>
      <c r="Q5126" s="18">
        <v>0</v>
      </c>
      <c r="U5126" s="22">
        <v>0.79</v>
      </c>
      <c r="V5126" s="22">
        <f>3.69/5</f>
        <v>0.73799999999999999</v>
      </c>
      <c r="X5126" s="3">
        <v>3</v>
      </c>
      <c r="Z5126" s="23">
        <v>8</v>
      </c>
      <c r="AB5126" s="18">
        <f t="shared" si="160"/>
        <v>2009</v>
      </c>
      <c r="AC5126" s="22">
        <f t="shared" si="161"/>
        <v>0.70933333333333337</v>
      </c>
    </row>
    <row r="5127" spans="1:29" ht="30">
      <c r="A5127" s="8" t="s">
        <v>5968</v>
      </c>
      <c r="B5127" s="17" t="s">
        <v>7759</v>
      </c>
      <c r="C5127" s="13">
        <v>40071</v>
      </c>
      <c r="D5127" s="13" t="s">
        <v>8465</v>
      </c>
      <c r="E5127" s="10" t="s">
        <v>1273</v>
      </c>
      <c r="F5127" s="10" t="s">
        <v>1511</v>
      </c>
      <c r="G5127" s="11" t="s">
        <v>5967</v>
      </c>
      <c r="H5127" s="2" t="s">
        <v>171</v>
      </c>
      <c r="L5127" s="18">
        <v>1</v>
      </c>
      <c r="M5127" s="14" t="s">
        <v>8462</v>
      </c>
      <c r="N5127" s="13">
        <v>43540</v>
      </c>
      <c r="O5127" s="29">
        <v>14.99</v>
      </c>
      <c r="P5127" s="18" t="s">
        <v>14</v>
      </c>
      <c r="Q5127" s="18">
        <v>0</v>
      </c>
      <c r="U5127" s="22">
        <v>0.76</v>
      </c>
      <c r="V5127" s="22">
        <f>3.76/5</f>
        <v>0.752</v>
      </c>
      <c r="X5127" s="3">
        <v>3</v>
      </c>
      <c r="Z5127" s="23">
        <v>9</v>
      </c>
      <c r="AB5127" s="18">
        <f t="shared" si="160"/>
        <v>2009</v>
      </c>
      <c r="AC5127" s="22">
        <f t="shared" si="161"/>
        <v>0.70400000000000007</v>
      </c>
    </row>
    <row r="5128" spans="1:29" ht="25.5">
      <c r="A5128" s="8" t="s">
        <v>2349</v>
      </c>
      <c r="B5128" s="17" t="s">
        <v>7748</v>
      </c>
      <c r="C5128" s="13">
        <v>40071</v>
      </c>
      <c r="D5128" s="13" t="s">
        <v>8465</v>
      </c>
      <c r="E5128" s="10" t="s">
        <v>455</v>
      </c>
      <c r="F5128" s="10" t="s">
        <v>2350</v>
      </c>
      <c r="G5128" s="11" t="s">
        <v>2296</v>
      </c>
      <c r="H5128" s="2" t="s">
        <v>75</v>
      </c>
      <c r="L5128" s="18">
        <v>0</v>
      </c>
      <c r="Q5128" s="18">
        <v>0</v>
      </c>
      <c r="U5128" s="22">
        <v>0.61</v>
      </c>
      <c r="V5128" s="22">
        <f>3.86/5</f>
        <v>0.77200000000000002</v>
      </c>
      <c r="X5128" s="3">
        <v>3</v>
      </c>
      <c r="Z5128" s="23">
        <v>54</v>
      </c>
      <c r="AB5128" s="18">
        <f t="shared" si="160"/>
        <v>2009</v>
      </c>
      <c r="AC5128" s="22">
        <f t="shared" si="161"/>
        <v>0.66066666666666674</v>
      </c>
    </row>
    <row r="5129" spans="1:29" ht="45">
      <c r="A5129" s="8" t="s">
        <v>3262</v>
      </c>
      <c r="B5129" s="17" t="s">
        <v>7800</v>
      </c>
      <c r="C5129" s="13">
        <v>40071</v>
      </c>
      <c r="D5129" s="13" t="s">
        <v>8465</v>
      </c>
      <c r="E5129" s="10" t="s">
        <v>1156</v>
      </c>
      <c r="F5129" s="10" t="s">
        <v>3263</v>
      </c>
      <c r="G5129" s="11" t="s">
        <v>3264</v>
      </c>
      <c r="H5129" s="2" t="s">
        <v>80</v>
      </c>
      <c r="L5129" s="18">
        <v>1</v>
      </c>
      <c r="N5129" s="13">
        <v>41583</v>
      </c>
      <c r="P5129" s="18" t="s">
        <v>1107</v>
      </c>
      <c r="Q5129" s="18">
        <v>0</v>
      </c>
      <c r="U5129" s="22">
        <v>0.92</v>
      </c>
      <c r="V5129" s="22">
        <f>4.18/5</f>
        <v>0.83599999999999997</v>
      </c>
      <c r="W5129" s="14" t="s">
        <v>7777</v>
      </c>
      <c r="X5129" s="3">
        <v>2</v>
      </c>
      <c r="Z5129" s="23">
        <v>11</v>
      </c>
      <c r="AB5129" s="18">
        <f t="shared" si="160"/>
        <v>2009</v>
      </c>
      <c r="AC5129" s="22">
        <f t="shared" si="161"/>
        <v>0.71866666666666668</v>
      </c>
    </row>
    <row r="5130" spans="1:29">
      <c r="A5130" s="8" t="s">
        <v>6044</v>
      </c>
      <c r="B5130" s="17" t="s">
        <v>7759</v>
      </c>
      <c r="C5130" s="13">
        <v>40071</v>
      </c>
      <c r="D5130" s="13" t="s">
        <v>8465</v>
      </c>
      <c r="E5130" s="10" t="s">
        <v>1690</v>
      </c>
      <c r="F5130" s="10" t="s">
        <v>6045</v>
      </c>
      <c r="H5130" s="2" t="s">
        <v>1168</v>
      </c>
      <c r="L5130" s="18">
        <v>1</v>
      </c>
      <c r="M5130" s="14" t="s">
        <v>8462</v>
      </c>
      <c r="N5130" s="13">
        <v>43566</v>
      </c>
      <c r="O5130" s="29">
        <v>15</v>
      </c>
      <c r="P5130" s="18" t="s">
        <v>14</v>
      </c>
      <c r="Q5130" s="18">
        <v>0</v>
      </c>
      <c r="U5130" s="22">
        <v>0.7</v>
      </c>
      <c r="V5130" s="22">
        <f>3.27/5</f>
        <v>0.65400000000000003</v>
      </c>
      <c r="X5130" s="3">
        <v>3</v>
      </c>
      <c r="Z5130" s="23">
        <v>7</v>
      </c>
      <c r="AB5130" s="18">
        <f t="shared" si="160"/>
        <v>2009</v>
      </c>
      <c r="AC5130" s="22">
        <f t="shared" si="161"/>
        <v>0.65133333333333343</v>
      </c>
    </row>
    <row r="5131" spans="1:29">
      <c r="A5131" s="8" t="s">
        <v>7488</v>
      </c>
      <c r="B5131" s="17" t="s">
        <v>7759</v>
      </c>
      <c r="C5131" s="13">
        <v>40071</v>
      </c>
      <c r="D5131" s="13" t="s">
        <v>8465</v>
      </c>
      <c r="E5131" s="10" t="s">
        <v>231</v>
      </c>
      <c r="F5131" s="10" t="s">
        <v>7489</v>
      </c>
      <c r="G5131" s="11" t="s">
        <v>4518</v>
      </c>
      <c r="H5131" s="2" t="s">
        <v>150</v>
      </c>
      <c r="L5131" s="18">
        <v>0</v>
      </c>
      <c r="Q5131" s="18">
        <v>0</v>
      </c>
      <c r="U5131" s="22">
        <v>0.84</v>
      </c>
      <c r="V5131" s="22">
        <f>3.71/5</f>
        <v>0.74199999999999999</v>
      </c>
      <c r="X5131" s="3">
        <v>2</v>
      </c>
      <c r="Y5131" s="18">
        <v>1</v>
      </c>
      <c r="Z5131" s="23">
        <v>12.5</v>
      </c>
      <c r="AB5131" s="18">
        <f t="shared" si="160"/>
        <v>2009</v>
      </c>
      <c r="AC5131" s="22">
        <f t="shared" si="161"/>
        <v>0.66066666666666662</v>
      </c>
    </row>
    <row r="5132" spans="1:29" ht="25.5">
      <c r="A5132" s="8" t="s">
        <v>1010</v>
      </c>
      <c r="B5132" s="17" t="s">
        <v>7741</v>
      </c>
      <c r="C5132" s="13">
        <v>40064</v>
      </c>
      <c r="D5132" s="13" t="s">
        <v>8465</v>
      </c>
      <c r="E5132" s="10" t="s">
        <v>1527</v>
      </c>
      <c r="F5132" s="10" t="s">
        <v>1553</v>
      </c>
      <c r="G5132" s="11" t="s">
        <v>1554</v>
      </c>
      <c r="H5132" s="2" t="s">
        <v>171</v>
      </c>
      <c r="L5132" s="18">
        <v>0</v>
      </c>
      <c r="Q5132" s="18">
        <v>0</v>
      </c>
      <c r="U5132" s="22">
        <v>0.82</v>
      </c>
      <c r="V5132" s="22">
        <f>4.2/5</f>
        <v>0.84000000000000008</v>
      </c>
      <c r="X5132" s="3">
        <v>4</v>
      </c>
      <c r="Z5132" s="23">
        <v>12.5</v>
      </c>
      <c r="AB5132" s="18">
        <f t="shared" si="160"/>
        <v>2009</v>
      </c>
      <c r="AC5132" s="22">
        <f t="shared" si="161"/>
        <v>0.82</v>
      </c>
    </row>
    <row r="5133" spans="1:29">
      <c r="A5133" s="8" t="s">
        <v>4455</v>
      </c>
      <c r="B5133" s="17" t="s">
        <v>7800</v>
      </c>
      <c r="C5133" s="13">
        <v>40064</v>
      </c>
      <c r="D5133" s="13" t="s">
        <v>8465</v>
      </c>
      <c r="E5133" s="10" t="s">
        <v>1870</v>
      </c>
      <c r="F5133" s="10" t="s">
        <v>4118</v>
      </c>
      <c r="G5133" s="11" t="s">
        <v>4455</v>
      </c>
      <c r="H5133" s="2" t="s">
        <v>80</v>
      </c>
      <c r="L5133" s="18">
        <v>1</v>
      </c>
      <c r="N5133" s="13">
        <v>41842</v>
      </c>
      <c r="P5133" s="18" t="s">
        <v>1107</v>
      </c>
      <c r="Q5133" s="18">
        <v>0</v>
      </c>
      <c r="U5133" s="22">
        <v>0.76</v>
      </c>
      <c r="V5133" s="22">
        <f>3.47/5</f>
        <v>0.69400000000000006</v>
      </c>
      <c r="W5133" s="14" t="s">
        <v>7777</v>
      </c>
      <c r="X5133" s="3">
        <v>2</v>
      </c>
      <c r="Z5133" s="23">
        <v>8</v>
      </c>
      <c r="AB5133" s="18">
        <f t="shared" si="160"/>
        <v>2009</v>
      </c>
      <c r="AC5133" s="22">
        <f t="shared" si="161"/>
        <v>0.61799999999999999</v>
      </c>
    </row>
    <row r="5134" spans="1:29">
      <c r="A5134" s="8" t="s">
        <v>1073</v>
      </c>
      <c r="B5134" s="17" t="s">
        <v>7742</v>
      </c>
      <c r="C5134" s="13">
        <v>40063</v>
      </c>
      <c r="D5134" s="13" t="s">
        <v>8465</v>
      </c>
      <c r="E5134" s="10" t="s">
        <v>72</v>
      </c>
      <c r="F5134" s="10" t="s">
        <v>1081</v>
      </c>
      <c r="G5134" s="11" t="s">
        <v>97</v>
      </c>
      <c r="H5134" s="2" t="s">
        <v>147</v>
      </c>
      <c r="L5134" s="18">
        <v>0</v>
      </c>
      <c r="Q5134" s="18">
        <v>0</v>
      </c>
      <c r="U5134" s="22">
        <v>0.77</v>
      </c>
      <c r="V5134" s="22">
        <f>3.78/5</f>
        <v>0.75600000000000001</v>
      </c>
      <c r="X5134" s="3">
        <v>4</v>
      </c>
      <c r="Z5134" s="23">
        <v>1</v>
      </c>
      <c r="AB5134" s="18">
        <f t="shared" si="160"/>
        <v>2009</v>
      </c>
      <c r="AC5134" s="22">
        <f t="shared" si="161"/>
        <v>0.77533333333333332</v>
      </c>
    </row>
    <row r="5135" spans="1:29" ht="30">
      <c r="A5135" s="8" t="s">
        <v>11945</v>
      </c>
      <c r="B5135" s="17" t="s">
        <v>7762</v>
      </c>
      <c r="C5135" s="13">
        <v>40059</v>
      </c>
      <c r="D5135" s="13" t="s">
        <v>8465</v>
      </c>
      <c r="E5135" s="10" t="s">
        <v>73</v>
      </c>
      <c r="F5135" s="10" t="s">
        <v>461</v>
      </c>
      <c r="G5135" s="11" t="s">
        <v>8439</v>
      </c>
      <c r="H5135" s="2" t="s">
        <v>459</v>
      </c>
      <c r="L5135" s="18">
        <v>0</v>
      </c>
      <c r="Q5135" s="18">
        <v>0</v>
      </c>
      <c r="U5135" s="22">
        <v>0.72</v>
      </c>
      <c r="V5135" s="22">
        <f>3.9/5</f>
        <v>0.78</v>
      </c>
      <c r="X5135" s="3">
        <v>2</v>
      </c>
      <c r="Z5135" s="23">
        <v>3</v>
      </c>
      <c r="AB5135" s="18">
        <f t="shared" si="160"/>
        <v>2009</v>
      </c>
      <c r="AC5135" s="22">
        <f t="shared" si="161"/>
        <v>0.6333333333333333</v>
      </c>
    </row>
    <row r="5136" spans="1:29" ht="30">
      <c r="A5136" s="8" t="s">
        <v>6729</v>
      </c>
      <c r="B5136" s="17" t="s">
        <v>7762</v>
      </c>
      <c r="C5136" s="13">
        <v>40057</v>
      </c>
      <c r="D5136" s="13" t="s">
        <v>8465</v>
      </c>
      <c r="E5136" s="10" t="s">
        <v>1541</v>
      </c>
      <c r="F5136" s="10" t="s">
        <v>6724</v>
      </c>
      <c r="G5136" s="11" t="s">
        <v>6161</v>
      </c>
      <c r="H5136" s="2" t="s">
        <v>459</v>
      </c>
      <c r="L5136" s="18">
        <v>0</v>
      </c>
      <c r="Q5136" s="18">
        <v>0</v>
      </c>
      <c r="U5136" s="22">
        <v>0.8</v>
      </c>
      <c r="V5136" s="22">
        <f>3.68/5</f>
        <v>0.73599999999999999</v>
      </c>
      <c r="X5136" s="3">
        <v>2</v>
      </c>
      <c r="Z5136" s="23">
        <v>2.5</v>
      </c>
      <c r="AB5136" s="18">
        <f t="shared" si="160"/>
        <v>2009</v>
      </c>
      <c r="AC5136" s="22">
        <f t="shared" si="161"/>
        <v>0.64533333333333331</v>
      </c>
    </row>
    <row r="5137" spans="1:29" ht="25.5">
      <c r="A5137" s="8" t="s">
        <v>11779</v>
      </c>
      <c r="B5137" s="17" t="s">
        <v>7748</v>
      </c>
      <c r="C5137" s="13">
        <v>40057</v>
      </c>
      <c r="D5137" s="13" t="s">
        <v>8465</v>
      </c>
      <c r="E5137" s="10" t="s">
        <v>455</v>
      </c>
      <c r="F5137" s="10" t="s">
        <v>11780</v>
      </c>
      <c r="G5137" s="11" t="s">
        <v>11781</v>
      </c>
      <c r="H5137" s="2" t="s">
        <v>67</v>
      </c>
      <c r="L5137" s="18">
        <v>0</v>
      </c>
      <c r="Q5137" s="18">
        <v>0</v>
      </c>
      <c r="U5137" s="22">
        <v>0.65</v>
      </c>
      <c r="V5137" s="22">
        <f>3.96/5</f>
        <v>0.79200000000000004</v>
      </c>
      <c r="X5137" s="3">
        <v>2</v>
      </c>
      <c r="Z5137" s="23">
        <v>8.5</v>
      </c>
      <c r="AB5137" s="18">
        <f t="shared" si="160"/>
        <v>2009</v>
      </c>
      <c r="AC5137" s="22">
        <f t="shared" si="161"/>
        <v>0.61399999999999999</v>
      </c>
    </row>
    <row r="5138" spans="1:29">
      <c r="A5138" s="8" t="s">
        <v>14920</v>
      </c>
      <c r="B5138" s="17" t="s">
        <v>7748</v>
      </c>
      <c r="C5138" s="13">
        <v>40053</v>
      </c>
      <c r="D5138" s="13" t="s">
        <v>8467</v>
      </c>
      <c r="E5138" s="10" t="s">
        <v>1509</v>
      </c>
      <c r="F5138" s="10" t="s">
        <v>1464</v>
      </c>
      <c r="H5138" s="2" t="s">
        <v>64</v>
      </c>
      <c r="L5138" s="18">
        <v>0</v>
      </c>
      <c r="Q5138" s="18">
        <v>0</v>
      </c>
      <c r="V5138" s="22">
        <f>3.91/5</f>
        <v>0.78200000000000003</v>
      </c>
      <c r="X5138" s="3">
        <v>2</v>
      </c>
      <c r="AB5138" s="18">
        <f t="shared" si="160"/>
        <v>2009</v>
      </c>
      <c r="AC5138" s="22">
        <f t="shared" si="161"/>
        <v>0.59099999999999997</v>
      </c>
    </row>
    <row r="5139" spans="1:29">
      <c r="A5139" s="8" t="s">
        <v>8886</v>
      </c>
      <c r="B5139" s="17" t="s">
        <v>7748</v>
      </c>
      <c r="C5139" s="13">
        <v>40052</v>
      </c>
      <c r="D5139" s="13" t="s">
        <v>8463</v>
      </c>
      <c r="E5139" s="10" t="s">
        <v>1082</v>
      </c>
      <c r="F5139" s="10" t="s">
        <v>2313</v>
      </c>
      <c r="G5139" s="11" t="s">
        <v>2203</v>
      </c>
      <c r="H5139" s="2" t="s">
        <v>1061</v>
      </c>
      <c r="K5139" s="18">
        <v>2</v>
      </c>
      <c r="L5139" s="18">
        <v>0</v>
      </c>
      <c r="Q5139" s="18">
        <v>0</v>
      </c>
      <c r="V5139" s="22">
        <f>4.04/5</f>
        <v>0.80800000000000005</v>
      </c>
      <c r="X5139" s="3">
        <v>3</v>
      </c>
      <c r="Z5139" s="23">
        <v>8</v>
      </c>
      <c r="AB5139" s="18">
        <f t="shared" si="160"/>
        <v>2009</v>
      </c>
      <c r="AC5139" s="22">
        <f t="shared" si="161"/>
        <v>0.70399999999999996</v>
      </c>
    </row>
    <row r="5140" spans="1:29" ht="30">
      <c r="A5140" s="8" t="s">
        <v>8402</v>
      </c>
      <c r="B5140" s="17" t="s">
        <v>7762</v>
      </c>
      <c r="C5140" s="13">
        <v>40050</v>
      </c>
      <c r="D5140" s="13" t="s">
        <v>8465</v>
      </c>
      <c r="E5140" s="10" t="s">
        <v>1082</v>
      </c>
      <c r="F5140" s="10" t="s">
        <v>1082</v>
      </c>
      <c r="G5140" s="11" t="s">
        <v>126</v>
      </c>
      <c r="H5140" s="2" t="s">
        <v>459</v>
      </c>
      <c r="L5140" s="18">
        <v>1</v>
      </c>
      <c r="N5140" s="13">
        <v>43888</v>
      </c>
      <c r="O5140" s="29">
        <v>4.99</v>
      </c>
      <c r="P5140" s="18" t="s">
        <v>1107</v>
      </c>
      <c r="Q5140" s="18">
        <v>0</v>
      </c>
      <c r="U5140" s="22">
        <v>0.79</v>
      </c>
      <c r="V5140" s="22">
        <f>4.23/5</f>
        <v>0.84600000000000009</v>
      </c>
      <c r="X5140" s="3">
        <v>3</v>
      </c>
      <c r="Z5140" s="23">
        <v>23</v>
      </c>
      <c r="AB5140" s="18">
        <f t="shared" si="160"/>
        <v>2009</v>
      </c>
      <c r="AC5140" s="22">
        <f t="shared" si="161"/>
        <v>0.7453333333333334</v>
      </c>
    </row>
    <row r="5141" spans="1:29" ht="25.5">
      <c r="A5141" s="8" t="s">
        <v>5756</v>
      </c>
      <c r="B5141" s="17" t="s">
        <v>7758</v>
      </c>
      <c r="C5141" s="13">
        <v>40050</v>
      </c>
      <c r="D5141" s="13" t="s">
        <v>8465</v>
      </c>
      <c r="E5141" s="10" t="s">
        <v>1062</v>
      </c>
      <c r="F5141" s="10" t="s">
        <v>2286</v>
      </c>
      <c r="G5141" s="11" t="s">
        <v>1567</v>
      </c>
      <c r="H5141" s="2" t="s">
        <v>149</v>
      </c>
      <c r="L5141" s="18">
        <v>0</v>
      </c>
      <c r="Q5141" s="18">
        <v>0</v>
      </c>
      <c r="U5141" s="22">
        <v>0.72</v>
      </c>
      <c r="V5141" s="22">
        <f>4.11/5</f>
        <v>0.82200000000000006</v>
      </c>
      <c r="X5141" s="3">
        <v>3</v>
      </c>
      <c r="Z5141" s="23">
        <v>38</v>
      </c>
      <c r="AB5141" s="18">
        <f t="shared" si="160"/>
        <v>2009</v>
      </c>
      <c r="AC5141" s="22">
        <f t="shared" si="161"/>
        <v>0.71399999999999997</v>
      </c>
    </row>
    <row r="5142" spans="1:29">
      <c r="A5142" s="8" t="s">
        <v>986</v>
      </c>
      <c r="B5142" s="17" t="s">
        <v>7741</v>
      </c>
      <c r="C5142" s="13">
        <v>40050</v>
      </c>
      <c r="D5142" s="13" t="s">
        <v>8465</v>
      </c>
      <c r="E5142" s="10" t="s">
        <v>1163</v>
      </c>
      <c r="F5142" s="10" t="s">
        <v>1530</v>
      </c>
      <c r="H5142" s="2" t="s">
        <v>1061</v>
      </c>
      <c r="L5142" s="18">
        <v>0</v>
      </c>
      <c r="Q5142" s="18">
        <v>0</v>
      </c>
      <c r="U5142" s="22">
        <v>0.69</v>
      </c>
      <c r="V5142" s="22">
        <f>3.48/5</f>
        <v>0.69599999999999995</v>
      </c>
      <c r="X5142" s="3">
        <v>3</v>
      </c>
      <c r="Z5142" s="23">
        <v>8.5</v>
      </c>
      <c r="AB5142" s="18">
        <f t="shared" si="160"/>
        <v>2009</v>
      </c>
      <c r="AC5142" s="22">
        <f t="shared" si="161"/>
        <v>0.66199999999999992</v>
      </c>
    </row>
    <row r="5143" spans="1:29">
      <c r="A5143" s="8" t="s">
        <v>1103</v>
      </c>
      <c r="B5143" s="17" t="s">
        <v>7741</v>
      </c>
      <c r="C5143" s="13">
        <v>40049</v>
      </c>
      <c r="D5143" s="13" t="s">
        <v>8465</v>
      </c>
      <c r="E5143" s="10" t="s">
        <v>86</v>
      </c>
      <c r="F5143" s="10" t="s">
        <v>1139</v>
      </c>
      <c r="G5143" s="11" t="s">
        <v>109</v>
      </c>
      <c r="H5143" s="2" t="s">
        <v>1050</v>
      </c>
      <c r="L5143" s="18">
        <v>0</v>
      </c>
      <c r="Q5143" s="18">
        <v>0</v>
      </c>
      <c r="U5143" s="22">
        <v>0.92</v>
      </c>
      <c r="V5143" s="22">
        <f>4.55/5</f>
        <v>0.90999999999999992</v>
      </c>
      <c r="X5143" s="3">
        <v>3</v>
      </c>
      <c r="Z5143" s="23">
        <v>45.5</v>
      </c>
      <c r="AB5143" s="18">
        <f t="shared" si="160"/>
        <v>2009</v>
      </c>
      <c r="AC5143" s="22">
        <f t="shared" si="161"/>
        <v>0.81</v>
      </c>
    </row>
    <row r="5144" spans="1:29">
      <c r="A5144" s="8" t="s">
        <v>7501</v>
      </c>
      <c r="B5144" s="17" t="s">
        <v>7742</v>
      </c>
      <c r="C5144" s="13">
        <v>40049</v>
      </c>
      <c r="D5144" s="13" t="s">
        <v>8465</v>
      </c>
      <c r="E5144" s="10" t="s">
        <v>1509</v>
      </c>
      <c r="F5144" s="10" t="s">
        <v>1509</v>
      </c>
      <c r="G5144" s="11" t="s">
        <v>7502</v>
      </c>
      <c r="H5144" s="2" t="s">
        <v>78</v>
      </c>
      <c r="L5144" s="18">
        <v>0</v>
      </c>
      <c r="Q5144" s="18">
        <v>0</v>
      </c>
      <c r="U5144" s="22">
        <v>0.75</v>
      </c>
      <c r="V5144" s="22">
        <f>4/5</f>
        <v>0.8</v>
      </c>
      <c r="X5144" s="3">
        <v>2</v>
      </c>
      <c r="AB5144" s="18">
        <f t="shared" si="160"/>
        <v>2009</v>
      </c>
      <c r="AC5144" s="22">
        <f t="shared" si="161"/>
        <v>0.65</v>
      </c>
    </row>
    <row r="5145" spans="1:29" ht="30">
      <c r="A5145" s="8" t="s">
        <v>8808</v>
      </c>
      <c r="B5145" s="17" t="s">
        <v>7741</v>
      </c>
      <c r="C5145" s="13">
        <v>40043</v>
      </c>
      <c r="D5145" s="13" t="s">
        <v>8465</v>
      </c>
      <c r="E5145" s="10" t="s">
        <v>2317</v>
      </c>
      <c r="F5145" s="10" t="s">
        <v>1355</v>
      </c>
      <c r="G5145" s="11" t="s">
        <v>2217</v>
      </c>
      <c r="H5145" s="2" t="s">
        <v>171</v>
      </c>
      <c r="L5145" s="18">
        <v>0</v>
      </c>
      <c r="Q5145" s="18">
        <v>0</v>
      </c>
      <c r="U5145" s="22">
        <v>0.71</v>
      </c>
      <c r="V5145" s="22">
        <f>4.01/5</f>
        <v>0.80199999999999994</v>
      </c>
      <c r="X5145" s="3">
        <v>3</v>
      </c>
      <c r="Z5145" s="23">
        <v>28.5</v>
      </c>
      <c r="AB5145" s="18">
        <f t="shared" si="160"/>
        <v>2009</v>
      </c>
      <c r="AC5145" s="22">
        <f t="shared" si="161"/>
        <v>0.70400000000000007</v>
      </c>
    </row>
    <row r="5146" spans="1:29">
      <c r="A5146" s="8" t="s">
        <v>1724</v>
      </c>
      <c r="B5146" s="17" t="s">
        <v>7759</v>
      </c>
      <c r="C5146" s="13">
        <v>40043</v>
      </c>
      <c r="D5146" s="13" t="s">
        <v>8465</v>
      </c>
      <c r="E5146" s="10" t="s">
        <v>1273</v>
      </c>
      <c r="F5146" s="10" t="s">
        <v>5017</v>
      </c>
      <c r="G5146" s="11" t="s">
        <v>1724</v>
      </c>
      <c r="H5146" s="2" t="s">
        <v>1050</v>
      </c>
      <c r="L5146" s="18">
        <v>1</v>
      </c>
      <c r="M5146" s="14" t="s">
        <v>8462</v>
      </c>
      <c r="N5146" s="13">
        <v>43484</v>
      </c>
      <c r="O5146" s="29">
        <v>9.99</v>
      </c>
      <c r="P5146" s="18" t="s">
        <v>14</v>
      </c>
      <c r="Q5146" s="18">
        <v>0</v>
      </c>
      <c r="U5146" s="22">
        <v>0.73</v>
      </c>
      <c r="V5146" s="22">
        <f>3.66/5</f>
        <v>0.73199999999999998</v>
      </c>
      <c r="X5146" s="3">
        <v>4</v>
      </c>
      <c r="Z5146" s="23">
        <v>11.5</v>
      </c>
      <c r="AB5146" s="18">
        <f t="shared" si="160"/>
        <v>2009</v>
      </c>
      <c r="AC5146" s="22">
        <f t="shared" si="161"/>
        <v>0.754</v>
      </c>
    </row>
    <row r="5147" spans="1:29">
      <c r="A5147" s="8" t="s">
        <v>4618</v>
      </c>
      <c r="B5147" s="17" t="s">
        <v>7800</v>
      </c>
      <c r="C5147" s="13">
        <v>40042</v>
      </c>
      <c r="D5147" s="13" t="s">
        <v>8465</v>
      </c>
      <c r="E5147" s="10" t="s">
        <v>4619</v>
      </c>
      <c r="F5147" s="10" t="s">
        <v>4619</v>
      </c>
      <c r="H5147" s="2" t="s">
        <v>78</v>
      </c>
      <c r="L5147" s="18">
        <v>1</v>
      </c>
      <c r="N5147" s="13">
        <v>40531</v>
      </c>
      <c r="P5147" s="18" t="s">
        <v>1107</v>
      </c>
      <c r="Q5147" s="18">
        <v>0</v>
      </c>
      <c r="U5147" s="22">
        <v>0.8</v>
      </c>
      <c r="V5147" s="22">
        <f>3.38/5</f>
        <v>0.67599999999999993</v>
      </c>
      <c r="W5147" s="14" t="s">
        <v>7777</v>
      </c>
      <c r="X5147" s="3">
        <v>3</v>
      </c>
      <c r="Z5147" s="23">
        <v>6</v>
      </c>
      <c r="AB5147" s="18">
        <f t="shared" si="160"/>
        <v>2009</v>
      </c>
      <c r="AC5147" s="22">
        <f t="shared" si="161"/>
        <v>0.69200000000000006</v>
      </c>
    </row>
    <row r="5148" spans="1:29">
      <c r="A5148" s="8" t="s">
        <v>13309</v>
      </c>
      <c r="B5148" s="17" t="s">
        <v>7748</v>
      </c>
      <c r="C5148" s="13">
        <v>40036</v>
      </c>
      <c r="D5148" s="13" t="s">
        <v>8465</v>
      </c>
      <c r="E5148" s="10" t="s">
        <v>1965</v>
      </c>
      <c r="F5148" s="10" t="s">
        <v>13310</v>
      </c>
      <c r="H5148" s="2" t="s">
        <v>1050</v>
      </c>
      <c r="L5148" s="18">
        <v>0</v>
      </c>
      <c r="Q5148" s="18">
        <v>0</v>
      </c>
      <c r="U5148" s="22">
        <v>0.44</v>
      </c>
      <c r="V5148" s="22">
        <f>3.33/5</f>
        <v>0.66600000000000004</v>
      </c>
      <c r="X5148" s="3">
        <v>2</v>
      </c>
      <c r="AB5148" s="18">
        <f t="shared" si="160"/>
        <v>2009</v>
      </c>
      <c r="AC5148" s="22">
        <f t="shared" si="161"/>
        <v>0.50200000000000011</v>
      </c>
    </row>
    <row r="5149" spans="1:29">
      <c r="A5149" s="8" t="s">
        <v>920</v>
      </c>
      <c r="B5149" s="17" t="s">
        <v>14399</v>
      </c>
      <c r="C5149" s="13">
        <v>40036</v>
      </c>
      <c r="D5149" s="13" t="s">
        <v>14400</v>
      </c>
      <c r="E5149" s="10" t="s">
        <v>73</v>
      </c>
      <c r="F5149" s="10" t="s">
        <v>73</v>
      </c>
      <c r="G5149" s="11" t="s">
        <v>943</v>
      </c>
      <c r="H5149" s="2" t="s">
        <v>1061</v>
      </c>
      <c r="K5149" s="18">
        <v>0</v>
      </c>
      <c r="L5149" s="18">
        <v>0</v>
      </c>
      <c r="Q5149" s="18">
        <v>0</v>
      </c>
      <c r="V5149" s="22">
        <f>3/5</f>
        <v>0.6</v>
      </c>
      <c r="X5149" s="3">
        <v>2</v>
      </c>
      <c r="Z5149" s="23">
        <v>15.5</v>
      </c>
      <c r="AB5149" s="18">
        <f t="shared" si="160"/>
        <v>2009</v>
      </c>
      <c r="AC5149" s="22">
        <f t="shared" si="161"/>
        <v>0.5</v>
      </c>
    </row>
    <row r="5150" spans="1:29" ht="25.5">
      <c r="A5150" s="8" t="s">
        <v>7344</v>
      </c>
      <c r="B5150" s="17" t="s">
        <v>7783</v>
      </c>
      <c r="C5150" s="13">
        <v>40035</v>
      </c>
      <c r="D5150" s="13" t="s">
        <v>8465</v>
      </c>
      <c r="E5150" s="10" t="s">
        <v>5093</v>
      </c>
      <c r="F5150" s="10" t="s">
        <v>5093</v>
      </c>
      <c r="G5150" s="11" t="s">
        <v>5094</v>
      </c>
      <c r="H5150" s="2" t="s">
        <v>78</v>
      </c>
      <c r="L5150" s="18">
        <v>1</v>
      </c>
      <c r="N5150" s="13">
        <v>41213</v>
      </c>
      <c r="O5150" s="29">
        <v>0</v>
      </c>
      <c r="P5150" s="18" t="s">
        <v>1107</v>
      </c>
      <c r="Q5150" s="18">
        <v>0</v>
      </c>
      <c r="U5150" s="22">
        <v>0.9</v>
      </c>
      <c r="V5150" s="22">
        <f>3.67/5</f>
        <v>0.73399999999999999</v>
      </c>
      <c r="X5150" s="3">
        <v>3</v>
      </c>
      <c r="Z5150" s="23">
        <v>2</v>
      </c>
      <c r="AB5150" s="18">
        <f t="shared" si="160"/>
        <v>2009</v>
      </c>
      <c r="AC5150" s="22">
        <f t="shared" si="161"/>
        <v>0.7446666666666667</v>
      </c>
    </row>
    <row r="5151" spans="1:29">
      <c r="A5151" s="8" t="s">
        <v>2178</v>
      </c>
      <c r="B5151" s="17" t="s">
        <v>7748</v>
      </c>
      <c r="C5151" s="13">
        <v>40035</v>
      </c>
      <c r="D5151" s="13" t="s">
        <v>8465</v>
      </c>
      <c r="E5151" s="10" t="s">
        <v>86</v>
      </c>
      <c r="F5151" s="10" t="s">
        <v>1515</v>
      </c>
      <c r="G5151" s="11" t="s">
        <v>2178</v>
      </c>
      <c r="H5151" s="2" t="s">
        <v>149</v>
      </c>
      <c r="L5151" s="18">
        <v>0</v>
      </c>
      <c r="Q5151" s="18">
        <v>0</v>
      </c>
      <c r="U5151" s="22">
        <v>0.74</v>
      </c>
      <c r="V5151" s="22">
        <f>4.06/5</f>
        <v>0.81199999999999994</v>
      </c>
      <c r="X5151" s="3">
        <v>3</v>
      </c>
      <c r="Z5151" s="23">
        <v>41.5</v>
      </c>
      <c r="AB5151" s="18">
        <f t="shared" si="160"/>
        <v>2009</v>
      </c>
      <c r="AC5151" s="22">
        <f t="shared" si="161"/>
        <v>0.71733333333333338</v>
      </c>
    </row>
    <row r="5152" spans="1:29" ht="25.5">
      <c r="A5152" s="8" t="s">
        <v>3610</v>
      </c>
      <c r="B5152" s="17" t="s">
        <v>7800</v>
      </c>
      <c r="C5152" s="13">
        <v>40035</v>
      </c>
      <c r="D5152" s="13" t="s">
        <v>8465</v>
      </c>
      <c r="E5152" s="10" t="s">
        <v>3608</v>
      </c>
      <c r="F5152" s="10" t="s">
        <v>3609</v>
      </c>
      <c r="G5152" s="11" t="s">
        <v>3607</v>
      </c>
      <c r="H5152" s="2" t="s">
        <v>245</v>
      </c>
      <c r="L5152" s="18">
        <v>1</v>
      </c>
      <c r="N5152" s="13">
        <v>41117</v>
      </c>
      <c r="P5152" s="18" t="s">
        <v>1107</v>
      </c>
      <c r="Q5152" s="18">
        <v>0</v>
      </c>
      <c r="U5152" s="22">
        <v>0.72</v>
      </c>
      <c r="V5152" s="22">
        <f>3.45/5</f>
        <v>0.69000000000000006</v>
      </c>
      <c r="W5152" s="14" t="s">
        <v>7777</v>
      </c>
      <c r="X5152" s="3">
        <v>2</v>
      </c>
      <c r="Z5152" s="23">
        <v>6.5</v>
      </c>
      <c r="AB5152" s="18">
        <f t="shared" si="160"/>
        <v>2009</v>
      </c>
      <c r="AC5152" s="22">
        <f t="shared" si="161"/>
        <v>0.60333333333333339</v>
      </c>
    </row>
    <row r="5153" spans="1:29">
      <c r="A5153" s="8" t="s">
        <v>5147</v>
      </c>
      <c r="B5153" s="17" t="s">
        <v>7800</v>
      </c>
      <c r="C5153" s="13">
        <v>40035</v>
      </c>
      <c r="D5153" s="13" t="s">
        <v>8465</v>
      </c>
      <c r="E5153" s="10" t="s">
        <v>5148</v>
      </c>
      <c r="F5153" s="10" t="s">
        <v>5149</v>
      </c>
      <c r="G5153" s="11" t="s">
        <v>4735</v>
      </c>
      <c r="H5153" s="2" t="s">
        <v>67</v>
      </c>
      <c r="L5153" s="18">
        <v>1</v>
      </c>
      <c r="N5153" s="13">
        <v>41436</v>
      </c>
      <c r="P5153" s="18" t="s">
        <v>1107</v>
      </c>
      <c r="Q5153" s="18">
        <v>0</v>
      </c>
      <c r="U5153" s="22">
        <v>0.71</v>
      </c>
      <c r="V5153" s="22">
        <f>3.11/5</f>
        <v>0.622</v>
      </c>
      <c r="W5153" s="14" t="s">
        <v>7777</v>
      </c>
      <c r="X5153" s="3">
        <v>2</v>
      </c>
      <c r="Z5153" s="23">
        <v>10</v>
      </c>
      <c r="AB5153" s="18">
        <f t="shared" si="160"/>
        <v>2009</v>
      </c>
      <c r="AC5153" s="22">
        <f t="shared" si="161"/>
        <v>0.57733333333333325</v>
      </c>
    </row>
    <row r="5154" spans="1:29">
      <c r="A5154" s="8" t="s">
        <v>14711</v>
      </c>
      <c r="B5154" s="17" t="s">
        <v>7741</v>
      </c>
      <c r="C5154" s="13">
        <v>40035</v>
      </c>
      <c r="D5154" s="13" t="s">
        <v>8465</v>
      </c>
      <c r="E5154" s="10" t="s">
        <v>5506</v>
      </c>
      <c r="F5154" s="10" t="s">
        <v>14712</v>
      </c>
      <c r="H5154" s="2" t="s">
        <v>80</v>
      </c>
      <c r="L5154" s="18">
        <v>0</v>
      </c>
      <c r="Q5154" s="18">
        <v>0</v>
      </c>
      <c r="U5154" s="22">
        <v>0.48</v>
      </c>
      <c r="V5154" s="22">
        <f>3.5/5</f>
        <v>0.7</v>
      </c>
      <c r="X5154" s="3">
        <v>2</v>
      </c>
      <c r="Z5154" s="23">
        <v>6.5</v>
      </c>
      <c r="AB5154" s="18">
        <f t="shared" si="160"/>
        <v>2009</v>
      </c>
      <c r="AC5154" s="22">
        <f t="shared" si="161"/>
        <v>0.52666666666666673</v>
      </c>
    </row>
    <row r="5155" spans="1:29">
      <c r="A5155" s="8" t="s">
        <v>3766</v>
      </c>
      <c r="B5155" s="17" t="s">
        <v>7800</v>
      </c>
      <c r="C5155" s="13">
        <v>40032</v>
      </c>
      <c r="D5155" s="13" t="s">
        <v>8465</v>
      </c>
      <c r="E5155" s="10" t="s">
        <v>3767</v>
      </c>
      <c r="F5155" s="10" t="s">
        <v>3767</v>
      </c>
      <c r="G5155" s="11" t="s">
        <v>3768</v>
      </c>
      <c r="H5155" s="2" t="s">
        <v>69</v>
      </c>
      <c r="L5155" s="18">
        <v>1</v>
      </c>
      <c r="N5155" s="13">
        <v>41507</v>
      </c>
      <c r="P5155" s="18" t="s">
        <v>1107</v>
      </c>
      <c r="Q5155" s="18">
        <v>0</v>
      </c>
      <c r="U5155" s="22">
        <v>0.7</v>
      </c>
      <c r="V5155" s="22">
        <f>3.71/5</f>
        <v>0.74199999999999999</v>
      </c>
      <c r="W5155" s="14" t="s">
        <v>7777</v>
      </c>
      <c r="X5155" s="3">
        <v>2</v>
      </c>
      <c r="Z5155" s="23">
        <v>53.5</v>
      </c>
      <c r="AB5155" s="18">
        <f t="shared" si="160"/>
        <v>2009</v>
      </c>
      <c r="AC5155" s="22">
        <f t="shared" si="161"/>
        <v>0.61399999999999999</v>
      </c>
    </row>
    <row r="5156" spans="1:29" ht="25.5">
      <c r="A5156" s="8" t="s">
        <v>2337</v>
      </c>
      <c r="B5156" s="17" t="s">
        <v>7748</v>
      </c>
      <c r="C5156" s="13">
        <v>40031</v>
      </c>
      <c r="D5156" s="13" t="s">
        <v>8463</v>
      </c>
      <c r="E5156" s="10" t="s">
        <v>86</v>
      </c>
      <c r="F5156" s="10" t="s">
        <v>2304</v>
      </c>
      <c r="G5156" s="11" t="s">
        <v>85</v>
      </c>
      <c r="H5156" s="2" t="s">
        <v>80</v>
      </c>
      <c r="K5156" s="18">
        <v>2</v>
      </c>
      <c r="L5156" s="18">
        <v>1</v>
      </c>
      <c r="M5156" s="14" t="s">
        <v>8462</v>
      </c>
      <c r="N5156" s="13">
        <v>43529</v>
      </c>
      <c r="O5156" s="29">
        <v>13.27</v>
      </c>
      <c r="P5156" s="18" t="s">
        <v>14</v>
      </c>
      <c r="Q5156" s="18">
        <v>0</v>
      </c>
      <c r="V5156" s="22">
        <f>3.98/5</f>
        <v>0.79600000000000004</v>
      </c>
      <c r="X5156" s="3">
        <v>3</v>
      </c>
      <c r="Z5156" s="23">
        <v>18.5</v>
      </c>
      <c r="AB5156" s="18">
        <f t="shared" si="160"/>
        <v>2009</v>
      </c>
      <c r="AC5156" s="22">
        <f t="shared" si="161"/>
        <v>0.69799999999999995</v>
      </c>
    </row>
    <row r="5157" spans="1:29">
      <c r="A5157" s="8" t="s">
        <v>9057</v>
      </c>
      <c r="B5157" s="17" t="s">
        <v>7748</v>
      </c>
      <c r="C5157" s="13">
        <v>40031</v>
      </c>
      <c r="D5157" s="13" t="s">
        <v>8463</v>
      </c>
      <c r="E5157" s="10" t="s">
        <v>1082</v>
      </c>
      <c r="F5157" s="10" t="s">
        <v>2303</v>
      </c>
      <c r="H5157" s="2" t="s">
        <v>171</v>
      </c>
      <c r="K5157" s="18">
        <v>2</v>
      </c>
      <c r="L5157" s="18">
        <v>0</v>
      </c>
      <c r="Q5157" s="18">
        <v>0</v>
      </c>
      <c r="V5157" s="22">
        <f>3.91/5</f>
        <v>0.78200000000000003</v>
      </c>
      <c r="X5157" s="3">
        <v>3</v>
      </c>
      <c r="Z5157" s="23">
        <v>22.5</v>
      </c>
      <c r="AB5157" s="18">
        <f t="shared" si="160"/>
        <v>2009</v>
      </c>
      <c r="AC5157" s="22">
        <f t="shared" si="161"/>
        <v>0.69100000000000006</v>
      </c>
    </row>
    <row r="5158" spans="1:29" ht="30">
      <c r="A5158" s="8" t="s">
        <v>12007</v>
      </c>
      <c r="B5158" s="17" t="s">
        <v>7762</v>
      </c>
      <c r="C5158" s="13">
        <v>40031</v>
      </c>
      <c r="D5158" s="13" t="s">
        <v>8463</v>
      </c>
      <c r="E5158" s="10" t="s">
        <v>1541</v>
      </c>
      <c r="F5158" s="10" t="s">
        <v>1500</v>
      </c>
      <c r="G5158" s="11" t="s">
        <v>1422</v>
      </c>
      <c r="H5158" s="2" t="s">
        <v>459</v>
      </c>
      <c r="K5158" s="18">
        <v>0</v>
      </c>
      <c r="L5158" s="18">
        <v>0</v>
      </c>
      <c r="Q5158" s="18">
        <v>0</v>
      </c>
      <c r="V5158" s="22">
        <f>3.84/5</f>
        <v>0.76800000000000002</v>
      </c>
      <c r="X5158" s="3">
        <v>2</v>
      </c>
      <c r="Z5158" s="23">
        <v>3.5</v>
      </c>
      <c r="AB5158" s="18">
        <f t="shared" si="160"/>
        <v>2009</v>
      </c>
      <c r="AC5158" s="22">
        <f t="shared" si="161"/>
        <v>0.58400000000000007</v>
      </c>
    </row>
    <row r="5159" spans="1:29" ht="38.25">
      <c r="A5159" s="8" t="s">
        <v>7703</v>
      </c>
      <c r="B5159" s="17" t="s">
        <v>7742</v>
      </c>
      <c r="C5159" s="13">
        <v>40029</v>
      </c>
      <c r="D5159" s="13" t="s">
        <v>8463</v>
      </c>
      <c r="E5159" s="10" t="s">
        <v>7684</v>
      </c>
      <c r="F5159" s="10" t="s">
        <v>164</v>
      </c>
      <c r="G5159" s="11" t="s">
        <v>1984</v>
      </c>
      <c r="H5159" s="2" t="s">
        <v>1377</v>
      </c>
      <c r="K5159" s="18">
        <v>2</v>
      </c>
      <c r="L5159" s="18">
        <v>0</v>
      </c>
      <c r="Q5159" s="18">
        <v>0</v>
      </c>
      <c r="V5159" s="22">
        <f>4.04/5</f>
        <v>0.80800000000000005</v>
      </c>
      <c r="X5159" s="3">
        <v>3</v>
      </c>
      <c r="Z5159" s="23">
        <v>5</v>
      </c>
      <c r="AB5159" s="18">
        <f t="shared" si="160"/>
        <v>2009</v>
      </c>
      <c r="AC5159" s="22">
        <f t="shared" si="161"/>
        <v>0.70399999999999996</v>
      </c>
    </row>
    <row r="5160" spans="1:29">
      <c r="A5160" s="8" t="s">
        <v>11296</v>
      </c>
      <c r="B5160" s="17" t="s">
        <v>8754</v>
      </c>
      <c r="C5160" s="13">
        <v>40028</v>
      </c>
      <c r="D5160" s="13" t="s">
        <v>8465</v>
      </c>
      <c r="E5160" s="10" t="s">
        <v>86</v>
      </c>
      <c r="F5160" s="10" t="s">
        <v>1493</v>
      </c>
      <c r="G5160" s="11" t="s">
        <v>11257</v>
      </c>
      <c r="H5160" s="2" t="s">
        <v>78</v>
      </c>
      <c r="L5160" s="18">
        <v>1</v>
      </c>
      <c r="N5160" s="13">
        <v>44666</v>
      </c>
      <c r="O5160" s="29">
        <v>4.99</v>
      </c>
      <c r="P5160" s="18" t="s">
        <v>1107</v>
      </c>
      <c r="Q5160" s="18">
        <v>0</v>
      </c>
      <c r="V5160" s="22">
        <f>3.84/5</f>
        <v>0.76800000000000002</v>
      </c>
      <c r="X5160" s="3">
        <v>2</v>
      </c>
      <c r="AB5160" s="18">
        <f t="shared" si="160"/>
        <v>2009</v>
      </c>
      <c r="AC5160" s="22">
        <f t="shared" si="161"/>
        <v>0.58400000000000007</v>
      </c>
    </row>
    <row r="5161" spans="1:29" ht="30">
      <c r="A5161" s="8" t="s">
        <v>14069</v>
      </c>
      <c r="B5161" s="17" t="s">
        <v>7759</v>
      </c>
      <c r="C5161" s="13">
        <v>40024</v>
      </c>
      <c r="D5161" s="13" t="s">
        <v>8465</v>
      </c>
      <c r="E5161" s="10" t="s">
        <v>2908</v>
      </c>
      <c r="F5161" s="10" t="s">
        <v>14070</v>
      </c>
      <c r="G5161" s="11" t="s">
        <v>14069</v>
      </c>
      <c r="H5161" s="2" t="s">
        <v>1143</v>
      </c>
      <c r="L5161" s="18">
        <v>0</v>
      </c>
      <c r="Q5161" s="18">
        <v>0</v>
      </c>
      <c r="U5161" s="22">
        <v>0.79</v>
      </c>
      <c r="V5161" s="22">
        <f>3.82/5</f>
        <v>0.76400000000000001</v>
      </c>
      <c r="W5161" s="14" t="s">
        <v>9890</v>
      </c>
      <c r="X5161" s="3">
        <v>3</v>
      </c>
      <c r="Z5161" s="23">
        <v>3</v>
      </c>
      <c r="AB5161" s="18">
        <f t="shared" si="160"/>
        <v>2009</v>
      </c>
      <c r="AC5161" s="22">
        <f t="shared" si="161"/>
        <v>0.71799999999999997</v>
      </c>
    </row>
    <row r="5162" spans="1:29" ht="25.5">
      <c r="A5162" s="8" t="s">
        <v>5525</v>
      </c>
      <c r="B5162" s="17" t="s">
        <v>7800</v>
      </c>
      <c r="C5162" s="13">
        <v>40024</v>
      </c>
      <c r="D5162" s="13" t="s">
        <v>8465</v>
      </c>
      <c r="E5162" s="10" t="s">
        <v>3246</v>
      </c>
      <c r="F5162" s="10" t="s">
        <v>3246</v>
      </c>
      <c r="G5162" s="11" t="s">
        <v>5526</v>
      </c>
      <c r="H5162" s="2" t="s">
        <v>67</v>
      </c>
      <c r="L5162" s="18">
        <v>1</v>
      </c>
      <c r="N5162" s="13">
        <v>41424</v>
      </c>
      <c r="P5162" s="18" t="s">
        <v>1107</v>
      </c>
      <c r="Q5162" s="18">
        <v>0</v>
      </c>
      <c r="U5162" s="22">
        <v>0.75</v>
      </c>
      <c r="V5162" s="22">
        <f>3.68/5</f>
        <v>0.73599999999999999</v>
      </c>
      <c r="W5162" s="14" t="s">
        <v>7777</v>
      </c>
      <c r="X5162" s="3">
        <v>2</v>
      </c>
      <c r="Z5162" s="23">
        <v>12.5</v>
      </c>
      <c r="AB5162" s="18">
        <f t="shared" si="160"/>
        <v>2009</v>
      </c>
      <c r="AC5162" s="22">
        <f t="shared" si="161"/>
        <v>0.62866666666666671</v>
      </c>
    </row>
    <row r="5163" spans="1:29">
      <c r="A5163" s="8" t="s">
        <v>15</v>
      </c>
      <c r="B5163" s="17" t="s">
        <v>7800</v>
      </c>
      <c r="C5163" s="13">
        <v>40022</v>
      </c>
      <c r="D5163" s="13" t="s">
        <v>8465</v>
      </c>
      <c r="E5163" s="10" t="s">
        <v>73</v>
      </c>
      <c r="F5163" s="10" t="s">
        <v>3307</v>
      </c>
      <c r="G5163" s="11" t="s">
        <v>15</v>
      </c>
      <c r="H5163" s="2" t="s">
        <v>80</v>
      </c>
      <c r="L5163" s="18">
        <v>1</v>
      </c>
      <c r="N5163" s="13">
        <v>41895</v>
      </c>
      <c r="O5163" s="29">
        <v>1.99</v>
      </c>
      <c r="P5163" s="18" t="s">
        <v>1107</v>
      </c>
      <c r="Q5163" s="18">
        <v>0</v>
      </c>
      <c r="U5163" s="22">
        <v>0.66</v>
      </c>
      <c r="V5163" s="22">
        <f>3.12/5</f>
        <v>0.624</v>
      </c>
      <c r="W5163" s="14" t="s">
        <v>7777</v>
      </c>
      <c r="X5163" s="3">
        <v>3</v>
      </c>
      <c r="Z5163" s="23">
        <v>5</v>
      </c>
      <c r="AB5163" s="18">
        <f t="shared" si="160"/>
        <v>2009</v>
      </c>
      <c r="AC5163" s="22">
        <f t="shared" si="161"/>
        <v>0.628</v>
      </c>
    </row>
    <row r="5164" spans="1:29">
      <c r="A5164" s="8" t="s">
        <v>11194</v>
      </c>
      <c r="B5164" s="17" t="s">
        <v>7759</v>
      </c>
      <c r="C5164" s="13">
        <v>40022</v>
      </c>
      <c r="D5164" s="13" t="s">
        <v>8465</v>
      </c>
      <c r="E5164" s="10" t="s">
        <v>11188</v>
      </c>
      <c r="F5164" s="10" t="s">
        <v>11188</v>
      </c>
      <c r="G5164" s="11" t="s">
        <v>567</v>
      </c>
      <c r="H5164" s="2" t="s">
        <v>459</v>
      </c>
      <c r="L5164" s="18">
        <v>0</v>
      </c>
      <c r="Q5164" s="18">
        <v>0</v>
      </c>
      <c r="U5164" s="22">
        <v>0.56999999999999995</v>
      </c>
      <c r="V5164" s="22">
        <f>3.03/5</f>
        <v>0.60599999999999998</v>
      </c>
      <c r="X5164" s="3">
        <v>2</v>
      </c>
      <c r="Y5164" s="18">
        <v>1</v>
      </c>
      <c r="Z5164" s="23">
        <v>4.5</v>
      </c>
      <c r="AB5164" s="18">
        <f t="shared" si="160"/>
        <v>2009</v>
      </c>
      <c r="AC5164" s="22">
        <f t="shared" si="161"/>
        <v>0.52533333333333332</v>
      </c>
    </row>
    <row r="5165" spans="1:29">
      <c r="A5165" s="8" t="s">
        <v>7402</v>
      </c>
      <c r="B5165" s="17" t="s">
        <v>7741</v>
      </c>
      <c r="C5165" s="13">
        <v>40020</v>
      </c>
      <c r="D5165" s="13" t="s">
        <v>8465</v>
      </c>
      <c r="E5165" s="10" t="s">
        <v>86</v>
      </c>
      <c r="F5165" s="10" t="s">
        <v>87</v>
      </c>
      <c r="G5165" s="11" t="s">
        <v>966</v>
      </c>
      <c r="H5165" s="2" t="s">
        <v>255</v>
      </c>
      <c r="L5165" s="18">
        <v>0</v>
      </c>
      <c r="Q5165" s="18">
        <v>0</v>
      </c>
      <c r="U5165" s="22">
        <v>0.83</v>
      </c>
      <c r="V5165" s="22">
        <f>3.94/5</f>
        <v>0.78800000000000003</v>
      </c>
      <c r="X5165" s="3">
        <v>3</v>
      </c>
      <c r="Z5165" s="23">
        <v>6.5</v>
      </c>
      <c r="AB5165" s="18">
        <f t="shared" si="160"/>
        <v>2009</v>
      </c>
      <c r="AC5165" s="22">
        <f t="shared" si="161"/>
        <v>0.73933333333333329</v>
      </c>
    </row>
    <row r="5166" spans="1:29" ht="25.5">
      <c r="A5166" s="8" t="s">
        <v>15657</v>
      </c>
      <c r="B5166" s="17" t="s">
        <v>6317</v>
      </c>
      <c r="C5166" s="13">
        <v>40018</v>
      </c>
      <c r="D5166" s="13" t="s">
        <v>8463</v>
      </c>
      <c r="E5166" s="10" t="s">
        <v>228</v>
      </c>
      <c r="F5166" s="10" t="s">
        <v>228</v>
      </c>
      <c r="G5166" s="11" t="s">
        <v>477</v>
      </c>
      <c r="H5166" s="2" t="s">
        <v>459</v>
      </c>
      <c r="K5166" s="18">
        <v>0</v>
      </c>
      <c r="L5166" s="18">
        <v>0</v>
      </c>
      <c r="Q5166" s="18">
        <v>0</v>
      </c>
      <c r="V5166" s="22">
        <f>3.69/5</f>
        <v>0.73799999999999999</v>
      </c>
      <c r="X5166" s="3">
        <v>2</v>
      </c>
      <c r="AB5166" s="18">
        <f t="shared" si="160"/>
        <v>2009</v>
      </c>
      <c r="AC5166" s="22">
        <f t="shared" si="161"/>
        <v>0.56899999999999995</v>
      </c>
    </row>
    <row r="5167" spans="1:29" ht="25.5">
      <c r="A5167" s="8" t="s">
        <v>9046</v>
      </c>
      <c r="B5167" s="17" t="s">
        <v>7748</v>
      </c>
      <c r="C5167" s="13">
        <v>40017</v>
      </c>
      <c r="D5167" s="13" t="s">
        <v>8463</v>
      </c>
      <c r="E5167" s="10" t="s">
        <v>86</v>
      </c>
      <c r="F5167" s="10" t="s">
        <v>1493</v>
      </c>
      <c r="G5167" s="11" t="s">
        <v>9047</v>
      </c>
      <c r="H5167" s="2" t="s">
        <v>80</v>
      </c>
      <c r="K5167" s="18">
        <v>2</v>
      </c>
      <c r="L5167" s="18">
        <v>0</v>
      </c>
      <c r="Q5167" s="18">
        <v>0</v>
      </c>
      <c r="V5167" s="22">
        <f>4.01/5</f>
        <v>0.80199999999999994</v>
      </c>
      <c r="X5167" s="3">
        <v>3</v>
      </c>
      <c r="Z5167" s="23">
        <v>12</v>
      </c>
      <c r="AB5167" s="18">
        <f t="shared" si="160"/>
        <v>2009</v>
      </c>
      <c r="AC5167" s="22">
        <f t="shared" si="161"/>
        <v>0.70099999999999996</v>
      </c>
    </row>
    <row r="5168" spans="1:29" ht="25.5">
      <c r="A5168" s="8" t="s">
        <v>5280</v>
      </c>
      <c r="B5168" s="17" t="s">
        <v>7800</v>
      </c>
      <c r="C5168" s="13">
        <v>40016</v>
      </c>
      <c r="D5168" s="13" t="s">
        <v>8465</v>
      </c>
      <c r="E5168" s="10" t="s">
        <v>3066</v>
      </c>
      <c r="F5168" s="10" t="s">
        <v>3066</v>
      </c>
      <c r="G5168" s="11" t="s">
        <v>3329</v>
      </c>
      <c r="H5168" s="2" t="s">
        <v>67</v>
      </c>
      <c r="L5168" s="18">
        <v>1</v>
      </c>
      <c r="N5168" s="13">
        <v>41346</v>
      </c>
      <c r="P5168" s="18" t="s">
        <v>1107</v>
      </c>
      <c r="Q5168" s="18">
        <v>0</v>
      </c>
      <c r="U5168" s="22">
        <v>0.76</v>
      </c>
      <c r="V5168" s="22">
        <f>3.66/5</f>
        <v>0.73199999999999998</v>
      </c>
      <c r="W5168" s="14" t="s">
        <v>7777</v>
      </c>
      <c r="X5168" s="3">
        <v>3</v>
      </c>
      <c r="Z5168" s="23">
        <v>3</v>
      </c>
      <c r="AB5168" s="18">
        <f t="shared" si="160"/>
        <v>2009</v>
      </c>
      <c r="AC5168" s="22">
        <f t="shared" si="161"/>
        <v>0.69733333333333336</v>
      </c>
    </row>
    <row r="5169" spans="1:29">
      <c r="A5169" s="8" t="s">
        <v>1004</v>
      </c>
      <c r="B5169" s="17" t="s">
        <v>7741</v>
      </c>
      <c r="C5169" s="13">
        <v>40015</v>
      </c>
      <c r="D5169" s="13" t="s">
        <v>8465</v>
      </c>
      <c r="E5169" s="10" t="s">
        <v>1534</v>
      </c>
      <c r="F5169" s="10" t="s">
        <v>1525</v>
      </c>
      <c r="H5169" s="2" t="s">
        <v>75</v>
      </c>
      <c r="L5169" s="18">
        <v>0</v>
      </c>
      <c r="Q5169" s="18">
        <v>0</v>
      </c>
      <c r="U5169" s="22">
        <v>0.86</v>
      </c>
      <c r="V5169" s="22">
        <f>4.22/5</f>
        <v>0.84399999999999997</v>
      </c>
      <c r="X5169" s="3">
        <v>3</v>
      </c>
      <c r="Z5169" s="23">
        <v>24.5</v>
      </c>
      <c r="AB5169" s="18">
        <f t="shared" si="160"/>
        <v>2009</v>
      </c>
      <c r="AC5169" s="22">
        <f t="shared" si="161"/>
        <v>0.7679999999999999</v>
      </c>
    </row>
    <row r="5170" spans="1:29" ht="45">
      <c r="A5170" s="8" t="s">
        <v>10223</v>
      </c>
      <c r="B5170" s="17" t="s">
        <v>7759</v>
      </c>
      <c r="C5170" s="13">
        <v>40015</v>
      </c>
      <c r="D5170" s="13" t="s">
        <v>8465</v>
      </c>
      <c r="E5170" s="10" t="s">
        <v>1156</v>
      </c>
      <c r="F5170" s="10" t="s">
        <v>10242</v>
      </c>
      <c r="G5170" s="11" t="s">
        <v>10238</v>
      </c>
      <c r="H5170" s="2" t="s">
        <v>153</v>
      </c>
      <c r="L5170" s="18">
        <v>0</v>
      </c>
      <c r="Q5170" s="18">
        <v>0</v>
      </c>
      <c r="U5170" s="22">
        <v>0.59</v>
      </c>
      <c r="V5170" s="22">
        <f>2.95/5</f>
        <v>0.59000000000000008</v>
      </c>
      <c r="X5170" s="3">
        <v>3</v>
      </c>
      <c r="Y5170" s="18">
        <v>1</v>
      </c>
      <c r="Z5170" s="23">
        <v>5</v>
      </c>
      <c r="AB5170" s="18">
        <f t="shared" si="160"/>
        <v>2009</v>
      </c>
      <c r="AC5170" s="22">
        <f t="shared" si="161"/>
        <v>0.59333333333333338</v>
      </c>
    </row>
    <row r="5171" spans="1:29" ht="38.25">
      <c r="A5171" s="8" t="s">
        <v>7497</v>
      </c>
      <c r="B5171" s="17" t="s">
        <v>7742</v>
      </c>
      <c r="C5171" s="13">
        <v>40014</v>
      </c>
      <c r="D5171" s="13" t="s">
        <v>8465</v>
      </c>
      <c r="E5171" s="10" t="s">
        <v>1082</v>
      </c>
      <c r="F5171" s="10" t="s">
        <v>1082</v>
      </c>
      <c r="G5171" s="11" t="s">
        <v>938</v>
      </c>
      <c r="H5171" s="2" t="s">
        <v>1169</v>
      </c>
      <c r="L5171" s="18">
        <v>0</v>
      </c>
      <c r="Q5171" s="18">
        <v>0</v>
      </c>
      <c r="U5171" s="22">
        <v>0.72</v>
      </c>
      <c r="V5171" s="22">
        <f>3.6/5</f>
        <v>0.72</v>
      </c>
      <c r="X5171" s="3">
        <v>3</v>
      </c>
      <c r="Z5171" s="23">
        <v>15</v>
      </c>
      <c r="AB5171" s="18">
        <f t="shared" si="160"/>
        <v>2009</v>
      </c>
      <c r="AC5171" s="22">
        <f t="shared" si="161"/>
        <v>0.68</v>
      </c>
    </row>
    <row r="5172" spans="1:29">
      <c r="A5172" s="8" t="s">
        <v>11247</v>
      </c>
      <c r="B5172" s="17" t="s">
        <v>8754</v>
      </c>
      <c r="C5172" s="13">
        <v>40014</v>
      </c>
      <c r="D5172" s="13" t="s">
        <v>8465</v>
      </c>
      <c r="E5172" s="10" t="s">
        <v>86</v>
      </c>
      <c r="F5172" s="10" t="s">
        <v>1493</v>
      </c>
      <c r="G5172" s="11" t="s">
        <v>11257</v>
      </c>
      <c r="H5172" s="2" t="s">
        <v>78</v>
      </c>
      <c r="L5172" s="18">
        <v>1</v>
      </c>
      <c r="N5172" s="13">
        <v>44646</v>
      </c>
      <c r="O5172" s="29">
        <v>4.99</v>
      </c>
      <c r="P5172" s="18" t="s">
        <v>1107</v>
      </c>
      <c r="Q5172" s="18">
        <v>0</v>
      </c>
      <c r="U5172" s="22">
        <v>0.65</v>
      </c>
      <c r="V5172" s="22">
        <f>3.93/5</f>
        <v>0.78600000000000003</v>
      </c>
      <c r="X5172" s="3">
        <v>2</v>
      </c>
      <c r="AB5172" s="18">
        <f t="shared" si="160"/>
        <v>2009</v>
      </c>
      <c r="AC5172" s="22">
        <f t="shared" si="161"/>
        <v>0.61199999999999999</v>
      </c>
    </row>
    <row r="5173" spans="1:29" ht="38.25">
      <c r="A5173" s="8" t="s">
        <v>6228</v>
      </c>
      <c r="B5173" s="17" t="s">
        <v>7762</v>
      </c>
      <c r="C5173" s="13">
        <v>40010</v>
      </c>
      <c r="D5173" s="13" t="s">
        <v>8465</v>
      </c>
      <c r="E5173" s="10" t="s">
        <v>1062</v>
      </c>
      <c r="F5173" s="10" t="s">
        <v>3029</v>
      </c>
      <c r="G5173" s="11" t="s">
        <v>6267</v>
      </c>
      <c r="H5173" s="2" t="s">
        <v>1143</v>
      </c>
      <c r="L5173" s="18">
        <v>0</v>
      </c>
      <c r="Q5173" s="18">
        <v>0</v>
      </c>
      <c r="U5173" s="22">
        <v>0.71</v>
      </c>
      <c r="V5173" s="22">
        <f>3.68/5</f>
        <v>0.73599999999999999</v>
      </c>
      <c r="X5173" s="3">
        <v>3</v>
      </c>
      <c r="Z5173" s="23">
        <v>8.5</v>
      </c>
      <c r="AB5173" s="18">
        <f t="shared" si="160"/>
        <v>2009</v>
      </c>
      <c r="AC5173" s="22">
        <f t="shared" si="161"/>
        <v>0.68199999999999994</v>
      </c>
    </row>
    <row r="5174" spans="1:29" ht="25.5">
      <c r="A5174" s="8" t="s">
        <v>5354</v>
      </c>
      <c r="B5174" s="17" t="s">
        <v>7800</v>
      </c>
      <c r="C5174" s="13">
        <v>40009</v>
      </c>
      <c r="D5174" s="13" t="s">
        <v>8465</v>
      </c>
      <c r="E5174" s="10" t="s">
        <v>1284</v>
      </c>
      <c r="F5174" s="10" t="s">
        <v>1284</v>
      </c>
      <c r="G5174" s="11" t="s">
        <v>4472</v>
      </c>
      <c r="H5174" s="2" t="s">
        <v>67</v>
      </c>
      <c r="L5174" s="18">
        <v>1</v>
      </c>
      <c r="N5174" s="13">
        <v>41155</v>
      </c>
      <c r="O5174" s="29">
        <v>0</v>
      </c>
      <c r="P5174" s="18" t="s">
        <v>1107</v>
      </c>
      <c r="Q5174" s="18">
        <v>0</v>
      </c>
      <c r="U5174" s="22">
        <v>0.86</v>
      </c>
      <c r="V5174" s="22">
        <f>4.12/5</f>
        <v>0.82400000000000007</v>
      </c>
      <c r="W5174" s="14" t="s">
        <v>7777</v>
      </c>
      <c r="X5174" s="3">
        <v>3</v>
      </c>
      <c r="Z5174" s="23">
        <v>6.5</v>
      </c>
      <c r="AB5174" s="18">
        <f t="shared" si="160"/>
        <v>2009</v>
      </c>
      <c r="AC5174" s="22">
        <f t="shared" si="161"/>
        <v>0.76133333333333342</v>
      </c>
    </row>
    <row r="5175" spans="1:29" ht="30">
      <c r="A5175" s="8" t="s">
        <v>5354</v>
      </c>
      <c r="B5175" s="17" t="s">
        <v>7765</v>
      </c>
      <c r="C5175" s="13">
        <v>40009</v>
      </c>
      <c r="D5175" s="13" t="s">
        <v>8465</v>
      </c>
      <c r="E5175" s="10" t="s">
        <v>2317</v>
      </c>
      <c r="F5175" s="10" t="s">
        <v>1284</v>
      </c>
      <c r="G5175" s="11" t="s">
        <v>4472</v>
      </c>
      <c r="H5175" s="2" t="s">
        <v>67</v>
      </c>
      <c r="L5175" s="18">
        <v>1</v>
      </c>
      <c r="P5175" s="18" t="s">
        <v>1107</v>
      </c>
      <c r="Q5175" s="18">
        <v>0</v>
      </c>
      <c r="U5175" s="22">
        <v>0.88</v>
      </c>
      <c r="V5175" s="22">
        <f>4.17/5</f>
        <v>0.83399999999999996</v>
      </c>
      <c r="X5175" s="3">
        <v>2</v>
      </c>
      <c r="Z5175" s="23">
        <v>6.5</v>
      </c>
      <c r="AB5175" s="18">
        <f t="shared" si="160"/>
        <v>2009</v>
      </c>
      <c r="AC5175" s="22">
        <f t="shared" si="161"/>
        <v>0.70466666666666666</v>
      </c>
    </row>
    <row r="5176" spans="1:29" ht="25.5">
      <c r="A5176" s="8" t="s">
        <v>11775</v>
      </c>
      <c r="B5176" s="17" t="s">
        <v>7800</v>
      </c>
      <c r="C5176" s="13">
        <v>40004</v>
      </c>
      <c r="D5176" s="13" t="s">
        <v>8465</v>
      </c>
      <c r="E5176" s="10" t="s">
        <v>11776</v>
      </c>
      <c r="F5176" s="10" t="s">
        <v>3206</v>
      </c>
      <c r="G5176" s="11" t="s">
        <v>11781</v>
      </c>
      <c r="H5176" s="2" t="s">
        <v>3422</v>
      </c>
      <c r="L5176" s="18">
        <v>0</v>
      </c>
      <c r="Q5176" s="18">
        <v>0</v>
      </c>
      <c r="V5176" s="22">
        <f>3.94/5</f>
        <v>0.78800000000000003</v>
      </c>
      <c r="W5176" s="14" t="s">
        <v>13076</v>
      </c>
      <c r="X5176" s="3">
        <v>2</v>
      </c>
      <c r="AB5176" s="18">
        <f t="shared" si="160"/>
        <v>2009</v>
      </c>
      <c r="AC5176" s="22">
        <f t="shared" si="161"/>
        <v>0.59400000000000008</v>
      </c>
    </row>
    <row r="5177" spans="1:29" ht="25.5">
      <c r="A5177" s="8" t="s">
        <v>14623</v>
      </c>
      <c r="B5177" s="17" t="s">
        <v>7800</v>
      </c>
      <c r="C5177" s="13">
        <v>40004</v>
      </c>
      <c r="D5177" s="13" t="s">
        <v>8465</v>
      </c>
      <c r="E5177" s="10" t="s">
        <v>14622</v>
      </c>
      <c r="F5177" s="10" t="s">
        <v>14622</v>
      </c>
      <c r="G5177" s="11" t="s">
        <v>14621</v>
      </c>
      <c r="H5177" s="2" t="s">
        <v>1061</v>
      </c>
      <c r="L5177" s="18">
        <v>1</v>
      </c>
      <c r="N5177" s="13">
        <v>45048</v>
      </c>
      <c r="O5177" s="29">
        <v>0</v>
      </c>
      <c r="P5177" s="18" t="s">
        <v>1107</v>
      </c>
      <c r="Q5177" s="18">
        <v>0</v>
      </c>
      <c r="V5177" s="22">
        <f>2.29/5</f>
        <v>0.45800000000000002</v>
      </c>
      <c r="W5177" s="14" t="s">
        <v>7777</v>
      </c>
      <c r="X5177" s="3">
        <v>2</v>
      </c>
      <c r="AB5177" s="18">
        <f t="shared" si="160"/>
        <v>2009</v>
      </c>
      <c r="AC5177" s="22">
        <f t="shared" si="161"/>
        <v>0.42900000000000005</v>
      </c>
    </row>
    <row r="5178" spans="1:29">
      <c r="A5178" s="8" t="s">
        <v>11293</v>
      </c>
      <c r="B5178" s="17" t="s">
        <v>8754</v>
      </c>
      <c r="C5178" s="13">
        <v>40000</v>
      </c>
      <c r="D5178" s="13" t="s">
        <v>8465</v>
      </c>
      <c r="E5178" s="10" t="s">
        <v>86</v>
      </c>
      <c r="F5178" s="10" t="s">
        <v>1493</v>
      </c>
      <c r="G5178" s="11" t="s">
        <v>11257</v>
      </c>
      <c r="H5178" s="2" t="s">
        <v>78</v>
      </c>
      <c r="L5178" s="18">
        <v>1</v>
      </c>
      <c r="N5178" s="13">
        <v>44666</v>
      </c>
      <c r="O5178" s="29">
        <v>4.99</v>
      </c>
      <c r="P5178" s="18" t="s">
        <v>1107</v>
      </c>
      <c r="Q5178" s="18">
        <v>0</v>
      </c>
      <c r="U5178" s="22">
        <v>0.77</v>
      </c>
      <c r="V5178" s="22">
        <f>3.76/5</f>
        <v>0.752</v>
      </c>
      <c r="X5178" s="3">
        <v>2</v>
      </c>
      <c r="Z5178" s="23">
        <v>2.5</v>
      </c>
      <c r="AB5178" s="18">
        <f t="shared" si="160"/>
        <v>2009</v>
      </c>
      <c r="AC5178" s="22">
        <f t="shared" si="161"/>
        <v>0.64066666666666672</v>
      </c>
    </row>
    <row r="5179" spans="1:29">
      <c r="A5179" s="8" t="s">
        <v>12571</v>
      </c>
      <c r="B5179" s="17" t="s">
        <v>7800</v>
      </c>
      <c r="C5179" s="13">
        <v>39999</v>
      </c>
      <c r="D5179" s="13" t="s">
        <v>8465</v>
      </c>
      <c r="E5179" s="10" t="s">
        <v>1513</v>
      </c>
      <c r="F5179" s="10" t="s">
        <v>6094</v>
      </c>
      <c r="H5179" s="2" t="s">
        <v>150</v>
      </c>
      <c r="L5179" s="18">
        <v>1</v>
      </c>
      <c r="P5179" s="18" t="s">
        <v>1107</v>
      </c>
      <c r="Q5179" s="18">
        <v>0</v>
      </c>
      <c r="U5179" s="22">
        <v>0.67</v>
      </c>
      <c r="V5179" s="22">
        <f>3.23/5</f>
        <v>0.64600000000000002</v>
      </c>
      <c r="W5179" s="14" t="s">
        <v>7777</v>
      </c>
      <c r="X5179" s="3">
        <v>2</v>
      </c>
      <c r="Z5179" s="23">
        <v>26.5</v>
      </c>
      <c r="AB5179" s="18">
        <f t="shared" si="160"/>
        <v>2009</v>
      </c>
      <c r="AC5179" s="22">
        <f t="shared" si="161"/>
        <v>0.57200000000000006</v>
      </c>
    </row>
    <row r="5180" spans="1:29" ht="51">
      <c r="A5180" s="8" t="s">
        <v>14813</v>
      </c>
      <c r="B5180" s="17" t="s">
        <v>7762</v>
      </c>
      <c r="C5180" s="13">
        <v>39996</v>
      </c>
      <c r="D5180" s="13" t="s">
        <v>8463</v>
      </c>
      <c r="E5180" s="10" t="s">
        <v>2908</v>
      </c>
      <c r="F5180" s="10" t="s">
        <v>2470</v>
      </c>
      <c r="G5180" s="11" t="s">
        <v>10866</v>
      </c>
      <c r="H5180" s="2" t="s">
        <v>67</v>
      </c>
      <c r="K5180" s="18">
        <v>0</v>
      </c>
      <c r="L5180" s="18">
        <v>0</v>
      </c>
      <c r="Q5180" s="18">
        <v>0</v>
      </c>
      <c r="V5180" s="22">
        <f>3.89/5</f>
        <v>0.77800000000000002</v>
      </c>
      <c r="X5180" s="3">
        <v>3</v>
      </c>
      <c r="Z5180" s="23">
        <v>14</v>
      </c>
      <c r="AB5180" s="18">
        <f t="shared" si="160"/>
        <v>2009</v>
      </c>
      <c r="AC5180" s="22">
        <f t="shared" si="161"/>
        <v>0.68900000000000006</v>
      </c>
    </row>
    <row r="5181" spans="1:29" ht="30">
      <c r="A5181" s="8" t="s">
        <v>15097</v>
      </c>
      <c r="B5181" s="17" t="s">
        <v>7759</v>
      </c>
      <c r="C5181" s="13">
        <v>39996</v>
      </c>
      <c r="D5181" s="13" t="s">
        <v>8465</v>
      </c>
      <c r="E5181" s="10" t="s">
        <v>2908</v>
      </c>
      <c r="F5181" s="10" t="s">
        <v>15098</v>
      </c>
      <c r="G5181" s="11" t="s">
        <v>420</v>
      </c>
      <c r="H5181" s="2" t="s">
        <v>1050</v>
      </c>
      <c r="L5181" s="18">
        <v>0</v>
      </c>
      <c r="Q5181" s="18">
        <v>0</v>
      </c>
      <c r="U5181" s="22">
        <v>0.47</v>
      </c>
      <c r="V5181" s="22">
        <f>2.41/5</f>
        <v>0.48200000000000004</v>
      </c>
      <c r="W5181" s="14" t="s">
        <v>9890</v>
      </c>
      <c r="X5181" s="3">
        <v>2</v>
      </c>
      <c r="AB5181" s="18">
        <f t="shared" si="160"/>
        <v>2009</v>
      </c>
      <c r="AC5181" s="22">
        <f t="shared" si="161"/>
        <v>0.4506666666666666</v>
      </c>
    </row>
    <row r="5182" spans="1:29">
      <c r="A5182" s="8" t="s">
        <v>4372</v>
      </c>
      <c r="B5182" s="17" t="s">
        <v>7800</v>
      </c>
      <c r="C5182" s="13">
        <v>39995</v>
      </c>
      <c r="D5182" s="13" t="s">
        <v>8465</v>
      </c>
      <c r="E5182" s="10" t="s">
        <v>4373</v>
      </c>
      <c r="F5182" s="10" t="s">
        <v>4373</v>
      </c>
      <c r="H5182" s="2" t="s">
        <v>64</v>
      </c>
      <c r="L5182" s="18">
        <v>1</v>
      </c>
      <c r="N5182" s="13">
        <v>41623</v>
      </c>
      <c r="P5182" s="18" t="s">
        <v>1107</v>
      </c>
      <c r="Q5182" s="18">
        <v>0</v>
      </c>
      <c r="V5182" s="22">
        <f>2.73/5</f>
        <v>0.54600000000000004</v>
      </c>
      <c r="W5182" s="14" t="s">
        <v>7777</v>
      </c>
      <c r="X5182" s="3">
        <v>3</v>
      </c>
      <c r="Z5182" s="23">
        <v>2.5</v>
      </c>
      <c r="AB5182" s="18">
        <f t="shared" si="160"/>
        <v>2009</v>
      </c>
      <c r="AC5182" s="22">
        <f t="shared" si="161"/>
        <v>0.57299999999999995</v>
      </c>
    </row>
    <row r="5183" spans="1:29">
      <c r="A5183" s="8" t="s">
        <v>15922</v>
      </c>
      <c r="B5183" s="17" t="s">
        <v>6317</v>
      </c>
      <c r="C5183" s="12">
        <v>39995</v>
      </c>
      <c r="D5183" s="13" t="s">
        <v>8465</v>
      </c>
      <c r="E5183" s="10" t="s">
        <v>54</v>
      </c>
      <c r="F5183" s="10" t="s">
        <v>54</v>
      </c>
      <c r="G5183" s="11" t="s">
        <v>15923</v>
      </c>
      <c r="H5183" s="2" t="s">
        <v>1170</v>
      </c>
      <c r="L5183" s="18">
        <v>0</v>
      </c>
      <c r="Q5183" s="18">
        <v>0</v>
      </c>
      <c r="V5183" s="22">
        <f>3.75/5</f>
        <v>0.75</v>
      </c>
      <c r="X5183" s="3">
        <v>2</v>
      </c>
      <c r="AB5183" s="18">
        <f t="shared" si="160"/>
        <v>2009</v>
      </c>
      <c r="AC5183" s="22">
        <f t="shared" si="161"/>
        <v>0.57499999999999996</v>
      </c>
    </row>
    <row r="5184" spans="1:29" ht="25.5">
      <c r="A5184" s="8" t="s">
        <v>3406</v>
      </c>
      <c r="B5184" s="17" t="s">
        <v>7800</v>
      </c>
      <c r="C5184" s="13">
        <v>39994</v>
      </c>
      <c r="D5184" s="13" t="s">
        <v>8465</v>
      </c>
      <c r="E5184" s="10" t="s">
        <v>1047</v>
      </c>
      <c r="F5184" s="10" t="s">
        <v>3405</v>
      </c>
      <c r="G5184" s="11" t="s">
        <v>3404</v>
      </c>
      <c r="H5184" s="2" t="s">
        <v>1050</v>
      </c>
      <c r="L5184" s="18">
        <v>1</v>
      </c>
      <c r="N5184" s="13">
        <v>43393</v>
      </c>
      <c r="O5184" s="29">
        <v>2.4900000000000002</v>
      </c>
      <c r="P5184" s="18" t="s">
        <v>1107</v>
      </c>
      <c r="Q5184" s="18">
        <v>0</v>
      </c>
      <c r="U5184" s="22">
        <v>0.79</v>
      </c>
      <c r="V5184" s="22">
        <f>3.6/5</f>
        <v>0.72</v>
      </c>
      <c r="W5184" s="14" t="s">
        <v>7777</v>
      </c>
      <c r="X5184" s="3">
        <v>3</v>
      </c>
      <c r="Z5184" s="23">
        <v>8</v>
      </c>
      <c r="AB5184" s="18">
        <f t="shared" si="160"/>
        <v>2009</v>
      </c>
      <c r="AC5184" s="22">
        <f t="shared" si="161"/>
        <v>0.70333333333333325</v>
      </c>
    </row>
    <row r="5185" spans="1:29" ht="25.5">
      <c r="A5185" s="8" t="s">
        <v>3338</v>
      </c>
      <c r="B5185" s="17" t="s">
        <v>7759</v>
      </c>
      <c r="C5185" s="13">
        <v>39994</v>
      </c>
      <c r="D5185" s="13" t="s">
        <v>8465</v>
      </c>
      <c r="E5185" s="10" t="s">
        <v>1519</v>
      </c>
      <c r="F5185" s="10" t="s">
        <v>479</v>
      </c>
      <c r="G5185" s="11" t="s">
        <v>3340</v>
      </c>
      <c r="H5185" s="2" t="s">
        <v>459</v>
      </c>
      <c r="L5185" s="18">
        <v>1</v>
      </c>
      <c r="M5185" s="14" t="s">
        <v>8462</v>
      </c>
      <c r="N5185" s="13">
        <v>43606</v>
      </c>
      <c r="O5185" s="29">
        <v>20</v>
      </c>
      <c r="P5185" s="18" t="s">
        <v>14</v>
      </c>
      <c r="Q5185" s="18">
        <v>0</v>
      </c>
      <c r="U5185" s="22">
        <v>0.87</v>
      </c>
      <c r="V5185" s="22">
        <f>4.06/5</f>
        <v>0.81199999999999994</v>
      </c>
      <c r="X5185" s="3">
        <v>2</v>
      </c>
      <c r="Z5185" s="23">
        <v>12.5</v>
      </c>
      <c r="AB5185" s="18">
        <f t="shared" ref="AB5185:AB5248" si="162">IFERROR(YEAR(C5185), "Early Access")</f>
        <v>2009</v>
      </c>
      <c r="AC5185" s="22">
        <f t="shared" ref="AC5185:AC5248" si="163">AVERAGE(T5185, U5185, V5185, IF(ISBLANK(X5185), X5185, X5185/5))</f>
        <v>0.69399999999999995</v>
      </c>
    </row>
    <row r="5186" spans="1:29" ht="25.5">
      <c r="A5186" s="8" t="s">
        <v>2353</v>
      </c>
      <c r="B5186" s="17" t="s">
        <v>7748</v>
      </c>
      <c r="C5186" s="13">
        <v>39994</v>
      </c>
      <c r="D5186" s="13" t="s">
        <v>8465</v>
      </c>
      <c r="E5186" s="10" t="s">
        <v>73</v>
      </c>
      <c r="F5186" s="10" t="s">
        <v>73</v>
      </c>
      <c r="G5186" s="11" t="s">
        <v>2312</v>
      </c>
      <c r="H5186" s="2" t="s">
        <v>171</v>
      </c>
      <c r="L5186" s="18">
        <v>0</v>
      </c>
      <c r="Q5186" s="18">
        <v>0</v>
      </c>
      <c r="U5186" s="22">
        <v>0.63</v>
      </c>
      <c r="V5186" s="22">
        <f>4.35/5</f>
        <v>0.86999999999999988</v>
      </c>
      <c r="X5186" s="3">
        <v>2</v>
      </c>
      <c r="Z5186" s="23">
        <v>19</v>
      </c>
      <c r="AB5186" s="18">
        <f t="shared" si="162"/>
        <v>2009</v>
      </c>
      <c r="AC5186" s="22">
        <f t="shared" si="163"/>
        <v>0.6333333333333333</v>
      </c>
    </row>
    <row r="5187" spans="1:29" ht="25.5">
      <c r="A5187" s="8" t="s">
        <v>13454</v>
      </c>
      <c r="B5187" s="17" t="s">
        <v>7759</v>
      </c>
      <c r="C5187" s="13">
        <v>39994</v>
      </c>
      <c r="D5187" s="13" t="s">
        <v>8465</v>
      </c>
      <c r="E5187" s="10" t="s">
        <v>5010</v>
      </c>
      <c r="F5187" s="10" t="s">
        <v>13455</v>
      </c>
      <c r="G5187" s="11" t="s">
        <v>13449</v>
      </c>
      <c r="H5187" s="2" t="s">
        <v>80</v>
      </c>
      <c r="L5187" s="18">
        <v>0</v>
      </c>
      <c r="Q5187" s="18">
        <v>0</v>
      </c>
      <c r="U5187" s="22">
        <v>0.66</v>
      </c>
      <c r="V5187" s="22">
        <f>3.44/5</f>
        <v>0.68799999999999994</v>
      </c>
      <c r="X5187" s="3">
        <v>2</v>
      </c>
      <c r="Y5187" s="18">
        <v>1</v>
      </c>
      <c r="Z5187" s="23">
        <v>5</v>
      </c>
      <c r="AB5187" s="18">
        <f t="shared" si="162"/>
        <v>2009</v>
      </c>
      <c r="AC5187" s="22">
        <f t="shared" si="163"/>
        <v>0.58266666666666656</v>
      </c>
    </row>
    <row r="5188" spans="1:29" ht="30">
      <c r="A5188" s="8" t="s">
        <v>14630</v>
      </c>
      <c r="B5188" s="17" t="s">
        <v>7762</v>
      </c>
      <c r="C5188" s="13">
        <v>39994</v>
      </c>
      <c r="D5188" s="13" t="s">
        <v>8465</v>
      </c>
      <c r="E5188" s="10" t="s">
        <v>14501</v>
      </c>
      <c r="F5188" s="10" t="s">
        <v>144</v>
      </c>
      <c r="G5188" s="11" t="s">
        <v>5772</v>
      </c>
      <c r="H5188" s="2" t="s">
        <v>80</v>
      </c>
      <c r="L5188" s="18">
        <v>0</v>
      </c>
      <c r="Q5188" s="18">
        <v>0</v>
      </c>
      <c r="U5188" s="22">
        <v>0.54</v>
      </c>
      <c r="V5188" s="22">
        <f>3.4/5</f>
        <v>0.67999999999999994</v>
      </c>
      <c r="X5188" s="3">
        <v>2</v>
      </c>
      <c r="Z5188" s="23">
        <v>6.5</v>
      </c>
      <c r="AB5188" s="18">
        <f t="shared" si="162"/>
        <v>2009</v>
      </c>
      <c r="AC5188" s="22">
        <f t="shared" si="163"/>
        <v>0.54</v>
      </c>
    </row>
    <row r="5189" spans="1:29" ht="38.25">
      <c r="A5189" s="8" t="s">
        <v>977</v>
      </c>
      <c r="B5189" s="17" t="s">
        <v>7741</v>
      </c>
      <c r="C5189" s="13">
        <v>39990</v>
      </c>
      <c r="D5189" s="13" t="s">
        <v>8467</v>
      </c>
      <c r="E5189" s="10" t="s">
        <v>86</v>
      </c>
      <c r="F5189" s="10" t="s">
        <v>1525</v>
      </c>
      <c r="G5189" s="11" t="s">
        <v>1526</v>
      </c>
      <c r="H5189" s="2" t="s">
        <v>1057</v>
      </c>
      <c r="L5189" s="18">
        <v>0</v>
      </c>
      <c r="Q5189" s="18">
        <v>0</v>
      </c>
      <c r="U5189" s="22">
        <v>0.69</v>
      </c>
      <c r="V5189" s="22">
        <f>3.78/5</f>
        <v>0.75600000000000001</v>
      </c>
      <c r="X5189" s="3">
        <v>3</v>
      </c>
      <c r="Z5189" s="23">
        <v>16.5</v>
      </c>
      <c r="AB5189" s="18">
        <f t="shared" si="162"/>
        <v>2009</v>
      </c>
      <c r="AC5189" s="22">
        <f t="shared" si="163"/>
        <v>0.68199999999999994</v>
      </c>
    </row>
    <row r="5190" spans="1:29">
      <c r="A5190" s="8" t="s">
        <v>14841</v>
      </c>
      <c r="B5190" s="17" t="s">
        <v>7800</v>
      </c>
      <c r="C5190" s="13">
        <v>39990</v>
      </c>
      <c r="D5190" s="13" t="s">
        <v>8465</v>
      </c>
      <c r="E5190" s="10" t="s">
        <v>14850</v>
      </c>
      <c r="F5190" s="10" t="s">
        <v>3959</v>
      </c>
      <c r="G5190" s="11" t="s">
        <v>14841</v>
      </c>
      <c r="H5190" s="2" t="s">
        <v>255</v>
      </c>
      <c r="L5190" s="18">
        <v>1</v>
      </c>
      <c r="P5190" s="18" t="s">
        <v>1107</v>
      </c>
      <c r="Q5190" s="18">
        <v>0</v>
      </c>
      <c r="U5190" s="22">
        <v>0.72</v>
      </c>
      <c r="V5190" s="22">
        <f>3.3/5</f>
        <v>0.65999999999999992</v>
      </c>
      <c r="X5190" s="3">
        <v>2</v>
      </c>
      <c r="Z5190" s="23">
        <v>3.5</v>
      </c>
      <c r="AB5190" s="18">
        <f t="shared" si="162"/>
        <v>2009</v>
      </c>
      <c r="AC5190" s="22">
        <f t="shared" si="163"/>
        <v>0.59333333333333327</v>
      </c>
    </row>
    <row r="5191" spans="1:29">
      <c r="A5191" s="8" t="s">
        <v>1027</v>
      </c>
      <c r="B5191" s="17" t="s">
        <v>7741</v>
      </c>
      <c r="C5191" s="13">
        <v>39987</v>
      </c>
      <c r="D5191" s="13" t="s">
        <v>8465</v>
      </c>
      <c r="E5191" s="10" t="s">
        <v>455</v>
      </c>
      <c r="F5191" s="10" t="s">
        <v>1055</v>
      </c>
      <c r="G5191" s="11" t="s">
        <v>1027</v>
      </c>
      <c r="H5191" s="2" t="s">
        <v>1050</v>
      </c>
      <c r="L5191" s="18">
        <v>0</v>
      </c>
      <c r="Q5191" s="18">
        <v>0</v>
      </c>
      <c r="U5191" s="22">
        <v>0.73</v>
      </c>
      <c r="V5191" s="22">
        <f>3.77/5</f>
        <v>0.754</v>
      </c>
      <c r="X5191" s="3">
        <v>3</v>
      </c>
      <c r="Z5191" s="23">
        <v>7</v>
      </c>
      <c r="AB5191" s="18">
        <f t="shared" si="162"/>
        <v>2009</v>
      </c>
      <c r="AC5191" s="22">
        <f t="shared" si="163"/>
        <v>0.69466666666666665</v>
      </c>
    </row>
    <row r="5192" spans="1:29" ht="25.5">
      <c r="A5192" s="8" t="s">
        <v>2282</v>
      </c>
      <c r="B5192" s="17" t="s">
        <v>7748</v>
      </c>
      <c r="C5192" s="13">
        <v>39987</v>
      </c>
      <c r="D5192" s="13" t="s">
        <v>8465</v>
      </c>
      <c r="E5192" s="10" t="s">
        <v>228</v>
      </c>
      <c r="F5192" s="10" t="s">
        <v>228</v>
      </c>
      <c r="G5192" s="11" t="s">
        <v>1171</v>
      </c>
      <c r="H5192" s="2" t="s">
        <v>75</v>
      </c>
      <c r="L5192" s="18">
        <v>0</v>
      </c>
      <c r="Q5192" s="18">
        <v>0</v>
      </c>
      <c r="U5192" s="22">
        <v>0.84</v>
      </c>
      <c r="V5192" s="22">
        <f>4.17/5</f>
        <v>0.83399999999999996</v>
      </c>
      <c r="X5192" s="3">
        <v>4</v>
      </c>
      <c r="Z5192" s="23">
        <v>45</v>
      </c>
      <c r="AB5192" s="18">
        <f t="shared" si="162"/>
        <v>2009</v>
      </c>
      <c r="AC5192" s="22">
        <f t="shared" si="163"/>
        <v>0.82466666666666677</v>
      </c>
    </row>
    <row r="5193" spans="1:29">
      <c r="A5193" s="8" t="s">
        <v>4631</v>
      </c>
      <c r="B5193" s="17" t="s">
        <v>7800</v>
      </c>
      <c r="C5193" s="13">
        <v>39987</v>
      </c>
      <c r="D5193" s="13" t="s">
        <v>8465</v>
      </c>
      <c r="E5193" s="10" t="s">
        <v>1513</v>
      </c>
      <c r="F5193" s="10" t="s">
        <v>3121</v>
      </c>
      <c r="G5193" s="11" t="s">
        <v>4630</v>
      </c>
      <c r="H5193" s="2" t="s">
        <v>171</v>
      </c>
      <c r="L5193" s="18">
        <v>1</v>
      </c>
      <c r="N5193" s="13">
        <v>41632</v>
      </c>
      <c r="P5193" s="18" t="s">
        <v>1107</v>
      </c>
      <c r="Q5193" s="18">
        <v>0</v>
      </c>
      <c r="U5193" s="22">
        <v>0.76</v>
      </c>
      <c r="V5193" s="22">
        <f>3.61/5</f>
        <v>0.72199999999999998</v>
      </c>
      <c r="W5193" s="14" t="s">
        <v>7777</v>
      </c>
      <c r="X5193" s="3">
        <v>3</v>
      </c>
      <c r="Z5193" s="23">
        <v>16</v>
      </c>
      <c r="AB5193" s="18">
        <f t="shared" si="162"/>
        <v>2009</v>
      </c>
      <c r="AC5193" s="22">
        <f t="shared" si="163"/>
        <v>0.69399999999999995</v>
      </c>
    </row>
    <row r="5194" spans="1:29">
      <c r="A5194" s="8" t="s">
        <v>7395</v>
      </c>
      <c r="B5194" s="17" t="s">
        <v>7741</v>
      </c>
      <c r="C5194" s="13">
        <v>39987</v>
      </c>
      <c r="D5194" s="13" t="s">
        <v>8465</v>
      </c>
      <c r="E5194" s="10" t="s">
        <v>1513</v>
      </c>
      <c r="F5194" s="10" t="s">
        <v>1552</v>
      </c>
      <c r="G5194" s="11" t="s">
        <v>4630</v>
      </c>
      <c r="H5194" s="2" t="s">
        <v>171</v>
      </c>
      <c r="L5194" s="18">
        <v>0</v>
      </c>
      <c r="Q5194" s="18">
        <v>0</v>
      </c>
      <c r="U5194" s="22">
        <v>0.7</v>
      </c>
      <c r="V5194" s="22">
        <f>3.48/5</f>
        <v>0.69599999999999995</v>
      </c>
      <c r="X5194" s="3">
        <v>3</v>
      </c>
      <c r="Z5194" s="23">
        <v>7</v>
      </c>
      <c r="AB5194" s="18">
        <f t="shared" si="162"/>
        <v>2009</v>
      </c>
      <c r="AC5194" s="22">
        <f t="shared" si="163"/>
        <v>0.66533333333333333</v>
      </c>
    </row>
    <row r="5195" spans="1:29" ht="25.5">
      <c r="A5195" s="8" t="s">
        <v>11445</v>
      </c>
      <c r="B5195" s="17" t="s">
        <v>7759</v>
      </c>
      <c r="C5195" s="13">
        <v>39987</v>
      </c>
      <c r="D5195" s="13" t="s">
        <v>8465</v>
      </c>
      <c r="E5195" s="10" t="s">
        <v>68</v>
      </c>
      <c r="F5195" s="10" t="s">
        <v>1471</v>
      </c>
      <c r="G5195" s="11" t="s">
        <v>7935</v>
      </c>
      <c r="H5195" s="2" t="s">
        <v>1059</v>
      </c>
      <c r="L5195" s="18">
        <v>0</v>
      </c>
      <c r="Q5195" s="18">
        <v>0</v>
      </c>
      <c r="U5195" s="22">
        <v>0.62</v>
      </c>
      <c r="V5195" s="22">
        <f>3.8/5</f>
        <v>0.76</v>
      </c>
      <c r="X5195" s="3">
        <v>2</v>
      </c>
      <c r="Y5195" s="18">
        <v>1</v>
      </c>
      <c r="Z5195" s="23">
        <v>12</v>
      </c>
      <c r="AB5195" s="18">
        <f t="shared" si="162"/>
        <v>2009</v>
      </c>
      <c r="AC5195" s="22">
        <f t="shared" si="163"/>
        <v>0.59333333333333327</v>
      </c>
    </row>
    <row r="5196" spans="1:29" ht="30">
      <c r="A5196" s="8" t="s">
        <v>9811</v>
      </c>
      <c r="B5196" s="17" t="s">
        <v>7762</v>
      </c>
      <c r="C5196" s="13">
        <v>39986</v>
      </c>
      <c r="D5196" s="13" t="s">
        <v>8465</v>
      </c>
      <c r="E5196" s="10" t="s">
        <v>73</v>
      </c>
      <c r="F5196" s="10" t="s">
        <v>73</v>
      </c>
      <c r="G5196" s="11" t="s">
        <v>1141</v>
      </c>
      <c r="H5196" s="2" t="s">
        <v>171</v>
      </c>
      <c r="L5196" s="18">
        <v>0</v>
      </c>
      <c r="Q5196" s="18">
        <v>0</v>
      </c>
      <c r="U5196" s="22">
        <v>0.81</v>
      </c>
      <c r="V5196" s="22">
        <f>4.43/5</f>
        <v>0.8859999999999999</v>
      </c>
      <c r="X5196" s="3">
        <v>3</v>
      </c>
      <c r="Z5196" s="23">
        <v>115</v>
      </c>
      <c r="AB5196" s="18">
        <f t="shared" si="162"/>
        <v>2009</v>
      </c>
      <c r="AC5196" s="22">
        <f t="shared" si="163"/>
        <v>0.76533333333333331</v>
      </c>
    </row>
    <row r="5197" spans="1:29" ht="25.5">
      <c r="A5197" s="8" t="s">
        <v>5408</v>
      </c>
      <c r="B5197" s="17" t="s">
        <v>7800</v>
      </c>
      <c r="C5197" s="13">
        <v>39986</v>
      </c>
      <c r="D5197" s="13" t="s">
        <v>8465</v>
      </c>
      <c r="E5197" s="10" t="s">
        <v>3291</v>
      </c>
      <c r="F5197" s="10" t="s">
        <v>3291</v>
      </c>
      <c r="G5197" s="11" t="s">
        <v>3290</v>
      </c>
      <c r="H5197" s="2" t="s">
        <v>67</v>
      </c>
      <c r="L5197" s="18">
        <v>1</v>
      </c>
      <c r="N5197" s="13">
        <v>40860</v>
      </c>
      <c r="P5197" s="18" t="s">
        <v>1107</v>
      </c>
      <c r="Q5197" s="18">
        <v>0</v>
      </c>
      <c r="U5197" s="22">
        <v>0.82</v>
      </c>
      <c r="V5197" s="22">
        <f>3.5/5</f>
        <v>0.7</v>
      </c>
      <c r="W5197" s="14" t="s">
        <v>7777</v>
      </c>
      <c r="X5197" s="3">
        <v>3</v>
      </c>
      <c r="Z5197" s="23">
        <v>5</v>
      </c>
      <c r="AB5197" s="18">
        <f t="shared" si="162"/>
        <v>2009</v>
      </c>
      <c r="AC5197" s="22">
        <f t="shared" si="163"/>
        <v>0.70666666666666667</v>
      </c>
    </row>
    <row r="5198" spans="1:29">
      <c r="A5198" s="8" t="s">
        <v>11294</v>
      </c>
      <c r="B5198" s="17" t="s">
        <v>8754</v>
      </c>
      <c r="C5198" s="13">
        <v>39986</v>
      </c>
      <c r="D5198" s="13" t="s">
        <v>8465</v>
      </c>
      <c r="E5198" s="10" t="s">
        <v>86</v>
      </c>
      <c r="F5198" s="10" t="s">
        <v>1493</v>
      </c>
      <c r="G5198" s="11" t="s">
        <v>11257</v>
      </c>
      <c r="H5198" s="2" t="s">
        <v>78</v>
      </c>
      <c r="L5198" s="18">
        <v>1</v>
      </c>
      <c r="N5198" s="13">
        <v>44666</v>
      </c>
      <c r="O5198" s="29">
        <v>4.99</v>
      </c>
      <c r="P5198" s="18" t="s">
        <v>1107</v>
      </c>
      <c r="Q5198" s="18">
        <v>0</v>
      </c>
      <c r="U5198" s="22">
        <v>0.8</v>
      </c>
      <c r="V5198" s="22">
        <f>3.78/5</f>
        <v>0.75600000000000001</v>
      </c>
      <c r="X5198" s="3">
        <v>2</v>
      </c>
      <c r="AB5198" s="18">
        <f t="shared" si="162"/>
        <v>2009</v>
      </c>
      <c r="AC5198" s="22">
        <f t="shared" si="163"/>
        <v>0.65200000000000002</v>
      </c>
    </row>
    <row r="5199" spans="1:29" ht="25.5">
      <c r="A5199" s="8" t="s">
        <v>3982</v>
      </c>
      <c r="B5199" s="17" t="s">
        <v>7800</v>
      </c>
      <c r="C5199" s="13">
        <v>39980</v>
      </c>
      <c r="D5199" s="13" t="s">
        <v>8465</v>
      </c>
      <c r="E5199" s="10" t="s">
        <v>311</v>
      </c>
      <c r="F5199" s="10" t="s">
        <v>1536</v>
      </c>
      <c r="G5199" s="11" t="s">
        <v>2565</v>
      </c>
      <c r="H5199" s="2" t="s">
        <v>80</v>
      </c>
      <c r="L5199" s="18">
        <v>1</v>
      </c>
      <c r="N5199" s="13">
        <v>41999</v>
      </c>
      <c r="O5199" s="29">
        <v>1.99</v>
      </c>
      <c r="P5199" s="18" t="s">
        <v>1107</v>
      </c>
      <c r="Q5199" s="18">
        <v>0</v>
      </c>
      <c r="U5199" s="22">
        <v>0.74</v>
      </c>
      <c r="V5199" s="22">
        <f>3.79/5</f>
        <v>0.75800000000000001</v>
      </c>
      <c r="W5199" s="14" t="s">
        <v>7777</v>
      </c>
      <c r="X5199" s="3">
        <v>3</v>
      </c>
      <c r="Z5199" s="23">
        <v>8</v>
      </c>
      <c r="AB5199" s="18">
        <f t="shared" si="162"/>
        <v>2009</v>
      </c>
      <c r="AC5199" s="22">
        <f t="shared" si="163"/>
        <v>0.69933333333333325</v>
      </c>
    </row>
    <row r="5200" spans="1:29">
      <c r="A5200" s="8" t="s">
        <v>2147</v>
      </c>
      <c r="B5200" s="17" t="s">
        <v>7748</v>
      </c>
      <c r="C5200" s="13">
        <v>39980</v>
      </c>
      <c r="D5200" s="13" t="s">
        <v>8465</v>
      </c>
      <c r="E5200" s="10" t="s">
        <v>1534</v>
      </c>
      <c r="F5200" s="10" t="s">
        <v>1521</v>
      </c>
      <c r="H5200" s="2" t="s">
        <v>67</v>
      </c>
      <c r="L5200" s="18">
        <v>0</v>
      </c>
      <c r="Q5200" s="18">
        <v>0</v>
      </c>
      <c r="U5200" s="22">
        <v>0.54</v>
      </c>
      <c r="V5200" s="22">
        <f>3.55/5</f>
        <v>0.71</v>
      </c>
      <c r="X5200" s="3">
        <v>3</v>
      </c>
      <c r="Z5200" s="23">
        <v>9.5</v>
      </c>
      <c r="AB5200" s="18">
        <f t="shared" si="162"/>
        <v>2009</v>
      </c>
      <c r="AC5200" s="22">
        <f t="shared" si="163"/>
        <v>0.6166666666666667</v>
      </c>
    </row>
    <row r="5201" spans="1:29" ht="25.5">
      <c r="A5201" s="8" t="s">
        <v>14901</v>
      </c>
      <c r="B5201" s="17" t="s">
        <v>7741</v>
      </c>
      <c r="C5201" s="13">
        <v>39980</v>
      </c>
      <c r="D5201" s="13" t="s">
        <v>8465</v>
      </c>
      <c r="E5201" s="10" t="s">
        <v>1551</v>
      </c>
      <c r="F5201" s="10" t="s">
        <v>1192</v>
      </c>
      <c r="G5201" s="11" t="s">
        <v>14900</v>
      </c>
      <c r="H5201" s="2" t="s">
        <v>1170</v>
      </c>
      <c r="L5201" s="18">
        <v>0</v>
      </c>
      <c r="Q5201" s="18">
        <v>0</v>
      </c>
      <c r="U5201" s="22">
        <v>0.31</v>
      </c>
      <c r="V5201" s="22">
        <f>3.49/5</f>
        <v>0.69800000000000006</v>
      </c>
      <c r="X5201" s="3">
        <v>3</v>
      </c>
      <c r="Z5201" s="23">
        <f>1+(38/60)+(38/60)</f>
        <v>2.2666666666666666</v>
      </c>
      <c r="AB5201" s="18">
        <f t="shared" si="162"/>
        <v>2009</v>
      </c>
      <c r="AC5201" s="22">
        <f t="shared" si="163"/>
        <v>0.53600000000000003</v>
      </c>
    </row>
    <row r="5202" spans="1:29" ht="25.5">
      <c r="A5202" s="8" t="s">
        <v>13174</v>
      </c>
      <c r="B5202" s="17" t="s">
        <v>7742</v>
      </c>
      <c r="C5202" s="13">
        <v>39979</v>
      </c>
      <c r="D5202" s="13" t="s">
        <v>8465</v>
      </c>
      <c r="E5202" s="10" t="s">
        <v>13175</v>
      </c>
      <c r="F5202" s="10" t="s">
        <v>13175</v>
      </c>
      <c r="H5202" s="2" t="s">
        <v>56</v>
      </c>
      <c r="L5202" s="18">
        <v>0</v>
      </c>
      <c r="Q5202" s="18">
        <v>0</v>
      </c>
      <c r="U5202" s="22">
        <v>0.61</v>
      </c>
      <c r="V5202" s="22">
        <f>3.5/5</f>
        <v>0.7</v>
      </c>
      <c r="X5202" s="3">
        <v>2</v>
      </c>
      <c r="Z5202" s="23">
        <v>1</v>
      </c>
      <c r="AB5202" s="18">
        <f t="shared" si="162"/>
        <v>2009</v>
      </c>
      <c r="AC5202" s="22">
        <f t="shared" si="163"/>
        <v>0.56999999999999995</v>
      </c>
    </row>
    <row r="5203" spans="1:29" ht="25.5">
      <c r="A5203" s="8" t="s">
        <v>14025</v>
      </c>
      <c r="B5203" s="17" t="s">
        <v>7800</v>
      </c>
      <c r="C5203" s="13">
        <v>39979</v>
      </c>
      <c r="D5203" s="13" t="s">
        <v>8463</v>
      </c>
      <c r="E5203" s="10" t="s">
        <v>8972</v>
      </c>
      <c r="F5203" s="10" t="s">
        <v>8972</v>
      </c>
      <c r="G5203" s="11" t="s">
        <v>14026</v>
      </c>
      <c r="H5203" s="2" t="s">
        <v>1377</v>
      </c>
      <c r="K5203" s="18">
        <v>2</v>
      </c>
      <c r="L5203" s="18">
        <v>0</v>
      </c>
      <c r="Q5203" s="18">
        <v>0</v>
      </c>
      <c r="V5203" s="22">
        <f>2.8/5</f>
        <v>0.55999999999999994</v>
      </c>
      <c r="X5203" s="3">
        <v>2</v>
      </c>
      <c r="AB5203" s="18">
        <f t="shared" si="162"/>
        <v>2009</v>
      </c>
      <c r="AC5203" s="22">
        <f t="shared" si="163"/>
        <v>0.48</v>
      </c>
    </row>
    <row r="5204" spans="1:29">
      <c r="A5204" s="8" t="s">
        <v>12797</v>
      </c>
      <c r="B5204" s="17" t="s">
        <v>7748</v>
      </c>
      <c r="C5204" s="13">
        <v>39975</v>
      </c>
      <c r="D5204" s="13" t="s">
        <v>8465</v>
      </c>
      <c r="E5204" s="10" t="s">
        <v>66</v>
      </c>
      <c r="F5204" s="10" t="s">
        <v>7413</v>
      </c>
      <c r="H5204" s="2" t="s">
        <v>67</v>
      </c>
      <c r="L5204" s="18">
        <v>0</v>
      </c>
      <c r="Q5204" s="18">
        <v>0</v>
      </c>
      <c r="V5204" s="22">
        <f>3.3/5</f>
        <v>0.65999999999999992</v>
      </c>
      <c r="X5204" s="3">
        <v>2</v>
      </c>
      <c r="Z5204" s="23">
        <v>7</v>
      </c>
      <c r="AB5204" s="18">
        <f t="shared" si="162"/>
        <v>2009</v>
      </c>
      <c r="AC5204" s="22">
        <f t="shared" si="163"/>
        <v>0.53</v>
      </c>
    </row>
    <row r="5205" spans="1:29">
      <c r="A5205" s="8" t="s">
        <v>3354</v>
      </c>
      <c r="B5205" s="17" t="s">
        <v>7800</v>
      </c>
      <c r="C5205" s="13">
        <v>39974</v>
      </c>
      <c r="D5205" s="13" t="s">
        <v>8465</v>
      </c>
      <c r="E5205" s="10" t="s">
        <v>3355</v>
      </c>
      <c r="F5205" s="10" t="s">
        <v>3355</v>
      </c>
      <c r="H5205" s="2" t="s">
        <v>27</v>
      </c>
      <c r="L5205" s="18">
        <v>1</v>
      </c>
      <c r="N5205" s="13">
        <v>43404</v>
      </c>
      <c r="O5205" s="29">
        <v>0.99</v>
      </c>
      <c r="P5205" s="18" t="s">
        <v>1107</v>
      </c>
      <c r="Q5205" s="18">
        <v>0</v>
      </c>
      <c r="U5205" s="22">
        <v>0.72</v>
      </c>
      <c r="V5205" s="22">
        <f>3.32/5</f>
        <v>0.66399999999999992</v>
      </c>
      <c r="W5205" s="14" t="s">
        <v>7777</v>
      </c>
      <c r="X5205" s="3">
        <v>2</v>
      </c>
      <c r="Z5205" s="23">
        <v>1.5</v>
      </c>
      <c r="AB5205" s="18">
        <f t="shared" si="162"/>
        <v>2009</v>
      </c>
      <c r="AC5205" s="22">
        <f t="shared" si="163"/>
        <v>0.59466666666666657</v>
      </c>
    </row>
    <row r="5206" spans="1:29" ht="30">
      <c r="A5206" s="8" t="s">
        <v>8802</v>
      </c>
      <c r="B5206" s="17" t="s">
        <v>7762</v>
      </c>
      <c r="C5206" s="13">
        <v>39973</v>
      </c>
      <c r="D5206" s="13" t="s">
        <v>8465</v>
      </c>
      <c r="E5206" s="10" t="s">
        <v>228</v>
      </c>
      <c r="F5206" s="10" t="s">
        <v>8803</v>
      </c>
      <c r="G5206" s="11" t="s">
        <v>8802</v>
      </c>
      <c r="H5206" s="2" t="s">
        <v>1377</v>
      </c>
      <c r="L5206" s="18">
        <v>0</v>
      </c>
      <c r="Q5206" s="18">
        <v>0</v>
      </c>
      <c r="U5206" s="22">
        <v>0.61</v>
      </c>
      <c r="V5206" s="22">
        <f>3.6/5</f>
        <v>0.72</v>
      </c>
      <c r="X5206" s="3">
        <v>3</v>
      </c>
      <c r="Z5206" s="23">
        <v>40</v>
      </c>
      <c r="AB5206" s="18">
        <f t="shared" si="162"/>
        <v>2009</v>
      </c>
      <c r="AC5206" s="22">
        <f t="shared" si="163"/>
        <v>0.64333333333333342</v>
      </c>
    </row>
    <row r="5207" spans="1:29" ht="45">
      <c r="A5207" s="8" t="s">
        <v>15011</v>
      </c>
      <c r="B5207" s="17" t="s">
        <v>7748</v>
      </c>
      <c r="C5207" s="13">
        <v>39973</v>
      </c>
      <c r="D5207" s="13" t="s">
        <v>8465</v>
      </c>
      <c r="E5207" s="10" t="s">
        <v>1156</v>
      </c>
      <c r="F5207" s="10" t="s">
        <v>9379</v>
      </c>
      <c r="G5207" s="11" t="s">
        <v>4305</v>
      </c>
      <c r="H5207" s="2" t="s">
        <v>1143</v>
      </c>
      <c r="L5207" s="18">
        <v>0</v>
      </c>
      <c r="Q5207" s="18">
        <v>0</v>
      </c>
      <c r="U5207" s="22">
        <v>0.65</v>
      </c>
      <c r="V5207" s="22">
        <f>3.65/5</f>
        <v>0.73</v>
      </c>
      <c r="X5207" s="3">
        <v>2</v>
      </c>
      <c r="Z5207" s="23">
        <v>13.5</v>
      </c>
      <c r="AB5207" s="18">
        <f t="shared" si="162"/>
        <v>2009</v>
      </c>
      <c r="AC5207" s="22">
        <f t="shared" si="163"/>
        <v>0.59333333333333327</v>
      </c>
    </row>
    <row r="5208" spans="1:29" ht="25.5">
      <c r="A5208" s="8" t="s">
        <v>9208</v>
      </c>
      <c r="B5208" s="17" t="s">
        <v>7748</v>
      </c>
      <c r="C5208" s="13">
        <v>39973</v>
      </c>
      <c r="D5208" s="13" t="s">
        <v>8465</v>
      </c>
      <c r="E5208" s="10" t="s">
        <v>1965</v>
      </c>
      <c r="F5208" s="10" t="s">
        <v>9209</v>
      </c>
      <c r="H5208" s="2" t="s">
        <v>149</v>
      </c>
      <c r="L5208" s="18">
        <v>0</v>
      </c>
      <c r="Q5208" s="18">
        <v>0</v>
      </c>
      <c r="U5208" s="22">
        <v>0.57999999999999996</v>
      </c>
      <c r="V5208" s="22">
        <f>3.68/5</f>
        <v>0.73599999999999999</v>
      </c>
      <c r="X5208" s="3">
        <v>2</v>
      </c>
      <c r="Z5208" s="23">
        <v>20</v>
      </c>
      <c r="AB5208" s="18">
        <f t="shared" si="162"/>
        <v>2009</v>
      </c>
      <c r="AC5208" s="22">
        <f t="shared" si="163"/>
        <v>0.57199999999999995</v>
      </c>
    </row>
    <row r="5209" spans="1:29">
      <c r="A5209" s="8" t="s">
        <v>13316</v>
      </c>
      <c r="B5209" s="17" t="s">
        <v>7748</v>
      </c>
      <c r="C5209" s="13">
        <v>39973</v>
      </c>
      <c r="D5209" s="13" t="s">
        <v>8465</v>
      </c>
      <c r="E5209" s="10" t="s">
        <v>1080</v>
      </c>
      <c r="F5209" s="10" t="s">
        <v>62</v>
      </c>
      <c r="H5209" s="2" t="s">
        <v>67</v>
      </c>
      <c r="L5209" s="18">
        <v>0</v>
      </c>
      <c r="Q5209" s="18">
        <v>0</v>
      </c>
      <c r="U5209" s="22">
        <v>0.56000000000000005</v>
      </c>
      <c r="V5209" s="22">
        <f>3.58/5</f>
        <v>0.71599999999999997</v>
      </c>
      <c r="X5209" s="3">
        <v>2</v>
      </c>
      <c r="Z5209" s="23">
        <v>5.5</v>
      </c>
      <c r="AB5209" s="18">
        <f t="shared" si="162"/>
        <v>2009</v>
      </c>
      <c r="AC5209" s="22">
        <f t="shared" si="163"/>
        <v>0.55866666666666676</v>
      </c>
    </row>
    <row r="5210" spans="1:29" ht="38.25">
      <c r="A5210" s="8" t="s">
        <v>11276</v>
      </c>
      <c r="B5210" s="17" t="s">
        <v>8754</v>
      </c>
      <c r="C5210" s="13">
        <v>39972</v>
      </c>
      <c r="D5210" s="13" t="s">
        <v>8465</v>
      </c>
      <c r="E5210" s="10" t="s">
        <v>86</v>
      </c>
      <c r="F5210" s="10" t="s">
        <v>1506</v>
      </c>
      <c r="G5210" s="11" t="s">
        <v>1964</v>
      </c>
      <c r="H5210" s="2" t="s">
        <v>78</v>
      </c>
      <c r="L5210" s="18">
        <v>1</v>
      </c>
      <c r="N5210" s="13">
        <v>44619</v>
      </c>
      <c r="O5210" s="29">
        <v>7.99</v>
      </c>
      <c r="P5210" s="18" t="s">
        <v>1107</v>
      </c>
      <c r="Q5210" s="18">
        <v>0</v>
      </c>
      <c r="U5210" s="22">
        <v>0.82</v>
      </c>
      <c r="V5210" s="22">
        <f>3.69/5</f>
        <v>0.73799999999999999</v>
      </c>
      <c r="X5210" s="3">
        <v>3</v>
      </c>
      <c r="Z5210" s="23">
        <v>3</v>
      </c>
      <c r="AB5210" s="18">
        <f t="shared" si="162"/>
        <v>2009</v>
      </c>
      <c r="AC5210" s="22">
        <f t="shared" si="163"/>
        <v>0.71933333333333327</v>
      </c>
    </row>
    <row r="5211" spans="1:29">
      <c r="A5211" s="8" t="s">
        <v>2222</v>
      </c>
      <c r="B5211" s="17" t="s">
        <v>7748</v>
      </c>
      <c r="C5211" s="13">
        <v>39972</v>
      </c>
      <c r="D5211" s="13" t="s">
        <v>8465</v>
      </c>
      <c r="E5211" s="10" t="s">
        <v>86</v>
      </c>
      <c r="F5211" s="10" t="s">
        <v>58</v>
      </c>
      <c r="G5211" s="11" t="s">
        <v>1950</v>
      </c>
      <c r="H5211" s="2" t="s">
        <v>64</v>
      </c>
      <c r="L5211" s="18">
        <v>0</v>
      </c>
      <c r="Q5211" s="18">
        <v>0</v>
      </c>
      <c r="U5211" s="22">
        <v>0.78</v>
      </c>
      <c r="V5211" s="22">
        <f>3.82/5</f>
        <v>0.76400000000000001</v>
      </c>
      <c r="X5211" s="3">
        <v>3</v>
      </c>
      <c r="Z5211" s="23">
        <v>8.5</v>
      </c>
      <c r="AB5211" s="18">
        <f t="shared" si="162"/>
        <v>2009</v>
      </c>
      <c r="AC5211" s="22">
        <f t="shared" si="163"/>
        <v>0.71466666666666667</v>
      </c>
    </row>
    <row r="5212" spans="1:29" ht="30">
      <c r="A5212" s="8" t="s">
        <v>10111</v>
      </c>
      <c r="B5212" s="17" t="s">
        <v>7759</v>
      </c>
      <c r="C5212" s="13">
        <v>39968</v>
      </c>
      <c r="D5212" s="13" t="s">
        <v>8465</v>
      </c>
      <c r="E5212" s="10" t="s">
        <v>2908</v>
      </c>
      <c r="F5212" s="10" t="s">
        <v>5862</v>
      </c>
      <c r="H5212" s="2" t="s">
        <v>78</v>
      </c>
      <c r="L5212" s="18">
        <v>1</v>
      </c>
      <c r="N5212" s="13">
        <v>44302</v>
      </c>
      <c r="O5212" s="29">
        <v>4.99</v>
      </c>
      <c r="P5212" s="18" t="s">
        <v>1107</v>
      </c>
      <c r="Q5212" s="18">
        <v>0</v>
      </c>
      <c r="U5212" s="22">
        <v>0.72</v>
      </c>
      <c r="V5212" s="22">
        <f>3.22/5</f>
        <v>0.64400000000000002</v>
      </c>
      <c r="X5212" s="3">
        <v>3</v>
      </c>
      <c r="AB5212" s="18">
        <f t="shared" si="162"/>
        <v>2009</v>
      </c>
      <c r="AC5212" s="22">
        <f t="shared" si="163"/>
        <v>0.65466666666666662</v>
      </c>
    </row>
    <row r="5213" spans="1:29" ht="25.5">
      <c r="A5213" s="8" t="s">
        <v>2249</v>
      </c>
      <c r="B5213" s="17" t="s">
        <v>7748</v>
      </c>
      <c r="C5213" s="13">
        <v>39967</v>
      </c>
      <c r="D5213" s="13" t="s">
        <v>8465</v>
      </c>
      <c r="E5213" s="10" t="s">
        <v>228</v>
      </c>
      <c r="F5213" s="10" t="s">
        <v>1416</v>
      </c>
      <c r="G5213" s="11" t="s">
        <v>1987</v>
      </c>
      <c r="H5213" s="2" t="s">
        <v>75</v>
      </c>
      <c r="L5213" s="18">
        <v>0</v>
      </c>
      <c r="Q5213" s="18">
        <v>0</v>
      </c>
      <c r="U5213" s="22">
        <v>0.8</v>
      </c>
      <c r="V5213" s="22">
        <f>3.86/5</f>
        <v>0.77200000000000002</v>
      </c>
      <c r="X5213" s="3">
        <v>4</v>
      </c>
      <c r="Z5213" s="23">
        <v>24.5</v>
      </c>
      <c r="AB5213" s="18">
        <f t="shared" si="162"/>
        <v>2009</v>
      </c>
      <c r="AC5213" s="22">
        <f t="shared" si="163"/>
        <v>0.79066666666666663</v>
      </c>
    </row>
    <row r="5214" spans="1:29">
      <c r="A5214" s="8" t="s">
        <v>111</v>
      </c>
      <c r="B5214" s="17" t="s">
        <v>14399</v>
      </c>
      <c r="C5214" s="13">
        <v>39962</v>
      </c>
      <c r="D5214" s="13" t="s">
        <v>14400</v>
      </c>
      <c r="E5214" s="10" t="s">
        <v>14399</v>
      </c>
      <c r="F5214" s="10" t="s">
        <v>14399</v>
      </c>
      <c r="G5214" s="11" t="s">
        <v>111</v>
      </c>
      <c r="H5214" s="2" t="s">
        <v>153</v>
      </c>
      <c r="K5214" s="18">
        <v>0</v>
      </c>
      <c r="L5214" s="18">
        <v>0</v>
      </c>
      <c r="Q5214" s="18">
        <v>0</v>
      </c>
      <c r="V5214" s="22">
        <f>3.04/5</f>
        <v>0.60799999999999998</v>
      </c>
      <c r="X5214" s="3">
        <v>2</v>
      </c>
      <c r="Z5214" s="23">
        <v>1</v>
      </c>
      <c r="AB5214" s="18">
        <f t="shared" si="162"/>
        <v>2009</v>
      </c>
      <c r="AC5214" s="22">
        <f t="shared" si="163"/>
        <v>0.504</v>
      </c>
    </row>
    <row r="5215" spans="1:29" ht="25.5">
      <c r="A5215" s="8" t="s">
        <v>11672</v>
      </c>
      <c r="B5215" s="17" t="s">
        <v>7748</v>
      </c>
      <c r="C5215" s="13">
        <v>39961</v>
      </c>
      <c r="D5215" s="13" t="s">
        <v>8463</v>
      </c>
      <c r="E5215" s="10" t="s">
        <v>455</v>
      </c>
      <c r="F5215" s="10" t="s">
        <v>455</v>
      </c>
      <c r="G5215" s="11" t="s">
        <v>11673</v>
      </c>
      <c r="H5215" s="2" t="s">
        <v>1057</v>
      </c>
      <c r="K5215" s="18">
        <v>1</v>
      </c>
      <c r="L5215" s="18">
        <v>0</v>
      </c>
      <c r="Q5215" s="18">
        <v>0</v>
      </c>
      <c r="V5215" s="22">
        <f>3.38/5</f>
        <v>0.67599999999999993</v>
      </c>
      <c r="X5215" s="3">
        <v>2</v>
      </c>
      <c r="AB5215" s="18">
        <f t="shared" si="162"/>
        <v>2009</v>
      </c>
      <c r="AC5215" s="22">
        <f t="shared" si="163"/>
        <v>0.53800000000000003</v>
      </c>
    </row>
    <row r="5216" spans="1:29">
      <c r="A5216" s="8" t="s">
        <v>5831</v>
      </c>
      <c r="B5216" s="17" t="s">
        <v>7758</v>
      </c>
      <c r="C5216" s="13">
        <v>39959</v>
      </c>
      <c r="D5216" s="13" t="s">
        <v>8465</v>
      </c>
      <c r="E5216" s="10" t="s">
        <v>1290</v>
      </c>
      <c r="F5216" s="10" t="s">
        <v>5885</v>
      </c>
      <c r="G5216" s="11" t="s">
        <v>5853</v>
      </c>
      <c r="H5216" s="2" t="s">
        <v>1040</v>
      </c>
      <c r="L5216" s="18">
        <v>0</v>
      </c>
      <c r="Q5216" s="18">
        <v>0</v>
      </c>
      <c r="U5216" s="22">
        <v>0.61</v>
      </c>
      <c r="V5216" s="22">
        <f>3.59/5</f>
        <v>0.71799999999999997</v>
      </c>
      <c r="X5216" s="3">
        <v>4</v>
      </c>
      <c r="Z5216" s="23">
        <v>8</v>
      </c>
      <c r="AB5216" s="18">
        <f t="shared" si="162"/>
        <v>2009</v>
      </c>
      <c r="AC5216" s="22">
        <f t="shared" si="163"/>
        <v>0.70933333333333337</v>
      </c>
    </row>
    <row r="5217" spans="1:29" ht="38.25">
      <c r="A5217" s="8" t="s">
        <v>2184</v>
      </c>
      <c r="B5217" s="17" t="s">
        <v>7748</v>
      </c>
      <c r="C5217" s="13">
        <v>39959</v>
      </c>
      <c r="D5217" s="13" t="s">
        <v>8465</v>
      </c>
      <c r="E5217" s="10" t="s">
        <v>1519</v>
      </c>
      <c r="F5217" s="10" t="s">
        <v>2290</v>
      </c>
      <c r="G5217" s="11" t="s">
        <v>2291</v>
      </c>
      <c r="H5217" s="2" t="s">
        <v>67</v>
      </c>
      <c r="L5217" s="18">
        <v>0</v>
      </c>
      <c r="Q5217" s="18">
        <v>0</v>
      </c>
      <c r="U5217" s="22">
        <v>0.68</v>
      </c>
      <c r="V5217" s="22">
        <f>3.49/5</f>
        <v>0.69800000000000006</v>
      </c>
      <c r="X5217" s="3">
        <v>3</v>
      </c>
      <c r="Z5217" s="23">
        <v>10.5</v>
      </c>
      <c r="AB5217" s="18">
        <f t="shared" si="162"/>
        <v>2009</v>
      </c>
      <c r="AC5217" s="22">
        <f t="shared" si="163"/>
        <v>0.65933333333333344</v>
      </c>
    </row>
    <row r="5218" spans="1:29">
      <c r="A5218" s="8" t="s">
        <v>10215</v>
      </c>
      <c r="B5218" s="17" t="s">
        <v>7759</v>
      </c>
      <c r="C5218" s="13">
        <v>39959</v>
      </c>
      <c r="D5218" s="13" t="s">
        <v>8465</v>
      </c>
      <c r="E5218" s="10" t="s">
        <v>1062</v>
      </c>
      <c r="F5218" s="10" t="s">
        <v>3113</v>
      </c>
      <c r="H5218" s="2" t="s">
        <v>75</v>
      </c>
      <c r="L5218" s="18">
        <v>0</v>
      </c>
      <c r="Q5218" s="18">
        <v>0</v>
      </c>
      <c r="U5218" s="22">
        <v>0.52</v>
      </c>
      <c r="V5218" s="22">
        <f>3.6/5</f>
        <v>0.72</v>
      </c>
      <c r="X5218" s="3">
        <v>3</v>
      </c>
      <c r="Y5218" s="18">
        <v>1</v>
      </c>
      <c r="Z5218" s="23">
        <v>65.5</v>
      </c>
      <c r="AB5218" s="18">
        <f t="shared" si="162"/>
        <v>2009</v>
      </c>
      <c r="AC5218" s="22">
        <f t="shared" si="163"/>
        <v>0.61333333333333329</v>
      </c>
    </row>
    <row r="5219" spans="1:29">
      <c r="A5219" s="8" t="s">
        <v>14227</v>
      </c>
      <c r="B5219" s="17" t="s">
        <v>7800</v>
      </c>
      <c r="C5219" s="13">
        <v>39959</v>
      </c>
      <c r="D5219" s="13" t="s">
        <v>8465</v>
      </c>
      <c r="E5219" s="10" t="s">
        <v>14228</v>
      </c>
      <c r="F5219" s="10" t="s">
        <v>14228</v>
      </c>
      <c r="H5219" s="2" t="s">
        <v>78</v>
      </c>
      <c r="L5219" s="18">
        <v>1</v>
      </c>
      <c r="O5219" s="29">
        <v>0</v>
      </c>
      <c r="P5219" s="18" t="s">
        <v>1107</v>
      </c>
      <c r="Q5219" s="18">
        <v>0</v>
      </c>
      <c r="V5219" s="22">
        <f>3.38/5</f>
        <v>0.67599999999999993</v>
      </c>
      <c r="W5219" s="14" t="s">
        <v>8765</v>
      </c>
      <c r="X5219" s="3">
        <v>2</v>
      </c>
      <c r="Z5219" s="23">
        <f>35/60</f>
        <v>0.58333333333333337</v>
      </c>
      <c r="AB5219" s="18">
        <f t="shared" si="162"/>
        <v>2009</v>
      </c>
      <c r="AC5219" s="22">
        <f t="shared" si="163"/>
        <v>0.53800000000000003</v>
      </c>
    </row>
    <row r="5220" spans="1:29" ht="30">
      <c r="A5220" s="8" t="s">
        <v>3541</v>
      </c>
      <c r="B5220" s="17" t="s">
        <v>7800</v>
      </c>
      <c r="C5220" s="13">
        <v>39959</v>
      </c>
      <c r="D5220" s="13" t="s">
        <v>8465</v>
      </c>
      <c r="E5220" s="10" t="s">
        <v>1513</v>
      </c>
      <c r="F5220" s="10" t="s">
        <v>3542</v>
      </c>
      <c r="H5220" s="2" t="s">
        <v>1168</v>
      </c>
      <c r="L5220" s="18">
        <v>1</v>
      </c>
      <c r="N5220" s="13">
        <v>41632</v>
      </c>
      <c r="P5220" s="18" t="s">
        <v>1107</v>
      </c>
      <c r="Q5220" s="18">
        <v>0</v>
      </c>
      <c r="U5220" s="22">
        <v>0.42</v>
      </c>
      <c r="V5220" s="22">
        <f>2.07/5</f>
        <v>0.41399999999999998</v>
      </c>
      <c r="W5220" s="14" t="s">
        <v>7777</v>
      </c>
      <c r="X5220" s="3">
        <v>2</v>
      </c>
      <c r="Z5220" s="23">
        <v>8</v>
      </c>
      <c r="AB5220" s="18">
        <f t="shared" si="162"/>
        <v>2009</v>
      </c>
      <c r="AC5220" s="22">
        <f t="shared" si="163"/>
        <v>0.41133333333333333</v>
      </c>
    </row>
    <row r="5221" spans="1:29" ht="25.5">
      <c r="A5221" s="8" t="s">
        <v>7493</v>
      </c>
      <c r="B5221" s="17" t="s">
        <v>7742</v>
      </c>
      <c r="C5221" s="13">
        <v>39958</v>
      </c>
      <c r="D5221" s="13" t="s">
        <v>8465</v>
      </c>
      <c r="E5221" s="10" t="s">
        <v>62</v>
      </c>
      <c r="F5221" s="10" t="s">
        <v>62</v>
      </c>
      <c r="G5221" s="11" t="s">
        <v>41</v>
      </c>
      <c r="H5221" s="2" t="s">
        <v>64</v>
      </c>
      <c r="L5221" s="18">
        <v>0</v>
      </c>
      <c r="Q5221" s="18">
        <v>0</v>
      </c>
      <c r="U5221" s="22">
        <v>0.65</v>
      </c>
      <c r="V5221" s="22">
        <f>3.51/5</f>
        <v>0.70199999999999996</v>
      </c>
      <c r="X5221" s="3">
        <v>3</v>
      </c>
      <c r="Z5221" s="23">
        <v>2</v>
      </c>
      <c r="AB5221" s="18">
        <f t="shared" si="162"/>
        <v>2009</v>
      </c>
      <c r="AC5221" s="22">
        <f t="shared" si="163"/>
        <v>0.65066666666666662</v>
      </c>
    </row>
    <row r="5222" spans="1:29">
      <c r="A5222" s="8" t="s">
        <v>9578</v>
      </c>
      <c r="B5222" s="17" t="s">
        <v>7741</v>
      </c>
      <c r="C5222" s="13">
        <v>39954</v>
      </c>
      <c r="D5222" s="13" t="s">
        <v>8463</v>
      </c>
      <c r="E5222" s="10" t="s">
        <v>86</v>
      </c>
      <c r="F5222" s="10" t="s">
        <v>8140</v>
      </c>
      <c r="G5222" s="11" t="s">
        <v>2194</v>
      </c>
      <c r="H5222" s="2" t="s">
        <v>1143</v>
      </c>
      <c r="K5222" s="18">
        <v>2</v>
      </c>
      <c r="L5222" s="18">
        <v>0</v>
      </c>
      <c r="Q5222" s="18">
        <v>0</v>
      </c>
      <c r="V5222" s="22">
        <f>4.22/5</f>
        <v>0.84399999999999997</v>
      </c>
      <c r="X5222" s="3">
        <v>3</v>
      </c>
      <c r="Z5222" s="23">
        <v>16.5</v>
      </c>
      <c r="AB5222" s="18">
        <f t="shared" si="162"/>
        <v>2009</v>
      </c>
      <c r="AC5222" s="22">
        <f t="shared" si="163"/>
        <v>0.72199999999999998</v>
      </c>
    </row>
    <row r="5223" spans="1:29" ht="25.5">
      <c r="A5223" s="8" t="s">
        <v>9575</v>
      </c>
      <c r="B5223" s="17" t="s">
        <v>7748</v>
      </c>
      <c r="C5223" s="13">
        <v>39954</v>
      </c>
      <c r="D5223" s="13" t="s">
        <v>8463</v>
      </c>
      <c r="E5223" s="10" t="s">
        <v>3113</v>
      </c>
      <c r="F5223" s="10" t="s">
        <v>9576</v>
      </c>
      <c r="H5223" s="2" t="s">
        <v>151</v>
      </c>
      <c r="K5223" s="18">
        <v>2</v>
      </c>
      <c r="L5223" s="18">
        <v>0</v>
      </c>
      <c r="Q5223" s="18">
        <v>0</v>
      </c>
      <c r="V5223" s="22">
        <f>3.42/5</f>
        <v>0.68399999999999994</v>
      </c>
      <c r="X5223" s="3">
        <v>3</v>
      </c>
      <c r="AB5223" s="18">
        <f t="shared" si="162"/>
        <v>2009</v>
      </c>
      <c r="AC5223" s="22">
        <f t="shared" si="163"/>
        <v>0.6419999999999999</v>
      </c>
    </row>
    <row r="5224" spans="1:29">
      <c r="A5224" s="8" t="s">
        <v>4513</v>
      </c>
      <c r="B5224" s="17" t="s">
        <v>7800</v>
      </c>
      <c r="C5224" s="13">
        <v>39953</v>
      </c>
      <c r="D5224" s="13" t="s">
        <v>8465</v>
      </c>
      <c r="E5224" s="10" t="s">
        <v>4514</v>
      </c>
      <c r="F5224" s="10" t="s">
        <v>4515</v>
      </c>
      <c r="G5224" s="11" t="s">
        <v>4513</v>
      </c>
      <c r="H5224" s="2" t="s">
        <v>1050</v>
      </c>
      <c r="L5224" s="18">
        <v>1</v>
      </c>
      <c r="N5224" s="13">
        <v>41453</v>
      </c>
      <c r="P5224" s="18" t="s">
        <v>1107</v>
      </c>
      <c r="Q5224" s="18">
        <v>0</v>
      </c>
      <c r="U5224" s="22">
        <v>0.66</v>
      </c>
      <c r="V5224" s="22">
        <f>3.02/5</f>
        <v>0.60399999999999998</v>
      </c>
      <c r="W5224" s="14" t="s">
        <v>7777</v>
      </c>
      <c r="X5224" s="3">
        <v>3</v>
      </c>
      <c r="Z5224" s="23">
        <v>9.5</v>
      </c>
      <c r="AB5224" s="18">
        <f t="shared" si="162"/>
        <v>2009</v>
      </c>
      <c r="AC5224" s="22">
        <f t="shared" si="163"/>
        <v>0.62133333333333329</v>
      </c>
    </row>
    <row r="5225" spans="1:29">
      <c r="A5225" s="8" t="s">
        <v>1036</v>
      </c>
      <c r="B5225" s="17" t="s">
        <v>7741</v>
      </c>
      <c r="C5225" s="13">
        <v>39952</v>
      </c>
      <c r="D5225" s="13" t="s">
        <v>8465</v>
      </c>
      <c r="E5225" s="10" t="s">
        <v>231</v>
      </c>
      <c r="F5225" s="10" t="s">
        <v>1039</v>
      </c>
      <c r="G5225" s="11" t="s">
        <v>1035</v>
      </c>
      <c r="H5225" s="2" t="s">
        <v>78</v>
      </c>
      <c r="L5225" s="18">
        <v>1</v>
      </c>
      <c r="M5225" s="14" t="s">
        <v>8462</v>
      </c>
      <c r="N5225" s="13">
        <v>43647</v>
      </c>
      <c r="O5225" s="29">
        <v>5.99</v>
      </c>
      <c r="P5225" s="18" t="s">
        <v>14</v>
      </c>
      <c r="Q5225" s="18">
        <v>0</v>
      </c>
      <c r="U5225" s="22">
        <v>0.87</v>
      </c>
      <c r="V5225" s="22">
        <f>3.87/5</f>
        <v>0.77400000000000002</v>
      </c>
      <c r="X5225" s="3">
        <v>2</v>
      </c>
      <c r="Z5225" s="23">
        <v>9</v>
      </c>
      <c r="AB5225" s="18">
        <f t="shared" si="162"/>
        <v>2009</v>
      </c>
      <c r="AC5225" s="22">
        <f t="shared" si="163"/>
        <v>0.68133333333333335</v>
      </c>
    </row>
    <row r="5226" spans="1:29">
      <c r="A5226" s="8" t="s">
        <v>13318</v>
      </c>
      <c r="B5226" s="17" t="s">
        <v>7748</v>
      </c>
      <c r="C5226" s="13">
        <v>39952</v>
      </c>
      <c r="D5226" s="13" t="s">
        <v>8465</v>
      </c>
      <c r="E5226" s="10" t="s">
        <v>228</v>
      </c>
      <c r="F5226" s="10" t="s">
        <v>1387</v>
      </c>
      <c r="H5226" s="2" t="s">
        <v>27</v>
      </c>
      <c r="L5226" s="18">
        <v>0</v>
      </c>
      <c r="Q5226" s="18">
        <v>0</v>
      </c>
      <c r="U5226" s="22">
        <v>0.6</v>
      </c>
      <c r="V5226" s="22">
        <f>3.26/5</f>
        <v>0.65199999999999991</v>
      </c>
      <c r="X5226" s="3">
        <v>2</v>
      </c>
      <c r="AB5226" s="18">
        <f t="shared" si="162"/>
        <v>2009</v>
      </c>
      <c r="AC5226" s="22">
        <f t="shared" si="163"/>
        <v>0.55066666666666653</v>
      </c>
    </row>
    <row r="5227" spans="1:29">
      <c r="A5227" s="8" t="s">
        <v>15288</v>
      </c>
      <c r="B5227" s="17" t="s">
        <v>7759</v>
      </c>
      <c r="C5227" s="13">
        <v>39952</v>
      </c>
      <c r="D5227" s="13" t="s">
        <v>8465</v>
      </c>
      <c r="E5227" s="10" t="s">
        <v>15289</v>
      </c>
      <c r="F5227" s="10" t="s">
        <v>3307</v>
      </c>
      <c r="G5227" s="11" t="s">
        <v>10608</v>
      </c>
      <c r="H5227" s="2" t="s">
        <v>1168</v>
      </c>
      <c r="L5227" s="18">
        <v>0</v>
      </c>
      <c r="Q5227" s="18">
        <v>0</v>
      </c>
      <c r="U5227" s="22">
        <v>0.43</v>
      </c>
      <c r="V5227" s="22">
        <f>2.46/5</f>
        <v>0.49199999999999999</v>
      </c>
      <c r="X5227" s="3">
        <v>2</v>
      </c>
      <c r="Y5227" s="18">
        <v>1</v>
      </c>
      <c r="Z5227" s="23">
        <v>4</v>
      </c>
      <c r="AB5227" s="18">
        <f t="shared" si="162"/>
        <v>2009</v>
      </c>
      <c r="AC5227" s="22">
        <f t="shared" si="163"/>
        <v>0.44066666666666671</v>
      </c>
    </row>
    <row r="5228" spans="1:29">
      <c r="A5228" s="8" t="s">
        <v>214</v>
      </c>
      <c r="B5228" s="17" t="s">
        <v>7741</v>
      </c>
      <c r="C5228" s="13">
        <v>39951</v>
      </c>
      <c r="D5228" s="13" t="s">
        <v>8465</v>
      </c>
      <c r="E5228" s="10" t="s">
        <v>86</v>
      </c>
      <c r="F5228" s="10" t="s">
        <v>1535</v>
      </c>
      <c r="G5228" s="11" t="s">
        <v>1339</v>
      </c>
      <c r="H5228" s="2" t="s">
        <v>255</v>
      </c>
      <c r="L5228" s="18">
        <v>0</v>
      </c>
      <c r="Q5228" s="18">
        <v>0</v>
      </c>
      <c r="U5228" s="22">
        <v>0.87</v>
      </c>
      <c r="V5228" s="22">
        <f>4.19/5</f>
        <v>0.83800000000000008</v>
      </c>
      <c r="X5228" s="3">
        <v>4</v>
      </c>
      <c r="Z5228" s="23">
        <v>5</v>
      </c>
      <c r="AB5228" s="18">
        <f t="shared" si="162"/>
        <v>2009</v>
      </c>
      <c r="AC5228" s="22">
        <f t="shared" si="163"/>
        <v>0.83599999999999997</v>
      </c>
    </row>
    <row r="5229" spans="1:29">
      <c r="A5229" s="8" t="s">
        <v>11246</v>
      </c>
      <c r="B5229" s="17" t="s">
        <v>8754</v>
      </c>
      <c r="C5229" s="13">
        <v>39951</v>
      </c>
      <c r="D5229" s="13" t="s">
        <v>8465</v>
      </c>
      <c r="E5229" s="10" t="s">
        <v>86</v>
      </c>
      <c r="F5229" s="10" t="s">
        <v>1493</v>
      </c>
      <c r="G5229" s="11" t="s">
        <v>11257</v>
      </c>
      <c r="H5229" s="2" t="s">
        <v>78</v>
      </c>
      <c r="L5229" s="18">
        <v>1</v>
      </c>
      <c r="N5229" s="13">
        <v>44626</v>
      </c>
      <c r="O5229" s="29">
        <v>4.99</v>
      </c>
      <c r="P5229" s="18" t="s">
        <v>1107</v>
      </c>
      <c r="Q5229" s="18">
        <v>0</v>
      </c>
      <c r="U5229" s="22">
        <v>0.83</v>
      </c>
      <c r="V5229" s="22">
        <f>3.98/5</f>
        <v>0.79600000000000004</v>
      </c>
      <c r="X5229" s="3">
        <v>2</v>
      </c>
      <c r="Z5229" s="23">
        <v>2</v>
      </c>
      <c r="AB5229" s="18">
        <f t="shared" si="162"/>
        <v>2009</v>
      </c>
      <c r="AC5229" s="22">
        <f t="shared" si="163"/>
        <v>0.67533333333333323</v>
      </c>
    </row>
    <row r="5230" spans="1:29" ht="25.5">
      <c r="A5230" s="8" t="s">
        <v>3145</v>
      </c>
      <c r="B5230" s="17" t="s">
        <v>7800</v>
      </c>
      <c r="C5230" s="13">
        <v>39947</v>
      </c>
      <c r="D5230" s="13" t="s">
        <v>8465</v>
      </c>
      <c r="E5230" s="10" t="s">
        <v>3143</v>
      </c>
      <c r="F5230" s="10" t="s">
        <v>3143</v>
      </c>
      <c r="G5230" s="11" t="s">
        <v>3142</v>
      </c>
      <c r="H5230" s="2" t="s">
        <v>2138</v>
      </c>
      <c r="L5230" s="18">
        <v>1</v>
      </c>
      <c r="N5230" s="13">
        <v>41443</v>
      </c>
      <c r="P5230" s="18" t="s">
        <v>1107</v>
      </c>
      <c r="Q5230" s="18">
        <v>0</v>
      </c>
      <c r="U5230" s="22">
        <v>0.75</v>
      </c>
      <c r="V5230" s="22">
        <f>3.65/5</f>
        <v>0.73</v>
      </c>
      <c r="W5230" s="14" t="s">
        <v>7777</v>
      </c>
      <c r="X5230" s="3">
        <v>2</v>
      </c>
      <c r="Z5230" s="23">
        <v>5</v>
      </c>
      <c r="AB5230" s="18">
        <f t="shared" si="162"/>
        <v>2009</v>
      </c>
      <c r="AC5230" s="22">
        <f t="shared" si="163"/>
        <v>0.62666666666666659</v>
      </c>
    </row>
    <row r="5231" spans="1:29" ht="51">
      <c r="A5231" s="8" t="s">
        <v>5833</v>
      </c>
      <c r="B5231" s="17" t="s">
        <v>7758</v>
      </c>
      <c r="C5231" s="13">
        <v>39945</v>
      </c>
      <c r="D5231" s="13" t="s">
        <v>8465</v>
      </c>
      <c r="E5231" s="10" t="s">
        <v>228</v>
      </c>
      <c r="F5231" s="10" t="s">
        <v>228</v>
      </c>
      <c r="G5231" s="11" t="s">
        <v>1171</v>
      </c>
      <c r="H5231" s="2" t="s">
        <v>171</v>
      </c>
      <c r="L5231" s="18">
        <v>0</v>
      </c>
      <c r="Q5231" s="18">
        <v>0</v>
      </c>
      <c r="U5231" s="22">
        <v>0.8</v>
      </c>
      <c r="V5231" s="22">
        <f>4.07/5</f>
        <v>0.81400000000000006</v>
      </c>
      <c r="X5231" s="3">
        <v>4</v>
      </c>
      <c r="Z5231" s="23">
        <v>37</v>
      </c>
      <c r="AB5231" s="18">
        <f t="shared" si="162"/>
        <v>2009</v>
      </c>
      <c r="AC5231" s="22">
        <f t="shared" si="163"/>
        <v>0.80466666666666675</v>
      </c>
    </row>
    <row r="5232" spans="1:29" ht="25.5">
      <c r="A5232" s="8" t="s">
        <v>11848</v>
      </c>
      <c r="B5232" s="17" t="s">
        <v>7748</v>
      </c>
      <c r="C5232" s="13">
        <v>39944</v>
      </c>
      <c r="D5232" s="13" t="s">
        <v>8465</v>
      </c>
      <c r="E5232" s="10" t="s">
        <v>72</v>
      </c>
      <c r="F5232" s="10" t="s">
        <v>72</v>
      </c>
      <c r="G5232" s="11" t="s">
        <v>11849</v>
      </c>
      <c r="H5232" s="2" t="s">
        <v>1334</v>
      </c>
      <c r="L5232" s="18">
        <v>0</v>
      </c>
      <c r="Q5232" s="18">
        <v>0</v>
      </c>
      <c r="U5232" s="22">
        <v>0.69</v>
      </c>
      <c r="V5232" s="22">
        <f>3.89/5</f>
        <v>0.77800000000000002</v>
      </c>
      <c r="X5232" s="3">
        <v>3</v>
      </c>
      <c r="AB5232" s="18">
        <f t="shared" si="162"/>
        <v>2009</v>
      </c>
      <c r="AC5232" s="22">
        <f t="shared" si="163"/>
        <v>0.68933333333333335</v>
      </c>
    </row>
    <row r="5233" spans="1:29">
      <c r="A5233" s="8" t="s">
        <v>1003</v>
      </c>
      <c r="B5233" s="17" t="s">
        <v>7741</v>
      </c>
      <c r="C5233" s="13">
        <v>39938</v>
      </c>
      <c r="D5233" s="13" t="s">
        <v>8465</v>
      </c>
      <c r="E5233" s="10" t="s">
        <v>1541</v>
      </c>
      <c r="F5233" s="10" t="s">
        <v>1545</v>
      </c>
      <c r="G5233" s="11" t="s">
        <v>1003</v>
      </c>
      <c r="H5233" s="2" t="s">
        <v>64</v>
      </c>
      <c r="L5233" s="18">
        <v>0</v>
      </c>
      <c r="Q5233" s="18">
        <v>0</v>
      </c>
      <c r="U5233" s="22">
        <v>0.81</v>
      </c>
      <c r="V5233" s="22">
        <f>4.03/5</f>
        <v>0.80600000000000005</v>
      </c>
      <c r="X5233" s="3">
        <v>4</v>
      </c>
      <c r="Z5233" s="23">
        <v>5</v>
      </c>
      <c r="AB5233" s="18">
        <f t="shared" si="162"/>
        <v>2009</v>
      </c>
      <c r="AC5233" s="22">
        <f t="shared" si="163"/>
        <v>0.80533333333333346</v>
      </c>
    </row>
    <row r="5234" spans="1:29" ht="30">
      <c r="A5234" s="8" t="s">
        <v>6221</v>
      </c>
      <c r="B5234" s="17" t="s">
        <v>7762</v>
      </c>
      <c r="C5234" s="13">
        <v>39938</v>
      </c>
      <c r="D5234" s="13" t="s">
        <v>8465</v>
      </c>
      <c r="E5234" s="10" t="s">
        <v>1290</v>
      </c>
      <c r="F5234" s="10" t="s">
        <v>6261</v>
      </c>
      <c r="G5234" s="11" t="s">
        <v>6248</v>
      </c>
      <c r="H5234" s="2" t="s">
        <v>1220</v>
      </c>
      <c r="L5234" s="18">
        <v>0</v>
      </c>
      <c r="Q5234" s="18">
        <v>0</v>
      </c>
      <c r="U5234" s="22">
        <v>0.86</v>
      </c>
      <c r="V5234" s="22">
        <f>4.24/5</f>
        <v>0.84800000000000009</v>
      </c>
      <c r="X5234" s="3">
        <v>3</v>
      </c>
      <c r="Z5234" s="23">
        <v>21.5</v>
      </c>
      <c r="AB5234" s="18">
        <f t="shared" si="162"/>
        <v>2009</v>
      </c>
      <c r="AC5234" s="22">
        <f t="shared" si="163"/>
        <v>0.76933333333333342</v>
      </c>
    </row>
    <row r="5235" spans="1:29" ht="25.5">
      <c r="A5235" s="8" t="s">
        <v>992</v>
      </c>
      <c r="B5235" s="17" t="s">
        <v>7741</v>
      </c>
      <c r="C5235" s="13">
        <v>39937</v>
      </c>
      <c r="D5235" s="13" t="s">
        <v>8465</v>
      </c>
      <c r="E5235" s="10" t="s">
        <v>86</v>
      </c>
      <c r="F5235" s="10" t="s">
        <v>87</v>
      </c>
      <c r="G5235" s="11" t="s">
        <v>1254</v>
      </c>
      <c r="H5235" s="2" t="s">
        <v>1220</v>
      </c>
      <c r="L5235" s="18">
        <v>0</v>
      </c>
      <c r="Q5235" s="18">
        <v>0</v>
      </c>
      <c r="U5235" s="22">
        <v>0.81</v>
      </c>
      <c r="V5235" s="22">
        <f>3.81/5</f>
        <v>0.76200000000000001</v>
      </c>
      <c r="X5235" s="3">
        <v>4</v>
      </c>
      <c r="Z5235" s="23">
        <v>5</v>
      </c>
      <c r="AB5235" s="18">
        <f t="shared" si="162"/>
        <v>2009</v>
      </c>
      <c r="AC5235" s="22">
        <f t="shared" si="163"/>
        <v>0.79066666666666663</v>
      </c>
    </row>
    <row r="5236" spans="1:29" ht="25.5">
      <c r="A5236" s="8" t="s">
        <v>6051</v>
      </c>
      <c r="B5236" s="17" t="s">
        <v>7759</v>
      </c>
      <c r="C5236" s="13">
        <v>39934</v>
      </c>
      <c r="D5236" s="13" t="s">
        <v>8465</v>
      </c>
      <c r="E5236" s="10" t="s">
        <v>1273</v>
      </c>
      <c r="F5236" s="10" t="s">
        <v>5017</v>
      </c>
      <c r="G5236" s="11" t="s">
        <v>440</v>
      </c>
      <c r="H5236" s="2" t="s">
        <v>1059</v>
      </c>
      <c r="L5236" s="18">
        <v>1</v>
      </c>
      <c r="M5236" s="14" t="s">
        <v>8462</v>
      </c>
      <c r="N5236" s="13">
        <v>43594</v>
      </c>
      <c r="O5236" s="29">
        <v>15</v>
      </c>
      <c r="P5236" s="18" t="s">
        <v>14</v>
      </c>
      <c r="Q5236" s="18">
        <v>0</v>
      </c>
      <c r="U5236" s="22">
        <v>0.75</v>
      </c>
      <c r="V5236" s="22">
        <f>3.82/5</f>
        <v>0.76400000000000001</v>
      </c>
      <c r="X5236" s="3">
        <v>3</v>
      </c>
      <c r="Z5236" s="23">
        <v>9</v>
      </c>
      <c r="AB5236" s="18">
        <f t="shared" si="162"/>
        <v>2009</v>
      </c>
      <c r="AC5236" s="22">
        <f t="shared" si="163"/>
        <v>0.70466666666666666</v>
      </c>
    </row>
    <row r="5237" spans="1:29">
      <c r="A5237" s="8" t="s">
        <v>3242</v>
      </c>
      <c r="B5237" s="17" t="s">
        <v>7800</v>
      </c>
      <c r="C5237" s="13">
        <v>39934</v>
      </c>
      <c r="D5237" s="13" t="s">
        <v>8465</v>
      </c>
      <c r="E5237" s="10" t="s">
        <v>3243</v>
      </c>
      <c r="F5237" s="10" t="s">
        <v>3243</v>
      </c>
      <c r="H5237" s="2" t="s">
        <v>151</v>
      </c>
      <c r="L5237" s="18">
        <v>1</v>
      </c>
      <c r="N5237" s="13">
        <v>41623</v>
      </c>
      <c r="P5237" s="18" t="s">
        <v>1107</v>
      </c>
      <c r="Q5237" s="18">
        <v>0</v>
      </c>
      <c r="V5237" s="22">
        <f>3.2/5</f>
        <v>0.64</v>
      </c>
      <c r="W5237" s="14" t="s">
        <v>7777</v>
      </c>
      <c r="X5237" s="3">
        <v>3</v>
      </c>
      <c r="Z5237" s="23">
        <v>10.5</v>
      </c>
      <c r="AB5237" s="18">
        <f t="shared" si="162"/>
        <v>2009</v>
      </c>
      <c r="AC5237" s="22">
        <f t="shared" si="163"/>
        <v>0.62</v>
      </c>
    </row>
    <row r="5238" spans="1:29" ht="25.5">
      <c r="A5238" s="8" t="s">
        <v>13167</v>
      </c>
      <c r="B5238" s="17" t="s">
        <v>7741</v>
      </c>
      <c r="C5238" s="13">
        <v>39934</v>
      </c>
      <c r="D5238" s="13" t="s">
        <v>8467</v>
      </c>
      <c r="E5238" s="10" t="s">
        <v>9983</v>
      </c>
      <c r="F5238" s="10" t="s">
        <v>6037</v>
      </c>
      <c r="G5238" s="11" t="s">
        <v>13168</v>
      </c>
      <c r="H5238" s="2" t="s">
        <v>67</v>
      </c>
      <c r="L5238" s="18">
        <v>0</v>
      </c>
      <c r="Q5238" s="18">
        <v>0</v>
      </c>
      <c r="V5238" s="22">
        <f>3.82/5</f>
        <v>0.76400000000000001</v>
      </c>
      <c r="X5238" s="3">
        <v>2</v>
      </c>
      <c r="Z5238" s="23">
        <v>5</v>
      </c>
      <c r="AB5238" s="18">
        <f t="shared" si="162"/>
        <v>2009</v>
      </c>
      <c r="AC5238" s="22">
        <f t="shared" si="163"/>
        <v>0.58200000000000007</v>
      </c>
    </row>
    <row r="5239" spans="1:29">
      <c r="A5239" s="8" t="s">
        <v>5505</v>
      </c>
      <c r="B5239" s="17" t="s">
        <v>7800</v>
      </c>
      <c r="C5239" s="13">
        <v>39933</v>
      </c>
      <c r="D5239" s="13" t="s">
        <v>8465</v>
      </c>
      <c r="E5239" s="10" t="s">
        <v>5506</v>
      </c>
      <c r="F5239" s="10" t="s">
        <v>5507</v>
      </c>
      <c r="H5239" s="2" t="s">
        <v>245</v>
      </c>
      <c r="L5239" s="18">
        <v>1</v>
      </c>
      <c r="N5239" s="13">
        <v>41225</v>
      </c>
      <c r="P5239" s="18" t="s">
        <v>1107</v>
      </c>
      <c r="Q5239" s="18">
        <v>0</v>
      </c>
      <c r="U5239" s="22">
        <v>0.61</v>
      </c>
      <c r="V5239" s="22">
        <f>2.99/5</f>
        <v>0.59800000000000009</v>
      </c>
      <c r="W5239" s="14" t="s">
        <v>7777</v>
      </c>
      <c r="X5239" s="3">
        <v>3</v>
      </c>
      <c r="Z5239" s="23">
        <v>10</v>
      </c>
      <c r="AB5239" s="18">
        <f t="shared" si="162"/>
        <v>2009</v>
      </c>
      <c r="AC5239" s="22">
        <f t="shared" si="163"/>
        <v>0.60266666666666679</v>
      </c>
    </row>
    <row r="5240" spans="1:29">
      <c r="A5240" s="8" t="s">
        <v>869</v>
      </c>
      <c r="B5240" s="17" t="s">
        <v>7765</v>
      </c>
      <c r="C5240" s="13">
        <v>39932</v>
      </c>
      <c r="D5240" s="13" t="s">
        <v>8465</v>
      </c>
      <c r="E5240" s="10" t="s">
        <v>3740</v>
      </c>
      <c r="F5240" s="10" t="s">
        <v>163</v>
      </c>
      <c r="G5240" s="11" t="s">
        <v>852</v>
      </c>
      <c r="H5240" s="2" t="s">
        <v>1040</v>
      </c>
      <c r="L5240" s="18">
        <v>1</v>
      </c>
      <c r="P5240" s="18" t="s">
        <v>1107</v>
      </c>
      <c r="Q5240" s="18">
        <v>0</v>
      </c>
      <c r="U5240" s="22">
        <v>0.77</v>
      </c>
      <c r="V5240" s="22">
        <f>4.29/5</f>
        <v>0.85799999999999998</v>
      </c>
      <c r="X5240" s="3">
        <v>4</v>
      </c>
      <c r="Z5240" s="23">
        <v>16</v>
      </c>
      <c r="AB5240" s="18">
        <f t="shared" si="162"/>
        <v>2009</v>
      </c>
      <c r="AC5240" s="22">
        <f t="shared" si="163"/>
        <v>0.80933333333333335</v>
      </c>
    </row>
    <row r="5241" spans="1:29" ht="25.5">
      <c r="A5241" s="8" t="s">
        <v>6959</v>
      </c>
      <c r="B5241" s="17" t="s">
        <v>7800</v>
      </c>
      <c r="C5241" s="13">
        <v>39932</v>
      </c>
      <c r="D5241" s="13" t="s">
        <v>8465</v>
      </c>
      <c r="E5241" s="10" t="s">
        <v>311</v>
      </c>
      <c r="F5241" s="10" t="s">
        <v>6960</v>
      </c>
      <c r="G5241" s="11" t="s">
        <v>4533</v>
      </c>
      <c r="H5241" s="2" t="s">
        <v>1720</v>
      </c>
      <c r="L5241" s="18">
        <v>1</v>
      </c>
      <c r="N5241" s="13">
        <v>41803</v>
      </c>
      <c r="O5241" s="29">
        <v>0</v>
      </c>
      <c r="P5241" s="18" t="s">
        <v>1107</v>
      </c>
      <c r="Q5241" s="18">
        <v>0</v>
      </c>
      <c r="U5241" s="22">
        <v>0.68</v>
      </c>
      <c r="V5241" s="22">
        <f>3.55/5</f>
        <v>0.71</v>
      </c>
      <c r="W5241" s="14" t="s">
        <v>7778</v>
      </c>
      <c r="X5241" s="3">
        <v>4</v>
      </c>
      <c r="Z5241" s="23">
        <v>11</v>
      </c>
      <c r="AB5241" s="18">
        <f t="shared" si="162"/>
        <v>2009</v>
      </c>
      <c r="AC5241" s="22">
        <f t="shared" si="163"/>
        <v>0.73000000000000009</v>
      </c>
    </row>
    <row r="5242" spans="1:29" ht="38.25">
      <c r="A5242" s="8" t="s">
        <v>2219</v>
      </c>
      <c r="B5242" s="17" t="s">
        <v>7748</v>
      </c>
      <c r="C5242" s="13">
        <v>39931</v>
      </c>
      <c r="D5242" s="13" t="s">
        <v>8465</v>
      </c>
      <c r="E5242" s="10" t="s">
        <v>228</v>
      </c>
      <c r="F5242" s="10" t="s">
        <v>470</v>
      </c>
      <c r="G5242" s="11" t="s">
        <v>299</v>
      </c>
      <c r="H5242" s="2" t="s">
        <v>75</v>
      </c>
      <c r="L5242" s="18">
        <v>0</v>
      </c>
      <c r="Q5242" s="18">
        <v>0</v>
      </c>
      <c r="U5242" s="22">
        <v>0.74</v>
      </c>
      <c r="V5242" s="22">
        <f>4.09/5</f>
        <v>0.81799999999999995</v>
      </c>
      <c r="X5242" s="3">
        <v>3</v>
      </c>
      <c r="Z5242" s="23">
        <v>33.5</v>
      </c>
      <c r="AB5242" s="18">
        <f t="shared" si="162"/>
        <v>2009</v>
      </c>
      <c r="AC5242" s="22">
        <f t="shared" si="163"/>
        <v>0.71933333333333327</v>
      </c>
    </row>
    <row r="5243" spans="1:29" ht="30">
      <c r="A5243" s="9" t="s">
        <v>7946</v>
      </c>
      <c r="B5243" s="17" t="s">
        <v>7762</v>
      </c>
      <c r="C5243" s="13">
        <v>39931</v>
      </c>
      <c r="D5243" s="13" t="s">
        <v>8465</v>
      </c>
      <c r="E5243" s="10" t="s">
        <v>68</v>
      </c>
      <c r="F5243" s="10" t="s">
        <v>1471</v>
      </c>
      <c r="G5243" s="11" t="s">
        <v>7935</v>
      </c>
      <c r="H5243" s="2" t="s">
        <v>1059</v>
      </c>
      <c r="L5243" s="18">
        <v>0</v>
      </c>
      <c r="Q5243" s="18">
        <v>0</v>
      </c>
      <c r="U5243" s="22">
        <v>0.68089999999999995</v>
      </c>
      <c r="V5243" s="22">
        <f>3.97/5</f>
        <v>0.79400000000000004</v>
      </c>
      <c r="X5243" s="3">
        <v>2</v>
      </c>
      <c r="Z5243" s="23">
        <v>9.5</v>
      </c>
      <c r="AB5243" s="18">
        <f t="shared" si="162"/>
        <v>2009</v>
      </c>
      <c r="AC5243" s="22">
        <f t="shared" si="163"/>
        <v>0.62496666666666656</v>
      </c>
    </row>
    <row r="5244" spans="1:29">
      <c r="A5244" s="8" t="s">
        <v>13291</v>
      </c>
      <c r="B5244" s="17" t="s">
        <v>7748</v>
      </c>
      <c r="C5244" s="13">
        <v>39931</v>
      </c>
      <c r="D5244" s="13" t="s">
        <v>8465</v>
      </c>
      <c r="E5244" s="10" t="s">
        <v>1163</v>
      </c>
      <c r="F5244" s="10" t="s">
        <v>13292</v>
      </c>
      <c r="H5244" s="2" t="s">
        <v>1143</v>
      </c>
      <c r="L5244" s="18">
        <v>0</v>
      </c>
      <c r="Q5244" s="18">
        <v>0</v>
      </c>
      <c r="U5244" s="22">
        <v>0.61</v>
      </c>
      <c r="V5244" s="22">
        <f>3.78/5</f>
        <v>0.75600000000000001</v>
      </c>
      <c r="X5244" s="3">
        <v>2</v>
      </c>
      <c r="AB5244" s="18">
        <f t="shared" si="162"/>
        <v>2009</v>
      </c>
      <c r="AC5244" s="22">
        <f t="shared" si="163"/>
        <v>0.58866666666666667</v>
      </c>
    </row>
    <row r="5245" spans="1:29" ht="38.25">
      <c r="A5245" s="8" t="s">
        <v>6205</v>
      </c>
      <c r="B5245" s="17" t="s">
        <v>7762</v>
      </c>
      <c r="C5245" s="13">
        <v>39926</v>
      </c>
      <c r="D5245" s="13" t="s">
        <v>8463</v>
      </c>
      <c r="E5245" s="10" t="s">
        <v>144</v>
      </c>
      <c r="F5245" s="10" t="s">
        <v>144</v>
      </c>
      <c r="G5245" s="11" t="s">
        <v>5803</v>
      </c>
      <c r="H5245" s="2" t="s">
        <v>80</v>
      </c>
      <c r="K5245" s="18">
        <v>2</v>
      </c>
      <c r="L5245" s="18">
        <v>0</v>
      </c>
      <c r="Q5245" s="18">
        <v>0</v>
      </c>
      <c r="V5245" s="22">
        <f>4.06/5</f>
        <v>0.81199999999999994</v>
      </c>
      <c r="X5245" s="3">
        <v>2</v>
      </c>
      <c r="Z5245" s="23">
        <v>7</v>
      </c>
      <c r="AB5245" s="18">
        <f t="shared" si="162"/>
        <v>2009</v>
      </c>
      <c r="AC5245" s="22">
        <f t="shared" si="163"/>
        <v>0.60599999999999998</v>
      </c>
    </row>
    <row r="5246" spans="1:29" ht="25.5">
      <c r="A5246" s="8" t="s">
        <v>7951</v>
      </c>
      <c r="B5246" s="17" t="s">
        <v>7759</v>
      </c>
      <c r="C5246" s="13">
        <v>39925</v>
      </c>
      <c r="D5246" s="13" t="s">
        <v>8465</v>
      </c>
      <c r="E5246" s="10" t="s">
        <v>3568</v>
      </c>
      <c r="F5246" s="10" t="s">
        <v>1471</v>
      </c>
      <c r="G5246" s="11" t="s">
        <v>7950</v>
      </c>
      <c r="H5246" s="2" t="s">
        <v>1059</v>
      </c>
      <c r="L5246" s="18">
        <v>0</v>
      </c>
      <c r="Q5246" s="18">
        <v>0</v>
      </c>
      <c r="U5246" s="22">
        <v>0.55520000000000003</v>
      </c>
      <c r="V5246" s="22">
        <f>4/5</f>
        <v>0.8</v>
      </c>
      <c r="X5246" s="3">
        <v>2</v>
      </c>
      <c r="Y5246" s="18">
        <v>1</v>
      </c>
      <c r="Z5246" s="23">
        <v>40</v>
      </c>
      <c r="AB5246" s="18">
        <f t="shared" si="162"/>
        <v>2009</v>
      </c>
      <c r="AC5246" s="22">
        <f t="shared" si="163"/>
        <v>0.58506666666666662</v>
      </c>
    </row>
    <row r="5247" spans="1:29">
      <c r="A5247" s="8" t="s">
        <v>5626</v>
      </c>
      <c r="B5247" s="17" t="s">
        <v>7800</v>
      </c>
      <c r="C5247" s="13">
        <v>39924</v>
      </c>
      <c r="D5247" s="13" t="s">
        <v>8465</v>
      </c>
      <c r="E5247" s="10" t="s">
        <v>3094</v>
      </c>
      <c r="F5247" s="10" t="s">
        <v>3094</v>
      </c>
      <c r="G5247" s="11" t="s">
        <v>5626</v>
      </c>
      <c r="H5247" s="2" t="s">
        <v>153</v>
      </c>
      <c r="L5247" s="18">
        <v>1</v>
      </c>
      <c r="N5247" s="13">
        <v>40876</v>
      </c>
      <c r="P5247" s="18" t="s">
        <v>1107</v>
      </c>
      <c r="Q5247" s="18">
        <v>0</v>
      </c>
      <c r="U5247" s="22">
        <v>0.78</v>
      </c>
      <c r="V5247" s="22">
        <f>3.44/5</f>
        <v>0.68799999999999994</v>
      </c>
      <c r="W5247" s="14" t="s">
        <v>7777</v>
      </c>
      <c r="X5247" s="3">
        <v>3</v>
      </c>
      <c r="Z5247" s="23">
        <v>4</v>
      </c>
      <c r="AB5247" s="18">
        <f t="shared" si="162"/>
        <v>2009</v>
      </c>
      <c r="AC5247" s="22">
        <f t="shared" si="163"/>
        <v>0.68933333333333335</v>
      </c>
    </row>
    <row r="5248" spans="1:29" ht="25.5">
      <c r="A5248" s="8" t="s">
        <v>995</v>
      </c>
      <c r="B5248" s="17" t="s">
        <v>7741</v>
      </c>
      <c r="C5248" s="13">
        <v>39923</v>
      </c>
      <c r="D5248" s="13" t="s">
        <v>8465</v>
      </c>
      <c r="E5248" s="10" t="s">
        <v>86</v>
      </c>
      <c r="F5248" s="10" t="s">
        <v>1517</v>
      </c>
      <c r="G5248" s="11" t="s">
        <v>138</v>
      </c>
      <c r="H5248" s="2" t="s">
        <v>150</v>
      </c>
      <c r="L5248" s="18">
        <v>0</v>
      </c>
      <c r="Q5248" s="18">
        <v>0</v>
      </c>
      <c r="U5248" s="22">
        <v>0.8</v>
      </c>
      <c r="V5248" s="22">
        <f>4.03/5</f>
        <v>0.80600000000000005</v>
      </c>
      <c r="X5248" s="3">
        <v>4</v>
      </c>
      <c r="Z5248" s="23">
        <v>2.5</v>
      </c>
      <c r="AB5248" s="18">
        <f t="shared" si="162"/>
        <v>2009</v>
      </c>
      <c r="AC5248" s="22">
        <f t="shared" si="163"/>
        <v>0.80200000000000005</v>
      </c>
    </row>
    <row r="5249" spans="1:29">
      <c r="A5249" s="8" t="s">
        <v>11250</v>
      </c>
      <c r="B5249" s="17" t="s">
        <v>8754</v>
      </c>
      <c r="C5249" s="13">
        <v>39923</v>
      </c>
      <c r="D5249" s="13" t="s">
        <v>8465</v>
      </c>
      <c r="E5249" s="10" t="s">
        <v>86</v>
      </c>
      <c r="F5249" s="10" t="s">
        <v>1046</v>
      </c>
      <c r="G5249" s="11" t="s">
        <v>6568</v>
      </c>
      <c r="H5249" s="2" t="s">
        <v>78</v>
      </c>
      <c r="L5249" s="18">
        <v>1</v>
      </c>
      <c r="N5249" s="13">
        <v>44636</v>
      </c>
      <c r="O5249" s="29">
        <v>4.99</v>
      </c>
      <c r="P5249" s="18" t="s">
        <v>1107</v>
      </c>
      <c r="Q5249" s="18">
        <v>0</v>
      </c>
      <c r="U5249" s="22">
        <v>0.76</v>
      </c>
      <c r="V5249" s="22">
        <f>3.73/5</f>
        <v>0.746</v>
      </c>
      <c r="X5249" s="3">
        <v>2</v>
      </c>
      <c r="Z5249" s="23">
        <v>3</v>
      </c>
      <c r="AB5249" s="18">
        <f t="shared" ref="AB5249:AB5312" si="164">IFERROR(YEAR(C5249), "Early Access")</f>
        <v>2009</v>
      </c>
      <c r="AC5249" s="22">
        <f t="shared" ref="AC5249:AC5312" si="165">AVERAGE(T5249, U5249, V5249, IF(ISBLANK(X5249), X5249, X5249/5))</f>
        <v>0.63533333333333342</v>
      </c>
    </row>
    <row r="5250" spans="1:29">
      <c r="A5250" s="8" t="s">
        <v>13763</v>
      </c>
      <c r="B5250" s="17" t="s">
        <v>7765</v>
      </c>
      <c r="C5250" s="13">
        <v>39918</v>
      </c>
      <c r="D5250" s="13" t="s">
        <v>8465</v>
      </c>
      <c r="E5250" s="10" t="s">
        <v>455</v>
      </c>
      <c r="F5250" s="10" t="s">
        <v>1687</v>
      </c>
      <c r="G5250" s="11" t="s">
        <v>13741</v>
      </c>
      <c r="H5250" s="2" t="s">
        <v>150</v>
      </c>
      <c r="L5250" s="18">
        <v>0</v>
      </c>
      <c r="Q5250" s="18">
        <v>0</v>
      </c>
      <c r="U5250" s="22">
        <v>0.79</v>
      </c>
      <c r="V5250" s="22">
        <f>4.01/5</f>
        <v>0.80199999999999994</v>
      </c>
      <c r="X5250" s="3">
        <v>2</v>
      </c>
      <c r="Z5250" s="23">
        <v>2</v>
      </c>
      <c r="AB5250" s="18">
        <f t="shared" si="164"/>
        <v>2009</v>
      </c>
      <c r="AC5250" s="22">
        <f t="shared" si="165"/>
        <v>0.66400000000000003</v>
      </c>
    </row>
    <row r="5251" spans="1:29" ht="25.5">
      <c r="A5251" s="8" t="s">
        <v>3146</v>
      </c>
      <c r="B5251" s="17" t="s">
        <v>7800</v>
      </c>
      <c r="C5251" s="13">
        <v>39918</v>
      </c>
      <c r="D5251" s="13" t="s">
        <v>8465</v>
      </c>
      <c r="E5251" s="10" t="s">
        <v>3143</v>
      </c>
      <c r="F5251" s="10" t="s">
        <v>3143</v>
      </c>
      <c r="G5251" s="11" t="s">
        <v>3142</v>
      </c>
      <c r="H5251" s="2" t="s">
        <v>2138</v>
      </c>
      <c r="L5251" s="18">
        <v>1</v>
      </c>
      <c r="N5251" s="13">
        <v>41407</v>
      </c>
      <c r="P5251" s="18" t="s">
        <v>1107</v>
      </c>
      <c r="Q5251" s="18">
        <v>0</v>
      </c>
      <c r="U5251" s="22">
        <v>0.7</v>
      </c>
      <c r="V5251" s="22">
        <f>3.37/5</f>
        <v>0.67400000000000004</v>
      </c>
      <c r="W5251" s="14" t="s">
        <v>7777</v>
      </c>
      <c r="X5251" s="3">
        <v>2</v>
      </c>
      <c r="Z5251" s="23">
        <v>2</v>
      </c>
      <c r="AB5251" s="18">
        <f t="shared" si="164"/>
        <v>2009</v>
      </c>
      <c r="AC5251" s="22">
        <f t="shared" si="165"/>
        <v>0.59133333333333338</v>
      </c>
    </row>
    <row r="5252" spans="1:29">
      <c r="A5252" s="8" t="s">
        <v>2154</v>
      </c>
      <c r="B5252" s="17" t="s">
        <v>7748</v>
      </c>
      <c r="C5252" s="13">
        <v>39917</v>
      </c>
      <c r="D5252" s="13" t="s">
        <v>8465</v>
      </c>
      <c r="E5252" s="10" t="s">
        <v>228</v>
      </c>
      <c r="F5252" s="10" t="s">
        <v>463</v>
      </c>
      <c r="H5252" s="2" t="s">
        <v>149</v>
      </c>
      <c r="L5252" s="18">
        <v>0</v>
      </c>
      <c r="Q5252" s="18">
        <v>0</v>
      </c>
      <c r="U5252" s="22">
        <v>0.71</v>
      </c>
      <c r="V5252" s="22">
        <f>3.81/5</f>
        <v>0.76200000000000001</v>
      </c>
      <c r="X5252" s="3">
        <v>3</v>
      </c>
      <c r="Z5252" s="23">
        <v>28</v>
      </c>
      <c r="AB5252" s="18">
        <f t="shared" si="164"/>
        <v>2009</v>
      </c>
      <c r="AC5252" s="22">
        <f t="shared" si="165"/>
        <v>0.69066666666666665</v>
      </c>
    </row>
    <row r="5253" spans="1:29">
      <c r="A5253" s="8" t="s">
        <v>7429</v>
      </c>
      <c r="B5253" s="17" t="s">
        <v>7748</v>
      </c>
      <c r="C5253" s="13">
        <v>39917</v>
      </c>
      <c r="D5253" s="13" t="s">
        <v>8465</v>
      </c>
      <c r="E5253" s="10" t="s">
        <v>228</v>
      </c>
      <c r="F5253" s="10" t="s">
        <v>2322</v>
      </c>
      <c r="G5253" s="11" t="s">
        <v>7405</v>
      </c>
      <c r="H5253" s="2" t="s">
        <v>171</v>
      </c>
      <c r="L5253" s="18">
        <v>0</v>
      </c>
      <c r="Q5253" s="18">
        <v>0</v>
      </c>
      <c r="U5253" s="22">
        <v>0.67</v>
      </c>
      <c r="V5253" s="22">
        <f>3.61/5</f>
        <v>0.72199999999999998</v>
      </c>
      <c r="X5253" s="3">
        <v>3</v>
      </c>
      <c r="Z5253" s="23">
        <v>5</v>
      </c>
      <c r="AB5253" s="18">
        <f t="shared" si="164"/>
        <v>2009</v>
      </c>
      <c r="AC5253" s="22">
        <f t="shared" si="165"/>
        <v>0.66400000000000003</v>
      </c>
    </row>
    <row r="5254" spans="1:29" ht="25.5">
      <c r="A5254" s="8" t="s">
        <v>3483</v>
      </c>
      <c r="B5254" s="17" t="s">
        <v>7800</v>
      </c>
      <c r="C5254" s="13">
        <v>39912</v>
      </c>
      <c r="D5254" s="13" t="s">
        <v>8465</v>
      </c>
      <c r="E5254" s="10" t="s">
        <v>1342</v>
      </c>
      <c r="F5254" s="10" t="s">
        <v>3480</v>
      </c>
      <c r="G5254" s="11" t="s">
        <v>3479</v>
      </c>
      <c r="H5254" s="2" t="s">
        <v>1143</v>
      </c>
      <c r="L5254" s="18">
        <v>1</v>
      </c>
      <c r="N5254" s="13">
        <v>41242</v>
      </c>
      <c r="P5254" s="18" t="s">
        <v>1107</v>
      </c>
      <c r="Q5254" s="18">
        <v>0</v>
      </c>
      <c r="U5254" s="22">
        <v>0.72</v>
      </c>
      <c r="V5254" s="22">
        <f>3.71/5</f>
        <v>0.74199999999999999</v>
      </c>
      <c r="W5254" s="14" t="s">
        <v>7777</v>
      </c>
      <c r="X5254" s="3">
        <v>3</v>
      </c>
      <c r="Z5254" s="23">
        <v>5.5</v>
      </c>
      <c r="AB5254" s="18">
        <f t="shared" si="164"/>
        <v>2009</v>
      </c>
      <c r="AC5254" s="22">
        <f t="shared" si="165"/>
        <v>0.68733333333333324</v>
      </c>
    </row>
    <row r="5255" spans="1:29" ht="30">
      <c r="A5255" s="8" t="s">
        <v>11155</v>
      </c>
      <c r="B5255" s="17" t="s">
        <v>7762</v>
      </c>
      <c r="C5255" s="13">
        <v>39911</v>
      </c>
      <c r="D5255" s="13" t="s">
        <v>8465</v>
      </c>
      <c r="E5255" s="10" t="s">
        <v>1509</v>
      </c>
      <c r="F5255" s="10" t="s">
        <v>1232</v>
      </c>
      <c r="G5255" s="11" t="s">
        <v>11042</v>
      </c>
      <c r="H5255" s="2" t="s">
        <v>459</v>
      </c>
      <c r="L5255" s="18">
        <v>0</v>
      </c>
      <c r="Q5255" s="18">
        <v>0</v>
      </c>
      <c r="U5255" s="22">
        <v>0.28000000000000003</v>
      </c>
      <c r="V5255" s="22">
        <f>1.73/5</f>
        <v>0.34599999999999997</v>
      </c>
      <c r="X5255" s="3">
        <v>2</v>
      </c>
      <c r="Z5255" s="23">
        <v>2</v>
      </c>
      <c r="AB5255" s="18">
        <f t="shared" si="164"/>
        <v>2009</v>
      </c>
      <c r="AC5255" s="22">
        <f t="shared" si="165"/>
        <v>0.34200000000000003</v>
      </c>
    </row>
    <row r="5256" spans="1:29" ht="38.25">
      <c r="A5256" s="8" t="s">
        <v>6974</v>
      </c>
      <c r="B5256" s="17" t="s">
        <v>7800</v>
      </c>
      <c r="C5256" s="13">
        <v>39910</v>
      </c>
      <c r="D5256" s="13" t="s">
        <v>8465</v>
      </c>
      <c r="E5256" s="10" t="s">
        <v>311</v>
      </c>
      <c r="F5256" s="10" t="s">
        <v>3381</v>
      </c>
      <c r="G5256" s="11" t="s">
        <v>6975</v>
      </c>
      <c r="H5256" s="2" t="s">
        <v>80</v>
      </c>
      <c r="L5256" s="18">
        <v>1</v>
      </c>
      <c r="N5256" s="13">
        <v>41803</v>
      </c>
      <c r="O5256" s="29">
        <v>2.99</v>
      </c>
      <c r="P5256" s="18" t="s">
        <v>1107</v>
      </c>
      <c r="Q5256" s="18">
        <v>0</v>
      </c>
      <c r="U5256" s="22">
        <v>0.8</v>
      </c>
      <c r="V5256" s="22">
        <f>3.63/5</f>
        <v>0.72599999999999998</v>
      </c>
      <c r="W5256" s="14" t="s">
        <v>7778</v>
      </c>
      <c r="X5256" s="3">
        <v>4</v>
      </c>
      <c r="Z5256" s="23">
        <v>9.5</v>
      </c>
      <c r="AB5256" s="18">
        <f t="shared" si="164"/>
        <v>2009</v>
      </c>
      <c r="AC5256" s="22">
        <f t="shared" si="165"/>
        <v>0.77533333333333332</v>
      </c>
    </row>
    <row r="5257" spans="1:29" ht="30">
      <c r="A5257" s="8" t="s">
        <v>10713</v>
      </c>
      <c r="B5257" s="17" t="s">
        <v>7762</v>
      </c>
      <c r="C5257" s="13">
        <v>39910</v>
      </c>
      <c r="D5257" s="13" t="s">
        <v>8465</v>
      </c>
      <c r="E5257" s="10" t="s">
        <v>228</v>
      </c>
      <c r="F5257" s="10" t="s">
        <v>144</v>
      </c>
      <c r="G5257" s="11" t="s">
        <v>1343</v>
      </c>
      <c r="H5257" s="2" t="s">
        <v>64</v>
      </c>
      <c r="L5257" s="18">
        <v>0</v>
      </c>
      <c r="Q5257" s="18">
        <v>0</v>
      </c>
      <c r="U5257" s="22">
        <v>0.73</v>
      </c>
      <c r="V5257" s="22">
        <f>3.43/5</f>
        <v>0.68600000000000005</v>
      </c>
      <c r="X5257" s="3">
        <v>2</v>
      </c>
      <c r="Z5257" s="23">
        <v>5.5</v>
      </c>
      <c r="AB5257" s="18">
        <f t="shared" si="164"/>
        <v>2009</v>
      </c>
      <c r="AC5257" s="22">
        <f t="shared" si="165"/>
        <v>0.60533333333333328</v>
      </c>
    </row>
    <row r="5258" spans="1:29">
      <c r="A5258" s="8" t="s">
        <v>6030</v>
      </c>
      <c r="B5258" s="17" t="s">
        <v>7759</v>
      </c>
      <c r="C5258" s="13">
        <v>39910</v>
      </c>
      <c r="D5258" s="13" t="s">
        <v>8465</v>
      </c>
      <c r="E5258" s="10" t="s">
        <v>231</v>
      </c>
      <c r="F5258" s="10" t="s">
        <v>3593</v>
      </c>
      <c r="G5258" s="11" t="s">
        <v>6031</v>
      </c>
      <c r="H5258" s="2" t="s">
        <v>80</v>
      </c>
      <c r="L5258" s="18">
        <v>1</v>
      </c>
      <c r="M5258" s="14" t="s">
        <v>8462</v>
      </c>
      <c r="N5258" s="13">
        <v>43606</v>
      </c>
      <c r="O5258" s="29">
        <v>11.75</v>
      </c>
      <c r="P5258" s="18" t="s">
        <v>14</v>
      </c>
      <c r="Q5258" s="18">
        <v>0</v>
      </c>
      <c r="U5258" s="22">
        <v>0.68</v>
      </c>
      <c r="V5258" s="22">
        <f>3.65/5</f>
        <v>0.73</v>
      </c>
      <c r="X5258" s="3">
        <v>2</v>
      </c>
      <c r="Z5258" s="23">
        <v>12</v>
      </c>
      <c r="AB5258" s="18">
        <f t="shared" si="164"/>
        <v>2009</v>
      </c>
      <c r="AC5258" s="22">
        <f t="shared" si="165"/>
        <v>0.60333333333333339</v>
      </c>
    </row>
    <row r="5259" spans="1:29">
      <c r="A5259" s="8" t="s">
        <v>3912</v>
      </c>
      <c r="B5259" s="17" t="s">
        <v>7800</v>
      </c>
      <c r="C5259" s="13">
        <v>39910</v>
      </c>
      <c r="D5259" s="13" t="s">
        <v>8465</v>
      </c>
      <c r="E5259" s="10" t="s">
        <v>73</v>
      </c>
      <c r="F5259" s="10" t="s">
        <v>3913</v>
      </c>
      <c r="H5259" s="2" t="s">
        <v>78</v>
      </c>
      <c r="L5259" s="18">
        <v>1</v>
      </c>
      <c r="N5259" s="13">
        <v>43425</v>
      </c>
      <c r="O5259" s="29">
        <v>0.99</v>
      </c>
      <c r="P5259" s="18" t="s">
        <v>1107</v>
      </c>
      <c r="Q5259" s="18">
        <v>0</v>
      </c>
      <c r="U5259" s="22">
        <v>0.61</v>
      </c>
      <c r="V5259" s="22">
        <f>2.73/5</f>
        <v>0.54600000000000004</v>
      </c>
      <c r="W5259" s="14" t="s">
        <v>7777</v>
      </c>
      <c r="X5259" s="3">
        <v>2</v>
      </c>
      <c r="Z5259" s="23">
        <v>3</v>
      </c>
      <c r="AB5259" s="18">
        <f t="shared" si="164"/>
        <v>2009</v>
      </c>
      <c r="AC5259" s="22">
        <f t="shared" si="165"/>
        <v>0.51866666666666672</v>
      </c>
    </row>
    <row r="5260" spans="1:29">
      <c r="A5260" s="8" t="s">
        <v>1547</v>
      </c>
      <c r="B5260" s="17" t="s">
        <v>7748</v>
      </c>
      <c r="C5260" s="13">
        <v>39908</v>
      </c>
      <c r="D5260" s="13" t="s">
        <v>8465</v>
      </c>
      <c r="E5260" s="10" t="s">
        <v>86</v>
      </c>
      <c r="F5260" s="10" t="s">
        <v>1515</v>
      </c>
      <c r="G5260" s="11" t="s">
        <v>1547</v>
      </c>
      <c r="H5260" s="2" t="s">
        <v>1220</v>
      </c>
      <c r="L5260" s="18">
        <v>0</v>
      </c>
      <c r="Q5260" s="18">
        <v>0</v>
      </c>
      <c r="U5260" s="22">
        <v>0.84</v>
      </c>
      <c r="V5260" s="22">
        <f>4.13/5</f>
        <v>0.82599999999999996</v>
      </c>
      <c r="X5260" s="3">
        <v>4</v>
      </c>
      <c r="Z5260" s="23">
        <v>5.5</v>
      </c>
      <c r="AB5260" s="18">
        <f t="shared" si="164"/>
        <v>2009</v>
      </c>
      <c r="AC5260" s="22">
        <f t="shared" si="165"/>
        <v>0.82200000000000006</v>
      </c>
    </row>
    <row r="5261" spans="1:29">
      <c r="A5261" s="8" t="s">
        <v>11292</v>
      </c>
      <c r="B5261" s="17" t="s">
        <v>8754</v>
      </c>
      <c r="C5261" s="13">
        <v>39908</v>
      </c>
      <c r="D5261" s="13" t="s">
        <v>8465</v>
      </c>
      <c r="E5261" s="10" t="s">
        <v>86</v>
      </c>
      <c r="F5261" s="10" t="s">
        <v>1493</v>
      </c>
      <c r="G5261" s="11" t="s">
        <v>11257</v>
      </c>
      <c r="H5261" s="2" t="s">
        <v>78</v>
      </c>
      <c r="L5261" s="18">
        <v>1</v>
      </c>
      <c r="N5261" s="13">
        <v>44646</v>
      </c>
      <c r="O5261" s="29">
        <v>4.99</v>
      </c>
      <c r="P5261" s="18" t="s">
        <v>1107</v>
      </c>
      <c r="Q5261" s="18">
        <v>0</v>
      </c>
      <c r="U5261" s="22">
        <v>0.7</v>
      </c>
      <c r="V5261" s="22">
        <f>3.51/5</f>
        <v>0.70199999999999996</v>
      </c>
      <c r="X5261" s="3">
        <v>2</v>
      </c>
      <c r="AB5261" s="18">
        <f t="shared" si="164"/>
        <v>2009</v>
      </c>
      <c r="AC5261" s="22">
        <f t="shared" si="165"/>
        <v>0.60066666666666668</v>
      </c>
    </row>
    <row r="5262" spans="1:29">
      <c r="A5262" s="8" t="s">
        <v>11253</v>
      </c>
      <c r="B5262" s="17" t="s">
        <v>8754</v>
      </c>
      <c r="C5262" s="13">
        <v>39908</v>
      </c>
      <c r="D5262" s="13" t="s">
        <v>8465</v>
      </c>
      <c r="E5262" s="10" t="s">
        <v>86</v>
      </c>
      <c r="F5262" s="10" t="s">
        <v>1515</v>
      </c>
      <c r="G5262" s="11" t="s">
        <v>1516</v>
      </c>
      <c r="H5262" s="2" t="s">
        <v>1142</v>
      </c>
      <c r="L5262" s="18">
        <v>1</v>
      </c>
      <c r="N5262" s="13">
        <v>44619</v>
      </c>
      <c r="O5262" s="29">
        <v>4.99</v>
      </c>
      <c r="P5262" s="18" t="s">
        <v>1107</v>
      </c>
      <c r="Q5262" s="18">
        <v>0</v>
      </c>
      <c r="U5262" s="22">
        <v>0.53</v>
      </c>
      <c r="V5262" s="22">
        <f>2.75/5</f>
        <v>0.55000000000000004</v>
      </c>
      <c r="X5262" s="3">
        <v>2</v>
      </c>
      <c r="Z5262" s="23">
        <f>23/60</f>
        <v>0.38333333333333336</v>
      </c>
      <c r="AB5262" s="18">
        <f t="shared" si="164"/>
        <v>2009</v>
      </c>
      <c r="AC5262" s="22">
        <f t="shared" si="165"/>
        <v>0.49333333333333335</v>
      </c>
    </row>
    <row r="5263" spans="1:29">
      <c r="A5263" s="8" t="s">
        <v>10112</v>
      </c>
      <c r="B5263" s="17" t="s">
        <v>7759</v>
      </c>
      <c r="C5263" s="13">
        <v>39905</v>
      </c>
      <c r="D5263" s="13" t="s">
        <v>8465</v>
      </c>
      <c r="E5263" s="10" t="s">
        <v>10113</v>
      </c>
      <c r="F5263" s="10" t="s">
        <v>10113</v>
      </c>
      <c r="H5263" s="2" t="s">
        <v>1169</v>
      </c>
      <c r="L5263" s="18">
        <v>1</v>
      </c>
      <c r="N5263" s="13">
        <v>44302</v>
      </c>
      <c r="O5263" s="29">
        <v>3.99</v>
      </c>
      <c r="P5263" s="18" t="s">
        <v>1107</v>
      </c>
      <c r="Q5263" s="18">
        <v>0</v>
      </c>
      <c r="U5263" s="22">
        <v>0.83</v>
      </c>
      <c r="V5263" s="22">
        <f>3.36/5</f>
        <v>0.67199999999999993</v>
      </c>
      <c r="X5263" s="3">
        <v>3</v>
      </c>
      <c r="Z5263" s="23">
        <v>7.5</v>
      </c>
      <c r="AB5263" s="18">
        <f t="shared" si="164"/>
        <v>2009</v>
      </c>
      <c r="AC5263" s="22">
        <f t="shared" si="165"/>
        <v>0.70066666666666666</v>
      </c>
    </row>
    <row r="5264" spans="1:29" ht="25.5">
      <c r="A5264" s="8" t="s">
        <v>10329</v>
      </c>
      <c r="B5264" s="17" t="s">
        <v>7765</v>
      </c>
      <c r="C5264" s="13">
        <v>39904</v>
      </c>
      <c r="D5264" s="13" t="s">
        <v>8465</v>
      </c>
      <c r="E5264" s="10" t="s">
        <v>3740</v>
      </c>
      <c r="F5264" s="10" t="s">
        <v>1658</v>
      </c>
      <c r="G5264" s="11" t="s">
        <v>10330</v>
      </c>
      <c r="H5264" s="2" t="s">
        <v>153</v>
      </c>
      <c r="L5264" s="18">
        <v>1</v>
      </c>
      <c r="N5264" s="13">
        <v>45049</v>
      </c>
      <c r="O5264" s="29">
        <v>9.99</v>
      </c>
      <c r="P5264" s="18" t="s">
        <v>1107</v>
      </c>
      <c r="Q5264" s="18">
        <v>0</v>
      </c>
      <c r="U5264" s="22">
        <v>0.75</v>
      </c>
      <c r="V5264" s="22">
        <f>3.93/5</f>
        <v>0.78600000000000003</v>
      </c>
      <c r="X5264" s="3">
        <v>3</v>
      </c>
      <c r="AB5264" s="18">
        <f t="shared" si="164"/>
        <v>2009</v>
      </c>
      <c r="AC5264" s="22">
        <f t="shared" si="165"/>
        <v>0.71200000000000008</v>
      </c>
    </row>
    <row r="5265" spans="1:29" ht="25.5">
      <c r="A5265" s="9" t="s">
        <v>15130</v>
      </c>
      <c r="B5265" s="17" t="s">
        <v>7782</v>
      </c>
      <c r="C5265" s="12">
        <v>39904</v>
      </c>
      <c r="D5265" s="13" t="s">
        <v>8465</v>
      </c>
      <c r="E5265" s="10" t="s">
        <v>7461</v>
      </c>
      <c r="F5265" s="10" t="s">
        <v>7461</v>
      </c>
      <c r="G5265" s="11" t="s">
        <v>15131</v>
      </c>
      <c r="H5265" s="2" t="s">
        <v>153</v>
      </c>
      <c r="L5265" s="18">
        <v>0</v>
      </c>
      <c r="Q5265" s="18">
        <v>0</v>
      </c>
      <c r="V5265" s="22">
        <f>3.59/5</f>
        <v>0.71799999999999997</v>
      </c>
      <c r="X5265" s="3">
        <v>2</v>
      </c>
      <c r="Z5265" s="23">
        <f>44/60</f>
        <v>0.73333333333333328</v>
      </c>
      <c r="AB5265" s="18">
        <f t="shared" si="164"/>
        <v>2009</v>
      </c>
      <c r="AC5265" s="22">
        <f t="shared" si="165"/>
        <v>0.55899999999999994</v>
      </c>
    </row>
    <row r="5266" spans="1:29">
      <c r="A5266" s="8" t="s">
        <v>11163</v>
      </c>
      <c r="B5266" s="17" t="s">
        <v>7748</v>
      </c>
      <c r="C5266" s="13">
        <v>39903</v>
      </c>
      <c r="D5266" s="13" t="s">
        <v>8465</v>
      </c>
      <c r="E5266" s="10" t="s">
        <v>228</v>
      </c>
      <c r="F5266" s="10" t="s">
        <v>7413</v>
      </c>
      <c r="H5266" s="2" t="s">
        <v>153</v>
      </c>
      <c r="L5266" s="18">
        <v>0</v>
      </c>
      <c r="Q5266" s="18">
        <v>0</v>
      </c>
      <c r="U5266" s="22">
        <v>0.56000000000000005</v>
      </c>
      <c r="V5266" s="22">
        <f>3.55/5</f>
        <v>0.71</v>
      </c>
      <c r="X5266" s="3">
        <v>2</v>
      </c>
      <c r="Z5266" s="23">
        <v>6</v>
      </c>
      <c r="AB5266" s="18">
        <f t="shared" si="164"/>
        <v>2009</v>
      </c>
      <c r="AC5266" s="22">
        <f t="shared" si="165"/>
        <v>0.55666666666666664</v>
      </c>
    </row>
    <row r="5267" spans="1:29">
      <c r="A5267" s="8" t="s">
        <v>5334</v>
      </c>
      <c r="B5267" s="17" t="s">
        <v>7800</v>
      </c>
      <c r="C5267" s="13">
        <v>39896</v>
      </c>
      <c r="D5267" s="13" t="s">
        <v>8465</v>
      </c>
      <c r="E5267" s="10" t="s">
        <v>1082</v>
      </c>
      <c r="F5267" s="10" t="s">
        <v>1082</v>
      </c>
      <c r="G5267" s="11" t="s">
        <v>5334</v>
      </c>
      <c r="H5267" s="2" t="s">
        <v>149</v>
      </c>
      <c r="L5267" s="18">
        <v>1</v>
      </c>
      <c r="N5267" s="13">
        <v>41196</v>
      </c>
      <c r="P5267" s="18" t="s">
        <v>1107</v>
      </c>
      <c r="Q5267" s="18">
        <v>0</v>
      </c>
      <c r="U5267" s="22">
        <v>0.65</v>
      </c>
      <c r="V5267" s="22">
        <f>3.87/5</f>
        <v>0.77400000000000002</v>
      </c>
      <c r="W5267" s="14" t="s">
        <v>7777</v>
      </c>
      <c r="X5267" s="3">
        <v>4</v>
      </c>
      <c r="Z5267" s="23">
        <v>62</v>
      </c>
      <c r="AB5267" s="18">
        <f t="shared" si="164"/>
        <v>2009</v>
      </c>
      <c r="AC5267" s="22">
        <f t="shared" si="165"/>
        <v>0.7413333333333334</v>
      </c>
    </row>
    <row r="5268" spans="1:29" ht="38.25">
      <c r="A5268" s="8" t="s">
        <v>2174</v>
      </c>
      <c r="B5268" s="17" t="s">
        <v>7748</v>
      </c>
      <c r="C5268" s="13">
        <v>39896</v>
      </c>
      <c r="D5268" s="13" t="s">
        <v>8465</v>
      </c>
      <c r="E5268" s="10" t="s">
        <v>1082</v>
      </c>
      <c r="F5268" s="10" t="s">
        <v>1082</v>
      </c>
      <c r="G5268" s="11" t="s">
        <v>938</v>
      </c>
      <c r="H5268" s="2" t="s">
        <v>171</v>
      </c>
      <c r="L5268" s="18">
        <v>0</v>
      </c>
      <c r="Q5268" s="18">
        <v>0</v>
      </c>
      <c r="U5268" s="22">
        <v>0.77</v>
      </c>
      <c r="V5268" s="22">
        <f>3.84/5</f>
        <v>0.76800000000000002</v>
      </c>
      <c r="X5268" s="3">
        <v>3</v>
      </c>
      <c r="Z5268" s="23">
        <v>15.5</v>
      </c>
      <c r="AB5268" s="18">
        <f t="shared" si="164"/>
        <v>2009</v>
      </c>
      <c r="AC5268" s="22">
        <f t="shared" si="165"/>
        <v>0.71266666666666667</v>
      </c>
    </row>
    <row r="5269" spans="1:29">
      <c r="A5269" s="8" t="s">
        <v>10224</v>
      </c>
      <c r="B5269" s="17" t="s">
        <v>7759</v>
      </c>
      <c r="C5269" s="13">
        <v>39896</v>
      </c>
      <c r="D5269" s="13" t="s">
        <v>8465</v>
      </c>
      <c r="E5269" s="10" t="s">
        <v>1047</v>
      </c>
      <c r="F5269" s="10" t="s">
        <v>10243</v>
      </c>
      <c r="H5269" s="2" t="s">
        <v>150</v>
      </c>
      <c r="L5269" s="18">
        <v>0</v>
      </c>
      <c r="Q5269" s="18">
        <v>0</v>
      </c>
      <c r="U5269" s="22">
        <v>0.66</v>
      </c>
      <c r="V5269" s="22">
        <f>3.26/5</f>
        <v>0.65199999999999991</v>
      </c>
      <c r="X5269" s="3">
        <v>3</v>
      </c>
      <c r="Y5269" s="18">
        <v>1</v>
      </c>
      <c r="Z5269" s="23">
        <v>8</v>
      </c>
      <c r="AB5269" s="18">
        <f t="shared" si="164"/>
        <v>2009</v>
      </c>
      <c r="AC5269" s="22">
        <f t="shared" si="165"/>
        <v>0.63733333333333331</v>
      </c>
    </row>
    <row r="5270" spans="1:29" ht="45">
      <c r="A5270" s="8" t="s">
        <v>6043</v>
      </c>
      <c r="B5270" s="17" t="s">
        <v>7759</v>
      </c>
      <c r="C5270" s="13">
        <v>39896</v>
      </c>
      <c r="D5270" s="13" t="s">
        <v>8465</v>
      </c>
      <c r="E5270" s="10" t="s">
        <v>1156</v>
      </c>
      <c r="F5270" s="10" t="s">
        <v>3307</v>
      </c>
      <c r="H5270" s="2" t="s">
        <v>1168</v>
      </c>
      <c r="L5270" s="18">
        <v>1</v>
      </c>
      <c r="M5270" s="14" t="s">
        <v>8462</v>
      </c>
      <c r="N5270" s="13">
        <v>43601</v>
      </c>
      <c r="O5270" s="29">
        <v>5.5</v>
      </c>
      <c r="P5270" s="18" t="s">
        <v>14</v>
      </c>
      <c r="Q5270" s="18">
        <v>0</v>
      </c>
      <c r="U5270" s="22">
        <v>0.65</v>
      </c>
      <c r="V5270" s="22">
        <f>3.3/5</f>
        <v>0.65999999999999992</v>
      </c>
      <c r="X5270" s="3">
        <v>3</v>
      </c>
      <c r="Z5270" s="23">
        <v>5</v>
      </c>
      <c r="AB5270" s="18">
        <f t="shared" si="164"/>
        <v>2009</v>
      </c>
      <c r="AC5270" s="22">
        <f t="shared" si="165"/>
        <v>0.63666666666666671</v>
      </c>
    </row>
    <row r="5271" spans="1:29">
      <c r="A5271" s="8" t="s">
        <v>13314</v>
      </c>
      <c r="B5271" s="17" t="s">
        <v>7748</v>
      </c>
      <c r="C5271" s="13">
        <v>39896</v>
      </c>
      <c r="D5271" s="13" t="s">
        <v>8465</v>
      </c>
      <c r="E5271" s="10" t="s">
        <v>1527</v>
      </c>
      <c r="F5271" s="10" t="s">
        <v>13315</v>
      </c>
      <c r="H5271" s="2" t="s">
        <v>67</v>
      </c>
      <c r="L5271" s="18">
        <v>0</v>
      </c>
      <c r="Q5271" s="18">
        <v>0</v>
      </c>
      <c r="U5271" s="22">
        <v>0.48</v>
      </c>
      <c r="V5271" s="22">
        <f>3.47/5</f>
        <v>0.69400000000000006</v>
      </c>
      <c r="X5271" s="3">
        <v>2</v>
      </c>
      <c r="Z5271" s="23">
        <v>17</v>
      </c>
      <c r="AB5271" s="18">
        <f t="shared" si="164"/>
        <v>2009</v>
      </c>
      <c r="AC5271" s="22">
        <f t="shared" si="165"/>
        <v>0.52466666666666661</v>
      </c>
    </row>
    <row r="5272" spans="1:29">
      <c r="A5272" s="8" t="s">
        <v>3563</v>
      </c>
      <c r="B5272" s="17" t="s">
        <v>7800</v>
      </c>
      <c r="C5272" s="13">
        <v>39895</v>
      </c>
      <c r="D5272" s="13" t="s">
        <v>8465</v>
      </c>
      <c r="E5272" s="10" t="s">
        <v>3047</v>
      </c>
      <c r="F5272" s="10" t="s">
        <v>3564</v>
      </c>
      <c r="H5272" s="2" t="s">
        <v>1168</v>
      </c>
      <c r="L5272" s="18">
        <v>1</v>
      </c>
      <c r="N5272" s="13">
        <v>41555</v>
      </c>
      <c r="P5272" s="18" t="s">
        <v>1107</v>
      </c>
      <c r="Q5272" s="18">
        <v>0</v>
      </c>
      <c r="U5272" s="22">
        <v>0.65</v>
      </c>
      <c r="V5272" s="22">
        <f>3.08/5</f>
        <v>0.61599999999999999</v>
      </c>
      <c r="W5272" s="14" t="s">
        <v>7777</v>
      </c>
      <c r="X5272" s="3">
        <v>3</v>
      </c>
      <c r="Z5272" s="23">
        <v>8.5</v>
      </c>
      <c r="AB5272" s="18">
        <f t="shared" si="164"/>
        <v>2009</v>
      </c>
      <c r="AC5272" s="22">
        <f t="shared" si="165"/>
        <v>0.622</v>
      </c>
    </row>
    <row r="5273" spans="1:29" ht="38.25">
      <c r="A5273" s="9" t="s">
        <v>5931</v>
      </c>
      <c r="B5273" s="17" t="s">
        <v>7759</v>
      </c>
      <c r="C5273" s="13">
        <v>39895</v>
      </c>
      <c r="D5273" s="13" t="s">
        <v>8465</v>
      </c>
      <c r="E5273" s="10" t="s">
        <v>231</v>
      </c>
      <c r="F5273" s="10" t="s">
        <v>1039</v>
      </c>
      <c r="G5273" s="11" t="s">
        <v>3043</v>
      </c>
      <c r="H5273" s="2" t="s">
        <v>1143</v>
      </c>
      <c r="L5273" s="18">
        <v>1</v>
      </c>
      <c r="M5273" s="14" t="s">
        <v>8462</v>
      </c>
      <c r="N5273" s="13">
        <v>43534</v>
      </c>
      <c r="O5273" s="29">
        <v>12.79</v>
      </c>
      <c r="P5273" s="18" t="s">
        <v>14</v>
      </c>
      <c r="Q5273" s="18">
        <v>0</v>
      </c>
      <c r="U5273" s="22">
        <v>0.77</v>
      </c>
      <c r="V5273" s="22">
        <f>3.63/5</f>
        <v>0.72599999999999998</v>
      </c>
      <c r="X5273" s="3">
        <v>2</v>
      </c>
      <c r="Z5273" s="23">
        <v>21.5</v>
      </c>
      <c r="AB5273" s="18">
        <f t="shared" si="164"/>
        <v>2009</v>
      </c>
      <c r="AC5273" s="22">
        <f t="shared" si="165"/>
        <v>0.63200000000000001</v>
      </c>
    </row>
    <row r="5274" spans="1:29">
      <c r="A5274" s="8" t="s">
        <v>2258</v>
      </c>
      <c r="B5274" s="17" t="s">
        <v>7748</v>
      </c>
      <c r="C5274" s="13">
        <v>39894</v>
      </c>
      <c r="D5274" s="13" t="s">
        <v>8465</v>
      </c>
      <c r="E5274" s="10" t="s">
        <v>86</v>
      </c>
      <c r="F5274" s="10" t="s">
        <v>1354</v>
      </c>
      <c r="G5274" s="11" t="s">
        <v>1470</v>
      </c>
      <c r="H5274" s="2" t="s">
        <v>149</v>
      </c>
      <c r="L5274" s="18">
        <v>0</v>
      </c>
      <c r="Q5274" s="18">
        <v>0</v>
      </c>
      <c r="U5274" s="22">
        <v>0.83</v>
      </c>
      <c r="V5274" s="22">
        <f>4.29/5</f>
        <v>0.85799999999999998</v>
      </c>
      <c r="X5274" s="3">
        <v>4</v>
      </c>
      <c r="Z5274" s="23">
        <v>35</v>
      </c>
      <c r="AB5274" s="18">
        <f t="shared" si="164"/>
        <v>2009</v>
      </c>
      <c r="AC5274" s="22">
        <f t="shared" si="165"/>
        <v>0.82933333333333337</v>
      </c>
    </row>
    <row r="5275" spans="1:29" ht="25.5">
      <c r="A5275" s="8" t="s">
        <v>10073</v>
      </c>
      <c r="B5275" s="17" t="s">
        <v>7748</v>
      </c>
      <c r="C5275" s="13">
        <v>39891</v>
      </c>
      <c r="D5275" s="13" t="s">
        <v>8463</v>
      </c>
      <c r="E5275" s="10" t="s">
        <v>10074</v>
      </c>
      <c r="F5275" s="10" t="s">
        <v>10075</v>
      </c>
      <c r="H5275" s="2" t="s">
        <v>171</v>
      </c>
      <c r="K5275" s="18">
        <v>0</v>
      </c>
      <c r="L5275" s="18">
        <v>0</v>
      </c>
      <c r="Q5275" s="18">
        <v>0</v>
      </c>
      <c r="V5275" s="22">
        <f>3.89/5</f>
        <v>0.77800000000000002</v>
      </c>
      <c r="X5275" s="3">
        <v>2</v>
      </c>
      <c r="AB5275" s="18">
        <f t="shared" si="164"/>
        <v>2009</v>
      </c>
      <c r="AC5275" s="22">
        <f t="shared" si="165"/>
        <v>0.58899999999999997</v>
      </c>
    </row>
    <row r="5276" spans="1:29">
      <c r="A5276" s="8" t="s">
        <v>1023</v>
      </c>
      <c r="B5276" s="17" t="s">
        <v>7741</v>
      </c>
      <c r="C5276" s="13">
        <v>39889</v>
      </c>
      <c r="D5276" s="13" t="s">
        <v>8465</v>
      </c>
      <c r="E5276" s="10" t="s">
        <v>1534</v>
      </c>
      <c r="F5276" s="10" t="s">
        <v>1269</v>
      </c>
      <c r="G5276" s="11" t="s">
        <v>1540</v>
      </c>
      <c r="H5276" s="2" t="s">
        <v>171</v>
      </c>
      <c r="L5276" s="18">
        <v>0</v>
      </c>
      <c r="Q5276" s="18">
        <v>0</v>
      </c>
      <c r="U5276" s="22">
        <v>0.79</v>
      </c>
      <c r="V5276" s="22">
        <f>4.15/5</f>
        <v>0.83000000000000007</v>
      </c>
      <c r="X5276" s="3">
        <v>4</v>
      </c>
      <c r="Z5276" s="23">
        <v>90.5</v>
      </c>
      <c r="AB5276" s="18">
        <f t="shared" si="164"/>
        <v>2009</v>
      </c>
      <c r="AC5276" s="22">
        <f t="shared" si="165"/>
        <v>0.80666666666666664</v>
      </c>
    </row>
    <row r="5277" spans="1:29" ht="25.5">
      <c r="A5277" s="8" t="s">
        <v>2247</v>
      </c>
      <c r="B5277" s="17" t="s">
        <v>7748</v>
      </c>
      <c r="C5277" s="13">
        <v>39889</v>
      </c>
      <c r="D5277" s="13" t="s">
        <v>8465</v>
      </c>
      <c r="E5277" s="10" t="s">
        <v>231</v>
      </c>
      <c r="F5277" s="10" t="s">
        <v>2325</v>
      </c>
      <c r="H5277" s="2" t="s">
        <v>27</v>
      </c>
      <c r="L5277" s="18">
        <v>0</v>
      </c>
      <c r="Q5277" s="18">
        <v>0</v>
      </c>
      <c r="U5277" s="22">
        <v>0.82</v>
      </c>
      <c r="V5277" s="22">
        <f>3.94/5</f>
        <v>0.78800000000000003</v>
      </c>
      <c r="X5277" s="3">
        <v>3</v>
      </c>
      <c r="Z5277" s="23">
        <v>16</v>
      </c>
      <c r="AB5277" s="18">
        <f t="shared" si="164"/>
        <v>2009</v>
      </c>
      <c r="AC5277" s="22">
        <f t="shared" si="165"/>
        <v>0.7360000000000001</v>
      </c>
    </row>
    <row r="5278" spans="1:29" ht="25.5">
      <c r="A5278" s="8" t="s">
        <v>7387</v>
      </c>
      <c r="B5278" s="17" t="s">
        <v>7741</v>
      </c>
      <c r="C5278" s="13">
        <v>39889</v>
      </c>
      <c r="D5278" s="13" t="s">
        <v>8465</v>
      </c>
      <c r="E5278" s="10" t="s">
        <v>62</v>
      </c>
      <c r="F5278" s="10" t="s">
        <v>62</v>
      </c>
      <c r="G5278" s="11" t="s">
        <v>7408</v>
      </c>
      <c r="H5278" s="2" t="s">
        <v>78</v>
      </c>
      <c r="L5278" s="18">
        <v>0</v>
      </c>
      <c r="Q5278" s="18">
        <v>0</v>
      </c>
      <c r="U5278" s="22">
        <v>0.74</v>
      </c>
      <c r="V5278" s="22">
        <f>4.05/5</f>
        <v>0.80999999999999994</v>
      </c>
      <c r="X5278" s="3">
        <v>3</v>
      </c>
      <c r="Z5278" s="23">
        <v>3.5</v>
      </c>
      <c r="AB5278" s="18">
        <f t="shared" si="164"/>
        <v>2009</v>
      </c>
      <c r="AC5278" s="22">
        <f t="shared" si="165"/>
        <v>0.71666666666666667</v>
      </c>
    </row>
    <row r="5279" spans="1:29">
      <c r="A5279" s="8" t="s">
        <v>2218</v>
      </c>
      <c r="B5279" s="17" t="s">
        <v>7748</v>
      </c>
      <c r="C5279" s="13">
        <v>39889</v>
      </c>
      <c r="D5279" s="13" t="s">
        <v>8465</v>
      </c>
      <c r="E5279" s="10" t="s">
        <v>72</v>
      </c>
      <c r="F5279" s="10" t="s">
        <v>72</v>
      </c>
      <c r="G5279" s="11" t="s">
        <v>2318</v>
      </c>
      <c r="H5279" s="2" t="s">
        <v>149</v>
      </c>
      <c r="L5279" s="18">
        <v>0</v>
      </c>
      <c r="Q5279" s="18">
        <v>0</v>
      </c>
      <c r="U5279" s="22">
        <v>0.76</v>
      </c>
      <c r="V5279" s="22">
        <f>3.91/5</f>
        <v>0.78200000000000003</v>
      </c>
      <c r="X5279" s="3">
        <v>3</v>
      </c>
      <c r="Z5279" s="23">
        <v>45.5</v>
      </c>
      <c r="AB5279" s="18">
        <f t="shared" si="164"/>
        <v>2009</v>
      </c>
      <c r="AC5279" s="22">
        <f t="shared" si="165"/>
        <v>0.71399999999999997</v>
      </c>
    </row>
    <row r="5280" spans="1:29" ht="25.5">
      <c r="A5280" s="8" t="s">
        <v>2179</v>
      </c>
      <c r="B5280" s="17" t="s">
        <v>7748</v>
      </c>
      <c r="C5280" s="13">
        <v>39889</v>
      </c>
      <c r="D5280" s="13" t="s">
        <v>8465</v>
      </c>
      <c r="E5280" s="10" t="s">
        <v>1618</v>
      </c>
      <c r="F5280" s="10" t="s">
        <v>2305</v>
      </c>
      <c r="G5280" s="11" t="s">
        <v>2306</v>
      </c>
      <c r="H5280" s="2" t="s">
        <v>80</v>
      </c>
      <c r="L5280" s="18">
        <v>0</v>
      </c>
      <c r="Q5280" s="18">
        <v>0</v>
      </c>
      <c r="U5280" s="22">
        <v>0.93</v>
      </c>
      <c r="V5280" s="22">
        <f>4.16/5</f>
        <v>0.83200000000000007</v>
      </c>
      <c r="X5280" s="3">
        <v>2</v>
      </c>
      <c r="Z5280" s="23">
        <v>9.5</v>
      </c>
      <c r="AB5280" s="18">
        <f t="shared" si="164"/>
        <v>2009</v>
      </c>
      <c r="AC5280" s="22">
        <f t="shared" si="165"/>
        <v>0.72066666666666668</v>
      </c>
    </row>
    <row r="5281" spans="1:29" ht="30">
      <c r="A5281" s="8" t="s">
        <v>15256</v>
      </c>
      <c r="B5281" s="17" t="s">
        <v>7762</v>
      </c>
      <c r="C5281" s="13">
        <v>39889</v>
      </c>
      <c r="D5281" s="13" t="s">
        <v>8465</v>
      </c>
      <c r="E5281" s="10" t="s">
        <v>2908</v>
      </c>
      <c r="F5281" s="10" t="s">
        <v>15257</v>
      </c>
      <c r="G5281" s="11" t="s">
        <v>6005</v>
      </c>
      <c r="H5281" s="2" t="s">
        <v>1050</v>
      </c>
      <c r="L5281" s="18">
        <v>0</v>
      </c>
      <c r="Q5281" s="18">
        <v>0</v>
      </c>
      <c r="U5281" s="22">
        <v>0.81</v>
      </c>
      <c r="V5281" s="22">
        <f>4.07/5</f>
        <v>0.81400000000000006</v>
      </c>
      <c r="X5281" s="3">
        <v>3</v>
      </c>
      <c r="Z5281" s="23">
        <v>10</v>
      </c>
      <c r="AB5281" s="18">
        <f t="shared" si="164"/>
        <v>2009</v>
      </c>
      <c r="AC5281" s="22">
        <f t="shared" si="165"/>
        <v>0.7413333333333334</v>
      </c>
    </row>
    <row r="5282" spans="1:29" ht="25.5">
      <c r="A5282" s="8" t="s">
        <v>2155</v>
      </c>
      <c r="B5282" s="17" t="s">
        <v>7748</v>
      </c>
      <c r="C5282" s="13">
        <v>39888</v>
      </c>
      <c r="D5282" s="13" t="s">
        <v>8465</v>
      </c>
      <c r="E5282" s="10" t="s">
        <v>1082</v>
      </c>
      <c r="F5282" s="10" t="s">
        <v>1423</v>
      </c>
      <c r="G5282" s="11" t="s">
        <v>2295</v>
      </c>
      <c r="H5282" s="2" t="s">
        <v>75</v>
      </c>
      <c r="L5282" s="18">
        <v>0</v>
      </c>
      <c r="Q5282" s="18">
        <v>0</v>
      </c>
      <c r="U5282" s="22">
        <v>0.76</v>
      </c>
      <c r="V5282" s="22">
        <f>3.78/5</f>
        <v>0.75600000000000001</v>
      </c>
      <c r="X5282" s="3">
        <v>3</v>
      </c>
      <c r="Z5282" s="23">
        <v>16</v>
      </c>
      <c r="AB5282" s="18">
        <f t="shared" si="164"/>
        <v>2009</v>
      </c>
      <c r="AC5282" s="22">
        <f t="shared" si="165"/>
        <v>0.70533333333333337</v>
      </c>
    </row>
    <row r="5283" spans="1:29">
      <c r="A5283" s="8" t="s">
        <v>10245</v>
      </c>
      <c r="B5283" s="17" t="s">
        <v>7759</v>
      </c>
      <c r="C5283" s="13">
        <v>39884</v>
      </c>
      <c r="D5283" s="13" t="s">
        <v>8463</v>
      </c>
      <c r="E5283" s="10" t="s">
        <v>68</v>
      </c>
      <c r="F5283" s="10" t="s">
        <v>1471</v>
      </c>
      <c r="G5283" s="11" t="s">
        <v>7935</v>
      </c>
      <c r="H5283" s="2" t="s">
        <v>1059</v>
      </c>
      <c r="K5283" s="18">
        <v>0</v>
      </c>
      <c r="L5283" s="18">
        <v>1</v>
      </c>
      <c r="M5283" s="14" t="s">
        <v>8462</v>
      </c>
      <c r="N5283" s="13">
        <v>45011</v>
      </c>
      <c r="O5283" s="29">
        <v>18.47</v>
      </c>
      <c r="P5283" s="18" t="s">
        <v>14</v>
      </c>
      <c r="Q5283" s="18">
        <v>0</v>
      </c>
      <c r="V5283" s="22">
        <f>4.23/5</f>
        <v>0.84600000000000009</v>
      </c>
      <c r="X5283" s="3">
        <v>3</v>
      </c>
      <c r="AB5283" s="18">
        <f t="shared" si="164"/>
        <v>2009</v>
      </c>
      <c r="AC5283" s="22">
        <f t="shared" si="165"/>
        <v>0.72300000000000009</v>
      </c>
    </row>
    <row r="5284" spans="1:29" ht="25.5">
      <c r="A5284" s="8" t="s">
        <v>3472</v>
      </c>
      <c r="B5284" s="17" t="s">
        <v>7800</v>
      </c>
      <c r="C5284" s="13">
        <v>39884</v>
      </c>
      <c r="D5284" s="13" t="s">
        <v>8465</v>
      </c>
      <c r="E5284" s="10" t="s">
        <v>231</v>
      </c>
      <c r="F5284" s="10" t="s">
        <v>1039</v>
      </c>
      <c r="G5284" s="11" t="s">
        <v>3043</v>
      </c>
      <c r="H5284" s="2" t="s">
        <v>1143</v>
      </c>
      <c r="L5284" s="18">
        <v>1</v>
      </c>
      <c r="N5284" s="13">
        <v>41508</v>
      </c>
      <c r="O5284" s="29">
        <v>0</v>
      </c>
      <c r="P5284" s="18" t="s">
        <v>1107</v>
      </c>
      <c r="Q5284" s="18">
        <v>0</v>
      </c>
      <c r="U5284" s="22">
        <v>0.64</v>
      </c>
      <c r="V5284" s="22">
        <f>3.68/5</f>
        <v>0.73599999999999999</v>
      </c>
      <c r="W5284" s="14" t="s">
        <v>7777</v>
      </c>
      <c r="X5284" s="3">
        <v>3</v>
      </c>
      <c r="Z5284" s="23">
        <v>10</v>
      </c>
      <c r="AB5284" s="18">
        <f t="shared" si="164"/>
        <v>2009</v>
      </c>
      <c r="AC5284" s="22">
        <f t="shared" si="165"/>
        <v>0.65866666666666662</v>
      </c>
    </row>
    <row r="5285" spans="1:29">
      <c r="A5285" s="8" t="s">
        <v>1006</v>
      </c>
      <c r="B5285" s="17" t="s">
        <v>7741</v>
      </c>
      <c r="C5285" s="13">
        <v>39882</v>
      </c>
      <c r="D5285" s="13" t="s">
        <v>8465</v>
      </c>
      <c r="E5285" s="10" t="s">
        <v>455</v>
      </c>
      <c r="F5285" s="10" t="s">
        <v>1058</v>
      </c>
      <c r="H5285" s="2" t="s">
        <v>153</v>
      </c>
      <c r="L5285" s="18">
        <v>1</v>
      </c>
      <c r="M5285" s="14" t="s">
        <v>8462</v>
      </c>
      <c r="N5285" s="13">
        <v>43648</v>
      </c>
      <c r="O5285" s="29">
        <v>8.9499999999999993</v>
      </c>
      <c r="P5285" s="18" t="s">
        <v>14</v>
      </c>
      <c r="Q5285" s="18">
        <v>0</v>
      </c>
      <c r="U5285" s="22">
        <v>0.83</v>
      </c>
      <c r="V5285" s="22">
        <f>3.87/5</f>
        <v>0.77400000000000002</v>
      </c>
      <c r="W5285" s="14" t="s">
        <v>1066</v>
      </c>
      <c r="X5285" s="3">
        <v>4</v>
      </c>
      <c r="Z5285" s="23">
        <v>5.5</v>
      </c>
      <c r="AB5285" s="18">
        <f t="shared" si="164"/>
        <v>2009</v>
      </c>
      <c r="AC5285" s="22">
        <f t="shared" si="165"/>
        <v>0.80133333333333334</v>
      </c>
    </row>
    <row r="5286" spans="1:29">
      <c r="A5286" s="8" t="s">
        <v>2158</v>
      </c>
      <c r="B5286" s="17" t="s">
        <v>7748</v>
      </c>
      <c r="C5286" s="13">
        <v>39882</v>
      </c>
      <c r="D5286" s="13" t="s">
        <v>8465</v>
      </c>
      <c r="E5286" s="10" t="s">
        <v>1534</v>
      </c>
      <c r="F5286" s="10" t="s">
        <v>1083</v>
      </c>
      <c r="H5286" s="2" t="s">
        <v>171</v>
      </c>
      <c r="L5286" s="18">
        <v>0</v>
      </c>
      <c r="Q5286" s="18">
        <v>0</v>
      </c>
      <c r="U5286" s="22">
        <v>0.74</v>
      </c>
      <c r="V5286" s="22">
        <f>3.93/5</f>
        <v>0.78600000000000003</v>
      </c>
      <c r="X5286" s="3">
        <v>3</v>
      </c>
      <c r="Z5286" s="23">
        <v>22</v>
      </c>
      <c r="AB5286" s="18">
        <f t="shared" si="164"/>
        <v>2009</v>
      </c>
      <c r="AC5286" s="22">
        <f t="shared" si="165"/>
        <v>0.70866666666666667</v>
      </c>
    </row>
    <row r="5287" spans="1:29">
      <c r="A5287" s="8" t="s">
        <v>7499</v>
      </c>
      <c r="B5287" s="17" t="s">
        <v>7742</v>
      </c>
      <c r="C5287" s="13">
        <v>39881</v>
      </c>
      <c r="D5287" s="13" t="s">
        <v>8465</v>
      </c>
      <c r="E5287" s="10" t="s">
        <v>72</v>
      </c>
      <c r="F5287" s="10" t="s">
        <v>1081</v>
      </c>
      <c r="G5287" s="11" t="s">
        <v>123</v>
      </c>
      <c r="H5287" s="2" t="s">
        <v>21</v>
      </c>
      <c r="L5287" s="18">
        <v>0</v>
      </c>
      <c r="Q5287" s="18">
        <v>0</v>
      </c>
      <c r="U5287" s="22">
        <v>0.74</v>
      </c>
      <c r="V5287" s="22">
        <f>3.8/5</f>
        <v>0.76</v>
      </c>
      <c r="X5287" s="3">
        <v>3</v>
      </c>
      <c r="Z5287" s="23">
        <f>59/60</f>
        <v>0.98333333333333328</v>
      </c>
      <c r="AB5287" s="18">
        <f t="shared" si="164"/>
        <v>2009</v>
      </c>
      <c r="AC5287" s="22">
        <f t="shared" si="165"/>
        <v>0.70000000000000007</v>
      </c>
    </row>
    <row r="5288" spans="1:29">
      <c r="A5288" s="8" t="s">
        <v>2448</v>
      </c>
      <c r="B5288" s="17" t="s">
        <v>7748</v>
      </c>
      <c r="C5288" s="13">
        <v>39877</v>
      </c>
      <c r="D5288" s="13" t="s">
        <v>8463</v>
      </c>
      <c r="E5288" s="10" t="s">
        <v>455</v>
      </c>
      <c r="F5288" s="10" t="s">
        <v>6037</v>
      </c>
      <c r="G5288" s="11" t="s">
        <v>2448</v>
      </c>
      <c r="H5288" s="2" t="s">
        <v>149</v>
      </c>
      <c r="K5288" s="18">
        <v>2</v>
      </c>
      <c r="L5288" s="18">
        <v>0</v>
      </c>
      <c r="Q5288" s="18">
        <v>0</v>
      </c>
      <c r="V5288" s="22">
        <f>3.83/5</f>
        <v>0.76600000000000001</v>
      </c>
      <c r="X5288" s="3">
        <v>3</v>
      </c>
      <c r="Z5288" s="23">
        <v>35</v>
      </c>
      <c r="AB5288" s="18">
        <f t="shared" si="164"/>
        <v>2009</v>
      </c>
      <c r="AC5288" s="22">
        <f t="shared" si="165"/>
        <v>0.68300000000000005</v>
      </c>
    </row>
    <row r="5289" spans="1:29">
      <c r="A5289" s="8" t="s">
        <v>3793</v>
      </c>
      <c r="B5289" s="17" t="s">
        <v>7800</v>
      </c>
      <c r="C5289" s="13">
        <v>39875</v>
      </c>
      <c r="D5289" s="13" t="s">
        <v>8465</v>
      </c>
      <c r="E5289" s="10" t="s">
        <v>455</v>
      </c>
      <c r="F5289" s="10" t="s">
        <v>3151</v>
      </c>
      <c r="G5289" s="11" t="s">
        <v>3794</v>
      </c>
      <c r="H5289" s="2" t="s">
        <v>69</v>
      </c>
      <c r="L5289" s="18">
        <v>1</v>
      </c>
      <c r="N5289" s="13">
        <v>41968</v>
      </c>
      <c r="P5289" s="18" t="s">
        <v>1107</v>
      </c>
      <c r="Q5289" s="18">
        <v>0</v>
      </c>
      <c r="U5289" s="22">
        <v>0.89</v>
      </c>
      <c r="V5289" s="22">
        <f>3.84/5</f>
        <v>0.76800000000000002</v>
      </c>
      <c r="W5289" s="14" t="s">
        <v>7777</v>
      </c>
      <c r="X5289" s="3">
        <v>3</v>
      </c>
      <c r="Z5289" s="23">
        <v>22</v>
      </c>
      <c r="AB5289" s="18">
        <f t="shared" si="164"/>
        <v>2009</v>
      </c>
      <c r="AC5289" s="22">
        <f t="shared" si="165"/>
        <v>0.75266666666666671</v>
      </c>
    </row>
    <row r="5290" spans="1:29">
      <c r="A5290" s="8" t="s">
        <v>7464</v>
      </c>
      <c r="B5290" s="17" t="s">
        <v>7759</v>
      </c>
      <c r="C5290" s="13">
        <v>39875</v>
      </c>
      <c r="D5290" s="13" t="s">
        <v>8465</v>
      </c>
      <c r="E5290" s="10" t="s">
        <v>1047</v>
      </c>
      <c r="F5290" s="10" t="s">
        <v>7465</v>
      </c>
      <c r="G5290" s="11" t="s">
        <v>7466</v>
      </c>
      <c r="H5290" s="2" t="s">
        <v>7594</v>
      </c>
      <c r="L5290" s="18">
        <v>0</v>
      </c>
      <c r="Q5290" s="18">
        <v>0</v>
      </c>
      <c r="U5290" s="22">
        <v>0.74</v>
      </c>
      <c r="V5290" s="22">
        <f>3.71/5</f>
        <v>0.74199999999999999</v>
      </c>
      <c r="X5290" s="3">
        <v>3</v>
      </c>
      <c r="Y5290" s="18">
        <v>1</v>
      </c>
      <c r="Z5290" s="23">
        <v>7.5</v>
      </c>
      <c r="AB5290" s="18">
        <f t="shared" si="164"/>
        <v>2009</v>
      </c>
      <c r="AC5290" s="22">
        <f t="shared" si="165"/>
        <v>0.69399999999999995</v>
      </c>
    </row>
    <row r="5291" spans="1:29" ht="30">
      <c r="A5291" s="8" t="s">
        <v>9419</v>
      </c>
      <c r="B5291" s="17" t="s">
        <v>7762</v>
      </c>
      <c r="C5291" s="13">
        <v>39875</v>
      </c>
      <c r="D5291" s="13" t="s">
        <v>8465</v>
      </c>
      <c r="E5291" s="10" t="s">
        <v>455</v>
      </c>
      <c r="F5291" s="10" t="s">
        <v>1492</v>
      </c>
      <c r="G5291" s="11" t="s">
        <v>1936</v>
      </c>
      <c r="H5291" s="2" t="s">
        <v>171</v>
      </c>
      <c r="L5291" s="18">
        <v>0</v>
      </c>
      <c r="Q5291" s="18">
        <v>0</v>
      </c>
      <c r="U5291" s="22">
        <v>0.64</v>
      </c>
      <c r="V5291" s="22">
        <f>3.97/5</f>
        <v>0.79400000000000004</v>
      </c>
      <c r="X5291" s="3">
        <v>3</v>
      </c>
      <c r="Z5291" s="23">
        <v>15</v>
      </c>
      <c r="AB5291" s="18">
        <f t="shared" si="164"/>
        <v>2009</v>
      </c>
      <c r="AC5291" s="22">
        <f t="shared" si="165"/>
        <v>0.67800000000000005</v>
      </c>
    </row>
    <row r="5292" spans="1:29" ht="25.5">
      <c r="A5292" s="8" t="s">
        <v>7396</v>
      </c>
      <c r="B5292" s="17" t="s">
        <v>7741</v>
      </c>
      <c r="C5292" s="13">
        <v>39875</v>
      </c>
      <c r="D5292" s="13" t="s">
        <v>8465</v>
      </c>
      <c r="E5292" s="10" t="s">
        <v>455</v>
      </c>
      <c r="F5292" s="10" t="s">
        <v>1492</v>
      </c>
      <c r="G5292" s="11" t="s">
        <v>1688</v>
      </c>
      <c r="H5292" s="2" t="s">
        <v>1059</v>
      </c>
      <c r="L5292" s="18">
        <v>0</v>
      </c>
      <c r="Q5292" s="18">
        <v>0</v>
      </c>
      <c r="U5292" s="22">
        <v>0.55000000000000004</v>
      </c>
      <c r="V5292" s="22">
        <f>3.31/5</f>
        <v>0.66200000000000003</v>
      </c>
      <c r="X5292" s="3">
        <v>3</v>
      </c>
      <c r="Z5292" s="23">
        <v>3</v>
      </c>
      <c r="AB5292" s="18">
        <f t="shared" si="164"/>
        <v>2009</v>
      </c>
      <c r="AC5292" s="22">
        <f t="shared" si="165"/>
        <v>0.60400000000000009</v>
      </c>
    </row>
    <row r="5293" spans="1:29" ht="25.5">
      <c r="A5293" s="8" t="s">
        <v>11193</v>
      </c>
      <c r="B5293" s="17" t="s">
        <v>7758</v>
      </c>
      <c r="C5293" s="13">
        <v>39875</v>
      </c>
      <c r="D5293" s="13" t="s">
        <v>8465</v>
      </c>
      <c r="E5293" s="10" t="s">
        <v>11188</v>
      </c>
      <c r="F5293" s="10" t="s">
        <v>11188</v>
      </c>
      <c r="G5293" s="11" t="s">
        <v>567</v>
      </c>
      <c r="H5293" s="2" t="s">
        <v>459</v>
      </c>
      <c r="L5293" s="18">
        <v>0</v>
      </c>
      <c r="Q5293" s="18">
        <v>0</v>
      </c>
      <c r="U5293" s="22">
        <v>0.73</v>
      </c>
      <c r="V5293" s="22">
        <f>4.3/5</f>
        <v>0.86</v>
      </c>
      <c r="X5293" s="3">
        <v>2</v>
      </c>
      <c r="Z5293" s="23">
        <v>1</v>
      </c>
      <c r="AB5293" s="18">
        <f t="shared" si="164"/>
        <v>2009</v>
      </c>
      <c r="AC5293" s="22">
        <f t="shared" si="165"/>
        <v>0.66333333333333322</v>
      </c>
    </row>
    <row r="5294" spans="1:29" ht="25.5">
      <c r="A5294" s="8" t="s">
        <v>2341</v>
      </c>
      <c r="B5294" s="17" t="s">
        <v>7748</v>
      </c>
      <c r="C5294" s="13">
        <v>39870</v>
      </c>
      <c r="D5294" s="13" t="s">
        <v>8463</v>
      </c>
      <c r="E5294" s="10" t="s">
        <v>1541</v>
      </c>
      <c r="F5294" s="10" t="s">
        <v>1165</v>
      </c>
      <c r="G5294" s="11" t="s">
        <v>2281</v>
      </c>
      <c r="H5294" s="2" t="s">
        <v>1142</v>
      </c>
      <c r="K5294" s="18">
        <v>2</v>
      </c>
      <c r="L5294" s="18">
        <v>0</v>
      </c>
      <c r="Q5294" s="18">
        <v>0</v>
      </c>
      <c r="V5294" s="22">
        <f>3.99/5</f>
        <v>0.79800000000000004</v>
      </c>
      <c r="X5294" s="3">
        <v>3</v>
      </c>
      <c r="AB5294" s="18">
        <f t="shared" si="164"/>
        <v>2009</v>
      </c>
      <c r="AC5294" s="22">
        <f t="shared" si="165"/>
        <v>0.69900000000000007</v>
      </c>
    </row>
    <row r="5295" spans="1:29" ht="25.5">
      <c r="A5295" s="8" t="s">
        <v>5941</v>
      </c>
      <c r="B5295" s="17" t="s">
        <v>7759</v>
      </c>
      <c r="C5295" s="13">
        <v>39870</v>
      </c>
      <c r="D5295" s="13" t="s">
        <v>8465</v>
      </c>
      <c r="E5295" s="10" t="s">
        <v>2298</v>
      </c>
      <c r="F5295" s="10" t="s">
        <v>3775</v>
      </c>
      <c r="H5295" s="2" t="s">
        <v>1168</v>
      </c>
      <c r="L5295" s="18">
        <v>1</v>
      </c>
      <c r="M5295" s="14" t="s">
        <v>8462</v>
      </c>
      <c r="N5295" s="13">
        <v>43537</v>
      </c>
      <c r="O5295" s="29">
        <v>7</v>
      </c>
      <c r="P5295" s="18" t="s">
        <v>14</v>
      </c>
      <c r="Q5295" s="18">
        <v>0</v>
      </c>
      <c r="U5295" s="22">
        <v>0.53</v>
      </c>
      <c r="V5295" s="22">
        <f>3.02/5</f>
        <v>0.60399999999999998</v>
      </c>
      <c r="X5295" s="3">
        <v>2</v>
      </c>
      <c r="Z5295" s="23">
        <v>7</v>
      </c>
      <c r="AB5295" s="18">
        <f t="shared" si="164"/>
        <v>2009</v>
      </c>
      <c r="AC5295" s="22">
        <f t="shared" si="165"/>
        <v>0.51133333333333331</v>
      </c>
    </row>
    <row r="5296" spans="1:29" ht="25.5">
      <c r="A5296" s="8" t="s">
        <v>3709</v>
      </c>
      <c r="B5296" s="17" t="s">
        <v>7800</v>
      </c>
      <c r="C5296" s="13">
        <v>39868</v>
      </c>
      <c r="D5296" s="13" t="s">
        <v>8465</v>
      </c>
      <c r="E5296" s="10" t="s">
        <v>1342</v>
      </c>
      <c r="F5296" s="10" t="s">
        <v>3710</v>
      </c>
      <c r="G5296" s="11" t="s">
        <v>3326</v>
      </c>
      <c r="H5296" s="2" t="s">
        <v>1720</v>
      </c>
      <c r="L5296" s="18">
        <v>1</v>
      </c>
      <c r="N5296" s="13">
        <v>41408</v>
      </c>
      <c r="P5296" s="18" t="s">
        <v>1107</v>
      </c>
      <c r="Q5296" s="18">
        <v>0</v>
      </c>
      <c r="U5296" s="22">
        <v>0.73</v>
      </c>
      <c r="V5296" s="22">
        <f>3.63/5</f>
        <v>0.72599999999999998</v>
      </c>
      <c r="W5296" s="14" t="s">
        <v>7777</v>
      </c>
      <c r="X5296" s="3">
        <v>3</v>
      </c>
      <c r="Z5296" s="23">
        <v>31.5</v>
      </c>
      <c r="AB5296" s="18">
        <f t="shared" si="164"/>
        <v>2009</v>
      </c>
      <c r="AC5296" s="22">
        <f t="shared" si="165"/>
        <v>0.68533333333333335</v>
      </c>
    </row>
    <row r="5297" spans="1:29" ht="25.5">
      <c r="A5297" s="8" t="s">
        <v>2192</v>
      </c>
      <c r="B5297" s="17" t="s">
        <v>7748</v>
      </c>
      <c r="C5297" s="13">
        <v>39868</v>
      </c>
      <c r="D5297" s="13" t="s">
        <v>8465</v>
      </c>
      <c r="E5297" s="10" t="s">
        <v>1245</v>
      </c>
      <c r="F5297" s="10" t="s">
        <v>2310</v>
      </c>
      <c r="G5297" s="11" t="s">
        <v>304</v>
      </c>
      <c r="H5297" s="2" t="s">
        <v>171</v>
      </c>
      <c r="L5297" s="18">
        <v>0</v>
      </c>
      <c r="Q5297" s="18">
        <v>0</v>
      </c>
      <c r="U5297" s="22">
        <v>0.71</v>
      </c>
      <c r="V5297" s="22">
        <f>3.58/5</f>
        <v>0.71599999999999997</v>
      </c>
      <c r="X5297" s="3">
        <v>3</v>
      </c>
      <c r="Z5297" s="23">
        <v>13.5</v>
      </c>
      <c r="AB5297" s="18">
        <f t="shared" si="164"/>
        <v>2009</v>
      </c>
      <c r="AC5297" s="22">
        <f t="shared" si="165"/>
        <v>0.67533333333333323</v>
      </c>
    </row>
    <row r="5298" spans="1:29">
      <c r="A5298" s="8" t="s">
        <v>4761</v>
      </c>
      <c r="B5298" s="17" t="s">
        <v>7800</v>
      </c>
      <c r="C5298" s="13">
        <v>39868</v>
      </c>
      <c r="D5298" s="13" t="s">
        <v>8465</v>
      </c>
      <c r="E5298" s="10" t="s">
        <v>2298</v>
      </c>
      <c r="F5298" s="10" t="s">
        <v>2331</v>
      </c>
      <c r="G5298" s="11" t="s">
        <v>2332</v>
      </c>
      <c r="H5298" s="2" t="s">
        <v>78</v>
      </c>
      <c r="L5298" s="18">
        <v>1</v>
      </c>
      <c r="N5298" s="13">
        <v>41652</v>
      </c>
      <c r="O5298" s="29">
        <v>0.99</v>
      </c>
      <c r="P5298" s="18" t="s">
        <v>1107</v>
      </c>
      <c r="Q5298" s="18">
        <v>0</v>
      </c>
      <c r="U5298" s="22">
        <v>0.73</v>
      </c>
      <c r="V5298" s="22">
        <f>3.24/5</f>
        <v>0.64800000000000002</v>
      </c>
      <c r="W5298" s="14" t="s">
        <v>7777</v>
      </c>
      <c r="X5298" s="3">
        <v>3</v>
      </c>
      <c r="Z5298" s="23">
        <v>15</v>
      </c>
      <c r="AB5298" s="18">
        <f t="shared" si="164"/>
        <v>2009</v>
      </c>
      <c r="AC5298" s="22">
        <f t="shared" si="165"/>
        <v>0.65933333333333344</v>
      </c>
    </row>
    <row r="5299" spans="1:29" ht="25.5">
      <c r="A5299" s="8" t="s">
        <v>5908</v>
      </c>
      <c r="B5299" s="17" t="s">
        <v>7759</v>
      </c>
      <c r="C5299" s="13">
        <v>39868</v>
      </c>
      <c r="D5299" s="13" t="s">
        <v>8465</v>
      </c>
      <c r="E5299" s="10" t="s">
        <v>1342</v>
      </c>
      <c r="F5299" s="10" t="s">
        <v>5909</v>
      </c>
      <c r="G5299" s="11" t="s">
        <v>6073</v>
      </c>
      <c r="H5299" s="2" t="s">
        <v>1168</v>
      </c>
      <c r="L5299" s="18">
        <v>1</v>
      </c>
      <c r="M5299" s="14" t="s">
        <v>8462</v>
      </c>
      <c r="N5299" s="13">
        <v>43448</v>
      </c>
      <c r="O5299" s="29">
        <v>16.989999999999998</v>
      </c>
      <c r="P5299" s="18" t="s">
        <v>14</v>
      </c>
      <c r="Q5299" s="18">
        <v>0</v>
      </c>
      <c r="U5299" s="22">
        <v>0.71</v>
      </c>
      <c r="V5299" s="22">
        <f>2.95/5</f>
        <v>0.59000000000000008</v>
      </c>
      <c r="X5299" s="3">
        <v>3</v>
      </c>
      <c r="Z5299" s="23">
        <v>5.5</v>
      </c>
      <c r="AB5299" s="18">
        <f t="shared" si="164"/>
        <v>2009</v>
      </c>
      <c r="AC5299" s="22">
        <f t="shared" si="165"/>
        <v>0.6333333333333333</v>
      </c>
    </row>
    <row r="5300" spans="1:29" ht="25.5">
      <c r="A5300" s="8" t="s">
        <v>7373</v>
      </c>
      <c r="B5300" s="17" t="s">
        <v>7741</v>
      </c>
      <c r="C5300" s="13">
        <v>39868</v>
      </c>
      <c r="D5300" s="13" t="s">
        <v>8465</v>
      </c>
      <c r="E5300" s="10" t="s">
        <v>73</v>
      </c>
      <c r="F5300" s="10" t="s">
        <v>7406</v>
      </c>
      <c r="G5300" s="11" t="s">
        <v>3589</v>
      </c>
      <c r="H5300" s="2" t="s">
        <v>1061</v>
      </c>
      <c r="L5300" s="18">
        <v>0</v>
      </c>
      <c r="Q5300" s="18">
        <v>0</v>
      </c>
      <c r="U5300" s="22">
        <v>0.61</v>
      </c>
      <c r="V5300" s="22">
        <f>3.66/5</f>
        <v>0.73199999999999998</v>
      </c>
      <c r="X5300" s="3">
        <v>2</v>
      </c>
      <c r="Z5300" s="23">
        <v>8</v>
      </c>
      <c r="AB5300" s="18">
        <f t="shared" si="164"/>
        <v>2009</v>
      </c>
      <c r="AC5300" s="22">
        <f t="shared" si="165"/>
        <v>0.58066666666666666</v>
      </c>
    </row>
    <row r="5301" spans="1:29">
      <c r="A5301" s="8" t="s">
        <v>1076</v>
      </c>
      <c r="B5301" s="17" t="s">
        <v>7742</v>
      </c>
      <c r="C5301" s="13">
        <v>39867</v>
      </c>
      <c r="D5301" s="13" t="s">
        <v>8465</v>
      </c>
      <c r="E5301" s="10" t="s">
        <v>62</v>
      </c>
      <c r="F5301" s="10" t="s">
        <v>1085</v>
      </c>
      <c r="H5301" s="2" t="s">
        <v>1050</v>
      </c>
      <c r="L5301" s="18">
        <v>0</v>
      </c>
      <c r="Q5301" s="18">
        <v>0</v>
      </c>
      <c r="U5301" s="22">
        <v>0.7</v>
      </c>
      <c r="V5301" s="22">
        <f>3.79/5</f>
        <v>0.75800000000000001</v>
      </c>
      <c r="X5301" s="3">
        <v>3</v>
      </c>
      <c r="Z5301" s="23">
        <v>4.2</v>
      </c>
      <c r="AB5301" s="18">
        <f t="shared" si="164"/>
        <v>2009</v>
      </c>
      <c r="AC5301" s="22">
        <f t="shared" si="165"/>
        <v>0.68599999999999994</v>
      </c>
    </row>
    <row r="5302" spans="1:29" ht="25.5">
      <c r="A5302" s="8" t="s">
        <v>5535</v>
      </c>
      <c r="B5302" s="17" t="s">
        <v>7800</v>
      </c>
      <c r="C5302" s="13">
        <v>39863</v>
      </c>
      <c r="D5302" s="13" t="s">
        <v>8465</v>
      </c>
      <c r="E5302" s="10" t="s">
        <v>455</v>
      </c>
      <c r="F5302" s="10" t="s">
        <v>3480</v>
      </c>
      <c r="G5302" s="11" t="s">
        <v>5534</v>
      </c>
      <c r="H5302" s="2" t="s">
        <v>3279</v>
      </c>
      <c r="L5302" s="18">
        <v>1</v>
      </c>
      <c r="N5302" s="13">
        <v>41369</v>
      </c>
      <c r="O5302" s="29">
        <v>0</v>
      </c>
      <c r="P5302" s="18" t="s">
        <v>1107</v>
      </c>
      <c r="Q5302" s="18">
        <v>0</v>
      </c>
      <c r="U5302" s="22">
        <v>0.85</v>
      </c>
      <c r="V5302" s="22">
        <f>3.92/5</f>
        <v>0.78400000000000003</v>
      </c>
      <c r="W5302" s="14" t="s">
        <v>7777</v>
      </c>
      <c r="X5302" s="3">
        <v>3</v>
      </c>
      <c r="Z5302" s="23">
        <v>15</v>
      </c>
      <c r="AB5302" s="18">
        <f t="shared" si="164"/>
        <v>2009</v>
      </c>
      <c r="AC5302" s="22">
        <f t="shared" si="165"/>
        <v>0.7446666666666667</v>
      </c>
    </row>
    <row r="5303" spans="1:29">
      <c r="A5303" s="8" t="s">
        <v>2161</v>
      </c>
      <c r="B5303" s="17" t="s">
        <v>7748</v>
      </c>
      <c r="C5303" s="13">
        <v>39863</v>
      </c>
      <c r="D5303" s="13" t="s">
        <v>8465</v>
      </c>
      <c r="E5303" s="10" t="s">
        <v>1527</v>
      </c>
      <c r="F5303" s="10" t="s">
        <v>1548</v>
      </c>
      <c r="G5303" s="11" t="s">
        <v>2297</v>
      </c>
      <c r="H5303" s="2" t="s">
        <v>75</v>
      </c>
      <c r="L5303" s="18">
        <v>0</v>
      </c>
      <c r="Q5303" s="18">
        <v>0</v>
      </c>
      <c r="U5303" s="22">
        <v>0.71</v>
      </c>
      <c r="V5303" s="22">
        <f>3.4/5</f>
        <v>0.67999999999999994</v>
      </c>
      <c r="X5303" s="3">
        <v>3</v>
      </c>
      <c r="Z5303" s="23">
        <v>14</v>
      </c>
      <c r="AB5303" s="18">
        <f t="shared" si="164"/>
        <v>2009</v>
      </c>
      <c r="AC5303" s="22">
        <f t="shared" si="165"/>
        <v>0.66333333333333322</v>
      </c>
    </row>
    <row r="5304" spans="1:29">
      <c r="A5304" s="8" t="s">
        <v>14703</v>
      </c>
      <c r="B5304" s="17" t="s">
        <v>7758</v>
      </c>
      <c r="C5304" s="13">
        <v>39863</v>
      </c>
      <c r="D5304" s="13" t="s">
        <v>8463</v>
      </c>
      <c r="E5304" s="10" t="s">
        <v>1897</v>
      </c>
      <c r="F5304" s="10" t="s">
        <v>1897</v>
      </c>
      <c r="H5304" s="2" t="s">
        <v>75</v>
      </c>
      <c r="K5304" s="18">
        <v>0</v>
      </c>
      <c r="L5304" s="18">
        <v>0</v>
      </c>
      <c r="Q5304" s="18">
        <v>0</v>
      </c>
      <c r="V5304" s="22">
        <f>4.02/5</f>
        <v>0.80399999999999994</v>
      </c>
      <c r="X5304" s="3">
        <v>2</v>
      </c>
      <c r="AB5304" s="18">
        <f t="shared" si="164"/>
        <v>2009</v>
      </c>
      <c r="AC5304" s="22">
        <f t="shared" si="165"/>
        <v>0.60199999999999998</v>
      </c>
    </row>
    <row r="5305" spans="1:29">
      <c r="A5305" s="8" t="s">
        <v>8183</v>
      </c>
      <c r="B5305" s="17" t="s">
        <v>7748</v>
      </c>
      <c r="C5305" s="13">
        <v>39863</v>
      </c>
      <c r="D5305" s="13" t="s">
        <v>8463</v>
      </c>
      <c r="E5305" s="10" t="s">
        <v>455</v>
      </c>
      <c r="F5305" s="10" t="s">
        <v>1897</v>
      </c>
      <c r="G5305" s="11" t="s">
        <v>1661</v>
      </c>
      <c r="H5305" s="2" t="s">
        <v>75</v>
      </c>
      <c r="K5305" s="18">
        <v>1</v>
      </c>
      <c r="L5305" s="18">
        <v>0</v>
      </c>
      <c r="Q5305" s="18">
        <v>0</v>
      </c>
      <c r="U5305" s="22">
        <v>0.8</v>
      </c>
      <c r="V5305" s="22">
        <f>3.97/5</f>
        <v>0.79400000000000004</v>
      </c>
      <c r="X5305" s="3">
        <v>2</v>
      </c>
      <c r="AB5305" s="18">
        <f t="shared" si="164"/>
        <v>2009</v>
      </c>
      <c r="AC5305" s="22">
        <f t="shared" si="165"/>
        <v>0.66466666666666674</v>
      </c>
    </row>
    <row r="5306" spans="1:29" ht="25.5">
      <c r="A5306" s="8" t="s">
        <v>3975</v>
      </c>
      <c r="B5306" s="17" t="s">
        <v>7800</v>
      </c>
      <c r="C5306" s="13">
        <v>39863</v>
      </c>
      <c r="D5306" s="13" t="s">
        <v>8465</v>
      </c>
      <c r="E5306" s="10" t="s">
        <v>3234</v>
      </c>
      <c r="F5306" s="10" t="s">
        <v>3234</v>
      </c>
      <c r="G5306" s="11" t="s">
        <v>3971</v>
      </c>
      <c r="H5306" s="2" t="s">
        <v>1720</v>
      </c>
      <c r="L5306" s="18">
        <v>1</v>
      </c>
      <c r="N5306" s="13">
        <v>41114</v>
      </c>
      <c r="P5306" s="18" t="s">
        <v>1107</v>
      </c>
      <c r="Q5306" s="18">
        <v>0</v>
      </c>
      <c r="V5306" s="22">
        <f>3.79/5</f>
        <v>0.75800000000000001</v>
      </c>
      <c r="W5306" s="14" t="s">
        <v>7777</v>
      </c>
      <c r="X5306" s="3">
        <v>2</v>
      </c>
      <c r="Z5306" s="23">
        <v>10</v>
      </c>
      <c r="AB5306" s="18">
        <f t="shared" si="164"/>
        <v>2009</v>
      </c>
      <c r="AC5306" s="22">
        <f t="shared" si="165"/>
        <v>0.57899999999999996</v>
      </c>
    </row>
    <row r="5307" spans="1:29" ht="25.5">
      <c r="A5307" s="8" t="s">
        <v>2238</v>
      </c>
      <c r="B5307" s="17" t="s">
        <v>7748</v>
      </c>
      <c r="C5307" s="13">
        <v>39861</v>
      </c>
      <c r="D5307" s="13" t="s">
        <v>8465</v>
      </c>
      <c r="E5307" s="10" t="s">
        <v>1082</v>
      </c>
      <c r="F5307" s="10" t="s">
        <v>1537</v>
      </c>
      <c r="G5307" s="11" t="s">
        <v>140</v>
      </c>
      <c r="H5307" s="2" t="s">
        <v>149</v>
      </c>
      <c r="L5307" s="18">
        <v>0</v>
      </c>
      <c r="Q5307" s="18">
        <v>0</v>
      </c>
      <c r="U5307" s="22">
        <v>0.85</v>
      </c>
      <c r="V5307" s="22">
        <f>4.26/5</f>
        <v>0.85199999999999998</v>
      </c>
      <c r="X5307" s="3">
        <v>4</v>
      </c>
      <c r="Z5307" s="23">
        <v>30.5</v>
      </c>
      <c r="AB5307" s="18">
        <f t="shared" si="164"/>
        <v>2009</v>
      </c>
      <c r="AC5307" s="22">
        <f t="shared" si="165"/>
        <v>0.83399999999999996</v>
      </c>
    </row>
    <row r="5308" spans="1:29" ht="30">
      <c r="A5308" s="8" t="s">
        <v>6249</v>
      </c>
      <c r="B5308" s="17" t="s">
        <v>7762</v>
      </c>
      <c r="C5308" s="13">
        <v>39861</v>
      </c>
      <c r="D5308" s="13" t="s">
        <v>8465</v>
      </c>
      <c r="E5308" s="10" t="s">
        <v>1062</v>
      </c>
      <c r="F5308" s="10" t="s">
        <v>2285</v>
      </c>
      <c r="G5308" s="11" t="s">
        <v>6266</v>
      </c>
      <c r="H5308" s="2" t="s">
        <v>56</v>
      </c>
      <c r="L5308" s="18">
        <v>0</v>
      </c>
      <c r="Q5308" s="18">
        <v>0</v>
      </c>
      <c r="U5308" s="22">
        <v>0.74</v>
      </c>
      <c r="V5308" s="22">
        <f>3.78/5</f>
        <v>0.75600000000000001</v>
      </c>
      <c r="X5308" s="3">
        <v>3</v>
      </c>
      <c r="Z5308" s="23">
        <v>8.5</v>
      </c>
      <c r="AB5308" s="18">
        <f t="shared" si="164"/>
        <v>2009</v>
      </c>
      <c r="AC5308" s="22">
        <f t="shared" si="165"/>
        <v>0.69866666666666666</v>
      </c>
    </row>
    <row r="5309" spans="1:29" ht="25.5">
      <c r="A5309" s="8" t="s">
        <v>2243</v>
      </c>
      <c r="B5309" s="17" t="s">
        <v>7748</v>
      </c>
      <c r="C5309" s="13">
        <v>39860</v>
      </c>
      <c r="D5309" s="13" t="s">
        <v>8465</v>
      </c>
      <c r="E5309" s="10" t="s">
        <v>86</v>
      </c>
      <c r="F5309" s="10" t="s">
        <v>1069</v>
      </c>
      <c r="G5309" s="11" t="s">
        <v>305</v>
      </c>
      <c r="H5309" s="2" t="s">
        <v>75</v>
      </c>
      <c r="L5309" s="18">
        <v>0</v>
      </c>
      <c r="Q5309" s="18">
        <v>0</v>
      </c>
      <c r="U5309" s="22">
        <v>0.81</v>
      </c>
      <c r="V5309" s="22">
        <f>3.37/5</f>
        <v>0.67400000000000004</v>
      </c>
      <c r="X5309" s="3">
        <v>4</v>
      </c>
      <c r="Z5309" s="23">
        <v>20</v>
      </c>
      <c r="AB5309" s="18">
        <f t="shared" si="164"/>
        <v>2009</v>
      </c>
      <c r="AC5309" s="22">
        <f t="shared" si="165"/>
        <v>0.76133333333333331</v>
      </c>
    </row>
    <row r="5310" spans="1:29">
      <c r="A5310" s="8" t="s">
        <v>12382</v>
      </c>
      <c r="B5310" s="17" t="s">
        <v>7742</v>
      </c>
      <c r="C5310" s="13">
        <v>39860</v>
      </c>
      <c r="D5310" s="13" t="s">
        <v>8465</v>
      </c>
      <c r="E5310" s="10" t="s">
        <v>7985</v>
      </c>
      <c r="F5310" s="10" t="s">
        <v>1055</v>
      </c>
      <c r="H5310" s="2" t="s">
        <v>143</v>
      </c>
      <c r="L5310" s="18">
        <v>0</v>
      </c>
      <c r="Q5310" s="18">
        <v>0</v>
      </c>
      <c r="V5310" s="22">
        <f>4.08/5</f>
        <v>0.81600000000000006</v>
      </c>
      <c r="W5310" s="14" t="s">
        <v>9890</v>
      </c>
      <c r="X5310" s="3">
        <v>2</v>
      </c>
      <c r="AB5310" s="18">
        <f t="shared" si="164"/>
        <v>2009</v>
      </c>
      <c r="AC5310" s="22">
        <f t="shared" si="165"/>
        <v>0.6080000000000001</v>
      </c>
    </row>
    <row r="5311" spans="1:29">
      <c r="A5311" s="8" t="s">
        <v>13305</v>
      </c>
      <c r="B5311" s="17" t="s">
        <v>7748</v>
      </c>
      <c r="C5311" s="13">
        <v>39857</v>
      </c>
      <c r="D5311" s="13" t="s">
        <v>8467</v>
      </c>
      <c r="E5311" s="10" t="s">
        <v>62</v>
      </c>
      <c r="F5311" s="10" t="s">
        <v>62</v>
      </c>
      <c r="G5311" s="11" t="s">
        <v>7674</v>
      </c>
      <c r="H5311" s="2" t="s">
        <v>143</v>
      </c>
      <c r="L5311" s="18">
        <v>0</v>
      </c>
      <c r="Q5311" s="18">
        <v>0</v>
      </c>
      <c r="V5311" s="22">
        <f>4.12/5</f>
        <v>0.82400000000000007</v>
      </c>
      <c r="X5311" s="3">
        <v>2</v>
      </c>
      <c r="Z5311" s="23">
        <v>1.5</v>
      </c>
      <c r="AB5311" s="18">
        <f t="shared" si="164"/>
        <v>2009</v>
      </c>
      <c r="AC5311" s="22">
        <f t="shared" si="165"/>
        <v>0.6120000000000001</v>
      </c>
    </row>
    <row r="5312" spans="1:29" ht="25.5">
      <c r="A5312" s="8" t="s">
        <v>3080</v>
      </c>
      <c r="B5312" s="17" t="s">
        <v>7800</v>
      </c>
      <c r="C5312" s="13">
        <v>39857</v>
      </c>
      <c r="D5312" s="13" t="s">
        <v>8465</v>
      </c>
      <c r="E5312" s="10" t="s">
        <v>3081</v>
      </c>
      <c r="F5312" s="10" t="s">
        <v>3082</v>
      </c>
      <c r="H5312" s="2" t="s">
        <v>67</v>
      </c>
      <c r="L5312" s="18">
        <v>1</v>
      </c>
      <c r="N5312" s="13">
        <v>41110</v>
      </c>
      <c r="P5312" s="18" t="s">
        <v>1107</v>
      </c>
      <c r="Q5312" s="18">
        <v>0</v>
      </c>
      <c r="U5312" s="22">
        <v>0.63</v>
      </c>
      <c r="V5312" s="22">
        <f>4.33/5</f>
        <v>0.86599999999999999</v>
      </c>
      <c r="W5312" s="14" t="s">
        <v>7777</v>
      </c>
      <c r="X5312" s="3">
        <v>2</v>
      </c>
      <c r="Z5312" s="23">
        <v>7</v>
      </c>
      <c r="AB5312" s="18">
        <f t="shared" si="164"/>
        <v>2009</v>
      </c>
      <c r="AC5312" s="22">
        <f t="shared" si="165"/>
        <v>0.63200000000000001</v>
      </c>
    </row>
    <row r="5313" spans="1:29" ht="30">
      <c r="A5313" s="8" t="s">
        <v>11081</v>
      </c>
      <c r="B5313" s="17" t="s">
        <v>7748</v>
      </c>
      <c r="C5313" s="13">
        <v>39857</v>
      </c>
      <c r="D5313" s="13" t="s">
        <v>8467</v>
      </c>
      <c r="E5313" s="10" t="s">
        <v>1571</v>
      </c>
      <c r="F5313" s="10" t="s">
        <v>11082</v>
      </c>
      <c r="G5313" s="11" t="s">
        <v>11066</v>
      </c>
      <c r="H5313" s="2" t="s">
        <v>153</v>
      </c>
      <c r="L5313" s="18">
        <v>0</v>
      </c>
      <c r="Q5313" s="18">
        <v>0</v>
      </c>
      <c r="V5313" s="22">
        <f>3.31/5</f>
        <v>0.66200000000000003</v>
      </c>
      <c r="X5313" s="3">
        <v>2</v>
      </c>
      <c r="AB5313" s="18">
        <f t="shared" ref="AB5313:AB5376" si="166">IFERROR(YEAR(C5313), "Early Access")</f>
        <v>2009</v>
      </c>
      <c r="AC5313" s="22">
        <f t="shared" ref="AC5313:AC5376" si="167">AVERAGE(T5313, U5313, V5313, IF(ISBLANK(X5313), X5313, X5313/5))</f>
        <v>0.53100000000000003</v>
      </c>
    </row>
    <row r="5314" spans="1:29">
      <c r="A5314" s="8" t="s">
        <v>2281</v>
      </c>
      <c r="B5314" s="17" t="s">
        <v>7748</v>
      </c>
      <c r="C5314" s="13">
        <v>39854</v>
      </c>
      <c r="D5314" s="13" t="s">
        <v>8465</v>
      </c>
      <c r="E5314" s="10" t="s">
        <v>1534</v>
      </c>
      <c r="F5314" s="10" t="s">
        <v>1165</v>
      </c>
      <c r="G5314" s="11" t="s">
        <v>2281</v>
      </c>
      <c r="H5314" s="2" t="s">
        <v>1142</v>
      </c>
      <c r="L5314" s="18">
        <v>0</v>
      </c>
      <c r="Q5314" s="18">
        <v>0</v>
      </c>
      <c r="U5314" s="22">
        <v>0.8</v>
      </c>
      <c r="V5314" s="22">
        <f>4.17/5</f>
        <v>0.83399999999999996</v>
      </c>
      <c r="X5314" s="3">
        <v>4</v>
      </c>
      <c r="Z5314" s="23">
        <v>10.5</v>
      </c>
      <c r="AB5314" s="18">
        <f t="shared" si="166"/>
        <v>2009</v>
      </c>
      <c r="AC5314" s="22">
        <f t="shared" si="167"/>
        <v>0.81133333333333335</v>
      </c>
    </row>
    <row r="5315" spans="1:29" ht="45">
      <c r="A5315" s="8" t="s">
        <v>3849</v>
      </c>
      <c r="B5315" s="17" t="s">
        <v>7800</v>
      </c>
      <c r="C5315" s="13">
        <v>39854</v>
      </c>
      <c r="D5315" s="13" t="s">
        <v>8465</v>
      </c>
      <c r="E5315" s="10" t="s">
        <v>1156</v>
      </c>
      <c r="F5315" s="10" t="s">
        <v>3487</v>
      </c>
      <c r="G5315" s="11" t="s">
        <v>3847</v>
      </c>
      <c r="H5315" s="2" t="s">
        <v>1061</v>
      </c>
      <c r="L5315" s="18">
        <v>1</v>
      </c>
      <c r="N5315" s="13">
        <v>41583</v>
      </c>
      <c r="P5315" s="18" t="s">
        <v>1107</v>
      </c>
      <c r="Q5315" s="18">
        <v>0</v>
      </c>
      <c r="U5315" s="22">
        <v>0.78</v>
      </c>
      <c r="V5315" s="22">
        <f>3.51/5</f>
        <v>0.70199999999999996</v>
      </c>
      <c r="W5315" s="14" t="s">
        <v>7777</v>
      </c>
      <c r="X5315" s="3">
        <v>4</v>
      </c>
      <c r="Z5315" s="23">
        <v>7</v>
      </c>
      <c r="AB5315" s="18">
        <f t="shared" si="166"/>
        <v>2009</v>
      </c>
      <c r="AC5315" s="22">
        <f t="shared" si="167"/>
        <v>0.76066666666666671</v>
      </c>
    </row>
    <row r="5316" spans="1:29" ht="30">
      <c r="A5316" s="8" t="s">
        <v>6217</v>
      </c>
      <c r="B5316" s="17" t="s">
        <v>7762</v>
      </c>
      <c r="C5316" s="13">
        <v>39854</v>
      </c>
      <c r="D5316" s="13" t="s">
        <v>8465</v>
      </c>
      <c r="E5316" s="10" t="s">
        <v>1290</v>
      </c>
      <c r="F5316" s="10" t="s">
        <v>6264</v>
      </c>
      <c r="G5316" s="11" t="s">
        <v>6246</v>
      </c>
      <c r="H5316" s="2" t="s">
        <v>27</v>
      </c>
      <c r="L5316" s="18">
        <v>0</v>
      </c>
      <c r="Q5316" s="18">
        <v>0</v>
      </c>
      <c r="U5316" s="22">
        <v>0.86</v>
      </c>
      <c r="V5316" s="22">
        <f>4.02/5</f>
        <v>0.80399999999999994</v>
      </c>
      <c r="X5316" s="3">
        <v>3</v>
      </c>
      <c r="Z5316" s="23">
        <v>7</v>
      </c>
      <c r="AB5316" s="18">
        <f t="shared" si="166"/>
        <v>2009</v>
      </c>
      <c r="AC5316" s="22">
        <f t="shared" si="167"/>
        <v>0.7546666666666666</v>
      </c>
    </row>
    <row r="5317" spans="1:29" ht="25.5">
      <c r="A5317" s="8" t="s">
        <v>1028</v>
      </c>
      <c r="B5317" s="17" t="s">
        <v>7741</v>
      </c>
      <c r="C5317" s="13">
        <v>39854</v>
      </c>
      <c r="D5317" s="13" t="s">
        <v>8465</v>
      </c>
      <c r="E5317" s="10" t="s">
        <v>455</v>
      </c>
      <c r="F5317" s="10" t="s">
        <v>1523</v>
      </c>
      <c r="G5317" s="11" t="s">
        <v>1524</v>
      </c>
      <c r="H5317" s="2" t="s">
        <v>1170</v>
      </c>
      <c r="L5317" s="18">
        <v>0</v>
      </c>
      <c r="Q5317" s="18">
        <v>0</v>
      </c>
      <c r="U5317" s="22">
        <v>0.81</v>
      </c>
      <c r="V5317" s="22">
        <f>3.99/5</f>
        <v>0.79800000000000004</v>
      </c>
      <c r="X5317" s="3">
        <v>3</v>
      </c>
      <c r="Z5317" s="23">
        <v>4</v>
      </c>
      <c r="AB5317" s="18">
        <f t="shared" si="166"/>
        <v>2009</v>
      </c>
      <c r="AC5317" s="22">
        <f t="shared" si="167"/>
        <v>0.7360000000000001</v>
      </c>
    </row>
    <row r="5318" spans="1:29" ht="25.5">
      <c r="A5318" s="8" t="s">
        <v>7394</v>
      </c>
      <c r="B5318" s="17" t="s">
        <v>7741</v>
      </c>
      <c r="C5318" s="13">
        <v>39854</v>
      </c>
      <c r="D5318" s="13" t="s">
        <v>8465</v>
      </c>
      <c r="E5318" s="10" t="s">
        <v>2298</v>
      </c>
      <c r="F5318" s="10" t="s">
        <v>7413</v>
      </c>
      <c r="G5318" s="11" t="s">
        <v>7414</v>
      </c>
      <c r="H5318" s="2" t="s">
        <v>1059</v>
      </c>
      <c r="L5318" s="18">
        <v>0</v>
      </c>
      <c r="Q5318" s="18">
        <v>0</v>
      </c>
      <c r="U5318" s="22">
        <v>0.54</v>
      </c>
      <c r="V5318" s="22">
        <f>3.44/5</f>
        <v>0.68799999999999994</v>
      </c>
      <c r="X5318" s="3">
        <v>3</v>
      </c>
      <c r="Z5318" s="23">
        <v>6.5</v>
      </c>
      <c r="AB5318" s="18">
        <f t="shared" si="166"/>
        <v>2009</v>
      </c>
      <c r="AC5318" s="22">
        <f t="shared" si="167"/>
        <v>0.60933333333333328</v>
      </c>
    </row>
    <row r="5319" spans="1:29" ht="25.5">
      <c r="A5319" s="8" t="s">
        <v>7423</v>
      </c>
      <c r="B5319" s="17" t="s">
        <v>7765</v>
      </c>
      <c r="C5319" s="13">
        <v>39854</v>
      </c>
      <c r="D5319" s="13" t="s">
        <v>8465</v>
      </c>
      <c r="E5319" s="10" t="s">
        <v>2298</v>
      </c>
      <c r="F5319" s="10" t="s">
        <v>7413</v>
      </c>
      <c r="G5319" s="11" t="s">
        <v>7414</v>
      </c>
      <c r="H5319" s="2" t="s">
        <v>1059</v>
      </c>
      <c r="L5319" s="18">
        <v>0</v>
      </c>
      <c r="Q5319" s="18">
        <v>0</v>
      </c>
      <c r="U5319" s="22">
        <v>0.44</v>
      </c>
      <c r="V5319" s="22">
        <f>3.45/5</f>
        <v>0.69000000000000006</v>
      </c>
      <c r="X5319" s="3">
        <v>2</v>
      </c>
      <c r="Y5319" s="18">
        <v>1</v>
      </c>
      <c r="Z5319" s="23">
        <v>5.5</v>
      </c>
      <c r="AB5319" s="18">
        <f t="shared" si="166"/>
        <v>2009</v>
      </c>
      <c r="AC5319" s="22">
        <f t="shared" si="167"/>
        <v>0.51000000000000012</v>
      </c>
    </row>
    <row r="5320" spans="1:29">
      <c r="A5320" s="8" t="s">
        <v>5592</v>
      </c>
      <c r="B5320" s="17" t="s">
        <v>7800</v>
      </c>
      <c r="C5320" s="13">
        <v>39854</v>
      </c>
      <c r="D5320" s="13" t="s">
        <v>8465</v>
      </c>
      <c r="E5320" s="10" t="s">
        <v>4012</v>
      </c>
      <c r="F5320" s="10" t="s">
        <v>3333</v>
      </c>
      <c r="H5320" s="2" t="s">
        <v>1059</v>
      </c>
      <c r="L5320" s="18">
        <v>1</v>
      </c>
      <c r="N5320" s="13">
        <v>41193</v>
      </c>
      <c r="P5320" s="18" t="s">
        <v>1107</v>
      </c>
      <c r="Q5320" s="18">
        <v>0</v>
      </c>
      <c r="U5320" s="22">
        <v>0.52</v>
      </c>
      <c r="V5320" s="22">
        <f>2.96/5</f>
        <v>0.59199999999999997</v>
      </c>
      <c r="W5320" s="14" t="s">
        <v>7777</v>
      </c>
      <c r="X5320" s="3">
        <v>2</v>
      </c>
      <c r="Z5320" s="23">
        <v>7</v>
      </c>
      <c r="AB5320" s="18">
        <f t="shared" si="166"/>
        <v>2009</v>
      </c>
      <c r="AC5320" s="22">
        <f t="shared" si="167"/>
        <v>0.504</v>
      </c>
    </row>
    <row r="5321" spans="1:29" ht="30">
      <c r="A5321" s="8" t="s">
        <v>1075</v>
      </c>
      <c r="B5321" s="17" t="s">
        <v>7742</v>
      </c>
      <c r="C5321" s="13">
        <v>39853</v>
      </c>
      <c r="D5321" s="13" t="s">
        <v>8465</v>
      </c>
      <c r="E5321" s="10" t="s">
        <v>1084</v>
      </c>
      <c r="F5321" s="10" t="s">
        <v>1084</v>
      </c>
      <c r="H5321" s="2" t="s">
        <v>1061</v>
      </c>
      <c r="L5321" s="18">
        <v>0</v>
      </c>
      <c r="Q5321" s="18">
        <v>0</v>
      </c>
      <c r="U5321" s="22">
        <v>0.74</v>
      </c>
      <c r="V5321" s="22">
        <f>3.79/5</f>
        <v>0.75800000000000001</v>
      </c>
      <c r="X5321" s="3">
        <v>3</v>
      </c>
      <c r="Z5321" s="23">
        <v>2</v>
      </c>
      <c r="AB5321" s="18">
        <f t="shared" si="166"/>
        <v>2009</v>
      </c>
      <c r="AC5321" s="22">
        <f t="shared" si="167"/>
        <v>0.69933333333333325</v>
      </c>
    </row>
    <row r="5322" spans="1:29">
      <c r="A5322" s="8" t="s">
        <v>13170</v>
      </c>
      <c r="B5322" s="17" t="s">
        <v>7741</v>
      </c>
      <c r="C5322" s="13">
        <v>39853</v>
      </c>
      <c r="D5322" s="13" t="s">
        <v>8465</v>
      </c>
      <c r="E5322" s="10" t="s">
        <v>1342</v>
      </c>
      <c r="F5322" s="10" t="s">
        <v>13171</v>
      </c>
      <c r="H5322" s="2" t="s">
        <v>80</v>
      </c>
      <c r="L5322" s="18">
        <v>0</v>
      </c>
      <c r="Q5322" s="18">
        <v>0</v>
      </c>
      <c r="U5322" s="22">
        <v>0.72</v>
      </c>
      <c r="V5322" s="22">
        <f>3.71/5</f>
        <v>0.74199999999999999</v>
      </c>
      <c r="X5322" s="3">
        <v>2</v>
      </c>
      <c r="Z5322" s="23">
        <v>6.5</v>
      </c>
      <c r="AB5322" s="18">
        <f t="shared" si="166"/>
        <v>2009</v>
      </c>
      <c r="AC5322" s="22">
        <f t="shared" si="167"/>
        <v>0.6206666666666667</v>
      </c>
    </row>
    <row r="5323" spans="1:29" ht="25.5">
      <c r="A5323" s="8" t="s">
        <v>7400</v>
      </c>
      <c r="B5323" s="17" t="s">
        <v>7741</v>
      </c>
      <c r="C5323" s="13">
        <v>39849</v>
      </c>
      <c r="D5323" s="13" t="s">
        <v>8465</v>
      </c>
      <c r="E5323" s="10" t="s">
        <v>1047</v>
      </c>
      <c r="F5323" s="10" t="s">
        <v>3029</v>
      </c>
      <c r="G5323" s="11" t="s">
        <v>3030</v>
      </c>
      <c r="H5323" s="2" t="s">
        <v>245</v>
      </c>
      <c r="L5323" s="18">
        <v>0</v>
      </c>
      <c r="Q5323" s="18">
        <v>0</v>
      </c>
      <c r="U5323" s="22">
        <v>0.69</v>
      </c>
      <c r="V5323" s="22">
        <f>3.62/5</f>
        <v>0.72399999999999998</v>
      </c>
      <c r="X5323" s="3">
        <v>3</v>
      </c>
      <c r="Z5323" s="23">
        <v>10</v>
      </c>
      <c r="AB5323" s="18">
        <f t="shared" si="166"/>
        <v>2009</v>
      </c>
      <c r="AC5323" s="22">
        <f t="shared" si="167"/>
        <v>0.67133333333333323</v>
      </c>
    </row>
    <row r="5324" spans="1:29" ht="25.5">
      <c r="A5324" s="8" t="s">
        <v>14736</v>
      </c>
      <c r="B5324" s="17" t="s">
        <v>7742</v>
      </c>
      <c r="C5324" s="13">
        <v>39847</v>
      </c>
      <c r="D5324" s="13" t="s">
        <v>8463</v>
      </c>
      <c r="E5324" s="10" t="s">
        <v>455</v>
      </c>
      <c r="F5324" s="10" t="s">
        <v>455</v>
      </c>
      <c r="H5324" s="2" t="s">
        <v>64</v>
      </c>
      <c r="K5324" s="18">
        <v>0</v>
      </c>
      <c r="L5324" s="18">
        <v>0</v>
      </c>
      <c r="Q5324" s="18">
        <v>0</v>
      </c>
      <c r="V5324" s="22">
        <f>4.12/5</f>
        <v>0.82400000000000007</v>
      </c>
      <c r="X5324" s="3">
        <v>2</v>
      </c>
      <c r="AB5324" s="18">
        <f t="shared" si="166"/>
        <v>2009</v>
      </c>
      <c r="AC5324" s="22">
        <f t="shared" si="167"/>
        <v>0.6120000000000001</v>
      </c>
    </row>
    <row r="5325" spans="1:29">
      <c r="A5325" s="8" t="s">
        <v>8821</v>
      </c>
      <c r="B5325" s="17" t="s">
        <v>7748</v>
      </c>
      <c r="C5325" s="13">
        <v>39847</v>
      </c>
      <c r="D5325" s="13" t="s">
        <v>8465</v>
      </c>
      <c r="E5325" s="10" t="s">
        <v>228</v>
      </c>
      <c r="F5325" s="10" t="s">
        <v>8822</v>
      </c>
      <c r="H5325" s="2" t="s">
        <v>149</v>
      </c>
      <c r="L5325" s="18">
        <v>0</v>
      </c>
      <c r="Q5325" s="18">
        <v>0</v>
      </c>
      <c r="U5325" s="22">
        <v>0.67</v>
      </c>
      <c r="V5325" s="22">
        <f>3.59/5</f>
        <v>0.71799999999999997</v>
      </c>
      <c r="X5325" s="3">
        <v>2</v>
      </c>
      <c r="AB5325" s="18">
        <f t="shared" si="166"/>
        <v>2009</v>
      </c>
      <c r="AC5325" s="22">
        <f t="shared" si="167"/>
        <v>0.59599999999999997</v>
      </c>
    </row>
    <row r="5326" spans="1:29" ht="25.5">
      <c r="A5326" s="8" t="s">
        <v>10941</v>
      </c>
      <c r="B5326" s="17" t="s">
        <v>7741</v>
      </c>
      <c r="C5326" s="13">
        <v>39846</v>
      </c>
      <c r="D5326" s="13" t="s">
        <v>8465</v>
      </c>
      <c r="E5326" s="10" t="s">
        <v>10149</v>
      </c>
      <c r="F5326" s="10" t="s">
        <v>6634</v>
      </c>
      <c r="H5326" s="2" t="s">
        <v>21</v>
      </c>
      <c r="L5326" s="18">
        <v>0</v>
      </c>
      <c r="Q5326" s="18">
        <v>0</v>
      </c>
      <c r="V5326" s="22">
        <f>3.92/5</f>
        <v>0.78400000000000003</v>
      </c>
      <c r="X5326" s="3">
        <v>3</v>
      </c>
      <c r="AB5326" s="18">
        <f t="shared" si="166"/>
        <v>2009</v>
      </c>
      <c r="AC5326" s="22">
        <f t="shared" si="167"/>
        <v>0.69199999999999995</v>
      </c>
    </row>
    <row r="5327" spans="1:29" ht="30">
      <c r="A5327" s="8" t="s">
        <v>12012</v>
      </c>
      <c r="B5327" s="17" t="s">
        <v>7762</v>
      </c>
      <c r="C5327" s="13">
        <v>39842</v>
      </c>
      <c r="D5327" s="13" t="s">
        <v>8463</v>
      </c>
      <c r="E5327" s="10" t="s">
        <v>158</v>
      </c>
      <c r="F5327" s="10" t="s">
        <v>1375</v>
      </c>
      <c r="G5327" s="11" t="s">
        <v>1422</v>
      </c>
      <c r="H5327" s="2" t="s">
        <v>171</v>
      </c>
      <c r="K5327" s="18">
        <v>0</v>
      </c>
      <c r="L5327" s="18">
        <v>0</v>
      </c>
      <c r="Q5327" s="18">
        <v>0</v>
      </c>
      <c r="V5327" s="22">
        <f>4.24/5</f>
        <v>0.84800000000000009</v>
      </c>
      <c r="X5327" s="3">
        <v>2</v>
      </c>
      <c r="AB5327" s="18">
        <f t="shared" si="166"/>
        <v>2009</v>
      </c>
      <c r="AC5327" s="22">
        <f t="shared" si="167"/>
        <v>0.62400000000000011</v>
      </c>
    </row>
    <row r="5328" spans="1:29">
      <c r="A5328" s="8" t="s">
        <v>11910</v>
      </c>
      <c r="B5328" s="17" t="s">
        <v>7748</v>
      </c>
      <c r="C5328" s="13">
        <v>39842</v>
      </c>
      <c r="D5328" s="13" t="s">
        <v>8463</v>
      </c>
      <c r="E5328" s="10" t="s">
        <v>2298</v>
      </c>
      <c r="F5328" s="10" t="s">
        <v>2298</v>
      </c>
      <c r="G5328" s="11" t="s">
        <v>11911</v>
      </c>
      <c r="H5328" s="2" t="s">
        <v>1057</v>
      </c>
      <c r="K5328" s="18">
        <v>2</v>
      </c>
      <c r="L5328" s="18">
        <v>0</v>
      </c>
      <c r="Q5328" s="18">
        <v>0</v>
      </c>
      <c r="V5328" s="22">
        <f>3.84/5</f>
        <v>0.76800000000000002</v>
      </c>
      <c r="X5328" s="3">
        <v>2</v>
      </c>
      <c r="AB5328" s="18">
        <f t="shared" si="166"/>
        <v>2009</v>
      </c>
      <c r="AC5328" s="22">
        <f t="shared" si="167"/>
        <v>0.58400000000000007</v>
      </c>
    </row>
    <row r="5329" spans="1:29" ht="25.5">
      <c r="A5329" s="8" t="s">
        <v>11639</v>
      </c>
      <c r="B5329" s="17" t="s">
        <v>7758</v>
      </c>
      <c r="C5329" s="13">
        <v>39842</v>
      </c>
      <c r="D5329" s="13" t="s">
        <v>8463</v>
      </c>
      <c r="E5329" s="10" t="s">
        <v>3568</v>
      </c>
      <c r="F5329" s="10" t="s">
        <v>11640</v>
      </c>
      <c r="G5329" s="11" t="s">
        <v>11641</v>
      </c>
      <c r="H5329" s="2" t="s">
        <v>459</v>
      </c>
      <c r="K5329" s="18">
        <v>2</v>
      </c>
      <c r="L5329" s="18">
        <v>0</v>
      </c>
      <c r="Q5329" s="18">
        <v>0</v>
      </c>
      <c r="V5329" s="22">
        <f>3.8/5</f>
        <v>0.76</v>
      </c>
      <c r="X5329" s="3">
        <v>2</v>
      </c>
      <c r="AB5329" s="18">
        <f t="shared" si="166"/>
        <v>2009</v>
      </c>
      <c r="AC5329" s="22">
        <f t="shared" si="167"/>
        <v>0.58000000000000007</v>
      </c>
    </row>
    <row r="5330" spans="1:29" ht="30">
      <c r="A5330" s="8" t="s">
        <v>10235</v>
      </c>
      <c r="B5330" s="17" t="s">
        <v>7759</v>
      </c>
      <c r="C5330" s="13">
        <v>39842</v>
      </c>
      <c r="D5330" s="13" t="s">
        <v>8465</v>
      </c>
      <c r="E5330" s="10" t="s">
        <v>2908</v>
      </c>
      <c r="F5330" s="10" t="s">
        <v>10248</v>
      </c>
      <c r="H5330" s="2" t="s">
        <v>1169</v>
      </c>
      <c r="L5330" s="18">
        <v>1</v>
      </c>
      <c r="N5330" s="13">
        <v>45032</v>
      </c>
      <c r="O5330" s="29">
        <v>9.99</v>
      </c>
      <c r="P5330" s="18" t="s">
        <v>1107</v>
      </c>
      <c r="Q5330" s="18">
        <v>0</v>
      </c>
      <c r="U5330" s="22">
        <v>0.73</v>
      </c>
      <c r="V5330" s="22">
        <f>3.72/5</f>
        <v>0.74399999999999999</v>
      </c>
      <c r="X5330" s="3">
        <v>2</v>
      </c>
      <c r="Z5330" s="23">
        <v>18</v>
      </c>
      <c r="AB5330" s="18">
        <f t="shared" si="166"/>
        <v>2009</v>
      </c>
      <c r="AC5330" s="22">
        <f t="shared" si="167"/>
        <v>0.6246666666666667</v>
      </c>
    </row>
    <row r="5331" spans="1:29">
      <c r="A5331" s="8" t="s">
        <v>5910</v>
      </c>
      <c r="B5331" s="17" t="s">
        <v>7759</v>
      </c>
      <c r="C5331" s="13">
        <v>39840</v>
      </c>
      <c r="D5331" s="13" t="s">
        <v>8465</v>
      </c>
      <c r="E5331" s="10" t="s">
        <v>1509</v>
      </c>
      <c r="F5331" s="10" t="s">
        <v>1509</v>
      </c>
      <c r="G5331" s="11" t="s">
        <v>5910</v>
      </c>
      <c r="H5331" s="2" t="s">
        <v>1059</v>
      </c>
      <c r="L5331" s="18">
        <v>1</v>
      </c>
      <c r="M5331" s="14" t="s">
        <v>8462</v>
      </c>
      <c r="N5331" s="13">
        <v>43475</v>
      </c>
      <c r="O5331" s="29">
        <v>7.99</v>
      </c>
      <c r="P5331" s="18" t="s">
        <v>14</v>
      </c>
      <c r="Q5331" s="18">
        <v>0</v>
      </c>
      <c r="U5331" s="22">
        <v>0.67</v>
      </c>
      <c r="V5331" s="22">
        <f>3.33/5</f>
        <v>0.66600000000000004</v>
      </c>
      <c r="X5331" s="3">
        <v>3</v>
      </c>
      <c r="Z5331" s="23">
        <v>7</v>
      </c>
      <c r="AB5331" s="18">
        <f t="shared" si="166"/>
        <v>2009</v>
      </c>
      <c r="AC5331" s="22">
        <f t="shared" si="167"/>
        <v>0.64533333333333331</v>
      </c>
    </row>
    <row r="5332" spans="1:29" ht="25.5">
      <c r="A5332" s="8" t="s">
        <v>14486</v>
      </c>
      <c r="B5332" s="17" t="s">
        <v>7758</v>
      </c>
      <c r="C5332" s="13">
        <v>39840</v>
      </c>
      <c r="D5332" s="13" t="s">
        <v>8465</v>
      </c>
      <c r="E5332" s="10" t="s">
        <v>68</v>
      </c>
      <c r="F5332" s="10" t="s">
        <v>68</v>
      </c>
      <c r="G5332" s="11" t="s">
        <v>14482</v>
      </c>
      <c r="H5332" s="2" t="s">
        <v>69</v>
      </c>
      <c r="L5332" s="18">
        <v>0</v>
      </c>
      <c r="Q5332" s="18">
        <v>0</v>
      </c>
      <c r="U5332" s="22">
        <v>0.76</v>
      </c>
      <c r="V5332" s="22">
        <f>4.15/5</f>
        <v>0.83000000000000007</v>
      </c>
      <c r="X5332" s="3">
        <v>2</v>
      </c>
      <c r="AB5332" s="18">
        <f t="shared" si="166"/>
        <v>2009</v>
      </c>
      <c r="AC5332" s="22">
        <f t="shared" si="167"/>
        <v>0.66333333333333344</v>
      </c>
    </row>
    <row r="5333" spans="1:29">
      <c r="A5333" s="8" t="s">
        <v>6016</v>
      </c>
      <c r="B5333" s="17" t="s">
        <v>7759</v>
      </c>
      <c r="C5333" s="13">
        <v>39834</v>
      </c>
      <c r="D5333" s="13" t="s">
        <v>8465</v>
      </c>
      <c r="E5333" s="10" t="s">
        <v>231</v>
      </c>
      <c r="F5333" s="10" t="s">
        <v>6015</v>
      </c>
      <c r="G5333" s="11" t="s">
        <v>6014</v>
      </c>
      <c r="H5333" s="2" t="s">
        <v>255</v>
      </c>
      <c r="L5333" s="18">
        <v>1</v>
      </c>
      <c r="M5333" s="14" t="s">
        <v>8462</v>
      </c>
      <c r="N5333" s="13">
        <v>43483</v>
      </c>
      <c r="O5333" s="29">
        <v>15.99</v>
      </c>
      <c r="P5333" s="18" t="s">
        <v>14</v>
      </c>
      <c r="Q5333" s="18">
        <v>0</v>
      </c>
      <c r="U5333" s="22">
        <v>0.83</v>
      </c>
      <c r="V5333" s="22">
        <f>3.96/5</f>
        <v>0.79200000000000004</v>
      </c>
      <c r="X5333" s="3">
        <v>3</v>
      </c>
      <c r="Z5333" s="23">
        <v>18</v>
      </c>
      <c r="AB5333" s="18">
        <f t="shared" si="166"/>
        <v>2009</v>
      </c>
      <c r="AC5333" s="22">
        <f t="shared" si="167"/>
        <v>0.7406666666666667</v>
      </c>
    </row>
    <row r="5334" spans="1:29" ht="25.5">
      <c r="A5334" s="8" t="s">
        <v>5731</v>
      </c>
      <c r="B5334" s="17" t="s">
        <v>7758</v>
      </c>
      <c r="C5334" s="13">
        <v>39833</v>
      </c>
      <c r="D5334" s="13" t="s">
        <v>8465</v>
      </c>
      <c r="E5334" s="10" t="s">
        <v>1062</v>
      </c>
      <c r="F5334" s="10" t="s">
        <v>2286</v>
      </c>
      <c r="G5334" s="11" t="s">
        <v>5863</v>
      </c>
      <c r="H5334" s="2" t="s">
        <v>149</v>
      </c>
      <c r="L5334" s="18">
        <v>0</v>
      </c>
      <c r="Q5334" s="18">
        <v>0</v>
      </c>
      <c r="U5334" s="22">
        <v>0.73</v>
      </c>
      <c r="V5334" s="22">
        <f>4.06/5</f>
        <v>0.81199999999999994</v>
      </c>
      <c r="X5334" s="3">
        <v>3</v>
      </c>
      <c r="Z5334" s="23">
        <v>45</v>
      </c>
      <c r="AB5334" s="18">
        <f t="shared" si="166"/>
        <v>2009</v>
      </c>
      <c r="AC5334" s="22">
        <f t="shared" si="167"/>
        <v>0.71399999999999997</v>
      </c>
    </row>
    <row r="5335" spans="1:29" ht="30">
      <c r="A5335" s="8" t="s">
        <v>8751</v>
      </c>
      <c r="B5335" s="17" t="s">
        <v>7762</v>
      </c>
      <c r="C5335" s="13">
        <v>39832</v>
      </c>
      <c r="D5335" s="13" t="s">
        <v>8465</v>
      </c>
      <c r="E5335" s="10" t="s">
        <v>1082</v>
      </c>
      <c r="F5335" s="10" t="s">
        <v>58</v>
      </c>
      <c r="G5335" s="11" t="s">
        <v>840</v>
      </c>
      <c r="H5335" s="2" t="s">
        <v>171</v>
      </c>
      <c r="L5335" s="18">
        <v>0</v>
      </c>
      <c r="Q5335" s="18">
        <v>0</v>
      </c>
      <c r="U5335" s="22">
        <v>0.75</v>
      </c>
      <c r="V5335" s="22">
        <f>4.24/5</f>
        <v>0.84800000000000009</v>
      </c>
      <c r="X5335" s="3">
        <v>4</v>
      </c>
      <c r="Z5335" s="23">
        <v>30.5</v>
      </c>
      <c r="AB5335" s="18">
        <f t="shared" si="166"/>
        <v>2009</v>
      </c>
      <c r="AC5335" s="22">
        <f t="shared" si="167"/>
        <v>0.79933333333333334</v>
      </c>
    </row>
    <row r="5336" spans="1:29">
      <c r="A5336" s="8" t="s">
        <v>2254</v>
      </c>
      <c r="B5336" s="17" t="s">
        <v>7748</v>
      </c>
      <c r="C5336" s="13">
        <v>39826</v>
      </c>
      <c r="D5336" s="13" t="s">
        <v>8465</v>
      </c>
      <c r="E5336" s="10" t="s">
        <v>2327</v>
      </c>
      <c r="F5336" s="10" t="s">
        <v>2300</v>
      </c>
      <c r="G5336" s="11" t="s">
        <v>2254</v>
      </c>
      <c r="H5336" s="2" t="s">
        <v>1050</v>
      </c>
      <c r="L5336" s="18">
        <v>0</v>
      </c>
      <c r="Q5336" s="18">
        <v>0</v>
      </c>
      <c r="U5336" s="22">
        <v>0.74</v>
      </c>
      <c r="V5336" s="22">
        <f>3.6/5</f>
        <v>0.72</v>
      </c>
      <c r="X5336" s="3">
        <v>3</v>
      </c>
      <c r="Z5336" s="23">
        <v>4.5</v>
      </c>
      <c r="AB5336" s="18">
        <f t="shared" si="166"/>
        <v>2009</v>
      </c>
      <c r="AC5336" s="22">
        <f t="shared" si="167"/>
        <v>0.68666666666666665</v>
      </c>
    </row>
    <row r="5337" spans="1:29" ht="25.5">
      <c r="A5337" s="8" t="s">
        <v>13080</v>
      </c>
      <c r="B5337" s="17" t="s">
        <v>7759</v>
      </c>
      <c r="C5337" s="13">
        <v>39826</v>
      </c>
      <c r="D5337" s="13" t="s">
        <v>8465</v>
      </c>
      <c r="E5337" s="10" t="s">
        <v>231</v>
      </c>
      <c r="F5337" s="10" t="s">
        <v>5109</v>
      </c>
      <c r="G5337" s="11" t="s">
        <v>4445</v>
      </c>
      <c r="H5337" s="2" t="s">
        <v>80</v>
      </c>
      <c r="L5337" s="18">
        <v>0</v>
      </c>
      <c r="Q5337" s="18">
        <v>0</v>
      </c>
      <c r="U5337" s="22">
        <v>0.54</v>
      </c>
      <c r="V5337" s="22">
        <f>3.55/5</f>
        <v>0.71</v>
      </c>
      <c r="X5337" s="3">
        <v>2</v>
      </c>
      <c r="Y5337" s="18">
        <v>1</v>
      </c>
      <c r="Z5337" s="23">
        <v>6</v>
      </c>
      <c r="AB5337" s="18">
        <f t="shared" si="166"/>
        <v>2009</v>
      </c>
      <c r="AC5337" s="22">
        <f t="shared" si="167"/>
        <v>0.54999999999999993</v>
      </c>
    </row>
    <row r="5338" spans="1:29">
      <c r="A5338" s="8" t="s">
        <v>4460</v>
      </c>
      <c r="B5338" s="17" t="s">
        <v>7800</v>
      </c>
      <c r="C5338" s="13">
        <v>39825</v>
      </c>
      <c r="D5338" s="13" t="s">
        <v>8465</v>
      </c>
      <c r="E5338" s="10" t="s">
        <v>231</v>
      </c>
      <c r="F5338" s="10" t="s">
        <v>4461</v>
      </c>
      <c r="G5338" s="11" t="s">
        <v>4460</v>
      </c>
      <c r="H5338" s="2" t="s">
        <v>80</v>
      </c>
      <c r="L5338" s="18">
        <v>1</v>
      </c>
      <c r="N5338" s="13">
        <v>41502</v>
      </c>
      <c r="O5338" s="29">
        <v>0</v>
      </c>
      <c r="P5338" s="18" t="s">
        <v>1107</v>
      </c>
      <c r="Q5338" s="18">
        <v>0</v>
      </c>
      <c r="U5338" s="22">
        <v>0.8</v>
      </c>
      <c r="V5338" s="22">
        <f>3.74/5</f>
        <v>0.748</v>
      </c>
      <c r="W5338" s="14" t="s">
        <v>7777</v>
      </c>
      <c r="X5338" s="3">
        <v>3</v>
      </c>
      <c r="Z5338" s="23">
        <v>6</v>
      </c>
      <c r="AB5338" s="18">
        <f t="shared" si="166"/>
        <v>2009</v>
      </c>
      <c r="AC5338" s="22">
        <f t="shared" si="167"/>
        <v>0.71600000000000008</v>
      </c>
    </row>
    <row r="5339" spans="1:29" ht="38.25">
      <c r="A5339" s="8" t="s">
        <v>2173</v>
      </c>
      <c r="B5339" s="17" t="s">
        <v>7748</v>
      </c>
      <c r="C5339" s="13">
        <v>39819</v>
      </c>
      <c r="D5339" s="13" t="s">
        <v>8465</v>
      </c>
      <c r="E5339" s="10" t="s">
        <v>72</v>
      </c>
      <c r="F5339" s="10" t="s">
        <v>72</v>
      </c>
      <c r="G5339" s="11" t="s">
        <v>993</v>
      </c>
      <c r="H5339" s="2" t="s">
        <v>143</v>
      </c>
      <c r="L5339" s="18">
        <v>0</v>
      </c>
      <c r="Q5339" s="18">
        <v>0</v>
      </c>
      <c r="U5339" s="22">
        <v>0.74</v>
      </c>
      <c r="V5339" s="22">
        <f>4.1/5</f>
        <v>0.82</v>
      </c>
      <c r="X5339" s="3">
        <v>3</v>
      </c>
      <c r="Z5339" s="23">
        <v>8.5</v>
      </c>
      <c r="AB5339" s="18">
        <f t="shared" si="166"/>
        <v>2009</v>
      </c>
      <c r="AC5339" s="22">
        <f t="shared" si="167"/>
        <v>0.72000000000000008</v>
      </c>
    </row>
    <row r="5340" spans="1:29">
      <c r="A5340" s="8" t="s">
        <v>4899</v>
      </c>
      <c r="B5340" s="17" t="s">
        <v>7800</v>
      </c>
      <c r="C5340" s="13">
        <v>39818</v>
      </c>
      <c r="D5340" s="13" t="s">
        <v>8465</v>
      </c>
      <c r="E5340" s="10" t="s">
        <v>1342</v>
      </c>
      <c r="F5340" s="10" t="s">
        <v>1655</v>
      </c>
      <c r="G5340" s="11" t="s">
        <v>1656</v>
      </c>
      <c r="H5340" s="2" t="s">
        <v>1168</v>
      </c>
      <c r="L5340" s="18">
        <v>1</v>
      </c>
      <c r="N5340" s="13">
        <v>41485</v>
      </c>
      <c r="P5340" s="18" t="s">
        <v>1107</v>
      </c>
      <c r="Q5340" s="18">
        <v>0</v>
      </c>
      <c r="U5340" s="22">
        <v>0.71</v>
      </c>
      <c r="V5340" s="22">
        <f>3.56/5</f>
        <v>0.71199999999999997</v>
      </c>
      <c r="W5340" s="14" t="s">
        <v>7777</v>
      </c>
      <c r="X5340" s="3">
        <v>3</v>
      </c>
      <c r="Z5340" s="23">
        <v>20</v>
      </c>
      <c r="AB5340" s="18">
        <f t="shared" si="166"/>
        <v>2009</v>
      </c>
      <c r="AC5340" s="22">
        <f t="shared" si="167"/>
        <v>0.67399999999999993</v>
      </c>
    </row>
    <row r="5341" spans="1:29">
      <c r="A5341" s="8" t="s">
        <v>14621</v>
      </c>
      <c r="B5341" s="17" t="s">
        <v>7800</v>
      </c>
      <c r="C5341" s="13">
        <v>39815</v>
      </c>
      <c r="D5341" s="13" t="s">
        <v>8465</v>
      </c>
      <c r="E5341" s="10" t="s">
        <v>14622</v>
      </c>
      <c r="F5341" s="10" t="s">
        <v>14622</v>
      </c>
      <c r="G5341" s="11" t="s">
        <v>14621</v>
      </c>
      <c r="H5341" s="2" t="s">
        <v>1061</v>
      </c>
      <c r="L5341" s="18">
        <v>1</v>
      </c>
      <c r="N5341" s="13">
        <v>45048</v>
      </c>
      <c r="O5341" s="29">
        <v>0</v>
      </c>
      <c r="P5341" s="18" t="s">
        <v>1107</v>
      </c>
      <c r="Q5341" s="18">
        <v>0</v>
      </c>
      <c r="V5341" s="22">
        <f>1.71/5</f>
        <v>0.34199999999999997</v>
      </c>
      <c r="W5341" s="14" t="s">
        <v>7777</v>
      </c>
      <c r="X5341" s="3">
        <v>2</v>
      </c>
      <c r="Z5341" s="23">
        <v>3</v>
      </c>
      <c r="AB5341" s="18">
        <f t="shared" si="166"/>
        <v>2009</v>
      </c>
      <c r="AC5341" s="22">
        <f t="shared" si="167"/>
        <v>0.371</v>
      </c>
    </row>
    <row r="5342" spans="1:29" ht="25.5">
      <c r="A5342" s="8" t="s">
        <v>15116</v>
      </c>
      <c r="B5342" s="17" t="s">
        <v>6317</v>
      </c>
      <c r="C5342" s="24">
        <v>39814</v>
      </c>
      <c r="D5342" s="13" t="s">
        <v>8467</v>
      </c>
      <c r="E5342" s="10" t="s">
        <v>72</v>
      </c>
      <c r="F5342" s="10" t="s">
        <v>72</v>
      </c>
      <c r="G5342" s="11" t="s">
        <v>113</v>
      </c>
      <c r="H5342" s="2" t="s">
        <v>1170</v>
      </c>
      <c r="L5342" s="18">
        <v>0</v>
      </c>
      <c r="Q5342" s="18">
        <v>0</v>
      </c>
      <c r="X5342" s="3">
        <v>2</v>
      </c>
      <c r="Z5342" s="23">
        <v>1</v>
      </c>
      <c r="AB5342" s="18">
        <f t="shared" si="166"/>
        <v>2009</v>
      </c>
      <c r="AC5342" s="22">
        <f t="shared" si="167"/>
        <v>0.4</v>
      </c>
    </row>
    <row r="5343" spans="1:29">
      <c r="A5343" s="8" t="s">
        <v>15165</v>
      </c>
      <c r="B5343" s="17" t="s">
        <v>7767</v>
      </c>
      <c r="C5343" s="24">
        <v>39814</v>
      </c>
      <c r="D5343" s="13" t="s">
        <v>8465</v>
      </c>
      <c r="E5343" s="10" t="s">
        <v>15166</v>
      </c>
      <c r="F5343" s="10" t="s">
        <v>15167</v>
      </c>
      <c r="H5343" s="2" t="s">
        <v>151</v>
      </c>
      <c r="L5343" s="18">
        <v>0</v>
      </c>
      <c r="Q5343" s="18">
        <v>0</v>
      </c>
      <c r="X5343" s="3">
        <v>2</v>
      </c>
      <c r="AB5343" s="18">
        <f t="shared" si="166"/>
        <v>2009</v>
      </c>
      <c r="AC5343" s="22">
        <f t="shared" si="167"/>
        <v>0.4</v>
      </c>
    </row>
    <row r="5344" spans="1:29" ht="25.5">
      <c r="A5344" s="8" t="s">
        <v>15926</v>
      </c>
      <c r="B5344" s="17" t="s">
        <v>6317</v>
      </c>
      <c r="C5344" s="24">
        <v>39814</v>
      </c>
      <c r="D5344" s="13" t="s">
        <v>8465</v>
      </c>
      <c r="E5344" s="10" t="s">
        <v>14407</v>
      </c>
      <c r="F5344" s="10" t="s">
        <v>14407</v>
      </c>
      <c r="G5344" s="11" t="s">
        <v>15899</v>
      </c>
      <c r="H5344" s="2" t="s">
        <v>153</v>
      </c>
      <c r="L5344" s="18">
        <v>0</v>
      </c>
      <c r="Q5344" s="18">
        <v>0</v>
      </c>
      <c r="V5344" s="22">
        <f>3.38/5</f>
        <v>0.67599999999999993</v>
      </c>
      <c r="X5344" s="3">
        <v>2</v>
      </c>
      <c r="AB5344" s="18">
        <f t="shared" si="166"/>
        <v>2009</v>
      </c>
      <c r="AC5344" s="22">
        <f t="shared" si="167"/>
        <v>0.53800000000000003</v>
      </c>
    </row>
    <row r="5345" spans="1:29" ht="30">
      <c r="A5345" s="8" t="s">
        <v>6363</v>
      </c>
      <c r="B5345" s="17" t="s">
        <v>7765</v>
      </c>
      <c r="C5345" s="13">
        <v>40168</v>
      </c>
      <c r="D5345" s="13" t="s">
        <v>8465</v>
      </c>
      <c r="E5345" s="10" t="s">
        <v>2137</v>
      </c>
      <c r="F5345" s="10" t="s">
        <v>2137</v>
      </c>
      <c r="G5345" s="11" t="s">
        <v>6434</v>
      </c>
      <c r="H5345" s="2" t="s">
        <v>64</v>
      </c>
      <c r="L5345" s="18">
        <v>1</v>
      </c>
      <c r="Q5345" s="18">
        <v>1</v>
      </c>
      <c r="T5345" s="22">
        <v>0.9</v>
      </c>
      <c r="U5345" s="22">
        <v>0.7</v>
      </c>
      <c r="V5345" s="22">
        <f>4/5</f>
        <v>0.8</v>
      </c>
      <c r="W5345" s="14" t="s">
        <v>6487</v>
      </c>
      <c r="AB5345" s="18">
        <f t="shared" si="166"/>
        <v>2009</v>
      </c>
      <c r="AC5345" s="22">
        <f t="shared" si="167"/>
        <v>0.80000000000000016</v>
      </c>
    </row>
    <row r="5346" spans="1:29">
      <c r="A5346" s="8" t="s">
        <v>5658</v>
      </c>
      <c r="B5346" s="17" t="s">
        <v>7800</v>
      </c>
      <c r="C5346" s="13">
        <v>40163</v>
      </c>
      <c r="D5346" s="13" t="s">
        <v>8465</v>
      </c>
      <c r="E5346" s="10" t="s">
        <v>5694</v>
      </c>
      <c r="F5346" s="10" t="s">
        <v>5694</v>
      </c>
      <c r="H5346" s="2" t="s">
        <v>21</v>
      </c>
      <c r="L5346" s="18">
        <v>1</v>
      </c>
      <c r="P5346" s="18" t="s">
        <v>1107</v>
      </c>
      <c r="Q5346" s="18">
        <v>1</v>
      </c>
      <c r="T5346" s="22">
        <v>0.5</v>
      </c>
      <c r="V5346" s="22">
        <f>3.63/5</f>
        <v>0.72599999999999998</v>
      </c>
      <c r="W5346" s="14" t="s">
        <v>5675</v>
      </c>
      <c r="AB5346" s="18">
        <f t="shared" si="166"/>
        <v>2009</v>
      </c>
      <c r="AC5346" s="22">
        <f t="shared" si="167"/>
        <v>0.61299999999999999</v>
      </c>
    </row>
    <row r="5347" spans="1:29" ht="30">
      <c r="A5347" s="8" t="s">
        <v>6376</v>
      </c>
      <c r="B5347" s="17" t="s">
        <v>7765</v>
      </c>
      <c r="C5347" s="13">
        <v>40159</v>
      </c>
      <c r="D5347" s="13" t="s">
        <v>8465</v>
      </c>
      <c r="E5347" s="10" t="s">
        <v>6445</v>
      </c>
      <c r="F5347" s="10" t="s">
        <v>6445</v>
      </c>
      <c r="H5347" s="2" t="s">
        <v>21</v>
      </c>
      <c r="L5347" s="18">
        <v>1</v>
      </c>
      <c r="Q5347" s="18">
        <v>1</v>
      </c>
      <c r="T5347" s="22">
        <v>0.6</v>
      </c>
      <c r="U5347" s="22">
        <v>0.8</v>
      </c>
      <c r="V5347" s="22">
        <f>3.8/5</f>
        <v>0.76</v>
      </c>
      <c r="W5347" s="14" t="s">
        <v>6487</v>
      </c>
      <c r="AB5347" s="18">
        <f t="shared" si="166"/>
        <v>2009</v>
      </c>
      <c r="AC5347" s="22">
        <f t="shared" si="167"/>
        <v>0.72000000000000008</v>
      </c>
    </row>
    <row r="5348" spans="1:29">
      <c r="A5348" s="8" t="s">
        <v>4911</v>
      </c>
      <c r="B5348" s="17" t="s">
        <v>7800</v>
      </c>
      <c r="C5348" s="13">
        <v>40157</v>
      </c>
      <c r="D5348" s="13" t="s">
        <v>8465</v>
      </c>
      <c r="E5348" s="10" t="s">
        <v>1625</v>
      </c>
      <c r="F5348" s="10" t="s">
        <v>1625</v>
      </c>
      <c r="G5348" s="11" t="s">
        <v>2804</v>
      </c>
      <c r="H5348" s="2" t="s">
        <v>67</v>
      </c>
      <c r="L5348" s="18">
        <v>1</v>
      </c>
      <c r="N5348" s="13">
        <v>40534</v>
      </c>
      <c r="O5348" s="29">
        <v>0.99</v>
      </c>
      <c r="P5348" s="18" t="s">
        <v>1107</v>
      </c>
      <c r="Q5348" s="18">
        <v>1</v>
      </c>
      <c r="T5348" s="22">
        <v>0.8</v>
      </c>
      <c r="U5348" s="22">
        <v>0.85</v>
      </c>
      <c r="V5348" s="22">
        <f>3.48/5</f>
        <v>0.69599999999999995</v>
      </c>
      <c r="W5348" s="14" t="s">
        <v>7777</v>
      </c>
      <c r="AB5348" s="18">
        <f t="shared" si="166"/>
        <v>2009</v>
      </c>
      <c r="AC5348" s="22">
        <f t="shared" si="167"/>
        <v>0.78200000000000003</v>
      </c>
    </row>
    <row r="5349" spans="1:29" ht="25.5">
      <c r="A5349" s="8" t="s">
        <v>2122</v>
      </c>
      <c r="B5349" s="17" t="s">
        <v>7748</v>
      </c>
      <c r="C5349" s="13">
        <v>40154</v>
      </c>
      <c r="D5349" s="13" t="s">
        <v>8465</v>
      </c>
      <c r="E5349" s="10" t="s">
        <v>86</v>
      </c>
      <c r="F5349" s="10" t="s">
        <v>87</v>
      </c>
      <c r="G5349" s="11" t="s">
        <v>85</v>
      </c>
      <c r="H5349" s="2" t="s">
        <v>80</v>
      </c>
      <c r="L5349" s="18">
        <v>1</v>
      </c>
      <c r="M5349" s="14" t="s">
        <v>8462</v>
      </c>
      <c r="N5349" s="13">
        <v>44033</v>
      </c>
      <c r="O5349" s="29">
        <v>40.71</v>
      </c>
      <c r="P5349" s="18" t="s">
        <v>14</v>
      </c>
      <c r="Q5349" s="18">
        <v>1</v>
      </c>
      <c r="R5349" s="13">
        <v>41970</v>
      </c>
      <c r="T5349" s="22">
        <v>0.7</v>
      </c>
      <c r="U5349" s="22">
        <v>0.87</v>
      </c>
      <c r="V5349" s="22">
        <f>3.94/5</f>
        <v>0.78800000000000003</v>
      </c>
      <c r="AB5349" s="18">
        <f t="shared" si="166"/>
        <v>2009</v>
      </c>
      <c r="AC5349" s="22">
        <f t="shared" si="167"/>
        <v>0.78599999999999992</v>
      </c>
    </row>
    <row r="5350" spans="1:29">
      <c r="A5350" s="8" t="s">
        <v>6309</v>
      </c>
      <c r="B5350" s="17" t="s">
        <v>7765</v>
      </c>
      <c r="C5350" s="13">
        <v>40134</v>
      </c>
      <c r="D5350" s="13" t="s">
        <v>8465</v>
      </c>
      <c r="E5350" s="10" t="s">
        <v>1047</v>
      </c>
      <c r="F5350" s="10" t="s">
        <v>1048</v>
      </c>
      <c r="G5350" s="11" t="s">
        <v>1563</v>
      </c>
      <c r="H5350" s="2" t="s">
        <v>80</v>
      </c>
      <c r="L5350" s="18">
        <v>1</v>
      </c>
      <c r="P5350" s="18" t="s">
        <v>1107</v>
      </c>
      <c r="Q5350" s="18">
        <v>1</v>
      </c>
      <c r="R5350" s="13">
        <v>40428</v>
      </c>
      <c r="T5350" s="22">
        <v>0.9</v>
      </c>
      <c r="U5350" s="22">
        <v>0.9</v>
      </c>
      <c r="V5350" s="22">
        <f>4.26/5</f>
        <v>0.85199999999999998</v>
      </c>
      <c r="AB5350" s="18">
        <f t="shared" si="166"/>
        <v>2009</v>
      </c>
      <c r="AC5350" s="22">
        <f t="shared" si="167"/>
        <v>0.88400000000000001</v>
      </c>
    </row>
    <row r="5351" spans="1:29" ht="25.5">
      <c r="A5351" s="8" t="s">
        <v>2126</v>
      </c>
      <c r="B5351" s="17" t="s">
        <v>7748</v>
      </c>
      <c r="C5351" s="13">
        <v>40134</v>
      </c>
      <c r="D5351" s="13" t="s">
        <v>8465</v>
      </c>
      <c r="E5351" s="10" t="s">
        <v>1047</v>
      </c>
      <c r="F5351" s="10" t="s">
        <v>2143</v>
      </c>
      <c r="G5351" s="11" t="s">
        <v>1563</v>
      </c>
      <c r="H5351" s="2" t="s">
        <v>80</v>
      </c>
      <c r="L5351" s="18">
        <v>0</v>
      </c>
      <c r="Q5351" s="18">
        <v>1</v>
      </c>
      <c r="R5351" s="13">
        <v>43678</v>
      </c>
      <c r="T5351" s="22">
        <v>0.5</v>
      </c>
      <c r="U5351" s="22">
        <v>0.71</v>
      </c>
      <c r="V5351" s="22">
        <f>3.34/5</f>
        <v>0.66799999999999993</v>
      </c>
      <c r="AB5351" s="18">
        <f t="shared" si="166"/>
        <v>2009</v>
      </c>
      <c r="AC5351" s="22">
        <f t="shared" si="167"/>
        <v>0.626</v>
      </c>
    </row>
    <row r="5352" spans="1:29" ht="30">
      <c r="A5352" s="8" t="s">
        <v>6210</v>
      </c>
      <c r="B5352" s="17" t="s">
        <v>7762</v>
      </c>
      <c r="C5352" s="13">
        <v>40134</v>
      </c>
      <c r="D5352" s="13" t="s">
        <v>8465</v>
      </c>
      <c r="E5352" s="10" t="s">
        <v>1047</v>
      </c>
      <c r="F5352" s="10" t="s">
        <v>1048</v>
      </c>
      <c r="G5352" s="11" t="s">
        <v>1563</v>
      </c>
      <c r="H5352" s="2" t="s">
        <v>80</v>
      </c>
      <c r="L5352" s="18">
        <v>1</v>
      </c>
      <c r="M5352" s="14" t="s">
        <v>8462</v>
      </c>
      <c r="N5352" s="13">
        <v>43676</v>
      </c>
      <c r="O5352" s="29">
        <v>13.99</v>
      </c>
      <c r="P5352" s="18" t="s">
        <v>14</v>
      </c>
      <c r="Q5352" s="18">
        <v>1</v>
      </c>
      <c r="R5352" s="13">
        <v>43706</v>
      </c>
      <c r="T5352" s="22">
        <v>0.5</v>
      </c>
      <c r="U5352" s="22">
        <v>0.64</v>
      </c>
      <c r="V5352" s="22">
        <f>3.49/5</f>
        <v>0.69800000000000006</v>
      </c>
      <c r="AB5352" s="18">
        <f t="shared" si="166"/>
        <v>2009</v>
      </c>
      <c r="AC5352" s="22">
        <f t="shared" si="167"/>
        <v>0.61266666666666669</v>
      </c>
    </row>
    <row r="5353" spans="1:29" ht="30">
      <c r="A5353" s="8" t="s">
        <v>6397</v>
      </c>
      <c r="B5353" s="17" t="s">
        <v>7765</v>
      </c>
      <c r="C5353" s="13">
        <v>40133</v>
      </c>
      <c r="D5353" s="13" t="s">
        <v>8465</v>
      </c>
      <c r="E5353" s="10" t="s">
        <v>6446</v>
      </c>
      <c r="F5353" s="10" t="s">
        <v>6446</v>
      </c>
      <c r="H5353" s="2" t="s">
        <v>78</v>
      </c>
      <c r="L5353" s="18">
        <v>1</v>
      </c>
      <c r="Q5353" s="18">
        <v>1</v>
      </c>
      <c r="T5353" s="22">
        <v>0.8</v>
      </c>
      <c r="V5353" s="22">
        <f>3.17/5</f>
        <v>0.63400000000000001</v>
      </c>
      <c r="W5353" s="14" t="s">
        <v>6487</v>
      </c>
      <c r="AB5353" s="18">
        <f t="shared" si="166"/>
        <v>2009</v>
      </c>
      <c r="AC5353" s="22">
        <f t="shared" si="167"/>
        <v>0.71700000000000008</v>
      </c>
    </row>
    <row r="5354" spans="1:29" ht="25.5">
      <c r="A5354" s="8" t="s">
        <v>962</v>
      </c>
      <c r="B5354" s="17" t="s">
        <v>7741</v>
      </c>
      <c r="C5354" s="13">
        <v>40132</v>
      </c>
      <c r="D5354" s="13" t="s">
        <v>8465</v>
      </c>
      <c r="E5354" s="10" t="s">
        <v>86</v>
      </c>
      <c r="F5354" s="10" t="s">
        <v>87</v>
      </c>
      <c r="G5354" s="11" t="s">
        <v>137</v>
      </c>
      <c r="H5354" s="2" t="s">
        <v>64</v>
      </c>
      <c r="L5354" s="18">
        <v>1</v>
      </c>
      <c r="M5354" s="14" t="s">
        <v>8462</v>
      </c>
      <c r="N5354" s="13">
        <v>43569</v>
      </c>
      <c r="P5354" s="18" t="s">
        <v>14</v>
      </c>
      <c r="Q5354" s="18">
        <v>1</v>
      </c>
      <c r="T5354" s="22">
        <v>0.9</v>
      </c>
      <c r="U5354" s="22">
        <v>0.85</v>
      </c>
      <c r="V5354" s="22">
        <f>4.11/5</f>
        <v>0.82200000000000006</v>
      </c>
      <c r="AB5354" s="18">
        <f t="shared" si="166"/>
        <v>2009</v>
      </c>
      <c r="AC5354" s="22">
        <f t="shared" si="167"/>
        <v>0.85733333333333339</v>
      </c>
    </row>
    <row r="5355" spans="1:29" ht="25.5">
      <c r="A5355" s="8" t="s">
        <v>3402</v>
      </c>
      <c r="B5355" s="17" t="s">
        <v>7765</v>
      </c>
      <c r="C5355" s="13">
        <v>40127</v>
      </c>
      <c r="D5355" s="13" t="s">
        <v>8465</v>
      </c>
      <c r="E5355" s="10" t="s">
        <v>1273</v>
      </c>
      <c r="F5355" s="10" t="s">
        <v>3400</v>
      </c>
      <c r="G5355" s="11" t="s">
        <v>3401</v>
      </c>
      <c r="H5355" s="2" t="s">
        <v>1050</v>
      </c>
      <c r="L5355" s="18">
        <v>0</v>
      </c>
      <c r="Q5355" s="18">
        <v>1</v>
      </c>
      <c r="R5355" s="13">
        <v>40131</v>
      </c>
      <c r="T5355" s="22">
        <v>0.8</v>
      </c>
      <c r="U5355" s="22">
        <v>0.94</v>
      </c>
      <c r="V5355" s="22">
        <f>4.03/5</f>
        <v>0.80600000000000005</v>
      </c>
      <c r="AB5355" s="18">
        <f t="shared" si="166"/>
        <v>2009</v>
      </c>
      <c r="AC5355" s="22">
        <f t="shared" si="167"/>
        <v>0.84866666666666679</v>
      </c>
    </row>
    <row r="5356" spans="1:29">
      <c r="A5356" s="8" t="s">
        <v>5442</v>
      </c>
      <c r="B5356" s="17" t="s">
        <v>7800</v>
      </c>
      <c r="C5356" s="13">
        <v>40113</v>
      </c>
      <c r="D5356" s="13" t="s">
        <v>8465</v>
      </c>
      <c r="E5356" s="10" t="s">
        <v>5443</v>
      </c>
      <c r="F5356" s="10" t="s">
        <v>5443</v>
      </c>
      <c r="G5356" s="11" t="s">
        <v>5442</v>
      </c>
      <c r="H5356" s="2" t="s">
        <v>171</v>
      </c>
      <c r="L5356" s="18">
        <v>1</v>
      </c>
      <c r="N5356" s="13">
        <v>41054</v>
      </c>
      <c r="P5356" s="18" t="s">
        <v>1107</v>
      </c>
      <c r="Q5356" s="18">
        <v>1</v>
      </c>
      <c r="S5356" s="21">
        <v>14.7</v>
      </c>
      <c r="T5356" s="22">
        <v>0.8</v>
      </c>
      <c r="U5356" s="22">
        <v>0.85</v>
      </c>
      <c r="V5356" s="22">
        <f>3.78/5</f>
        <v>0.75600000000000001</v>
      </c>
      <c r="W5356" s="14" t="s">
        <v>7777</v>
      </c>
      <c r="AB5356" s="18">
        <f t="shared" si="166"/>
        <v>2009</v>
      </c>
      <c r="AC5356" s="22">
        <f t="shared" si="167"/>
        <v>0.80199999999999994</v>
      </c>
    </row>
    <row r="5357" spans="1:29" ht="30">
      <c r="A5357" s="8" t="s">
        <v>6362</v>
      </c>
      <c r="B5357" s="17" t="s">
        <v>7765</v>
      </c>
      <c r="C5357" s="13">
        <v>40109</v>
      </c>
      <c r="D5357" s="13" t="s">
        <v>8465</v>
      </c>
      <c r="E5357" s="10" t="s">
        <v>2137</v>
      </c>
      <c r="F5357" s="10" t="s">
        <v>2137</v>
      </c>
      <c r="G5357" s="11" t="s">
        <v>6434</v>
      </c>
      <c r="H5357" s="2" t="s">
        <v>78</v>
      </c>
      <c r="L5357" s="18">
        <v>1</v>
      </c>
      <c r="Q5357" s="18">
        <v>1</v>
      </c>
      <c r="T5357" s="22">
        <v>0.7</v>
      </c>
      <c r="V5357" s="22">
        <f>3.42/5</f>
        <v>0.68399999999999994</v>
      </c>
      <c r="W5357" s="14" t="s">
        <v>6487</v>
      </c>
      <c r="AB5357" s="18">
        <f t="shared" si="166"/>
        <v>2009</v>
      </c>
      <c r="AC5357" s="22">
        <f t="shared" si="167"/>
        <v>0.69199999999999995</v>
      </c>
    </row>
    <row r="5358" spans="1:29">
      <c r="A5358" s="8" t="s">
        <v>3356</v>
      </c>
      <c r="B5358" s="17" t="s">
        <v>7765</v>
      </c>
      <c r="C5358" s="13">
        <v>40106</v>
      </c>
      <c r="D5358" s="13" t="s">
        <v>8465</v>
      </c>
      <c r="E5358" s="10" t="s">
        <v>3310</v>
      </c>
      <c r="F5358" s="10" t="s">
        <v>3154</v>
      </c>
      <c r="G5358" s="11" t="s">
        <v>3356</v>
      </c>
      <c r="H5358" s="2" t="s">
        <v>1050</v>
      </c>
      <c r="L5358" s="18">
        <v>0</v>
      </c>
      <c r="Q5358" s="18">
        <v>1</v>
      </c>
      <c r="R5358" s="13">
        <v>40175</v>
      </c>
      <c r="T5358" s="22">
        <v>0.9</v>
      </c>
      <c r="U5358" s="22">
        <v>0.86</v>
      </c>
      <c r="V5358" s="22">
        <f>4.19/5</f>
        <v>0.83800000000000008</v>
      </c>
      <c r="AB5358" s="18">
        <f t="shared" si="166"/>
        <v>2009</v>
      </c>
      <c r="AC5358" s="22">
        <f t="shared" si="167"/>
        <v>0.86599999999999999</v>
      </c>
    </row>
    <row r="5359" spans="1:29" ht="30">
      <c r="A5359" s="8" t="s">
        <v>6421</v>
      </c>
      <c r="B5359" s="17" t="s">
        <v>7765</v>
      </c>
      <c r="C5359" s="13">
        <v>40104</v>
      </c>
      <c r="D5359" s="13" t="s">
        <v>8465</v>
      </c>
      <c r="E5359" s="10" t="s">
        <v>6480</v>
      </c>
      <c r="F5359" s="10" t="s">
        <v>6480</v>
      </c>
      <c r="H5359" s="2" t="s">
        <v>1054</v>
      </c>
      <c r="L5359" s="18">
        <v>1</v>
      </c>
      <c r="Q5359" s="18">
        <v>1</v>
      </c>
      <c r="T5359" s="22">
        <v>0.6</v>
      </c>
      <c r="V5359" s="22">
        <f>4/5</f>
        <v>0.8</v>
      </c>
      <c r="W5359" s="14" t="s">
        <v>6487</v>
      </c>
      <c r="AB5359" s="18">
        <f t="shared" si="166"/>
        <v>2009</v>
      </c>
      <c r="AC5359" s="22">
        <f t="shared" si="167"/>
        <v>0.7</v>
      </c>
    </row>
    <row r="5360" spans="1:29" ht="30">
      <c r="A5360" s="8" t="s">
        <v>3552</v>
      </c>
      <c r="B5360" s="17" t="s">
        <v>7765</v>
      </c>
      <c r="C5360" s="13">
        <v>40097</v>
      </c>
      <c r="D5360" s="13" t="s">
        <v>8465</v>
      </c>
      <c r="E5360" s="10" t="s">
        <v>6448</v>
      </c>
      <c r="F5360" s="10" t="s">
        <v>6448</v>
      </c>
      <c r="H5360" s="2" t="s">
        <v>64</v>
      </c>
      <c r="L5360" s="18">
        <v>1</v>
      </c>
      <c r="Q5360" s="18">
        <v>1</v>
      </c>
      <c r="T5360" s="22">
        <v>0.7</v>
      </c>
      <c r="W5360" s="14" t="s">
        <v>6487</v>
      </c>
      <c r="AB5360" s="18">
        <f t="shared" si="166"/>
        <v>2009</v>
      </c>
      <c r="AC5360" s="22">
        <f t="shared" si="167"/>
        <v>0.7</v>
      </c>
    </row>
    <row r="5361" spans="1:29" ht="30">
      <c r="A5361" s="8" t="s">
        <v>5934</v>
      </c>
      <c r="B5361" s="17" t="s">
        <v>7759</v>
      </c>
      <c r="C5361" s="13">
        <v>40092</v>
      </c>
      <c r="D5361" s="13" t="s">
        <v>8465</v>
      </c>
      <c r="E5361" s="10" t="s">
        <v>2461</v>
      </c>
      <c r="F5361" s="10" t="s">
        <v>1580</v>
      </c>
      <c r="G5361" s="11" t="s">
        <v>3566</v>
      </c>
      <c r="H5361" s="2" t="s">
        <v>171</v>
      </c>
      <c r="L5361" s="18">
        <v>1</v>
      </c>
      <c r="M5361" s="14" t="s">
        <v>10622</v>
      </c>
      <c r="P5361" s="18" t="s">
        <v>14</v>
      </c>
      <c r="Q5361" s="18">
        <v>1</v>
      </c>
      <c r="R5361" s="13">
        <v>44162</v>
      </c>
      <c r="S5361" s="21">
        <f>17+22/60</f>
        <v>17.366666666666667</v>
      </c>
      <c r="T5361" s="22">
        <v>0.8</v>
      </c>
      <c r="U5361" s="22">
        <v>0.9</v>
      </c>
      <c r="V5361" s="22">
        <f>4.33/5</f>
        <v>0.86599999999999999</v>
      </c>
      <c r="W5361" s="14" t="s">
        <v>6069</v>
      </c>
      <c r="AB5361" s="18">
        <f t="shared" si="166"/>
        <v>2009</v>
      </c>
      <c r="AC5361" s="22">
        <f t="shared" si="167"/>
        <v>0.85533333333333339</v>
      </c>
    </row>
    <row r="5362" spans="1:29" ht="30">
      <c r="A5362" s="8" t="s">
        <v>6369</v>
      </c>
      <c r="B5362" s="17" t="s">
        <v>7765</v>
      </c>
      <c r="C5362" s="13">
        <v>40088</v>
      </c>
      <c r="D5362" s="13" t="s">
        <v>8465</v>
      </c>
      <c r="E5362" s="10" t="s">
        <v>2137</v>
      </c>
      <c r="F5362" s="10" t="s">
        <v>2137</v>
      </c>
      <c r="G5362" s="11" t="s">
        <v>6434</v>
      </c>
      <c r="H5362" s="2" t="s">
        <v>64</v>
      </c>
      <c r="L5362" s="18">
        <v>1</v>
      </c>
      <c r="Q5362" s="18">
        <v>1</v>
      </c>
      <c r="T5362" s="22">
        <v>0.8</v>
      </c>
      <c r="V5362" s="22">
        <f>3.45/5</f>
        <v>0.69000000000000006</v>
      </c>
      <c r="W5362" s="14" t="s">
        <v>6487</v>
      </c>
      <c r="AB5362" s="18">
        <f t="shared" si="166"/>
        <v>2009</v>
      </c>
      <c r="AC5362" s="22">
        <f t="shared" si="167"/>
        <v>0.74500000000000011</v>
      </c>
    </row>
    <row r="5363" spans="1:29" ht="30">
      <c r="A5363" s="8" t="s">
        <v>5655</v>
      </c>
      <c r="B5363" s="17" t="s">
        <v>7800</v>
      </c>
      <c r="C5363" s="13">
        <v>40087</v>
      </c>
      <c r="D5363" s="13" t="s">
        <v>8465</v>
      </c>
      <c r="E5363" s="10" t="s">
        <v>5691</v>
      </c>
      <c r="F5363" s="10" t="s">
        <v>5691</v>
      </c>
      <c r="G5363" s="11" t="s">
        <v>5692</v>
      </c>
      <c r="H5363" s="2" t="s">
        <v>64</v>
      </c>
      <c r="L5363" s="18">
        <v>0</v>
      </c>
      <c r="Q5363" s="18">
        <v>1</v>
      </c>
      <c r="T5363" s="22">
        <v>0.7</v>
      </c>
      <c r="W5363" s="14" t="s">
        <v>5674</v>
      </c>
      <c r="AB5363" s="18">
        <f t="shared" si="166"/>
        <v>2009</v>
      </c>
      <c r="AC5363" s="22">
        <f t="shared" si="167"/>
        <v>0.7</v>
      </c>
    </row>
    <row r="5364" spans="1:29" ht="25.5">
      <c r="A5364" s="8" t="s">
        <v>1074</v>
      </c>
      <c r="B5364" s="17" t="s">
        <v>7742</v>
      </c>
      <c r="C5364" s="13">
        <v>40085</v>
      </c>
      <c r="D5364" s="13" t="s">
        <v>8465</v>
      </c>
      <c r="E5364" s="10" t="s">
        <v>1082</v>
      </c>
      <c r="F5364" s="10" t="s">
        <v>1083</v>
      </c>
      <c r="G5364" s="11" t="s">
        <v>126</v>
      </c>
      <c r="H5364" s="2" t="s">
        <v>149</v>
      </c>
      <c r="L5364" s="18">
        <v>0</v>
      </c>
      <c r="Q5364" s="18">
        <v>1</v>
      </c>
      <c r="R5364" s="13">
        <v>44385</v>
      </c>
      <c r="S5364" s="21">
        <f>41+37/60</f>
        <v>41.616666666666667</v>
      </c>
      <c r="T5364" s="22">
        <v>0.7</v>
      </c>
      <c r="U5364" s="22">
        <v>0.74</v>
      </c>
      <c r="V5364" s="22">
        <f>3.88/5</f>
        <v>0.77600000000000002</v>
      </c>
      <c r="AB5364" s="18">
        <f t="shared" si="166"/>
        <v>2009</v>
      </c>
      <c r="AC5364" s="22">
        <f t="shared" si="167"/>
        <v>0.73866666666666669</v>
      </c>
    </row>
    <row r="5365" spans="1:29">
      <c r="A5365" s="8" t="s">
        <v>8753</v>
      </c>
      <c r="B5365" s="17" t="s">
        <v>8754</v>
      </c>
      <c r="C5365" s="13">
        <v>40084</v>
      </c>
      <c r="D5365" s="13" t="s">
        <v>8465</v>
      </c>
      <c r="E5365" s="10" t="s">
        <v>1082</v>
      </c>
      <c r="F5365" s="10" t="s">
        <v>1069</v>
      </c>
      <c r="G5365" s="11" t="s">
        <v>140</v>
      </c>
      <c r="H5365" s="2" t="s">
        <v>3937</v>
      </c>
      <c r="L5365" s="18">
        <v>1</v>
      </c>
      <c r="N5365" s="13">
        <v>44619</v>
      </c>
      <c r="O5365" s="29">
        <v>4.99</v>
      </c>
      <c r="P5365" s="18" t="s">
        <v>1107</v>
      </c>
      <c r="Q5365" s="18">
        <v>1</v>
      </c>
      <c r="R5365" s="13">
        <v>44714</v>
      </c>
      <c r="S5365" s="21">
        <f>36/60</f>
        <v>0.6</v>
      </c>
      <c r="T5365" s="22">
        <v>0.5</v>
      </c>
      <c r="U5365" s="22">
        <v>0.83</v>
      </c>
      <c r="V5365" s="22">
        <f>3.23/5</f>
        <v>0.64600000000000002</v>
      </c>
      <c r="AB5365" s="18">
        <f t="shared" si="166"/>
        <v>2009</v>
      </c>
      <c r="AC5365" s="22">
        <f t="shared" si="167"/>
        <v>0.65866666666666662</v>
      </c>
    </row>
    <row r="5366" spans="1:29" ht="30">
      <c r="A5366" s="8" t="s">
        <v>6364</v>
      </c>
      <c r="B5366" s="17" t="s">
        <v>7765</v>
      </c>
      <c r="C5366" s="13">
        <v>40075</v>
      </c>
      <c r="D5366" s="13" t="s">
        <v>8465</v>
      </c>
      <c r="E5366" s="10" t="s">
        <v>6435</v>
      </c>
      <c r="F5366" s="10" t="s">
        <v>6435</v>
      </c>
      <c r="H5366" s="2" t="s">
        <v>1334</v>
      </c>
      <c r="L5366" s="18">
        <v>1</v>
      </c>
      <c r="Q5366" s="18">
        <v>1</v>
      </c>
      <c r="T5366" s="22">
        <v>0.7</v>
      </c>
      <c r="V5366" s="22">
        <f>2.6/5</f>
        <v>0.52</v>
      </c>
      <c r="W5366" s="14" t="s">
        <v>6487</v>
      </c>
      <c r="AB5366" s="18">
        <f t="shared" si="166"/>
        <v>2009</v>
      </c>
      <c r="AC5366" s="22">
        <f t="shared" si="167"/>
        <v>0.61</v>
      </c>
    </row>
    <row r="5367" spans="1:29">
      <c r="A5367" s="8" t="s">
        <v>4811</v>
      </c>
      <c r="B5367" s="17" t="s">
        <v>7800</v>
      </c>
      <c r="C5367" s="13">
        <v>40071</v>
      </c>
      <c r="D5367" s="13" t="s">
        <v>8465</v>
      </c>
      <c r="E5367" s="10" t="s">
        <v>73</v>
      </c>
      <c r="F5367" s="10" t="s">
        <v>73</v>
      </c>
      <c r="G5367" s="11" t="s">
        <v>943</v>
      </c>
      <c r="H5367" s="2" t="s">
        <v>1168</v>
      </c>
      <c r="L5367" s="18">
        <v>1</v>
      </c>
      <c r="N5367" s="13">
        <v>41973</v>
      </c>
      <c r="O5367" s="29">
        <v>6.79</v>
      </c>
      <c r="P5367" s="18" t="s">
        <v>1107</v>
      </c>
      <c r="Q5367" s="18">
        <v>1</v>
      </c>
      <c r="R5367" s="13">
        <v>41974</v>
      </c>
      <c r="S5367" s="21">
        <v>10.67</v>
      </c>
      <c r="T5367" s="22">
        <v>0.8</v>
      </c>
      <c r="U5367" s="22">
        <v>0.86</v>
      </c>
      <c r="V5367" s="22">
        <f>3.78/5</f>
        <v>0.75600000000000001</v>
      </c>
      <c r="W5367" s="14" t="s">
        <v>7777</v>
      </c>
      <c r="AB5367" s="18">
        <f t="shared" si="166"/>
        <v>2009</v>
      </c>
      <c r="AC5367" s="22">
        <f t="shared" si="167"/>
        <v>0.80533333333333346</v>
      </c>
    </row>
    <row r="5368" spans="1:29">
      <c r="A5368" s="8" t="s">
        <v>4796</v>
      </c>
      <c r="B5368" s="17" t="s">
        <v>7800</v>
      </c>
      <c r="C5368" s="13">
        <v>40071</v>
      </c>
      <c r="D5368" s="13" t="s">
        <v>8465</v>
      </c>
      <c r="E5368" s="10" t="s">
        <v>1342</v>
      </c>
      <c r="F5368" s="10" t="s">
        <v>1655</v>
      </c>
      <c r="G5368" s="11" t="s">
        <v>1646</v>
      </c>
      <c r="H5368" s="2" t="s">
        <v>1168</v>
      </c>
      <c r="L5368" s="18">
        <v>1</v>
      </c>
      <c r="N5368" s="13">
        <v>41568</v>
      </c>
      <c r="P5368" s="18" t="s">
        <v>1107</v>
      </c>
      <c r="Q5368" s="18">
        <v>1</v>
      </c>
      <c r="R5368" s="13">
        <v>41865</v>
      </c>
      <c r="S5368" s="21">
        <v>8.06</v>
      </c>
      <c r="T5368" s="22">
        <v>0.8</v>
      </c>
      <c r="U5368" s="22">
        <v>0.82</v>
      </c>
      <c r="V5368" s="22">
        <f>3.61/5</f>
        <v>0.72199999999999998</v>
      </c>
      <c r="W5368" s="14" t="s">
        <v>7777</v>
      </c>
      <c r="AB5368" s="18">
        <f t="shared" si="166"/>
        <v>2009</v>
      </c>
      <c r="AC5368" s="22">
        <f t="shared" si="167"/>
        <v>0.78066666666666673</v>
      </c>
    </row>
    <row r="5369" spans="1:29" ht="25.5">
      <c r="A5369" s="8" t="s">
        <v>2118</v>
      </c>
      <c r="B5369" s="17" t="s">
        <v>7748</v>
      </c>
      <c r="C5369" s="13">
        <v>40070</v>
      </c>
      <c r="D5369" s="13" t="s">
        <v>8465</v>
      </c>
      <c r="E5369" s="10" t="s">
        <v>86</v>
      </c>
      <c r="F5369" s="10" t="s">
        <v>1892</v>
      </c>
      <c r="G5369" s="11" t="s">
        <v>1893</v>
      </c>
      <c r="H5369" s="2" t="s">
        <v>149</v>
      </c>
      <c r="L5369" s="18">
        <v>0</v>
      </c>
      <c r="Q5369" s="18">
        <v>1</v>
      </c>
      <c r="T5369" s="22">
        <v>0.7</v>
      </c>
      <c r="U5369" s="22">
        <v>0.91</v>
      </c>
      <c r="V5369" s="22">
        <f>4.21/5</f>
        <v>0.84199999999999997</v>
      </c>
      <c r="AB5369" s="18">
        <f t="shared" si="166"/>
        <v>2009</v>
      </c>
      <c r="AC5369" s="22">
        <f t="shared" si="167"/>
        <v>0.81733333333333336</v>
      </c>
    </row>
    <row r="5370" spans="1:29" ht="25.5">
      <c r="A5370" s="8" t="s">
        <v>3262</v>
      </c>
      <c r="B5370" s="17" t="s">
        <v>7765</v>
      </c>
      <c r="C5370" s="13">
        <v>40050</v>
      </c>
      <c r="D5370" s="13" t="s">
        <v>8465</v>
      </c>
      <c r="E5370" s="10" t="s">
        <v>1870</v>
      </c>
      <c r="F5370" s="10" t="s">
        <v>3263</v>
      </c>
      <c r="G5370" s="11" t="s">
        <v>207</v>
      </c>
      <c r="H5370" s="2" t="s">
        <v>80</v>
      </c>
      <c r="L5370" s="18">
        <v>0</v>
      </c>
      <c r="Q5370" s="18">
        <v>1</v>
      </c>
      <c r="R5370" s="13">
        <v>40560</v>
      </c>
      <c r="T5370" s="22">
        <v>0.9</v>
      </c>
      <c r="U5370" s="22">
        <v>0.92</v>
      </c>
      <c r="V5370" s="22">
        <f>4.37/5</f>
        <v>0.874</v>
      </c>
      <c r="AB5370" s="18">
        <f t="shared" si="166"/>
        <v>2009</v>
      </c>
      <c r="AC5370" s="22">
        <f t="shared" si="167"/>
        <v>0.89800000000000002</v>
      </c>
    </row>
    <row r="5371" spans="1:29" ht="25.5">
      <c r="A5371" s="8" t="s">
        <v>2117</v>
      </c>
      <c r="B5371" s="17" t="s">
        <v>7748</v>
      </c>
      <c r="C5371" s="13">
        <v>40049</v>
      </c>
      <c r="D5371" s="13" t="s">
        <v>8465</v>
      </c>
      <c r="E5371" s="10" t="s">
        <v>86</v>
      </c>
      <c r="F5371" s="10" t="s">
        <v>2129</v>
      </c>
      <c r="G5371" s="11" t="s">
        <v>2130</v>
      </c>
      <c r="H5371" s="2" t="s">
        <v>78</v>
      </c>
      <c r="L5371" s="18">
        <v>0</v>
      </c>
      <c r="Q5371" s="18">
        <v>1</v>
      </c>
      <c r="T5371" s="22">
        <v>0.8</v>
      </c>
      <c r="U5371" s="22">
        <v>0.85</v>
      </c>
      <c r="V5371" s="22">
        <f>4.2/5</f>
        <v>0.84000000000000008</v>
      </c>
      <c r="AB5371" s="18">
        <f t="shared" si="166"/>
        <v>2009</v>
      </c>
      <c r="AC5371" s="22">
        <f t="shared" si="167"/>
        <v>0.83000000000000007</v>
      </c>
    </row>
    <row r="5372" spans="1:29" ht="30">
      <c r="A5372" s="8" t="s">
        <v>6382</v>
      </c>
      <c r="B5372" s="17" t="s">
        <v>7765</v>
      </c>
      <c r="C5372" s="13">
        <v>40049</v>
      </c>
      <c r="D5372" s="13" t="s">
        <v>8465</v>
      </c>
      <c r="E5372" s="10" t="s">
        <v>6449</v>
      </c>
      <c r="F5372" s="10" t="s">
        <v>6449</v>
      </c>
      <c r="G5372" s="11" t="s">
        <v>6382</v>
      </c>
      <c r="H5372" s="2" t="s">
        <v>153</v>
      </c>
      <c r="L5372" s="18">
        <v>1</v>
      </c>
      <c r="Q5372" s="18">
        <v>1</v>
      </c>
      <c r="T5372" s="22">
        <v>0.7</v>
      </c>
      <c r="U5372" s="22">
        <v>0.7</v>
      </c>
      <c r="V5372" s="22">
        <f>4/5</f>
        <v>0.8</v>
      </c>
      <c r="W5372" s="14" t="s">
        <v>6487</v>
      </c>
      <c r="AB5372" s="18">
        <f t="shared" si="166"/>
        <v>2009</v>
      </c>
      <c r="AC5372" s="22">
        <f t="shared" si="167"/>
        <v>0.73333333333333339</v>
      </c>
    </row>
    <row r="5373" spans="1:29">
      <c r="A5373" s="8" t="s">
        <v>6330</v>
      </c>
      <c r="B5373" s="17" t="s">
        <v>7765</v>
      </c>
      <c r="C5373" s="13">
        <v>40044</v>
      </c>
      <c r="D5373" s="13" t="s">
        <v>8465</v>
      </c>
      <c r="E5373" s="10" t="s">
        <v>3740</v>
      </c>
      <c r="F5373" s="10" t="s">
        <v>6331</v>
      </c>
      <c r="G5373" s="11" t="s">
        <v>6330</v>
      </c>
      <c r="H5373" s="2" t="s">
        <v>151</v>
      </c>
      <c r="L5373" s="18">
        <v>1</v>
      </c>
      <c r="P5373" s="18" t="s">
        <v>1107</v>
      </c>
      <c r="Q5373" s="18">
        <v>1</v>
      </c>
      <c r="R5373" s="13">
        <v>40178</v>
      </c>
      <c r="T5373" s="22">
        <v>0.9</v>
      </c>
      <c r="U5373" s="22">
        <v>0.89</v>
      </c>
      <c r="V5373" s="22">
        <f>4.25/5</f>
        <v>0.85</v>
      </c>
      <c r="AB5373" s="18">
        <f t="shared" si="166"/>
        <v>2009</v>
      </c>
      <c r="AC5373" s="22">
        <f t="shared" si="167"/>
        <v>0.88</v>
      </c>
    </row>
    <row r="5374" spans="1:29" ht="30">
      <c r="A5374" s="8" t="s">
        <v>6365</v>
      </c>
      <c r="B5374" s="17" t="s">
        <v>7765</v>
      </c>
      <c r="C5374" s="13">
        <v>40041</v>
      </c>
      <c r="D5374" s="13" t="s">
        <v>8465</v>
      </c>
      <c r="E5374" s="10" t="s">
        <v>6436</v>
      </c>
      <c r="F5374" s="10" t="s">
        <v>6436</v>
      </c>
      <c r="H5374" s="2" t="s">
        <v>1054</v>
      </c>
      <c r="L5374" s="18">
        <v>1</v>
      </c>
      <c r="Q5374" s="18">
        <v>1</v>
      </c>
      <c r="T5374" s="22">
        <v>0.7</v>
      </c>
      <c r="U5374" s="22">
        <v>0.82</v>
      </c>
      <c r="V5374" s="22">
        <f>4.01/5</f>
        <v>0.80199999999999994</v>
      </c>
      <c r="W5374" s="14" t="s">
        <v>6487</v>
      </c>
      <c r="AB5374" s="18">
        <f t="shared" si="166"/>
        <v>2009</v>
      </c>
      <c r="AC5374" s="22">
        <f t="shared" si="167"/>
        <v>0.77400000000000002</v>
      </c>
    </row>
    <row r="5375" spans="1:29" ht="38.25">
      <c r="A5375" s="8" t="s">
        <v>6489</v>
      </c>
      <c r="B5375" s="17" t="s">
        <v>7765</v>
      </c>
      <c r="C5375" s="13">
        <v>40030</v>
      </c>
      <c r="D5375" s="13" t="s">
        <v>8465</v>
      </c>
      <c r="E5375" s="10" t="s">
        <v>1047</v>
      </c>
      <c r="F5375" s="10" t="s">
        <v>6501</v>
      </c>
      <c r="G5375" s="11" t="s">
        <v>215</v>
      </c>
      <c r="H5375" s="2" t="s">
        <v>153</v>
      </c>
      <c r="L5375" s="18">
        <v>0</v>
      </c>
      <c r="Q5375" s="18">
        <v>1</v>
      </c>
      <c r="R5375" s="13">
        <v>40034</v>
      </c>
      <c r="T5375" s="22">
        <v>0.6</v>
      </c>
      <c r="U5375" s="22">
        <v>0.62</v>
      </c>
      <c r="V5375" s="22">
        <f>3.2/5</f>
        <v>0.64</v>
      </c>
      <c r="AB5375" s="18">
        <f t="shared" si="166"/>
        <v>2009</v>
      </c>
      <c r="AC5375" s="22">
        <f t="shared" si="167"/>
        <v>0.62</v>
      </c>
    </row>
    <row r="5376" spans="1:29" ht="30">
      <c r="A5376" s="8" t="s">
        <v>6494</v>
      </c>
      <c r="B5376" s="17" t="s">
        <v>7765</v>
      </c>
      <c r="C5376" s="13">
        <v>40023</v>
      </c>
      <c r="D5376" s="13" t="s">
        <v>8465</v>
      </c>
      <c r="E5376" s="10" t="s">
        <v>73</v>
      </c>
      <c r="F5376" s="10" t="s">
        <v>1970</v>
      </c>
      <c r="G5376" s="11" t="s">
        <v>449</v>
      </c>
      <c r="H5376" s="2" t="s">
        <v>459</v>
      </c>
      <c r="L5376" s="18">
        <v>0</v>
      </c>
      <c r="Q5376" s="18">
        <v>1</v>
      </c>
      <c r="T5376" s="22">
        <v>0.8</v>
      </c>
      <c r="U5376" s="22">
        <v>0.83</v>
      </c>
      <c r="V5376" s="22">
        <f>3.99/5</f>
        <v>0.79800000000000004</v>
      </c>
      <c r="AB5376" s="18">
        <f t="shared" si="166"/>
        <v>2009</v>
      </c>
      <c r="AC5376" s="22">
        <f t="shared" si="167"/>
        <v>0.80933333333333335</v>
      </c>
    </row>
    <row r="5377" spans="1:29">
      <c r="A5377" s="8" t="s">
        <v>4489</v>
      </c>
      <c r="B5377" s="17" t="s">
        <v>7765</v>
      </c>
      <c r="C5377" s="13">
        <v>40016</v>
      </c>
      <c r="D5377" s="13" t="s">
        <v>8465</v>
      </c>
      <c r="E5377" s="10" t="s">
        <v>3740</v>
      </c>
      <c r="F5377" s="10" t="s">
        <v>4339</v>
      </c>
      <c r="G5377" s="11" t="s">
        <v>4489</v>
      </c>
      <c r="H5377" s="2" t="s">
        <v>64</v>
      </c>
      <c r="L5377" s="18">
        <v>1</v>
      </c>
      <c r="P5377" s="18" t="s">
        <v>1107</v>
      </c>
      <c r="Q5377" s="18">
        <v>1</v>
      </c>
      <c r="R5377" s="13">
        <v>40201</v>
      </c>
      <c r="T5377" s="22">
        <v>0.8</v>
      </c>
      <c r="U5377" s="22">
        <v>0.86</v>
      </c>
      <c r="V5377" s="22">
        <f>3.64/5</f>
        <v>0.72799999999999998</v>
      </c>
      <c r="AB5377" s="18">
        <f t="shared" ref="AB5377:AB5440" si="168">IFERROR(YEAR(C5377), "Early Access")</f>
        <v>2009</v>
      </c>
      <c r="AC5377" s="22">
        <f t="shared" ref="AC5377:AC5440" si="169">AVERAGE(T5377, U5377, V5377, IF(ISBLANK(X5377), X5377, X5377/5))</f>
        <v>0.79599999999999993</v>
      </c>
    </row>
    <row r="5378" spans="1:29">
      <c r="A5378" s="8" t="s">
        <v>5243</v>
      </c>
      <c r="B5378" s="17" t="s">
        <v>7800</v>
      </c>
      <c r="C5378" s="13">
        <v>40001</v>
      </c>
      <c r="D5378" s="13" t="s">
        <v>8465</v>
      </c>
      <c r="E5378" s="10" t="s">
        <v>3246</v>
      </c>
      <c r="F5378" s="10" t="s">
        <v>3246</v>
      </c>
      <c r="G5378" s="11" t="s">
        <v>4472</v>
      </c>
      <c r="H5378" s="2" t="s">
        <v>67</v>
      </c>
      <c r="L5378" s="18">
        <v>1</v>
      </c>
      <c r="N5378" s="13">
        <v>41110</v>
      </c>
      <c r="O5378" s="29">
        <v>8.74</v>
      </c>
      <c r="P5378" s="18" t="s">
        <v>1107</v>
      </c>
      <c r="Q5378" s="18">
        <v>1</v>
      </c>
      <c r="S5378" s="21">
        <v>13.8</v>
      </c>
      <c r="T5378" s="22">
        <v>0.7</v>
      </c>
      <c r="U5378" s="22">
        <v>0.87</v>
      </c>
      <c r="V5378" s="22">
        <f>3.96/5</f>
        <v>0.79200000000000004</v>
      </c>
      <c r="W5378" s="14" t="s">
        <v>7777</v>
      </c>
      <c r="AB5378" s="18">
        <f t="shared" si="168"/>
        <v>2009</v>
      </c>
      <c r="AC5378" s="22">
        <f t="shared" si="169"/>
        <v>0.78733333333333333</v>
      </c>
    </row>
    <row r="5379" spans="1:29">
      <c r="A5379" s="8" t="s">
        <v>5469</v>
      </c>
      <c r="B5379" s="17" t="s">
        <v>7800</v>
      </c>
      <c r="C5379" s="13">
        <v>39996</v>
      </c>
      <c r="D5379" s="13" t="s">
        <v>8465</v>
      </c>
      <c r="E5379" s="10" t="s">
        <v>4544</v>
      </c>
      <c r="F5379" s="10" t="s">
        <v>4544</v>
      </c>
      <c r="G5379" s="11" t="s">
        <v>5469</v>
      </c>
      <c r="H5379" s="2" t="s">
        <v>27</v>
      </c>
      <c r="L5379" s="18">
        <v>1</v>
      </c>
      <c r="N5379" s="13">
        <v>40537</v>
      </c>
      <c r="P5379" s="18" t="s">
        <v>1107</v>
      </c>
      <c r="Q5379" s="18">
        <v>1</v>
      </c>
      <c r="S5379" s="21">
        <v>4.5999999999999996</v>
      </c>
      <c r="T5379" s="22">
        <v>0.8</v>
      </c>
      <c r="U5379" s="22">
        <v>0.81</v>
      </c>
      <c r="V5379" s="22">
        <f>3.63/5</f>
        <v>0.72599999999999998</v>
      </c>
      <c r="W5379" s="14" t="s">
        <v>7777</v>
      </c>
      <c r="AB5379" s="18">
        <f t="shared" si="168"/>
        <v>2009</v>
      </c>
      <c r="AC5379" s="22">
        <f t="shared" si="169"/>
        <v>0.77866666666666673</v>
      </c>
    </row>
    <row r="5380" spans="1:29" ht="30">
      <c r="A5380" s="8" t="s">
        <v>2612</v>
      </c>
      <c r="B5380" s="17" t="s">
        <v>7765</v>
      </c>
      <c r="C5380" s="13">
        <v>39974</v>
      </c>
      <c r="D5380" s="13" t="s">
        <v>8465</v>
      </c>
      <c r="E5380" s="10" t="s">
        <v>455</v>
      </c>
      <c r="F5380" s="10" t="s">
        <v>1970</v>
      </c>
      <c r="G5380" s="11" t="s">
        <v>1891</v>
      </c>
      <c r="H5380" s="2" t="s">
        <v>56</v>
      </c>
      <c r="L5380" s="18">
        <v>1</v>
      </c>
      <c r="P5380" s="18" t="s">
        <v>1107</v>
      </c>
      <c r="Q5380" s="18">
        <v>1</v>
      </c>
      <c r="R5380" s="13">
        <v>39979</v>
      </c>
      <c r="T5380" s="22">
        <v>0.9</v>
      </c>
      <c r="U5380" s="22">
        <v>0.79</v>
      </c>
      <c r="V5380" s="22">
        <f>4.06/5</f>
        <v>0.81199999999999994</v>
      </c>
      <c r="AB5380" s="18">
        <f t="shared" si="168"/>
        <v>2009</v>
      </c>
      <c r="AC5380" s="22">
        <f t="shared" si="169"/>
        <v>0.83399999999999996</v>
      </c>
    </row>
    <row r="5381" spans="1:29">
      <c r="A5381" s="8" t="s">
        <v>5992</v>
      </c>
      <c r="B5381" s="17" t="s">
        <v>7765</v>
      </c>
      <c r="C5381" s="13">
        <v>39973</v>
      </c>
      <c r="D5381" s="13" t="s">
        <v>8465</v>
      </c>
      <c r="E5381" s="10" t="s">
        <v>1273</v>
      </c>
      <c r="F5381" s="10" t="s">
        <v>1501</v>
      </c>
      <c r="G5381" s="11" t="s">
        <v>5992</v>
      </c>
      <c r="H5381" s="2" t="s">
        <v>80</v>
      </c>
      <c r="L5381" s="18">
        <v>0</v>
      </c>
      <c r="Q5381" s="18">
        <v>1</v>
      </c>
      <c r="R5381" s="13">
        <v>40344</v>
      </c>
      <c r="T5381" s="22">
        <v>0.8</v>
      </c>
      <c r="U5381" s="22">
        <v>0.8</v>
      </c>
      <c r="V5381" s="22">
        <f>3.89/5</f>
        <v>0.77800000000000002</v>
      </c>
      <c r="AB5381" s="18">
        <f t="shared" si="168"/>
        <v>2009</v>
      </c>
      <c r="AC5381" s="22">
        <f t="shared" si="169"/>
        <v>0.79266666666666674</v>
      </c>
    </row>
    <row r="5382" spans="1:29">
      <c r="A5382" s="8" t="s">
        <v>4796</v>
      </c>
      <c r="B5382" s="17" t="s">
        <v>7765</v>
      </c>
      <c r="C5382" s="13">
        <v>39966</v>
      </c>
      <c r="D5382" s="13" t="s">
        <v>8465</v>
      </c>
      <c r="E5382" s="10" t="s">
        <v>1342</v>
      </c>
      <c r="F5382" s="10" t="s">
        <v>1655</v>
      </c>
      <c r="G5382" s="11" t="s">
        <v>1646</v>
      </c>
      <c r="H5382" s="2" t="s">
        <v>1168</v>
      </c>
      <c r="L5382" s="18">
        <v>0</v>
      </c>
      <c r="Q5382" s="18">
        <v>1</v>
      </c>
      <c r="R5382" s="13">
        <v>39974</v>
      </c>
      <c r="T5382" s="22">
        <v>1</v>
      </c>
      <c r="U5382" s="22">
        <v>0.85</v>
      </c>
      <c r="V5382" s="22">
        <f>3.89/5</f>
        <v>0.77800000000000002</v>
      </c>
      <c r="AB5382" s="18">
        <f t="shared" si="168"/>
        <v>2009</v>
      </c>
      <c r="AC5382" s="22">
        <f t="shared" si="169"/>
        <v>0.876</v>
      </c>
    </row>
    <row r="5383" spans="1:29" ht="30">
      <c r="A5383" s="8" t="s">
        <v>10711</v>
      </c>
      <c r="B5383" s="17" t="s">
        <v>8754</v>
      </c>
      <c r="C5383" s="13">
        <v>39965</v>
      </c>
      <c r="D5383" s="13" t="s">
        <v>8465</v>
      </c>
      <c r="E5383" s="10" t="s">
        <v>1084</v>
      </c>
      <c r="F5383" s="10" t="s">
        <v>1084</v>
      </c>
      <c r="G5383" s="11" t="s">
        <v>9995</v>
      </c>
      <c r="H5383" s="2" t="s">
        <v>27</v>
      </c>
      <c r="L5383" s="18">
        <v>1</v>
      </c>
      <c r="N5383" s="13">
        <v>44619</v>
      </c>
      <c r="O5383" s="29">
        <v>7.99</v>
      </c>
      <c r="P5383" s="18" t="s">
        <v>1107</v>
      </c>
      <c r="Q5383" s="18">
        <v>1</v>
      </c>
      <c r="R5383" s="13">
        <v>44735</v>
      </c>
      <c r="S5383" s="21">
        <f>3+45/60</f>
        <v>3.75</v>
      </c>
      <c r="T5383" s="22">
        <v>0.7</v>
      </c>
      <c r="U5383" s="22">
        <v>0.83</v>
      </c>
      <c r="V5383" s="22">
        <f>3.96/5</f>
        <v>0.79200000000000004</v>
      </c>
      <c r="AB5383" s="18">
        <f t="shared" si="168"/>
        <v>2009</v>
      </c>
      <c r="AC5383" s="22">
        <f t="shared" si="169"/>
        <v>0.77400000000000002</v>
      </c>
    </row>
    <row r="5384" spans="1:29" ht="30">
      <c r="A5384" s="8" t="s">
        <v>5953</v>
      </c>
      <c r="B5384" s="17" t="s">
        <v>7759</v>
      </c>
      <c r="C5384" s="13">
        <v>39959</v>
      </c>
      <c r="D5384" s="13" t="s">
        <v>8465</v>
      </c>
      <c r="E5384" s="10" t="s">
        <v>2908</v>
      </c>
      <c r="F5384" s="10" t="s">
        <v>5954</v>
      </c>
      <c r="G5384" s="11" t="s">
        <v>5953</v>
      </c>
      <c r="H5384" s="2" t="s">
        <v>80</v>
      </c>
      <c r="L5384" s="18">
        <v>1</v>
      </c>
      <c r="M5384" s="14" t="s">
        <v>8462</v>
      </c>
      <c r="P5384" s="18" t="s">
        <v>14</v>
      </c>
      <c r="Q5384" s="18">
        <v>1</v>
      </c>
      <c r="R5384" s="13">
        <v>42305</v>
      </c>
      <c r="T5384" s="22">
        <v>0.9</v>
      </c>
      <c r="U5384" s="22">
        <v>0.86</v>
      </c>
      <c r="V5384" s="22">
        <f>4.02/5</f>
        <v>0.80399999999999994</v>
      </c>
      <c r="W5384" s="14" t="s">
        <v>6070</v>
      </c>
      <c r="AB5384" s="18">
        <f t="shared" si="168"/>
        <v>2009</v>
      </c>
      <c r="AC5384" s="22">
        <f t="shared" si="169"/>
        <v>0.85466666666666669</v>
      </c>
    </row>
    <row r="5385" spans="1:29">
      <c r="A5385" s="8" t="s">
        <v>5662</v>
      </c>
      <c r="B5385" s="17" t="s">
        <v>7800</v>
      </c>
      <c r="C5385" s="13">
        <v>39947</v>
      </c>
      <c r="D5385" s="13" t="s">
        <v>8465</v>
      </c>
      <c r="E5385" s="10" t="s">
        <v>4798</v>
      </c>
      <c r="F5385" s="10" t="s">
        <v>4798</v>
      </c>
      <c r="H5385" s="2" t="s">
        <v>1050</v>
      </c>
      <c r="L5385" s="18">
        <v>1</v>
      </c>
      <c r="N5385" s="13">
        <v>41105</v>
      </c>
      <c r="O5385" s="29">
        <v>4.99</v>
      </c>
      <c r="P5385" s="18" t="s">
        <v>1107</v>
      </c>
      <c r="Q5385" s="18">
        <v>1</v>
      </c>
      <c r="R5385" s="13">
        <v>41958</v>
      </c>
      <c r="T5385" s="22">
        <v>0.8</v>
      </c>
      <c r="U5385" s="22">
        <v>0.74</v>
      </c>
      <c r="V5385" s="22">
        <f>3.8/5</f>
        <v>0.76</v>
      </c>
      <c r="W5385" s="14" t="s">
        <v>7777</v>
      </c>
      <c r="AB5385" s="18">
        <f t="shared" si="168"/>
        <v>2009</v>
      </c>
      <c r="AC5385" s="22">
        <f t="shared" si="169"/>
        <v>0.76666666666666661</v>
      </c>
    </row>
    <row r="5386" spans="1:29" ht="30">
      <c r="A5386" s="8" t="s">
        <v>6384</v>
      </c>
      <c r="B5386" s="17" t="s">
        <v>7765</v>
      </c>
      <c r="C5386" s="13">
        <v>39940</v>
      </c>
      <c r="D5386" s="13" t="s">
        <v>8465</v>
      </c>
      <c r="E5386" s="10" t="s">
        <v>6452</v>
      </c>
      <c r="F5386" s="10" t="s">
        <v>6452</v>
      </c>
      <c r="G5386" s="11" t="s">
        <v>6452</v>
      </c>
      <c r="H5386" s="2" t="s">
        <v>78</v>
      </c>
      <c r="L5386" s="18">
        <v>1</v>
      </c>
      <c r="Q5386" s="18">
        <v>1</v>
      </c>
      <c r="T5386" s="22">
        <v>0.7</v>
      </c>
      <c r="V5386" s="22">
        <f>3.7/5</f>
        <v>0.74</v>
      </c>
      <c r="W5386" s="14" t="s">
        <v>6487</v>
      </c>
      <c r="AB5386" s="18">
        <f t="shared" si="168"/>
        <v>2009</v>
      </c>
      <c r="AC5386" s="22">
        <f t="shared" si="169"/>
        <v>0.72</v>
      </c>
    </row>
    <row r="5387" spans="1:29" ht="30">
      <c r="A5387" s="8" t="s">
        <v>6492</v>
      </c>
      <c r="B5387" s="17" t="s">
        <v>7765</v>
      </c>
      <c r="C5387" s="13">
        <v>39939</v>
      </c>
      <c r="D5387" s="13" t="s">
        <v>8465</v>
      </c>
      <c r="E5387" s="10" t="s">
        <v>1082</v>
      </c>
      <c r="F5387" s="10" t="s">
        <v>1970</v>
      </c>
      <c r="G5387" s="11" t="s">
        <v>1088</v>
      </c>
      <c r="H5387" s="2" t="s">
        <v>21</v>
      </c>
      <c r="L5387" s="18">
        <v>0</v>
      </c>
      <c r="Q5387" s="18">
        <v>1</v>
      </c>
      <c r="R5387" s="13">
        <v>39985</v>
      </c>
      <c r="T5387" s="22">
        <v>0.8</v>
      </c>
      <c r="U5387" s="22">
        <v>0.83</v>
      </c>
      <c r="V5387" s="22">
        <f>3.89/5</f>
        <v>0.77800000000000002</v>
      </c>
      <c r="AB5387" s="18">
        <f t="shared" si="168"/>
        <v>2009</v>
      </c>
      <c r="AC5387" s="22">
        <f t="shared" si="169"/>
        <v>0.80266666666666664</v>
      </c>
    </row>
    <row r="5388" spans="1:29">
      <c r="A5388" s="8" t="s">
        <v>5642</v>
      </c>
      <c r="B5388" s="17" t="s">
        <v>7800</v>
      </c>
      <c r="C5388" s="13">
        <v>39938</v>
      </c>
      <c r="D5388" s="13" t="s">
        <v>8465</v>
      </c>
      <c r="E5388" s="10" t="s">
        <v>3288</v>
      </c>
      <c r="F5388" s="10" t="s">
        <v>3288</v>
      </c>
      <c r="G5388" s="11" t="s">
        <v>5642</v>
      </c>
      <c r="H5388" s="2" t="s">
        <v>61</v>
      </c>
      <c r="L5388" s="18">
        <v>0</v>
      </c>
      <c r="Q5388" s="18">
        <v>1</v>
      </c>
      <c r="T5388" s="22">
        <v>0.8</v>
      </c>
      <c r="U5388" s="22">
        <v>0.88</v>
      </c>
      <c r="V5388" s="22">
        <f>4.17/5</f>
        <v>0.83399999999999996</v>
      </c>
      <c r="W5388" s="14" t="s">
        <v>13363</v>
      </c>
      <c r="AB5388" s="18">
        <f t="shared" si="168"/>
        <v>2009</v>
      </c>
      <c r="AC5388" s="22">
        <f t="shared" si="169"/>
        <v>0.83800000000000008</v>
      </c>
    </row>
    <row r="5389" spans="1:29" ht="25.5">
      <c r="A5389" s="8" t="s">
        <v>3518</v>
      </c>
      <c r="B5389" s="17" t="s">
        <v>7800</v>
      </c>
      <c r="C5389" s="13">
        <v>39927</v>
      </c>
      <c r="D5389" s="13" t="s">
        <v>8465</v>
      </c>
      <c r="E5389" s="10" t="s">
        <v>3047</v>
      </c>
      <c r="F5389" s="10" t="s">
        <v>3519</v>
      </c>
      <c r="H5389" s="2" t="s">
        <v>1061</v>
      </c>
      <c r="L5389" s="18">
        <v>1</v>
      </c>
      <c r="N5389" s="13">
        <v>41204</v>
      </c>
      <c r="O5389" s="29">
        <v>3.25</v>
      </c>
      <c r="P5389" s="18" t="s">
        <v>1107</v>
      </c>
      <c r="Q5389" s="18">
        <v>1</v>
      </c>
      <c r="R5389" s="13">
        <v>44115</v>
      </c>
      <c r="S5389" s="21">
        <f>6+22/60</f>
        <v>6.3666666666666663</v>
      </c>
      <c r="T5389" s="22">
        <v>0.6</v>
      </c>
      <c r="U5389" s="22">
        <v>0.69</v>
      </c>
      <c r="V5389" s="22">
        <f>3.69/5</f>
        <v>0.73799999999999999</v>
      </c>
      <c r="W5389" s="14" t="s">
        <v>7777</v>
      </c>
      <c r="AB5389" s="18">
        <f t="shared" si="168"/>
        <v>2009</v>
      </c>
      <c r="AC5389" s="22">
        <f t="shared" si="169"/>
        <v>0.67600000000000005</v>
      </c>
    </row>
    <row r="5390" spans="1:29">
      <c r="A5390" s="8" t="s">
        <v>3363</v>
      </c>
      <c r="B5390" s="17" t="s">
        <v>7800</v>
      </c>
      <c r="C5390" s="13">
        <v>39913</v>
      </c>
      <c r="D5390" s="13" t="s">
        <v>8465</v>
      </c>
      <c r="E5390" s="10" t="s">
        <v>3364</v>
      </c>
      <c r="F5390" s="10" t="s">
        <v>3364</v>
      </c>
      <c r="H5390" s="2" t="s">
        <v>27</v>
      </c>
      <c r="L5390" s="18">
        <v>1</v>
      </c>
      <c r="N5390" s="13">
        <v>40531</v>
      </c>
      <c r="P5390" s="18" t="s">
        <v>1107</v>
      </c>
      <c r="Q5390" s="18">
        <v>1</v>
      </c>
      <c r="T5390" s="22">
        <v>0.8</v>
      </c>
      <c r="U5390" s="22">
        <v>0.91</v>
      </c>
      <c r="V5390" s="22">
        <f>3.95/5</f>
        <v>0.79</v>
      </c>
      <c r="W5390" s="14" t="s">
        <v>7777</v>
      </c>
      <c r="AB5390" s="18">
        <f t="shared" si="168"/>
        <v>2009</v>
      </c>
      <c r="AC5390" s="22">
        <f t="shared" si="169"/>
        <v>0.83333333333333337</v>
      </c>
    </row>
    <row r="5391" spans="1:29">
      <c r="A5391" s="8" t="s">
        <v>3180</v>
      </c>
      <c r="B5391" s="17" t="s">
        <v>7800</v>
      </c>
      <c r="C5391" s="13">
        <v>39905</v>
      </c>
      <c r="D5391" s="13" t="s">
        <v>8465</v>
      </c>
      <c r="E5391" s="10" t="s">
        <v>3181</v>
      </c>
      <c r="F5391" s="10" t="s">
        <v>3181</v>
      </c>
      <c r="H5391" s="2" t="s">
        <v>27</v>
      </c>
      <c r="L5391" s="18">
        <v>1</v>
      </c>
      <c r="N5391" s="13">
        <v>40537</v>
      </c>
      <c r="O5391" s="29">
        <v>0.99</v>
      </c>
      <c r="P5391" s="18" t="s">
        <v>1107</v>
      </c>
      <c r="Q5391" s="18">
        <v>1</v>
      </c>
      <c r="S5391" s="21">
        <v>4.0999999999999996</v>
      </c>
      <c r="T5391" s="22">
        <v>0.8</v>
      </c>
      <c r="U5391" s="22">
        <v>0.72</v>
      </c>
      <c r="V5391" s="22">
        <f>2.91/5</f>
        <v>0.58200000000000007</v>
      </c>
      <c r="W5391" s="14" t="s">
        <v>7777</v>
      </c>
      <c r="AB5391" s="18">
        <f t="shared" si="168"/>
        <v>2009</v>
      </c>
      <c r="AC5391" s="22">
        <f t="shared" si="169"/>
        <v>0.70066666666666677</v>
      </c>
    </row>
    <row r="5392" spans="1:29" ht="30">
      <c r="A5392" s="8" t="s">
        <v>5058</v>
      </c>
      <c r="B5392" s="17" t="s">
        <v>7765</v>
      </c>
      <c r="C5392" s="13">
        <v>39892</v>
      </c>
      <c r="D5392" s="13" t="s">
        <v>8465</v>
      </c>
      <c r="E5392" s="10" t="s">
        <v>5057</v>
      </c>
      <c r="F5392" s="10" t="s">
        <v>5057</v>
      </c>
      <c r="G5392" s="11" t="s">
        <v>5058</v>
      </c>
      <c r="H5392" s="2" t="s">
        <v>1334</v>
      </c>
      <c r="L5392" s="18">
        <v>1</v>
      </c>
      <c r="Q5392" s="18">
        <v>1</v>
      </c>
      <c r="T5392" s="22">
        <v>0.8</v>
      </c>
      <c r="U5392" s="22">
        <v>0.8</v>
      </c>
      <c r="V5392" s="22">
        <f>3.69/5</f>
        <v>0.73799999999999999</v>
      </c>
      <c r="W5392" s="14" t="s">
        <v>6487</v>
      </c>
      <c r="AB5392" s="18">
        <f t="shared" si="168"/>
        <v>2009</v>
      </c>
      <c r="AC5392" s="22">
        <f t="shared" si="169"/>
        <v>0.77933333333333332</v>
      </c>
    </row>
    <row r="5393" spans="1:29">
      <c r="A5393" s="8" t="s">
        <v>4811</v>
      </c>
      <c r="B5393" s="17" t="s">
        <v>7765</v>
      </c>
      <c r="C5393" s="13">
        <v>39885</v>
      </c>
      <c r="D5393" s="13" t="s">
        <v>8465</v>
      </c>
      <c r="E5393" s="10" t="s">
        <v>73</v>
      </c>
      <c r="F5393" s="10" t="s">
        <v>73</v>
      </c>
      <c r="G5393" s="11" t="s">
        <v>943</v>
      </c>
      <c r="H5393" s="2" t="s">
        <v>1168</v>
      </c>
      <c r="L5393" s="18">
        <v>0</v>
      </c>
      <c r="Q5393" s="18">
        <v>1</v>
      </c>
      <c r="R5393" s="13">
        <v>39985</v>
      </c>
      <c r="T5393" s="22">
        <v>0.8</v>
      </c>
      <c r="U5393" s="22">
        <v>0.86</v>
      </c>
      <c r="V5393" s="22">
        <f>4.07/5</f>
        <v>0.81400000000000006</v>
      </c>
      <c r="AB5393" s="18">
        <f t="shared" si="168"/>
        <v>2009</v>
      </c>
      <c r="AC5393" s="22">
        <f t="shared" si="169"/>
        <v>0.82466666666666677</v>
      </c>
    </row>
    <row r="5394" spans="1:29" ht="30">
      <c r="A5394" s="8" t="s">
        <v>6366</v>
      </c>
      <c r="B5394" s="17" t="s">
        <v>7765</v>
      </c>
      <c r="C5394" s="13">
        <v>39848</v>
      </c>
      <c r="D5394" s="13" t="s">
        <v>8465</v>
      </c>
      <c r="E5394" s="10" t="s">
        <v>6437</v>
      </c>
      <c r="F5394" s="10" t="s">
        <v>6437</v>
      </c>
      <c r="H5394" s="2" t="s">
        <v>1334</v>
      </c>
      <c r="L5394" s="18">
        <v>1</v>
      </c>
      <c r="Q5394" s="18">
        <v>1</v>
      </c>
      <c r="T5394" s="22">
        <v>0.8</v>
      </c>
      <c r="V5394" s="22">
        <f>3.84/5</f>
        <v>0.76800000000000002</v>
      </c>
      <c r="W5394" s="14" t="s">
        <v>6487</v>
      </c>
      <c r="AB5394" s="18">
        <f t="shared" si="168"/>
        <v>2009</v>
      </c>
      <c r="AC5394" s="22">
        <f t="shared" si="169"/>
        <v>0.78400000000000003</v>
      </c>
    </row>
    <row r="5395" spans="1:29" ht="25.5">
      <c r="A5395" s="8" t="s">
        <v>3392</v>
      </c>
      <c r="B5395" s="17" t="s">
        <v>7800</v>
      </c>
      <c r="C5395" s="13">
        <v>39847</v>
      </c>
      <c r="D5395" s="13" t="s">
        <v>8465</v>
      </c>
      <c r="E5395" s="10" t="s">
        <v>231</v>
      </c>
      <c r="F5395" s="10" t="s">
        <v>3393</v>
      </c>
      <c r="G5395" s="11" t="s">
        <v>3394</v>
      </c>
      <c r="H5395" s="2" t="s">
        <v>150</v>
      </c>
      <c r="L5395" s="18">
        <v>1</v>
      </c>
      <c r="N5395" s="13">
        <v>41502</v>
      </c>
      <c r="O5395" s="29">
        <v>0</v>
      </c>
      <c r="P5395" s="18" t="s">
        <v>1107</v>
      </c>
      <c r="Q5395" s="18">
        <v>1</v>
      </c>
      <c r="R5395" s="13">
        <v>41672</v>
      </c>
      <c r="S5395" s="21">
        <v>18.309999999999999</v>
      </c>
      <c r="T5395" s="22">
        <v>1</v>
      </c>
      <c r="U5395" s="22">
        <v>0.88</v>
      </c>
      <c r="V5395" s="22">
        <f>3.9/5</f>
        <v>0.78</v>
      </c>
      <c r="W5395" s="14" t="s">
        <v>7777</v>
      </c>
      <c r="AB5395" s="18">
        <f t="shared" si="168"/>
        <v>2009</v>
      </c>
      <c r="AC5395" s="22">
        <f t="shared" si="169"/>
        <v>0.88666666666666671</v>
      </c>
    </row>
    <row r="5396" spans="1:29" ht="25.5">
      <c r="A5396" s="8" t="s">
        <v>4681</v>
      </c>
      <c r="B5396" s="17" t="s">
        <v>7800</v>
      </c>
      <c r="C5396" s="13">
        <v>39836</v>
      </c>
      <c r="D5396" s="13" t="s">
        <v>8465</v>
      </c>
      <c r="E5396" s="10" t="s">
        <v>3171</v>
      </c>
      <c r="F5396" s="10" t="s">
        <v>3171</v>
      </c>
      <c r="G5396" s="11" t="s">
        <v>4682</v>
      </c>
      <c r="H5396" s="2" t="s">
        <v>1061</v>
      </c>
      <c r="L5396" s="18">
        <v>1</v>
      </c>
      <c r="N5396" s="13">
        <v>41067</v>
      </c>
      <c r="O5396" s="29">
        <v>4.99</v>
      </c>
      <c r="P5396" s="18" t="s">
        <v>1107</v>
      </c>
      <c r="Q5396" s="18">
        <v>1</v>
      </c>
      <c r="S5396" s="21">
        <v>3.9</v>
      </c>
      <c r="T5396" s="22">
        <v>0.9</v>
      </c>
      <c r="U5396" s="22">
        <v>0.79</v>
      </c>
      <c r="V5396" s="22">
        <f>3.8/5</f>
        <v>0.76</v>
      </c>
      <c r="W5396" s="14" t="s">
        <v>7777</v>
      </c>
      <c r="AB5396" s="18">
        <f t="shared" si="168"/>
        <v>2009</v>
      </c>
      <c r="AC5396" s="22">
        <f t="shared" si="169"/>
        <v>0.81666666666666676</v>
      </c>
    </row>
    <row r="5397" spans="1:29">
      <c r="A5397" s="8" t="s">
        <v>6334</v>
      </c>
      <c r="B5397" s="17" t="s">
        <v>7765</v>
      </c>
      <c r="C5397" s="13">
        <v>39834</v>
      </c>
      <c r="D5397" s="13" t="s">
        <v>8465</v>
      </c>
      <c r="E5397" s="10" t="s">
        <v>3740</v>
      </c>
      <c r="F5397" s="10" t="s">
        <v>4339</v>
      </c>
      <c r="H5397" s="2" t="s">
        <v>80</v>
      </c>
      <c r="L5397" s="18">
        <v>1</v>
      </c>
      <c r="P5397" s="18" t="s">
        <v>1107</v>
      </c>
      <c r="Q5397" s="18">
        <v>1</v>
      </c>
      <c r="R5397" s="13">
        <v>40270</v>
      </c>
      <c r="T5397" s="22">
        <v>0.8</v>
      </c>
      <c r="U5397" s="22">
        <v>0.76</v>
      </c>
      <c r="V5397" s="22">
        <f>3.57/5</f>
        <v>0.71399999999999997</v>
      </c>
      <c r="AB5397" s="18">
        <f t="shared" si="168"/>
        <v>2009</v>
      </c>
      <c r="AC5397" s="22">
        <f t="shared" si="169"/>
        <v>0.75800000000000001</v>
      </c>
    </row>
    <row r="5398" spans="1:29">
      <c r="A5398" s="8" t="s">
        <v>2116</v>
      </c>
      <c r="B5398" s="17" t="s">
        <v>7748</v>
      </c>
      <c r="C5398" s="13">
        <v>39834</v>
      </c>
      <c r="D5398" s="13" t="s">
        <v>8465</v>
      </c>
      <c r="E5398" s="10" t="s">
        <v>2136</v>
      </c>
      <c r="F5398" s="10" t="s">
        <v>2137</v>
      </c>
      <c r="H5398" s="2" t="s">
        <v>2138</v>
      </c>
      <c r="L5398" s="18">
        <v>0</v>
      </c>
      <c r="Q5398" s="18">
        <v>1</v>
      </c>
      <c r="T5398" s="22">
        <v>0.7</v>
      </c>
      <c r="U5398" s="22">
        <v>0.8</v>
      </c>
      <c r="V5398" s="22">
        <f>3.87/5</f>
        <v>0.77400000000000002</v>
      </c>
      <c r="AB5398" s="18">
        <f t="shared" si="168"/>
        <v>2009</v>
      </c>
      <c r="AC5398" s="22">
        <f t="shared" si="169"/>
        <v>0.75800000000000001</v>
      </c>
    </row>
    <row r="5399" spans="1:29" ht="30">
      <c r="A5399" s="8" t="s">
        <v>6392</v>
      </c>
      <c r="B5399" s="17" t="s">
        <v>7765</v>
      </c>
      <c r="C5399" s="13">
        <v>39824</v>
      </c>
      <c r="D5399" s="13" t="s">
        <v>8465</v>
      </c>
      <c r="E5399" s="10" t="s">
        <v>6457</v>
      </c>
      <c r="F5399" s="10" t="s">
        <v>6457</v>
      </c>
      <c r="H5399" s="2" t="s">
        <v>1054</v>
      </c>
      <c r="L5399" s="18">
        <v>1</v>
      </c>
      <c r="Q5399" s="18">
        <v>1</v>
      </c>
      <c r="T5399" s="22">
        <v>0.6</v>
      </c>
      <c r="U5399" s="22">
        <v>0.65</v>
      </c>
      <c r="V5399" s="22">
        <f>3.5/5</f>
        <v>0.7</v>
      </c>
      <c r="W5399" s="14" t="s">
        <v>6487</v>
      </c>
      <c r="AB5399" s="18">
        <f t="shared" si="168"/>
        <v>2009</v>
      </c>
      <c r="AC5399" s="22">
        <f t="shared" si="169"/>
        <v>0.65</v>
      </c>
    </row>
    <row r="5400" spans="1:29" ht="30">
      <c r="A5400" s="8" t="s">
        <v>6372</v>
      </c>
      <c r="B5400" s="17" t="s">
        <v>7765</v>
      </c>
      <c r="C5400" s="13">
        <v>39822</v>
      </c>
      <c r="D5400" s="13" t="s">
        <v>8465</v>
      </c>
      <c r="E5400" s="10" t="s">
        <v>6439</v>
      </c>
      <c r="F5400" s="10" t="s">
        <v>6439</v>
      </c>
      <c r="H5400" s="2" t="s">
        <v>1054</v>
      </c>
      <c r="L5400" s="18">
        <v>1</v>
      </c>
      <c r="Q5400" s="18">
        <v>1</v>
      </c>
      <c r="T5400" s="22">
        <v>0.8</v>
      </c>
      <c r="V5400" s="22">
        <f>3.21/5</f>
        <v>0.64200000000000002</v>
      </c>
      <c r="W5400" s="14" t="s">
        <v>6487</v>
      </c>
      <c r="AB5400" s="18">
        <f t="shared" si="168"/>
        <v>2009</v>
      </c>
      <c r="AC5400" s="22">
        <f t="shared" si="169"/>
        <v>0.72100000000000009</v>
      </c>
    </row>
    <row r="5401" spans="1:29">
      <c r="A5401" s="8" t="s">
        <v>7294</v>
      </c>
      <c r="B5401" s="17" t="s">
        <v>7783</v>
      </c>
      <c r="C5401" s="13">
        <v>39816</v>
      </c>
      <c r="D5401" s="13" t="s">
        <v>8465</v>
      </c>
      <c r="E5401" s="10" t="s">
        <v>7295</v>
      </c>
      <c r="F5401" s="10" t="s">
        <v>7295</v>
      </c>
      <c r="G5401" s="11" t="s">
        <v>7294</v>
      </c>
      <c r="H5401" s="2" t="s">
        <v>78</v>
      </c>
      <c r="L5401" s="18">
        <v>1</v>
      </c>
      <c r="N5401" s="13">
        <v>40892</v>
      </c>
      <c r="O5401" s="29">
        <v>0</v>
      </c>
      <c r="P5401" s="18" t="s">
        <v>1107</v>
      </c>
      <c r="Q5401" s="18">
        <v>1</v>
      </c>
      <c r="T5401" s="22">
        <v>0.7</v>
      </c>
      <c r="U5401" s="22">
        <v>0.88</v>
      </c>
      <c r="V5401" s="22">
        <f>3.5/5</f>
        <v>0.7</v>
      </c>
      <c r="AB5401" s="18">
        <f t="shared" si="168"/>
        <v>2009</v>
      </c>
      <c r="AC5401" s="22">
        <f t="shared" si="169"/>
        <v>0.76000000000000012</v>
      </c>
    </row>
    <row r="5402" spans="1:29">
      <c r="A5402" s="8" t="s">
        <v>7852</v>
      </c>
      <c r="B5402" s="17" t="s">
        <v>7800</v>
      </c>
      <c r="C5402" s="12">
        <v>39814</v>
      </c>
      <c r="D5402" s="13" t="s">
        <v>8465</v>
      </c>
      <c r="E5402" s="10" t="s">
        <v>7853</v>
      </c>
      <c r="F5402" s="10" t="s">
        <v>7853</v>
      </c>
      <c r="H5402" s="2" t="s">
        <v>56</v>
      </c>
      <c r="L5402" s="18">
        <v>0</v>
      </c>
      <c r="Q5402" s="18">
        <v>1</v>
      </c>
      <c r="R5402" s="13">
        <v>41579</v>
      </c>
      <c r="T5402" s="22">
        <v>0.8</v>
      </c>
      <c r="W5402" s="14" t="s">
        <v>5674</v>
      </c>
      <c r="AB5402" s="18">
        <f t="shared" si="168"/>
        <v>2009</v>
      </c>
      <c r="AC5402" s="22">
        <f t="shared" si="169"/>
        <v>0.8</v>
      </c>
    </row>
    <row r="5403" spans="1:29">
      <c r="A5403" s="8" t="s">
        <v>10234</v>
      </c>
      <c r="B5403" s="17" t="s">
        <v>7759</v>
      </c>
      <c r="C5403" s="13">
        <v>39800</v>
      </c>
      <c r="D5403" s="13" t="s">
        <v>8465</v>
      </c>
      <c r="E5403" s="10" t="s">
        <v>2139</v>
      </c>
      <c r="F5403" s="10" t="s">
        <v>2139</v>
      </c>
      <c r="G5403" s="11" t="s">
        <v>1623</v>
      </c>
      <c r="H5403" s="2" t="s">
        <v>78</v>
      </c>
      <c r="L5403" s="18">
        <v>1</v>
      </c>
      <c r="N5403" s="13">
        <v>45032</v>
      </c>
      <c r="O5403" s="29">
        <v>9.99</v>
      </c>
      <c r="P5403" s="18" t="s">
        <v>1107</v>
      </c>
      <c r="Q5403" s="18">
        <v>0</v>
      </c>
      <c r="U5403" s="22">
        <v>0.8</v>
      </c>
      <c r="V5403" s="22">
        <f>3.9/5</f>
        <v>0.78</v>
      </c>
      <c r="X5403" s="3">
        <v>3</v>
      </c>
      <c r="Z5403" s="23">
        <v>12</v>
      </c>
      <c r="AB5403" s="18">
        <f t="shared" si="168"/>
        <v>2008</v>
      </c>
      <c r="AC5403" s="22">
        <f t="shared" si="169"/>
        <v>0.72666666666666668</v>
      </c>
    </row>
    <row r="5404" spans="1:29" ht="38.25">
      <c r="A5404" s="8" t="s">
        <v>5165</v>
      </c>
      <c r="B5404" s="17" t="s">
        <v>7800</v>
      </c>
      <c r="C5404" s="13">
        <v>39800</v>
      </c>
      <c r="D5404" s="13" t="s">
        <v>8465</v>
      </c>
      <c r="E5404" s="10" t="s">
        <v>3246</v>
      </c>
      <c r="F5404" s="10" t="s">
        <v>3246</v>
      </c>
      <c r="H5404" s="2" t="s">
        <v>67</v>
      </c>
      <c r="L5404" s="18">
        <v>1</v>
      </c>
      <c r="N5404" s="13">
        <v>41340</v>
      </c>
      <c r="P5404" s="18" t="s">
        <v>1107</v>
      </c>
      <c r="Q5404" s="18">
        <v>0</v>
      </c>
      <c r="V5404" s="22">
        <f>3.72/5</f>
        <v>0.74399999999999999</v>
      </c>
      <c r="W5404" s="14" t="s">
        <v>7777</v>
      </c>
      <c r="X5404" s="3">
        <v>3</v>
      </c>
      <c r="Z5404" s="23">
        <v>15</v>
      </c>
      <c r="AB5404" s="18">
        <f t="shared" si="168"/>
        <v>2008</v>
      </c>
      <c r="AC5404" s="22">
        <f t="shared" si="169"/>
        <v>0.67199999999999993</v>
      </c>
    </row>
    <row r="5405" spans="1:29" ht="25.5">
      <c r="A5405" s="8" t="s">
        <v>11123</v>
      </c>
      <c r="B5405" s="17" t="s">
        <v>7741</v>
      </c>
      <c r="C5405" s="13">
        <v>39800</v>
      </c>
      <c r="D5405" s="13" t="s">
        <v>8463</v>
      </c>
      <c r="E5405" s="10" t="s">
        <v>455</v>
      </c>
      <c r="F5405" s="10" t="s">
        <v>1474</v>
      </c>
      <c r="G5405" s="11" t="s">
        <v>2296</v>
      </c>
      <c r="H5405" s="2" t="s">
        <v>459</v>
      </c>
      <c r="K5405" s="18">
        <v>1</v>
      </c>
      <c r="L5405" s="18">
        <v>0</v>
      </c>
      <c r="Q5405" s="18">
        <v>0</v>
      </c>
      <c r="V5405" s="22">
        <f>3.98/5</f>
        <v>0.79600000000000004</v>
      </c>
      <c r="X5405" s="3">
        <v>2</v>
      </c>
      <c r="Z5405" s="23">
        <v>2</v>
      </c>
      <c r="AB5405" s="18">
        <f t="shared" si="168"/>
        <v>2008</v>
      </c>
      <c r="AC5405" s="22">
        <f t="shared" si="169"/>
        <v>0.59800000000000009</v>
      </c>
    </row>
    <row r="5406" spans="1:29" ht="25.5">
      <c r="A5406" s="8" t="s">
        <v>14327</v>
      </c>
      <c r="B5406" s="17" t="s">
        <v>14326</v>
      </c>
      <c r="C5406" s="13">
        <v>39800</v>
      </c>
      <c r="D5406" s="13" t="s">
        <v>8465</v>
      </c>
      <c r="E5406" s="10" t="s">
        <v>73</v>
      </c>
      <c r="F5406" s="10" t="s">
        <v>9637</v>
      </c>
      <c r="G5406" s="11" t="s">
        <v>943</v>
      </c>
      <c r="H5406" s="2" t="s">
        <v>1168</v>
      </c>
      <c r="L5406" s="18">
        <v>0</v>
      </c>
      <c r="Q5406" s="18">
        <v>0</v>
      </c>
      <c r="V5406" s="22">
        <f>3.69/5</f>
        <v>0.73799999999999999</v>
      </c>
      <c r="X5406" s="3">
        <v>2</v>
      </c>
      <c r="Z5406" s="23">
        <v>2</v>
      </c>
      <c r="AB5406" s="18">
        <f t="shared" si="168"/>
        <v>2008</v>
      </c>
      <c r="AC5406" s="22">
        <f t="shared" si="169"/>
        <v>0.56899999999999995</v>
      </c>
    </row>
    <row r="5407" spans="1:29">
      <c r="A5407" s="8" t="s">
        <v>12608</v>
      </c>
      <c r="B5407" s="17" t="s">
        <v>7800</v>
      </c>
      <c r="C5407" s="13">
        <v>39798</v>
      </c>
      <c r="D5407" s="13" t="s">
        <v>8465</v>
      </c>
      <c r="E5407" s="10" t="s">
        <v>1513</v>
      </c>
      <c r="F5407" s="10" t="s">
        <v>4227</v>
      </c>
      <c r="H5407" s="2" t="s">
        <v>171</v>
      </c>
      <c r="L5407" s="18">
        <v>1</v>
      </c>
      <c r="P5407" s="18" t="s">
        <v>1107</v>
      </c>
      <c r="Q5407" s="18">
        <v>0</v>
      </c>
      <c r="U5407" s="22">
        <v>0.59</v>
      </c>
      <c r="V5407" s="22">
        <f>3.4/5</f>
        <v>0.67999999999999994</v>
      </c>
      <c r="W5407" s="14" t="s">
        <v>7777</v>
      </c>
      <c r="X5407" s="3">
        <v>2</v>
      </c>
      <c r="Z5407" s="23">
        <v>12</v>
      </c>
      <c r="AB5407" s="18">
        <f t="shared" si="168"/>
        <v>2008</v>
      </c>
      <c r="AC5407" s="22">
        <f t="shared" si="169"/>
        <v>0.55666666666666664</v>
      </c>
    </row>
    <row r="5408" spans="1:29" ht="38.25">
      <c r="A5408" s="8" t="s">
        <v>8745</v>
      </c>
      <c r="B5408" s="17" t="s">
        <v>7748</v>
      </c>
      <c r="C5408" s="13">
        <v>39793</v>
      </c>
      <c r="D5408" s="13" t="s">
        <v>8463</v>
      </c>
      <c r="E5408" s="10" t="s">
        <v>1082</v>
      </c>
      <c r="F5408" s="10" t="s">
        <v>1521</v>
      </c>
      <c r="G5408" s="11" t="s">
        <v>126</v>
      </c>
      <c r="H5408" s="2" t="s">
        <v>149</v>
      </c>
      <c r="K5408" s="18">
        <v>0</v>
      </c>
      <c r="L5408" s="18">
        <v>0</v>
      </c>
      <c r="Q5408" s="18">
        <v>0</v>
      </c>
      <c r="V5408" s="22">
        <f>4.17/5</f>
        <v>0.83399999999999996</v>
      </c>
      <c r="X5408" s="3">
        <v>3</v>
      </c>
      <c r="AB5408" s="18">
        <f t="shared" si="168"/>
        <v>2008</v>
      </c>
      <c r="AC5408" s="22">
        <f t="shared" si="169"/>
        <v>0.71699999999999997</v>
      </c>
    </row>
    <row r="5409" spans="1:29" ht="25.5">
      <c r="A5409" s="8" t="s">
        <v>14325</v>
      </c>
      <c r="B5409" s="17" t="s">
        <v>14326</v>
      </c>
      <c r="C5409" s="13">
        <v>39793</v>
      </c>
      <c r="D5409" s="13" t="s">
        <v>8465</v>
      </c>
      <c r="E5409" s="10" t="s">
        <v>72</v>
      </c>
      <c r="F5409" s="10" t="s">
        <v>9637</v>
      </c>
      <c r="G5409" s="11" t="s">
        <v>220</v>
      </c>
      <c r="H5409" s="2" t="s">
        <v>245</v>
      </c>
      <c r="L5409" s="18">
        <v>0</v>
      </c>
      <c r="Q5409" s="18">
        <v>0</v>
      </c>
      <c r="V5409" s="22">
        <f>3.38/5</f>
        <v>0.67599999999999993</v>
      </c>
      <c r="X5409" s="3">
        <v>2</v>
      </c>
      <c r="Z5409" s="23">
        <v>1</v>
      </c>
      <c r="AB5409" s="18">
        <f t="shared" si="168"/>
        <v>2008</v>
      </c>
      <c r="AC5409" s="22">
        <f t="shared" si="169"/>
        <v>0.53800000000000003</v>
      </c>
    </row>
    <row r="5410" spans="1:29">
      <c r="A5410" s="8" t="s">
        <v>15335</v>
      </c>
      <c r="B5410" s="17" t="s">
        <v>7765</v>
      </c>
      <c r="C5410" s="13">
        <v>39792</v>
      </c>
      <c r="D5410" s="13" t="s">
        <v>8465</v>
      </c>
      <c r="E5410" s="10" t="s">
        <v>2139</v>
      </c>
      <c r="F5410" s="10" t="s">
        <v>2139</v>
      </c>
      <c r="G5410" s="11" t="s">
        <v>2119</v>
      </c>
      <c r="H5410" s="2" t="s">
        <v>78</v>
      </c>
      <c r="L5410" s="18">
        <v>1</v>
      </c>
      <c r="N5410" s="13">
        <v>45155</v>
      </c>
      <c r="O5410" s="29">
        <v>9.99</v>
      </c>
      <c r="P5410" s="18" t="s">
        <v>1107</v>
      </c>
      <c r="Q5410" s="18">
        <v>0</v>
      </c>
      <c r="U5410" s="22">
        <v>0.71</v>
      </c>
      <c r="V5410" s="22">
        <f>3.5/5</f>
        <v>0.7</v>
      </c>
      <c r="X5410" s="3">
        <v>2</v>
      </c>
      <c r="AB5410" s="18">
        <f t="shared" si="168"/>
        <v>2008</v>
      </c>
      <c r="AC5410" s="22">
        <f t="shared" si="169"/>
        <v>0.60333333333333339</v>
      </c>
    </row>
    <row r="5411" spans="1:29">
      <c r="A5411" s="8" t="s">
        <v>677</v>
      </c>
      <c r="B5411" s="17" t="s">
        <v>7800</v>
      </c>
      <c r="C5411" s="13">
        <v>39791</v>
      </c>
      <c r="D5411" s="13" t="s">
        <v>8465</v>
      </c>
      <c r="E5411" s="10" t="s">
        <v>1047</v>
      </c>
      <c r="F5411" s="10" t="s">
        <v>1048</v>
      </c>
      <c r="G5411" s="11" t="s">
        <v>677</v>
      </c>
      <c r="H5411" s="2" t="s">
        <v>80</v>
      </c>
      <c r="L5411" s="18">
        <v>1</v>
      </c>
      <c r="N5411" s="13">
        <v>41716</v>
      </c>
      <c r="O5411" s="29">
        <v>2.2799999999999998</v>
      </c>
      <c r="P5411" s="18" t="s">
        <v>1107</v>
      </c>
      <c r="Q5411" s="18">
        <v>0</v>
      </c>
      <c r="U5411" s="22">
        <v>0.8</v>
      </c>
      <c r="V5411" s="22">
        <f>3.63/5</f>
        <v>0.72599999999999998</v>
      </c>
      <c r="W5411" s="14" t="s">
        <v>7777</v>
      </c>
      <c r="X5411" s="3">
        <v>3</v>
      </c>
      <c r="Z5411" s="23">
        <v>11.5</v>
      </c>
      <c r="AB5411" s="18">
        <f t="shared" si="168"/>
        <v>2008</v>
      </c>
      <c r="AC5411" s="22">
        <f t="shared" si="169"/>
        <v>0.70866666666666667</v>
      </c>
    </row>
    <row r="5412" spans="1:29">
      <c r="A5412" s="8" t="s">
        <v>6019</v>
      </c>
      <c r="B5412" s="17" t="s">
        <v>7759</v>
      </c>
      <c r="C5412" s="13">
        <v>39791</v>
      </c>
      <c r="D5412" s="13" t="s">
        <v>8465</v>
      </c>
      <c r="E5412" s="10" t="s">
        <v>455</v>
      </c>
      <c r="F5412" s="10" t="s">
        <v>1492</v>
      </c>
      <c r="G5412" s="11" t="s">
        <v>1688</v>
      </c>
      <c r="H5412" s="2" t="s">
        <v>1040</v>
      </c>
      <c r="L5412" s="18">
        <v>1</v>
      </c>
      <c r="M5412" s="14" t="s">
        <v>8462</v>
      </c>
      <c r="N5412" s="13">
        <v>43469</v>
      </c>
      <c r="O5412" s="29">
        <v>10.99</v>
      </c>
      <c r="P5412" s="18" t="s">
        <v>14</v>
      </c>
      <c r="Q5412" s="18">
        <v>0</v>
      </c>
      <c r="U5412" s="22">
        <v>0.56000000000000005</v>
      </c>
      <c r="V5412" s="22">
        <f>3.55/5</f>
        <v>0.71</v>
      </c>
      <c r="X5412" s="3">
        <v>2</v>
      </c>
      <c r="Z5412" s="23">
        <v>13</v>
      </c>
      <c r="AB5412" s="18">
        <f t="shared" si="168"/>
        <v>2008</v>
      </c>
      <c r="AC5412" s="22">
        <f t="shared" si="169"/>
        <v>0.55666666666666664</v>
      </c>
    </row>
    <row r="5413" spans="1:29" ht="30">
      <c r="A5413" s="8" t="s">
        <v>3619</v>
      </c>
      <c r="B5413" s="17" t="s">
        <v>7800</v>
      </c>
      <c r="C5413" s="13">
        <v>39790</v>
      </c>
      <c r="D5413" s="13" t="s">
        <v>8465</v>
      </c>
      <c r="E5413" s="10" t="s">
        <v>3620</v>
      </c>
      <c r="F5413" s="10" t="s">
        <v>3620</v>
      </c>
      <c r="G5413" s="11" t="s">
        <v>3621</v>
      </c>
      <c r="H5413" s="2" t="s">
        <v>1169</v>
      </c>
      <c r="L5413" s="18">
        <v>1</v>
      </c>
      <c r="N5413" s="13">
        <v>41101</v>
      </c>
      <c r="O5413" s="29">
        <v>3.99</v>
      </c>
      <c r="P5413" s="18" t="s">
        <v>1107</v>
      </c>
      <c r="Q5413" s="18">
        <v>0</v>
      </c>
      <c r="U5413" s="22">
        <v>0.83</v>
      </c>
      <c r="V5413" s="22">
        <f>3.9/5</f>
        <v>0.78</v>
      </c>
      <c r="W5413" s="14" t="s">
        <v>7777</v>
      </c>
      <c r="X5413" s="3">
        <v>3</v>
      </c>
      <c r="Z5413" s="23">
        <v>10.5</v>
      </c>
      <c r="AB5413" s="18">
        <f t="shared" si="168"/>
        <v>2008</v>
      </c>
      <c r="AC5413" s="22">
        <f t="shared" si="169"/>
        <v>0.73666666666666669</v>
      </c>
    </row>
    <row r="5414" spans="1:29">
      <c r="A5414" s="8" t="s">
        <v>7131</v>
      </c>
      <c r="B5414" s="17" t="s">
        <v>7800</v>
      </c>
      <c r="C5414" s="13">
        <v>39787</v>
      </c>
      <c r="D5414" s="13" t="s">
        <v>8465</v>
      </c>
      <c r="E5414" s="10" t="s">
        <v>7216</v>
      </c>
      <c r="F5414" s="10" t="s">
        <v>7216</v>
      </c>
      <c r="H5414" s="2" t="s">
        <v>56</v>
      </c>
      <c r="L5414" s="18">
        <v>0</v>
      </c>
      <c r="Q5414" s="18">
        <v>0</v>
      </c>
      <c r="W5414" s="14" t="s">
        <v>5674</v>
      </c>
      <c r="X5414" s="3">
        <v>3</v>
      </c>
      <c r="AB5414" s="18">
        <f t="shared" si="168"/>
        <v>2008</v>
      </c>
      <c r="AC5414" s="22">
        <f t="shared" si="169"/>
        <v>0.6</v>
      </c>
    </row>
    <row r="5415" spans="1:29" ht="30">
      <c r="A5415" s="8" t="s">
        <v>11539</v>
      </c>
      <c r="B5415" s="17" t="s">
        <v>7762</v>
      </c>
      <c r="C5415" s="13">
        <v>39787</v>
      </c>
      <c r="D5415" s="13" t="s">
        <v>8465</v>
      </c>
      <c r="E5415" s="10" t="s">
        <v>1047</v>
      </c>
      <c r="F5415" s="10" t="s">
        <v>3154</v>
      </c>
      <c r="G5415" s="11" t="s">
        <v>3379</v>
      </c>
      <c r="H5415" s="2" t="s">
        <v>1050</v>
      </c>
      <c r="L5415" s="18">
        <v>0</v>
      </c>
      <c r="Q5415" s="18">
        <v>0</v>
      </c>
      <c r="U5415" s="22">
        <v>0.65</v>
      </c>
      <c r="V5415" s="22">
        <f>3.46/5</f>
        <v>0.69199999999999995</v>
      </c>
      <c r="X5415" s="3">
        <v>2</v>
      </c>
      <c r="Z5415" s="23">
        <v>8</v>
      </c>
      <c r="AB5415" s="18">
        <f t="shared" si="168"/>
        <v>2008</v>
      </c>
      <c r="AC5415" s="22">
        <f t="shared" si="169"/>
        <v>0.58066666666666666</v>
      </c>
    </row>
    <row r="5416" spans="1:29" ht="30">
      <c r="A5416" s="8" t="s">
        <v>9584</v>
      </c>
      <c r="B5416" s="17" t="s">
        <v>7762</v>
      </c>
      <c r="C5416" s="13">
        <v>39786</v>
      </c>
      <c r="D5416" s="13" t="s">
        <v>8465</v>
      </c>
      <c r="E5416" s="10" t="s">
        <v>2908</v>
      </c>
      <c r="F5416" s="10" t="s">
        <v>4535</v>
      </c>
      <c r="G5416" s="11" t="s">
        <v>9580</v>
      </c>
      <c r="H5416" s="2" t="s">
        <v>1054</v>
      </c>
      <c r="L5416" s="18">
        <v>0</v>
      </c>
      <c r="Q5416" s="18">
        <v>0</v>
      </c>
      <c r="U5416" s="22">
        <v>0.69</v>
      </c>
      <c r="V5416" s="22">
        <f>3.26/5</f>
        <v>0.65199999999999991</v>
      </c>
      <c r="X5416" s="3">
        <v>3</v>
      </c>
      <c r="Z5416" s="23">
        <v>3</v>
      </c>
      <c r="AB5416" s="18">
        <f t="shared" si="168"/>
        <v>2008</v>
      </c>
      <c r="AC5416" s="22">
        <f t="shared" si="169"/>
        <v>0.64733333333333321</v>
      </c>
    </row>
    <row r="5417" spans="1:29">
      <c r="A5417" s="8" t="s">
        <v>2574</v>
      </c>
      <c r="B5417" s="17" t="s">
        <v>7751</v>
      </c>
      <c r="C5417" s="13">
        <v>39785</v>
      </c>
      <c r="D5417" s="13" t="s">
        <v>8465</v>
      </c>
      <c r="E5417" s="10" t="s">
        <v>2661</v>
      </c>
      <c r="F5417" s="10" t="s">
        <v>2662</v>
      </c>
      <c r="H5417" s="2" t="s">
        <v>149</v>
      </c>
      <c r="L5417" s="18">
        <v>0</v>
      </c>
      <c r="Q5417" s="18">
        <v>0</v>
      </c>
      <c r="U5417" s="22">
        <v>0.8</v>
      </c>
      <c r="V5417" s="22">
        <f>2.66/5</f>
        <v>0.53200000000000003</v>
      </c>
      <c r="X5417" s="3">
        <v>3</v>
      </c>
      <c r="AB5417" s="18">
        <f t="shared" si="168"/>
        <v>2008</v>
      </c>
      <c r="AC5417" s="22">
        <f t="shared" si="169"/>
        <v>0.64400000000000002</v>
      </c>
    </row>
    <row r="5418" spans="1:29">
      <c r="A5418" s="8" t="s">
        <v>4018</v>
      </c>
      <c r="B5418" s="17" t="s">
        <v>7800</v>
      </c>
      <c r="C5418" s="13">
        <v>39784</v>
      </c>
      <c r="D5418" s="13" t="s">
        <v>8465</v>
      </c>
      <c r="E5418" s="10" t="s">
        <v>1618</v>
      </c>
      <c r="F5418" s="10" t="s">
        <v>4019</v>
      </c>
      <c r="G5418" s="11" t="s">
        <v>2306</v>
      </c>
      <c r="H5418" s="2" t="s">
        <v>1168</v>
      </c>
      <c r="L5418" s="18">
        <v>1</v>
      </c>
      <c r="N5418" s="13">
        <v>41107</v>
      </c>
      <c r="O5418" s="29">
        <v>1.04</v>
      </c>
      <c r="P5418" s="18" t="s">
        <v>1107</v>
      </c>
      <c r="Q5418" s="18">
        <v>0</v>
      </c>
      <c r="U5418" s="22">
        <v>0.88</v>
      </c>
      <c r="V5418" s="22">
        <f>3.92/5</f>
        <v>0.78400000000000003</v>
      </c>
      <c r="W5418" s="14" t="s">
        <v>7777</v>
      </c>
      <c r="X5418" s="3">
        <v>4</v>
      </c>
      <c r="Z5418" s="23">
        <v>28</v>
      </c>
      <c r="AB5418" s="18">
        <f t="shared" si="168"/>
        <v>2008</v>
      </c>
      <c r="AC5418" s="22">
        <f t="shared" si="169"/>
        <v>0.82133333333333347</v>
      </c>
    </row>
    <row r="5419" spans="1:29">
      <c r="A5419" s="8" t="s">
        <v>14754</v>
      </c>
      <c r="B5419" s="17" t="s">
        <v>7748</v>
      </c>
      <c r="C5419" s="13">
        <v>39784</v>
      </c>
      <c r="D5419" s="13" t="s">
        <v>8465</v>
      </c>
      <c r="E5419" s="10" t="s">
        <v>10149</v>
      </c>
      <c r="F5419" s="10" t="s">
        <v>6634</v>
      </c>
      <c r="G5419" s="11" t="s">
        <v>10942</v>
      </c>
      <c r="H5419" s="2" t="s">
        <v>1204</v>
      </c>
      <c r="L5419" s="18">
        <v>0</v>
      </c>
      <c r="Q5419" s="18">
        <v>0</v>
      </c>
      <c r="V5419" s="22">
        <f>3.95/5</f>
        <v>0.79</v>
      </c>
      <c r="X5419" s="3">
        <v>2</v>
      </c>
      <c r="AB5419" s="18">
        <f t="shared" si="168"/>
        <v>2008</v>
      </c>
      <c r="AC5419" s="22">
        <f t="shared" si="169"/>
        <v>0.59499999999999997</v>
      </c>
    </row>
    <row r="5420" spans="1:29" ht="25.5">
      <c r="A5420" s="8" t="s">
        <v>13317</v>
      </c>
      <c r="B5420" s="17" t="s">
        <v>7748</v>
      </c>
      <c r="C5420" s="13">
        <v>39784</v>
      </c>
      <c r="D5420" s="13" t="s">
        <v>8465</v>
      </c>
      <c r="E5420" s="10" t="s">
        <v>1047</v>
      </c>
      <c r="F5420" s="10" t="s">
        <v>2462</v>
      </c>
      <c r="G5420" s="11" t="s">
        <v>677</v>
      </c>
      <c r="H5420" s="2" t="s">
        <v>64</v>
      </c>
      <c r="L5420" s="18">
        <v>0</v>
      </c>
      <c r="Q5420" s="18">
        <v>0</v>
      </c>
      <c r="U5420" s="22">
        <v>0.64</v>
      </c>
      <c r="V5420" s="22">
        <f>3.32/5</f>
        <v>0.66399999999999992</v>
      </c>
      <c r="X5420" s="3">
        <v>2</v>
      </c>
      <c r="Z5420" s="23">
        <v>7</v>
      </c>
      <c r="AB5420" s="18">
        <f t="shared" si="168"/>
        <v>2008</v>
      </c>
      <c r="AC5420" s="22">
        <f t="shared" si="169"/>
        <v>0.56799999999999995</v>
      </c>
    </row>
    <row r="5421" spans="1:29" ht="25.5">
      <c r="A5421" s="8" t="s">
        <v>1078</v>
      </c>
      <c r="B5421" s="17" t="s">
        <v>7742</v>
      </c>
      <c r="C5421" s="13">
        <v>39783</v>
      </c>
      <c r="D5421" s="13" t="s">
        <v>8465</v>
      </c>
      <c r="E5421" s="10" t="s">
        <v>1082</v>
      </c>
      <c r="F5421" s="10" t="s">
        <v>1087</v>
      </c>
      <c r="G5421" s="11" t="s">
        <v>1088</v>
      </c>
      <c r="H5421" s="2" t="s">
        <v>21</v>
      </c>
      <c r="L5421" s="18">
        <v>0</v>
      </c>
      <c r="Q5421" s="18">
        <v>0</v>
      </c>
      <c r="U5421" s="22">
        <v>0.7</v>
      </c>
      <c r="V5421" s="22">
        <f>3.83/5</f>
        <v>0.76600000000000001</v>
      </c>
      <c r="X5421" s="3">
        <v>3</v>
      </c>
      <c r="AB5421" s="18">
        <f t="shared" si="168"/>
        <v>2008</v>
      </c>
      <c r="AC5421" s="22">
        <f t="shared" si="169"/>
        <v>0.68866666666666665</v>
      </c>
    </row>
    <row r="5422" spans="1:29" ht="25.5">
      <c r="A5422" s="8" t="s">
        <v>8129</v>
      </c>
      <c r="B5422" s="17" t="s">
        <v>7765</v>
      </c>
      <c r="C5422" s="13">
        <v>39783</v>
      </c>
      <c r="D5422" s="13" t="s">
        <v>8465</v>
      </c>
      <c r="E5422" s="10" t="s">
        <v>1342</v>
      </c>
      <c r="F5422" s="10" t="s">
        <v>8130</v>
      </c>
      <c r="G5422" s="11" t="s">
        <v>8127</v>
      </c>
      <c r="H5422" s="2" t="s">
        <v>80</v>
      </c>
      <c r="L5422" s="18">
        <v>1</v>
      </c>
      <c r="N5422" s="13">
        <v>44558</v>
      </c>
      <c r="O5422" s="29">
        <v>5.99</v>
      </c>
      <c r="P5422" s="18" t="s">
        <v>1107</v>
      </c>
      <c r="Q5422" s="18">
        <v>0</v>
      </c>
      <c r="U5422" s="22">
        <v>0.3841</v>
      </c>
      <c r="V5422" s="22">
        <f>3.59/5</f>
        <v>0.71799999999999997</v>
      </c>
      <c r="X5422" s="3">
        <v>2</v>
      </c>
      <c r="Z5422" s="23">
        <v>9.5</v>
      </c>
      <c r="AB5422" s="18">
        <f t="shared" si="168"/>
        <v>2008</v>
      </c>
      <c r="AC5422" s="22">
        <f t="shared" si="169"/>
        <v>0.50070000000000003</v>
      </c>
    </row>
    <row r="5423" spans="1:29">
      <c r="A5423" s="8" t="s">
        <v>2252</v>
      </c>
      <c r="B5423" s="17" t="s">
        <v>7748</v>
      </c>
      <c r="C5423" s="13">
        <v>39780</v>
      </c>
      <c r="D5423" s="13" t="s">
        <v>8465</v>
      </c>
      <c r="E5423" s="10" t="s">
        <v>1527</v>
      </c>
      <c r="F5423" s="10" t="s">
        <v>170</v>
      </c>
      <c r="G5423" s="11" t="s">
        <v>450</v>
      </c>
      <c r="H5423" s="2" t="s">
        <v>147</v>
      </c>
      <c r="L5423" s="18">
        <v>0</v>
      </c>
      <c r="Q5423" s="18">
        <v>0</v>
      </c>
      <c r="U5423" s="22">
        <v>0.72</v>
      </c>
      <c r="V5423" s="22">
        <f>3.78/5</f>
        <v>0.75600000000000001</v>
      </c>
      <c r="X5423" s="3">
        <v>3</v>
      </c>
      <c r="Z5423" s="23">
        <v>1</v>
      </c>
      <c r="AB5423" s="18">
        <f t="shared" si="168"/>
        <v>2008</v>
      </c>
      <c r="AC5423" s="22">
        <f t="shared" si="169"/>
        <v>0.69200000000000006</v>
      </c>
    </row>
    <row r="5424" spans="1:29" ht="30">
      <c r="A5424" s="8" t="s">
        <v>15490</v>
      </c>
      <c r="B5424" s="17" t="s">
        <v>7759</v>
      </c>
      <c r="C5424" s="13">
        <v>39777</v>
      </c>
      <c r="D5424" s="13" t="s">
        <v>8465</v>
      </c>
      <c r="E5424" s="10" t="s">
        <v>73</v>
      </c>
      <c r="F5424" s="10" t="s">
        <v>1970</v>
      </c>
      <c r="G5424" s="11" t="s">
        <v>227</v>
      </c>
      <c r="H5424" s="2" t="s">
        <v>459</v>
      </c>
      <c r="L5424" s="18">
        <v>0</v>
      </c>
      <c r="Q5424" s="18">
        <v>0</v>
      </c>
      <c r="U5424" s="22">
        <v>0.87</v>
      </c>
      <c r="V5424" s="22">
        <f>3.93/5</f>
        <v>0.78600000000000003</v>
      </c>
      <c r="X5424" s="3">
        <v>3</v>
      </c>
      <c r="Y5424" s="18">
        <v>1</v>
      </c>
      <c r="Z5424" s="23">
        <v>1</v>
      </c>
      <c r="AB5424" s="18">
        <f t="shared" si="168"/>
        <v>2008</v>
      </c>
      <c r="AC5424" s="22">
        <f t="shared" si="169"/>
        <v>0.75200000000000011</v>
      </c>
    </row>
    <row r="5425" spans="1:29" ht="25.5">
      <c r="A5425" s="8" t="s">
        <v>7604</v>
      </c>
      <c r="B5425" s="17" t="s">
        <v>7748</v>
      </c>
      <c r="C5425" s="13">
        <v>39776</v>
      </c>
      <c r="D5425" s="13" t="s">
        <v>8465</v>
      </c>
      <c r="E5425" s="10" t="s">
        <v>1342</v>
      </c>
      <c r="F5425" s="10" t="s">
        <v>2143</v>
      </c>
      <c r="G5425" s="11" t="s">
        <v>3118</v>
      </c>
      <c r="H5425" s="2" t="s">
        <v>69</v>
      </c>
      <c r="L5425" s="18">
        <v>0</v>
      </c>
      <c r="Q5425" s="18">
        <v>0</v>
      </c>
      <c r="U5425" s="22">
        <v>0.8</v>
      </c>
      <c r="V5425" s="22">
        <f>3.73/5</f>
        <v>0.746</v>
      </c>
      <c r="X5425" s="3">
        <v>3</v>
      </c>
      <c r="Z5425" s="23">
        <v>18</v>
      </c>
      <c r="AB5425" s="18">
        <f t="shared" si="168"/>
        <v>2008</v>
      </c>
      <c r="AC5425" s="22">
        <f t="shared" si="169"/>
        <v>0.71533333333333327</v>
      </c>
    </row>
    <row r="5426" spans="1:29">
      <c r="A5426" s="8" t="s">
        <v>11705</v>
      </c>
      <c r="B5426" s="17" t="s">
        <v>7765</v>
      </c>
      <c r="C5426" s="13">
        <v>39772</v>
      </c>
      <c r="D5426" s="13" t="s">
        <v>8463</v>
      </c>
      <c r="E5426" s="10" t="s">
        <v>72</v>
      </c>
      <c r="F5426" s="10" t="s">
        <v>72</v>
      </c>
      <c r="G5426" s="11" t="s">
        <v>11706</v>
      </c>
      <c r="H5426" s="2" t="s">
        <v>21</v>
      </c>
      <c r="K5426" s="18">
        <v>2</v>
      </c>
      <c r="L5426" s="18">
        <v>0</v>
      </c>
      <c r="Q5426" s="18">
        <v>0</v>
      </c>
      <c r="V5426" s="22">
        <f>3.98/5</f>
        <v>0.79600000000000004</v>
      </c>
      <c r="X5426" s="3">
        <v>2</v>
      </c>
      <c r="Y5426" s="18">
        <v>1</v>
      </c>
      <c r="AB5426" s="18">
        <f t="shared" si="168"/>
        <v>2008</v>
      </c>
      <c r="AC5426" s="22">
        <f t="shared" si="169"/>
        <v>0.59800000000000009</v>
      </c>
    </row>
    <row r="5427" spans="1:29">
      <c r="A5427" s="8" t="s">
        <v>4291</v>
      </c>
      <c r="B5427" s="17" t="s">
        <v>7800</v>
      </c>
      <c r="C5427" s="13">
        <v>39770</v>
      </c>
      <c r="D5427" s="13" t="s">
        <v>8465</v>
      </c>
      <c r="E5427" s="10" t="s">
        <v>2324</v>
      </c>
      <c r="F5427" s="10" t="s">
        <v>4292</v>
      </c>
      <c r="H5427" s="2" t="s">
        <v>1050</v>
      </c>
      <c r="L5427" s="18">
        <v>1</v>
      </c>
      <c r="N5427" s="13">
        <v>41212</v>
      </c>
      <c r="P5427" s="18" t="s">
        <v>1107</v>
      </c>
      <c r="Q5427" s="18">
        <v>0</v>
      </c>
      <c r="U5427" s="22">
        <v>0.47</v>
      </c>
      <c r="V5427" s="22">
        <f>2.42/5</f>
        <v>0.48399999999999999</v>
      </c>
      <c r="W5427" s="14" t="s">
        <v>7777</v>
      </c>
      <c r="X5427" s="3">
        <v>2</v>
      </c>
      <c r="Z5427" s="23">
        <v>5.5</v>
      </c>
      <c r="AB5427" s="18">
        <f t="shared" si="168"/>
        <v>2008</v>
      </c>
      <c r="AC5427" s="22">
        <f t="shared" si="169"/>
        <v>0.45133333333333336</v>
      </c>
    </row>
    <row r="5428" spans="1:29" ht="25.5">
      <c r="A5428" s="8" t="s">
        <v>5440</v>
      </c>
      <c r="B5428" s="17" t="s">
        <v>7800</v>
      </c>
      <c r="C5428" s="13">
        <v>39770</v>
      </c>
      <c r="D5428" s="13" t="s">
        <v>8465</v>
      </c>
      <c r="E5428" s="10" t="s">
        <v>1870</v>
      </c>
      <c r="F5428" s="10" t="s">
        <v>1198</v>
      </c>
      <c r="G5428" s="11" t="s">
        <v>1853</v>
      </c>
      <c r="H5428" s="2" t="s">
        <v>80</v>
      </c>
      <c r="L5428" s="18">
        <v>1</v>
      </c>
      <c r="N5428" s="13">
        <v>42113</v>
      </c>
      <c r="O5428" s="29">
        <v>1.64</v>
      </c>
      <c r="P5428" s="18" t="s">
        <v>1107</v>
      </c>
      <c r="Q5428" s="18">
        <v>0</v>
      </c>
      <c r="U5428" s="22">
        <v>0.8</v>
      </c>
      <c r="V5428" s="22">
        <f>3.68/5</f>
        <v>0.73599999999999999</v>
      </c>
      <c r="W5428" s="14" t="s">
        <v>7777</v>
      </c>
      <c r="X5428" s="3">
        <v>4</v>
      </c>
      <c r="Z5428" s="23">
        <v>10</v>
      </c>
      <c r="AB5428" s="18">
        <f t="shared" si="168"/>
        <v>2008</v>
      </c>
      <c r="AC5428" s="22">
        <f t="shared" si="169"/>
        <v>0.77866666666666673</v>
      </c>
    </row>
    <row r="5429" spans="1:29" ht="25.5">
      <c r="A5429" s="8" t="s">
        <v>6961</v>
      </c>
      <c r="B5429" s="17" t="s">
        <v>7800</v>
      </c>
      <c r="C5429" s="13">
        <v>39770</v>
      </c>
      <c r="D5429" s="13" t="s">
        <v>8465</v>
      </c>
      <c r="E5429" s="10" t="s">
        <v>311</v>
      </c>
      <c r="F5429" s="10" t="s">
        <v>3166</v>
      </c>
      <c r="G5429" s="11" t="s">
        <v>4533</v>
      </c>
      <c r="H5429" s="2" t="s">
        <v>1720</v>
      </c>
      <c r="L5429" s="18">
        <v>1</v>
      </c>
      <c r="N5429" s="13">
        <v>41803</v>
      </c>
      <c r="O5429" s="29">
        <v>0</v>
      </c>
      <c r="P5429" s="18" t="s">
        <v>1107</v>
      </c>
      <c r="Q5429" s="18">
        <v>0</v>
      </c>
      <c r="U5429" s="22">
        <v>0.73</v>
      </c>
      <c r="V5429" s="22">
        <f>3.57/5</f>
        <v>0.71399999999999997</v>
      </c>
      <c r="W5429" s="14" t="s">
        <v>7778</v>
      </c>
      <c r="X5429" s="3">
        <v>4</v>
      </c>
      <c r="Z5429" s="23">
        <v>15</v>
      </c>
      <c r="AB5429" s="18">
        <f t="shared" si="168"/>
        <v>2008</v>
      </c>
      <c r="AC5429" s="22">
        <f t="shared" si="169"/>
        <v>0.74799999999999989</v>
      </c>
    </row>
    <row r="5430" spans="1:29" ht="25.5">
      <c r="A5430" s="8" t="s">
        <v>2209</v>
      </c>
      <c r="B5430" s="17" t="s">
        <v>7748</v>
      </c>
      <c r="C5430" s="13">
        <v>39770</v>
      </c>
      <c r="D5430" s="13" t="s">
        <v>8465</v>
      </c>
      <c r="E5430" s="10" t="s">
        <v>66</v>
      </c>
      <c r="F5430" s="10" t="s">
        <v>1269</v>
      </c>
      <c r="G5430" s="11" t="s">
        <v>1540</v>
      </c>
      <c r="H5430" s="2" t="s">
        <v>171</v>
      </c>
      <c r="L5430" s="18">
        <v>0</v>
      </c>
      <c r="Q5430" s="18">
        <v>0</v>
      </c>
      <c r="U5430" s="22">
        <v>0.77</v>
      </c>
      <c r="V5430" s="22">
        <f>4.07/5</f>
        <v>0.81400000000000006</v>
      </c>
      <c r="X5430" s="3">
        <v>3</v>
      </c>
      <c r="Z5430" s="23">
        <v>25</v>
      </c>
      <c r="AB5430" s="18">
        <f t="shared" si="168"/>
        <v>2008</v>
      </c>
      <c r="AC5430" s="22">
        <f t="shared" si="169"/>
        <v>0.72800000000000009</v>
      </c>
    </row>
    <row r="5431" spans="1:29">
      <c r="A5431" s="8" t="s">
        <v>2195</v>
      </c>
      <c r="B5431" s="17" t="s">
        <v>7748</v>
      </c>
      <c r="C5431" s="13">
        <v>39770</v>
      </c>
      <c r="D5431" s="13" t="s">
        <v>8465</v>
      </c>
      <c r="E5431" s="10" t="s">
        <v>228</v>
      </c>
      <c r="F5431" s="10" t="s">
        <v>1528</v>
      </c>
      <c r="G5431" s="11" t="s">
        <v>2251</v>
      </c>
      <c r="H5431" s="2" t="s">
        <v>75</v>
      </c>
      <c r="L5431" s="18">
        <v>0</v>
      </c>
      <c r="Q5431" s="18">
        <v>0</v>
      </c>
      <c r="U5431" s="22">
        <v>0.73</v>
      </c>
      <c r="V5431" s="22">
        <f>3.93/5</f>
        <v>0.78600000000000003</v>
      </c>
      <c r="X5431" s="3">
        <v>3</v>
      </c>
      <c r="Z5431" s="23">
        <v>34.5</v>
      </c>
      <c r="AB5431" s="18">
        <f t="shared" si="168"/>
        <v>2008</v>
      </c>
      <c r="AC5431" s="22">
        <f t="shared" si="169"/>
        <v>0.70533333333333337</v>
      </c>
    </row>
    <row r="5432" spans="1:29" ht="25.5">
      <c r="A5432" s="8" t="s">
        <v>7487</v>
      </c>
      <c r="B5432" s="17" t="s">
        <v>7759</v>
      </c>
      <c r="C5432" s="13">
        <v>39770</v>
      </c>
      <c r="D5432" s="13" t="s">
        <v>8465</v>
      </c>
      <c r="E5432" s="10" t="s">
        <v>231</v>
      </c>
      <c r="F5432" s="10" t="s">
        <v>6015</v>
      </c>
      <c r="G5432" s="11" t="s">
        <v>4518</v>
      </c>
      <c r="H5432" s="2" t="s">
        <v>150</v>
      </c>
      <c r="L5432" s="18">
        <v>0</v>
      </c>
      <c r="Q5432" s="18">
        <v>0</v>
      </c>
      <c r="U5432" s="22">
        <v>0.63</v>
      </c>
      <c r="V5432" s="22">
        <f>3.44/5</f>
        <v>0.68799999999999994</v>
      </c>
      <c r="X5432" s="3">
        <v>2</v>
      </c>
      <c r="Y5432" s="18">
        <v>1</v>
      </c>
      <c r="Z5432" s="23">
        <v>11</v>
      </c>
      <c r="AB5432" s="18">
        <f t="shared" si="168"/>
        <v>2008</v>
      </c>
      <c r="AC5432" s="22">
        <f t="shared" si="169"/>
        <v>0.57266666666666666</v>
      </c>
    </row>
    <row r="5433" spans="1:29" ht="25.5">
      <c r="A5433" s="8" t="s">
        <v>8401</v>
      </c>
      <c r="B5433" s="17" t="s">
        <v>7741</v>
      </c>
      <c r="C5433" s="13">
        <v>39770</v>
      </c>
      <c r="D5433" s="13" t="s">
        <v>8465</v>
      </c>
      <c r="E5433" s="10" t="s">
        <v>1551</v>
      </c>
      <c r="F5433" s="10" t="s">
        <v>8385</v>
      </c>
      <c r="G5433" s="11" t="s">
        <v>8386</v>
      </c>
      <c r="H5433" s="2" t="s">
        <v>1142</v>
      </c>
      <c r="L5433" s="18">
        <v>1</v>
      </c>
      <c r="M5433" s="14" t="s">
        <v>8462</v>
      </c>
      <c r="N5433" s="13">
        <v>43879</v>
      </c>
      <c r="O5433" s="29">
        <f>4.57+0.45</f>
        <v>5.0200000000000005</v>
      </c>
      <c r="P5433" s="18" t="s">
        <v>14</v>
      </c>
      <c r="Q5433" s="18">
        <v>0</v>
      </c>
      <c r="U5433" s="22">
        <v>0.62</v>
      </c>
      <c r="V5433" s="22">
        <f>3.14/5</f>
        <v>0.628</v>
      </c>
      <c r="X5433" s="3">
        <v>2</v>
      </c>
      <c r="Z5433" s="23">
        <v>4.5</v>
      </c>
      <c r="AB5433" s="18">
        <f t="shared" si="168"/>
        <v>2008</v>
      </c>
      <c r="AC5433" s="22">
        <f t="shared" si="169"/>
        <v>0.54933333333333334</v>
      </c>
    </row>
    <row r="5434" spans="1:29">
      <c r="A5434" s="8" t="s">
        <v>6727</v>
      </c>
      <c r="B5434" s="17" t="s">
        <v>7741</v>
      </c>
      <c r="C5434" s="13">
        <v>39770</v>
      </c>
      <c r="D5434" s="13" t="s">
        <v>8465</v>
      </c>
      <c r="E5434" s="10" t="s">
        <v>72</v>
      </c>
      <c r="F5434" s="10" t="s">
        <v>461</v>
      </c>
      <c r="G5434" s="11" t="s">
        <v>113</v>
      </c>
      <c r="H5434" s="2" t="s">
        <v>459</v>
      </c>
      <c r="L5434" s="18">
        <v>0</v>
      </c>
      <c r="Q5434" s="18">
        <v>0</v>
      </c>
      <c r="U5434" s="22">
        <v>0.52</v>
      </c>
      <c r="V5434" s="22">
        <f>3.33/5</f>
        <v>0.66600000000000004</v>
      </c>
      <c r="X5434" s="3">
        <v>2</v>
      </c>
      <c r="Z5434" s="23">
        <v>4.5</v>
      </c>
      <c r="AB5434" s="18">
        <f t="shared" si="168"/>
        <v>2008</v>
      </c>
      <c r="AC5434" s="22">
        <f t="shared" si="169"/>
        <v>0.52866666666666662</v>
      </c>
    </row>
    <row r="5435" spans="1:29">
      <c r="A5435" s="8" t="s">
        <v>15516</v>
      </c>
      <c r="B5435" s="17" t="s">
        <v>7748</v>
      </c>
      <c r="C5435" s="13">
        <v>39770</v>
      </c>
      <c r="D5435" s="13" t="s">
        <v>8465</v>
      </c>
      <c r="E5435" s="10" t="s">
        <v>76</v>
      </c>
      <c r="F5435" s="10" t="s">
        <v>2348</v>
      </c>
      <c r="G5435" s="11" t="s">
        <v>15512</v>
      </c>
      <c r="H5435" s="2" t="s">
        <v>255</v>
      </c>
      <c r="L5435" s="18">
        <v>0</v>
      </c>
      <c r="Q5435" s="18">
        <v>0</v>
      </c>
      <c r="U5435" s="22">
        <v>0.66</v>
      </c>
      <c r="V5435" s="22">
        <f>3.7/5</f>
        <v>0.74</v>
      </c>
      <c r="X5435" s="3">
        <v>2</v>
      </c>
      <c r="AB5435" s="18">
        <f t="shared" si="168"/>
        <v>2008</v>
      </c>
      <c r="AC5435" s="22">
        <f t="shared" si="169"/>
        <v>0.6</v>
      </c>
    </row>
    <row r="5436" spans="1:29">
      <c r="A5436" s="8" t="s">
        <v>4284</v>
      </c>
      <c r="B5436" s="17" t="s">
        <v>7800</v>
      </c>
      <c r="C5436" s="13">
        <v>39769</v>
      </c>
      <c r="D5436" s="13" t="s">
        <v>8465</v>
      </c>
      <c r="E5436" s="10" t="s">
        <v>4070</v>
      </c>
      <c r="F5436" s="10" t="s">
        <v>4285</v>
      </c>
      <c r="G5436" s="11" t="s">
        <v>4284</v>
      </c>
      <c r="H5436" s="2" t="s">
        <v>1050</v>
      </c>
      <c r="L5436" s="18">
        <v>1</v>
      </c>
      <c r="N5436" s="13">
        <v>41104</v>
      </c>
      <c r="O5436" s="29">
        <v>3.74</v>
      </c>
      <c r="P5436" s="18" t="s">
        <v>1107</v>
      </c>
      <c r="Q5436" s="18">
        <v>0</v>
      </c>
      <c r="U5436" s="22">
        <v>0.89</v>
      </c>
      <c r="V5436" s="22">
        <f>4.05/5</f>
        <v>0.80999999999999994</v>
      </c>
      <c r="W5436" s="14" t="s">
        <v>7777</v>
      </c>
      <c r="X5436" s="3">
        <v>2</v>
      </c>
      <c r="Z5436" s="23">
        <v>7</v>
      </c>
      <c r="AB5436" s="18">
        <f t="shared" si="168"/>
        <v>2008</v>
      </c>
      <c r="AC5436" s="22">
        <f t="shared" si="169"/>
        <v>0.70000000000000007</v>
      </c>
    </row>
    <row r="5437" spans="1:29">
      <c r="A5437" s="8" t="s">
        <v>2153</v>
      </c>
      <c r="B5437" s="17" t="s">
        <v>7748</v>
      </c>
      <c r="C5437" s="13">
        <v>39769</v>
      </c>
      <c r="D5437" s="13" t="s">
        <v>8465</v>
      </c>
      <c r="E5437" s="10" t="s">
        <v>76</v>
      </c>
      <c r="F5437" s="10" t="s">
        <v>2294</v>
      </c>
      <c r="G5437" s="11" t="s">
        <v>2153</v>
      </c>
      <c r="H5437" s="2" t="s">
        <v>1143</v>
      </c>
      <c r="L5437" s="18">
        <v>0</v>
      </c>
      <c r="Q5437" s="18">
        <v>0</v>
      </c>
      <c r="U5437" s="22">
        <v>0.79</v>
      </c>
      <c r="V5437" s="22">
        <f>3.52/5</f>
        <v>0.70399999999999996</v>
      </c>
      <c r="X5437" s="3">
        <v>3</v>
      </c>
      <c r="Z5437" s="23">
        <v>7</v>
      </c>
      <c r="AB5437" s="18">
        <f t="shared" si="168"/>
        <v>2008</v>
      </c>
      <c r="AC5437" s="22">
        <f t="shared" si="169"/>
        <v>0.69799999999999995</v>
      </c>
    </row>
    <row r="5438" spans="1:29" ht="25.5">
      <c r="A5438" s="8" t="s">
        <v>976</v>
      </c>
      <c r="B5438" s="17" t="s">
        <v>7741</v>
      </c>
      <c r="C5438" s="13">
        <v>39768</v>
      </c>
      <c r="D5438" s="13" t="s">
        <v>8465</v>
      </c>
      <c r="E5438" s="10" t="s">
        <v>86</v>
      </c>
      <c r="F5438" s="10" t="s">
        <v>87</v>
      </c>
      <c r="G5438" s="11" t="s">
        <v>901</v>
      </c>
      <c r="H5438" s="2" t="s">
        <v>1334</v>
      </c>
      <c r="L5438" s="18">
        <v>1</v>
      </c>
      <c r="M5438" s="14" t="s">
        <v>8462</v>
      </c>
      <c r="N5438" s="13">
        <v>43643</v>
      </c>
      <c r="O5438" s="29">
        <v>7</v>
      </c>
      <c r="P5438" s="18" t="s">
        <v>14</v>
      </c>
      <c r="Q5438" s="18">
        <v>0</v>
      </c>
      <c r="U5438" s="22">
        <v>0.74</v>
      </c>
      <c r="V5438" s="22">
        <f>4.04/5</f>
        <v>0.80800000000000005</v>
      </c>
      <c r="X5438" s="3">
        <v>3</v>
      </c>
      <c r="Z5438" s="23">
        <v>68.5</v>
      </c>
      <c r="AB5438" s="18">
        <f t="shared" si="168"/>
        <v>2008</v>
      </c>
      <c r="AC5438" s="22">
        <f t="shared" si="169"/>
        <v>0.71600000000000008</v>
      </c>
    </row>
    <row r="5439" spans="1:29" ht="38.25">
      <c r="A5439" s="8" t="s">
        <v>13957</v>
      </c>
      <c r="B5439" s="17" t="s">
        <v>7748</v>
      </c>
      <c r="C5439" s="13">
        <v>39765</v>
      </c>
      <c r="D5439" s="13" t="s">
        <v>8463</v>
      </c>
      <c r="E5439" s="10" t="s">
        <v>455</v>
      </c>
      <c r="F5439" s="10" t="s">
        <v>164</v>
      </c>
      <c r="G5439" s="11" t="s">
        <v>11001</v>
      </c>
      <c r="H5439" s="2" t="s">
        <v>1377</v>
      </c>
      <c r="K5439" s="18">
        <v>1</v>
      </c>
      <c r="L5439" s="18">
        <v>0</v>
      </c>
      <c r="Q5439" s="18">
        <v>0</v>
      </c>
      <c r="V5439" s="22">
        <f>3.41/5</f>
        <v>0.68200000000000005</v>
      </c>
      <c r="X5439" s="3">
        <v>2</v>
      </c>
      <c r="AB5439" s="18">
        <f t="shared" si="168"/>
        <v>2008</v>
      </c>
      <c r="AC5439" s="22">
        <f t="shared" si="169"/>
        <v>0.54100000000000004</v>
      </c>
    </row>
    <row r="5440" spans="1:29" ht="25.5">
      <c r="A5440" s="8" t="s">
        <v>3403</v>
      </c>
      <c r="B5440" s="17" t="s">
        <v>7748</v>
      </c>
      <c r="C5440" s="13">
        <v>39763</v>
      </c>
      <c r="D5440" s="13" t="s">
        <v>8465</v>
      </c>
      <c r="E5440" s="10" t="s">
        <v>1273</v>
      </c>
      <c r="F5440" s="10" t="s">
        <v>2454</v>
      </c>
      <c r="G5440" s="11" t="s">
        <v>3401</v>
      </c>
      <c r="H5440" s="2" t="s">
        <v>1050</v>
      </c>
      <c r="L5440" s="18">
        <v>0</v>
      </c>
      <c r="Q5440" s="18">
        <v>0</v>
      </c>
      <c r="U5440" s="22">
        <v>0.78</v>
      </c>
      <c r="V5440" s="22">
        <f>3.77/5</f>
        <v>0.754</v>
      </c>
      <c r="X5440" s="3">
        <v>2</v>
      </c>
      <c r="Z5440" s="23">
        <v>7.5</v>
      </c>
      <c r="AB5440" s="18">
        <f t="shared" si="168"/>
        <v>2008</v>
      </c>
      <c r="AC5440" s="22">
        <f t="shared" si="169"/>
        <v>0.64466666666666672</v>
      </c>
    </row>
    <row r="5441" spans="1:29" ht="25.5">
      <c r="A5441" s="8" t="s">
        <v>3403</v>
      </c>
      <c r="B5441" s="17" t="s">
        <v>7741</v>
      </c>
      <c r="C5441" s="13">
        <v>39763</v>
      </c>
      <c r="D5441" s="13" t="s">
        <v>8465</v>
      </c>
      <c r="E5441" s="10" t="s">
        <v>1273</v>
      </c>
      <c r="F5441" s="10" t="s">
        <v>1508</v>
      </c>
      <c r="G5441" s="11" t="s">
        <v>3401</v>
      </c>
      <c r="H5441" s="2" t="s">
        <v>1050</v>
      </c>
      <c r="L5441" s="18">
        <v>0</v>
      </c>
      <c r="Q5441" s="18">
        <v>0</v>
      </c>
      <c r="U5441" s="22">
        <v>0.84</v>
      </c>
      <c r="V5441" s="22">
        <f>3.93/5</f>
        <v>0.78600000000000003</v>
      </c>
      <c r="X5441" s="3">
        <v>2</v>
      </c>
      <c r="Z5441" s="23">
        <v>7.5</v>
      </c>
      <c r="AB5441" s="18">
        <f t="shared" ref="AB5441:AB5504" si="170">IFERROR(YEAR(C5441), "Early Access")</f>
        <v>2008</v>
      </c>
      <c r="AC5441" s="22">
        <f t="shared" ref="AC5441:AC5504" si="171">AVERAGE(T5441, U5441, V5441, IF(ISBLANK(X5441), X5441, X5441/5))</f>
        <v>0.67533333333333323</v>
      </c>
    </row>
    <row r="5442" spans="1:29" ht="38.25">
      <c r="A5442" s="8" t="s">
        <v>1026</v>
      </c>
      <c r="B5442" s="17" t="s">
        <v>7741</v>
      </c>
      <c r="C5442" s="13">
        <v>39763</v>
      </c>
      <c r="D5442" s="13" t="s">
        <v>8465</v>
      </c>
      <c r="E5442" s="10" t="s">
        <v>1541</v>
      </c>
      <c r="F5442" s="10" t="s">
        <v>1500</v>
      </c>
      <c r="G5442" s="11" t="s">
        <v>1422</v>
      </c>
      <c r="H5442" s="2" t="s">
        <v>171</v>
      </c>
      <c r="L5442" s="18">
        <v>0</v>
      </c>
      <c r="Q5442" s="18">
        <v>0</v>
      </c>
      <c r="U5442" s="22">
        <v>0.69</v>
      </c>
      <c r="V5442" s="22">
        <f>3.88/5</f>
        <v>0.77600000000000002</v>
      </c>
      <c r="X5442" s="3">
        <v>3</v>
      </c>
      <c r="Z5442" s="23">
        <v>33</v>
      </c>
      <c r="AB5442" s="18">
        <f t="shared" si="170"/>
        <v>2008</v>
      </c>
      <c r="AC5442" s="22">
        <f t="shared" si="171"/>
        <v>0.68866666666666665</v>
      </c>
    </row>
    <row r="5443" spans="1:29">
      <c r="A5443" s="8" t="s">
        <v>5725</v>
      </c>
      <c r="B5443" s="17" t="s">
        <v>7758</v>
      </c>
      <c r="C5443" s="13">
        <v>39763</v>
      </c>
      <c r="D5443" s="13" t="s">
        <v>8465</v>
      </c>
      <c r="E5443" s="10" t="s">
        <v>228</v>
      </c>
      <c r="F5443" s="10" t="s">
        <v>1897</v>
      </c>
      <c r="H5443" s="2" t="s">
        <v>75</v>
      </c>
      <c r="L5443" s="18">
        <v>0</v>
      </c>
      <c r="Q5443" s="18">
        <v>0</v>
      </c>
      <c r="U5443" s="22">
        <v>0.71</v>
      </c>
      <c r="V5443" s="22">
        <f>3.65/5</f>
        <v>0.73</v>
      </c>
      <c r="X5443" s="3">
        <v>3</v>
      </c>
      <c r="Z5443" s="23">
        <v>40</v>
      </c>
      <c r="AB5443" s="18">
        <f t="shared" si="170"/>
        <v>2008</v>
      </c>
      <c r="AC5443" s="22">
        <f t="shared" si="171"/>
        <v>0.68</v>
      </c>
    </row>
    <row r="5444" spans="1:29">
      <c r="A5444" s="8" t="s">
        <v>4896</v>
      </c>
      <c r="B5444" s="17" t="s">
        <v>7800</v>
      </c>
      <c r="C5444" s="13">
        <v>39763</v>
      </c>
      <c r="D5444" s="13" t="s">
        <v>8465</v>
      </c>
      <c r="E5444" s="10" t="s">
        <v>1163</v>
      </c>
      <c r="F5444" s="10" t="s">
        <v>4895</v>
      </c>
      <c r="G5444" s="11" t="s">
        <v>4894</v>
      </c>
      <c r="H5444" s="2" t="s">
        <v>171</v>
      </c>
      <c r="L5444" s="18">
        <v>1</v>
      </c>
      <c r="N5444" s="13">
        <v>41485</v>
      </c>
      <c r="P5444" s="18" t="s">
        <v>1107</v>
      </c>
      <c r="Q5444" s="18">
        <v>0</v>
      </c>
      <c r="U5444" s="22">
        <v>0.71</v>
      </c>
      <c r="V5444" s="22">
        <f>3.37/5</f>
        <v>0.67400000000000004</v>
      </c>
      <c r="W5444" s="14" t="s">
        <v>7777</v>
      </c>
      <c r="X5444" s="3">
        <v>3</v>
      </c>
      <c r="Z5444" s="23">
        <v>25</v>
      </c>
      <c r="AB5444" s="18">
        <f t="shared" si="170"/>
        <v>2008</v>
      </c>
      <c r="AC5444" s="22">
        <f t="shared" si="171"/>
        <v>0.66133333333333333</v>
      </c>
    </row>
    <row r="5445" spans="1:29" ht="25.5">
      <c r="A5445" s="8" t="s">
        <v>2261</v>
      </c>
      <c r="B5445" s="17" t="s">
        <v>7748</v>
      </c>
      <c r="C5445" s="13">
        <v>39762</v>
      </c>
      <c r="D5445" s="13" t="s">
        <v>8465</v>
      </c>
      <c r="E5445" s="10" t="s">
        <v>86</v>
      </c>
      <c r="F5445" s="10" t="s">
        <v>2330</v>
      </c>
      <c r="G5445" s="11" t="s">
        <v>2259</v>
      </c>
      <c r="H5445" s="2" t="s">
        <v>171</v>
      </c>
      <c r="L5445" s="18">
        <v>0</v>
      </c>
      <c r="Q5445" s="18">
        <v>0</v>
      </c>
      <c r="U5445" s="22">
        <v>0.71</v>
      </c>
      <c r="V5445" s="22">
        <f>3.91/5</f>
        <v>0.78200000000000003</v>
      </c>
      <c r="X5445" s="3">
        <v>4</v>
      </c>
      <c r="Z5445" s="23">
        <v>21</v>
      </c>
      <c r="AB5445" s="18">
        <f t="shared" si="170"/>
        <v>2008</v>
      </c>
      <c r="AC5445" s="22">
        <f t="shared" si="171"/>
        <v>0.7639999999999999</v>
      </c>
    </row>
    <row r="5446" spans="1:29">
      <c r="A5446" s="8" t="s">
        <v>9183</v>
      </c>
      <c r="B5446" s="17" t="s">
        <v>7748</v>
      </c>
      <c r="C5446" s="13">
        <v>39762</v>
      </c>
      <c r="D5446" s="13" t="s">
        <v>8465</v>
      </c>
      <c r="E5446" s="10" t="s">
        <v>1534</v>
      </c>
      <c r="F5446" s="10" t="s">
        <v>1355</v>
      </c>
      <c r="G5446" s="11" t="s">
        <v>9184</v>
      </c>
      <c r="H5446" s="2" t="s">
        <v>1143</v>
      </c>
      <c r="L5446" s="18">
        <v>0</v>
      </c>
      <c r="Q5446" s="18">
        <v>0</v>
      </c>
      <c r="U5446" s="22">
        <v>0.6</v>
      </c>
      <c r="V5446" s="22">
        <f>3.51/5</f>
        <v>0.70199999999999996</v>
      </c>
      <c r="X5446" s="3">
        <v>2</v>
      </c>
      <c r="AB5446" s="18">
        <f t="shared" si="170"/>
        <v>2008</v>
      </c>
      <c r="AC5446" s="22">
        <f t="shared" si="171"/>
        <v>0.56733333333333336</v>
      </c>
    </row>
    <row r="5447" spans="1:29" ht="30">
      <c r="A5447" s="8" t="s">
        <v>6681</v>
      </c>
      <c r="B5447" s="17" t="s">
        <v>7758</v>
      </c>
      <c r="C5447" s="13">
        <v>39762</v>
      </c>
      <c r="D5447" s="13" t="s">
        <v>8465</v>
      </c>
      <c r="E5447" s="10" t="s">
        <v>1273</v>
      </c>
      <c r="F5447" s="10" t="s">
        <v>3152</v>
      </c>
      <c r="G5447" s="11" t="s">
        <v>3401</v>
      </c>
      <c r="H5447" s="2" t="s">
        <v>1050</v>
      </c>
      <c r="L5447" s="18">
        <v>0</v>
      </c>
      <c r="Q5447" s="18">
        <v>0</v>
      </c>
      <c r="U5447" s="22">
        <v>0.68</v>
      </c>
      <c r="V5447" s="22">
        <f>3.52/5</f>
        <v>0.70399999999999996</v>
      </c>
      <c r="X5447" s="3">
        <v>2</v>
      </c>
      <c r="Z5447" s="23">
        <v>4.5</v>
      </c>
      <c r="AB5447" s="18">
        <f t="shared" si="170"/>
        <v>2008</v>
      </c>
      <c r="AC5447" s="22">
        <f t="shared" si="171"/>
        <v>0.59466666666666657</v>
      </c>
    </row>
    <row r="5448" spans="1:29" ht="25.5">
      <c r="A5448" s="8" t="s">
        <v>11397</v>
      </c>
      <c r="B5448" s="17" t="s">
        <v>7800</v>
      </c>
      <c r="C5448" s="13">
        <v>39758</v>
      </c>
      <c r="D5448" s="13" t="s">
        <v>8465</v>
      </c>
      <c r="E5448" s="10" t="s">
        <v>72</v>
      </c>
      <c r="F5448" s="10" t="s">
        <v>5158</v>
      </c>
      <c r="G5448" s="11" t="s">
        <v>1449</v>
      </c>
      <c r="H5448" s="2" t="s">
        <v>1061</v>
      </c>
      <c r="L5448" s="18">
        <v>1</v>
      </c>
      <c r="N5448" s="13">
        <v>44637</v>
      </c>
      <c r="O5448" s="29">
        <v>4.49</v>
      </c>
      <c r="P5448" s="18" t="s">
        <v>1107</v>
      </c>
      <c r="Q5448" s="18">
        <v>0</v>
      </c>
      <c r="U5448" s="22">
        <v>0.64</v>
      </c>
      <c r="V5448" s="22">
        <f>3.18/5</f>
        <v>0.63600000000000001</v>
      </c>
      <c r="W5448" s="14" t="s">
        <v>7777</v>
      </c>
      <c r="X5448" s="3">
        <v>3</v>
      </c>
      <c r="Z5448" s="23">
        <v>9</v>
      </c>
      <c r="AB5448" s="18">
        <f t="shared" si="170"/>
        <v>2008</v>
      </c>
      <c r="AC5448" s="22">
        <f t="shared" si="171"/>
        <v>0.6253333333333333</v>
      </c>
    </row>
    <row r="5449" spans="1:29">
      <c r="A5449" s="8" t="s">
        <v>11151</v>
      </c>
      <c r="B5449" s="17" t="s">
        <v>7748</v>
      </c>
      <c r="C5449" s="13">
        <v>39756</v>
      </c>
      <c r="D5449" s="13" t="s">
        <v>8465</v>
      </c>
      <c r="E5449" s="10" t="s">
        <v>311</v>
      </c>
      <c r="F5449" s="10" t="s">
        <v>6259</v>
      </c>
      <c r="G5449" s="11" t="s">
        <v>11042</v>
      </c>
      <c r="H5449" s="2" t="s">
        <v>80</v>
      </c>
      <c r="L5449" s="18">
        <v>0</v>
      </c>
      <c r="Q5449" s="18">
        <v>0</v>
      </c>
      <c r="U5449" s="22">
        <v>0.78</v>
      </c>
      <c r="V5449" s="22">
        <f>3.57/5</f>
        <v>0.71399999999999997</v>
      </c>
      <c r="X5449" s="3">
        <v>2</v>
      </c>
      <c r="Z5449" s="23">
        <v>10</v>
      </c>
      <c r="AB5449" s="18">
        <f t="shared" si="170"/>
        <v>2008</v>
      </c>
      <c r="AC5449" s="22">
        <f t="shared" si="171"/>
        <v>0.63133333333333341</v>
      </c>
    </row>
    <row r="5450" spans="1:29" ht="25.5">
      <c r="A5450" s="8" t="s">
        <v>10805</v>
      </c>
      <c r="B5450" s="17" t="s">
        <v>7759</v>
      </c>
      <c r="C5450" s="13">
        <v>39756</v>
      </c>
      <c r="D5450" s="13" t="s">
        <v>8465</v>
      </c>
      <c r="E5450" s="10" t="s">
        <v>1273</v>
      </c>
      <c r="F5450" s="10" t="s">
        <v>1508</v>
      </c>
      <c r="G5450" s="11" t="s">
        <v>1482</v>
      </c>
      <c r="H5450" s="2" t="s">
        <v>1050</v>
      </c>
      <c r="L5450" s="18">
        <v>0</v>
      </c>
      <c r="Q5450" s="18">
        <v>0</v>
      </c>
      <c r="U5450" s="22">
        <v>0.65</v>
      </c>
      <c r="V5450" s="22">
        <f>2.62/5</f>
        <v>0.52400000000000002</v>
      </c>
      <c r="X5450" s="3">
        <v>3</v>
      </c>
      <c r="Y5450" s="18">
        <v>1</v>
      </c>
      <c r="Z5450" s="23">
        <v>6</v>
      </c>
      <c r="AB5450" s="18">
        <f t="shared" si="170"/>
        <v>2008</v>
      </c>
      <c r="AC5450" s="22">
        <f t="shared" si="171"/>
        <v>0.59133333333333338</v>
      </c>
    </row>
    <row r="5451" spans="1:29" ht="60">
      <c r="A5451" s="8" t="s">
        <v>6004</v>
      </c>
      <c r="B5451" s="17" t="s">
        <v>7759</v>
      </c>
      <c r="C5451" s="13">
        <v>39756</v>
      </c>
      <c r="D5451" s="13" t="s">
        <v>8465</v>
      </c>
      <c r="E5451" s="10" t="s">
        <v>2908</v>
      </c>
      <c r="F5451" s="10" t="s">
        <v>3039</v>
      </c>
      <c r="G5451" s="11" t="s">
        <v>6005</v>
      </c>
      <c r="H5451" s="2" t="s">
        <v>1050</v>
      </c>
      <c r="L5451" s="18">
        <v>1</v>
      </c>
      <c r="M5451" s="14" t="s">
        <v>11016</v>
      </c>
      <c r="N5451" s="13">
        <v>43385</v>
      </c>
      <c r="O5451" s="29">
        <f>8.95+2.24</f>
        <v>11.19</v>
      </c>
      <c r="P5451" s="18" t="s">
        <v>14</v>
      </c>
      <c r="Q5451" s="18">
        <v>0</v>
      </c>
      <c r="U5451" s="22">
        <v>0.87</v>
      </c>
      <c r="V5451" s="22">
        <f>3.94/5</f>
        <v>0.78800000000000003</v>
      </c>
      <c r="W5451" s="14" t="s">
        <v>11017</v>
      </c>
      <c r="X5451" s="3">
        <v>3</v>
      </c>
      <c r="Z5451" s="23">
        <v>10</v>
      </c>
      <c r="AB5451" s="18">
        <f t="shared" si="170"/>
        <v>2008</v>
      </c>
      <c r="AC5451" s="22">
        <f t="shared" si="171"/>
        <v>0.75266666666666671</v>
      </c>
    </row>
    <row r="5452" spans="1:29">
      <c r="A5452" s="8" t="s">
        <v>7494</v>
      </c>
      <c r="B5452" s="17" t="s">
        <v>7742</v>
      </c>
      <c r="C5452" s="13">
        <v>39755</v>
      </c>
      <c r="D5452" s="13" t="s">
        <v>8465</v>
      </c>
      <c r="E5452" s="10" t="s">
        <v>62</v>
      </c>
      <c r="F5452" s="10" t="s">
        <v>7413</v>
      </c>
      <c r="G5452" s="11" t="s">
        <v>1382</v>
      </c>
      <c r="H5452" s="2" t="s">
        <v>1383</v>
      </c>
      <c r="L5452" s="18">
        <v>0</v>
      </c>
      <c r="Q5452" s="18">
        <v>0</v>
      </c>
      <c r="U5452" s="22">
        <v>0.66</v>
      </c>
      <c r="V5452" s="22">
        <f>3.88/5</f>
        <v>0.77600000000000002</v>
      </c>
      <c r="X5452" s="3">
        <v>3</v>
      </c>
      <c r="Z5452" s="23">
        <v>1.5</v>
      </c>
      <c r="AB5452" s="18">
        <f t="shared" si="170"/>
        <v>2008</v>
      </c>
      <c r="AC5452" s="22">
        <f t="shared" si="171"/>
        <v>0.67866666666666664</v>
      </c>
    </row>
    <row r="5453" spans="1:29" ht="30">
      <c r="A5453" s="8" t="s">
        <v>6013</v>
      </c>
      <c r="B5453" s="17" t="s">
        <v>7759</v>
      </c>
      <c r="C5453" s="13">
        <v>39752</v>
      </c>
      <c r="D5453" s="13" t="s">
        <v>8467</v>
      </c>
      <c r="E5453" s="10" t="s">
        <v>2908</v>
      </c>
      <c r="F5453" s="10" t="s">
        <v>5867</v>
      </c>
      <c r="G5453" s="11" t="s">
        <v>5840</v>
      </c>
      <c r="H5453" s="2" t="s">
        <v>1061</v>
      </c>
      <c r="L5453" s="18">
        <v>1</v>
      </c>
      <c r="M5453" s="14" t="s">
        <v>8462</v>
      </c>
      <c r="N5453" s="13">
        <v>43494</v>
      </c>
      <c r="O5453" s="29">
        <v>21.62</v>
      </c>
      <c r="P5453" s="18" t="s">
        <v>14</v>
      </c>
      <c r="Q5453" s="18">
        <v>0</v>
      </c>
      <c r="U5453" s="22">
        <v>0.77</v>
      </c>
      <c r="V5453" s="22">
        <f>3.77/5</f>
        <v>0.754</v>
      </c>
      <c r="X5453" s="3">
        <v>3</v>
      </c>
      <c r="Z5453" s="23">
        <v>11</v>
      </c>
      <c r="AB5453" s="18">
        <f t="shared" si="170"/>
        <v>2008</v>
      </c>
      <c r="AC5453" s="22">
        <f t="shared" si="171"/>
        <v>0.70800000000000007</v>
      </c>
    </row>
    <row r="5454" spans="1:29">
      <c r="A5454" s="8" t="s">
        <v>2274</v>
      </c>
      <c r="B5454" s="17" t="s">
        <v>7748</v>
      </c>
      <c r="C5454" s="13">
        <v>39751</v>
      </c>
      <c r="D5454" s="13" t="s">
        <v>8465</v>
      </c>
      <c r="E5454" s="10" t="s">
        <v>1519</v>
      </c>
      <c r="F5454" s="10" t="s">
        <v>2290</v>
      </c>
      <c r="H5454" s="2" t="s">
        <v>1057</v>
      </c>
      <c r="L5454" s="18">
        <v>0</v>
      </c>
      <c r="Q5454" s="18">
        <v>0</v>
      </c>
      <c r="U5454" s="22">
        <v>0.67</v>
      </c>
      <c r="V5454" s="22">
        <f>3.87/5</f>
        <v>0.77400000000000002</v>
      </c>
      <c r="X5454" s="3">
        <v>4</v>
      </c>
      <c r="Z5454" s="23">
        <v>10.5</v>
      </c>
      <c r="AB5454" s="18">
        <f t="shared" si="170"/>
        <v>2008</v>
      </c>
      <c r="AC5454" s="22">
        <f t="shared" si="171"/>
        <v>0.74799999999999989</v>
      </c>
    </row>
    <row r="5455" spans="1:29">
      <c r="A5455" s="8" t="s">
        <v>8091</v>
      </c>
      <c r="B5455" s="17" t="s">
        <v>7758</v>
      </c>
      <c r="C5455" s="13">
        <v>39751</v>
      </c>
      <c r="D5455" s="13" t="s">
        <v>8463</v>
      </c>
      <c r="E5455" s="10" t="s">
        <v>455</v>
      </c>
      <c r="F5455" s="10" t="s">
        <v>455</v>
      </c>
      <c r="G5455" s="11" t="s">
        <v>1298</v>
      </c>
      <c r="H5455" s="2" t="s">
        <v>21</v>
      </c>
      <c r="K5455" s="18">
        <v>0</v>
      </c>
      <c r="L5455" s="18">
        <v>0</v>
      </c>
      <c r="Q5455" s="18">
        <v>0</v>
      </c>
      <c r="V5455" s="22">
        <f>3.7/5</f>
        <v>0.74</v>
      </c>
      <c r="X5455" s="3">
        <v>2</v>
      </c>
      <c r="Z5455" s="23">
        <v>0.68333333333333335</v>
      </c>
      <c r="AB5455" s="18">
        <f t="shared" si="170"/>
        <v>2008</v>
      </c>
      <c r="AC5455" s="22">
        <f t="shared" si="171"/>
        <v>0.57000000000000006</v>
      </c>
    </row>
    <row r="5456" spans="1:29" ht="25.5">
      <c r="A5456" s="8" t="s">
        <v>3471</v>
      </c>
      <c r="B5456" s="17" t="s">
        <v>7800</v>
      </c>
      <c r="C5456" s="13">
        <v>39749</v>
      </c>
      <c r="D5456" s="13" t="s">
        <v>8465</v>
      </c>
      <c r="E5456" s="10" t="s">
        <v>231</v>
      </c>
      <c r="F5456" s="10" t="s">
        <v>1039</v>
      </c>
      <c r="G5456" s="11" t="s">
        <v>3043</v>
      </c>
      <c r="H5456" s="2" t="s">
        <v>1143</v>
      </c>
      <c r="L5456" s="18">
        <v>1</v>
      </c>
      <c r="N5456" s="13">
        <v>41133</v>
      </c>
      <c r="O5456" s="29">
        <v>4.99</v>
      </c>
      <c r="P5456" s="18" t="s">
        <v>1107</v>
      </c>
      <c r="Q5456" s="18">
        <v>0</v>
      </c>
      <c r="U5456" s="22">
        <v>0.81</v>
      </c>
      <c r="V5456" s="22">
        <f>3.79/5</f>
        <v>0.75800000000000001</v>
      </c>
      <c r="W5456" s="14" t="s">
        <v>7777</v>
      </c>
      <c r="X5456" s="3">
        <v>4</v>
      </c>
      <c r="Z5456" s="23">
        <v>10</v>
      </c>
      <c r="AB5456" s="18">
        <f t="shared" si="170"/>
        <v>2008</v>
      </c>
      <c r="AC5456" s="22">
        <f t="shared" si="171"/>
        <v>0.78933333333333344</v>
      </c>
    </row>
    <row r="5457" spans="1:29">
      <c r="A5457" s="8" t="s">
        <v>2255</v>
      </c>
      <c r="B5457" s="17" t="s">
        <v>7748</v>
      </c>
      <c r="C5457" s="13">
        <v>39749</v>
      </c>
      <c r="D5457" s="13" t="s">
        <v>8465</v>
      </c>
      <c r="E5457" s="10" t="s">
        <v>1972</v>
      </c>
      <c r="F5457" s="10" t="s">
        <v>2328</v>
      </c>
      <c r="G5457" s="11" t="s">
        <v>2255</v>
      </c>
      <c r="H5457" s="2" t="s">
        <v>1143</v>
      </c>
      <c r="L5457" s="18">
        <v>0</v>
      </c>
      <c r="Q5457" s="18">
        <v>0</v>
      </c>
      <c r="U5457" s="22">
        <v>0.82</v>
      </c>
      <c r="V5457" s="22">
        <f>4.02/5</f>
        <v>0.80399999999999994</v>
      </c>
      <c r="X5457" s="3">
        <v>3</v>
      </c>
      <c r="Z5457" s="23">
        <v>14.5</v>
      </c>
      <c r="AB5457" s="18">
        <f t="shared" si="170"/>
        <v>2008</v>
      </c>
      <c r="AC5457" s="22">
        <f t="shared" si="171"/>
        <v>0.74133333333333329</v>
      </c>
    </row>
    <row r="5458" spans="1:29" ht="30">
      <c r="A5458" s="8" t="s">
        <v>5978</v>
      </c>
      <c r="B5458" s="17" t="s">
        <v>7759</v>
      </c>
      <c r="C5458" s="13">
        <v>39749</v>
      </c>
      <c r="D5458" s="13" t="s">
        <v>8465</v>
      </c>
      <c r="E5458" s="10" t="s">
        <v>2908</v>
      </c>
      <c r="F5458" s="10" t="s">
        <v>5976</v>
      </c>
      <c r="G5458" s="11" t="s">
        <v>5975</v>
      </c>
      <c r="H5458" s="2" t="s">
        <v>150</v>
      </c>
      <c r="L5458" s="18">
        <v>1</v>
      </c>
      <c r="M5458" s="14" t="s">
        <v>8462</v>
      </c>
      <c r="N5458" s="13">
        <v>43482</v>
      </c>
      <c r="O5458" s="29">
        <v>12.25</v>
      </c>
      <c r="P5458" s="18" t="s">
        <v>14</v>
      </c>
      <c r="Q5458" s="18">
        <v>0</v>
      </c>
      <c r="U5458" s="22">
        <v>0.82</v>
      </c>
      <c r="V5458" s="22">
        <f>3.87/5</f>
        <v>0.77400000000000002</v>
      </c>
      <c r="X5458" s="3">
        <v>3</v>
      </c>
      <c r="Z5458" s="23">
        <v>23.5</v>
      </c>
      <c r="AB5458" s="18">
        <f t="shared" si="170"/>
        <v>2008</v>
      </c>
      <c r="AC5458" s="22">
        <f t="shared" si="171"/>
        <v>0.73133333333333328</v>
      </c>
    </row>
    <row r="5459" spans="1:29" ht="60">
      <c r="A5459" s="8" t="s">
        <v>5962</v>
      </c>
      <c r="B5459" s="17" t="s">
        <v>7759</v>
      </c>
      <c r="C5459" s="13">
        <v>39748</v>
      </c>
      <c r="D5459" s="13" t="s">
        <v>8465</v>
      </c>
      <c r="E5459" s="10" t="s">
        <v>2908</v>
      </c>
      <c r="F5459" s="10" t="s">
        <v>5963</v>
      </c>
      <c r="G5459" s="11" t="s">
        <v>5962</v>
      </c>
      <c r="H5459" s="2" t="s">
        <v>27</v>
      </c>
      <c r="L5459" s="18">
        <v>1</v>
      </c>
      <c r="M5459" s="14" t="s">
        <v>8462</v>
      </c>
      <c r="N5459" s="13">
        <v>43394</v>
      </c>
      <c r="O5459" s="29">
        <v>3.47</v>
      </c>
      <c r="P5459" s="18" t="s">
        <v>14</v>
      </c>
      <c r="Q5459" s="18">
        <v>0</v>
      </c>
      <c r="U5459" s="22">
        <v>0.95</v>
      </c>
      <c r="V5459" s="22">
        <f>4.14/5</f>
        <v>0.82799999999999996</v>
      </c>
      <c r="W5459" s="14" t="s">
        <v>8843</v>
      </c>
      <c r="X5459" s="3">
        <v>4</v>
      </c>
      <c r="Z5459" s="23">
        <v>9</v>
      </c>
      <c r="AB5459" s="18">
        <f t="shared" si="170"/>
        <v>2008</v>
      </c>
      <c r="AC5459" s="22">
        <f t="shared" si="171"/>
        <v>0.85933333333333339</v>
      </c>
    </row>
    <row r="5460" spans="1:29">
      <c r="A5460" s="8" t="s">
        <v>11286</v>
      </c>
      <c r="B5460" s="17" t="s">
        <v>7742</v>
      </c>
      <c r="C5460" s="13">
        <v>39748</v>
      </c>
      <c r="D5460" s="13" t="s">
        <v>8465</v>
      </c>
      <c r="E5460" s="10" t="s">
        <v>86</v>
      </c>
      <c r="F5460" s="10" t="s">
        <v>1493</v>
      </c>
      <c r="G5460" s="11" t="s">
        <v>11257</v>
      </c>
      <c r="H5460" s="2" t="s">
        <v>78</v>
      </c>
      <c r="L5460" s="18">
        <v>0</v>
      </c>
      <c r="Q5460" s="18">
        <v>0</v>
      </c>
      <c r="U5460" s="22">
        <v>0.7</v>
      </c>
      <c r="V5460" s="22">
        <f>3.72/5</f>
        <v>0.74399999999999999</v>
      </c>
      <c r="X5460" s="3">
        <v>2</v>
      </c>
      <c r="AB5460" s="18">
        <f t="shared" si="170"/>
        <v>2008</v>
      </c>
      <c r="AC5460" s="22">
        <f t="shared" si="171"/>
        <v>0.61466666666666658</v>
      </c>
    </row>
    <row r="5461" spans="1:29">
      <c r="A5461" s="8" t="s">
        <v>990</v>
      </c>
      <c r="B5461" s="17" t="s">
        <v>7741</v>
      </c>
      <c r="C5461" s="13">
        <v>39745</v>
      </c>
      <c r="D5461" s="13" t="s">
        <v>8467</v>
      </c>
      <c r="E5461" s="10" t="s">
        <v>86</v>
      </c>
      <c r="F5461" s="10" t="s">
        <v>1145</v>
      </c>
      <c r="H5461" s="2" t="s">
        <v>80</v>
      </c>
      <c r="L5461" s="18">
        <v>0</v>
      </c>
      <c r="Q5461" s="18">
        <v>0</v>
      </c>
      <c r="U5461" s="22">
        <v>0.71</v>
      </c>
      <c r="V5461" s="22">
        <f>3.9/5</f>
        <v>0.78</v>
      </c>
      <c r="X5461" s="3">
        <v>4</v>
      </c>
      <c r="Z5461" s="23">
        <v>9.5</v>
      </c>
      <c r="AB5461" s="18">
        <f t="shared" si="170"/>
        <v>2008</v>
      </c>
      <c r="AC5461" s="22">
        <f t="shared" si="171"/>
        <v>0.76333333333333331</v>
      </c>
    </row>
    <row r="5462" spans="1:29">
      <c r="A5462" s="8" t="s">
        <v>2185</v>
      </c>
      <c r="B5462" s="17" t="s">
        <v>7748</v>
      </c>
      <c r="C5462" s="13">
        <v>39744</v>
      </c>
      <c r="D5462" s="13" t="s">
        <v>8463</v>
      </c>
      <c r="E5462" s="10" t="s">
        <v>1046</v>
      </c>
      <c r="F5462" s="10" t="s">
        <v>467</v>
      </c>
      <c r="G5462" s="11" t="s">
        <v>2309</v>
      </c>
      <c r="H5462" s="2" t="s">
        <v>21</v>
      </c>
      <c r="K5462" s="18">
        <v>1</v>
      </c>
      <c r="L5462" s="18">
        <v>0</v>
      </c>
      <c r="Q5462" s="18">
        <v>0</v>
      </c>
      <c r="V5462" s="22">
        <f>4.04/5</f>
        <v>0.80800000000000005</v>
      </c>
      <c r="X5462" s="3">
        <v>3</v>
      </c>
      <c r="Z5462" s="23">
        <f>20/60</f>
        <v>0.33333333333333331</v>
      </c>
      <c r="AB5462" s="18">
        <f t="shared" si="170"/>
        <v>2008</v>
      </c>
      <c r="AC5462" s="22">
        <f t="shared" si="171"/>
        <v>0.70399999999999996</v>
      </c>
    </row>
    <row r="5463" spans="1:29" ht="30">
      <c r="A5463" s="8" t="s">
        <v>6233</v>
      </c>
      <c r="B5463" s="17" t="s">
        <v>7762</v>
      </c>
      <c r="C5463" s="13">
        <v>39744</v>
      </c>
      <c r="D5463" s="13" t="s">
        <v>8465</v>
      </c>
      <c r="E5463" s="10" t="s">
        <v>228</v>
      </c>
      <c r="F5463" s="10" t="s">
        <v>6269</v>
      </c>
      <c r="G5463" s="11" t="s">
        <v>6211</v>
      </c>
      <c r="H5463" s="2" t="s">
        <v>149</v>
      </c>
      <c r="L5463" s="18">
        <v>0</v>
      </c>
      <c r="Q5463" s="18">
        <v>0</v>
      </c>
      <c r="U5463" s="22">
        <v>0.79</v>
      </c>
      <c r="V5463" s="22">
        <f>3.64/5</f>
        <v>0.72799999999999998</v>
      </c>
      <c r="X5463" s="3">
        <v>3</v>
      </c>
      <c r="Z5463" s="23">
        <v>22.5</v>
      </c>
      <c r="AB5463" s="18">
        <f t="shared" si="170"/>
        <v>2008</v>
      </c>
      <c r="AC5463" s="22">
        <f t="shared" si="171"/>
        <v>0.70599999999999996</v>
      </c>
    </row>
    <row r="5464" spans="1:29">
      <c r="A5464" s="8" t="s">
        <v>12452</v>
      </c>
      <c r="B5464" s="17" t="s">
        <v>7759</v>
      </c>
      <c r="C5464" s="13">
        <v>39744</v>
      </c>
      <c r="D5464" s="13" t="s">
        <v>8465</v>
      </c>
      <c r="E5464" s="10" t="s">
        <v>1047</v>
      </c>
      <c r="F5464" s="10" t="s">
        <v>7461</v>
      </c>
      <c r="G5464" s="11" t="s">
        <v>677</v>
      </c>
      <c r="H5464" s="2" t="s">
        <v>56</v>
      </c>
      <c r="L5464" s="18">
        <v>0</v>
      </c>
      <c r="Q5464" s="18">
        <v>0</v>
      </c>
      <c r="U5464" s="22">
        <v>0.73</v>
      </c>
      <c r="V5464" s="22">
        <f>3.52/5</f>
        <v>0.70399999999999996</v>
      </c>
      <c r="X5464" s="3">
        <v>3</v>
      </c>
      <c r="Y5464" s="18">
        <v>1</v>
      </c>
      <c r="Z5464" s="23">
        <v>2</v>
      </c>
      <c r="AB5464" s="18">
        <f t="shared" si="170"/>
        <v>2008</v>
      </c>
      <c r="AC5464" s="22">
        <f t="shared" si="171"/>
        <v>0.67799999999999994</v>
      </c>
    </row>
    <row r="5465" spans="1:29" ht="25.5">
      <c r="A5465" s="8" t="s">
        <v>11914</v>
      </c>
      <c r="B5465" s="17" t="s">
        <v>7748</v>
      </c>
      <c r="C5465" s="13">
        <v>39744</v>
      </c>
      <c r="D5465" s="13" t="s">
        <v>8463</v>
      </c>
      <c r="E5465" s="10" t="s">
        <v>3568</v>
      </c>
      <c r="F5465" s="10" t="s">
        <v>3568</v>
      </c>
      <c r="G5465" s="11" t="s">
        <v>11641</v>
      </c>
      <c r="H5465" s="2" t="s">
        <v>80</v>
      </c>
      <c r="K5465" s="18">
        <v>2</v>
      </c>
      <c r="L5465" s="18">
        <v>0</v>
      </c>
      <c r="Q5465" s="18">
        <v>0</v>
      </c>
      <c r="V5465" s="22">
        <f>4.22/5</f>
        <v>0.84399999999999997</v>
      </c>
      <c r="X5465" s="3">
        <v>2</v>
      </c>
      <c r="Z5465" s="23">
        <v>10</v>
      </c>
      <c r="AB5465" s="18">
        <f t="shared" si="170"/>
        <v>2008</v>
      </c>
      <c r="AC5465" s="22">
        <f t="shared" si="171"/>
        <v>0.622</v>
      </c>
    </row>
    <row r="5466" spans="1:29">
      <c r="A5466" s="8" t="s">
        <v>15925</v>
      </c>
      <c r="B5466" s="17" t="s">
        <v>7800</v>
      </c>
      <c r="C5466" s="13">
        <v>39744</v>
      </c>
      <c r="D5466" s="13" t="s">
        <v>8467</v>
      </c>
      <c r="E5466" s="10" t="s">
        <v>1571</v>
      </c>
      <c r="F5466" s="10" t="s">
        <v>3343</v>
      </c>
      <c r="H5466" s="2" t="s">
        <v>1168</v>
      </c>
      <c r="L5466" s="18">
        <v>0</v>
      </c>
      <c r="Q5466" s="18">
        <v>0</v>
      </c>
      <c r="V5466" s="22">
        <f>3.25/5</f>
        <v>0.65</v>
      </c>
      <c r="X5466" s="3">
        <v>2</v>
      </c>
      <c r="Z5466" s="23">
        <v>7</v>
      </c>
      <c r="AB5466" s="18">
        <f t="shared" si="170"/>
        <v>2008</v>
      </c>
      <c r="AC5466" s="22">
        <f t="shared" si="171"/>
        <v>0.52500000000000002</v>
      </c>
    </row>
    <row r="5467" spans="1:29">
      <c r="A5467" s="8" t="s">
        <v>6939</v>
      </c>
      <c r="B5467" s="17" t="s">
        <v>7800</v>
      </c>
      <c r="C5467" s="13">
        <v>39742</v>
      </c>
      <c r="D5467" s="13" t="s">
        <v>8465</v>
      </c>
      <c r="E5467" s="10" t="s">
        <v>1047</v>
      </c>
      <c r="F5467" s="10" t="s">
        <v>1048</v>
      </c>
      <c r="G5467" s="11" t="s">
        <v>1049</v>
      </c>
      <c r="H5467" s="2" t="s">
        <v>1050</v>
      </c>
      <c r="L5467" s="18">
        <v>1</v>
      </c>
      <c r="N5467" s="13">
        <v>41750</v>
      </c>
      <c r="O5467" s="29">
        <v>2.4900000000000002</v>
      </c>
      <c r="P5467" s="18" t="s">
        <v>1107</v>
      </c>
      <c r="Q5467" s="18">
        <v>0</v>
      </c>
      <c r="U5467" s="22">
        <v>0.84</v>
      </c>
      <c r="V5467" s="22">
        <f>3.37/5</f>
        <v>0.67400000000000004</v>
      </c>
      <c r="W5467" s="14" t="s">
        <v>7778</v>
      </c>
      <c r="X5467" s="3">
        <v>4</v>
      </c>
      <c r="Z5467" s="23">
        <v>17</v>
      </c>
      <c r="AB5467" s="18">
        <f t="shared" si="170"/>
        <v>2008</v>
      </c>
      <c r="AC5467" s="22">
        <f t="shared" si="171"/>
        <v>0.77133333333333332</v>
      </c>
    </row>
    <row r="5468" spans="1:29">
      <c r="A5468" s="8" t="s">
        <v>5946</v>
      </c>
      <c r="B5468" s="17" t="s">
        <v>7759</v>
      </c>
      <c r="C5468" s="13">
        <v>39742</v>
      </c>
      <c r="D5468" s="13" t="s">
        <v>8465</v>
      </c>
      <c r="E5468" s="10" t="s">
        <v>1509</v>
      </c>
      <c r="F5468" s="10" t="s">
        <v>5947</v>
      </c>
      <c r="H5468" s="2" t="s">
        <v>149</v>
      </c>
      <c r="L5468" s="18">
        <v>1</v>
      </c>
      <c r="M5468" s="14" t="s">
        <v>8462</v>
      </c>
      <c r="N5468" s="13">
        <v>43342</v>
      </c>
      <c r="O5468" s="29">
        <v>12</v>
      </c>
      <c r="P5468" s="18" t="s">
        <v>14</v>
      </c>
      <c r="Q5468" s="18">
        <v>0</v>
      </c>
      <c r="U5468" s="22">
        <v>0.82</v>
      </c>
      <c r="V5468" s="22">
        <f>3.93/5</f>
        <v>0.78600000000000003</v>
      </c>
      <c r="X5468" s="3">
        <v>4</v>
      </c>
      <c r="Z5468" s="23">
        <v>29.5</v>
      </c>
      <c r="AB5468" s="18">
        <f t="shared" si="170"/>
        <v>2008</v>
      </c>
      <c r="AC5468" s="22">
        <f t="shared" si="171"/>
        <v>0.80199999999999994</v>
      </c>
    </row>
    <row r="5469" spans="1:29" ht="30">
      <c r="A5469" s="8" t="s">
        <v>8750</v>
      </c>
      <c r="B5469" s="17" t="s">
        <v>7762</v>
      </c>
      <c r="C5469" s="13">
        <v>39742</v>
      </c>
      <c r="D5469" s="13" t="s">
        <v>8465</v>
      </c>
      <c r="E5469" s="10" t="s">
        <v>1082</v>
      </c>
      <c r="F5469" s="10" t="s">
        <v>58</v>
      </c>
      <c r="G5469" s="11" t="s">
        <v>840</v>
      </c>
      <c r="H5469" s="2" t="s">
        <v>171</v>
      </c>
      <c r="L5469" s="18">
        <v>0</v>
      </c>
      <c r="Q5469" s="18">
        <v>0</v>
      </c>
      <c r="U5469" s="22">
        <v>0.74</v>
      </c>
      <c r="V5469" s="22">
        <f>4.02/5</f>
        <v>0.80399999999999994</v>
      </c>
      <c r="X5469" s="3">
        <v>4</v>
      </c>
      <c r="Z5469" s="23">
        <v>20.5</v>
      </c>
      <c r="AB5469" s="18">
        <f t="shared" si="170"/>
        <v>2008</v>
      </c>
      <c r="AC5469" s="22">
        <f t="shared" si="171"/>
        <v>0.78133333333333344</v>
      </c>
    </row>
    <row r="5470" spans="1:29" ht="25.5">
      <c r="A5470" s="8" t="s">
        <v>3385</v>
      </c>
      <c r="B5470" s="17" t="s">
        <v>7800</v>
      </c>
      <c r="C5470" s="13">
        <v>39742</v>
      </c>
      <c r="D5470" s="13" t="s">
        <v>8465</v>
      </c>
      <c r="E5470" s="10" t="s">
        <v>1618</v>
      </c>
      <c r="F5470" s="10" t="s">
        <v>3386</v>
      </c>
      <c r="G5470" s="11" t="s">
        <v>7404</v>
      </c>
      <c r="H5470" s="2" t="s">
        <v>80</v>
      </c>
      <c r="L5470" s="18">
        <v>1</v>
      </c>
      <c r="N5470" s="13">
        <v>41458</v>
      </c>
      <c r="O5470" s="29">
        <v>3.75</v>
      </c>
      <c r="P5470" s="18" t="s">
        <v>1107</v>
      </c>
      <c r="Q5470" s="18">
        <v>0</v>
      </c>
      <c r="U5470" s="22">
        <v>0.71</v>
      </c>
      <c r="V5470" s="22">
        <f>3.84/5</f>
        <v>0.76800000000000002</v>
      </c>
      <c r="W5470" s="14" t="s">
        <v>7777</v>
      </c>
      <c r="X5470" s="3">
        <v>4</v>
      </c>
      <c r="Z5470" s="23">
        <v>14</v>
      </c>
      <c r="AB5470" s="18">
        <f t="shared" si="170"/>
        <v>2008</v>
      </c>
      <c r="AC5470" s="22">
        <f t="shared" si="171"/>
        <v>0.7593333333333333</v>
      </c>
    </row>
    <row r="5471" spans="1:29" ht="25.5">
      <c r="A5471" s="8" t="s">
        <v>15091</v>
      </c>
      <c r="B5471" s="17" t="s">
        <v>7748</v>
      </c>
      <c r="C5471" s="13">
        <v>39742</v>
      </c>
      <c r="D5471" s="13" t="s">
        <v>8465</v>
      </c>
      <c r="E5471" s="10" t="s">
        <v>1273</v>
      </c>
      <c r="F5471" s="10" t="s">
        <v>2143</v>
      </c>
      <c r="G5471" s="11" t="s">
        <v>1264</v>
      </c>
      <c r="H5471" s="2" t="s">
        <v>151</v>
      </c>
      <c r="L5471" s="18">
        <v>0</v>
      </c>
      <c r="Q5471" s="18">
        <v>0</v>
      </c>
      <c r="U5471" s="22">
        <v>0.77</v>
      </c>
      <c r="V5471" s="22">
        <f>4.02/5</f>
        <v>0.80399999999999994</v>
      </c>
      <c r="X5471" s="3">
        <v>3</v>
      </c>
      <c r="Z5471" s="23">
        <v>10</v>
      </c>
      <c r="AB5471" s="18">
        <f t="shared" si="170"/>
        <v>2008</v>
      </c>
      <c r="AC5471" s="22">
        <f t="shared" si="171"/>
        <v>0.72466666666666668</v>
      </c>
    </row>
    <row r="5472" spans="1:29" ht="25.5">
      <c r="A5472" s="8" t="s">
        <v>15091</v>
      </c>
      <c r="B5472" s="17" t="s">
        <v>7759</v>
      </c>
      <c r="C5472" s="13">
        <v>39742</v>
      </c>
      <c r="D5472" s="13" t="s">
        <v>8465</v>
      </c>
      <c r="E5472" s="10" t="s">
        <v>1273</v>
      </c>
      <c r="F5472" s="10" t="s">
        <v>1508</v>
      </c>
      <c r="G5472" s="11" t="s">
        <v>1264</v>
      </c>
      <c r="H5472" s="2" t="s">
        <v>80</v>
      </c>
      <c r="L5472" s="18">
        <v>0</v>
      </c>
      <c r="Q5472" s="18">
        <v>0</v>
      </c>
      <c r="U5472" s="22">
        <v>0.67</v>
      </c>
      <c r="V5472" s="22">
        <f>3.66/5</f>
        <v>0.73199999999999998</v>
      </c>
      <c r="X5472" s="3">
        <v>3</v>
      </c>
      <c r="Y5472" s="18">
        <v>1</v>
      </c>
      <c r="Z5472" s="23">
        <v>10</v>
      </c>
      <c r="AB5472" s="18">
        <f t="shared" si="170"/>
        <v>2008</v>
      </c>
      <c r="AC5472" s="22">
        <f t="shared" si="171"/>
        <v>0.66733333333333344</v>
      </c>
    </row>
    <row r="5473" spans="1:29" ht="25.5">
      <c r="A5473" s="8" t="s">
        <v>6702</v>
      </c>
      <c r="B5473" s="17" t="s">
        <v>7758</v>
      </c>
      <c r="C5473" s="13">
        <v>39742</v>
      </c>
      <c r="D5473" s="13" t="s">
        <v>8465</v>
      </c>
      <c r="E5473" s="10" t="s">
        <v>1273</v>
      </c>
      <c r="F5473" s="10" t="s">
        <v>6703</v>
      </c>
      <c r="G5473" s="11" t="s">
        <v>1975</v>
      </c>
      <c r="H5473" s="2" t="s">
        <v>80</v>
      </c>
      <c r="L5473" s="18">
        <v>0</v>
      </c>
      <c r="Q5473" s="18">
        <v>0</v>
      </c>
      <c r="U5473" s="22">
        <v>0.59</v>
      </c>
      <c r="V5473" s="22">
        <f>3.44/5</f>
        <v>0.68799999999999994</v>
      </c>
      <c r="X5473" s="3">
        <v>2</v>
      </c>
      <c r="Z5473" s="23">
        <v>8.5</v>
      </c>
      <c r="AB5473" s="18">
        <f t="shared" si="170"/>
        <v>2008</v>
      </c>
      <c r="AC5473" s="22">
        <f t="shared" si="171"/>
        <v>0.55933333333333335</v>
      </c>
    </row>
    <row r="5474" spans="1:29" ht="25.5">
      <c r="A5474" s="8" t="s">
        <v>8201</v>
      </c>
      <c r="B5474" s="17" t="s">
        <v>7759</v>
      </c>
      <c r="C5474" s="13">
        <v>39741</v>
      </c>
      <c r="D5474" s="13" t="s">
        <v>8465</v>
      </c>
      <c r="E5474" s="10" t="s">
        <v>1618</v>
      </c>
      <c r="F5474" s="10" t="s">
        <v>5883</v>
      </c>
      <c r="G5474" s="11" t="s">
        <v>8198</v>
      </c>
      <c r="H5474" s="2" t="s">
        <v>150</v>
      </c>
      <c r="L5474" s="18">
        <v>0</v>
      </c>
      <c r="Q5474" s="18">
        <v>0</v>
      </c>
      <c r="U5474" s="22">
        <v>0.81659999999999999</v>
      </c>
      <c r="V5474" s="22">
        <f>3.95/5</f>
        <v>0.79</v>
      </c>
      <c r="X5474" s="3">
        <v>3</v>
      </c>
      <c r="Y5474" s="18">
        <v>1</v>
      </c>
      <c r="Z5474" s="23">
        <v>22.5</v>
      </c>
      <c r="AB5474" s="18">
        <f t="shared" si="170"/>
        <v>2008</v>
      </c>
      <c r="AC5474" s="22">
        <f t="shared" si="171"/>
        <v>0.73553333333333326</v>
      </c>
    </row>
    <row r="5475" spans="1:29">
      <c r="A5475" s="8" t="s">
        <v>1544</v>
      </c>
      <c r="B5475" s="17" t="s">
        <v>7800</v>
      </c>
      <c r="C5475" s="13">
        <v>39741</v>
      </c>
      <c r="D5475" s="13" t="s">
        <v>8465</v>
      </c>
      <c r="E5475" s="10" t="s">
        <v>231</v>
      </c>
      <c r="F5475" s="10" t="s">
        <v>3593</v>
      </c>
      <c r="G5475" s="11" t="s">
        <v>1544</v>
      </c>
      <c r="H5475" s="2" t="s">
        <v>1061</v>
      </c>
      <c r="L5475" s="18">
        <v>1</v>
      </c>
      <c r="N5475" s="13">
        <v>41502</v>
      </c>
      <c r="O5475" s="29">
        <v>0</v>
      </c>
      <c r="P5475" s="18" t="s">
        <v>1107</v>
      </c>
      <c r="Q5475" s="18">
        <v>0</v>
      </c>
      <c r="U5475" s="22">
        <v>0.85</v>
      </c>
      <c r="V5475" s="22">
        <f>4/5</f>
        <v>0.8</v>
      </c>
      <c r="W5475" s="14" t="s">
        <v>7777</v>
      </c>
      <c r="X5475" s="3">
        <v>2</v>
      </c>
      <c r="Z5475" s="23">
        <v>11</v>
      </c>
      <c r="AB5475" s="18">
        <f t="shared" si="170"/>
        <v>2008</v>
      </c>
      <c r="AC5475" s="22">
        <f t="shared" si="171"/>
        <v>0.68333333333333324</v>
      </c>
    </row>
    <row r="5476" spans="1:29" ht="25.5">
      <c r="A5476" s="8" t="s">
        <v>11864</v>
      </c>
      <c r="B5476" s="17" t="s">
        <v>7748</v>
      </c>
      <c r="C5476" s="13">
        <v>39736</v>
      </c>
      <c r="D5476" s="13" t="s">
        <v>8465</v>
      </c>
      <c r="E5476" s="10" t="s">
        <v>11805</v>
      </c>
      <c r="F5476" s="10" t="s">
        <v>58</v>
      </c>
      <c r="G5476" s="11" t="s">
        <v>11617</v>
      </c>
      <c r="H5476" s="2" t="s">
        <v>149</v>
      </c>
      <c r="L5476" s="18">
        <v>0</v>
      </c>
      <c r="Q5476" s="18">
        <v>0</v>
      </c>
      <c r="U5476" s="22">
        <v>0.62</v>
      </c>
      <c r="V5476" s="22">
        <f>3.95/5</f>
        <v>0.79</v>
      </c>
      <c r="X5476" s="3">
        <v>3</v>
      </c>
      <c r="Z5476" s="23">
        <v>8</v>
      </c>
      <c r="AB5476" s="18">
        <f t="shared" si="170"/>
        <v>2008</v>
      </c>
      <c r="AC5476" s="22">
        <f t="shared" si="171"/>
        <v>0.67</v>
      </c>
    </row>
    <row r="5477" spans="1:29">
      <c r="A5477" s="8" t="s">
        <v>13475</v>
      </c>
      <c r="B5477" s="17" t="s">
        <v>7765</v>
      </c>
      <c r="C5477" s="13">
        <v>39736</v>
      </c>
      <c r="D5477" s="13" t="s">
        <v>8465</v>
      </c>
      <c r="E5477" s="10" t="s">
        <v>73</v>
      </c>
      <c r="F5477" s="10" t="s">
        <v>13476</v>
      </c>
      <c r="H5477" s="2" t="s">
        <v>1143</v>
      </c>
      <c r="L5477" s="18">
        <v>1</v>
      </c>
      <c r="N5477" s="13">
        <v>44994</v>
      </c>
      <c r="O5477" s="29">
        <v>0.99</v>
      </c>
      <c r="P5477" s="18" t="s">
        <v>1107</v>
      </c>
      <c r="Q5477" s="18">
        <v>0</v>
      </c>
      <c r="U5477" s="22">
        <v>0.76</v>
      </c>
      <c r="V5477" s="22">
        <f>3.37/5</f>
        <v>0.67400000000000004</v>
      </c>
      <c r="X5477" s="3">
        <v>2</v>
      </c>
      <c r="AB5477" s="18">
        <f t="shared" si="170"/>
        <v>2008</v>
      </c>
      <c r="AC5477" s="22">
        <f t="shared" si="171"/>
        <v>0.6113333333333334</v>
      </c>
    </row>
    <row r="5478" spans="1:29">
      <c r="A5478" s="8" t="s">
        <v>7375</v>
      </c>
      <c r="B5478" s="17" t="s">
        <v>7741</v>
      </c>
      <c r="C5478" s="13">
        <v>39735</v>
      </c>
      <c r="D5478" s="13" t="s">
        <v>8465</v>
      </c>
      <c r="E5478" s="10" t="s">
        <v>3203</v>
      </c>
      <c r="F5478" s="10" t="s">
        <v>1416</v>
      </c>
      <c r="G5478" s="11" t="s">
        <v>7405</v>
      </c>
      <c r="H5478" s="2" t="s">
        <v>171</v>
      </c>
      <c r="L5478" s="18">
        <v>0</v>
      </c>
      <c r="Q5478" s="18">
        <v>0</v>
      </c>
      <c r="U5478" s="22">
        <v>0.75</v>
      </c>
      <c r="V5478" s="22">
        <f>4.15/5</f>
        <v>0.83000000000000007</v>
      </c>
      <c r="X5478" s="3">
        <v>2</v>
      </c>
      <c r="Z5478" s="23">
        <v>24</v>
      </c>
      <c r="AB5478" s="18">
        <f t="shared" si="170"/>
        <v>2008</v>
      </c>
      <c r="AC5478" s="22">
        <f t="shared" si="171"/>
        <v>0.66</v>
      </c>
    </row>
    <row r="5479" spans="1:29" ht="30">
      <c r="A5479" s="8" t="s">
        <v>11940</v>
      </c>
      <c r="B5479" s="17" t="s">
        <v>7759</v>
      </c>
      <c r="C5479" s="13">
        <v>39735</v>
      </c>
      <c r="D5479" s="13" t="s">
        <v>8465</v>
      </c>
      <c r="E5479" s="10" t="s">
        <v>2908</v>
      </c>
      <c r="F5479" s="10" t="s">
        <v>6003</v>
      </c>
      <c r="G5479" s="11" t="s">
        <v>11933</v>
      </c>
      <c r="H5479" s="2" t="s">
        <v>7448</v>
      </c>
      <c r="L5479" s="18">
        <v>0</v>
      </c>
      <c r="Q5479" s="18">
        <v>0</v>
      </c>
      <c r="U5479" s="22">
        <v>0.63</v>
      </c>
      <c r="V5479" s="22">
        <f>3.56/5</f>
        <v>0.71199999999999997</v>
      </c>
      <c r="X5479" s="3">
        <v>2</v>
      </c>
      <c r="Y5479" s="18">
        <v>1</v>
      </c>
      <c r="Z5479" s="23">
        <v>10</v>
      </c>
      <c r="AB5479" s="18">
        <f t="shared" si="170"/>
        <v>2008</v>
      </c>
      <c r="AC5479" s="22">
        <f t="shared" si="171"/>
        <v>0.58066666666666666</v>
      </c>
    </row>
    <row r="5480" spans="1:29">
      <c r="A5480" s="8" t="s">
        <v>5577</v>
      </c>
      <c r="B5480" s="17" t="s">
        <v>7800</v>
      </c>
      <c r="C5480" s="13">
        <v>39734</v>
      </c>
      <c r="D5480" s="13" t="s">
        <v>8465</v>
      </c>
      <c r="E5480" s="10" t="s">
        <v>5578</v>
      </c>
      <c r="F5480" s="10" t="s">
        <v>5578</v>
      </c>
      <c r="H5480" s="2" t="s">
        <v>78</v>
      </c>
      <c r="L5480" s="18">
        <v>1</v>
      </c>
      <c r="N5480" s="13">
        <v>40508</v>
      </c>
      <c r="O5480" s="29">
        <v>0.83</v>
      </c>
      <c r="P5480" s="18" t="s">
        <v>1107</v>
      </c>
      <c r="Q5480" s="18">
        <v>0</v>
      </c>
      <c r="U5480" s="22">
        <v>0.92</v>
      </c>
      <c r="V5480" s="22">
        <f>3.97/5</f>
        <v>0.79400000000000004</v>
      </c>
      <c r="W5480" s="14" t="s">
        <v>7777</v>
      </c>
      <c r="X5480" s="3">
        <v>3</v>
      </c>
      <c r="Z5480" s="23">
        <v>6</v>
      </c>
      <c r="AB5480" s="18">
        <f t="shared" si="170"/>
        <v>2008</v>
      </c>
      <c r="AC5480" s="22">
        <f t="shared" si="171"/>
        <v>0.77133333333333332</v>
      </c>
    </row>
    <row r="5481" spans="1:29">
      <c r="A5481" s="8" t="s">
        <v>11288</v>
      </c>
      <c r="B5481" s="17" t="s">
        <v>7742</v>
      </c>
      <c r="C5481" s="13">
        <v>39734</v>
      </c>
      <c r="D5481" s="13" t="s">
        <v>8465</v>
      </c>
      <c r="E5481" s="10" t="s">
        <v>86</v>
      </c>
      <c r="F5481" s="10" t="s">
        <v>1493</v>
      </c>
      <c r="G5481" s="11" t="s">
        <v>11257</v>
      </c>
      <c r="H5481" s="2" t="s">
        <v>78</v>
      </c>
      <c r="L5481" s="18">
        <v>0</v>
      </c>
      <c r="Q5481" s="18">
        <v>0</v>
      </c>
      <c r="U5481" s="22">
        <v>0.73</v>
      </c>
      <c r="V5481" s="22">
        <f>3.76/5</f>
        <v>0.752</v>
      </c>
      <c r="X5481" s="3">
        <v>2</v>
      </c>
      <c r="Z5481" s="23">
        <v>2</v>
      </c>
      <c r="AB5481" s="18">
        <f t="shared" si="170"/>
        <v>2008</v>
      </c>
      <c r="AC5481" s="22">
        <f t="shared" si="171"/>
        <v>0.62733333333333341</v>
      </c>
    </row>
    <row r="5482" spans="1:29" ht="25.5">
      <c r="A5482" s="8" t="s">
        <v>11993</v>
      </c>
      <c r="B5482" s="17" t="s">
        <v>7741</v>
      </c>
      <c r="C5482" s="13">
        <v>39734</v>
      </c>
      <c r="D5482" s="13" t="s">
        <v>8465</v>
      </c>
      <c r="E5482" s="10" t="s">
        <v>1342</v>
      </c>
      <c r="F5482" s="10" t="s">
        <v>11994</v>
      </c>
      <c r="G5482" s="11" t="s">
        <v>11990</v>
      </c>
      <c r="H5482" s="2" t="s">
        <v>1040</v>
      </c>
      <c r="L5482" s="18">
        <v>0</v>
      </c>
      <c r="Q5482" s="18">
        <v>0</v>
      </c>
      <c r="U5482" s="22">
        <v>0.63</v>
      </c>
      <c r="V5482" s="22">
        <f>3.47/5</f>
        <v>0.69400000000000006</v>
      </c>
      <c r="X5482" s="3">
        <v>2</v>
      </c>
      <c r="Z5482" s="23">
        <v>8</v>
      </c>
      <c r="AB5482" s="18">
        <f t="shared" si="170"/>
        <v>2008</v>
      </c>
      <c r="AC5482" s="22">
        <f t="shared" si="171"/>
        <v>0.57466666666666677</v>
      </c>
    </row>
    <row r="5483" spans="1:29" ht="25.5">
      <c r="A5483" s="8" t="s">
        <v>7435</v>
      </c>
      <c r="B5483" s="17" t="s">
        <v>7765</v>
      </c>
      <c r="C5483" s="13">
        <v>39729</v>
      </c>
      <c r="D5483" s="13" t="s">
        <v>8465</v>
      </c>
      <c r="E5483" s="10" t="s">
        <v>1580</v>
      </c>
      <c r="F5483" s="10" t="s">
        <v>1580</v>
      </c>
      <c r="G5483" s="11" t="s">
        <v>3030</v>
      </c>
      <c r="H5483" s="2" t="s">
        <v>80</v>
      </c>
      <c r="L5483" s="18">
        <v>1</v>
      </c>
      <c r="N5483" s="13">
        <v>45155</v>
      </c>
      <c r="O5483" s="29">
        <v>9.99</v>
      </c>
      <c r="P5483" s="18" t="s">
        <v>1107</v>
      </c>
      <c r="Q5483" s="18">
        <v>0</v>
      </c>
      <c r="U5483" s="22">
        <v>0.49</v>
      </c>
      <c r="V5483" s="22">
        <f>2.94/5</f>
        <v>0.58799999999999997</v>
      </c>
      <c r="X5483" s="3">
        <v>2</v>
      </c>
      <c r="AB5483" s="18">
        <f t="shared" si="170"/>
        <v>2008</v>
      </c>
      <c r="AC5483" s="22">
        <f t="shared" si="171"/>
        <v>0.49266666666666659</v>
      </c>
    </row>
    <row r="5484" spans="1:29" ht="25.5">
      <c r="A5484" s="8" t="s">
        <v>3378</v>
      </c>
      <c r="B5484" s="17" t="s">
        <v>7800</v>
      </c>
      <c r="C5484" s="13">
        <v>39728</v>
      </c>
      <c r="D5484" s="13" t="s">
        <v>8465</v>
      </c>
      <c r="E5484" s="10" t="s">
        <v>1047</v>
      </c>
      <c r="F5484" s="10" t="s">
        <v>3154</v>
      </c>
      <c r="G5484" s="11" t="s">
        <v>3379</v>
      </c>
      <c r="H5484" s="2" t="s">
        <v>1050</v>
      </c>
      <c r="L5484" s="18">
        <v>1</v>
      </c>
      <c r="N5484" s="13">
        <v>42338</v>
      </c>
      <c r="O5484" s="29">
        <v>4.99</v>
      </c>
      <c r="P5484" s="18" t="s">
        <v>1107</v>
      </c>
      <c r="Q5484" s="18">
        <v>0</v>
      </c>
      <c r="U5484" s="22">
        <v>0.77</v>
      </c>
      <c r="V5484" s="22">
        <f>3.61/5</f>
        <v>0.72199999999999998</v>
      </c>
      <c r="W5484" s="14" t="s">
        <v>7777</v>
      </c>
      <c r="X5484" s="3">
        <v>3</v>
      </c>
      <c r="Z5484" s="23">
        <v>8</v>
      </c>
      <c r="AB5484" s="18">
        <f t="shared" si="170"/>
        <v>2008</v>
      </c>
      <c r="AC5484" s="22">
        <f t="shared" si="171"/>
        <v>0.69733333333333336</v>
      </c>
    </row>
    <row r="5485" spans="1:29">
      <c r="A5485" s="8" t="s">
        <v>2159</v>
      </c>
      <c r="B5485" s="17" t="s">
        <v>7748</v>
      </c>
      <c r="C5485" s="13">
        <v>39728</v>
      </c>
      <c r="D5485" s="13" t="s">
        <v>8465</v>
      </c>
      <c r="E5485" s="10" t="s">
        <v>455</v>
      </c>
      <c r="F5485" s="10" t="s">
        <v>1474</v>
      </c>
      <c r="G5485" s="11" t="s">
        <v>2296</v>
      </c>
      <c r="H5485" s="2" t="s">
        <v>459</v>
      </c>
      <c r="L5485" s="18">
        <v>0</v>
      </c>
      <c r="Q5485" s="18">
        <v>0</v>
      </c>
      <c r="U5485" s="22">
        <v>0.81</v>
      </c>
      <c r="V5485" s="22">
        <f>3.79/5</f>
        <v>0.75800000000000001</v>
      </c>
      <c r="X5485" s="3">
        <v>3</v>
      </c>
      <c r="Z5485" s="23">
        <v>11</v>
      </c>
      <c r="AB5485" s="18">
        <f t="shared" si="170"/>
        <v>2008</v>
      </c>
      <c r="AC5485" s="22">
        <f t="shared" si="171"/>
        <v>0.72266666666666668</v>
      </c>
    </row>
    <row r="5486" spans="1:29" ht="30">
      <c r="A5486" s="8" t="s">
        <v>8807</v>
      </c>
      <c r="B5486" s="17" t="s">
        <v>7748</v>
      </c>
      <c r="C5486" s="13">
        <v>39728</v>
      </c>
      <c r="D5486" s="13" t="s">
        <v>8465</v>
      </c>
      <c r="E5486" s="10" t="s">
        <v>2317</v>
      </c>
      <c r="F5486" s="10" t="s">
        <v>1794</v>
      </c>
      <c r="G5486" s="11" t="s">
        <v>2217</v>
      </c>
      <c r="H5486" s="2" t="s">
        <v>171</v>
      </c>
      <c r="L5486" s="18">
        <v>0</v>
      </c>
      <c r="Q5486" s="18">
        <v>0</v>
      </c>
      <c r="U5486" s="22">
        <v>0.7</v>
      </c>
      <c r="V5486" s="22">
        <f>3.98/5</f>
        <v>0.79600000000000004</v>
      </c>
      <c r="X5486" s="3">
        <v>3</v>
      </c>
      <c r="Z5486" s="23">
        <v>25.5</v>
      </c>
      <c r="AB5486" s="18">
        <f t="shared" si="170"/>
        <v>2008</v>
      </c>
      <c r="AC5486" s="22">
        <f t="shared" si="171"/>
        <v>0.69866666666666666</v>
      </c>
    </row>
    <row r="5487" spans="1:29" ht="25.5">
      <c r="A5487" s="8" t="s">
        <v>5904</v>
      </c>
      <c r="B5487" s="17" t="s">
        <v>7758</v>
      </c>
      <c r="C5487" s="13">
        <v>39728</v>
      </c>
      <c r="D5487" s="13" t="s">
        <v>8465</v>
      </c>
      <c r="E5487" s="10" t="s">
        <v>1273</v>
      </c>
      <c r="F5487" s="10" t="s">
        <v>1501</v>
      </c>
      <c r="G5487" s="11" t="s">
        <v>1576</v>
      </c>
      <c r="H5487" s="2" t="s">
        <v>1040</v>
      </c>
      <c r="L5487" s="18">
        <v>0</v>
      </c>
      <c r="Q5487" s="18">
        <v>0</v>
      </c>
      <c r="U5487" s="22">
        <v>0.75</v>
      </c>
      <c r="V5487" s="22">
        <f>3.02/5</f>
        <v>0.60399999999999998</v>
      </c>
      <c r="X5487" s="3">
        <v>3</v>
      </c>
      <c r="Z5487" s="23">
        <v>6</v>
      </c>
      <c r="AB5487" s="18">
        <f t="shared" si="170"/>
        <v>2008</v>
      </c>
      <c r="AC5487" s="22">
        <f t="shared" si="171"/>
        <v>0.65133333333333343</v>
      </c>
    </row>
    <row r="5488" spans="1:29">
      <c r="A5488" s="8" t="s">
        <v>13311</v>
      </c>
      <c r="B5488" s="17" t="s">
        <v>7748</v>
      </c>
      <c r="C5488" s="13">
        <v>39728</v>
      </c>
      <c r="D5488" s="13" t="s">
        <v>8465</v>
      </c>
      <c r="E5488" s="10" t="s">
        <v>1082</v>
      </c>
      <c r="F5488" s="10" t="s">
        <v>9775</v>
      </c>
      <c r="G5488" s="11" t="s">
        <v>13312</v>
      </c>
      <c r="H5488" s="2" t="s">
        <v>56</v>
      </c>
      <c r="L5488" s="18">
        <v>0</v>
      </c>
      <c r="Q5488" s="18">
        <v>0</v>
      </c>
      <c r="U5488" s="22">
        <v>0.7</v>
      </c>
      <c r="V5488" s="22">
        <f>3.77/5</f>
        <v>0.754</v>
      </c>
      <c r="X5488" s="3">
        <v>2</v>
      </c>
      <c r="Z5488" s="23">
        <v>4.5</v>
      </c>
      <c r="AB5488" s="18">
        <f t="shared" si="170"/>
        <v>2008</v>
      </c>
      <c r="AC5488" s="22">
        <f t="shared" si="171"/>
        <v>0.61799999999999999</v>
      </c>
    </row>
    <row r="5489" spans="1:29" ht="25.5">
      <c r="A5489" s="8" t="s">
        <v>4837</v>
      </c>
      <c r="B5489" s="17" t="s">
        <v>7800</v>
      </c>
      <c r="C5489" s="13">
        <v>39726</v>
      </c>
      <c r="D5489" s="13" t="s">
        <v>8465</v>
      </c>
      <c r="E5489" s="10" t="s">
        <v>4838</v>
      </c>
      <c r="F5489" s="10" t="s">
        <v>4839</v>
      </c>
      <c r="H5489" s="2" t="s">
        <v>67</v>
      </c>
      <c r="L5489" s="18">
        <v>1</v>
      </c>
      <c r="N5489" s="13">
        <v>42026</v>
      </c>
      <c r="P5489" s="18" t="s">
        <v>1107</v>
      </c>
      <c r="Q5489" s="18">
        <v>0</v>
      </c>
      <c r="U5489" s="22">
        <v>0.7</v>
      </c>
      <c r="V5489" s="22">
        <f>3.56/5</f>
        <v>0.71199999999999997</v>
      </c>
      <c r="W5489" s="14" t="s">
        <v>7777</v>
      </c>
      <c r="X5489" s="3">
        <v>3</v>
      </c>
      <c r="Z5489" s="23">
        <v>7</v>
      </c>
      <c r="AB5489" s="18">
        <f t="shared" si="170"/>
        <v>2008</v>
      </c>
      <c r="AC5489" s="22">
        <f t="shared" si="171"/>
        <v>0.67066666666666663</v>
      </c>
    </row>
    <row r="5490" spans="1:29">
      <c r="A5490" s="8" t="s">
        <v>15125</v>
      </c>
      <c r="B5490" s="17" t="s">
        <v>7782</v>
      </c>
      <c r="C5490" s="12">
        <v>39722</v>
      </c>
      <c r="D5490" s="13" t="s">
        <v>8465</v>
      </c>
      <c r="E5490" s="10" t="s">
        <v>72</v>
      </c>
      <c r="F5490" s="10" t="s">
        <v>15126</v>
      </c>
      <c r="G5490" s="11" t="s">
        <v>1449</v>
      </c>
      <c r="H5490" s="2" t="s">
        <v>1061</v>
      </c>
      <c r="L5490" s="18">
        <v>0</v>
      </c>
      <c r="Q5490" s="18">
        <v>0</v>
      </c>
      <c r="V5490" s="22">
        <f>2.4/5</f>
        <v>0.48</v>
      </c>
      <c r="X5490" s="3">
        <v>2</v>
      </c>
      <c r="Z5490" s="23">
        <v>1.5</v>
      </c>
      <c r="AB5490" s="18">
        <f t="shared" si="170"/>
        <v>2008</v>
      </c>
      <c r="AC5490" s="22">
        <f t="shared" si="171"/>
        <v>0.44</v>
      </c>
    </row>
    <row r="5491" spans="1:29">
      <c r="A5491" s="8" t="s">
        <v>7361</v>
      </c>
      <c r="B5491" s="17" t="s">
        <v>7782</v>
      </c>
      <c r="C5491" s="13">
        <v>39721</v>
      </c>
      <c r="D5491" s="13" t="s">
        <v>8465</v>
      </c>
      <c r="E5491" s="10" t="s">
        <v>7280</v>
      </c>
      <c r="F5491" s="10" t="s">
        <v>1889</v>
      </c>
      <c r="G5491" s="11" t="s">
        <v>1724</v>
      </c>
      <c r="H5491" s="2" t="s">
        <v>149</v>
      </c>
      <c r="L5491" s="18">
        <v>0</v>
      </c>
      <c r="Q5491" s="18">
        <v>0</v>
      </c>
      <c r="U5491" s="22">
        <v>0.8</v>
      </c>
      <c r="V5491" s="22">
        <f>4/5</f>
        <v>0.8</v>
      </c>
      <c r="X5491" s="3">
        <v>3</v>
      </c>
      <c r="Z5491" s="23">
        <v>3.5</v>
      </c>
      <c r="AB5491" s="18">
        <f t="shared" si="170"/>
        <v>2008</v>
      </c>
      <c r="AC5491" s="22">
        <f t="shared" si="171"/>
        <v>0.73333333333333339</v>
      </c>
    </row>
    <row r="5492" spans="1:29" ht="25.5">
      <c r="A5492" s="8" t="s">
        <v>7382</v>
      </c>
      <c r="B5492" s="17" t="s">
        <v>7741</v>
      </c>
      <c r="C5492" s="13">
        <v>39721</v>
      </c>
      <c r="D5492" s="13" t="s">
        <v>8465</v>
      </c>
      <c r="E5492" s="10" t="s">
        <v>66</v>
      </c>
      <c r="F5492" s="10" t="s">
        <v>6645</v>
      </c>
      <c r="G5492" s="11" t="s">
        <v>710</v>
      </c>
      <c r="H5492" s="2" t="s">
        <v>1334</v>
      </c>
      <c r="L5492" s="18">
        <v>0</v>
      </c>
      <c r="Q5492" s="18">
        <v>0</v>
      </c>
      <c r="U5492" s="22">
        <v>0.65</v>
      </c>
      <c r="V5492" s="22">
        <f>4.17/5</f>
        <v>0.83399999999999996</v>
      </c>
      <c r="X5492" s="3">
        <v>3</v>
      </c>
      <c r="Z5492" s="23">
        <v>35.5</v>
      </c>
      <c r="AB5492" s="18">
        <f t="shared" si="170"/>
        <v>2008</v>
      </c>
      <c r="AC5492" s="22">
        <f t="shared" si="171"/>
        <v>0.69466666666666665</v>
      </c>
    </row>
    <row r="5493" spans="1:29">
      <c r="A5493" s="8" t="s">
        <v>2207</v>
      </c>
      <c r="B5493" s="17" t="s">
        <v>7748</v>
      </c>
      <c r="C5493" s="13">
        <v>39721</v>
      </c>
      <c r="D5493" s="13" t="s">
        <v>8465</v>
      </c>
      <c r="E5493" s="10" t="s">
        <v>66</v>
      </c>
      <c r="F5493" s="10" t="s">
        <v>467</v>
      </c>
      <c r="H5493" s="2" t="s">
        <v>1334</v>
      </c>
      <c r="L5493" s="18">
        <v>0</v>
      </c>
      <c r="Q5493" s="18">
        <v>0</v>
      </c>
      <c r="U5493" s="22">
        <v>0.71</v>
      </c>
      <c r="V5493" s="22">
        <f>3.74/5</f>
        <v>0.748</v>
      </c>
      <c r="X5493" s="3">
        <v>3</v>
      </c>
      <c r="Z5493" s="23">
        <v>4</v>
      </c>
      <c r="AB5493" s="18">
        <f t="shared" si="170"/>
        <v>2008</v>
      </c>
      <c r="AC5493" s="22">
        <f t="shared" si="171"/>
        <v>0.68599999999999994</v>
      </c>
    </row>
    <row r="5494" spans="1:29" ht="25.5">
      <c r="A5494" s="8" t="s">
        <v>2214</v>
      </c>
      <c r="B5494" s="17" t="s">
        <v>7748</v>
      </c>
      <c r="C5494" s="13">
        <v>39721</v>
      </c>
      <c r="D5494" s="13" t="s">
        <v>8465</v>
      </c>
      <c r="E5494" s="10" t="s">
        <v>455</v>
      </c>
      <c r="F5494" s="10" t="s">
        <v>1161</v>
      </c>
      <c r="G5494" s="11" t="s">
        <v>1688</v>
      </c>
      <c r="H5494" s="2" t="s">
        <v>149</v>
      </c>
      <c r="L5494" s="18">
        <v>0</v>
      </c>
      <c r="Q5494" s="18">
        <v>0</v>
      </c>
      <c r="U5494" s="22">
        <v>0.74</v>
      </c>
      <c r="V5494" s="22">
        <f>3.43/5</f>
        <v>0.68600000000000005</v>
      </c>
      <c r="X5494" s="3">
        <v>3</v>
      </c>
      <c r="Z5494" s="23">
        <v>15</v>
      </c>
      <c r="AB5494" s="18">
        <f t="shared" si="170"/>
        <v>2008</v>
      </c>
      <c r="AC5494" s="22">
        <f t="shared" si="171"/>
        <v>0.67533333333333345</v>
      </c>
    </row>
    <row r="5495" spans="1:29">
      <c r="A5495" s="8" t="s">
        <v>11285</v>
      </c>
      <c r="B5495" s="17" t="s">
        <v>7742</v>
      </c>
      <c r="C5495" s="13">
        <v>39720</v>
      </c>
      <c r="D5495" s="13" t="s">
        <v>8465</v>
      </c>
      <c r="E5495" s="10" t="s">
        <v>86</v>
      </c>
      <c r="F5495" s="10" t="s">
        <v>1493</v>
      </c>
      <c r="G5495" s="11" t="s">
        <v>11257</v>
      </c>
      <c r="H5495" s="2" t="s">
        <v>78</v>
      </c>
      <c r="L5495" s="18">
        <v>0</v>
      </c>
      <c r="Q5495" s="18">
        <v>0</v>
      </c>
      <c r="U5495" s="22">
        <v>0.82</v>
      </c>
      <c r="V5495" s="22">
        <f>3.93/5</f>
        <v>0.78600000000000003</v>
      </c>
      <c r="X5495" s="3">
        <v>2</v>
      </c>
      <c r="Z5495" s="23">
        <v>3.5</v>
      </c>
      <c r="AB5495" s="18">
        <f t="shared" si="170"/>
        <v>2008</v>
      </c>
      <c r="AC5495" s="22">
        <f t="shared" si="171"/>
        <v>0.66866666666666663</v>
      </c>
    </row>
    <row r="5496" spans="1:29" ht="30">
      <c r="A5496" s="8" t="s">
        <v>9754</v>
      </c>
      <c r="B5496" s="17" t="s">
        <v>7800</v>
      </c>
      <c r="C5496" s="13">
        <v>39716</v>
      </c>
      <c r="D5496" s="13" t="s">
        <v>8465</v>
      </c>
      <c r="E5496" s="10" t="s">
        <v>9761</v>
      </c>
      <c r="F5496" s="10" t="s">
        <v>9762</v>
      </c>
      <c r="H5496" s="2" t="s">
        <v>67</v>
      </c>
      <c r="L5496" s="18">
        <v>1</v>
      </c>
      <c r="N5496" s="13">
        <v>44238</v>
      </c>
      <c r="O5496" s="29">
        <v>0.74</v>
      </c>
      <c r="P5496" s="18" t="s">
        <v>1107</v>
      </c>
      <c r="Q5496" s="18">
        <v>0</v>
      </c>
      <c r="U5496" s="22">
        <v>0.68</v>
      </c>
      <c r="V5496" s="22">
        <f>3/5</f>
        <v>0.6</v>
      </c>
      <c r="W5496" s="14" t="s">
        <v>7777</v>
      </c>
      <c r="X5496" s="3">
        <v>3</v>
      </c>
      <c r="Z5496" s="23">
        <v>3.5</v>
      </c>
      <c r="AB5496" s="18">
        <f t="shared" si="170"/>
        <v>2008</v>
      </c>
      <c r="AC5496" s="22">
        <f t="shared" si="171"/>
        <v>0.62666666666666659</v>
      </c>
    </row>
    <row r="5497" spans="1:29">
      <c r="A5497" s="8" t="s">
        <v>13160</v>
      </c>
      <c r="B5497" s="17" t="s">
        <v>7741</v>
      </c>
      <c r="C5497" s="13">
        <v>39716</v>
      </c>
      <c r="D5497" s="13" t="s">
        <v>8463</v>
      </c>
      <c r="E5497" s="10" t="s">
        <v>62</v>
      </c>
      <c r="F5497" s="10" t="s">
        <v>62</v>
      </c>
      <c r="G5497" s="11" t="s">
        <v>7674</v>
      </c>
      <c r="H5497" s="2" t="s">
        <v>31</v>
      </c>
      <c r="K5497" s="18">
        <v>0</v>
      </c>
      <c r="L5497" s="18">
        <v>0</v>
      </c>
      <c r="Q5497" s="18">
        <v>0</v>
      </c>
      <c r="V5497" s="22">
        <f>3.84/5</f>
        <v>0.76800000000000002</v>
      </c>
      <c r="X5497" s="3">
        <v>2</v>
      </c>
      <c r="Z5497" s="23">
        <v>1</v>
      </c>
      <c r="AB5497" s="18">
        <f t="shared" si="170"/>
        <v>2008</v>
      </c>
      <c r="AC5497" s="22">
        <f t="shared" si="171"/>
        <v>0.58400000000000007</v>
      </c>
    </row>
    <row r="5498" spans="1:29" ht="25.5">
      <c r="A5498" s="8" t="s">
        <v>11912</v>
      </c>
      <c r="B5498" s="17" t="s">
        <v>7741</v>
      </c>
      <c r="C5498" s="13">
        <v>39716</v>
      </c>
      <c r="D5498" s="13" t="s">
        <v>8463</v>
      </c>
      <c r="E5498" s="10" t="s">
        <v>1082</v>
      </c>
      <c r="F5498" s="10" t="s">
        <v>1082</v>
      </c>
      <c r="G5498" s="11" t="s">
        <v>11641</v>
      </c>
      <c r="H5498" s="2" t="s">
        <v>80</v>
      </c>
      <c r="K5498" s="18">
        <v>2</v>
      </c>
      <c r="L5498" s="18">
        <v>0</v>
      </c>
      <c r="Q5498" s="18">
        <v>0</v>
      </c>
      <c r="V5498" s="22">
        <f>3.5/5</f>
        <v>0.7</v>
      </c>
      <c r="X5498" s="3">
        <v>2</v>
      </c>
      <c r="Z5498" s="23">
        <v>10</v>
      </c>
      <c r="AB5498" s="18">
        <f t="shared" si="170"/>
        <v>2008</v>
      </c>
      <c r="AC5498" s="22">
        <f t="shared" si="171"/>
        <v>0.55000000000000004</v>
      </c>
    </row>
    <row r="5499" spans="1:29" ht="25.5">
      <c r="A5499" s="8" t="s">
        <v>11541</v>
      </c>
      <c r="B5499" s="17" t="s">
        <v>7741</v>
      </c>
      <c r="C5499" s="13">
        <v>39714</v>
      </c>
      <c r="D5499" s="13" t="s">
        <v>8465</v>
      </c>
      <c r="E5499" s="10" t="s">
        <v>1047</v>
      </c>
      <c r="F5499" s="10" t="s">
        <v>3154</v>
      </c>
      <c r="G5499" s="11" t="s">
        <v>3379</v>
      </c>
      <c r="H5499" s="2" t="s">
        <v>1050</v>
      </c>
      <c r="L5499" s="18">
        <v>0</v>
      </c>
      <c r="Q5499" s="18">
        <v>0</v>
      </c>
      <c r="U5499" s="22">
        <v>0.45</v>
      </c>
      <c r="V5499" s="22">
        <f>3/5</f>
        <v>0.6</v>
      </c>
      <c r="X5499" s="3">
        <v>2</v>
      </c>
      <c r="Z5499" s="23">
        <v>5</v>
      </c>
      <c r="AB5499" s="18">
        <f t="shared" si="170"/>
        <v>2008</v>
      </c>
      <c r="AC5499" s="22">
        <f t="shared" si="171"/>
        <v>0.48333333333333339</v>
      </c>
    </row>
    <row r="5500" spans="1:29">
      <c r="A5500" s="8" t="s">
        <v>2275</v>
      </c>
      <c r="B5500" s="17" t="s">
        <v>7748</v>
      </c>
      <c r="C5500" s="13">
        <v>39714</v>
      </c>
      <c r="D5500" s="13" t="s">
        <v>8465</v>
      </c>
      <c r="E5500" s="10" t="s">
        <v>72</v>
      </c>
      <c r="F5500" s="10" t="s">
        <v>2334</v>
      </c>
      <c r="H5500" s="2" t="s">
        <v>1057</v>
      </c>
      <c r="L5500" s="18">
        <v>0</v>
      </c>
      <c r="Q5500" s="18">
        <v>0</v>
      </c>
      <c r="U5500" s="22">
        <v>0.7</v>
      </c>
      <c r="V5500" s="22">
        <f>3.88/5</f>
        <v>0.77600000000000002</v>
      </c>
      <c r="X5500" s="3">
        <v>4</v>
      </c>
      <c r="Z5500" s="23">
        <v>6.5</v>
      </c>
      <c r="AB5500" s="18">
        <f t="shared" si="170"/>
        <v>2008</v>
      </c>
      <c r="AC5500" s="22">
        <f t="shared" si="171"/>
        <v>0.7586666666666666</v>
      </c>
    </row>
    <row r="5501" spans="1:29">
      <c r="A5501" s="8" t="s">
        <v>2167</v>
      </c>
      <c r="B5501" s="17" t="s">
        <v>7748</v>
      </c>
      <c r="C5501" s="13">
        <v>39714</v>
      </c>
      <c r="D5501" s="13" t="s">
        <v>8465</v>
      </c>
      <c r="E5501" s="10" t="s">
        <v>1062</v>
      </c>
      <c r="F5501" s="10" t="s">
        <v>2285</v>
      </c>
      <c r="G5501" s="11" t="s">
        <v>2302</v>
      </c>
      <c r="H5501" s="2" t="s">
        <v>75</v>
      </c>
      <c r="L5501" s="18">
        <v>0</v>
      </c>
      <c r="Q5501" s="18">
        <v>0</v>
      </c>
      <c r="U5501" s="22">
        <v>0.83</v>
      </c>
      <c r="V5501" s="22">
        <f>4.23/5</f>
        <v>0.84600000000000009</v>
      </c>
      <c r="X5501" s="3">
        <v>3</v>
      </c>
      <c r="Z5501" s="23">
        <v>44</v>
      </c>
      <c r="AB5501" s="18">
        <f t="shared" si="170"/>
        <v>2008</v>
      </c>
      <c r="AC5501" s="22">
        <f t="shared" si="171"/>
        <v>0.75866666666666671</v>
      </c>
    </row>
    <row r="5502" spans="1:29" ht="25.5">
      <c r="A5502" s="8" t="s">
        <v>4244</v>
      </c>
      <c r="B5502" s="17" t="s">
        <v>7800</v>
      </c>
      <c r="C5502" s="13">
        <v>39714</v>
      </c>
      <c r="D5502" s="13" t="s">
        <v>8465</v>
      </c>
      <c r="E5502" s="10" t="s">
        <v>3608</v>
      </c>
      <c r="F5502" s="10" t="s">
        <v>4243</v>
      </c>
      <c r="G5502" s="11" t="s">
        <v>2571</v>
      </c>
      <c r="H5502" s="2" t="s">
        <v>1720</v>
      </c>
      <c r="L5502" s="18">
        <v>1</v>
      </c>
      <c r="N5502" s="13">
        <v>41119</v>
      </c>
      <c r="O5502" s="29">
        <v>3.74</v>
      </c>
      <c r="P5502" s="18" t="s">
        <v>1107</v>
      </c>
      <c r="Q5502" s="18">
        <v>0</v>
      </c>
      <c r="U5502" s="22">
        <v>0.82</v>
      </c>
      <c r="V5502" s="22">
        <f>3.92/5</f>
        <v>0.78400000000000003</v>
      </c>
      <c r="W5502" s="14" t="s">
        <v>7777</v>
      </c>
      <c r="X5502" s="3">
        <v>3</v>
      </c>
      <c r="Z5502" s="23">
        <v>35</v>
      </c>
      <c r="AB5502" s="18">
        <f t="shared" si="170"/>
        <v>2008</v>
      </c>
      <c r="AC5502" s="22">
        <f t="shared" si="171"/>
        <v>0.73466666666666669</v>
      </c>
    </row>
    <row r="5503" spans="1:29" ht="45">
      <c r="A5503" s="8" t="s">
        <v>4296</v>
      </c>
      <c r="B5503" s="17" t="s">
        <v>7800</v>
      </c>
      <c r="C5503" s="13">
        <v>39714</v>
      </c>
      <c r="D5503" s="13" t="s">
        <v>8465</v>
      </c>
      <c r="E5503" s="10" t="s">
        <v>1156</v>
      </c>
      <c r="F5503" s="10" t="s">
        <v>1309</v>
      </c>
      <c r="G5503" s="11" t="s">
        <v>4294</v>
      </c>
      <c r="H5503" s="2" t="s">
        <v>80</v>
      </c>
      <c r="L5503" s="18">
        <v>1</v>
      </c>
      <c r="N5503" s="13">
        <v>42048</v>
      </c>
      <c r="O5503" s="29">
        <v>1.81</v>
      </c>
      <c r="P5503" s="18" t="s">
        <v>1107</v>
      </c>
      <c r="Q5503" s="18">
        <v>0</v>
      </c>
      <c r="U5503" s="22">
        <v>0.81</v>
      </c>
      <c r="V5503" s="22">
        <f>3.64/5</f>
        <v>0.72799999999999998</v>
      </c>
      <c r="W5503" s="14" t="s">
        <v>7777</v>
      </c>
      <c r="X5503" s="3">
        <v>3</v>
      </c>
      <c r="Z5503" s="23">
        <v>10</v>
      </c>
      <c r="AB5503" s="18">
        <f t="shared" si="170"/>
        <v>2008</v>
      </c>
      <c r="AC5503" s="22">
        <f t="shared" si="171"/>
        <v>0.71266666666666667</v>
      </c>
    </row>
    <row r="5504" spans="1:29" ht="25.5">
      <c r="A5504" s="8" t="s">
        <v>4996</v>
      </c>
      <c r="B5504" s="17" t="s">
        <v>7800</v>
      </c>
      <c r="C5504" s="13">
        <v>39714</v>
      </c>
      <c r="D5504" s="13" t="s">
        <v>8465</v>
      </c>
      <c r="E5504" s="10" t="s">
        <v>3310</v>
      </c>
      <c r="F5504" s="10" t="s">
        <v>4993</v>
      </c>
      <c r="G5504" s="11" t="s">
        <v>4994</v>
      </c>
      <c r="H5504" s="2" t="s">
        <v>3123</v>
      </c>
      <c r="L5504" s="18">
        <v>1</v>
      </c>
      <c r="N5504" s="13">
        <v>41341</v>
      </c>
      <c r="O5504" s="29">
        <v>0</v>
      </c>
      <c r="P5504" s="18" t="s">
        <v>1107</v>
      </c>
      <c r="Q5504" s="18">
        <v>0</v>
      </c>
      <c r="U5504" s="22">
        <v>0.8</v>
      </c>
      <c r="V5504" s="22">
        <f>3.53/5</f>
        <v>0.70599999999999996</v>
      </c>
      <c r="W5504" s="14" t="s">
        <v>7777</v>
      </c>
      <c r="X5504" s="3">
        <v>3</v>
      </c>
      <c r="Z5504" s="23">
        <v>13</v>
      </c>
      <c r="AB5504" s="18">
        <f t="shared" si="170"/>
        <v>2008</v>
      </c>
      <c r="AC5504" s="22">
        <f t="shared" si="171"/>
        <v>0.70199999999999996</v>
      </c>
    </row>
    <row r="5505" spans="1:29">
      <c r="A5505" s="8" t="s">
        <v>10997</v>
      </c>
      <c r="B5505" s="17" t="s">
        <v>7741</v>
      </c>
      <c r="C5505" s="13">
        <v>39714</v>
      </c>
      <c r="D5505" s="13" t="s">
        <v>8465</v>
      </c>
      <c r="E5505" s="10" t="s">
        <v>455</v>
      </c>
      <c r="F5505" s="10" t="s">
        <v>1492</v>
      </c>
      <c r="G5505" s="11" t="s">
        <v>10997</v>
      </c>
      <c r="H5505" s="2" t="s">
        <v>1220</v>
      </c>
      <c r="L5505" s="18">
        <v>0</v>
      </c>
      <c r="Q5505" s="18">
        <v>0</v>
      </c>
      <c r="U5505" s="22">
        <v>0.68</v>
      </c>
      <c r="V5505" s="22">
        <f>3.62/5</f>
        <v>0.72399999999999998</v>
      </c>
      <c r="X5505" s="3">
        <v>3</v>
      </c>
      <c r="Z5505" s="23">
        <v>3.5</v>
      </c>
      <c r="AB5505" s="18">
        <f t="shared" ref="AB5505:AB5568" si="172">IFERROR(YEAR(C5505), "Early Access")</f>
        <v>2008</v>
      </c>
      <c r="AC5505" s="22">
        <f t="shared" ref="AC5505:AC5568" si="173">AVERAGE(T5505, U5505, V5505, IF(ISBLANK(X5505), X5505, X5505/5))</f>
        <v>0.66800000000000004</v>
      </c>
    </row>
    <row r="5506" spans="1:29" ht="25.5">
      <c r="A5506" s="8" t="s">
        <v>2144</v>
      </c>
      <c r="B5506" s="17" t="s">
        <v>7748</v>
      </c>
      <c r="C5506" s="13">
        <v>39714</v>
      </c>
      <c r="D5506" s="13" t="s">
        <v>8465</v>
      </c>
      <c r="E5506" s="10" t="s">
        <v>1062</v>
      </c>
      <c r="F5506" s="10" t="s">
        <v>2285</v>
      </c>
      <c r="G5506" s="11" t="s">
        <v>2907</v>
      </c>
      <c r="H5506" s="2" t="s">
        <v>75</v>
      </c>
      <c r="L5506" s="18">
        <v>0</v>
      </c>
      <c r="Q5506" s="18">
        <v>0</v>
      </c>
      <c r="U5506" s="22">
        <v>0.69</v>
      </c>
      <c r="V5506" s="22">
        <f>3.59/5</f>
        <v>0.71799999999999997</v>
      </c>
      <c r="X5506" s="3">
        <v>2</v>
      </c>
      <c r="Z5506" s="23">
        <v>9.5</v>
      </c>
      <c r="AB5506" s="18">
        <f t="shared" si="172"/>
        <v>2008</v>
      </c>
      <c r="AC5506" s="22">
        <f t="shared" si="173"/>
        <v>0.60266666666666657</v>
      </c>
    </row>
    <row r="5507" spans="1:29">
      <c r="A5507" s="8" t="s">
        <v>7959</v>
      </c>
      <c r="B5507" s="17" t="s">
        <v>7758</v>
      </c>
      <c r="C5507" s="13">
        <v>39714</v>
      </c>
      <c r="D5507" s="13" t="s">
        <v>8465</v>
      </c>
      <c r="E5507" s="10" t="s">
        <v>68</v>
      </c>
      <c r="F5507" s="10" t="s">
        <v>1471</v>
      </c>
      <c r="G5507" s="11" t="s">
        <v>7958</v>
      </c>
      <c r="H5507" s="2" t="s">
        <v>1059</v>
      </c>
      <c r="L5507" s="18">
        <v>0</v>
      </c>
      <c r="Q5507" s="18">
        <v>0</v>
      </c>
      <c r="U5507" s="22">
        <v>0.54169999999999996</v>
      </c>
      <c r="V5507" s="22">
        <f>4.17/5</f>
        <v>0.83399999999999996</v>
      </c>
      <c r="X5507" s="3">
        <v>2</v>
      </c>
      <c r="Z5507" s="23">
        <v>17.5</v>
      </c>
      <c r="AB5507" s="18">
        <f t="shared" si="172"/>
        <v>2008</v>
      </c>
      <c r="AC5507" s="22">
        <f t="shared" si="173"/>
        <v>0.59189999999999998</v>
      </c>
    </row>
    <row r="5508" spans="1:29" ht="25.5">
      <c r="A5508" s="8" t="s">
        <v>7385</v>
      </c>
      <c r="B5508" s="17" t="s">
        <v>7741</v>
      </c>
      <c r="C5508" s="13">
        <v>39714</v>
      </c>
      <c r="D5508" s="13" t="s">
        <v>8465</v>
      </c>
      <c r="E5508" s="10" t="s">
        <v>72</v>
      </c>
      <c r="F5508" s="10" t="s">
        <v>62</v>
      </c>
      <c r="G5508" s="11" t="s">
        <v>7409</v>
      </c>
      <c r="H5508" s="2" t="s">
        <v>1334</v>
      </c>
      <c r="L5508" s="18">
        <v>0</v>
      </c>
      <c r="Q5508" s="18">
        <v>0</v>
      </c>
      <c r="U5508" s="22">
        <v>0.61</v>
      </c>
      <c r="V5508" s="22">
        <f>3.44/5</f>
        <v>0.68799999999999994</v>
      </c>
      <c r="X5508" s="3">
        <v>2</v>
      </c>
      <c r="Z5508" s="23">
        <v>16</v>
      </c>
      <c r="AB5508" s="18">
        <f t="shared" si="172"/>
        <v>2008</v>
      </c>
      <c r="AC5508" s="22">
        <f t="shared" si="173"/>
        <v>0.56599999999999995</v>
      </c>
    </row>
    <row r="5509" spans="1:29">
      <c r="A5509" s="8" t="s">
        <v>1032</v>
      </c>
      <c r="B5509" s="17" t="s">
        <v>7741</v>
      </c>
      <c r="C5509" s="13">
        <v>39713</v>
      </c>
      <c r="D5509" s="13" t="s">
        <v>8465</v>
      </c>
      <c r="E5509" s="10" t="s">
        <v>86</v>
      </c>
      <c r="F5509" s="10" t="s">
        <v>1172</v>
      </c>
      <c r="G5509" s="11" t="s">
        <v>1428</v>
      </c>
      <c r="H5509" s="2" t="s">
        <v>64</v>
      </c>
      <c r="L5509" s="18">
        <v>0</v>
      </c>
      <c r="Q5509" s="18">
        <v>0</v>
      </c>
      <c r="U5509" s="22">
        <v>0.78</v>
      </c>
      <c r="V5509" s="22">
        <f>3.83/5</f>
        <v>0.76600000000000001</v>
      </c>
      <c r="X5509" s="3">
        <v>4</v>
      </c>
      <c r="Z5509" s="23">
        <v>6.5</v>
      </c>
      <c r="AB5509" s="18">
        <f t="shared" si="172"/>
        <v>2008</v>
      </c>
      <c r="AC5509" s="22">
        <f t="shared" si="173"/>
        <v>0.78200000000000003</v>
      </c>
    </row>
    <row r="5510" spans="1:29">
      <c r="A5510" s="8" t="s">
        <v>2188</v>
      </c>
      <c r="B5510" s="17" t="s">
        <v>7748</v>
      </c>
      <c r="C5510" s="13">
        <v>39713</v>
      </c>
      <c r="D5510" s="13" t="s">
        <v>8465</v>
      </c>
      <c r="E5510" s="10" t="s">
        <v>86</v>
      </c>
      <c r="F5510" s="10" t="s">
        <v>30</v>
      </c>
      <c r="G5510" s="11" t="s">
        <v>223</v>
      </c>
      <c r="H5510" s="2" t="s">
        <v>64</v>
      </c>
      <c r="L5510" s="18">
        <v>0</v>
      </c>
      <c r="Q5510" s="18">
        <v>0</v>
      </c>
      <c r="U5510" s="22">
        <v>0.8</v>
      </c>
      <c r="V5510" s="22">
        <f>4.28/5</f>
        <v>0.85600000000000009</v>
      </c>
      <c r="X5510" s="3">
        <v>3</v>
      </c>
      <c r="Z5510" s="23">
        <v>5</v>
      </c>
      <c r="AB5510" s="18">
        <f t="shared" si="172"/>
        <v>2008</v>
      </c>
      <c r="AC5510" s="22">
        <f t="shared" si="173"/>
        <v>0.75200000000000011</v>
      </c>
    </row>
    <row r="5511" spans="1:29" ht="30">
      <c r="A5511" s="8" t="s">
        <v>987</v>
      </c>
      <c r="B5511" s="17" t="s">
        <v>7741</v>
      </c>
      <c r="C5511" s="13">
        <v>39713</v>
      </c>
      <c r="D5511" s="13" t="s">
        <v>8465</v>
      </c>
      <c r="E5511" s="10" t="s">
        <v>1342</v>
      </c>
      <c r="F5511" s="10" t="s">
        <v>1531</v>
      </c>
      <c r="G5511" s="11" t="s">
        <v>987</v>
      </c>
      <c r="H5511" s="2" t="s">
        <v>27</v>
      </c>
      <c r="L5511" s="18">
        <v>0</v>
      </c>
      <c r="Q5511" s="18">
        <v>0</v>
      </c>
      <c r="U5511" s="22">
        <v>0.81</v>
      </c>
      <c r="V5511" s="22">
        <f>3.77/5</f>
        <v>0.754</v>
      </c>
      <c r="X5511" s="3">
        <v>3</v>
      </c>
      <c r="Z5511" s="23">
        <v>8</v>
      </c>
      <c r="AB5511" s="18">
        <f t="shared" si="172"/>
        <v>2008</v>
      </c>
      <c r="AC5511" s="22">
        <f t="shared" si="173"/>
        <v>0.72133333333333338</v>
      </c>
    </row>
    <row r="5512" spans="1:29">
      <c r="A5512" s="8" t="s">
        <v>14424</v>
      </c>
      <c r="B5512" s="17" t="s">
        <v>6317</v>
      </c>
      <c r="C5512" s="13">
        <v>39709</v>
      </c>
      <c r="D5512" s="13" t="s">
        <v>8465</v>
      </c>
      <c r="E5512" s="10" t="s">
        <v>455</v>
      </c>
      <c r="F5512" s="10" t="s">
        <v>455</v>
      </c>
      <c r="G5512" s="11" t="s">
        <v>14424</v>
      </c>
      <c r="H5512" s="2" t="s">
        <v>1170</v>
      </c>
      <c r="L5512" s="18">
        <v>0</v>
      </c>
      <c r="Q5512" s="18">
        <v>0</v>
      </c>
      <c r="V5512" s="22">
        <f>3.43/5</f>
        <v>0.68600000000000005</v>
      </c>
      <c r="X5512" s="3">
        <v>2</v>
      </c>
      <c r="AB5512" s="18">
        <f t="shared" si="172"/>
        <v>2008</v>
      </c>
      <c r="AC5512" s="22">
        <f t="shared" si="173"/>
        <v>0.54300000000000004</v>
      </c>
    </row>
    <row r="5513" spans="1:29">
      <c r="A5513" s="8" t="s">
        <v>3526</v>
      </c>
      <c r="B5513" s="17" t="s">
        <v>7800</v>
      </c>
      <c r="C5513" s="13">
        <v>39707</v>
      </c>
      <c r="D5513" s="13" t="s">
        <v>8465</v>
      </c>
      <c r="E5513" s="10" t="s">
        <v>231</v>
      </c>
      <c r="F5513" s="10" t="s">
        <v>3527</v>
      </c>
      <c r="G5513" s="11" t="s">
        <v>3522</v>
      </c>
      <c r="H5513" s="2" t="s">
        <v>1050</v>
      </c>
      <c r="L5513" s="18">
        <v>1</v>
      </c>
      <c r="N5513" s="13">
        <v>41823</v>
      </c>
      <c r="O5513" s="29">
        <v>3.68</v>
      </c>
      <c r="P5513" s="18" t="s">
        <v>1107</v>
      </c>
      <c r="Q5513" s="18">
        <v>0</v>
      </c>
      <c r="U5513" s="22">
        <v>0.85</v>
      </c>
      <c r="V5513" s="22">
        <f>3.87/5</f>
        <v>0.77400000000000002</v>
      </c>
      <c r="W5513" s="14" t="s">
        <v>7777</v>
      </c>
      <c r="X5513" s="3">
        <v>3</v>
      </c>
      <c r="Z5513" s="23">
        <v>5</v>
      </c>
      <c r="AB5513" s="18">
        <f t="shared" si="172"/>
        <v>2008</v>
      </c>
      <c r="AC5513" s="22">
        <f t="shared" si="173"/>
        <v>0.7413333333333334</v>
      </c>
    </row>
    <row r="5514" spans="1:29" ht="25.5">
      <c r="A5514" s="8" t="s">
        <v>5393</v>
      </c>
      <c r="B5514" s="17" t="s">
        <v>7800</v>
      </c>
      <c r="C5514" s="13">
        <v>39707</v>
      </c>
      <c r="D5514" s="13" t="s">
        <v>8465</v>
      </c>
      <c r="E5514" s="10" t="s">
        <v>311</v>
      </c>
      <c r="F5514" s="10" t="s">
        <v>3537</v>
      </c>
      <c r="G5514" s="11" t="s">
        <v>5392</v>
      </c>
      <c r="H5514" s="2" t="s">
        <v>171</v>
      </c>
      <c r="L5514" s="18">
        <v>1</v>
      </c>
      <c r="N5514" s="13">
        <v>41104</v>
      </c>
      <c r="O5514" s="29">
        <v>2.4900000000000002</v>
      </c>
      <c r="P5514" s="18" t="s">
        <v>1107</v>
      </c>
      <c r="Q5514" s="18">
        <v>0</v>
      </c>
      <c r="U5514" s="22">
        <v>0.86</v>
      </c>
      <c r="V5514" s="22">
        <f>3.87/5</f>
        <v>0.77400000000000002</v>
      </c>
      <c r="W5514" s="14" t="s">
        <v>7777</v>
      </c>
      <c r="X5514" s="3">
        <v>4</v>
      </c>
      <c r="Z5514" s="23">
        <v>36</v>
      </c>
      <c r="AB5514" s="18">
        <f t="shared" si="172"/>
        <v>2008</v>
      </c>
      <c r="AC5514" s="22">
        <f t="shared" si="173"/>
        <v>0.81133333333333335</v>
      </c>
    </row>
    <row r="5515" spans="1:29" ht="25.5">
      <c r="A5515" s="8" t="s">
        <v>2237</v>
      </c>
      <c r="B5515" s="17" t="s">
        <v>7748</v>
      </c>
      <c r="C5515" s="13">
        <v>39707</v>
      </c>
      <c r="D5515" s="13" t="s">
        <v>8465</v>
      </c>
      <c r="E5515" s="10" t="s">
        <v>1082</v>
      </c>
      <c r="F5515" s="10" t="s">
        <v>1087</v>
      </c>
      <c r="G5515" s="11" t="s">
        <v>140</v>
      </c>
      <c r="H5515" s="2" t="s">
        <v>149</v>
      </c>
      <c r="L5515" s="18">
        <v>0</v>
      </c>
      <c r="Q5515" s="18">
        <v>0</v>
      </c>
      <c r="U5515" s="22">
        <v>0.8</v>
      </c>
      <c r="V5515" s="22">
        <f>4.09/5</f>
        <v>0.81799999999999995</v>
      </c>
      <c r="X5515" s="3">
        <v>4</v>
      </c>
      <c r="Z5515" s="23">
        <v>27.5</v>
      </c>
      <c r="AB5515" s="18">
        <f t="shared" si="172"/>
        <v>2008</v>
      </c>
      <c r="AC5515" s="22">
        <f t="shared" si="173"/>
        <v>0.80600000000000005</v>
      </c>
    </row>
    <row r="5516" spans="1:29" ht="30">
      <c r="A5516" s="8" t="s">
        <v>4756</v>
      </c>
      <c r="B5516" s="17" t="s">
        <v>7800</v>
      </c>
      <c r="C5516" s="13">
        <v>39707</v>
      </c>
      <c r="D5516" s="13" t="s">
        <v>8465</v>
      </c>
      <c r="E5516" s="10" t="s">
        <v>2317</v>
      </c>
      <c r="F5516" s="10" t="s">
        <v>4757</v>
      </c>
      <c r="H5516" s="2" t="s">
        <v>150</v>
      </c>
      <c r="L5516" s="18">
        <v>1</v>
      </c>
      <c r="N5516" s="13">
        <v>42338</v>
      </c>
      <c r="O5516" s="29">
        <v>3.74</v>
      </c>
      <c r="P5516" s="18" t="s">
        <v>1107</v>
      </c>
      <c r="Q5516" s="18">
        <v>0</v>
      </c>
      <c r="U5516" s="22">
        <v>0.8</v>
      </c>
      <c r="V5516" s="22">
        <f>3.54/5</f>
        <v>0.70799999999999996</v>
      </c>
      <c r="W5516" s="14" t="s">
        <v>7777</v>
      </c>
      <c r="X5516" s="3">
        <v>3</v>
      </c>
      <c r="Z5516" s="23">
        <v>9</v>
      </c>
      <c r="AB5516" s="18">
        <f t="shared" si="172"/>
        <v>2008</v>
      </c>
      <c r="AC5516" s="22">
        <f t="shared" si="173"/>
        <v>0.70266666666666666</v>
      </c>
    </row>
    <row r="5517" spans="1:29" ht="25.5">
      <c r="A5517" s="8" t="s">
        <v>5917</v>
      </c>
      <c r="B5517" s="17" t="s">
        <v>7759</v>
      </c>
      <c r="C5517" s="13">
        <v>39707</v>
      </c>
      <c r="D5517" s="13" t="s">
        <v>8465</v>
      </c>
      <c r="E5517" s="10" t="s">
        <v>1047</v>
      </c>
      <c r="F5517" s="10" t="s">
        <v>1580</v>
      </c>
      <c r="G5517" s="11" t="s">
        <v>5915</v>
      </c>
      <c r="H5517" s="2" t="s">
        <v>1204</v>
      </c>
      <c r="L5517" s="18">
        <v>1</v>
      </c>
      <c r="M5517" s="14" t="s">
        <v>8462</v>
      </c>
      <c r="N5517" s="13">
        <v>43550</v>
      </c>
      <c r="O5517" s="29">
        <v>10</v>
      </c>
      <c r="P5517" s="18" t="s">
        <v>14</v>
      </c>
      <c r="Q5517" s="18">
        <v>0</v>
      </c>
      <c r="U5517" s="22">
        <v>0.66</v>
      </c>
      <c r="V5517" s="22">
        <f>3.99/5</f>
        <v>0.79800000000000004</v>
      </c>
      <c r="X5517" s="3">
        <v>2</v>
      </c>
      <c r="Z5517" s="23">
        <v>8</v>
      </c>
      <c r="AB5517" s="18">
        <f t="shared" si="172"/>
        <v>2008</v>
      </c>
      <c r="AC5517" s="22">
        <f t="shared" si="173"/>
        <v>0.6193333333333334</v>
      </c>
    </row>
    <row r="5518" spans="1:29" ht="25.5">
      <c r="A5518" s="8" t="s">
        <v>4891</v>
      </c>
      <c r="B5518" s="17" t="s">
        <v>7800</v>
      </c>
      <c r="C5518" s="13">
        <v>39706</v>
      </c>
      <c r="D5518" s="13" t="s">
        <v>8465</v>
      </c>
      <c r="E5518" s="10" t="s">
        <v>4892</v>
      </c>
      <c r="F5518" s="10" t="s">
        <v>4889</v>
      </c>
      <c r="G5518" s="11" t="s">
        <v>4890</v>
      </c>
      <c r="H5518" s="2" t="s">
        <v>1050</v>
      </c>
      <c r="L5518" s="18">
        <v>1</v>
      </c>
      <c r="N5518" s="13">
        <v>41744</v>
      </c>
      <c r="P5518" s="18" t="s">
        <v>1107</v>
      </c>
      <c r="Q5518" s="18">
        <v>0</v>
      </c>
      <c r="U5518" s="22">
        <v>0.74</v>
      </c>
      <c r="V5518" s="22">
        <f>3.45/5</f>
        <v>0.69000000000000006</v>
      </c>
      <c r="W5518" s="14" t="s">
        <v>7777</v>
      </c>
      <c r="X5518" s="3">
        <v>3</v>
      </c>
      <c r="Z5518" s="23">
        <v>14.5</v>
      </c>
      <c r="AB5518" s="18">
        <f t="shared" si="172"/>
        <v>2008</v>
      </c>
      <c r="AC5518" s="22">
        <f t="shared" si="173"/>
        <v>0.67666666666666675</v>
      </c>
    </row>
    <row r="5519" spans="1:29" ht="30">
      <c r="A5519" s="8" t="s">
        <v>5997</v>
      </c>
      <c r="B5519" s="17" t="s">
        <v>7759</v>
      </c>
      <c r="C5519" s="13">
        <v>39703</v>
      </c>
      <c r="D5519" s="13" t="s">
        <v>8467</v>
      </c>
      <c r="E5519" s="10" t="s">
        <v>2908</v>
      </c>
      <c r="F5519" s="10" t="s">
        <v>3039</v>
      </c>
      <c r="G5519" s="11" t="s">
        <v>5853</v>
      </c>
      <c r="H5519" s="2" t="s">
        <v>1040</v>
      </c>
      <c r="L5519" s="18">
        <v>1</v>
      </c>
      <c r="M5519" s="14" t="s">
        <v>8462</v>
      </c>
      <c r="N5519" s="13">
        <v>43492</v>
      </c>
      <c r="O5519" s="29">
        <v>17.95</v>
      </c>
      <c r="P5519" s="18" t="s">
        <v>14</v>
      </c>
      <c r="Q5519" s="18">
        <v>0</v>
      </c>
      <c r="U5519" s="22">
        <v>0.78</v>
      </c>
      <c r="V5519" s="22">
        <f>3.63/5</f>
        <v>0.72599999999999998</v>
      </c>
      <c r="X5519" s="3">
        <v>4</v>
      </c>
      <c r="Z5519" s="23">
        <v>3.5</v>
      </c>
      <c r="AB5519" s="18">
        <f t="shared" si="172"/>
        <v>2008</v>
      </c>
      <c r="AC5519" s="22">
        <f t="shared" si="173"/>
        <v>0.76866666666666672</v>
      </c>
    </row>
    <row r="5520" spans="1:29">
      <c r="A5520" s="8" t="s">
        <v>5790</v>
      </c>
      <c r="B5520" s="17" t="s">
        <v>7758</v>
      </c>
      <c r="C5520" s="13">
        <v>39700</v>
      </c>
      <c r="D5520" s="13" t="s">
        <v>8465</v>
      </c>
      <c r="E5520" s="10" t="s">
        <v>455</v>
      </c>
      <c r="F5520" s="10" t="s">
        <v>455</v>
      </c>
      <c r="G5520" s="11" t="s">
        <v>5600</v>
      </c>
      <c r="H5520" s="2" t="s">
        <v>80</v>
      </c>
      <c r="L5520" s="18">
        <v>0</v>
      </c>
      <c r="Q5520" s="18">
        <v>0</v>
      </c>
      <c r="U5520" s="22">
        <v>0.78</v>
      </c>
      <c r="V5520" s="22">
        <f>4.23/5</f>
        <v>0.84600000000000009</v>
      </c>
      <c r="X5520" s="3">
        <v>3</v>
      </c>
      <c r="Z5520" s="23">
        <v>19</v>
      </c>
      <c r="AB5520" s="18">
        <f t="shared" si="172"/>
        <v>2008</v>
      </c>
      <c r="AC5520" s="22">
        <f t="shared" si="173"/>
        <v>0.74199999999999999</v>
      </c>
    </row>
    <row r="5521" spans="1:29" ht="25.5">
      <c r="A5521" s="8" t="s">
        <v>2229</v>
      </c>
      <c r="B5521" s="17" t="s">
        <v>7748</v>
      </c>
      <c r="C5521" s="13">
        <v>39699</v>
      </c>
      <c r="D5521" s="13" t="s">
        <v>8465</v>
      </c>
      <c r="E5521" s="10" t="s">
        <v>1342</v>
      </c>
      <c r="F5521" s="10" t="s">
        <v>163</v>
      </c>
      <c r="G5521" s="11" t="s">
        <v>2321</v>
      </c>
      <c r="H5521" s="2" t="s">
        <v>1334</v>
      </c>
      <c r="L5521" s="18">
        <v>0</v>
      </c>
      <c r="Q5521" s="18">
        <v>0</v>
      </c>
      <c r="U5521" s="22">
        <v>0.83</v>
      </c>
      <c r="V5521" s="22">
        <f>3.89/5</f>
        <v>0.77800000000000002</v>
      </c>
      <c r="X5521" s="3">
        <v>3</v>
      </c>
      <c r="Z5521" s="23">
        <v>20.5</v>
      </c>
      <c r="AB5521" s="18">
        <f t="shared" si="172"/>
        <v>2008</v>
      </c>
      <c r="AC5521" s="22">
        <f t="shared" si="173"/>
        <v>0.7360000000000001</v>
      </c>
    </row>
    <row r="5522" spans="1:29">
      <c r="A5522" s="8" t="s">
        <v>2193</v>
      </c>
      <c r="B5522" s="17" t="s">
        <v>7748</v>
      </c>
      <c r="C5522" s="13">
        <v>39699</v>
      </c>
      <c r="D5522" s="13" t="s">
        <v>8465</v>
      </c>
      <c r="E5522" s="10" t="s">
        <v>1342</v>
      </c>
      <c r="F5522" s="10" t="s">
        <v>2311</v>
      </c>
      <c r="G5522" s="11" t="s">
        <v>2193</v>
      </c>
      <c r="H5522" s="2" t="s">
        <v>1143</v>
      </c>
      <c r="L5522" s="18">
        <v>0</v>
      </c>
      <c r="Q5522" s="18">
        <v>0</v>
      </c>
      <c r="U5522" s="22">
        <v>0.8</v>
      </c>
      <c r="V5522" s="22">
        <f>3.71/5</f>
        <v>0.74199999999999999</v>
      </c>
      <c r="X5522" s="3">
        <v>3</v>
      </c>
      <c r="Z5522" s="23">
        <v>15</v>
      </c>
      <c r="AB5522" s="18">
        <f t="shared" si="172"/>
        <v>2008</v>
      </c>
      <c r="AC5522" s="22">
        <f t="shared" si="173"/>
        <v>0.71399999999999997</v>
      </c>
    </row>
    <row r="5523" spans="1:29">
      <c r="A5523" s="8" t="s">
        <v>1362</v>
      </c>
      <c r="B5523" s="17" t="s">
        <v>7742</v>
      </c>
      <c r="C5523" s="13">
        <v>39699</v>
      </c>
      <c r="D5523" s="13" t="s">
        <v>8465</v>
      </c>
      <c r="E5523" s="10" t="s">
        <v>1430</v>
      </c>
      <c r="F5523" s="10" t="s">
        <v>1361</v>
      </c>
      <c r="G5523" s="11" t="s">
        <v>1362</v>
      </c>
      <c r="H5523" s="2" t="s">
        <v>21</v>
      </c>
      <c r="L5523" s="18">
        <v>0</v>
      </c>
      <c r="Q5523" s="18">
        <v>0</v>
      </c>
      <c r="V5523" s="22">
        <f>3.66/5</f>
        <v>0.73199999999999998</v>
      </c>
      <c r="W5523" s="14" t="s">
        <v>1068</v>
      </c>
      <c r="X5523" s="3">
        <v>3</v>
      </c>
      <c r="Z5523" s="23">
        <v>1.5</v>
      </c>
      <c r="AB5523" s="18">
        <f t="shared" si="172"/>
        <v>2008</v>
      </c>
      <c r="AC5523" s="22">
        <f t="shared" si="173"/>
        <v>0.66599999999999993</v>
      </c>
    </row>
    <row r="5524" spans="1:29">
      <c r="A5524" s="8" t="s">
        <v>7509</v>
      </c>
      <c r="B5524" s="17" t="s">
        <v>7800</v>
      </c>
      <c r="C5524" s="13">
        <v>39697</v>
      </c>
      <c r="D5524" s="13" t="s">
        <v>8465</v>
      </c>
      <c r="E5524" s="10" t="s">
        <v>7507</v>
      </c>
      <c r="F5524" s="10" t="s">
        <v>7507</v>
      </c>
      <c r="G5524" s="11" t="s">
        <v>7506</v>
      </c>
      <c r="H5524" s="2" t="s">
        <v>1050</v>
      </c>
      <c r="L5524" s="18">
        <v>0</v>
      </c>
      <c r="Q5524" s="18">
        <v>0</v>
      </c>
      <c r="V5524" s="22">
        <f>3.96/5</f>
        <v>0.79200000000000004</v>
      </c>
      <c r="W5524" s="14" t="s">
        <v>5674</v>
      </c>
      <c r="X5524" s="3">
        <v>3</v>
      </c>
      <c r="Z5524" s="23">
        <v>0.65</v>
      </c>
      <c r="AB5524" s="18">
        <f t="shared" si="172"/>
        <v>2008</v>
      </c>
      <c r="AC5524" s="22">
        <f t="shared" si="173"/>
        <v>0.69599999999999995</v>
      </c>
    </row>
    <row r="5525" spans="1:29">
      <c r="A5525" s="8" t="s">
        <v>9834</v>
      </c>
      <c r="B5525" s="17" t="s">
        <v>7765</v>
      </c>
      <c r="C5525" s="13">
        <v>39693</v>
      </c>
      <c r="D5525" s="13" t="s">
        <v>8465</v>
      </c>
      <c r="E5525" s="10" t="s">
        <v>1082</v>
      </c>
      <c r="F5525" s="10" t="s">
        <v>9835</v>
      </c>
      <c r="H5525" s="2" t="s">
        <v>171</v>
      </c>
      <c r="L5525" s="18">
        <v>1</v>
      </c>
      <c r="M5525" s="14" t="s">
        <v>8462</v>
      </c>
      <c r="N5525" s="13">
        <v>44257</v>
      </c>
      <c r="O5525" s="29">
        <v>14.18</v>
      </c>
      <c r="P5525" s="18" t="s">
        <v>14</v>
      </c>
      <c r="Q5525" s="18">
        <v>0</v>
      </c>
      <c r="U5525" s="22">
        <v>0.68</v>
      </c>
      <c r="V5525" s="22">
        <f>3.66/5</f>
        <v>0.73199999999999998</v>
      </c>
      <c r="X5525" s="3">
        <v>4</v>
      </c>
      <c r="Z5525" s="23">
        <v>24.5</v>
      </c>
      <c r="AB5525" s="18">
        <f t="shared" si="172"/>
        <v>2008</v>
      </c>
      <c r="AC5525" s="22">
        <f t="shared" si="173"/>
        <v>0.73733333333333329</v>
      </c>
    </row>
    <row r="5526" spans="1:29" ht="25.5">
      <c r="A5526" s="8" t="s">
        <v>10539</v>
      </c>
      <c r="B5526" s="17" t="s">
        <v>7759</v>
      </c>
      <c r="C5526" s="13">
        <v>39693</v>
      </c>
      <c r="D5526" s="13" t="s">
        <v>8465</v>
      </c>
      <c r="E5526" s="10" t="s">
        <v>1527</v>
      </c>
      <c r="F5526" s="10" t="s">
        <v>2135</v>
      </c>
      <c r="H5526" s="2" t="s">
        <v>245</v>
      </c>
      <c r="L5526" s="18">
        <v>0</v>
      </c>
      <c r="Q5526" s="18">
        <v>0</v>
      </c>
      <c r="U5526" s="22">
        <v>0.3</v>
      </c>
      <c r="V5526" s="22">
        <f>2.37/5</f>
        <v>0.47400000000000003</v>
      </c>
      <c r="X5526" s="3">
        <v>2</v>
      </c>
      <c r="Y5526" s="18">
        <v>1</v>
      </c>
      <c r="Z5526" s="23">
        <v>11</v>
      </c>
      <c r="AB5526" s="18">
        <f t="shared" si="172"/>
        <v>2008</v>
      </c>
      <c r="AC5526" s="22">
        <f t="shared" si="173"/>
        <v>0.39133333333333331</v>
      </c>
    </row>
    <row r="5527" spans="1:29" ht="25.5">
      <c r="A5527" s="8" t="s">
        <v>5972</v>
      </c>
      <c r="B5527" s="17" t="s">
        <v>7759</v>
      </c>
      <c r="C5527" s="13">
        <v>39691</v>
      </c>
      <c r="D5527" s="13" t="s">
        <v>8465</v>
      </c>
      <c r="E5527" s="10" t="s">
        <v>231</v>
      </c>
      <c r="F5527" s="10" t="s">
        <v>5109</v>
      </c>
      <c r="G5527" s="11" t="s">
        <v>5973</v>
      </c>
      <c r="H5527" s="2" t="s">
        <v>80</v>
      </c>
      <c r="L5527" s="18">
        <v>1</v>
      </c>
      <c r="M5527" s="14" t="s">
        <v>8462</v>
      </c>
      <c r="N5527" s="13">
        <v>43550</v>
      </c>
      <c r="O5527" s="29">
        <v>3.16</v>
      </c>
      <c r="P5527" s="18" t="s">
        <v>14</v>
      </c>
      <c r="Q5527" s="18">
        <v>0</v>
      </c>
      <c r="U5527" s="22">
        <v>0.73</v>
      </c>
      <c r="V5527" s="22">
        <f>3.66/5</f>
        <v>0.73199999999999998</v>
      </c>
      <c r="X5527" s="3">
        <v>3</v>
      </c>
      <c r="Z5527" s="23">
        <v>17.5</v>
      </c>
      <c r="AB5527" s="18">
        <f t="shared" si="172"/>
        <v>2008</v>
      </c>
      <c r="AC5527" s="22">
        <f t="shared" si="173"/>
        <v>0.68733333333333324</v>
      </c>
    </row>
    <row r="5528" spans="1:29">
      <c r="A5528" s="8" t="s">
        <v>983</v>
      </c>
      <c r="B5528" s="17" t="s">
        <v>7741</v>
      </c>
      <c r="C5528" s="13">
        <v>39688</v>
      </c>
      <c r="D5528" s="13" t="s">
        <v>8463</v>
      </c>
      <c r="E5528" s="10" t="s">
        <v>86</v>
      </c>
      <c r="F5528" s="10" t="s">
        <v>1493</v>
      </c>
      <c r="H5528" s="2" t="s">
        <v>80</v>
      </c>
      <c r="K5528" s="18">
        <v>2</v>
      </c>
      <c r="L5528" s="18">
        <v>0</v>
      </c>
      <c r="Q5528" s="18">
        <v>0</v>
      </c>
      <c r="U5528" s="22">
        <v>0.8</v>
      </c>
      <c r="V5528" s="22">
        <f>3.57/5</f>
        <v>0.71399999999999997</v>
      </c>
      <c r="X5528" s="3">
        <v>3</v>
      </c>
      <c r="Z5528" s="23">
        <v>3</v>
      </c>
      <c r="AB5528" s="18">
        <f t="shared" si="172"/>
        <v>2008</v>
      </c>
      <c r="AC5528" s="22">
        <f t="shared" si="173"/>
        <v>0.70466666666666666</v>
      </c>
    </row>
    <row r="5529" spans="1:29" ht="30">
      <c r="A5529" s="8" t="s">
        <v>10232</v>
      </c>
      <c r="B5529" s="17" t="s">
        <v>7759</v>
      </c>
      <c r="C5529" s="13">
        <v>39688</v>
      </c>
      <c r="D5529" s="13" t="s">
        <v>8465</v>
      </c>
      <c r="E5529" s="10" t="s">
        <v>2908</v>
      </c>
      <c r="F5529" s="10" t="s">
        <v>6034</v>
      </c>
      <c r="H5529" s="2" t="s">
        <v>143</v>
      </c>
      <c r="L5529" s="18">
        <v>1</v>
      </c>
      <c r="N5529" s="13">
        <v>45032</v>
      </c>
      <c r="O5529" s="29">
        <v>9.99</v>
      </c>
      <c r="P5529" s="18" t="s">
        <v>1107</v>
      </c>
      <c r="Q5529" s="18">
        <v>0</v>
      </c>
      <c r="U5529" s="22">
        <v>0.77</v>
      </c>
      <c r="V5529" s="22">
        <f>3.43/5</f>
        <v>0.68600000000000005</v>
      </c>
      <c r="X5529" s="3">
        <v>3</v>
      </c>
      <c r="Z5529" s="23">
        <v>6</v>
      </c>
      <c r="AB5529" s="18">
        <f t="shared" si="172"/>
        <v>2008</v>
      </c>
      <c r="AC5529" s="22">
        <f t="shared" si="173"/>
        <v>0.68533333333333335</v>
      </c>
    </row>
    <row r="5530" spans="1:29" ht="25.5">
      <c r="A5530" s="8" t="s">
        <v>5935</v>
      </c>
      <c r="B5530" s="17" t="s">
        <v>7759</v>
      </c>
      <c r="C5530" s="13">
        <v>39686</v>
      </c>
      <c r="D5530" s="13" t="s">
        <v>8465</v>
      </c>
      <c r="E5530" s="10" t="s">
        <v>1062</v>
      </c>
      <c r="F5530" s="10" t="s">
        <v>2285</v>
      </c>
      <c r="G5530" s="11" t="s">
        <v>2302</v>
      </c>
      <c r="H5530" s="2" t="s">
        <v>75</v>
      </c>
      <c r="L5530" s="18">
        <v>1</v>
      </c>
      <c r="M5530" s="14" t="s">
        <v>8462</v>
      </c>
      <c r="N5530" s="13">
        <v>43467</v>
      </c>
      <c r="O5530" s="29">
        <v>8.94</v>
      </c>
      <c r="P5530" s="18" t="s">
        <v>14</v>
      </c>
      <c r="Q5530" s="18">
        <v>0</v>
      </c>
      <c r="U5530" s="22">
        <v>0.81</v>
      </c>
      <c r="V5530" s="22">
        <f>4.2/5</f>
        <v>0.84000000000000008</v>
      </c>
      <c r="X5530" s="3">
        <v>3</v>
      </c>
      <c r="Z5530" s="23">
        <v>33</v>
      </c>
      <c r="AB5530" s="18">
        <f t="shared" si="172"/>
        <v>2008</v>
      </c>
      <c r="AC5530" s="22">
        <f t="shared" si="173"/>
        <v>0.75</v>
      </c>
    </row>
    <row r="5531" spans="1:29">
      <c r="A5531" s="8" t="s">
        <v>8417</v>
      </c>
      <c r="B5531" s="17" t="s">
        <v>7748</v>
      </c>
      <c r="C5531" s="13">
        <v>39686</v>
      </c>
      <c r="D5531" s="13" t="s">
        <v>8465</v>
      </c>
      <c r="E5531" s="10" t="s">
        <v>1519</v>
      </c>
      <c r="F5531" s="10" t="s">
        <v>8418</v>
      </c>
      <c r="G5531" s="11" t="s">
        <v>8417</v>
      </c>
      <c r="H5531" s="2" t="s">
        <v>1377</v>
      </c>
      <c r="L5531" s="18">
        <v>0</v>
      </c>
      <c r="Q5531" s="18">
        <v>0</v>
      </c>
      <c r="U5531" s="22">
        <v>0.59</v>
      </c>
      <c r="V5531" s="22">
        <f>3.19/5</f>
        <v>0.63800000000000001</v>
      </c>
      <c r="X5531" s="3">
        <v>3</v>
      </c>
      <c r="Z5531" s="23">
        <v>5.5</v>
      </c>
      <c r="AB5531" s="18">
        <f t="shared" si="172"/>
        <v>2008</v>
      </c>
      <c r="AC5531" s="22">
        <f t="shared" si="173"/>
        <v>0.60933333333333328</v>
      </c>
    </row>
    <row r="5532" spans="1:29">
      <c r="A5532" s="8" t="s">
        <v>7391</v>
      </c>
      <c r="B5532" s="17" t="s">
        <v>7741</v>
      </c>
      <c r="C5532" s="13">
        <v>39685</v>
      </c>
      <c r="D5532" s="13" t="s">
        <v>8465</v>
      </c>
      <c r="E5532" s="10" t="s">
        <v>86</v>
      </c>
      <c r="F5532" s="10" t="s">
        <v>3568</v>
      </c>
      <c r="G5532" s="11" t="s">
        <v>7371</v>
      </c>
      <c r="H5532" s="2" t="s">
        <v>255</v>
      </c>
      <c r="L5532" s="18">
        <v>0</v>
      </c>
      <c r="Q5532" s="18">
        <v>0</v>
      </c>
      <c r="U5532" s="22">
        <v>0.7</v>
      </c>
      <c r="V5532" s="22">
        <f>3.84/5</f>
        <v>0.76800000000000002</v>
      </c>
      <c r="X5532" s="3">
        <v>3</v>
      </c>
      <c r="Z5532" s="23">
        <v>5</v>
      </c>
      <c r="AB5532" s="18">
        <f t="shared" si="172"/>
        <v>2008</v>
      </c>
      <c r="AC5532" s="22">
        <f t="shared" si="173"/>
        <v>0.68933333333333335</v>
      </c>
    </row>
    <row r="5533" spans="1:29">
      <c r="A5533" s="8" t="s">
        <v>9056</v>
      </c>
      <c r="B5533" s="17" t="s">
        <v>7748</v>
      </c>
      <c r="C5533" s="13">
        <v>39681</v>
      </c>
      <c r="D5533" s="13" t="s">
        <v>8463</v>
      </c>
      <c r="E5533" s="10" t="s">
        <v>1082</v>
      </c>
      <c r="F5533" s="10" t="s">
        <v>1082</v>
      </c>
      <c r="H5533" s="2" t="s">
        <v>149</v>
      </c>
      <c r="K5533" s="18">
        <v>1</v>
      </c>
      <c r="L5533" s="18">
        <v>0</v>
      </c>
      <c r="Q5533" s="18">
        <v>0</v>
      </c>
      <c r="V5533" s="22">
        <f>4.1/5</f>
        <v>0.82</v>
      </c>
      <c r="X5533" s="3">
        <v>3</v>
      </c>
      <c r="Z5533" s="23">
        <v>15</v>
      </c>
      <c r="AB5533" s="18">
        <f t="shared" si="172"/>
        <v>2008</v>
      </c>
      <c r="AC5533" s="22">
        <f t="shared" si="173"/>
        <v>0.71</v>
      </c>
    </row>
    <row r="5534" spans="1:29">
      <c r="A5534" s="8" t="s">
        <v>7126</v>
      </c>
      <c r="B5534" s="17" t="s">
        <v>7800</v>
      </c>
      <c r="C5534" s="13">
        <v>39680</v>
      </c>
      <c r="D5534" s="13" t="s">
        <v>8465</v>
      </c>
      <c r="E5534" s="10" t="s">
        <v>7214</v>
      </c>
      <c r="F5534" s="10" t="s">
        <v>7214</v>
      </c>
      <c r="G5534" s="11" t="s">
        <v>7125</v>
      </c>
      <c r="H5534" s="2" t="s">
        <v>64</v>
      </c>
      <c r="L5534" s="18">
        <v>0</v>
      </c>
      <c r="Q5534" s="18">
        <v>0</v>
      </c>
      <c r="W5534" s="14" t="s">
        <v>5674</v>
      </c>
      <c r="X5534" s="3">
        <v>3</v>
      </c>
      <c r="AB5534" s="18">
        <f t="shared" si="172"/>
        <v>2008</v>
      </c>
      <c r="AC5534" s="22">
        <f t="shared" si="173"/>
        <v>0.6</v>
      </c>
    </row>
    <row r="5535" spans="1:29" ht="30">
      <c r="A5535" s="8" t="s">
        <v>6669</v>
      </c>
      <c r="B5535" s="17" t="s">
        <v>7765</v>
      </c>
      <c r="C5535" s="13">
        <v>39679</v>
      </c>
      <c r="D5535" s="13" t="s">
        <v>8465</v>
      </c>
      <c r="E5535" s="10" t="s">
        <v>3740</v>
      </c>
      <c r="F5535" s="10" t="s">
        <v>1489</v>
      </c>
      <c r="H5535" s="2" t="s">
        <v>171</v>
      </c>
      <c r="L5535" s="18">
        <v>1</v>
      </c>
      <c r="M5535" s="14" t="s">
        <v>11018</v>
      </c>
      <c r="N5535" s="13">
        <v>43997</v>
      </c>
      <c r="O5535" s="29">
        <v>5.39</v>
      </c>
      <c r="P5535" s="18" t="s">
        <v>14</v>
      </c>
      <c r="Q5535" s="18">
        <v>0</v>
      </c>
      <c r="U5535" s="22">
        <v>0.69</v>
      </c>
      <c r="V5535" s="22">
        <f>3.56/5</f>
        <v>0.71199999999999997</v>
      </c>
      <c r="X5535" s="3">
        <v>3</v>
      </c>
      <c r="Z5535" s="23">
        <v>12.5</v>
      </c>
      <c r="AB5535" s="18">
        <f t="shared" si="172"/>
        <v>2008</v>
      </c>
      <c r="AC5535" s="22">
        <f t="shared" si="173"/>
        <v>0.66733333333333322</v>
      </c>
    </row>
    <row r="5536" spans="1:29">
      <c r="A5536" s="8" t="s">
        <v>11876</v>
      </c>
      <c r="B5536" s="17" t="s">
        <v>7758</v>
      </c>
      <c r="C5536" s="13">
        <v>39679</v>
      </c>
      <c r="D5536" s="13" t="s">
        <v>8465</v>
      </c>
      <c r="E5536" s="10" t="s">
        <v>11877</v>
      </c>
      <c r="F5536" s="10" t="s">
        <v>463</v>
      </c>
      <c r="G5536" s="11" t="s">
        <v>11876</v>
      </c>
      <c r="H5536" s="2" t="s">
        <v>1334</v>
      </c>
      <c r="L5536" s="18">
        <v>0</v>
      </c>
      <c r="Q5536" s="18">
        <v>0</v>
      </c>
      <c r="V5536" s="22">
        <f>3.76/5</f>
        <v>0.752</v>
      </c>
      <c r="X5536" s="3">
        <v>2</v>
      </c>
      <c r="Z5536" s="23">
        <v>12</v>
      </c>
      <c r="AB5536" s="18">
        <f t="shared" si="172"/>
        <v>2008</v>
      </c>
      <c r="AC5536" s="22">
        <f t="shared" si="173"/>
        <v>0.57600000000000007</v>
      </c>
    </row>
    <row r="5537" spans="1:29" ht="25.5">
      <c r="A5537" s="8" t="s">
        <v>3308</v>
      </c>
      <c r="B5537" s="17" t="s">
        <v>7800</v>
      </c>
      <c r="C5537" s="13">
        <v>39673</v>
      </c>
      <c r="D5537" s="13" t="s">
        <v>8465</v>
      </c>
      <c r="E5537" s="10" t="s">
        <v>73</v>
      </c>
      <c r="F5537" s="10" t="s">
        <v>3307</v>
      </c>
      <c r="G5537" s="11" t="s">
        <v>15</v>
      </c>
      <c r="H5537" s="2" t="s">
        <v>64</v>
      </c>
      <c r="L5537" s="18">
        <v>1</v>
      </c>
      <c r="N5537" s="13">
        <v>41476</v>
      </c>
      <c r="O5537" s="29">
        <v>1.84</v>
      </c>
      <c r="P5537" s="18" t="s">
        <v>1107</v>
      </c>
      <c r="Q5537" s="18">
        <v>0</v>
      </c>
      <c r="U5537" s="22">
        <v>0.85</v>
      </c>
      <c r="V5537" s="22">
        <f>3.67/5</f>
        <v>0.73399999999999999</v>
      </c>
      <c r="W5537" s="14" t="s">
        <v>7777</v>
      </c>
      <c r="X5537" s="3">
        <v>3</v>
      </c>
      <c r="Z5537" s="23">
        <v>5</v>
      </c>
      <c r="AB5537" s="18">
        <f t="shared" si="172"/>
        <v>2008</v>
      </c>
      <c r="AC5537" s="22">
        <f t="shared" si="173"/>
        <v>0.72800000000000009</v>
      </c>
    </row>
    <row r="5538" spans="1:29">
      <c r="A5538" s="8" t="s">
        <v>11121</v>
      </c>
      <c r="B5538" s="17" t="s">
        <v>7748</v>
      </c>
      <c r="C5538" s="13">
        <v>39672</v>
      </c>
      <c r="D5538" s="13" t="s">
        <v>8465</v>
      </c>
      <c r="E5538" s="10" t="s">
        <v>2298</v>
      </c>
      <c r="F5538" s="10" t="s">
        <v>1474</v>
      </c>
      <c r="G5538" s="11" t="s">
        <v>1475</v>
      </c>
      <c r="H5538" s="2" t="s">
        <v>21</v>
      </c>
      <c r="L5538" s="18">
        <v>0</v>
      </c>
      <c r="Q5538" s="18">
        <v>0</v>
      </c>
      <c r="U5538" s="22">
        <v>0.83</v>
      </c>
      <c r="V5538" s="22">
        <f>3.79/5</f>
        <v>0.75800000000000001</v>
      </c>
      <c r="X5538" s="3">
        <v>3</v>
      </c>
      <c r="Z5538" s="23">
        <v>6</v>
      </c>
      <c r="AB5538" s="18">
        <f t="shared" si="172"/>
        <v>2008</v>
      </c>
      <c r="AC5538" s="22">
        <f t="shared" si="173"/>
        <v>0.72933333333333339</v>
      </c>
    </row>
    <row r="5539" spans="1:29" ht="30">
      <c r="A5539" s="8" t="s">
        <v>1034</v>
      </c>
      <c r="B5539" s="17" t="s">
        <v>7741</v>
      </c>
      <c r="C5539" s="13">
        <v>39660</v>
      </c>
      <c r="D5539" s="13" t="s">
        <v>8463</v>
      </c>
      <c r="E5539" s="10" t="s">
        <v>86</v>
      </c>
      <c r="F5539" s="10" t="s">
        <v>1505</v>
      </c>
      <c r="G5539" s="11" t="s">
        <v>1550</v>
      </c>
      <c r="H5539" s="2" t="s">
        <v>1061</v>
      </c>
      <c r="K5539" s="18">
        <v>2</v>
      </c>
      <c r="L5539" s="18">
        <v>0</v>
      </c>
      <c r="Q5539" s="18">
        <v>0</v>
      </c>
      <c r="U5539" s="22">
        <v>0.77</v>
      </c>
      <c r="V5539" s="22">
        <f>4.22/5</f>
        <v>0.84399999999999997</v>
      </c>
      <c r="X5539" s="3">
        <v>4</v>
      </c>
      <c r="Z5539" s="23">
        <v>12</v>
      </c>
      <c r="AB5539" s="18">
        <f t="shared" si="172"/>
        <v>2008</v>
      </c>
      <c r="AC5539" s="22">
        <f t="shared" si="173"/>
        <v>0.80466666666666653</v>
      </c>
    </row>
    <row r="5540" spans="1:29">
      <c r="A5540" s="8" t="s">
        <v>6730</v>
      </c>
      <c r="B5540" s="17" t="s">
        <v>7759</v>
      </c>
      <c r="C5540" s="13">
        <v>39658</v>
      </c>
      <c r="D5540" s="13" t="s">
        <v>8465</v>
      </c>
      <c r="E5540" s="10" t="s">
        <v>1509</v>
      </c>
      <c r="F5540" s="10" t="s">
        <v>6724</v>
      </c>
      <c r="G5540" s="11" t="s">
        <v>6161</v>
      </c>
      <c r="H5540" s="2" t="s">
        <v>459</v>
      </c>
      <c r="L5540" s="18">
        <v>0</v>
      </c>
      <c r="Q5540" s="18">
        <v>0</v>
      </c>
      <c r="U5540" s="22">
        <v>0.85</v>
      </c>
      <c r="V5540" s="22">
        <f>3.89/5</f>
        <v>0.77800000000000002</v>
      </c>
      <c r="X5540" s="3">
        <v>3</v>
      </c>
      <c r="Y5540" s="18">
        <v>1</v>
      </c>
      <c r="Z5540" s="23">
        <v>3</v>
      </c>
      <c r="AB5540" s="18">
        <f t="shared" si="172"/>
        <v>2008</v>
      </c>
      <c r="AC5540" s="22">
        <f t="shared" si="173"/>
        <v>0.7426666666666667</v>
      </c>
    </row>
    <row r="5541" spans="1:29">
      <c r="A5541" s="8" t="s">
        <v>8819</v>
      </c>
      <c r="B5541" s="17" t="s">
        <v>7765</v>
      </c>
      <c r="C5541" s="13">
        <v>39658</v>
      </c>
      <c r="D5541" s="13" t="s">
        <v>8465</v>
      </c>
      <c r="E5541" s="10" t="s">
        <v>228</v>
      </c>
      <c r="F5541" s="10" t="s">
        <v>3113</v>
      </c>
      <c r="G5541" s="11" t="s">
        <v>8820</v>
      </c>
      <c r="H5541" s="2" t="s">
        <v>75</v>
      </c>
      <c r="L5541" s="18">
        <v>0</v>
      </c>
      <c r="Q5541" s="18">
        <v>0</v>
      </c>
      <c r="U5541" s="22">
        <v>0.59</v>
      </c>
      <c r="V5541" s="22">
        <f>3.57/5</f>
        <v>0.71399999999999997</v>
      </c>
      <c r="X5541" s="3">
        <v>2</v>
      </c>
      <c r="Y5541" s="18">
        <v>1</v>
      </c>
      <c r="Z5541" s="23">
        <v>52</v>
      </c>
      <c r="AB5541" s="18">
        <f t="shared" si="172"/>
        <v>2008</v>
      </c>
      <c r="AC5541" s="22">
        <f t="shared" si="173"/>
        <v>0.56799999999999995</v>
      </c>
    </row>
    <row r="5542" spans="1:29" ht="30">
      <c r="A5542" s="8" t="s">
        <v>11917</v>
      </c>
      <c r="B5542" s="17" t="s">
        <v>7759</v>
      </c>
      <c r="C5542" s="13">
        <v>39653</v>
      </c>
      <c r="D5542" s="13" t="s">
        <v>8465</v>
      </c>
      <c r="E5542" s="10" t="s">
        <v>73</v>
      </c>
      <c r="F5542" s="10" t="s">
        <v>1970</v>
      </c>
      <c r="G5542" s="11" t="s">
        <v>441</v>
      </c>
      <c r="H5542" s="2" t="s">
        <v>21</v>
      </c>
      <c r="L5542" s="18">
        <v>1</v>
      </c>
      <c r="N5542" s="13">
        <v>45032</v>
      </c>
      <c r="O5542" s="29">
        <v>9.99</v>
      </c>
      <c r="P5542" s="18" t="s">
        <v>1107</v>
      </c>
      <c r="Q5542" s="18">
        <v>0</v>
      </c>
      <c r="U5542" s="22">
        <v>0.69</v>
      </c>
      <c r="V5542" s="22">
        <f>3.36/5</f>
        <v>0.67199999999999993</v>
      </c>
      <c r="X5542" s="3">
        <v>3</v>
      </c>
      <c r="Z5542" s="23">
        <v>1.5</v>
      </c>
      <c r="AB5542" s="18">
        <f t="shared" si="172"/>
        <v>2008</v>
      </c>
      <c r="AC5542" s="22">
        <f t="shared" si="173"/>
        <v>0.65399999999999991</v>
      </c>
    </row>
    <row r="5543" spans="1:29">
      <c r="A5543" s="8" t="s">
        <v>612</v>
      </c>
      <c r="B5543" s="17" t="s">
        <v>7748</v>
      </c>
      <c r="C5543" s="13">
        <v>39651</v>
      </c>
      <c r="D5543" s="13" t="s">
        <v>8465</v>
      </c>
      <c r="E5543" s="10" t="s">
        <v>1082</v>
      </c>
      <c r="F5543" s="10" t="s">
        <v>1083</v>
      </c>
      <c r="G5543" s="11" t="s">
        <v>126</v>
      </c>
      <c r="H5543" s="2" t="s">
        <v>149</v>
      </c>
      <c r="L5543" s="18">
        <v>0</v>
      </c>
      <c r="Q5543" s="18">
        <v>0</v>
      </c>
      <c r="U5543" s="22">
        <v>0.85</v>
      </c>
      <c r="V5543" s="22">
        <f>4.19/5</f>
        <v>0.83800000000000008</v>
      </c>
      <c r="X5543" s="3">
        <v>3</v>
      </c>
      <c r="Z5543" s="23">
        <v>30.5</v>
      </c>
      <c r="AB5543" s="18">
        <f t="shared" si="172"/>
        <v>2008</v>
      </c>
      <c r="AC5543" s="22">
        <f t="shared" si="173"/>
        <v>0.76266666666666671</v>
      </c>
    </row>
    <row r="5544" spans="1:29" ht="38.25">
      <c r="A5544" s="8" t="s">
        <v>2182</v>
      </c>
      <c r="B5544" s="17" t="s">
        <v>7748</v>
      </c>
      <c r="C5544" s="13">
        <v>39651</v>
      </c>
      <c r="D5544" s="13" t="s">
        <v>8465</v>
      </c>
      <c r="E5544" s="10" t="s">
        <v>228</v>
      </c>
      <c r="F5544" s="10" t="s">
        <v>2307</v>
      </c>
      <c r="G5544" s="11" t="s">
        <v>2308</v>
      </c>
      <c r="H5544" s="2" t="s">
        <v>1377</v>
      </c>
      <c r="L5544" s="18">
        <v>0</v>
      </c>
      <c r="Q5544" s="18">
        <v>0</v>
      </c>
      <c r="U5544" s="22">
        <v>0.64</v>
      </c>
      <c r="V5544" s="22">
        <f>3.78/5</f>
        <v>0.75600000000000001</v>
      </c>
      <c r="X5544" s="3">
        <v>3</v>
      </c>
      <c r="Z5544" s="23">
        <v>11.5</v>
      </c>
      <c r="AB5544" s="18">
        <f t="shared" si="172"/>
        <v>2008</v>
      </c>
      <c r="AC5544" s="22">
        <f t="shared" si="173"/>
        <v>0.66533333333333333</v>
      </c>
    </row>
    <row r="5545" spans="1:29" ht="30">
      <c r="A5545" s="8" t="s">
        <v>14370</v>
      </c>
      <c r="B5545" s="17" t="s">
        <v>7741</v>
      </c>
      <c r="C5545" s="13">
        <v>39644</v>
      </c>
      <c r="D5545" s="13" t="s">
        <v>8465</v>
      </c>
      <c r="E5545" s="10" t="s">
        <v>73</v>
      </c>
      <c r="F5545" s="10" t="s">
        <v>1160</v>
      </c>
      <c r="H5545" s="2" t="s">
        <v>255</v>
      </c>
      <c r="L5545" s="18">
        <v>0</v>
      </c>
      <c r="Q5545" s="18">
        <v>0</v>
      </c>
      <c r="U5545" s="22">
        <v>0.75</v>
      </c>
      <c r="V5545" s="22">
        <f>3.71/5</f>
        <v>0.74199999999999999</v>
      </c>
      <c r="X5545" s="3">
        <v>2</v>
      </c>
      <c r="AB5545" s="18">
        <f t="shared" si="172"/>
        <v>2008</v>
      </c>
      <c r="AC5545" s="22">
        <f t="shared" si="173"/>
        <v>0.6306666666666666</v>
      </c>
    </row>
    <row r="5546" spans="1:29">
      <c r="A5546" s="8" t="s">
        <v>3290</v>
      </c>
      <c r="B5546" s="17" t="s">
        <v>7800</v>
      </c>
      <c r="C5546" s="13">
        <v>39643</v>
      </c>
      <c r="D5546" s="13" t="s">
        <v>8465</v>
      </c>
      <c r="E5546" s="10" t="s">
        <v>3291</v>
      </c>
      <c r="F5546" s="10" t="s">
        <v>3291</v>
      </c>
      <c r="G5546" s="11" t="s">
        <v>3290</v>
      </c>
      <c r="H5546" s="2" t="s">
        <v>67</v>
      </c>
      <c r="L5546" s="18">
        <v>1</v>
      </c>
      <c r="N5546" s="13">
        <v>40860</v>
      </c>
      <c r="P5546" s="18" t="s">
        <v>1107</v>
      </c>
      <c r="Q5546" s="18">
        <v>0</v>
      </c>
      <c r="V5546" s="22">
        <f>3.09/5</f>
        <v>0.61799999999999999</v>
      </c>
      <c r="W5546" s="14" t="s">
        <v>7777</v>
      </c>
      <c r="X5546" s="3">
        <v>3</v>
      </c>
      <c r="Z5546" s="23">
        <v>2</v>
      </c>
      <c r="AB5546" s="18">
        <f t="shared" si="172"/>
        <v>2008</v>
      </c>
      <c r="AC5546" s="22">
        <f t="shared" si="173"/>
        <v>0.60899999999999999</v>
      </c>
    </row>
    <row r="5547" spans="1:29" ht="25.5">
      <c r="A5547" s="8" t="s">
        <v>6075</v>
      </c>
      <c r="B5547" s="17" t="s">
        <v>7759</v>
      </c>
      <c r="C5547" s="13">
        <v>39637</v>
      </c>
      <c r="D5547" s="13" t="s">
        <v>8465</v>
      </c>
      <c r="E5547" s="10" t="s">
        <v>3310</v>
      </c>
      <c r="F5547" s="10" t="s">
        <v>4993</v>
      </c>
      <c r="G5547" s="11" t="s">
        <v>4994</v>
      </c>
      <c r="H5547" s="2" t="s">
        <v>69</v>
      </c>
      <c r="L5547" s="18">
        <v>1</v>
      </c>
      <c r="M5547" s="14" t="s">
        <v>8462</v>
      </c>
      <c r="N5547" s="13">
        <v>43590</v>
      </c>
      <c r="O5547" s="29">
        <v>14.99</v>
      </c>
      <c r="P5547" s="18" t="s">
        <v>14</v>
      </c>
      <c r="Q5547" s="18">
        <v>0</v>
      </c>
      <c r="U5547" s="22">
        <v>0.85</v>
      </c>
      <c r="V5547" s="22">
        <f>3.95/5</f>
        <v>0.79</v>
      </c>
      <c r="X5547" s="3">
        <v>3</v>
      </c>
      <c r="Z5547" s="23">
        <v>4.5</v>
      </c>
      <c r="AB5547" s="18">
        <f t="shared" si="172"/>
        <v>2008</v>
      </c>
      <c r="AC5547" s="22">
        <f t="shared" si="173"/>
        <v>0.7466666666666667</v>
      </c>
    </row>
    <row r="5548" spans="1:29" ht="25.5">
      <c r="A5548" s="8" t="s">
        <v>997</v>
      </c>
      <c r="B5548" s="17" t="s">
        <v>7741</v>
      </c>
      <c r="C5548" s="13">
        <v>39637</v>
      </c>
      <c r="D5548" s="13" t="s">
        <v>8465</v>
      </c>
      <c r="E5548" s="10" t="s">
        <v>1082</v>
      </c>
      <c r="F5548" s="10" t="s">
        <v>1521</v>
      </c>
      <c r="G5548" s="11" t="s">
        <v>126</v>
      </c>
      <c r="H5548" s="2" t="s">
        <v>1377</v>
      </c>
      <c r="L5548" s="18">
        <v>0</v>
      </c>
      <c r="Q5548" s="18">
        <v>0</v>
      </c>
      <c r="U5548" s="22">
        <v>0.76</v>
      </c>
      <c r="V5548" s="22">
        <f>3.92/5</f>
        <v>0.78400000000000003</v>
      </c>
      <c r="X5548" s="3">
        <v>3</v>
      </c>
      <c r="Z5548" s="23">
        <v>21.5</v>
      </c>
      <c r="AB5548" s="18">
        <f t="shared" si="172"/>
        <v>2008</v>
      </c>
      <c r="AC5548" s="22">
        <f t="shared" si="173"/>
        <v>0.71466666666666667</v>
      </c>
    </row>
    <row r="5549" spans="1:29" ht="30">
      <c r="A5549" s="8" t="s">
        <v>6237</v>
      </c>
      <c r="B5549" s="17" t="s">
        <v>7762</v>
      </c>
      <c r="C5549" s="13">
        <v>39633</v>
      </c>
      <c r="D5549" s="13" t="s">
        <v>8467</v>
      </c>
      <c r="E5549" s="10" t="s">
        <v>1290</v>
      </c>
      <c r="F5549" s="10" t="s">
        <v>6270</v>
      </c>
      <c r="G5549" s="11" t="s">
        <v>6237</v>
      </c>
      <c r="H5549" s="2" t="s">
        <v>78</v>
      </c>
      <c r="L5549" s="18">
        <v>0</v>
      </c>
      <c r="Q5549" s="18">
        <v>0</v>
      </c>
      <c r="U5549" s="22">
        <v>0.79</v>
      </c>
      <c r="V5549" s="22">
        <f>3.75/5</f>
        <v>0.75</v>
      </c>
      <c r="X5549" s="3">
        <v>3</v>
      </c>
      <c r="Z5549" s="23">
        <v>8</v>
      </c>
      <c r="AB5549" s="18">
        <f t="shared" si="172"/>
        <v>2008</v>
      </c>
      <c r="AC5549" s="22">
        <f t="shared" si="173"/>
        <v>0.71333333333333337</v>
      </c>
    </row>
    <row r="5550" spans="1:29">
      <c r="A5550" s="8" t="s">
        <v>2203</v>
      </c>
      <c r="B5550" s="17" t="s">
        <v>7748</v>
      </c>
      <c r="C5550" s="13">
        <v>39632</v>
      </c>
      <c r="D5550" s="13" t="s">
        <v>8463</v>
      </c>
      <c r="E5550" s="10" t="s">
        <v>1082</v>
      </c>
      <c r="F5550" s="10" t="s">
        <v>2313</v>
      </c>
      <c r="G5550" s="11" t="s">
        <v>2203</v>
      </c>
      <c r="H5550" s="2" t="s">
        <v>1061</v>
      </c>
      <c r="K5550" s="18">
        <v>2</v>
      </c>
      <c r="L5550" s="18">
        <v>0</v>
      </c>
      <c r="Q5550" s="18">
        <v>0</v>
      </c>
      <c r="V5550" s="22">
        <f>3.63/5</f>
        <v>0.72599999999999998</v>
      </c>
      <c r="X5550" s="3">
        <v>3</v>
      </c>
      <c r="Z5550" s="23">
        <v>4</v>
      </c>
      <c r="AB5550" s="18">
        <f t="shared" si="172"/>
        <v>2008</v>
      </c>
      <c r="AC5550" s="22">
        <f t="shared" si="173"/>
        <v>0.66300000000000003</v>
      </c>
    </row>
    <row r="5551" spans="1:29" ht="25.5">
      <c r="A5551" s="8" t="s">
        <v>14414</v>
      </c>
      <c r="B5551" s="17" t="s">
        <v>7759</v>
      </c>
      <c r="C5551" s="13">
        <v>39632</v>
      </c>
      <c r="D5551" s="13" t="s">
        <v>8463</v>
      </c>
      <c r="E5551" s="10" t="s">
        <v>455</v>
      </c>
      <c r="F5551" s="10" t="s">
        <v>455</v>
      </c>
      <c r="G5551" s="11" t="s">
        <v>14411</v>
      </c>
      <c r="H5551" s="2" t="s">
        <v>150</v>
      </c>
      <c r="K5551" s="18">
        <v>1</v>
      </c>
      <c r="L5551" s="18">
        <v>0</v>
      </c>
      <c r="Q5551" s="18">
        <v>0</v>
      </c>
      <c r="V5551" s="22">
        <f>4.07/5</f>
        <v>0.81400000000000006</v>
      </c>
      <c r="X5551" s="3">
        <v>2</v>
      </c>
      <c r="Y5551" s="18">
        <v>1</v>
      </c>
      <c r="AB5551" s="18">
        <f t="shared" si="172"/>
        <v>2008</v>
      </c>
      <c r="AC5551" s="22">
        <f t="shared" si="173"/>
        <v>0.60699999999999998</v>
      </c>
    </row>
    <row r="5552" spans="1:29" ht="25.5">
      <c r="A5552" s="8" t="s">
        <v>2227</v>
      </c>
      <c r="B5552" s="17" t="s">
        <v>7748</v>
      </c>
      <c r="C5552" s="13">
        <v>39630</v>
      </c>
      <c r="D5552" s="13" t="s">
        <v>8465</v>
      </c>
      <c r="E5552" s="10" t="s">
        <v>228</v>
      </c>
      <c r="F5552" s="10" t="s">
        <v>228</v>
      </c>
      <c r="G5552" s="11" t="s">
        <v>1542</v>
      </c>
      <c r="H5552" s="2" t="s">
        <v>1334</v>
      </c>
      <c r="L5552" s="18">
        <v>0</v>
      </c>
      <c r="Q5552" s="18">
        <v>0</v>
      </c>
      <c r="U5552" s="22">
        <v>0.81</v>
      </c>
      <c r="V5552" s="22">
        <f>4.2/5</f>
        <v>0.84000000000000008</v>
      </c>
      <c r="X5552" s="3">
        <v>3</v>
      </c>
      <c r="Z5552" s="23">
        <v>11</v>
      </c>
      <c r="AB5552" s="18">
        <f t="shared" si="172"/>
        <v>2008</v>
      </c>
      <c r="AC5552" s="22">
        <f t="shared" si="173"/>
        <v>0.75</v>
      </c>
    </row>
    <row r="5553" spans="1:29">
      <c r="A5553" s="8" t="s">
        <v>4180</v>
      </c>
      <c r="B5553" s="17" t="s">
        <v>7800</v>
      </c>
      <c r="C5553" s="13">
        <v>39626</v>
      </c>
      <c r="D5553" s="13" t="s">
        <v>8465</v>
      </c>
      <c r="E5553" s="10" t="s">
        <v>4181</v>
      </c>
      <c r="F5553" s="10" t="s">
        <v>4182</v>
      </c>
      <c r="G5553" s="11" t="s">
        <v>4183</v>
      </c>
      <c r="H5553" s="2" t="s">
        <v>80</v>
      </c>
      <c r="L5553" s="18">
        <v>1</v>
      </c>
      <c r="N5553" s="13">
        <v>41098</v>
      </c>
      <c r="O5553" s="29">
        <v>1.01</v>
      </c>
      <c r="P5553" s="18" t="s">
        <v>1107</v>
      </c>
      <c r="Q5553" s="18">
        <v>0</v>
      </c>
      <c r="U5553" s="22">
        <v>0.68</v>
      </c>
      <c r="V5553" s="22">
        <f>2.94/5</f>
        <v>0.58799999999999997</v>
      </c>
      <c r="W5553" s="14" t="s">
        <v>7777</v>
      </c>
      <c r="X5553" s="3">
        <v>2</v>
      </c>
      <c r="Z5553" s="23">
        <v>3.5</v>
      </c>
      <c r="AB5553" s="18">
        <f t="shared" si="172"/>
        <v>2008</v>
      </c>
      <c r="AC5553" s="22">
        <f t="shared" si="173"/>
        <v>0.55600000000000005</v>
      </c>
    </row>
    <row r="5554" spans="1:29" ht="38.25">
      <c r="A5554" s="8" t="s">
        <v>11907</v>
      </c>
      <c r="B5554" s="17" t="s">
        <v>7748</v>
      </c>
      <c r="C5554" s="13">
        <v>39625</v>
      </c>
      <c r="D5554" s="13" t="s">
        <v>8463</v>
      </c>
      <c r="E5554" s="10" t="s">
        <v>10074</v>
      </c>
      <c r="F5554" s="10" t="s">
        <v>1374</v>
      </c>
      <c r="G5554" s="11" t="s">
        <v>11908</v>
      </c>
      <c r="H5554" s="2" t="s">
        <v>1334</v>
      </c>
      <c r="K5554" s="18">
        <v>2</v>
      </c>
      <c r="L5554" s="18">
        <v>0</v>
      </c>
      <c r="Q5554" s="18">
        <v>0</v>
      </c>
      <c r="V5554" s="22">
        <f>4.22/5</f>
        <v>0.84399999999999997</v>
      </c>
      <c r="X5554" s="3">
        <v>2</v>
      </c>
      <c r="AB5554" s="18">
        <f t="shared" si="172"/>
        <v>2008</v>
      </c>
      <c r="AC5554" s="22">
        <f t="shared" si="173"/>
        <v>0.622</v>
      </c>
    </row>
    <row r="5555" spans="1:29" ht="25.5">
      <c r="A5555" s="8" t="s">
        <v>12957</v>
      </c>
      <c r="B5555" s="17" t="s">
        <v>7765</v>
      </c>
      <c r="C5555" s="13">
        <v>39625</v>
      </c>
      <c r="D5555" s="13" t="s">
        <v>8463</v>
      </c>
      <c r="E5555" s="10" t="s">
        <v>1509</v>
      </c>
      <c r="F5555" s="10" t="s">
        <v>12958</v>
      </c>
      <c r="G5555" s="11" t="s">
        <v>1395</v>
      </c>
      <c r="H5555" s="2" t="s">
        <v>1204</v>
      </c>
      <c r="K5555" s="18">
        <v>2</v>
      </c>
      <c r="L5555" s="18">
        <v>0</v>
      </c>
      <c r="Q5555" s="18">
        <v>0</v>
      </c>
      <c r="V5555" s="22">
        <f>3.79/5</f>
        <v>0.75800000000000001</v>
      </c>
      <c r="X5555" s="3">
        <v>2</v>
      </c>
      <c r="AB5555" s="18">
        <f t="shared" si="172"/>
        <v>2008</v>
      </c>
      <c r="AC5555" s="22">
        <f t="shared" si="173"/>
        <v>0.57899999999999996</v>
      </c>
    </row>
    <row r="5556" spans="1:29" ht="25.5">
      <c r="A5556" s="8" t="s">
        <v>2342</v>
      </c>
      <c r="B5556" s="17" t="s">
        <v>7748</v>
      </c>
      <c r="C5556" s="13">
        <v>39623</v>
      </c>
      <c r="D5556" s="13" t="s">
        <v>8465</v>
      </c>
      <c r="E5556" s="10" t="s">
        <v>73</v>
      </c>
      <c r="F5556" s="10" t="s">
        <v>73</v>
      </c>
      <c r="G5556" s="11" t="s">
        <v>2312</v>
      </c>
      <c r="H5556" s="2" t="s">
        <v>171</v>
      </c>
      <c r="L5556" s="18">
        <v>0</v>
      </c>
      <c r="Q5556" s="18">
        <v>0</v>
      </c>
      <c r="U5556" s="22">
        <v>0.59</v>
      </c>
      <c r="V5556" s="22">
        <f>4.16/5</f>
        <v>0.83200000000000007</v>
      </c>
      <c r="X5556" s="3">
        <v>3</v>
      </c>
      <c r="Z5556" s="23">
        <v>18.5</v>
      </c>
      <c r="AB5556" s="18">
        <f t="shared" si="172"/>
        <v>2008</v>
      </c>
      <c r="AC5556" s="22">
        <f t="shared" si="173"/>
        <v>0.67400000000000004</v>
      </c>
    </row>
    <row r="5557" spans="1:29">
      <c r="A5557" s="8" t="s">
        <v>11668</v>
      </c>
      <c r="B5557" s="17" t="s">
        <v>7765</v>
      </c>
      <c r="C5557" s="13">
        <v>39623</v>
      </c>
      <c r="D5557" s="13" t="s">
        <v>8465</v>
      </c>
      <c r="E5557" s="10" t="s">
        <v>228</v>
      </c>
      <c r="F5557" s="10" t="s">
        <v>463</v>
      </c>
      <c r="H5557" s="2" t="s">
        <v>75</v>
      </c>
      <c r="L5557" s="18">
        <v>0</v>
      </c>
      <c r="Q5557" s="18">
        <v>0</v>
      </c>
      <c r="U5557" s="22">
        <v>0.46</v>
      </c>
      <c r="V5557" s="22">
        <f>3.57/5</f>
        <v>0.71399999999999997</v>
      </c>
      <c r="X5557" s="3">
        <v>2</v>
      </c>
      <c r="Y5557" s="18">
        <v>1</v>
      </c>
      <c r="Z5557" s="23">
        <v>54.5</v>
      </c>
      <c r="AB5557" s="18">
        <f t="shared" si="172"/>
        <v>2008</v>
      </c>
      <c r="AC5557" s="22">
        <f t="shared" si="173"/>
        <v>0.52466666666666661</v>
      </c>
    </row>
    <row r="5558" spans="1:29">
      <c r="A5558" s="8" t="s">
        <v>1867</v>
      </c>
      <c r="B5558" s="17" t="s">
        <v>7800</v>
      </c>
      <c r="C5558" s="13">
        <v>39622</v>
      </c>
      <c r="D5558" s="13" t="s">
        <v>8465</v>
      </c>
      <c r="E5558" s="10" t="s">
        <v>311</v>
      </c>
      <c r="F5558" s="10" t="s">
        <v>3162</v>
      </c>
      <c r="G5558" s="11" t="s">
        <v>1867</v>
      </c>
      <c r="H5558" s="2" t="s">
        <v>1061</v>
      </c>
      <c r="L5558" s="18">
        <v>1</v>
      </c>
      <c r="N5558" s="13">
        <v>41981</v>
      </c>
      <c r="P5558" s="18" t="s">
        <v>1107</v>
      </c>
      <c r="Q5558" s="18">
        <v>0</v>
      </c>
      <c r="U5558" s="22">
        <v>0.54</v>
      </c>
      <c r="V5558" s="22">
        <f>2.85/5</f>
        <v>0.57000000000000006</v>
      </c>
      <c r="W5558" s="14" t="s">
        <v>7777</v>
      </c>
      <c r="X5558" s="3">
        <v>3</v>
      </c>
      <c r="Z5558" s="23">
        <v>9</v>
      </c>
      <c r="AB5558" s="18">
        <f t="shared" si="172"/>
        <v>2008</v>
      </c>
      <c r="AC5558" s="22">
        <f t="shared" si="173"/>
        <v>0.56999999999999995</v>
      </c>
    </row>
    <row r="5559" spans="1:29">
      <c r="A5559" s="8" t="s">
        <v>13176</v>
      </c>
      <c r="B5559" s="17" t="s">
        <v>7742</v>
      </c>
      <c r="C5559" s="13">
        <v>39622</v>
      </c>
      <c r="D5559" s="13" t="s">
        <v>8465</v>
      </c>
      <c r="E5559" s="10" t="s">
        <v>1055</v>
      </c>
      <c r="F5559" s="10" t="s">
        <v>1055</v>
      </c>
      <c r="H5559" s="2" t="s">
        <v>21</v>
      </c>
      <c r="L5559" s="18">
        <v>0</v>
      </c>
      <c r="Q5559" s="18">
        <v>0</v>
      </c>
      <c r="U5559" s="22">
        <v>0.69</v>
      </c>
      <c r="V5559" s="22">
        <f>3.71/5</f>
        <v>0.74199999999999999</v>
      </c>
      <c r="X5559" s="3">
        <v>2</v>
      </c>
      <c r="AB5559" s="18">
        <f t="shared" si="172"/>
        <v>2008</v>
      </c>
      <c r="AC5559" s="22">
        <f t="shared" si="173"/>
        <v>0.61066666666666658</v>
      </c>
    </row>
    <row r="5560" spans="1:29" ht="30">
      <c r="A5560" s="8" t="s">
        <v>8898</v>
      </c>
      <c r="B5560" s="17" t="s">
        <v>7762</v>
      </c>
      <c r="C5560" s="13">
        <v>39618</v>
      </c>
      <c r="D5560" s="13" t="s">
        <v>8463</v>
      </c>
      <c r="E5560" s="10" t="s">
        <v>3568</v>
      </c>
      <c r="F5560" s="10" t="s">
        <v>470</v>
      </c>
      <c r="G5560" s="11" t="s">
        <v>299</v>
      </c>
      <c r="H5560" s="2" t="s">
        <v>75</v>
      </c>
      <c r="K5560" s="18">
        <v>2</v>
      </c>
      <c r="L5560" s="18">
        <v>0</v>
      </c>
      <c r="Q5560" s="18">
        <v>0</v>
      </c>
      <c r="V5560" s="22">
        <f>4.19/5</f>
        <v>0.83800000000000008</v>
      </c>
      <c r="X5560" s="3">
        <v>3</v>
      </c>
      <c r="Z5560" s="23">
        <v>40</v>
      </c>
      <c r="AB5560" s="18">
        <f t="shared" si="172"/>
        <v>2008</v>
      </c>
      <c r="AC5560" s="22">
        <f t="shared" si="173"/>
        <v>0.71900000000000008</v>
      </c>
    </row>
    <row r="5561" spans="1:29" ht="30">
      <c r="A5561" s="8" t="s">
        <v>5831</v>
      </c>
      <c r="B5561" s="17" t="s">
        <v>7762</v>
      </c>
      <c r="C5561" s="13">
        <v>39616</v>
      </c>
      <c r="D5561" s="13" t="s">
        <v>8465</v>
      </c>
      <c r="E5561" s="10" t="s">
        <v>1290</v>
      </c>
      <c r="F5561" s="10" t="s">
        <v>5881</v>
      </c>
      <c r="G5561" s="11" t="s">
        <v>5853</v>
      </c>
      <c r="H5561" s="2" t="s">
        <v>1040</v>
      </c>
      <c r="L5561" s="18">
        <v>0</v>
      </c>
      <c r="Q5561" s="18">
        <v>0</v>
      </c>
      <c r="U5561" s="22">
        <v>0.74</v>
      </c>
      <c r="V5561" s="22">
        <f>3.78/5</f>
        <v>0.75600000000000001</v>
      </c>
      <c r="X5561" s="3">
        <v>4</v>
      </c>
      <c r="Z5561" s="23">
        <v>8</v>
      </c>
      <c r="AB5561" s="18">
        <f t="shared" si="172"/>
        <v>2008</v>
      </c>
      <c r="AC5561" s="22">
        <f t="shared" si="173"/>
        <v>0.76533333333333342</v>
      </c>
    </row>
    <row r="5562" spans="1:29">
      <c r="A5562" s="8" t="s">
        <v>13302</v>
      </c>
      <c r="B5562" s="17" t="s">
        <v>7748</v>
      </c>
      <c r="C5562" s="13">
        <v>39616</v>
      </c>
      <c r="D5562" s="13" t="s">
        <v>8465</v>
      </c>
      <c r="E5562" s="10" t="s">
        <v>1082</v>
      </c>
      <c r="F5562" s="10" t="s">
        <v>54</v>
      </c>
      <c r="G5562" s="11" t="s">
        <v>13303</v>
      </c>
      <c r="H5562" s="2" t="s">
        <v>143</v>
      </c>
      <c r="L5562" s="18">
        <v>0</v>
      </c>
      <c r="Q5562" s="18">
        <v>0</v>
      </c>
      <c r="U5562" s="22">
        <v>0.61</v>
      </c>
      <c r="V5562" s="22">
        <f>3.38/5</f>
        <v>0.67599999999999993</v>
      </c>
      <c r="X5562" s="3">
        <v>2</v>
      </c>
      <c r="AB5562" s="18">
        <f t="shared" si="172"/>
        <v>2008</v>
      </c>
      <c r="AC5562" s="22">
        <f t="shared" si="173"/>
        <v>0.56199999999999994</v>
      </c>
    </row>
    <row r="5563" spans="1:29" ht="25.5">
      <c r="A5563" s="8" t="s">
        <v>2240</v>
      </c>
      <c r="B5563" s="17" t="s">
        <v>7748</v>
      </c>
      <c r="C5563" s="13">
        <v>39612</v>
      </c>
      <c r="D5563" s="13" t="s">
        <v>8465</v>
      </c>
      <c r="E5563" s="10" t="s">
        <v>228</v>
      </c>
      <c r="F5563" s="10" t="s">
        <v>228</v>
      </c>
      <c r="G5563" s="11" t="s">
        <v>2239</v>
      </c>
      <c r="H5563" s="2" t="s">
        <v>1377</v>
      </c>
      <c r="L5563" s="18">
        <v>0</v>
      </c>
      <c r="Q5563" s="18">
        <v>0</v>
      </c>
      <c r="U5563" s="22">
        <v>0.82</v>
      </c>
      <c r="V5563" s="22">
        <f>4.03/5</f>
        <v>0.80600000000000005</v>
      </c>
      <c r="X5563" s="3">
        <v>4</v>
      </c>
      <c r="Z5563" s="23">
        <v>47.5</v>
      </c>
      <c r="AB5563" s="18">
        <f t="shared" si="172"/>
        <v>2008</v>
      </c>
      <c r="AC5563" s="22">
        <f t="shared" si="173"/>
        <v>0.80866666666666676</v>
      </c>
    </row>
    <row r="5564" spans="1:29" ht="25.5">
      <c r="A5564" s="8" t="s">
        <v>5974</v>
      </c>
      <c r="B5564" s="17" t="s">
        <v>7759</v>
      </c>
      <c r="C5564" s="13">
        <v>39611</v>
      </c>
      <c r="D5564" s="13" t="s">
        <v>8465</v>
      </c>
      <c r="E5564" s="10" t="s">
        <v>72</v>
      </c>
      <c r="F5564" s="10" t="s">
        <v>1940</v>
      </c>
      <c r="G5564" s="11" t="s">
        <v>220</v>
      </c>
      <c r="H5564" s="2" t="s">
        <v>245</v>
      </c>
      <c r="L5564" s="18">
        <v>1</v>
      </c>
      <c r="M5564" s="14" t="s">
        <v>8462</v>
      </c>
      <c r="P5564" s="18" t="s">
        <v>14</v>
      </c>
      <c r="Q5564" s="18">
        <v>0</v>
      </c>
      <c r="U5564" s="22">
        <v>0.94</v>
      </c>
      <c r="V5564" s="22">
        <f>4.54/5</f>
        <v>0.90800000000000003</v>
      </c>
      <c r="X5564" s="3">
        <v>4</v>
      </c>
      <c r="Z5564" s="23">
        <v>18.5</v>
      </c>
      <c r="AB5564" s="18">
        <f t="shared" si="172"/>
        <v>2008</v>
      </c>
      <c r="AC5564" s="22">
        <f t="shared" si="173"/>
        <v>0.8826666666666666</v>
      </c>
    </row>
    <row r="5565" spans="1:29" ht="25.5">
      <c r="A5565" s="8" t="s">
        <v>2149</v>
      </c>
      <c r="B5565" s="17" t="s">
        <v>7748</v>
      </c>
      <c r="C5565" s="13">
        <v>39610</v>
      </c>
      <c r="D5565" s="13" t="s">
        <v>8465</v>
      </c>
      <c r="E5565" s="10" t="s">
        <v>1519</v>
      </c>
      <c r="F5565" s="10" t="s">
        <v>2290</v>
      </c>
      <c r="G5565" s="11" t="s">
        <v>2291</v>
      </c>
      <c r="H5565" s="2" t="s">
        <v>67</v>
      </c>
      <c r="L5565" s="18">
        <v>0</v>
      </c>
      <c r="Q5565" s="18">
        <v>0</v>
      </c>
      <c r="U5565" s="22">
        <v>0.48</v>
      </c>
      <c r="V5565" s="22">
        <f>3.27/5</f>
        <v>0.65400000000000003</v>
      </c>
      <c r="X5565" s="3">
        <v>3</v>
      </c>
      <c r="AB5565" s="18">
        <f t="shared" si="172"/>
        <v>2008</v>
      </c>
      <c r="AC5565" s="22">
        <f t="shared" si="173"/>
        <v>0.57799999999999996</v>
      </c>
    </row>
    <row r="5566" spans="1:29">
      <c r="A5566" s="8" t="s">
        <v>2216</v>
      </c>
      <c r="B5566" s="17" t="s">
        <v>7748</v>
      </c>
      <c r="C5566" s="13">
        <v>39609</v>
      </c>
      <c r="D5566" s="13" t="s">
        <v>8465</v>
      </c>
      <c r="E5566" s="10" t="s">
        <v>1870</v>
      </c>
      <c r="F5566" s="10" t="s">
        <v>2316</v>
      </c>
      <c r="H5566" s="2" t="s">
        <v>78</v>
      </c>
      <c r="L5566" s="18">
        <v>0</v>
      </c>
      <c r="Q5566" s="18">
        <v>0</v>
      </c>
      <c r="U5566" s="22">
        <v>0.79</v>
      </c>
      <c r="V5566" s="22">
        <f>4/5</f>
        <v>0.8</v>
      </c>
      <c r="X5566" s="3">
        <v>3</v>
      </c>
      <c r="Z5566" s="23">
        <v>6.5</v>
      </c>
      <c r="AB5566" s="18">
        <f t="shared" si="172"/>
        <v>2008</v>
      </c>
      <c r="AC5566" s="22">
        <f t="shared" si="173"/>
        <v>0.73</v>
      </c>
    </row>
    <row r="5567" spans="1:29" ht="25.5">
      <c r="A5567" s="8" t="s">
        <v>3778</v>
      </c>
      <c r="B5567" s="17" t="s">
        <v>7800</v>
      </c>
      <c r="C5567" s="13">
        <v>39605</v>
      </c>
      <c r="D5567" s="13" t="s">
        <v>8465</v>
      </c>
      <c r="E5567" s="10" t="s">
        <v>3072</v>
      </c>
      <c r="F5567" s="10" t="s">
        <v>3072</v>
      </c>
      <c r="G5567" s="11" t="s">
        <v>3777</v>
      </c>
      <c r="H5567" s="2" t="s">
        <v>67</v>
      </c>
      <c r="L5567" s="18">
        <v>1</v>
      </c>
      <c r="N5567" s="13">
        <v>42050</v>
      </c>
      <c r="P5567" s="18" t="s">
        <v>1107</v>
      </c>
      <c r="Q5567" s="18">
        <v>0</v>
      </c>
      <c r="U5567" s="22">
        <v>0.56999999999999995</v>
      </c>
      <c r="V5567" s="22">
        <f>3.71/5</f>
        <v>0.74199999999999999</v>
      </c>
      <c r="W5567" s="14" t="s">
        <v>7777</v>
      </c>
      <c r="X5567" s="3">
        <v>2</v>
      </c>
      <c r="Z5567" s="23">
        <v>7.5</v>
      </c>
      <c r="AB5567" s="18">
        <f t="shared" si="172"/>
        <v>2008</v>
      </c>
      <c r="AC5567" s="22">
        <f t="shared" si="173"/>
        <v>0.57066666666666654</v>
      </c>
    </row>
    <row r="5568" spans="1:29">
      <c r="A5568" s="8" t="s">
        <v>7159</v>
      </c>
      <c r="B5568" s="17" t="s">
        <v>7800</v>
      </c>
      <c r="C5568" s="13">
        <v>39604</v>
      </c>
      <c r="D5568" s="13" t="s">
        <v>8465</v>
      </c>
      <c r="E5568" s="10" t="s">
        <v>7231</v>
      </c>
      <c r="F5568" s="10" t="s">
        <v>7231</v>
      </c>
      <c r="H5568" s="2" t="s">
        <v>1061</v>
      </c>
      <c r="L5568" s="18">
        <v>0</v>
      </c>
      <c r="Q5568" s="18">
        <v>0</v>
      </c>
      <c r="U5568" s="22">
        <v>0.85</v>
      </c>
      <c r="V5568" s="22">
        <f>4.26/5</f>
        <v>0.85199999999999998</v>
      </c>
      <c r="W5568" s="14" t="s">
        <v>5674</v>
      </c>
      <c r="X5568" s="3">
        <v>4</v>
      </c>
      <c r="Z5568" s="23">
        <v>5</v>
      </c>
      <c r="AB5568" s="18">
        <f t="shared" si="172"/>
        <v>2008</v>
      </c>
      <c r="AC5568" s="22">
        <f t="shared" si="173"/>
        <v>0.83399999999999996</v>
      </c>
    </row>
    <row r="5569" spans="1:29" ht="30">
      <c r="A5569" s="8" t="s">
        <v>15466</v>
      </c>
      <c r="B5569" s="17" t="s">
        <v>7759</v>
      </c>
      <c r="C5569" s="13">
        <v>39604</v>
      </c>
      <c r="D5569" s="13" t="s">
        <v>8465</v>
      </c>
      <c r="E5569" s="10" t="s">
        <v>73</v>
      </c>
      <c r="F5569" s="10" t="s">
        <v>1970</v>
      </c>
      <c r="G5569" s="11" t="s">
        <v>2663</v>
      </c>
      <c r="H5569" s="2" t="s">
        <v>147</v>
      </c>
      <c r="L5569" s="18">
        <v>0</v>
      </c>
      <c r="Q5569" s="18">
        <v>0</v>
      </c>
      <c r="U5569" s="22">
        <v>0.66</v>
      </c>
      <c r="V5569" s="22">
        <f>3.34/5</f>
        <v>0.66799999999999993</v>
      </c>
      <c r="X5569" s="3">
        <v>2</v>
      </c>
      <c r="Y5569" s="18">
        <v>1</v>
      </c>
      <c r="Z5569" s="23">
        <v>1</v>
      </c>
      <c r="AB5569" s="18">
        <f t="shared" ref="AB5569:AB5632" si="174">IFERROR(YEAR(C5569), "Early Access")</f>
        <v>2008</v>
      </c>
      <c r="AC5569" s="22">
        <f t="shared" ref="AC5569:AC5632" si="175">AVERAGE(T5569, U5569, V5569, IF(ISBLANK(X5569), X5569, X5569/5))</f>
        <v>0.57599999999999996</v>
      </c>
    </row>
    <row r="5570" spans="1:29" ht="25.5">
      <c r="A5570" s="8" t="s">
        <v>2270</v>
      </c>
      <c r="B5570" s="17" t="s">
        <v>7748</v>
      </c>
      <c r="C5570" s="13">
        <v>39602</v>
      </c>
      <c r="D5570" s="13" t="s">
        <v>8465</v>
      </c>
      <c r="E5570" s="10" t="s">
        <v>228</v>
      </c>
      <c r="F5570" s="10" t="s">
        <v>1897</v>
      </c>
      <c r="G5570" s="11" t="s">
        <v>1898</v>
      </c>
      <c r="H5570" s="2" t="s">
        <v>171</v>
      </c>
      <c r="L5570" s="18">
        <v>0</v>
      </c>
      <c r="Q5570" s="18">
        <v>0</v>
      </c>
      <c r="U5570" s="22">
        <v>0.74</v>
      </c>
      <c r="V5570" s="22">
        <f>3.84/5</f>
        <v>0.76800000000000002</v>
      </c>
      <c r="X5570" s="3">
        <v>4</v>
      </c>
      <c r="Z5570" s="23">
        <v>14</v>
      </c>
      <c r="AB5570" s="18">
        <f t="shared" si="174"/>
        <v>2008</v>
      </c>
      <c r="AC5570" s="22">
        <f t="shared" si="175"/>
        <v>0.76933333333333331</v>
      </c>
    </row>
    <row r="5571" spans="1:29">
      <c r="A5571" s="8" t="s">
        <v>4775</v>
      </c>
      <c r="B5571" s="17" t="s">
        <v>7800</v>
      </c>
      <c r="C5571" s="13">
        <v>39602</v>
      </c>
      <c r="D5571" s="13" t="s">
        <v>8465</v>
      </c>
      <c r="E5571" s="10" t="s">
        <v>1513</v>
      </c>
      <c r="F5571" s="10" t="s">
        <v>1513</v>
      </c>
      <c r="G5571" s="11" t="s">
        <v>4036</v>
      </c>
      <c r="H5571" s="2" t="s">
        <v>150</v>
      </c>
      <c r="L5571" s="18">
        <v>1</v>
      </c>
      <c r="N5571" s="13">
        <v>41961</v>
      </c>
      <c r="P5571" s="18" t="s">
        <v>1107</v>
      </c>
      <c r="Q5571" s="18">
        <v>0</v>
      </c>
      <c r="U5571" s="22">
        <v>0.88</v>
      </c>
      <c r="V5571" s="22">
        <f>3.9/5</f>
        <v>0.78</v>
      </c>
      <c r="W5571" s="14" t="s">
        <v>7777</v>
      </c>
      <c r="X5571" s="3">
        <v>3</v>
      </c>
      <c r="Z5571" s="23">
        <v>21</v>
      </c>
      <c r="AB5571" s="18">
        <f t="shared" si="174"/>
        <v>2008</v>
      </c>
      <c r="AC5571" s="22">
        <f t="shared" si="175"/>
        <v>0.75333333333333341</v>
      </c>
    </row>
    <row r="5572" spans="1:29">
      <c r="A5572" s="8" t="s">
        <v>8431</v>
      </c>
      <c r="B5572" s="17" t="s">
        <v>7758</v>
      </c>
      <c r="C5572" s="13">
        <v>39602</v>
      </c>
      <c r="D5572" s="13" t="s">
        <v>8465</v>
      </c>
      <c r="E5572" s="10" t="s">
        <v>6500</v>
      </c>
      <c r="F5572" s="10" t="s">
        <v>3113</v>
      </c>
      <c r="H5572" s="2" t="s">
        <v>75</v>
      </c>
      <c r="L5572" s="18">
        <v>0</v>
      </c>
      <c r="Q5572" s="18">
        <v>0</v>
      </c>
      <c r="U5572" s="22">
        <v>0.64</v>
      </c>
      <c r="V5572" s="22">
        <f>3.5/5</f>
        <v>0.7</v>
      </c>
      <c r="X5572" s="3">
        <v>3</v>
      </c>
      <c r="AB5572" s="18">
        <f t="shared" si="174"/>
        <v>2008</v>
      </c>
      <c r="AC5572" s="22">
        <f t="shared" si="175"/>
        <v>0.64666666666666661</v>
      </c>
    </row>
    <row r="5573" spans="1:29" ht="30">
      <c r="A5573" s="8" t="s">
        <v>11036</v>
      </c>
      <c r="B5573" s="17" t="s">
        <v>7762</v>
      </c>
      <c r="C5573" s="13">
        <v>39602</v>
      </c>
      <c r="D5573" s="13" t="s">
        <v>8465</v>
      </c>
      <c r="E5573" s="10" t="s">
        <v>2908</v>
      </c>
      <c r="F5573" s="10" t="s">
        <v>10091</v>
      </c>
      <c r="G5573" s="11" t="s">
        <v>11029</v>
      </c>
      <c r="H5573" s="2" t="s">
        <v>255</v>
      </c>
      <c r="L5573" s="18">
        <v>0</v>
      </c>
      <c r="Q5573" s="18">
        <v>0</v>
      </c>
      <c r="U5573" s="22">
        <v>0.82</v>
      </c>
      <c r="V5573" s="22">
        <f>4.2/5</f>
        <v>0.84000000000000008</v>
      </c>
      <c r="X5573" s="3">
        <v>2</v>
      </c>
      <c r="Z5573" s="23">
        <v>7</v>
      </c>
      <c r="AB5573" s="18">
        <f t="shared" si="174"/>
        <v>2008</v>
      </c>
      <c r="AC5573" s="22">
        <f t="shared" si="175"/>
        <v>0.68666666666666665</v>
      </c>
    </row>
    <row r="5574" spans="1:29" ht="38.25">
      <c r="A5574" s="8" t="s">
        <v>4302</v>
      </c>
      <c r="B5574" s="17" t="s">
        <v>7800</v>
      </c>
      <c r="C5574" s="13">
        <v>39602</v>
      </c>
      <c r="D5574" s="13" t="s">
        <v>8465</v>
      </c>
      <c r="E5574" s="10" t="s">
        <v>1284</v>
      </c>
      <c r="F5574" s="10" t="s">
        <v>1309</v>
      </c>
      <c r="G5574" s="11" t="s">
        <v>4301</v>
      </c>
      <c r="H5574" s="2" t="s">
        <v>80</v>
      </c>
      <c r="L5574" s="18">
        <v>1</v>
      </c>
      <c r="N5574" s="13">
        <v>43643</v>
      </c>
      <c r="O5574" s="29">
        <v>4.99</v>
      </c>
      <c r="P5574" s="18" t="s">
        <v>1107</v>
      </c>
      <c r="Q5574" s="18">
        <v>0</v>
      </c>
      <c r="U5574" s="22">
        <v>0.77</v>
      </c>
      <c r="V5574" s="22">
        <f>3.79/5</f>
        <v>0.75800000000000001</v>
      </c>
      <c r="W5574" s="14" t="s">
        <v>7777</v>
      </c>
      <c r="X5574" s="3">
        <v>2</v>
      </c>
      <c r="Z5574" s="23">
        <v>9.5</v>
      </c>
      <c r="AB5574" s="18">
        <f t="shared" si="174"/>
        <v>2008</v>
      </c>
      <c r="AC5574" s="22">
        <f t="shared" si="175"/>
        <v>0.64266666666666661</v>
      </c>
    </row>
    <row r="5575" spans="1:29" ht="30">
      <c r="A5575" s="8" t="s">
        <v>9666</v>
      </c>
      <c r="B5575" s="17" t="s">
        <v>7748</v>
      </c>
      <c r="C5575" s="13">
        <v>39598</v>
      </c>
      <c r="D5575" s="13" t="s">
        <v>8465</v>
      </c>
      <c r="E5575" s="10" t="s">
        <v>9667</v>
      </c>
      <c r="F5575" s="10" t="s">
        <v>9668</v>
      </c>
      <c r="H5575" s="2" t="s">
        <v>147</v>
      </c>
      <c r="L5575" s="18">
        <v>0</v>
      </c>
      <c r="Q5575" s="18">
        <v>0</v>
      </c>
      <c r="U5575" s="22">
        <v>0.64</v>
      </c>
      <c r="V5575" s="22">
        <f>3.23/5</f>
        <v>0.64600000000000002</v>
      </c>
      <c r="X5575" s="3">
        <v>3</v>
      </c>
      <c r="Z5575" s="23">
        <v>3</v>
      </c>
      <c r="AB5575" s="18">
        <f t="shared" si="174"/>
        <v>2008</v>
      </c>
      <c r="AC5575" s="22">
        <f t="shared" si="175"/>
        <v>0.62866666666666671</v>
      </c>
    </row>
    <row r="5576" spans="1:29">
      <c r="A5576" s="8" t="s">
        <v>9058</v>
      </c>
      <c r="B5576" s="17" t="s">
        <v>7748</v>
      </c>
      <c r="C5576" s="13">
        <v>39597</v>
      </c>
      <c r="D5576" s="13" t="s">
        <v>8463</v>
      </c>
      <c r="E5576" s="10" t="s">
        <v>1082</v>
      </c>
      <c r="F5576" s="10" t="s">
        <v>1082</v>
      </c>
      <c r="G5576" s="11" t="s">
        <v>812</v>
      </c>
      <c r="H5576" s="2" t="s">
        <v>75</v>
      </c>
      <c r="K5576" s="18">
        <v>0</v>
      </c>
      <c r="L5576" s="18">
        <v>0</v>
      </c>
      <c r="Q5576" s="18">
        <v>0</v>
      </c>
      <c r="V5576" s="22">
        <f>3.65/5</f>
        <v>0.73</v>
      </c>
      <c r="X5576" s="3">
        <v>3</v>
      </c>
      <c r="AB5576" s="18">
        <f t="shared" si="174"/>
        <v>2008</v>
      </c>
      <c r="AC5576" s="22">
        <f t="shared" si="175"/>
        <v>0.66500000000000004</v>
      </c>
    </row>
    <row r="5577" spans="1:29">
      <c r="A5577" s="8" t="s">
        <v>10379</v>
      </c>
      <c r="B5577" s="17" t="s">
        <v>7748</v>
      </c>
      <c r="C5577" s="13">
        <v>39597</v>
      </c>
      <c r="D5577" s="13" t="s">
        <v>8463</v>
      </c>
      <c r="E5577" s="10" t="s">
        <v>455</v>
      </c>
      <c r="F5577" s="10" t="s">
        <v>63</v>
      </c>
      <c r="G5577" s="11" t="s">
        <v>1524</v>
      </c>
      <c r="H5577" s="2" t="s">
        <v>6467</v>
      </c>
      <c r="K5577" s="18">
        <v>0</v>
      </c>
      <c r="L5577" s="18">
        <v>0</v>
      </c>
      <c r="Q5577" s="18">
        <v>0</v>
      </c>
      <c r="V5577" s="22">
        <f>3.65/5</f>
        <v>0.73</v>
      </c>
      <c r="X5577" s="3">
        <v>2</v>
      </c>
      <c r="AB5577" s="18">
        <f t="shared" si="174"/>
        <v>2008</v>
      </c>
      <c r="AC5577" s="22">
        <f t="shared" si="175"/>
        <v>0.56499999999999995</v>
      </c>
    </row>
    <row r="5578" spans="1:29">
      <c r="A5578" s="8" t="s">
        <v>1162</v>
      </c>
      <c r="B5578" s="17" t="s">
        <v>7800</v>
      </c>
      <c r="C5578" s="13">
        <v>39596</v>
      </c>
      <c r="D5578" s="13" t="s">
        <v>8465</v>
      </c>
      <c r="E5578" s="10" t="s">
        <v>231</v>
      </c>
      <c r="F5578" s="10" t="s">
        <v>1161</v>
      </c>
      <c r="G5578" s="11" t="s">
        <v>1162</v>
      </c>
      <c r="H5578" s="2" t="s">
        <v>171</v>
      </c>
      <c r="L5578" s="18">
        <v>1</v>
      </c>
      <c r="N5578" s="13">
        <v>41760</v>
      </c>
      <c r="O5578" s="29">
        <v>2.5</v>
      </c>
      <c r="P5578" s="18" t="s">
        <v>1107</v>
      </c>
      <c r="Q5578" s="18">
        <v>0</v>
      </c>
      <c r="U5578" s="22">
        <v>0.9</v>
      </c>
      <c r="V5578" s="22">
        <f>4.13/5</f>
        <v>0.82599999999999996</v>
      </c>
      <c r="W5578" s="14" t="s">
        <v>7796</v>
      </c>
      <c r="X5578" s="3">
        <v>2</v>
      </c>
      <c r="Z5578" s="23">
        <v>17</v>
      </c>
      <c r="AB5578" s="18">
        <f t="shared" si="174"/>
        <v>2008</v>
      </c>
      <c r="AC5578" s="22">
        <f t="shared" si="175"/>
        <v>0.70866666666666667</v>
      </c>
    </row>
    <row r="5579" spans="1:29" ht="25.5">
      <c r="A5579" s="8" t="s">
        <v>15669</v>
      </c>
      <c r="B5579" s="17" t="s">
        <v>7748</v>
      </c>
      <c r="C5579" s="13">
        <v>39595</v>
      </c>
      <c r="D5579" s="13" t="s">
        <v>8465</v>
      </c>
      <c r="E5579" s="10" t="s">
        <v>1519</v>
      </c>
      <c r="F5579" s="10" t="s">
        <v>479</v>
      </c>
      <c r="G5579" s="11" t="s">
        <v>226</v>
      </c>
      <c r="H5579" s="2" t="s">
        <v>255</v>
      </c>
      <c r="L5579" s="18">
        <v>0</v>
      </c>
      <c r="Q5579" s="18">
        <v>0</v>
      </c>
      <c r="U5579" s="22">
        <v>0.65</v>
      </c>
      <c r="V5579" s="22">
        <f>3.73/5</f>
        <v>0.746</v>
      </c>
      <c r="X5579" s="3">
        <v>2</v>
      </c>
      <c r="Z5579" s="23">
        <f>41/60</f>
        <v>0.68333333333333335</v>
      </c>
      <c r="AB5579" s="18">
        <f t="shared" si="174"/>
        <v>2008</v>
      </c>
      <c r="AC5579" s="22">
        <f t="shared" si="175"/>
        <v>0.59866666666666657</v>
      </c>
    </row>
    <row r="5580" spans="1:29">
      <c r="A5580" s="8" t="s">
        <v>5951</v>
      </c>
      <c r="B5580" s="17" t="s">
        <v>7759</v>
      </c>
      <c r="C5580" s="13">
        <v>39588</v>
      </c>
      <c r="D5580" s="13" t="s">
        <v>8465</v>
      </c>
      <c r="E5580" s="10" t="s">
        <v>1047</v>
      </c>
      <c r="F5580" s="10" t="s">
        <v>5888</v>
      </c>
      <c r="H5580" s="2" t="s">
        <v>1050</v>
      </c>
      <c r="L5580" s="18">
        <v>1</v>
      </c>
      <c r="M5580" s="14" t="s">
        <v>8462</v>
      </c>
      <c r="N5580" s="13">
        <v>43343</v>
      </c>
      <c r="O5580" s="29">
        <v>4.99</v>
      </c>
      <c r="P5580" s="18" t="s">
        <v>14</v>
      </c>
      <c r="Q5580" s="18">
        <v>0</v>
      </c>
      <c r="U5580" s="22">
        <v>0.56000000000000005</v>
      </c>
      <c r="V5580" s="22">
        <f>2.96/5</f>
        <v>0.59199999999999997</v>
      </c>
      <c r="X5580" s="3">
        <v>3</v>
      </c>
      <c r="Z5580" s="23">
        <v>6.5</v>
      </c>
      <c r="AB5580" s="18">
        <f t="shared" si="174"/>
        <v>2008</v>
      </c>
      <c r="AC5580" s="22">
        <f t="shared" si="175"/>
        <v>0.58400000000000007</v>
      </c>
    </row>
    <row r="5581" spans="1:29">
      <c r="A5581" s="8" t="s">
        <v>6617</v>
      </c>
      <c r="B5581" s="17" t="s">
        <v>7742</v>
      </c>
      <c r="C5581" s="13">
        <v>39587</v>
      </c>
      <c r="D5581" s="13" t="s">
        <v>8465</v>
      </c>
      <c r="E5581" s="10" t="s">
        <v>62</v>
      </c>
      <c r="F5581" s="10" t="s">
        <v>62</v>
      </c>
      <c r="G5581" s="11" t="s">
        <v>2874</v>
      </c>
      <c r="H5581" s="2" t="s">
        <v>21</v>
      </c>
      <c r="L5581" s="18">
        <v>0</v>
      </c>
      <c r="Q5581" s="18">
        <v>0</v>
      </c>
      <c r="U5581" s="22">
        <v>0.66</v>
      </c>
      <c r="V5581" s="22">
        <f>3.85/5</f>
        <v>0.77</v>
      </c>
      <c r="X5581" s="3">
        <v>2</v>
      </c>
      <c r="Z5581" s="23">
        <f>49/60</f>
        <v>0.81666666666666665</v>
      </c>
      <c r="AB5581" s="18">
        <f t="shared" si="174"/>
        <v>2008</v>
      </c>
      <c r="AC5581" s="22">
        <f t="shared" si="175"/>
        <v>0.61</v>
      </c>
    </row>
    <row r="5582" spans="1:29" ht="25.5">
      <c r="A5582" s="8" t="s">
        <v>4907</v>
      </c>
      <c r="B5582" s="17" t="s">
        <v>7800</v>
      </c>
      <c r="C5582" s="13">
        <v>39584</v>
      </c>
      <c r="D5582" s="13" t="s">
        <v>8465</v>
      </c>
      <c r="E5582" s="10" t="s">
        <v>3246</v>
      </c>
      <c r="F5582" s="10" t="s">
        <v>3246</v>
      </c>
      <c r="G5582" s="11" t="s">
        <v>4908</v>
      </c>
      <c r="H5582" s="2" t="s">
        <v>67</v>
      </c>
      <c r="L5582" s="18">
        <v>1</v>
      </c>
      <c r="N5582" s="13">
        <v>41104</v>
      </c>
      <c r="O5582" s="29">
        <v>4.16</v>
      </c>
      <c r="P5582" s="18" t="s">
        <v>1107</v>
      </c>
      <c r="Q5582" s="18">
        <v>0</v>
      </c>
      <c r="U5582" s="22">
        <v>0.8</v>
      </c>
      <c r="V5582" s="22">
        <f>3.98/5</f>
        <v>0.79600000000000004</v>
      </c>
      <c r="W5582" s="14" t="s">
        <v>7777</v>
      </c>
      <c r="X5582" s="3">
        <v>3</v>
      </c>
      <c r="Z5582" s="23">
        <v>14</v>
      </c>
      <c r="AB5582" s="18">
        <f t="shared" si="174"/>
        <v>2008</v>
      </c>
      <c r="AC5582" s="22">
        <f t="shared" si="175"/>
        <v>0.7320000000000001</v>
      </c>
    </row>
    <row r="5583" spans="1:29" ht="30">
      <c r="A5583" s="8" t="s">
        <v>10122</v>
      </c>
      <c r="B5583" s="17" t="s">
        <v>7759</v>
      </c>
      <c r="C5583" s="13">
        <v>39583</v>
      </c>
      <c r="D5583" s="13" t="s">
        <v>8467</v>
      </c>
      <c r="E5583" s="10" t="s">
        <v>2908</v>
      </c>
      <c r="F5583" s="10" t="s">
        <v>6259</v>
      </c>
      <c r="H5583" s="2" t="s">
        <v>80</v>
      </c>
      <c r="L5583" s="18">
        <v>0</v>
      </c>
      <c r="Q5583" s="18">
        <v>0</v>
      </c>
      <c r="V5583" s="22">
        <f>3.42/5</f>
        <v>0.68399999999999994</v>
      </c>
      <c r="X5583" s="3">
        <v>3</v>
      </c>
      <c r="Z5583" s="23">
        <v>1</v>
      </c>
      <c r="AB5583" s="18">
        <f t="shared" si="174"/>
        <v>2008</v>
      </c>
      <c r="AC5583" s="22">
        <f t="shared" si="175"/>
        <v>0.6419999999999999</v>
      </c>
    </row>
    <row r="5584" spans="1:29">
      <c r="A5584" s="8" t="s">
        <v>14306</v>
      </c>
      <c r="B5584" s="17" t="s">
        <v>7748</v>
      </c>
      <c r="C5584" s="13">
        <v>39583</v>
      </c>
      <c r="D5584" s="13" t="s">
        <v>8463</v>
      </c>
      <c r="E5584" s="10" t="s">
        <v>3861</v>
      </c>
      <c r="F5584" s="10" t="s">
        <v>3861</v>
      </c>
      <c r="H5584" s="2" t="s">
        <v>1518</v>
      </c>
      <c r="K5584" s="18">
        <v>2</v>
      </c>
      <c r="L5584" s="18">
        <v>0</v>
      </c>
      <c r="Q5584" s="18">
        <v>0</v>
      </c>
      <c r="V5584" s="22">
        <f>3.85/5</f>
        <v>0.77</v>
      </c>
      <c r="X5584" s="3">
        <v>2</v>
      </c>
      <c r="AB5584" s="18">
        <f t="shared" si="174"/>
        <v>2008</v>
      </c>
      <c r="AC5584" s="22">
        <f t="shared" si="175"/>
        <v>0.58499999999999996</v>
      </c>
    </row>
    <row r="5585" spans="1:29" ht="30">
      <c r="A5585" s="8" t="s">
        <v>14870</v>
      </c>
      <c r="B5585" s="17" t="s">
        <v>7759</v>
      </c>
      <c r="C5585" s="13">
        <v>39583</v>
      </c>
      <c r="D5585" s="13" t="s">
        <v>8465</v>
      </c>
      <c r="E5585" s="10" t="s">
        <v>2317</v>
      </c>
      <c r="F5585" s="10" t="s">
        <v>1309</v>
      </c>
      <c r="G5585" s="11" t="s">
        <v>14868</v>
      </c>
      <c r="H5585" s="2" t="s">
        <v>80</v>
      </c>
      <c r="L5585" s="18">
        <v>0</v>
      </c>
      <c r="Q5585" s="18">
        <v>0</v>
      </c>
      <c r="U5585" s="22">
        <v>0.56000000000000005</v>
      </c>
      <c r="V5585" s="22">
        <f>3.54/5</f>
        <v>0.70799999999999996</v>
      </c>
      <c r="X5585" s="3">
        <v>2</v>
      </c>
      <c r="Z5585" s="23">
        <v>11</v>
      </c>
      <c r="AB5585" s="18">
        <f t="shared" si="174"/>
        <v>2008</v>
      </c>
      <c r="AC5585" s="22">
        <f t="shared" si="175"/>
        <v>0.55600000000000005</v>
      </c>
    </row>
    <row r="5586" spans="1:29">
      <c r="A5586" s="8" t="s">
        <v>984</v>
      </c>
      <c r="B5586" s="17" t="s">
        <v>7741</v>
      </c>
      <c r="C5586" s="13">
        <v>39581</v>
      </c>
      <c r="D5586" s="13" t="s">
        <v>8465</v>
      </c>
      <c r="E5586" s="10" t="s">
        <v>1519</v>
      </c>
      <c r="F5586" s="10" t="s">
        <v>1375</v>
      </c>
      <c r="G5586" s="11" t="s">
        <v>1520</v>
      </c>
      <c r="H5586" s="2" t="s">
        <v>21</v>
      </c>
      <c r="L5586" s="18">
        <v>0</v>
      </c>
      <c r="Q5586" s="18">
        <v>0</v>
      </c>
      <c r="U5586" s="22">
        <v>0.71</v>
      </c>
      <c r="V5586" s="22">
        <f>3.88/5</f>
        <v>0.77600000000000002</v>
      </c>
      <c r="X5586" s="3">
        <v>3</v>
      </c>
      <c r="Z5586" s="23">
        <v>0.9</v>
      </c>
      <c r="AB5586" s="18">
        <f t="shared" si="174"/>
        <v>2008</v>
      </c>
      <c r="AC5586" s="22">
        <f t="shared" si="175"/>
        <v>0.69533333333333325</v>
      </c>
    </row>
    <row r="5587" spans="1:29">
      <c r="A5587" s="8" t="s">
        <v>11813</v>
      </c>
      <c r="B5587" s="17" t="s">
        <v>7748</v>
      </c>
      <c r="C5587" s="13">
        <v>39581</v>
      </c>
      <c r="D5587" s="13" t="s">
        <v>8465</v>
      </c>
      <c r="E5587" s="10" t="s">
        <v>228</v>
      </c>
      <c r="F5587" s="10" t="s">
        <v>463</v>
      </c>
      <c r="H5587" s="2" t="s">
        <v>75</v>
      </c>
      <c r="L5587" s="18">
        <v>0</v>
      </c>
      <c r="Q5587" s="18">
        <v>0</v>
      </c>
      <c r="U5587" s="22">
        <v>0.74</v>
      </c>
      <c r="V5587" s="22">
        <f>3.7/5</f>
        <v>0.74</v>
      </c>
      <c r="X5587" s="3">
        <v>2</v>
      </c>
      <c r="AB5587" s="18">
        <f t="shared" si="174"/>
        <v>2008</v>
      </c>
      <c r="AC5587" s="22">
        <f t="shared" si="175"/>
        <v>0.62666666666666659</v>
      </c>
    </row>
    <row r="5588" spans="1:29" ht="38.25">
      <c r="A5588" s="8" t="s">
        <v>7498</v>
      </c>
      <c r="B5588" s="17" t="s">
        <v>7742</v>
      </c>
      <c r="C5588" s="13">
        <v>39580</v>
      </c>
      <c r="D5588" s="13" t="s">
        <v>8465</v>
      </c>
      <c r="E5588" s="10" t="s">
        <v>1082</v>
      </c>
      <c r="F5588" s="10" t="s">
        <v>1082</v>
      </c>
      <c r="G5588" s="11" t="s">
        <v>938</v>
      </c>
      <c r="H5588" s="2" t="s">
        <v>1334</v>
      </c>
      <c r="L5588" s="18">
        <v>0</v>
      </c>
      <c r="Q5588" s="18">
        <v>0</v>
      </c>
      <c r="U5588" s="22">
        <v>0.8</v>
      </c>
      <c r="V5588" s="22">
        <f>3.83/5</f>
        <v>0.76600000000000001</v>
      </c>
      <c r="X5588" s="3">
        <v>3</v>
      </c>
      <c r="Z5588" s="23">
        <v>18.5</v>
      </c>
      <c r="AB5588" s="18">
        <f t="shared" si="174"/>
        <v>2008</v>
      </c>
      <c r="AC5588" s="22">
        <f t="shared" si="175"/>
        <v>0.72199999999999998</v>
      </c>
    </row>
    <row r="5589" spans="1:29" ht="30">
      <c r="A5589" s="8" t="s">
        <v>8874</v>
      </c>
      <c r="B5589" s="17" t="s">
        <v>7762</v>
      </c>
      <c r="C5589" s="13">
        <v>39574</v>
      </c>
      <c r="D5589" s="13" t="s">
        <v>8465</v>
      </c>
      <c r="E5589" s="10" t="s">
        <v>228</v>
      </c>
      <c r="F5589" s="10" t="s">
        <v>144</v>
      </c>
      <c r="G5589" s="11" t="s">
        <v>404</v>
      </c>
      <c r="H5589" s="2" t="s">
        <v>75</v>
      </c>
      <c r="L5589" s="18">
        <v>0</v>
      </c>
      <c r="Q5589" s="18">
        <v>0</v>
      </c>
      <c r="U5589" s="22">
        <v>0.69</v>
      </c>
      <c r="V5589" s="22">
        <f>3.66/5</f>
        <v>0.73199999999999998</v>
      </c>
      <c r="X5589" s="3">
        <v>4</v>
      </c>
      <c r="Z5589" s="23">
        <v>27</v>
      </c>
      <c r="AB5589" s="18">
        <f t="shared" si="174"/>
        <v>2008</v>
      </c>
      <c r="AC5589" s="22">
        <f t="shared" si="175"/>
        <v>0.7406666666666667</v>
      </c>
    </row>
    <row r="5590" spans="1:29">
      <c r="A5590" s="8" t="s">
        <v>1035</v>
      </c>
      <c r="B5590" s="17" t="s">
        <v>7741</v>
      </c>
      <c r="C5590" s="13">
        <v>39574</v>
      </c>
      <c r="D5590" s="13" t="s">
        <v>8465</v>
      </c>
      <c r="E5590" s="10" t="s">
        <v>231</v>
      </c>
      <c r="F5590" s="10" t="s">
        <v>1039</v>
      </c>
      <c r="G5590" s="11" t="s">
        <v>1035</v>
      </c>
      <c r="H5590" s="2" t="s">
        <v>78</v>
      </c>
      <c r="L5590" s="18">
        <v>1</v>
      </c>
      <c r="M5590" s="14" t="s">
        <v>8462</v>
      </c>
      <c r="N5590" s="13">
        <v>43647</v>
      </c>
      <c r="O5590" s="29">
        <v>7.93</v>
      </c>
      <c r="P5590" s="18" t="s">
        <v>14</v>
      </c>
      <c r="Q5590" s="18">
        <v>0</v>
      </c>
      <c r="U5590" s="22">
        <v>0.85</v>
      </c>
      <c r="V5590" s="22">
        <f>3.84/5</f>
        <v>0.76800000000000002</v>
      </c>
      <c r="X5590" s="3">
        <v>2</v>
      </c>
      <c r="Z5590" s="23">
        <v>5</v>
      </c>
      <c r="AB5590" s="18">
        <f t="shared" si="174"/>
        <v>2008</v>
      </c>
      <c r="AC5590" s="22">
        <f t="shared" si="175"/>
        <v>0.67266666666666663</v>
      </c>
    </row>
    <row r="5591" spans="1:29">
      <c r="A5591" s="8" t="s">
        <v>1978</v>
      </c>
      <c r="B5591" s="17" t="s">
        <v>7759</v>
      </c>
      <c r="C5591" s="13">
        <v>39570</v>
      </c>
      <c r="D5591" s="13" t="s">
        <v>8465</v>
      </c>
      <c r="E5591" s="10" t="s">
        <v>455</v>
      </c>
      <c r="F5591" s="10" t="s">
        <v>12620</v>
      </c>
      <c r="G5591" s="11" t="s">
        <v>1978</v>
      </c>
      <c r="H5591" s="2" t="s">
        <v>80</v>
      </c>
      <c r="L5591" s="18">
        <v>0</v>
      </c>
      <c r="Q5591" s="18">
        <v>0</v>
      </c>
      <c r="U5591" s="22">
        <v>0.42</v>
      </c>
      <c r="V5591" s="22">
        <f>3/5</f>
        <v>0.6</v>
      </c>
      <c r="X5591" s="3">
        <v>2</v>
      </c>
      <c r="Y5591" s="18">
        <v>1</v>
      </c>
      <c r="Z5591" s="23">
        <v>4.5</v>
      </c>
      <c r="AB5591" s="18">
        <f t="shared" si="174"/>
        <v>2008</v>
      </c>
      <c r="AC5591" s="22">
        <f t="shared" si="175"/>
        <v>0.47333333333333333</v>
      </c>
    </row>
    <row r="5592" spans="1:29" ht="25.5">
      <c r="A5592" s="8" t="s">
        <v>11875</v>
      </c>
      <c r="B5592" s="17" t="s">
        <v>7748</v>
      </c>
      <c r="C5592" s="13">
        <v>39567</v>
      </c>
      <c r="D5592" s="13" t="s">
        <v>8465</v>
      </c>
      <c r="E5592" s="10" t="s">
        <v>66</v>
      </c>
      <c r="F5592" s="10" t="s">
        <v>58</v>
      </c>
      <c r="G5592" s="11" t="s">
        <v>9850</v>
      </c>
      <c r="H5592" s="2" t="s">
        <v>255</v>
      </c>
      <c r="L5592" s="18">
        <v>0</v>
      </c>
      <c r="Q5592" s="18">
        <v>0</v>
      </c>
      <c r="U5592" s="22">
        <v>0.54</v>
      </c>
      <c r="V5592" s="22">
        <f>3.57/5</f>
        <v>0.71399999999999997</v>
      </c>
      <c r="X5592" s="3">
        <v>3</v>
      </c>
      <c r="AB5592" s="18">
        <f t="shared" si="174"/>
        <v>2008</v>
      </c>
      <c r="AC5592" s="22">
        <f t="shared" si="175"/>
        <v>0.61799999999999999</v>
      </c>
    </row>
    <row r="5593" spans="1:29">
      <c r="A5593" s="8" t="s">
        <v>1007</v>
      </c>
      <c r="B5593" s="17" t="s">
        <v>7741</v>
      </c>
      <c r="C5593" s="13">
        <v>39565</v>
      </c>
      <c r="D5593" s="13" t="s">
        <v>8465</v>
      </c>
      <c r="E5593" s="10" t="s">
        <v>86</v>
      </c>
      <c r="F5593" s="10" t="s">
        <v>87</v>
      </c>
      <c r="G5593" s="11" t="s">
        <v>1135</v>
      </c>
      <c r="H5593" s="2" t="s">
        <v>150</v>
      </c>
      <c r="L5593" s="18">
        <v>0</v>
      </c>
      <c r="Q5593" s="18">
        <v>0</v>
      </c>
      <c r="U5593" s="22">
        <v>0.82</v>
      </c>
      <c r="V5593" s="22">
        <f>4.15/5</f>
        <v>0.83000000000000007</v>
      </c>
      <c r="X5593" s="3">
        <v>4</v>
      </c>
      <c r="Z5593" s="23">
        <v>5.5</v>
      </c>
      <c r="AB5593" s="18">
        <f t="shared" si="174"/>
        <v>2008</v>
      </c>
      <c r="AC5593" s="22">
        <f t="shared" si="175"/>
        <v>0.81666666666666676</v>
      </c>
    </row>
    <row r="5594" spans="1:29">
      <c r="A5594" s="8" t="s">
        <v>10079</v>
      </c>
      <c r="B5594" s="17" t="s">
        <v>7800</v>
      </c>
      <c r="C5594" s="13">
        <v>39563</v>
      </c>
      <c r="D5594" s="13" t="s">
        <v>8463</v>
      </c>
      <c r="E5594" s="10" t="s">
        <v>10080</v>
      </c>
      <c r="F5594" s="10" t="s">
        <v>9117</v>
      </c>
      <c r="G5594" s="11" t="s">
        <v>9368</v>
      </c>
      <c r="H5594" s="2" t="s">
        <v>1057</v>
      </c>
      <c r="K5594" s="18">
        <v>2</v>
      </c>
      <c r="L5594" s="18">
        <v>0</v>
      </c>
      <c r="Q5594" s="18">
        <v>0</v>
      </c>
      <c r="V5594" s="22">
        <f>3.99/5</f>
        <v>0.79800000000000004</v>
      </c>
      <c r="W5594" s="14" t="s">
        <v>13363</v>
      </c>
      <c r="X5594" s="3">
        <v>3</v>
      </c>
      <c r="Z5594" s="23">
        <v>23</v>
      </c>
      <c r="AB5594" s="18">
        <f t="shared" si="174"/>
        <v>2008</v>
      </c>
      <c r="AC5594" s="22">
        <f t="shared" si="175"/>
        <v>0.69900000000000007</v>
      </c>
    </row>
    <row r="5595" spans="1:29">
      <c r="A5595" s="8" t="s">
        <v>5750</v>
      </c>
      <c r="B5595" s="17" t="s">
        <v>7758</v>
      </c>
      <c r="C5595" s="13">
        <v>39560</v>
      </c>
      <c r="D5595" s="13" t="s">
        <v>8465</v>
      </c>
      <c r="E5595" s="10" t="s">
        <v>5869</v>
      </c>
      <c r="F5595" s="10" t="s">
        <v>5870</v>
      </c>
      <c r="H5595" s="2" t="s">
        <v>21</v>
      </c>
      <c r="L5595" s="18">
        <v>0</v>
      </c>
      <c r="Q5595" s="18">
        <v>0</v>
      </c>
      <c r="U5595" s="22">
        <v>0.35</v>
      </c>
      <c r="V5595" s="22">
        <f>3.36/5</f>
        <v>0.67199999999999993</v>
      </c>
      <c r="X5595" s="3">
        <v>3</v>
      </c>
      <c r="Z5595" s="23">
        <v>4.5</v>
      </c>
      <c r="AB5595" s="18">
        <f t="shared" si="174"/>
        <v>2008</v>
      </c>
      <c r="AC5595" s="22">
        <f t="shared" si="175"/>
        <v>0.54066666666666663</v>
      </c>
    </row>
    <row r="5596" spans="1:29">
      <c r="A5596" s="8" t="s">
        <v>14911</v>
      </c>
      <c r="B5596" s="17" t="s">
        <v>7741</v>
      </c>
      <c r="C5596" s="13">
        <v>39560</v>
      </c>
      <c r="D5596" s="13" t="s">
        <v>8465</v>
      </c>
      <c r="E5596" s="10" t="s">
        <v>72</v>
      </c>
      <c r="F5596" s="10" t="s">
        <v>14912</v>
      </c>
      <c r="H5596" s="2" t="s">
        <v>1170</v>
      </c>
      <c r="L5596" s="18">
        <v>0</v>
      </c>
      <c r="Q5596" s="18">
        <v>0</v>
      </c>
      <c r="U5596" s="22">
        <v>0.33</v>
      </c>
      <c r="V5596" s="22">
        <f>3.17/5</f>
        <v>0.63400000000000001</v>
      </c>
      <c r="X5596" s="3">
        <v>2</v>
      </c>
      <c r="AB5596" s="18">
        <f t="shared" si="174"/>
        <v>2008</v>
      </c>
      <c r="AC5596" s="22">
        <f t="shared" si="175"/>
        <v>0.45466666666666661</v>
      </c>
    </row>
    <row r="5597" spans="1:29" ht="38.25">
      <c r="A5597" s="8" t="s">
        <v>2346</v>
      </c>
      <c r="B5597" s="17" t="s">
        <v>7748</v>
      </c>
      <c r="C5597" s="13">
        <v>39558</v>
      </c>
      <c r="D5597" s="13" t="s">
        <v>8465</v>
      </c>
      <c r="E5597" s="10" t="s">
        <v>86</v>
      </c>
      <c r="F5597" s="10" t="s">
        <v>164</v>
      </c>
      <c r="G5597" s="11" t="s">
        <v>1984</v>
      </c>
      <c r="H5597" s="2" t="s">
        <v>1377</v>
      </c>
      <c r="L5597" s="18">
        <v>0</v>
      </c>
      <c r="Q5597" s="18">
        <v>0</v>
      </c>
      <c r="U5597" s="22">
        <v>0.62</v>
      </c>
      <c r="V5597" s="22">
        <f>4.12/5</f>
        <v>0.82400000000000007</v>
      </c>
      <c r="X5597" s="3">
        <v>4</v>
      </c>
      <c r="Z5597" s="23">
        <v>22.5</v>
      </c>
      <c r="AB5597" s="18">
        <f t="shared" si="174"/>
        <v>2008</v>
      </c>
      <c r="AC5597" s="22">
        <f t="shared" si="175"/>
        <v>0.74799999999999989</v>
      </c>
    </row>
    <row r="5598" spans="1:29">
      <c r="A5598" s="8" t="s">
        <v>1014</v>
      </c>
      <c r="B5598" s="17" t="s">
        <v>7741</v>
      </c>
      <c r="C5598" s="13">
        <v>39553</v>
      </c>
      <c r="D5598" s="13" t="s">
        <v>8465</v>
      </c>
      <c r="E5598" s="10" t="s">
        <v>73</v>
      </c>
      <c r="F5598" s="10" t="s">
        <v>1555</v>
      </c>
      <c r="G5598" s="11" t="s">
        <v>1014</v>
      </c>
      <c r="H5598" s="2" t="s">
        <v>171</v>
      </c>
      <c r="L5598" s="18">
        <v>0</v>
      </c>
      <c r="Q5598" s="18">
        <v>0</v>
      </c>
      <c r="U5598" s="22">
        <v>0.9</v>
      </c>
      <c r="V5598" s="22">
        <f>4.38/5</f>
        <v>0.876</v>
      </c>
      <c r="X5598" s="3">
        <v>5</v>
      </c>
      <c r="Z5598" s="23">
        <v>34.5</v>
      </c>
      <c r="AB5598" s="18">
        <f t="shared" si="174"/>
        <v>2008</v>
      </c>
      <c r="AC5598" s="22">
        <f t="shared" si="175"/>
        <v>0.92533333333333323</v>
      </c>
    </row>
    <row r="5599" spans="1:29">
      <c r="A5599" s="8" t="s">
        <v>2263</v>
      </c>
      <c r="B5599" s="17" t="s">
        <v>7748</v>
      </c>
      <c r="C5599" s="13">
        <v>39553</v>
      </c>
      <c r="D5599" s="13" t="s">
        <v>8465</v>
      </c>
      <c r="E5599" s="10" t="s">
        <v>228</v>
      </c>
      <c r="F5599" s="10" t="s">
        <v>463</v>
      </c>
      <c r="H5599" s="2" t="s">
        <v>75</v>
      </c>
      <c r="L5599" s="18">
        <v>0</v>
      </c>
      <c r="Q5599" s="18">
        <v>0</v>
      </c>
      <c r="U5599" s="22">
        <v>0.73</v>
      </c>
      <c r="V5599" s="22">
        <f>3.56/5</f>
        <v>0.71199999999999997</v>
      </c>
      <c r="X5599" s="3">
        <v>4</v>
      </c>
      <c r="Z5599" s="23">
        <v>17</v>
      </c>
      <c r="AB5599" s="18">
        <f t="shared" si="174"/>
        <v>2008</v>
      </c>
      <c r="AC5599" s="22">
        <f t="shared" si="175"/>
        <v>0.74733333333333329</v>
      </c>
    </row>
    <row r="5600" spans="1:29" ht="30">
      <c r="A5600" s="8" t="s">
        <v>8025</v>
      </c>
      <c r="B5600" s="17" t="s">
        <v>7759</v>
      </c>
      <c r="C5600" s="13">
        <v>39553</v>
      </c>
      <c r="D5600" s="13" t="s">
        <v>8465</v>
      </c>
      <c r="E5600" s="10" t="s">
        <v>2908</v>
      </c>
      <c r="F5600" s="10" t="s">
        <v>8019</v>
      </c>
      <c r="G5600" s="11" t="s">
        <v>8016</v>
      </c>
      <c r="H5600" s="2" t="s">
        <v>150</v>
      </c>
      <c r="L5600" s="18">
        <v>1</v>
      </c>
      <c r="M5600" s="14" t="s">
        <v>8462</v>
      </c>
      <c r="N5600" s="13">
        <v>45000</v>
      </c>
      <c r="O5600" s="29">
        <v>6</v>
      </c>
      <c r="P5600" s="18" t="s">
        <v>14</v>
      </c>
      <c r="Q5600" s="18">
        <v>0</v>
      </c>
      <c r="U5600" s="22">
        <v>0.79790000000000005</v>
      </c>
      <c r="V5600" s="22">
        <f>3.72/5</f>
        <v>0.74399999999999999</v>
      </c>
      <c r="X5600" s="3">
        <v>2</v>
      </c>
      <c r="Z5600" s="23">
        <v>10.5</v>
      </c>
      <c r="AB5600" s="18">
        <f t="shared" si="174"/>
        <v>2008</v>
      </c>
      <c r="AC5600" s="22">
        <f t="shared" si="175"/>
        <v>0.64729999999999999</v>
      </c>
    </row>
    <row r="5601" spans="1:29">
      <c r="A5601" s="8" t="s">
        <v>941</v>
      </c>
      <c r="B5601" s="17" t="s">
        <v>7765</v>
      </c>
      <c r="C5601" s="13">
        <v>39547</v>
      </c>
      <c r="D5601" s="13" t="s">
        <v>8465</v>
      </c>
      <c r="E5601" s="10" t="s">
        <v>1474</v>
      </c>
      <c r="F5601" s="10" t="s">
        <v>1474</v>
      </c>
      <c r="H5601" s="2" t="s">
        <v>21</v>
      </c>
      <c r="L5601" s="18">
        <v>1</v>
      </c>
      <c r="N5601" s="13">
        <v>44551</v>
      </c>
      <c r="O5601" s="29">
        <v>0</v>
      </c>
      <c r="P5601" s="18" t="s">
        <v>1107</v>
      </c>
      <c r="Q5601" s="18">
        <v>0</v>
      </c>
      <c r="U5601" s="22">
        <v>0.86</v>
      </c>
      <c r="V5601" s="22">
        <f>4.02/5</f>
        <v>0.80399999999999994</v>
      </c>
      <c r="X5601" s="3">
        <v>4</v>
      </c>
      <c r="Z5601" s="23">
        <v>1.5</v>
      </c>
      <c r="AB5601" s="18">
        <f t="shared" si="174"/>
        <v>2008</v>
      </c>
      <c r="AC5601" s="22">
        <f t="shared" si="175"/>
        <v>0.82133333333333336</v>
      </c>
    </row>
    <row r="5602" spans="1:29">
      <c r="A5602" s="8" t="s">
        <v>979</v>
      </c>
      <c r="B5602" s="17" t="s">
        <v>7741</v>
      </c>
      <c r="C5602" s="13">
        <v>39546</v>
      </c>
      <c r="D5602" s="13" t="s">
        <v>8465</v>
      </c>
      <c r="E5602" s="10" t="s">
        <v>228</v>
      </c>
      <c r="F5602" s="10" t="s">
        <v>1416</v>
      </c>
      <c r="G5602" s="11" t="s">
        <v>979</v>
      </c>
      <c r="H5602" s="2" t="s">
        <v>1518</v>
      </c>
      <c r="L5602" s="18">
        <v>1</v>
      </c>
      <c r="M5602" s="14" t="s">
        <v>8462</v>
      </c>
      <c r="N5602" s="13">
        <v>43646</v>
      </c>
      <c r="O5602" s="29">
        <v>12.99</v>
      </c>
      <c r="P5602" s="18" t="s">
        <v>14</v>
      </c>
      <c r="Q5602" s="18">
        <v>0</v>
      </c>
      <c r="U5602" s="22">
        <v>0.51</v>
      </c>
      <c r="V5602" s="22">
        <f>3.21/5</f>
        <v>0.64200000000000002</v>
      </c>
      <c r="X5602" s="3">
        <v>3</v>
      </c>
      <c r="Z5602" s="23">
        <v>11</v>
      </c>
      <c r="AB5602" s="18">
        <f t="shared" si="174"/>
        <v>2008</v>
      </c>
      <c r="AC5602" s="22">
        <f t="shared" si="175"/>
        <v>0.58400000000000007</v>
      </c>
    </row>
    <row r="5603" spans="1:29" ht="25.5">
      <c r="A5603" s="8" t="s">
        <v>5757</v>
      </c>
      <c r="B5603" s="17" t="s">
        <v>7758</v>
      </c>
      <c r="C5603" s="13">
        <v>39539</v>
      </c>
      <c r="D5603" s="13" t="s">
        <v>8465</v>
      </c>
      <c r="E5603" s="10" t="s">
        <v>1062</v>
      </c>
      <c r="F5603" s="10" t="s">
        <v>2286</v>
      </c>
      <c r="G5603" s="11" t="s">
        <v>1567</v>
      </c>
      <c r="H5603" s="2" t="s">
        <v>149</v>
      </c>
      <c r="L5603" s="18">
        <v>0</v>
      </c>
      <c r="Q5603" s="18">
        <v>0</v>
      </c>
      <c r="U5603" s="22">
        <v>0.71</v>
      </c>
      <c r="V5603" s="22">
        <f>4.17/5</f>
        <v>0.83399999999999996</v>
      </c>
      <c r="X5603" s="3">
        <v>3</v>
      </c>
      <c r="Z5603" s="23">
        <v>43</v>
      </c>
      <c r="AB5603" s="18">
        <f t="shared" si="174"/>
        <v>2008</v>
      </c>
      <c r="AC5603" s="22">
        <f t="shared" si="175"/>
        <v>0.71466666666666667</v>
      </c>
    </row>
    <row r="5604" spans="1:29">
      <c r="A5604" s="8" t="s">
        <v>1015</v>
      </c>
      <c r="B5604" s="17" t="s">
        <v>7741</v>
      </c>
      <c r="C5604" s="13">
        <v>39532</v>
      </c>
      <c r="D5604" s="13" t="s">
        <v>8465</v>
      </c>
      <c r="E5604" s="10" t="s">
        <v>68</v>
      </c>
      <c r="F5604" s="10" t="s">
        <v>1537</v>
      </c>
      <c r="H5604" s="2" t="s">
        <v>149</v>
      </c>
      <c r="L5604" s="18">
        <v>0</v>
      </c>
      <c r="Q5604" s="18">
        <v>0</v>
      </c>
      <c r="U5604" s="22">
        <v>0.66</v>
      </c>
      <c r="V5604" s="22">
        <f>4.02/5</f>
        <v>0.80399999999999994</v>
      </c>
      <c r="X5604" s="3">
        <v>4</v>
      </c>
      <c r="Z5604" s="23">
        <v>28</v>
      </c>
      <c r="AB5604" s="18">
        <f t="shared" si="174"/>
        <v>2008</v>
      </c>
      <c r="AC5604" s="22">
        <f t="shared" si="175"/>
        <v>0.75466666666666671</v>
      </c>
    </row>
    <row r="5605" spans="1:29" ht="30">
      <c r="A5605" s="8" t="s">
        <v>4564</v>
      </c>
      <c r="B5605" s="17" t="s">
        <v>7800</v>
      </c>
      <c r="C5605" s="13">
        <v>39532</v>
      </c>
      <c r="D5605" s="13" t="s">
        <v>8465</v>
      </c>
      <c r="E5605" s="10" t="s">
        <v>1527</v>
      </c>
      <c r="F5605" s="10" t="s">
        <v>4563</v>
      </c>
      <c r="G5605" s="11" t="s">
        <v>4561</v>
      </c>
      <c r="H5605" s="2" t="s">
        <v>1061</v>
      </c>
      <c r="L5605" s="18">
        <v>1</v>
      </c>
      <c r="N5605" s="13">
        <v>43381</v>
      </c>
      <c r="O5605" s="29">
        <v>3.74</v>
      </c>
      <c r="P5605" s="18" t="s">
        <v>1107</v>
      </c>
      <c r="Q5605" s="18">
        <v>0</v>
      </c>
      <c r="U5605" s="22">
        <v>0.63</v>
      </c>
      <c r="V5605" s="22">
        <f>3.35/5</f>
        <v>0.67</v>
      </c>
      <c r="W5605" s="14" t="s">
        <v>7777</v>
      </c>
      <c r="X5605" s="3">
        <v>3</v>
      </c>
      <c r="Z5605" s="23">
        <v>7</v>
      </c>
      <c r="AB5605" s="18">
        <f t="shared" si="174"/>
        <v>2008</v>
      </c>
      <c r="AC5605" s="22">
        <f t="shared" si="175"/>
        <v>0.6333333333333333</v>
      </c>
    </row>
    <row r="5606" spans="1:29">
      <c r="A5606" s="8" t="s">
        <v>14735</v>
      </c>
      <c r="B5606" s="17" t="s">
        <v>7741</v>
      </c>
      <c r="C5606" s="13">
        <v>39532</v>
      </c>
      <c r="D5606" s="13" t="s">
        <v>8465</v>
      </c>
      <c r="E5606" s="10" t="s">
        <v>14689</v>
      </c>
      <c r="F5606" s="10" t="s">
        <v>3861</v>
      </c>
      <c r="H5606" s="2" t="s">
        <v>78</v>
      </c>
      <c r="L5606" s="18">
        <v>0</v>
      </c>
      <c r="Q5606" s="18">
        <v>0</v>
      </c>
      <c r="U5606" s="22">
        <v>0.66</v>
      </c>
      <c r="V5606" s="22">
        <f>3.3/5</f>
        <v>0.65999999999999992</v>
      </c>
      <c r="X5606" s="3">
        <v>2</v>
      </c>
      <c r="Z5606" s="23">
        <f>45/60</f>
        <v>0.75</v>
      </c>
      <c r="AB5606" s="18">
        <f t="shared" si="174"/>
        <v>2008</v>
      </c>
      <c r="AC5606" s="22">
        <f t="shared" si="175"/>
        <v>0.57333333333333325</v>
      </c>
    </row>
    <row r="5607" spans="1:29" ht="25.5">
      <c r="A5607" s="8" t="s">
        <v>6534</v>
      </c>
      <c r="B5607" s="17" t="s">
        <v>7800</v>
      </c>
      <c r="C5607" s="13">
        <v>39531</v>
      </c>
      <c r="D5607" s="13" t="s">
        <v>8465</v>
      </c>
      <c r="E5607" s="10" t="s">
        <v>231</v>
      </c>
      <c r="F5607" s="10" t="s">
        <v>1039</v>
      </c>
      <c r="G5607" s="11" t="s">
        <v>3043</v>
      </c>
      <c r="H5607" s="2" t="s">
        <v>1143</v>
      </c>
      <c r="L5607" s="18">
        <v>1</v>
      </c>
      <c r="N5607" s="13">
        <v>41627</v>
      </c>
      <c r="O5607" s="29">
        <v>0.33</v>
      </c>
      <c r="P5607" s="18" t="s">
        <v>1107</v>
      </c>
      <c r="Q5607" s="18">
        <v>0</v>
      </c>
      <c r="U5607" s="22">
        <v>0.77</v>
      </c>
      <c r="V5607" s="22">
        <f>3.88/5</f>
        <v>0.77600000000000002</v>
      </c>
      <c r="W5607" s="14" t="s">
        <v>7796</v>
      </c>
      <c r="X5607" s="3">
        <v>3</v>
      </c>
      <c r="Z5607" s="23">
        <v>8</v>
      </c>
      <c r="AB5607" s="18">
        <f t="shared" si="174"/>
        <v>2008</v>
      </c>
      <c r="AC5607" s="22">
        <f t="shared" si="175"/>
        <v>0.71533333333333327</v>
      </c>
    </row>
    <row r="5608" spans="1:29" ht="30">
      <c r="A5608" s="8" t="s">
        <v>11033</v>
      </c>
      <c r="B5608" s="17" t="s">
        <v>7759</v>
      </c>
      <c r="C5608" s="13">
        <v>39525</v>
      </c>
      <c r="D5608" s="13" t="s">
        <v>8465</v>
      </c>
      <c r="E5608" s="10" t="s">
        <v>2908</v>
      </c>
      <c r="F5608" s="10" t="s">
        <v>10091</v>
      </c>
      <c r="G5608" s="11" t="s">
        <v>11029</v>
      </c>
      <c r="H5608" s="2" t="s">
        <v>255</v>
      </c>
      <c r="L5608" s="18">
        <v>0</v>
      </c>
      <c r="Q5608" s="18">
        <v>0</v>
      </c>
      <c r="U5608" s="22">
        <v>0.81</v>
      </c>
      <c r="V5608" s="22">
        <f>4.12/5</f>
        <v>0.82400000000000007</v>
      </c>
      <c r="X5608" s="3">
        <v>2</v>
      </c>
      <c r="Y5608" s="18">
        <v>1</v>
      </c>
      <c r="AB5608" s="18">
        <f t="shared" si="174"/>
        <v>2008</v>
      </c>
      <c r="AC5608" s="22">
        <f t="shared" si="175"/>
        <v>0.67800000000000005</v>
      </c>
    </row>
    <row r="5609" spans="1:29">
      <c r="A5609" s="8" t="s">
        <v>7428</v>
      </c>
      <c r="B5609" s="17" t="s">
        <v>7748</v>
      </c>
      <c r="C5609" s="13">
        <v>39525</v>
      </c>
      <c r="D5609" s="13" t="s">
        <v>8465</v>
      </c>
      <c r="E5609" s="10" t="s">
        <v>72</v>
      </c>
      <c r="F5609" s="10" t="s">
        <v>1083</v>
      </c>
      <c r="G5609" s="11" t="s">
        <v>7409</v>
      </c>
      <c r="H5609" s="2" t="s">
        <v>1334</v>
      </c>
      <c r="L5609" s="18">
        <v>0</v>
      </c>
      <c r="Q5609" s="18">
        <v>0</v>
      </c>
      <c r="U5609" s="22">
        <v>0.63</v>
      </c>
      <c r="V5609" s="22">
        <f>3.7/5</f>
        <v>0.74</v>
      </c>
      <c r="X5609" s="3">
        <v>2</v>
      </c>
      <c r="AB5609" s="18">
        <f t="shared" si="174"/>
        <v>2008</v>
      </c>
      <c r="AC5609" s="22">
        <f t="shared" si="175"/>
        <v>0.59</v>
      </c>
    </row>
    <row r="5610" spans="1:29" ht="25.5">
      <c r="A5610" s="8" t="s">
        <v>12154</v>
      </c>
      <c r="B5610" s="17" t="s">
        <v>7759</v>
      </c>
      <c r="C5610" s="13">
        <v>39525</v>
      </c>
      <c r="D5610" s="13" t="s">
        <v>8465</v>
      </c>
      <c r="E5610" s="10" t="s">
        <v>455</v>
      </c>
      <c r="F5610" s="10" t="s">
        <v>1687</v>
      </c>
      <c r="G5610" s="11" t="s">
        <v>12155</v>
      </c>
      <c r="H5610" s="2" t="s">
        <v>255</v>
      </c>
      <c r="L5610" s="18">
        <v>0</v>
      </c>
      <c r="Q5610" s="18">
        <v>0</v>
      </c>
      <c r="U5610" s="22">
        <v>0.67</v>
      </c>
      <c r="V5610" s="22">
        <f>3.36/5</f>
        <v>0.67199999999999993</v>
      </c>
      <c r="X5610" s="3">
        <v>2</v>
      </c>
      <c r="Y5610" s="18">
        <v>1</v>
      </c>
      <c r="Z5610" s="23">
        <v>7</v>
      </c>
      <c r="AB5610" s="18">
        <f t="shared" si="174"/>
        <v>2008</v>
      </c>
      <c r="AC5610" s="22">
        <f t="shared" si="175"/>
        <v>0.58066666666666666</v>
      </c>
    </row>
    <row r="5611" spans="1:29">
      <c r="A5611" s="8" t="s">
        <v>2205</v>
      </c>
      <c r="B5611" s="17" t="s">
        <v>7748</v>
      </c>
      <c r="C5611" s="13">
        <v>39518</v>
      </c>
      <c r="D5611" s="13" t="s">
        <v>8465</v>
      </c>
      <c r="E5611" s="10" t="s">
        <v>1551</v>
      </c>
      <c r="F5611" s="10" t="s">
        <v>1733</v>
      </c>
      <c r="G5611" s="11" t="s">
        <v>2204</v>
      </c>
      <c r="H5611" s="2" t="s">
        <v>21</v>
      </c>
      <c r="L5611" s="18">
        <v>0</v>
      </c>
      <c r="Q5611" s="18">
        <v>0</v>
      </c>
      <c r="U5611" s="22">
        <v>0.77</v>
      </c>
      <c r="V5611" s="22">
        <f>3.73/5</f>
        <v>0.746</v>
      </c>
      <c r="X5611" s="3">
        <v>3</v>
      </c>
      <c r="Z5611" s="23">
        <v>2</v>
      </c>
      <c r="AB5611" s="18">
        <f t="shared" si="174"/>
        <v>2008</v>
      </c>
      <c r="AC5611" s="22">
        <f t="shared" si="175"/>
        <v>0.70533333333333337</v>
      </c>
    </row>
    <row r="5612" spans="1:29" ht="38.25">
      <c r="A5612" s="8" t="s">
        <v>2175</v>
      </c>
      <c r="B5612" s="17" t="s">
        <v>7748</v>
      </c>
      <c r="C5612" s="13">
        <v>39518</v>
      </c>
      <c r="D5612" s="13" t="s">
        <v>8465</v>
      </c>
      <c r="E5612" s="10" t="s">
        <v>1082</v>
      </c>
      <c r="F5612" s="10" t="s">
        <v>1082</v>
      </c>
      <c r="G5612" s="11" t="s">
        <v>938</v>
      </c>
      <c r="H5612" s="2" t="s">
        <v>171</v>
      </c>
      <c r="L5612" s="18">
        <v>0</v>
      </c>
      <c r="Q5612" s="18">
        <v>0</v>
      </c>
      <c r="U5612" s="22">
        <v>0.77</v>
      </c>
      <c r="V5612" s="22">
        <f>3.66/5</f>
        <v>0.73199999999999998</v>
      </c>
      <c r="X5612" s="3">
        <v>3</v>
      </c>
      <c r="Z5612" s="23">
        <v>13</v>
      </c>
      <c r="AB5612" s="18">
        <f t="shared" si="174"/>
        <v>2008</v>
      </c>
      <c r="AC5612" s="22">
        <f t="shared" si="175"/>
        <v>0.70066666666666666</v>
      </c>
    </row>
    <row r="5613" spans="1:29" ht="30">
      <c r="A5613" s="8" t="s">
        <v>6091</v>
      </c>
      <c r="B5613" s="17" t="s">
        <v>7762</v>
      </c>
      <c r="C5613" s="13">
        <v>39518</v>
      </c>
      <c r="D5613" s="13" t="s">
        <v>8465</v>
      </c>
      <c r="E5613" s="10" t="s">
        <v>1534</v>
      </c>
      <c r="F5613" s="10" t="s">
        <v>6092</v>
      </c>
      <c r="G5613" s="11" t="s">
        <v>3003</v>
      </c>
      <c r="H5613" s="2" t="s">
        <v>75</v>
      </c>
      <c r="L5613" s="18">
        <v>0</v>
      </c>
      <c r="Q5613" s="18">
        <v>0</v>
      </c>
      <c r="U5613" s="22">
        <v>0.69</v>
      </c>
      <c r="V5613" s="22">
        <f>3.85/5</f>
        <v>0.77</v>
      </c>
      <c r="X5613" s="3">
        <v>3</v>
      </c>
      <c r="Z5613" s="23">
        <v>50.5</v>
      </c>
      <c r="AB5613" s="18">
        <f t="shared" si="174"/>
        <v>2008</v>
      </c>
      <c r="AC5613" s="22">
        <f t="shared" si="175"/>
        <v>0.68666666666666665</v>
      </c>
    </row>
    <row r="5614" spans="1:29" ht="25.5">
      <c r="A5614" s="8" t="s">
        <v>7383</v>
      </c>
      <c r="B5614" s="17" t="s">
        <v>7741</v>
      </c>
      <c r="C5614" s="13">
        <v>39518</v>
      </c>
      <c r="D5614" s="13" t="s">
        <v>8465</v>
      </c>
      <c r="E5614" s="10" t="s">
        <v>455</v>
      </c>
      <c r="F5614" s="10" t="s">
        <v>455</v>
      </c>
      <c r="G5614" s="11" t="s">
        <v>1524</v>
      </c>
      <c r="H5614" s="2" t="s">
        <v>1170</v>
      </c>
      <c r="L5614" s="18">
        <v>0</v>
      </c>
      <c r="Q5614" s="18">
        <v>0</v>
      </c>
      <c r="U5614" s="22">
        <v>0.66</v>
      </c>
      <c r="V5614" s="22">
        <f>3.79/5</f>
        <v>0.75800000000000001</v>
      </c>
      <c r="X5614" s="3">
        <v>3</v>
      </c>
      <c r="Z5614" s="23">
        <v>4</v>
      </c>
      <c r="AB5614" s="18">
        <f t="shared" si="174"/>
        <v>2008</v>
      </c>
      <c r="AC5614" s="22">
        <f t="shared" si="175"/>
        <v>0.67266666666666675</v>
      </c>
    </row>
    <row r="5615" spans="1:29" ht="30">
      <c r="A5615" s="8" t="s">
        <v>10482</v>
      </c>
      <c r="B5615" s="17" t="s">
        <v>7759</v>
      </c>
      <c r="C5615" s="13">
        <v>39513</v>
      </c>
      <c r="D5615" s="13" t="s">
        <v>8463</v>
      </c>
      <c r="E5615" s="10" t="s">
        <v>455</v>
      </c>
      <c r="F5615" s="10" t="s">
        <v>10483</v>
      </c>
      <c r="G5615" s="11" t="s">
        <v>5600</v>
      </c>
      <c r="H5615" s="2" t="s">
        <v>80</v>
      </c>
      <c r="K5615" s="18">
        <v>0</v>
      </c>
      <c r="L5615" s="18">
        <v>0</v>
      </c>
      <c r="Q5615" s="18">
        <v>0</v>
      </c>
      <c r="V5615" s="22">
        <f>4.22/5</f>
        <v>0.84399999999999997</v>
      </c>
      <c r="X5615" s="3">
        <v>3</v>
      </c>
      <c r="Y5615" s="18">
        <v>1</v>
      </c>
      <c r="Z5615" s="23">
        <v>19.5</v>
      </c>
      <c r="AB5615" s="18">
        <f t="shared" si="174"/>
        <v>2008</v>
      </c>
      <c r="AC5615" s="22">
        <f t="shared" si="175"/>
        <v>0.72199999999999998</v>
      </c>
    </row>
    <row r="5616" spans="1:29">
      <c r="A5616" s="8" t="s">
        <v>15468</v>
      </c>
      <c r="B5616" s="17" t="s">
        <v>7759</v>
      </c>
      <c r="C5616" s="13">
        <v>39513</v>
      </c>
      <c r="D5616" s="13" t="s">
        <v>8465</v>
      </c>
      <c r="E5616" s="10" t="s">
        <v>73</v>
      </c>
      <c r="F5616" s="10" t="s">
        <v>15464</v>
      </c>
      <c r="H5616" s="2" t="s">
        <v>1054</v>
      </c>
      <c r="L5616" s="18">
        <v>0</v>
      </c>
      <c r="Q5616" s="18">
        <v>0</v>
      </c>
      <c r="U5616" s="22">
        <v>0.56999999999999995</v>
      </c>
      <c r="V5616" s="22">
        <f>2.93/5</f>
        <v>0.58600000000000008</v>
      </c>
      <c r="X5616" s="3">
        <v>2</v>
      </c>
      <c r="Y5616" s="18">
        <v>1</v>
      </c>
      <c r="AB5616" s="18">
        <f t="shared" si="174"/>
        <v>2008</v>
      </c>
      <c r="AC5616" s="22">
        <f t="shared" si="175"/>
        <v>0.51866666666666672</v>
      </c>
    </row>
    <row r="5617" spans="1:29" ht="25.5">
      <c r="A5617" s="8" t="s">
        <v>4088</v>
      </c>
      <c r="B5617" s="17" t="s">
        <v>7800</v>
      </c>
      <c r="C5617" s="13">
        <v>39512</v>
      </c>
      <c r="D5617" s="13" t="s">
        <v>8465</v>
      </c>
      <c r="E5617" s="10" t="s">
        <v>4089</v>
      </c>
      <c r="F5617" s="10" t="s">
        <v>4089</v>
      </c>
      <c r="H5617" s="2" t="s">
        <v>1143</v>
      </c>
      <c r="L5617" s="18">
        <v>1</v>
      </c>
      <c r="N5617" s="13">
        <v>41090</v>
      </c>
      <c r="P5617" s="18" t="s">
        <v>1107</v>
      </c>
      <c r="Q5617" s="18">
        <v>0</v>
      </c>
      <c r="U5617" s="22">
        <v>0.68</v>
      </c>
      <c r="V5617" s="22">
        <f>3.23/5</f>
        <v>0.64600000000000002</v>
      </c>
      <c r="W5617" s="14" t="s">
        <v>7777</v>
      </c>
      <c r="X5617" s="3">
        <v>2</v>
      </c>
      <c r="Z5617" s="23">
        <v>6.5</v>
      </c>
      <c r="AB5617" s="18">
        <f t="shared" si="174"/>
        <v>2008</v>
      </c>
      <c r="AC5617" s="22">
        <f t="shared" si="175"/>
        <v>0.57533333333333336</v>
      </c>
    </row>
    <row r="5618" spans="1:29" ht="25.5">
      <c r="A5618" s="8" t="s">
        <v>2202</v>
      </c>
      <c r="B5618" s="17" t="s">
        <v>7748</v>
      </c>
      <c r="C5618" s="13">
        <v>39511</v>
      </c>
      <c r="D5618" s="13" t="s">
        <v>8465</v>
      </c>
      <c r="E5618" s="10" t="s">
        <v>455</v>
      </c>
      <c r="F5618" s="10" t="s">
        <v>164</v>
      </c>
      <c r="G5618" s="11" t="s">
        <v>11001</v>
      </c>
      <c r="H5618" s="2" t="s">
        <v>1377</v>
      </c>
      <c r="L5618" s="18">
        <v>0</v>
      </c>
      <c r="Q5618" s="18">
        <v>0</v>
      </c>
      <c r="U5618" s="22">
        <v>0.71</v>
      </c>
      <c r="V5618" s="22">
        <f>3.89/5</f>
        <v>0.77800000000000002</v>
      </c>
      <c r="X5618" s="3">
        <v>3</v>
      </c>
      <c r="Z5618" s="23">
        <v>22</v>
      </c>
      <c r="AB5618" s="18">
        <f t="shared" si="174"/>
        <v>2008</v>
      </c>
      <c r="AC5618" s="22">
        <f t="shared" si="175"/>
        <v>0.69600000000000006</v>
      </c>
    </row>
    <row r="5619" spans="1:29" ht="30">
      <c r="A5619" s="8" t="s">
        <v>6241</v>
      </c>
      <c r="B5619" s="17" t="s">
        <v>7762</v>
      </c>
      <c r="C5619" s="13">
        <v>39511</v>
      </c>
      <c r="D5619" s="13" t="s">
        <v>8465</v>
      </c>
      <c r="E5619" s="10" t="s">
        <v>1290</v>
      </c>
      <c r="F5619" s="10" t="s">
        <v>1555</v>
      </c>
      <c r="G5619" s="11" t="s">
        <v>5718</v>
      </c>
      <c r="H5619" s="2" t="s">
        <v>1059</v>
      </c>
      <c r="L5619" s="18">
        <v>0</v>
      </c>
      <c r="Q5619" s="18">
        <v>0</v>
      </c>
      <c r="U5619" s="22">
        <v>0.91</v>
      </c>
      <c r="V5619" s="22">
        <f>4.1/5</f>
        <v>0.82</v>
      </c>
      <c r="X5619" s="3">
        <v>2</v>
      </c>
      <c r="Z5619" s="23">
        <v>5.5</v>
      </c>
      <c r="AB5619" s="18">
        <f t="shared" si="174"/>
        <v>2008</v>
      </c>
      <c r="AC5619" s="22">
        <f t="shared" si="175"/>
        <v>0.71</v>
      </c>
    </row>
    <row r="5620" spans="1:29">
      <c r="A5620" s="8" t="s">
        <v>5343</v>
      </c>
      <c r="B5620" s="17" t="s">
        <v>7800</v>
      </c>
      <c r="C5620" s="13">
        <v>39510</v>
      </c>
      <c r="D5620" s="13" t="s">
        <v>8465</v>
      </c>
      <c r="E5620" s="10" t="s">
        <v>3559</v>
      </c>
      <c r="F5620" s="10" t="s">
        <v>3560</v>
      </c>
      <c r="H5620" s="2" t="s">
        <v>67</v>
      </c>
      <c r="L5620" s="18">
        <v>1</v>
      </c>
      <c r="N5620" s="13">
        <v>41984</v>
      </c>
      <c r="P5620" s="18" t="s">
        <v>1107</v>
      </c>
      <c r="Q5620" s="18">
        <v>0</v>
      </c>
      <c r="U5620" s="22">
        <v>0.74</v>
      </c>
      <c r="V5620" s="22">
        <f>3.67/5</f>
        <v>0.73399999999999999</v>
      </c>
      <c r="W5620" s="14" t="s">
        <v>7777</v>
      </c>
      <c r="X5620" s="3">
        <v>3</v>
      </c>
      <c r="Z5620" s="23">
        <v>19.5</v>
      </c>
      <c r="AB5620" s="18">
        <f t="shared" si="174"/>
        <v>2008</v>
      </c>
      <c r="AC5620" s="22">
        <f t="shared" si="175"/>
        <v>0.69133333333333324</v>
      </c>
    </row>
    <row r="5621" spans="1:29">
      <c r="A5621" s="8" t="s">
        <v>11797</v>
      </c>
      <c r="B5621" s="17" t="s">
        <v>7758</v>
      </c>
      <c r="C5621" s="13">
        <v>39507</v>
      </c>
      <c r="D5621" s="13" t="s">
        <v>8467</v>
      </c>
      <c r="E5621" s="10" t="s">
        <v>7419</v>
      </c>
      <c r="F5621" s="10" t="s">
        <v>7413</v>
      </c>
      <c r="H5621" s="2" t="s">
        <v>171</v>
      </c>
      <c r="L5621" s="18">
        <v>0</v>
      </c>
      <c r="Q5621" s="18">
        <v>0</v>
      </c>
      <c r="V5621" s="22">
        <f>3.5/5</f>
        <v>0.7</v>
      </c>
      <c r="X5621" s="3">
        <v>3</v>
      </c>
      <c r="AB5621" s="18">
        <f t="shared" si="174"/>
        <v>2008</v>
      </c>
      <c r="AC5621" s="22">
        <f t="shared" si="175"/>
        <v>0.64999999999999991</v>
      </c>
    </row>
    <row r="5622" spans="1:29">
      <c r="A5622" s="8" t="s">
        <v>2266</v>
      </c>
      <c r="B5622" s="17" t="s">
        <v>7748</v>
      </c>
      <c r="C5622" s="13">
        <v>39506</v>
      </c>
      <c r="D5622" s="13" t="s">
        <v>8463</v>
      </c>
      <c r="E5622" s="10" t="s">
        <v>86</v>
      </c>
      <c r="F5622" s="10" t="s">
        <v>1145</v>
      </c>
      <c r="H5622" s="2" t="s">
        <v>171</v>
      </c>
      <c r="K5622" s="18">
        <v>2</v>
      </c>
      <c r="L5622" s="18">
        <v>0</v>
      </c>
      <c r="Q5622" s="18">
        <v>0</v>
      </c>
      <c r="U5622" s="22">
        <v>0.85</v>
      </c>
      <c r="V5622" s="22">
        <f>3.99/5</f>
        <v>0.79800000000000004</v>
      </c>
      <c r="X5622" s="3">
        <v>4</v>
      </c>
      <c r="Z5622" s="23">
        <v>28.5</v>
      </c>
      <c r="AB5622" s="18">
        <f t="shared" si="174"/>
        <v>2008</v>
      </c>
      <c r="AC5622" s="22">
        <f t="shared" si="175"/>
        <v>0.81600000000000017</v>
      </c>
    </row>
    <row r="5623" spans="1:29" ht="30">
      <c r="A5623" s="8" t="s">
        <v>6248</v>
      </c>
      <c r="B5623" s="17" t="s">
        <v>7762</v>
      </c>
      <c r="C5623" s="13">
        <v>39504</v>
      </c>
      <c r="D5623" s="13" t="s">
        <v>8465</v>
      </c>
      <c r="E5623" s="10" t="s">
        <v>1290</v>
      </c>
      <c r="F5623" s="10" t="s">
        <v>6261</v>
      </c>
      <c r="G5623" s="11" t="s">
        <v>6248</v>
      </c>
      <c r="H5623" s="2" t="s">
        <v>1220</v>
      </c>
      <c r="L5623" s="18">
        <v>0</v>
      </c>
      <c r="Q5623" s="18">
        <v>0</v>
      </c>
      <c r="U5623" s="22">
        <v>0.86</v>
      </c>
      <c r="V5623" s="22">
        <f>4/5</f>
        <v>0.8</v>
      </c>
      <c r="X5623" s="3">
        <v>4</v>
      </c>
      <c r="Z5623" s="23">
        <v>15</v>
      </c>
      <c r="AB5623" s="18">
        <f t="shared" si="174"/>
        <v>2008</v>
      </c>
      <c r="AC5623" s="22">
        <f t="shared" si="175"/>
        <v>0.82</v>
      </c>
    </row>
    <row r="5624" spans="1:29">
      <c r="A5624" s="8" t="s">
        <v>9192</v>
      </c>
      <c r="B5624" s="17" t="s">
        <v>7759</v>
      </c>
      <c r="C5624" s="13">
        <v>39504</v>
      </c>
      <c r="D5624" s="13" t="s">
        <v>8465</v>
      </c>
      <c r="E5624" s="10" t="s">
        <v>1047</v>
      </c>
      <c r="F5624" s="10" t="s">
        <v>1048</v>
      </c>
      <c r="G5624" s="11" t="s">
        <v>9193</v>
      </c>
      <c r="H5624" s="2" t="s">
        <v>80</v>
      </c>
      <c r="L5624" s="18">
        <v>0</v>
      </c>
      <c r="Q5624" s="18">
        <v>0</v>
      </c>
      <c r="U5624" s="22">
        <v>0.54</v>
      </c>
      <c r="V5624" s="22">
        <f>2.84/5</f>
        <v>0.56799999999999995</v>
      </c>
      <c r="X5624" s="3">
        <v>2</v>
      </c>
      <c r="Y5624" s="18">
        <v>1</v>
      </c>
      <c r="Z5624" s="23">
        <v>5.5</v>
      </c>
      <c r="AB5624" s="18">
        <f t="shared" si="174"/>
        <v>2008</v>
      </c>
      <c r="AC5624" s="22">
        <f t="shared" si="175"/>
        <v>0.50266666666666671</v>
      </c>
    </row>
    <row r="5625" spans="1:29" ht="25.5">
      <c r="A5625" s="8" t="s">
        <v>14832</v>
      </c>
      <c r="B5625" s="17" t="s">
        <v>7759</v>
      </c>
      <c r="C5625" s="13">
        <v>39504</v>
      </c>
      <c r="D5625" s="13" t="s">
        <v>8465</v>
      </c>
      <c r="E5625" s="10" t="s">
        <v>1513</v>
      </c>
      <c r="F5625" s="10" t="s">
        <v>4292</v>
      </c>
      <c r="H5625" s="2" t="s">
        <v>1050</v>
      </c>
      <c r="L5625" s="18">
        <v>0</v>
      </c>
      <c r="Q5625" s="18">
        <v>0</v>
      </c>
      <c r="U5625" s="22">
        <v>0.42</v>
      </c>
      <c r="V5625" s="22">
        <f>2.43/5</f>
        <v>0.48600000000000004</v>
      </c>
      <c r="X5625" s="3">
        <v>2</v>
      </c>
      <c r="Y5625" s="18">
        <v>1</v>
      </c>
      <c r="Z5625" s="23">
        <v>4.5</v>
      </c>
      <c r="AB5625" s="18">
        <f t="shared" si="174"/>
        <v>2008</v>
      </c>
      <c r="AC5625" s="22">
        <f t="shared" si="175"/>
        <v>0.43533333333333335</v>
      </c>
    </row>
    <row r="5626" spans="1:29">
      <c r="A5626" s="8" t="s">
        <v>14835</v>
      </c>
      <c r="B5626" s="17" t="s">
        <v>7800</v>
      </c>
      <c r="C5626" s="13">
        <v>39503</v>
      </c>
      <c r="D5626" s="13" t="s">
        <v>8465</v>
      </c>
      <c r="E5626" s="10" t="s">
        <v>1342</v>
      </c>
      <c r="F5626" s="10" t="s">
        <v>14836</v>
      </c>
      <c r="H5626" s="2" t="s">
        <v>1050</v>
      </c>
      <c r="L5626" s="18">
        <v>0</v>
      </c>
      <c r="Q5626" s="18">
        <v>0</v>
      </c>
      <c r="U5626" s="22">
        <v>0.73</v>
      </c>
      <c r="V5626" s="22">
        <f>3.15/5</f>
        <v>0.63</v>
      </c>
      <c r="X5626" s="3">
        <v>2</v>
      </c>
      <c r="Z5626" s="23">
        <v>5.5</v>
      </c>
      <c r="AB5626" s="18">
        <f t="shared" si="174"/>
        <v>2008</v>
      </c>
      <c r="AC5626" s="22">
        <f t="shared" si="175"/>
        <v>0.58666666666666656</v>
      </c>
    </row>
    <row r="5627" spans="1:29" ht="25.5">
      <c r="A5627" s="8" t="s">
        <v>8148</v>
      </c>
      <c r="B5627" s="17" t="s">
        <v>7741</v>
      </c>
      <c r="C5627" s="13">
        <v>39503</v>
      </c>
      <c r="D5627" s="13" t="s">
        <v>8465</v>
      </c>
      <c r="E5627" s="10" t="s">
        <v>1342</v>
      </c>
      <c r="F5627" s="10" t="s">
        <v>8128</v>
      </c>
      <c r="G5627" s="11" t="s">
        <v>8127</v>
      </c>
      <c r="H5627" s="2" t="s">
        <v>80</v>
      </c>
      <c r="L5627" s="18">
        <v>0</v>
      </c>
      <c r="Q5627" s="18">
        <v>0</v>
      </c>
      <c r="U5627" s="22">
        <v>0.53420000000000001</v>
      </c>
      <c r="V5627" s="22">
        <f>3.7/5</f>
        <v>0.74</v>
      </c>
      <c r="X5627" s="3">
        <v>2</v>
      </c>
      <c r="Z5627" s="23">
        <v>4.5</v>
      </c>
      <c r="AB5627" s="18">
        <f t="shared" si="174"/>
        <v>2008</v>
      </c>
      <c r="AC5627" s="22">
        <f t="shared" si="175"/>
        <v>0.5580666666666666</v>
      </c>
    </row>
    <row r="5628" spans="1:29" ht="51">
      <c r="A5628" s="8" t="s">
        <v>13959</v>
      </c>
      <c r="B5628" s="17" t="s">
        <v>7748</v>
      </c>
      <c r="C5628" s="13">
        <v>39499</v>
      </c>
      <c r="D5628" s="13" t="s">
        <v>8463</v>
      </c>
      <c r="E5628" s="10" t="s">
        <v>455</v>
      </c>
      <c r="F5628" s="10" t="s">
        <v>13960</v>
      </c>
      <c r="G5628" s="11" t="s">
        <v>5874</v>
      </c>
      <c r="H5628" s="2" t="s">
        <v>75</v>
      </c>
      <c r="K5628" s="18">
        <v>0</v>
      </c>
      <c r="L5628" s="18">
        <v>0</v>
      </c>
      <c r="Q5628" s="18">
        <v>0</v>
      </c>
      <c r="V5628" s="22">
        <f>4.15/5</f>
        <v>0.83000000000000007</v>
      </c>
      <c r="X5628" s="3">
        <v>2</v>
      </c>
      <c r="AB5628" s="18">
        <f t="shared" si="174"/>
        <v>2008</v>
      </c>
      <c r="AC5628" s="22">
        <f t="shared" si="175"/>
        <v>0.61499999999999999</v>
      </c>
    </row>
    <row r="5629" spans="1:29" ht="25.5">
      <c r="A5629" s="8" t="s">
        <v>2234</v>
      </c>
      <c r="B5629" s="17" t="s">
        <v>7748</v>
      </c>
      <c r="C5629" s="13">
        <v>39497</v>
      </c>
      <c r="D5629" s="13" t="s">
        <v>8465</v>
      </c>
      <c r="E5629" s="10" t="s">
        <v>73</v>
      </c>
      <c r="F5629" s="10" t="s">
        <v>73</v>
      </c>
      <c r="G5629" s="11" t="s">
        <v>2323</v>
      </c>
      <c r="H5629" s="2" t="s">
        <v>67</v>
      </c>
      <c r="L5629" s="18">
        <v>0</v>
      </c>
      <c r="Q5629" s="18">
        <v>0</v>
      </c>
      <c r="U5629" s="22">
        <v>0.78</v>
      </c>
      <c r="V5629" s="22">
        <f>4.05/5</f>
        <v>0.80999999999999994</v>
      </c>
      <c r="X5629" s="3">
        <v>4</v>
      </c>
      <c r="Z5629" s="23">
        <v>20</v>
      </c>
      <c r="AB5629" s="18">
        <f t="shared" si="174"/>
        <v>2008</v>
      </c>
      <c r="AC5629" s="22">
        <f t="shared" si="175"/>
        <v>0.79666666666666652</v>
      </c>
    </row>
    <row r="5630" spans="1:29" ht="51">
      <c r="A5630" s="8" t="s">
        <v>7377</v>
      </c>
      <c r="B5630" s="17" t="s">
        <v>7741</v>
      </c>
      <c r="C5630" s="13">
        <v>39497</v>
      </c>
      <c r="D5630" s="13" t="s">
        <v>8465</v>
      </c>
      <c r="E5630" s="10" t="s">
        <v>1082</v>
      </c>
      <c r="F5630" s="10" t="s">
        <v>1490</v>
      </c>
      <c r="G5630" s="11" t="s">
        <v>140</v>
      </c>
      <c r="H5630" s="2" t="s">
        <v>171</v>
      </c>
      <c r="L5630" s="18">
        <v>0</v>
      </c>
      <c r="Q5630" s="18">
        <v>0</v>
      </c>
      <c r="U5630" s="22">
        <v>0.67</v>
      </c>
      <c r="V5630" s="22">
        <f>3.51/5</f>
        <v>0.70199999999999996</v>
      </c>
      <c r="X5630" s="3">
        <v>3</v>
      </c>
      <c r="Z5630" s="23">
        <v>9</v>
      </c>
      <c r="AB5630" s="18">
        <f t="shared" si="174"/>
        <v>2008</v>
      </c>
      <c r="AC5630" s="22">
        <f t="shared" si="175"/>
        <v>0.65733333333333333</v>
      </c>
    </row>
    <row r="5631" spans="1:29">
      <c r="A5631" s="8" t="s">
        <v>7939</v>
      </c>
      <c r="B5631" s="17" t="s">
        <v>7759</v>
      </c>
      <c r="C5631" s="13">
        <v>39497</v>
      </c>
      <c r="D5631" s="13" t="s">
        <v>8465</v>
      </c>
      <c r="E5631" s="10" t="s">
        <v>68</v>
      </c>
      <c r="F5631" s="10" t="s">
        <v>1471</v>
      </c>
      <c r="G5631" s="11" t="s">
        <v>7935</v>
      </c>
      <c r="H5631" s="2" t="s">
        <v>1059</v>
      </c>
      <c r="L5631" s="18">
        <v>1</v>
      </c>
      <c r="M5631" s="14" t="s">
        <v>8462</v>
      </c>
      <c r="N5631" s="13">
        <v>44018</v>
      </c>
      <c r="O5631" s="29">
        <v>10.84</v>
      </c>
      <c r="P5631" s="18" t="s">
        <v>14</v>
      </c>
      <c r="Q5631" s="18">
        <v>0</v>
      </c>
      <c r="U5631" s="22">
        <v>0.59</v>
      </c>
      <c r="V5631" s="22">
        <f>3.6/5</f>
        <v>0.72</v>
      </c>
      <c r="X5631" s="3">
        <v>2</v>
      </c>
      <c r="Z5631" s="23">
        <v>14.5</v>
      </c>
      <c r="AB5631" s="18">
        <f t="shared" si="174"/>
        <v>2008</v>
      </c>
      <c r="AC5631" s="22">
        <f t="shared" si="175"/>
        <v>0.56999999999999995</v>
      </c>
    </row>
    <row r="5632" spans="1:29" ht="38.25">
      <c r="A5632" s="8" t="s">
        <v>11584</v>
      </c>
      <c r="B5632" s="17" t="s">
        <v>7762</v>
      </c>
      <c r="C5632" s="13">
        <v>39497</v>
      </c>
      <c r="D5632" s="13" t="s">
        <v>8465</v>
      </c>
      <c r="E5632" s="10" t="s">
        <v>62</v>
      </c>
      <c r="F5632" s="10" t="s">
        <v>62</v>
      </c>
      <c r="G5632" s="11" t="s">
        <v>7810</v>
      </c>
      <c r="H5632" s="2" t="s">
        <v>171</v>
      </c>
      <c r="L5632" s="18">
        <v>0</v>
      </c>
      <c r="Q5632" s="18">
        <v>0</v>
      </c>
      <c r="U5632" s="22">
        <v>0.56000000000000005</v>
      </c>
      <c r="V5632" s="22">
        <f>3.32/5</f>
        <v>0.66399999999999992</v>
      </c>
      <c r="X5632" s="3">
        <v>2</v>
      </c>
      <c r="Z5632" s="23">
        <v>10</v>
      </c>
      <c r="AB5632" s="18">
        <f t="shared" si="174"/>
        <v>2008</v>
      </c>
      <c r="AC5632" s="22">
        <f t="shared" si="175"/>
        <v>0.54133333333333333</v>
      </c>
    </row>
    <row r="5633" spans="1:29">
      <c r="A5633" s="8" t="s">
        <v>3239</v>
      </c>
      <c r="B5633" s="17" t="s">
        <v>7800</v>
      </c>
      <c r="C5633" s="13">
        <v>39494</v>
      </c>
      <c r="D5633" s="13" t="s">
        <v>8465</v>
      </c>
      <c r="E5633" s="10" t="s">
        <v>3234</v>
      </c>
      <c r="F5633" s="10" t="s">
        <v>3234</v>
      </c>
      <c r="G5633" s="11" t="s">
        <v>3238</v>
      </c>
      <c r="H5633" s="2" t="s">
        <v>1720</v>
      </c>
      <c r="L5633" s="18">
        <v>1</v>
      </c>
      <c r="N5633" s="13">
        <v>41087</v>
      </c>
      <c r="P5633" s="18" t="s">
        <v>1107</v>
      </c>
      <c r="Q5633" s="18">
        <v>0</v>
      </c>
      <c r="U5633" s="22">
        <v>0.7</v>
      </c>
      <c r="V5633" s="22">
        <f>3.41/5</f>
        <v>0.68200000000000005</v>
      </c>
      <c r="W5633" s="14" t="s">
        <v>7777</v>
      </c>
      <c r="X5633" s="3">
        <v>2</v>
      </c>
      <c r="Z5633" s="23">
        <v>60</v>
      </c>
      <c r="AB5633" s="18">
        <f t="shared" ref="AB5633:AB5696" si="176">IFERROR(YEAR(C5633), "Early Access")</f>
        <v>2008</v>
      </c>
      <c r="AC5633" s="22">
        <f t="shared" ref="AC5633:AC5696" si="177">AVERAGE(T5633, U5633, V5633, IF(ISBLANK(X5633), X5633, X5633/5))</f>
        <v>0.59399999999999997</v>
      </c>
    </row>
    <row r="5634" spans="1:29">
      <c r="A5634" s="8" t="s">
        <v>4632</v>
      </c>
      <c r="B5634" s="17" t="s">
        <v>7800</v>
      </c>
      <c r="C5634" s="13">
        <v>39493</v>
      </c>
      <c r="D5634" s="13" t="s">
        <v>8465</v>
      </c>
      <c r="E5634" s="10" t="s">
        <v>1513</v>
      </c>
      <c r="F5634" s="10" t="s">
        <v>3121</v>
      </c>
      <c r="G5634" s="11" t="s">
        <v>4630</v>
      </c>
      <c r="H5634" s="2" t="s">
        <v>171</v>
      </c>
      <c r="L5634" s="18">
        <v>1</v>
      </c>
      <c r="N5634" s="13">
        <v>41632</v>
      </c>
      <c r="P5634" s="18" t="s">
        <v>1107</v>
      </c>
      <c r="Q5634" s="18">
        <v>0</v>
      </c>
      <c r="V5634" s="22">
        <f>3.63/5</f>
        <v>0.72599999999999998</v>
      </c>
      <c r="W5634" s="14" t="s">
        <v>7777</v>
      </c>
      <c r="X5634" s="3">
        <v>3</v>
      </c>
      <c r="Z5634" s="23">
        <v>8</v>
      </c>
      <c r="AB5634" s="18">
        <f t="shared" si="176"/>
        <v>2008</v>
      </c>
      <c r="AC5634" s="22">
        <f t="shared" si="177"/>
        <v>0.66300000000000003</v>
      </c>
    </row>
    <row r="5635" spans="1:29">
      <c r="A5635" s="8" t="s">
        <v>13277</v>
      </c>
      <c r="B5635" s="17" t="s">
        <v>7748</v>
      </c>
      <c r="C5635" s="13">
        <v>39493</v>
      </c>
      <c r="D5635" s="13" t="s">
        <v>8465</v>
      </c>
      <c r="E5635" s="10" t="s">
        <v>6087</v>
      </c>
      <c r="F5635" s="10" t="s">
        <v>13278</v>
      </c>
      <c r="H5635" s="2" t="s">
        <v>1143</v>
      </c>
      <c r="L5635" s="18">
        <v>0</v>
      </c>
      <c r="Q5635" s="18">
        <v>0</v>
      </c>
      <c r="V5635" s="22">
        <f>3.5/5</f>
        <v>0.7</v>
      </c>
      <c r="X5635" s="3">
        <v>2</v>
      </c>
      <c r="AB5635" s="18">
        <f t="shared" si="176"/>
        <v>2008</v>
      </c>
      <c r="AC5635" s="22">
        <f t="shared" si="177"/>
        <v>0.55000000000000004</v>
      </c>
    </row>
    <row r="5636" spans="1:29">
      <c r="A5636" s="8" t="s">
        <v>6326</v>
      </c>
      <c r="B5636" s="17" t="s">
        <v>7765</v>
      </c>
      <c r="C5636" s="13">
        <v>39490</v>
      </c>
      <c r="D5636" s="13" t="s">
        <v>8465</v>
      </c>
      <c r="E5636" s="10" t="s">
        <v>3740</v>
      </c>
      <c r="F5636" s="10" t="s">
        <v>1548</v>
      </c>
      <c r="H5636" s="2" t="s">
        <v>149</v>
      </c>
      <c r="L5636" s="18">
        <v>1</v>
      </c>
      <c r="P5636" s="18" t="s">
        <v>1107</v>
      </c>
      <c r="Q5636" s="18">
        <v>0</v>
      </c>
      <c r="U5636" s="22">
        <v>0.8</v>
      </c>
      <c r="V5636" s="22">
        <f>4.15/5</f>
        <v>0.83000000000000007</v>
      </c>
      <c r="X5636" s="3">
        <v>4</v>
      </c>
      <c r="Z5636" s="23">
        <v>50</v>
      </c>
      <c r="AB5636" s="18">
        <f t="shared" si="176"/>
        <v>2008</v>
      </c>
      <c r="AC5636" s="22">
        <f t="shared" si="177"/>
        <v>0.81</v>
      </c>
    </row>
    <row r="5637" spans="1:29" ht="30">
      <c r="A5637" s="8" t="s">
        <v>7833</v>
      </c>
      <c r="B5637" s="17" t="s">
        <v>7762</v>
      </c>
      <c r="C5637" s="13">
        <v>39490</v>
      </c>
      <c r="D5637" s="13" t="s">
        <v>8465</v>
      </c>
      <c r="E5637" s="10" t="s">
        <v>2908</v>
      </c>
      <c r="F5637" s="10" t="s">
        <v>7831</v>
      </c>
      <c r="G5637" s="11" t="s">
        <v>6050</v>
      </c>
      <c r="H5637" s="2" t="s">
        <v>150</v>
      </c>
      <c r="L5637" s="18">
        <v>0</v>
      </c>
      <c r="Q5637" s="18">
        <v>0</v>
      </c>
      <c r="U5637" s="22">
        <v>0.84140000000000004</v>
      </c>
      <c r="V5637" s="22">
        <f>4.01/5</f>
        <v>0.80199999999999994</v>
      </c>
      <c r="X5637" s="3">
        <v>3</v>
      </c>
      <c r="Z5637" s="23">
        <v>8</v>
      </c>
      <c r="AB5637" s="18">
        <f t="shared" si="176"/>
        <v>2008</v>
      </c>
      <c r="AC5637" s="22">
        <f t="shared" si="177"/>
        <v>0.74779999999999991</v>
      </c>
    </row>
    <row r="5638" spans="1:29" ht="38.25">
      <c r="A5638" s="8" t="s">
        <v>14307</v>
      </c>
      <c r="B5638" s="17" t="s">
        <v>7748</v>
      </c>
      <c r="C5638" s="13">
        <v>39485</v>
      </c>
      <c r="D5638" s="13" t="s">
        <v>8463</v>
      </c>
      <c r="E5638" s="10" t="s">
        <v>72</v>
      </c>
      <c r="F5638" s="10" t="s">
        <v>72</v>
      </c>
      <c r="G5638" s="11" t="s">
        <v>11182</v>
      </c>
      <c r="H5638" s="2" t="s">
        <v>1057</v>
      </c>
      <c r="K5638" s="18">
        <v>2</v>
      </c>
      <c r="L5638" s="18">
        <v>0</v>
      </c>
      <c r="Q5638" s="18">
        <v>0</v>
      </c>
      <c r="V5638" s="22">
        <f>3.94/5</f>
        <v>0.78800000000000003</v>
      </c>
      <c r="X5638" s="3">
        <v>2</v>
      </c>
      <c r="AB5638" s="18">
        <f t="shared" si="176"/>
        <v>2008</v>
      </c>
      <c r="AC5638" s="22">
        <f t="shared" si="177"/>
        <v>0.59400000000000008</v>
      </c>
    </row>
    <row r="5639" spans="1:29" ht="30">
      <c r="A5639" s="8" t="s">
        <v>11549</v>
      </c>
      <c r="B5639" s="17" t="s">
        <v>7762</v>
      </c>
      <c r="C5639" s="13">
        <v>39485</v>
      </c>
      <c r="D5639" s="13" t="s">
        <v>8463</v>
      </c>
      <c r="E5639" s="10" t="s">
        <v>2908</v>
      </c>
      <c r="F5639" s="10" t="s">
        <v>9414</v>
      </c>
      <c r="H5639" s="2" t="s">
        <v>171</v>
      </c>
      <c r="K5639" s="18">
        <v>0</v>
      </c>
      <c r="L5639" s="18">
        <v>0</v>
      </c>
      <c r="Q5639" s="18">
        <v>0</v>
      </c>
      <c r="V5639" s="22">
        <f>2.74/5</f>
        <v>0.54800000000000004</v>
      </c>
      <c r="X5639" s="3">
        <v>2</v>
      </c>
      <c r="AB5639" s="18">
        <f t="shared" si="176"/>
        <v>2008</v>
      </c>
      <c r="AC5639" s="22">
        <f t="shared" si="177"/>
        <v>0.47400000000000003</v>
      </c>
    </row>
    <row r="5640" spans="1:29">
      <c r="A5640" s="8" t="s">
        <v>8904</v>
      </c>
      <c r="B5640" s="17" t="s">
        <v>7765</v>
      </c>
      <c r="C5640" s="13">
        <v>39483</v>
      </c>
      <c r="D5640" s="13" t="s">
        <v>8465</v>
      </c>
      <c r="E5640" s="10" t="s">
        <v>1509</v>
      </c>
      <c r="F5640" s="10" t="s">
        <v>8901</v>
      </c>
      <c r="G5640" s="11" t="s">
        <v>8900</v>
      </c>
      <c r="H5640" s="2" t="s">
        <v>3411</v>
      </c>
      <c r="L5640" s="18">
        <v>0</v>
      </c>
      <c r="Q5640" s="18">
        <v>0</v>
      </c>
      <c r="U5640" s="22">
        <v>0.75</v>
      </c>
      <c r="V5640" s="22">
        <f>3.79/5</f>
        <v>0.75800000000000001</v>
      </c>
      <c r="X5640" s="3">
        <v>3</v>
      </c>
      <c r="Y5640" s="18">
        <v>1</v>
      </c>
      <c r="AB5640" s="18">
        <f t="shared" si="176"/>
        <v>2008</v>
      </c>
      <c r="AC5640" s="22">
        <f t="shared" si="177"/>
        <v>0.70266666666666666</v>
      </c>
    </row>
    <row r="5641" spans="1:29" ht="25.5">
      <c r="A5641" s="8" t="s">
        <v>14485</v>
      </c>
      <c r="B5641" s="17" t="s">
        <v>7758</v>
      </c>
      <c r="C5641" s="13">
        <v>39483</v>
      </c>
      <c r="D5641" s="13" t="s">
        <v>8465</v>
      </c>
      <c r="E5641" s="10" t="s">
        <v>68</v>
      </c>
      <c r="F5641" s="10" t="s">
        <v>68</v>
      </c>
      <c r="G5641" s="11" t="s">
        <v>14482</v>
      </c>
      <c r="H5641" s="2" t="s">
        <v>69</v>
      </c>
      <c r="L5641" s="18">
        <v>0</v>
      </c>
      <c r="Q5641" s="18">
        <v>0</v>
      </c>
      <c r="U5641" s="22">
        <v>0.7</v>
      </c>
      <c r="V5641" s="22">
        <f>3.83/5</f>
        <v>0.76600000000000001</v>
      </c>
      <c r="X5641" s="3">
        <v>2</v>
      </c>
      <c r="AB5641" s="18">
        <f t="shared" si="176"/>
        <v>2008</v>
      </c>
      <c r="AC5641" s="22">
        <f t="shared" si="177"/>
        <v>0.622</v>
      </c>
    </row>
    <row r="5642" spans="1:29" ht="30">
      <c r="A5642" s="8" t="s">
        <v>1465</v>
      </c>
      <c r="B5642" s="17" t="s">
        <v>7759</v>
      </c>
      <c r="C5642" s="13">
        <v>39483</v>
      </c>
      <c r="D5642" s="13" t="s">
        <v>8465</v>
      </c>
      <c r="E5642" s="10" t="s">
        <v>2317</v>
      </c>
      <c r="F5642" s="10" t="s">
        <v>6749</v>
      </c>
      <c r="G5642" s="11" t="s">
        <v>1465</v>
      </c>
      <c r="H5642" s="2" t="s">
        <v>1050</v>
      </c>
      <c r="L5642" s="18">
        <v>0</v>
      </c>
      <c r="Q5642" s="18">
        <v>0</v>
      </c>
      <c r="U5642" s="22">
        <v>0.69</v>
      </c>
      <c r="V5642" s="22">
        <f>3.15/5</f>
        <v>0.63</v>
      </c>
      <c r="X5642" s="3">
        <v>3</v>
      </c>
      <c r="Y5642" s="18">
        <v>1</v>
      </c>
      <c r="Z5642" s="23">
        <v>8</v>
      </c>
      <c r="AB5642" s="18">
        <f t="shared" si="176"/>
        <v>2008</v>
      </c>
      <c r="AC5642" s="22">
        <f t="shared" si="177"/>
        <v>0.64</v>
      </c>
    </row>
    <row r="5643" spans="1:29">
      <c r="A5643" s="8" t="s">
        <v>7113</v>
      </c>
      <c r="B5643" s="17" t="s">
        <v>7800</v>
      </c>
      <c r="C5643" s="13">
        <v>39482</v>
      </c>
      <c r="D5643" s="13" t="s">
        <v>8465</v>
      </c>
      <c r="E5643" s="10" t="s">
        <v>7012</v>
      </c>
      <c r="F5643" s="10" t="s">
        <v>7012</v>
      </c>
      <c r="H5643" s="2" t="s">
        <v>1050</v>
      </c>
      <c r="L5643" s="18">
        <v>0</v>
      </c>
      <c r="Q5643" s="18">
        <v>0</v>
      </c>
      <c r="W5643" s="14" t="s">
        <v>5674</v>
      </c>
      <c r="X5643" s="3">
        <v>2</v>
      </c>
      <c r="Z5643" s="23">
        <v>1.5</v>
      </c>
      <c r="AB5643" s="18">
        <f t="shared" si="176"/>
        <v>2008</v>
      </c>
      <c r="AC5643" s="22">
        <f t="shared" si="177"/>
        <v>0.4</v>
      </c>
    </row>
    <row r="5644" spans="1:29">
      <c r="A5644" s="8" t="s">
        <v>14328</v>
      </c>
      <c r="B5644" s="17" t="s">
        <v>14326</v>
      </c>
      <c r="C5644" s="13">
        <v>39482</v>
      </c>
      <c r="D5644" s="13" t="s">
        <v>8465</v>
      </c>
      <c r="E5644" s="10" t="s">
        <v>9636</v>
      </c>
      <c r="F5644" s="10" t="s">
        <v>9637</v>
      </c>
      <c r="G5644" s="11" t="s">
        <v>9635</v>
      </c>
      <c r="H5644" s="2" t="s">
        <v>150</v>
      </c>
      <c r="L5644" s="18">
        <v>0</v>
      </c>
      <c r="Q5644" s="18">
        <v>0</v>
      </c>
      <c r="X5644" s="3">
        <v>2</v>
      </c>
      <c r="AB5644" s="18">
        <f t="shared" si="176"/>
        <v>2008</v>
      </c>
      <c r="AC5644" s="22">
        <f t="shared" si="177"/>
        <v>0.4</v>
      </c>
    </row>
    <row r="5645" spans="1:29">
      <c r="A5645" s="8" t="s">
        <v>12414</v>
      </c>
      <c r="B5645" s="17" t="s">
        <v>7748</v>
      </c>
      <c r="C5645" s="13">
        <v>39478</v>
      </c>
      <c r="D5645" s="13" t="s">
        <v>8463</v>
      </c>
      <c r="E5645" s="10" t="s">
        <v>72</v>
      </c>
      <c r="F5645" s="10" t="s">
        <v>72</v>
      </c>
      <c r="H5645" s="2" t="s">
        <v>67</v>
      </c>
      <c r="K5645" s="18">
        <v>0</v>
      </c>
      <c r="L5645" s="18">
        <v>0</v>
      </c>
      <c r="Q5645" s="18">
        <v>0</v>
      </c>
      <c r="V5645" s="22">
        <f>4/5</f>
        <v>0.8</v>
      </c>
      <c r="X5645" s="3">
        <v>2</v>
      </c>
      <c r="AB5645" s="18">
        <f t="shared" si="176"/>
        <v>2008</v>
      </c>
      <c r="AC5645" s="22">
        <f t="shared" si="177"/>
        <v>0.60000000000000009</v>
      </c>
    </row>
    <row r="5646" spans="1:29" ht="25.5">
      <c r="A5646" s="8" t="s">
        <v>13164</v>
      </c>
      <c r="B5646" s="17" t="s">
        <v>7748</v>
      </c>
      <c r="C5646" s="13">
        <v>39476</v>
      </c>
      <c r="D5646" s="13" t="s">
        <v>8465</v>
      </c>
      <c r="E5646" s="10" t="s">
        <v>62</v>
      </c>
      <c r="F5646" s="10" t="s">
        <v>62</v>
      </c>
      <c r="G5646" s="11" t="s">
        <v>7674</v>
      </c>
      <c r="H5646" s="2" t="s">
        <v>31</v>
      </c>
      <c r="L5646" s="18">
        <v>0</v>
      </c>
      <c r="Q5646" s="18">
        <v>0</v>
      </c>
      <c r="U5646" s="22">
        <v>0.74</v>
      </c>
      <c r="V5646" s="22">
        <f>3.89/5</f>
        <v>0.77800000000000002</v>
      </c>
      <c r="X5646" s="3">
        <v>2</v>
      </c>
      <c r="Z5646" s="23">
        <v>7</v>
      </c>
      <c r="AB5646" s="18">
        <f t="shared" si="176"/>
        <v>2008</v>
      </c>
      <c r="AC5646" s="22">
        <f t="shared" si="177"/>
        <v>0.63933333333333342</v>
      </c>
    </row>
    <row r="5647" spans="1:29">
      <c r="A5647" s="8" t="s">
        <v>13161</v>
      </c>
      <c r="B5647" s="17" t="s">
        <v>7741</v>
      </c>
      <c r="C5647" s="13">
        <v>39476</v>
      </c>
      <c r="D5647" s="13" t="s">
        <v>8465</v>
      </c>
      <c r="E5647" s="10" t="s">
        <v>62</v>
      </c>
      <c r="F5647" s="10" t="s">
        <v>62</v>
      </c>
      <c r="G5647" s="11" t="s">
        <v>7674</v>
      </c>
      <c r="H5647" s="2" t="s">
        <v>31</v>
      </c>
      <c r="L5647" s="18">
        <v>0</v>
      </c>
      <c r="Q5647" s="18">
        <v>0</v>
      </c>
      <c r="U5647" s="22">
        <v>0.56999999999999995</v>
      </c>
      <c r="V5647" s="22">
        <f>3.52/5</f>
        <v>0.70399999999999996</v>
      </c>
      <c r="X5647" s="3">
        <v>2</v>
      </c>
      <c r="Z5647" s="23">
        <f>45/60</f>
        <v>0.75</v>
      </c>
      <c r="AB5647" s="18">
        <f t="shared" si="176"/>
        <v>2008</v>
      </c>
      <c r="AC5647" s="22">
        <f t="shared" si="177"/>
        <v>0.55799999999999994</v>
      </c>
    </row>
    <row r="5648" spans="1:29" ht="30">
      <c r="A5648" s="8" t="s">
        <v>13161</v>
      </c>
      <c r="B5648" s="17" t="s">
        <v>7762</v>
      </c>
      <c r="C5648" s="13">
        <v>39476</v>
      </c>
      <c r="D5648" s="13" t="s">
        <v>8465</v>
      </c>
      <c r="E5648" s="10" t="s">
        <v>62</v>
      </c>
      <c r="F5648" s="10" t="s">
        <v>8379</v>
      </c>
      <c r="G5648" s="11" t="s">
        <v>7674</v>
      </c>
      <c r="H5648" s="2" t="s">
        <v>1142</v>
      </c>
      <c r="L5648" s="18">
        <v>0</v>
      </c>
      <c r="Q5648" s="18">
        <v>0</v>
      </c>
      <c r="U5648" s="22">
        <v>0.55000000000000004</v>
      </c>
      <c r="V5648" s="22">
        <f>3.44/5</f>
        <v>0.68799999999999994</v>
      </c>
      <c r="X5648" s="3">
        <v>2</v>
      </c>
      <c r="AB5648" s="18">
        <f t="shared" si="176"/>
        <v>2008</v>
      </c>
      <c r="AC5648" s="22">
        <f t="shared" si="177"/>
        <v>0.54599999999999993</v>
      </c>
    </row>
    <row r="5649" spans="1:29" ht="30">
      <c r="A5649" s="8" t="s">
        <v>1012</v>
      </c>
      <c r="B5649" s="17" t="s">
        <v>7741</v>
      </c>
      <c r="C5649" s="13">
        <v>39469</v>
      </c>
      <c r="D5649" s="13" t="s">
        <v>8465</v>
      </c>
      <c r="E5649" s="10" t="s">
        <v>1047</v>
      </c>
      <c r="F5649" s="10" t="s">
        <v>1505</v>
      </c>
      <c r="G5649" s="11" t="s">
        <v>1012</v>
      </c>
      <c r="H5649" s="2" t="s">
        <v>1059</v>
      </c>
      <c r="L5649" s="18">
        <v>0</v>
      </c>
      <c r="Q5649" s="18">
        <v>0</v>
      </c>
      <c r="U5649" s="22">
        <v>0.83</v>
      </c>
      <c r="V5649" s="22">
        <f>4.07/5</f>
        <v>0.81400000000000006</v>
      </c>
      <c r="X5649" s="3">
        <v>4</v>
      </c>
      <c r="Z5649" s="23">
        <v>10.5</v>
      </c>
      <c r="AB5649" s="18">
        <f t="shared" si="176"/>
        <v>2008</v>
      </c>
      <c r="AC5649" s="22">
        <f t="shared" si="177"/>
        <v>0.81466666666666665</v>
      </c>
    </row>
    <row r="5650" spans="1:29" ht="25.5">
      <c r="A5650" s="8" t="s">
        <v>2233</v>
      </c>
      <c r="B5650" s="17" t="s">
        <v>7748</v>
      </c>
      <c r="C5650" s="13">
        <v>39468</v>
      </c>
      <c r="D5650" s="13" t="s">
        <v>8465</v>
      </c>
      <c r="E5650" s="10" t="s">
        <v>86</v>
      </c>
      <c r="F5650" s="10" t="s">
        <v>1069</v>
      </c>
      <c r="G5650" s="11" t="s">
        <v>301</v>
      </c>
      <c r="H5650" s="2" t="s">
        <v>75</v>
      </c>
      <c r="L5650" s="18">
        <v>0</v>
      </c>
      <c r="Q5650" s="18">
        <v>0</v>
      </c>
      <c r="U5650" s="22">
        <v>0.85</v>
      </c>
      <c r="V5650" s="22">
        <f>4.02/5</f>
        <v>0.80399999999999994</v>
      </c>
      <c r="X5650" s="3">
        <v>4</v>
      </c>
      <c r="Z5650" s="23">
        <v>19.5</v>
      </c>
      <c r="AB5650" s="18">
        <f t="shared" si="176"/>
        <v>2008</v>
      </c>
      <c r="AC5650" s="22">
        <f t="shared" si="177"/>
        <v>0.81799999999999995</v>
      </c>
    </row>
    <row r="5651" spans="1:29">
      <c r="A5651" s="8" t="s">
        <v>1038</v>
      </c>
      <c r="B5651" s="17" t="s">
        <v>7741</v>
      </c>
      <c r="C5651" s="13">
        <v>39468</v>
      </c>
      <c r="D5651" s="13" t="s">
        <v>8465</v>
      </c>
      <c r="E5651" s="10" t="s">
        <v>86</v>
      </c>
      <c r="F5651" s="10" t="s">
        <v>1046</v>
      </c>
      <c r="G5651" s="11" t="s">
        <v>1038</v>
      </c>
      <c r="H5651" s="2" t="s">
        <v>67</v>
      </c>
      <c r="L5651" s="18">
        <v>1</v>
      </c>
      <c r="M5651" s="14" t="s">
        <v>8462</v>
      </c>
      <c r="N5651" s="13">
        <v>43648</v>
      </c>
      <c r="O5651" s="29">
        <v>4.84</v>
      </c>
      <c r="P5651" s="18" t="s">
        <v>14</v>
      </c>
      <c r="Q5651" s="18">
        <v>0</v>
      </c>
      <c r="U5651" s="22">
        <v>0.73</v>
      </c>
      <c r="V5651" s="22">
        <f>3.9/5</f>
        <v>0.78</v>
      </c>
      <c r="X5651" s="3">
        <v>3</v>
      </c>
      <c r="Z5651" s="23">
        <v>7.5</v>
      </c>
      <c r="AB5651" s="18">
        <f t="shared" si="176"/>
        <v>2008</v>
      </c>
      <c r="AC5651" s="22">
        <f t="shared" si="177"/>
        <v>0.70333333333333325</v>
      </c>
    </row>
    <row r="5652" spans="1:29" ht="25.5">
      <c r="A5652" s="8" t="s">
        <v>7954</v>
      </c>
      <c r="B5652" s="17" t="s">
        <v>7741</v>
      </c>
      <c r="C5652" s="13">
        <v>39462</v>
      </c>
      <c r="D5652" s="13" t="s">
        <v>8465</v>
      </c>
      <c r="E5652" s="10" t="s">
        <v>68</v>
      </c>
      <c r="F5652" s="10" t="s">
        <v>1471</v>
      </c>
      <c r="G5652" s="11" t="s">
        <v>2465</v>
      </c>
      <c r="H5652" s="2" t="s">
        <v>1170</v>
      </c>
      <c r="L5652" s="18">
        <v>0</v>
      </c>
      <c r="Q5652" s="18">
        <v>0</v>
      </c>
      <c r="U5652" s="22">
        <v>0.53149999999999997</v>
      </c>
      <c r="V5652" s="22">
        <f>3.34/5</f>
        <v>0.66799999999999993</v>
      </c>
      <c r="X5652" s="3">
        <v>2</v>
      </c>
      <c r="AB5652" s="18">
        <f t="shared" si="176"/>
        <v>2008</v>
      </c>
      <c r="AC5652" s="22">
        <f t="shared" si="177"/>
        <v>0.53316666666666668</v>
      </c>
    </row>
    <row r="5653" spans="1:29" ht="30">
      <c r="A5653" s="8" t="s">
        <v>9043</v>
      </c>
      <c r="B5653" s="17" t="s">
        <v>7762</v>
      </c>
      <c r="C5653" s="13">
        <v>39457</v>
      </c>
      <c r="D5653" s="13" t="s">
        <v>8465</v>
      </c>
      <c r="E5653" s="10" t="s">
        <v>2908</v>
      </c>
      <c r="F5653" s="10" t="s">
        <v>6129</v>
      </c>
      <c r="G5653" s="11" t="s">
        <v>2968</v>
      </c>
      <c r="H5653" s="2" t="s">
        <v>149</v>
      </c>
      <c r="L5653" s="18">
        <v>0</v>
      </c>
      <c r="Q5653" s="18">
        <v>0</v>
      </c>
      <c r="V5653" s="22">
        <f>3.48/5</f>
        <v>0.69599999999999995</v>
      </c>
      <c r="X5653" s="3">
        <v>3</v>
      </c>
      <c r="Z5653" s="23">
        <v>8</v>
      </c>
      <c r="AB5653" s="18">
        <f t="shared" si="176"/>
        <v>2008</v>
      </c>
      <c r="AC5653" s="22">
        <f t="shared" si="177"/>
        <v>0.64799999999999991</v>
      </c>
    </row>
    <row r="5654" spans="1:29" ht="30">
      <c r="A5654" s="8" t="s">
        <v>1056</v>
      </c>
      <c r="B5654" s="17" t="s">
        <v>7741</v>
      </c>
      <c r="C5654" s="13">
        <v>39455</v>
      </c>
      <c r="D5654" s="13" t="s">
        <v>8465</v>
      </c>
      <c r="E5654" s="10" t="s">
        <v>73</v>
      </c>
      <c r="F5654" s="10" t="s">
        <v>1055</v>
      </c>
      <c r="G5654" s="11" t="s">
        <v>1056</v>
      </c>
      <c r="H5654" s="2" t="s">
        <v>1057</v>
      </c>
      <c r="L5654" s="18">
        <v>1</v>
      </c>
      <c r="M5654" s="14" t="s">
        <v>8462</v>
      </c>
      <c r="N5654" s="13">
        <v>43648</v>
      </c>
      <c r="O5654" s="29">
        <v>7.95</v>
      </c>
      <c r="P5654" s="18" t="s">
        <v>14</v>
      </c>
      <c r="Q5654" s="18">
        <v>0</v>
      </c>
      <c r="U5654" s="22">
        <v>0.62</v>
      </c>
      <c r="V5654" s="22">
        <f>3.29/5</f>
        <v>0.65800000000000003</v>
      </c>
      <c r="X5654" s="3">
        <v>3</v>
      </c>
      <c r="Z5654" s="23">
        <v>3</v>
      </c>
      <c r="AB5654" s="18">
        <f t="shared" si="176"/>
        <v>2008</v>
      </c>
      <c r="AC5654" s="22">
        <f t="shared" si="177"/>
        <v>0.626</v>
      </c>
    </row>
    <row r="5655" spans="1:29" ht="25.5">
      <c r="A5655" s="8" t="s">
        <v>7398</v>
      </c>
      <c r="B5655" s="17" t="s">
        <v>7741</v>
      </c>
      <c r="C5655" s="13">
        <v>39455</v>
      </c>
      <c r="D5655" s="13" t="s">
        <v>8465</v>
      </c>
      <c r="E5655" s="10" t="s">
        <v>455</v>
      </c>
      <c r="F5655" s="10" t="s">
        <v>1492</v>
      </c>
      <c r="G5655" s="11" t="s">
        <v>1688</v>
      </c>
      <c r="H5655" s="2" t="s">
        <v>150</v>
      </c>
      <c r="L5655" s="18">
        <v>0</v>
      </c>
      <c r="Q5655" s="18">
        <v>0</v>
      </c>
      <c r="U5655" s="22">
        <v>0.57999999999999996</v>
      </c>
      <c r="V5655" s="22">
        <f>3.44/5</f>
        <v>0.68799999999999994</v>
      </c>
      <c r="X5655" s="3">
        <v>2</v>
      </c>
      <c r="Z5655" s="23">
        <v>2.5</v>
      </c>
      <c r="AB5655" s="18">
        <f t="shared" si="176"/>
        <v>2008</v>
      </c>
      <c r="AC5655" s="22">
        <f t="shared" si="177"/>
        <v>0.55599999999999994</v>
      </c>
    </row>
    <row r="5656" spans="1:29">
      <c r="A5656" s="8" t="s">
        <v>7150</v>
      </c>
      <c r="B5656" s="17" t="s">
        <v>7800</v>
      </c>
      <c r="C5656" s="12">
        <v>39448</v>
      </c>
      <c r="D5656" s="13" t="s">
        <v>8465</v>
      </c>
      <c r="E5656" s="10" t="s">
        <v>5701</v>
      </c>
      <c r="F5656" s="10" t="s">
        <v>5701</v>
      </c>
      <c r="H5656" s="2" t="s">
        <v>143</v>
      </c>
      <c r="L5656" s="18">
        <v>0</v>
      </c>
      <c r="Q5656" s="18">
        <v>0</v>
      </c>
      <c r="V5656" s="22">
        <f>4.24/5</f>
        <v>0.84800000000000009</v>
      </c>
      <c r="W5656" s="14" t="s">
        <v>5674</v>
      </c>
      <c r="X5656" s="3">
        <v>4</v>
      </c>
      <c r="Z5656" s="23">
        <v>3.5</v>
      </c>
      <c r="AB5656" s="18">
        <f t="shared" si="176"/>
        <v>2008</v>
      </c>
      <c r="AC5656" s="22">
        <f t="shared" si="177"/>
        <v>0.82400000000000007</v>
      </c>
    </row>
    <row r="5657" spans="1:29">
      <c r="A5657" s="8" t="s">
        <v>7157</v>
      </c>
      <c r="B5657" s="17" t="s">
        <v>7800</v>
      </c>
      <c r="C5657" s="12">
        <v>39448</v>
      </c>
      <c r="D5657" s="13" t="s">
        <v>8465</v>
      </c>
      <c r="E5657" s="10" t="s">
        <v>7230</v>
      </c>
      <c r="F5657" s="10" t="s">
        <v>7230</v>
      </c>
      <c r="G5657" s="11" t="s">
        <v>7157</v>
      </c>
      <c r="H5657" s="2" t="s">
        <v>1061</v>
      </c>
      <c r="L5657" s="18">
        <v>0</v>
      </c>
      <c r="Q5657" s="18">
        <v>0</v>
      </c>
      <c r="W5657" s="14" t="s">
        <v>5674</v>
      </c>
      <c r="X5657" s="3">
        <v>4</v>
      </c>
      <c r="AB5657" s="18">
        <f t="shared" si="176"/>
        <v>2008</v>
      </c>
      <c r="AC5657" s="22">
        <f t="shared" si="177"/>
        <v>0.8</v>
      </c>
    </row>
    <row r="5658" spans="1:29">
      <c r="A5658" s="8" t="s">
        <v>14565</v>
      </c>
      <c r="B5658" s="17" t="s">
        <v>6317</v>
      </c>
      <c r="C5658" s="24">
        <v>39448</v>
      </c>
      <c r="D5658" s="13" t="s">
        <v>8465</v>
      </c>
      <c r="E5658" s="10" t="s">
        <v>158</v>
      </c>
      <c r="F5658" s="10" t="s">
        <v>158</v>
      </c>
      <c r="G5658" s="11" t="s">
        <v>1135</v>
      </c>
      <c r="H5658" s="2" t="s">
        <v>150</v>
      </c>
      <c r="L5658" s="18">
        <v>0</v>
      </c>
      <c r="Q5658" s="18">
        <v>0</v>
      </c>
      <c r="V5658" s="22">
        <f>3.94/5</f>
        <v>0.78800000000000003</v>
      </c>
      <c r="X5658" s="3">
        <v>2</v>
      </c>
      <c r="Z5658" s="23">
        <v>1.5</v>
      </c>
      <c r="AB5658" s="18">
        <f t="shared" si="176"/>
        <v>2008</v>
      </c>
      <c r="AC5658" s="22">
        <f t="shared" si="177"/>
        <v>0.59400000000000008</v>
      </c>
    </row>
    <row r="5659" spans="1:29">
      <c r="A5659" s="8" t="s">
        <v>1448</v>
      </c>
      <c r="B5659" s="17" t="s">
        <v>6317</v>
      </c>
      <c r="C5659" s="12">
        <v>39448</v>
      </c>
      <c r="D5659" s="13" t="s">
        <v>8467</v>
      </c>
      <c r="E5659" s="10" t="s">
        <v>72</v>
      </c>
      <c r="F5659" s="10" t="s">
        <v>72</v>
      </c>
      <c r="G5659" s="11" t="s">
        <v>1449</v>
      </c>
      <c r="H5659" s="2" t="s">
        <v>1170</v>
      </c>
      <c r="L5659" s="18">
        <v>0</v>
      </c>
      <c r="Q5659" s="18">
        <v>0</v>
      </c>
      <c r="V5659" s="22">
        <f>2.76/5</f>
        <v>0.55199999999999994</v>
      </c>
      <c r="X5659" s="3">
        <v>3</v>
      </c>
      <c r="Z5659" s="23">
        <v>0.98</v>
      </c>
      <c r="AB5659" s="18">
        <f t="shared" si="176"/>
        <v>2008</v>
      </c>
      <c r="AC5659" s="22">
        <f t="shared" si="177"/>
        <v>0.57599999999999996</v>
      </c>
    </row>
    <row r="5660" spans="1:29">
      <c r="A5660" s="8" t="s">
        <v>15127</v>
      </c>
      <c r="B5660" s="17" t="s">
        <v>7782</v>
      </c>
      <c r="C5660" s="24">
        <v>39448</v>
      </c>
      <c r="D5660" s="13" t="s">
        <v>8465</v>
      </c>
      <c r="E5660" s="10" t="s">
        <v>72</v>
      </c>
      <c r="F5660" s="10" t="s">
        <v>15126</v>
      </c>
      <c r="G5660" s="11" t="s">
        <v>1449</v>
      </c>
      <c r="H5660" s="2" t="s">
        <v>1061</v>
      </c>
      <c r="L5660" s="18">
        <v>0</v>
      </c>
      <c r="Q5660" s="18">
        <v>0</v>
      </c>
      <c r="V5660" s="22">
        <f>2.28/5</f>
        <v>0.45599999999999996</v>
      </c>
      <c r="X5660" s="3">
        <v>2</v>
      </c>
      <c r="Z5660" s="23">
        <v>1.5</v>
      </c>
      <c r="AB5660" s="18">
        <f t="shared" si="176"/>
        <v>2008</v>
      </c>
      <c r="AC5660" s="22">
        <f t="shared" si="177"/>
        <v>0.42799999999999999</v>
      </c>
    </row>
    <row r="5661" spans="1:29" ht="38.25">
      <c r="A5661" s="8" t="s">
        <v>15401</v>
      </c>
      <c r="B5661" s="17" t="s">
        <v>7800</v>
      </c>
      <c r="C5661" s="24">
        <v>39448</v>
      </c>
      <c r="D5661" s="13" t="s">
        <v>8465</v>
      </c>
      <c r="E5661" s="10" t="s">
        <v>15402</v>
      </c>
      <c r="F5661" s="10" t="s">
        <v>6967</v>
      </c>
      <c r="G5661" s="11" t="s">
        <v>15403</v>
      </c>
      <c r="H5661" s="2" t="s">
        <v>67</v>
      </c>
      <c r="L5661" s="18">
        <v>1</v>
      </c>
      <c r="N5661" s="13">
        <v>45128</v>
      </c>
      <c r="O5661" s="29">
        <v>0</v>
      </c>
      <c r="P5661" s="18" t="s">
        <v>1107</v>
      </c>
      <c r="Q5661" s="18">
        <v>0</v>
      </c>
      <c r="V5661" s="22">
        <f>2.71/5</f>
        <v>0.54200000000000004</v>
      </c>
      <c r="W5661" s="14" t="s">
        <v>7777</v>
      </c>
      <c r="X5661" s="3">
        <v>2</v>
      </c>
      <c r="Z5661" s="23">
        <f>32/60</f>
        <v>0.53333333333333333</v>
      </c>
      <c r="AB5661" s="18">
        <f t="shared" si="176"/>
        <v>2008</v>
      </c>
      <c r="AC5661" s="22">
        <f t="shared" si="177"/>
        <v>0.47100000000000003</v>
      </c>
    </row>
    <row r="5662" spans="1:29" ht="30">
      <c r="A5662" s="8" t="s">
        <v>6373</v>
      </c>
      <c r="B5662" s="17" t="s">
        <v>7765</v>
      </c>
      <c r="C5662" s="13">
        <v>39808</v>
      </c>
      <c r="D5662" s="13" t="s">
        <v>8465</v>
      </c>
      <c r="E5662" s="10" t="s">
        <v>6440</v>
      </c>
      <c r="F5662" s="10" t="s">
        <v>6440</v>
      </c>
      <c r="G5662" s="11" t="s">
        <v>6441</v>
      </c>
      <c r="H5662" s="2" t="s">
        <v>27</v>
      </c>
      <c r="L5662" s="18">
        <v>1</v>
      </c>
      <c r="Q5662" s="18">
        <v>1</v>
      </c>
      <c r="T5662" s="22">
        <v>0.7</v>
      </c>
      <c r="V5662" s="22">
        <f>3.88/5</f>
        <v>0.77600000000000002</v>
      </c>
      <c r="W5662" s="14" t="s">
        <v>6487</v>
      </c>
      <c r="AB5662" s="18">
        <f t="shared" si="176"/>
        <v>2008</v>
      </c>
      <c r="AC5662" s="22">
        <f t="shared" si="177"/>
        <v>0.73799999999999999</v>
      </c>
    </row>
    <row r="5663" spans="1:29">
      <c r="A5663" s="8" t="s">
        <v>6490</v>
      </c>
      <c r="B5663" s="17" t="s">
        <v>7765</v>
      </c>
      <c r="C5663" s="13">
        <v>39799</v>
      </c>
      <c r="D5663" s="13" t="s">
        <v>8465</v>
      </c>
      <c r="E5663" s="10" t="s">
        <v>3116</v>
      </c>
      <c r="F5663" s="10" t="s">
        <v>6504</v>
      </c>
      <c r="H5663" s="2" t="s">
        <v>143</v>
      </c>
      <c r="L5663" s="18">
        <v>0</v>
      </c>
      <c r="Q5663" s="18">
        <v>1</v>
      </c>
      <c r="T5663" s="22">
        <v>0.7</v>
      </c>
      <c r="U5663" s="22">
        <v>0.52</v>
      </c>
      <c r="V5663" s="22">
        <f>2.61/5</f>
        <v>0.52200000000000002</v>
      </c>
      <c r="AB5663" s="18">
        <f t="shared" si="176"/>
        <v>2008</v>
      </c>
      <c r="AC5663" s="22">
        <f t="shared" si="177"/>
        <v>0.58066666666666666</v>
      </c>
    </row>
    <row r="5664" spans="1:29" ht="25.5">
      <c r="A5664" s="8" t="s">
        <v>5716</v>
      </c>
      <c r="B5664" s="17" t="s">
        <v>7758</v>
      </c>
      <c r="C5664" s="13">
        <v>39791</v>
      </c>
      <c r="D5664" s="13" t="s">
        <v>8465</v>
      </c>
      <c r="E5664" s="10" t="s">
        <v>228</v>
      </c>
      <c r="F5664" s="10" t="s">
        <v>228</v>
      </c>
      <c r="G5664" s="11" t="s">
        <v>1171</v>
      </c>
      <c r="H5664" s="2" t="s">
        <v>149</v>
      </c>
      <c r="L5664" s="18">
        <v>0</v>
      </c>
      <c r="Q5664" s="18">
        <v>1</v>
      </c>
      <c r="R5664" s="13">
        <v>42049</v>
      </c>
      <c r="S5664" s="21">
        <v>72.099999999999994</v>
      </c>
      <c r="T5664" s="22">
        <v>0.9</v>
      </c>
      <c r="U5664" s="22">
        <v>0.92</v>
      </c>
      <c r="V5664" s="22">
        <f>4.53/5</f>
        <v>0.90600000000000003</v>
      </c>
      <c r="AB5664" s="18">
        <f t="shared" si="176"/>
        <v>2008</v>
      </c>
      <c r="AC5664" s="22">
        <f t="shared" si="177"/>
        <v>0.90866666666666662</v>
      </c>
    </row>
    <row r="5665" spans="1:29">
      <c r="A5665" s="8" t="s">
        <v>852</v>
      </c>
      <c r="B5665" s="17" t="s">
        <v>7765</v>
      </c>
      <c r="C5665" s="13">
        <v>39785</v>
      </c>
      <c r="D5665" s="13" t="s">
        <v>8465</v>
      </c>
      <c r="E5665" s="10" t="s">
        <v>3740</v>
      </c>
      <c r="F5665" s="10" t="s">
        <v>163</v>
      </c>
      <c r="G5665" s="11" t="s">
        <v>852</v>
      </c>
      <c r="H5665" s="2" t="s">
        <v>1040</v>
      </c>
      <c r="L5665" s="18">
        <v>1</v>
      </c>
      <c r="P5665" s="18" t="s">
        <v>1107</v>
      </c>
      <c r="Q5665" s="18">
        <v>1</v>
      </c>
      <c r="R5665" s="13">
        <v>40358</v>
      </c>
      <c r="T5665" s="22">
        <v>0.9</v>
      </c>
      <c r="U5665" s="22">
        <v>0.81</v>
      </c>
      <c r="V5665" s="22">
        <f>4.38/5</f>
        <v>0.876</v>
      </c>
      <c r="AB5665" s="18">
        <f t="shared" si="176"/>
        <v>2008</v>
      </c>
      <c r="AC5665" s="22">
        <f t="shared" si="177"/>
        <v>0.86199999999999999</v>
      </c>
    </row>
    <row r="5666" spans="1:29">
      <c r="A5666" s="8" t="s">
        <v>677</v>
      </c>
      <c r="B5666" s="17" t="s">
        <v>7765</v>
      </c>
      <c r="C5666" s="13">
        <v>39784</v>
      </c>
      <c r="D5666" s="13" t="s">
        <v>8465</v>
      </c>
      <c r="E5666" s="10" t="s">
        <v>1047</v>
      </c>
      <c r="F5666" s="10" t="s">
        <v>1048</v>
      </c>
      <c r="G5666" s="11" t="s">
        <v>677</v>
      </c>
      <c r="H5666" s="2" t="s">
        <v>1040</v>
      </c>
      <c r="L5666" s="18">
        <v>0</v>
      </c>
      <c r="Q5666" s="18">
        <v>1</v>
      </c>
      <c r="R5666" s="13">
        <v>40165</v>
      </c>
      <c r="T5666" s="22">
        <v>0.8</v>
      </c>
      <c r="U5666" s="22">
        <v>0.81</v>
      </c>
      <c r="V5666" s="22">
        <f>3.75/5</f>
        <v>0.75</v>
      </c>
      <c r="AB5666" s="18">
        <f t="shared" si="176"/>
        <v>2008</v>
      </c>
      <c r="AC5666" s="22">
        <f t="shared" si="177"/>
        <v>0.78666666666666674</v>
      </c>
    </row>
    <row r="5667" spans="1:29" ht="25.5">
      <c r="A5667" s="8" t="s">
        <v>2105</v>
      </c>
      <c r="B5667" s="17" t="s">
        <v>7748</v>
      </c>
      <c r="C5667" s="13">
        <v>39783</v>
      </c>
      <c r="D5667" s="13" t="s">
        <v>8465</v>
      </c>
      <c r="E5667" s="10" t="s">
        <v>86</v>
      </c>
      <c r="F5667" s="10" t="s">
        <v>86</v>
      </c>
      <c r="G5667" s="11" t="s">
        <v>2131</v>
      </c>
      <c r="H5667" s="2" t="s">
        <v>1142</v>
      </c>
      <c r="L5667" s="18">
        <v>0</v>
      </c>
      <c r="Q5667" s="18">
        <v>1</v>
      </c>
      <c r="T5667" s="22">
        <v>0.6</v>
      </c>
      <c r="U5667" s="22">
        <v>0.6</v>
      </c>
      <c r="V5667" s="22">
        <f>3.39/5</f>
        <v>0.67800000000000005</v>
      </c>
      <c r="AB5667" s="18">
        <f t="shared" si="176"/>
        <v>2008</v>
      </c>
      <c r="AC5667" s="22">
        <f t="shared" si="177"/>
        <v>0.626</v>
      </c>
    </row>
    <row r="5668" spans="1:29">
      <c r="A5668" s="8" t="s">
        <v>581</v>
      </c>
      <c r="B5668" s="17" t="s">
        <v>7748</v>
      </c>
      <c r="C5668" s="13">
        <v>39777</v>
      </c>
      <c r="D5668" s="13" t="s">
        <v>8465</v>
      </c>
      <c r="E5668" s="10" t="s">
        <v>1082</v>
      </c>
      <c r="F5668" s="10" t="s">
        <v>58</v>
      </c>
      <c r="G5668" s="11" t="s">
        <v>1251</v>
      </c>
      <c r="H5668" s="2" t="s">
        <v>149</v>
      </c>
      <c r="L5668" s="18">
        <v>0</v>
      </c>
      <c r="Q5668" s="18">
        <v>1</v>
      </c>
      <c r="T5668" s="22">
        <v>1</v>
      </c>
      <c r="U5668" s="22">
        <v>0.92</v>
      </c>
      <c r="V5668" s="22">
        <f>4.59/5</f>
        <v>0.91799999999999993</v>
      </c>
      <c r="Y5668" s="18">
        <v>1</v>
      </c>
      <c r="AB5668" s="18">
        <f t="shared" si="176"/>
        <v>2008</v>
      </c>
      <c r="AC5668" s="22">
        <f t="shared" si="177"/>
        <v>0.94600000000000006</v>
      </c>
    </row>
    <row r="5669" spans="1:29">
      <c r="A5669" s="8" t="s">
        <v>4284</v>
      </c>
      <c r="B5669" s="17" t="s">
        <v>7765</v>
      </c>
      <c r="C5669" s="13">
        <v>39770</v>
      </c>
      <c r="D5669" s="13" t="s">
        <v>8465</v>
      </c>
      <c r="E5669" s="10" t="s">
        <v>4070</v>
      </c>
      <c r="F5669" s="10" t="s">
        <v>4070</v>
      </c>
      <c r="G5669" s="11" t="s">
        <v>4284</v>
      </c>
      <c r="H5669" s="2" t="s">
        <v>1050</v>
      </c>
      <c r="L5669" s="18">
        <v>0</v>
      </c>
      <c r="Q5669" s="18">
        <v>1</v>
      </c>
      <c r="R5669" s="13">
        <v>40121</v>
      </c>
      <c r="T5669" s="22">
        <v>0.8</v>
      </c>
      <c r="U5669" s="22">
        <v>0.89</v>
      </c>
      <c r="V5669" s="22">
        <f>4.14/5</f>
        <v>0.82799999999999996</v>
      </c>
      <c r="AB5669" s="18">
        <f t="shared" si="176"/>
        <v>2008</v>
      </c>
      <c r="AC5669" s="22">
        <f t="shared" si="177"/>
        <v>0.83933333333333326</v>
      </c>
    </row>
    <row r="5670" spans="1:29" ht="25.5">
      <c r="A5670" s="8" t="s">
        <v>3403</v>
      </c>
      <c r="B5670" s="17" t="s">
        <v>7800</v>
      </c>
      <c r="C5670" s="13">
        <v>39770</v>
      </c>
      <c r="D5670" s="13" t="s">
        <v>8465</v>
      </c>
      <c r="E5670" s="10" t="s">
        <v>1273</v>
      </c>
      <c r="F5670" s="10" t="s">
        <v>1508</v>
      </c>
      <c r="G5670" s="11" t="s">
        <v>3401</v>
      </c>
      <c r="H5670" s="2" t="s">
        <v>1050</v>
      </c>
      <c r="L5670" s="18">
        <v>1</v>
      </c>
      <c r="N5670" s="13">
        <v>42124</v>
      </c>
      <c r="O5670" s="29">
        <v>9.99</v>
      </c>
      <c r="P5670" s="18" t="s">
        <v>1107</v>
      </c>
      <c r="Q5670" s="18">
        <v>1</v>
      </c>
      <c r="R5670" s="13">
        <v>42497</v>
      </c>
      <c r="S5670" s="21">
        <v>6.08</v>
      </c>
      <c r="T5670" s="22">
        <v>0.7</v>
      </c>
      <c r="U5670" s="22">
        <v>0.85</v>
      </c>
      <c r="V5670" s="22">
        <f>3.75/5</f>
        <v>0.75</v>
      </c>
      <c r="W5670" s="14" t="s">
        <v>7777</v>
      </c>
      <c r="AB5670" s="18">
        <f t="shared" si="176"/>
        <v>2008</v>
      </c>
      <c r="AC5670" s="22">
        <f t="shared" si="177"/>
        <v>0.76666666666666661</v>
      </c>
    </row>
    <row r="5671" spans="1:29" ht="30">
      <c r="A5671" s="8" t="s">
        <v>6377</v>
      </c>
      <c r="B5671" s="17" t="s">
        <v>7765</v>
      </c>
      <c r="C5671" s="13">
        <v>39766</v>
      </c>
      <c r="D5671" s="13" t="s">
        <v>8465</v>
      </c>
      <c r="E5671" s="10" t="s">
        <v>4946</v>
      </c>
      <c r="F5671" s="10" t="s">
        <v>4946</v>
      </c>
      <c r="H5671" s="2" t="s">
        <v>147</v>
      </c>
      <c r="L5671" s="18">
        <v>1</v>
      </c>
      <c r="Q5671" s="18">
        <v>1</v>
      </c>
      <c r="T5671" s="22">
        <v>0.7</v>
      </c>
      <c r="U5671" s="22">
        <v>0.75</v>
      </c>
      <c r="V5671" s="22">
        <f>4/5</f>
        <v>0.8</v>
      </c>
      <c r="W5671" s="14" t="s">
        <v>6487</v>
      </c>
      <c r="AB5671" s="18">
        <f t="shared" si="176"/>
        <v>2008</v>
      </c>
      <c r="AC5671" s="22">
        <f t="shared" si="177"/>
        <v>0.75</v>
      </c>
    </row>
    <row r="5672" spans="1:29">
      <c r="A5672" s="8" t="s">
        <v>4460</v>
      </c>
      <c r="B5672" s="17" t="s">
        <v>7765</v>
      </c>
      <c r="C5672" s="13">
        <v>39764</v>
      </c>
      <c r="D5672" s="13" t="s">
        <v>8465</v>
      </c>
      <c r="E5672" s="10" t="s">
        <v>231</v>
      </c>
      <c r="F5672" s="10" t="s">
        <v>6349</v>
      </c>
      <c r="G5672" s="11" t="s">
        <v>4460</v>
      </c>
      <c r="H5672" s="2" t="s">
        <v>1050</v>
      </c>
      <c r="L5672" s="18">
        <v>0</v>
      </c>
      <c r="Q5672" s="18">
        <v>1</v>
      </c>
      <c r="R5672" s="13">
        <v>40345</v>
      </c>
      <c r="T5672" s="22">
        <v>0.6</v>
      </c>
      <c r="U5672" s="22">
        <v>0.8</v>
      </c>
      <c r="V5672" s="22">
        <f>3.86/5</f>
        <v>0.77200000000000002</v>
      </c>
      <c r="AB5672" s="18">
        <f t="shared" si="176"/>
        <v>2008</v>
      </c>
      <c r="AC5672" s="22">
        <f t="shared" si="177"/>
        <v>0.72399999999999987</v>
      </c>
    </row>
    <row r="5673" spans="1:29" ht="25.5">
      <c r="A5673" s="8" t="s">
        <v>6346</v>
      </c>
      <c r="B5673" s="17" t="s">
        <v>7765</v>
      </c>
      <c r="C5673" s="13">
        <v>39763</v>
      </c>
      <c r="D5673" s="13" t="s">
        <v>8465</v>
      </c>
      <c r="E5673" s="10" t="s">
        <v>3116</v>
      </c>
      <c r="F5673" s="10" t="s">
        <v>163</v>
      </c>
      <c r="G5673" s="11" t="s">
        <v>852</v>
      </c>
      <c r="H5673" s="2" t="s">
        <v>1040</v>
      </c>
      <c r="L5673" s="18">
        <v>0</v>
      </c>
      <c r="Q5673" s="18">
        <v>1</v>
      </c>
      <c r="R5673" s="13">
        <v>40097</v>
      </c>
      <c r="T5673" s="22">
        <v>0.9</v>
      </c>
      <c r="U5673" s="22">
        <v>0.81</v>
      </c>
      <c r="V5673" s="22">
        <f>3.58/5</f>
        <v>0.71599999999999997</v>
      </c>
      <c r="AB5673" s="18">
        <f t="shared" si="176"/>
        <v>2008</v>
      </c>
      <c r="AC5673" s="22">
        <f t="shared" si="177"/>
        <v>0.80866666666666676</v>
      </c>
    </row>
    <row r="5674" spans="1:29" ht="45">
      <c r="A5674" s="8" t="s">
        <v>6305</v>
      </c>
      <c r="B5674" s="17" t="s">
        <v>7765</v>
      </c>
      <c r="C5674" s="13">
        <v>39759</v>
      </c>
      <c r="D5674" s="13" t="s">
        <v>8465</v>
      </c>
      <c r="E5674" s="10" t="s">
        <v>3740</v>
      </c>
      <c r="F5674" s="10" t="s">
        <v>6304</v>
      </c>
      <c r="G5674" s="11" t="s">
        <v>6303</v>
      </c>
      <c r="H5674" s="2" t="s">
        <v>1168</v>
      </c>
      <c r="L5674" s="18">
        <v>1</v>
      </c>
      <c r="M5674" s="14" t="s">
        <v>8462</v>
      </c>
      <c r="N5674" s="13">
        <v>43371</v>
      </c>
      <c r="O5674" s="29">
        <v>4.49</v>
      </c>
      <c r="P5674" s="18" t="s">
        <v>14</v>
      </c>
      <c r="Q5674" s="18">
        <v>1</v>
      </c>
      <c r="T5674" s="22">
        <v>0.8</v>
      </c>
      <c r="U5674" s="22">
        <v>0.93</v>
      </c>
      <c r="V5674" s="22">
        <f>4.18/5</f>
        <v>0.83599999999999997</v>
      </c>
      <c r="W5674" s="14" t="s">
        <v>9038</v>
      </c>
      <c r="AB5674" s="18">
        <f t="shared" si="176"/>
        <v>2008</v>
      </c>
      <c r="AC5674" s="22">
        <f t="shared" si="177"/>
        <v>0.85533333333333328</v>
      </c>
    </row>
    <row r="5675" spans="1:29" ht="51">
      <c r="A5675" s="8" t="s">
        <v>4677</v>
      </c>
      <c r="B5675" s="17" t="s">
        <v>7800</v>
      </c>
      <c r="C5675" s="13">
        <v>39750</v>
      </c>
      <c r="D5675" s="13" t="s">
        <v>8465</v>
      </c>
      <c r="E5675" s="10" t="s">
        <v>3612</v>
      </c>
      <c r="F5675" s="10" t="s">
        <v>3612</v>
      </c>
      <c r="G5675" s="11" t="s">
        <v>4676</v>
      </c>
      <c r="H5675" s="2" t="s">
        <v>149</v>
      </c>
      <c r="L5675" s="18">
        <v>1</v>
      </c>
      <c r="N5675" s="13">
        <v>40733</v>
      </c>
      <c r="O5675" s="29">
        <v>0.9</v>
      </c>
      <c r="P5675" s="18" t="s">
        <v>1107</v>
      </c>
      <c r="Q5675" s="18">
        <v>1</v>
      </c>
      <c r="R5675" s="13">
        <v>41552</v>
      </c>
      <c r="S5675" s="21">
        <v>5.82</v>
      </c>
      <c r="T5675" s="22">
        <v>0.7</v>
      </c>
      <c r="U5675" s="22">
        <v>0.81</v>
      </c>
      <c r="V5675" s="22">
        <f>3.79/5</f>
        <v>0.75800000000000001</v>
      </c>
      <c r="W5675" s="14" t="s">
        <v>7777</v>
      </c>
      <c r="AB5675" s="18">
        <f t="shared" si="176"/>
        <v>2008</v>
      </c>
      <c r="AC5675" s="22">
        <f t="shared" si="177"/>
        <v>0.75599999999999989</v>
      </c>
    </row>
    <row r="5676" spans="1:29">
      <c r="A5676" s="8" t="s">
        <v>6347</v>
      </c>
      <c r="B5676" s="17" t="s">
        <v>7765</v>
      </c>
      <c r="C5676" s="13">
        <v>39749</v>
      </c>
      <c r="D5676" s="13" t="s">
        <v>8465</v>
      </c>
      <c r="E5676" s="10" t="s">
        <v>1690</v>
      </c>
      <c r="F5676" s="10" t="s">
        <v>1690</v>
      </c>
      <c r="G5676" s="11" t="s">
        <v>3864</v>
      </c>
      <c r="H5676" s="2" t="s">
        <v>171</v>
      </c>
      <c r="L5676" s="18">
        <v>0</v>
      </c>
      <c r="Q5676" s="18">
        <v>1</v>
      </c>
      <c r="R5676" s="13">
        <v>40326</v>
      </c>
      <c r="T5676" s="22">
        <v>0.8</v>
      </c>
      <c r="U5676" s="22">
        <v>0.93</v>
      </c>
      <c r="V5676" s="22">
        <f>4.38/5</f>
        <v>0.876</v>
      </c>
      <c r="AB5676" s="18">
        <f t="shared" si="176"/>
        <v>2008</v>
      </c>
      <c r="AC5676" s="22">
        <f t="shared" si="177"/>
        <v>0.86866666666666659</v>
      </c>
    </row>
    <row r="5677" spans="1:29">
      <c r="A5677" s="8" t="s">
        <v>6355</v>
      </c>
      <c r="B5677" s="17" t="s">
        <v>7765</v>
      </c>
      <c r="C5677" s="13">
        <v>39742</v>
      </c>
      <c r="D5677" s="13" t="s">
        <v>8465</v>
      </c>
      <c r="E5677" s="10" t="s">
        <v>3116</v>
      </c>
      <c r="F5677" s="10" t="s">
        <v>3856</v>
      </c>
      <c r="G5677" s="11" t="s">
        <v>3857</v>
      </c>
      <c r="H5677" s="2" t="s">
        <v>171</v>
      </c>
      <c r="L5677" s="18">
        <v>0</v>
      </c>
      <c r="Q5677" s="18">
        <v>1</v>
      </c>
      <c r="R5677" s="13">
        <v>40481</v>
      </c>
      <c r="T5677" s="22">
        <v>0.8</v>
      </c>
      <c r="U5677" s="22">
        <v>0.89</v>
      </c>
      <c r="V5677" s="22">
        <f>4.01/5</f>
        <v>0.80199999999999994</v>
      </c>
      <c r="AB5677" s="18">
        <f t="shared" si="176"/>
        <v>2008</v>
      </c>
      <c r="AC5677" s="22">
        <f t="shared" si="177"/>
        <v>0.83066666666666666</v>
      </c>
    </row>
    <row r="5678" spans="1:29" ht="25.5">
      <c r="A5678" s="8" t="s">
        <v>2284</v>
      </c>
      <c r="B5678" s="17" t="s">
        <v>7748</v>
      </c>
      <c r="C5678" s="13">
        <v>39742</v>
      </c>
      <c r="D5678" s="13" t="s">
        <v>8465</v>
      </c>
      <c r="E5678" s="10" t="s">
        <v>72</v>
      </c>
      <c r="F5678" s="10" t="s">
        <v>72</v>
      </c>
      <c r="G5678" s="11" t="s">
        <v>113</v>
      </c>
      <c r="H5678" s="2" t="s">
        <v>151</v>
      </c>
      <c r="L5678" s="18">
        <v>0</v>
      </c>
      <c r="Q5678" s="18">
        <v>1</v>
      </c>
      <c r="R5678" s="13">
        <v>45095</v>
      </c>
      <c r="S5678" s="21">
        <f>7+56/60+33/3600</f>
        <v>7.9424999999999999</v>
      </c>
      <c r="T5678" s="22">
        <v>0.75</v>
      </c>
      <c r="U5678" s="22">
        <v>0.86</v>
      </c>
      <c r="V5678" s="22">
        <f>4/5</f>
        <v>0.8</v>
      </c>
      <c r="AB5678" s="18">
        <f t="shared" si="176"/>
        <v>2008</v>
      </c>
      <c r="AC5678" s="22">
        <f t="shared" si="177"/>
        <v>0.80333333333333334</v>
      </c>
    </row>
    <row r="5679" spans="1:29">
      <c r="A5679" s="8" t="s">
        <v>1544</v>
      </c>
      <c r="B5679" s="17" t="s">
        <v>7765</v>
      </c>
      <c r="C5679" s="13">
        <v>39735</v>
      </c>
      <c r="D5679" s="13" t="s">
        <v>8465</v>
      </c>
      <c r="E5679" s="10" t="s">
        <v>231</v>
      </c>
      <c r="F5679" s="10" t="s">
        <v>1543</v>
      </c>
      <c r="G5679" s="11" t="s">
        <v>1544</v>
      </c>
      <c r="H5679" s="2" t="s">
        <v>1061</v>
      </c>
      <c r="L5679" s="18">
        <v>0</v>
      </c>
      <c r="Q5679" s="18">
        <v>1</v>
      </c>
      <c r="R5679" s="13">
        <v>41149</v>
      </c>
      <c r="T5679" s="22">
        <v>0.8</v>
      </c>
      <c r="U5679" s="22">
        <v>0.89</v>
      </c>
      <c r="V5679" s="22">
        <f>4.25/5</f>
        <v>0.85</v>
      </c>
      <c r="AB5679" s="18">
        <f t="shared" si="176"/>
        <v>2008</v>
      </c>
      <c r="AC5679" s="22">
        <f t="shared" si="177"/>
        <v>0.84666666666666668</v>
      </c>
    </row>
    <row r="5680" spans="1:29">
      <c r="A5680" s="8" t="s">
        <v>1067</v>
      </c>
      <c r="B5680" s="17" t="s">
        <v>7742</v>
      </c>
      <c r="C5680" s="13">
        <v>39713</v>
      </c>
      <c r="D5680" s="13" t="s">
        <v>8465</v>
      </c>
      <c r="E5680" s="10" t="s">
        <v>73</v>
      </c>
      <c r="F5680" s="10" t="s">
        <v>1070</v>
      </c>
      <c r="G5680" s="11" t="s">
        <v>89</v>
      </c>
      <c r="H5680" s="2" t="s">
        <v>56</v>
      </c>
      <c r="L5680" s="18">
        <v>0</v>
      </c>
      <c r="Q5680" s="18">
        <v>1</v>
      </c>
      <c r="T5680" s="22">
        <v>0.8</v>
      </c>
      <c r="U5680" s="22">
        <v>0.84</v>
      </c>
      <c r="V5680" s="22">
        <f>4.28/5</f>
        <v>0.85600000000000009</v>
      </c>
      <c r="AB5680" s="18">
        <f t="shared" si="176"/>
        <v>2008</v>
      </c>
      <c r="AC5680" s="22">
        <f t="shared" si="177"/>
        <v>0.83200000000000018</v>
      </c>
    </row>
    <row r="5681" spans="1:29">
      <c r="A5681" s="8" t="s">
        <v>4756</v>
      </c>
      <c r="B5681" s="17" t="s">
        <v>7765</v>
      </c>
      <c r="C5681" s="13">
        <v>39707</v>
      </c>
      <c r="D5681" s="13" t="s">
        <v>8465</v>
      </c>
      <c r="E5681" s="10" t="s">
        <v>6352</v>
      </c>
      <c r="F5681" s="10" t="s">
        <v>4757</v>
      </c>
      <c r="H5681" s="2" t="s">
        <v>150</v>
      </c>
      <c r="L5681" s="18">
        <v>0</v>
      </c>
      <c r="Q5681" s="18">
        <v>1</v>
      </c>
      <c r="R5681" s="13">
        <v>40095</v>
      </c>
      <c r="T5681" s="22">
        <v>0.8</v>
      </c>
      <c r="U5681" s="22">
        <v>0.85</v>
      </c>
      <c r="V5681" s="22">
        <f>3.59/5</f>
        <v>0.71799999999999997</v>
      </c>
      <c r="AB5681" s="18">
        <f t="shared" si="176"/>
        <v>2008</v>
      </c>
      <c r="AC5681" s="22">
        <f t="shared" si="177"/>
        <v>0.78933333333333333</v>
      </c>
    </row>
    <row r="5682" spans="1:29">
      <c r="A5682" s="8" t="s">
        <v>5641</v>
      </c>
      <c r="B5682" s="17" t="s">
        <v>7800</v>
      </c>
      <c r="C5682" s="13">
        <v>39707</v>
      </c>
      <c r="D5682" s="13" t="s">
        <v>8465</v>
      </c>
      <c r="E5682" s="10" t="s">
        <v>3288</v>
      </c>
      <c r="F5682" s="10" t="s">
        <v>3288</v>
      </c>
      <c r="G5682" s="11" t="s">
        <v>5640</v>
      </c>
      <c r="H5682" s="2" t="s">
        <v>31</v>
      </c>
      <c r="L5682" s="18">
        <v>0</v>
      </c>
      <c r="Q5682" s="18">
        <v>1</v>
      </c>
      <c r="T5682" s="22">
        <v>0.8</v>
      </c>
      <c r="U5682" s="22">
        <v>0.76</v>
      </c>
      <c r="V5682" s="22">
        <f>3.93/5</f>
        <v>0.78600000000000003</v>
      </c>
      <c r="W5682" s="14" t="s">
        <v>13363</v>
      </c>
      <c r="AB5682" s="18">
        <f t="shared" si="176"/>
        <v>2008</v>
      </c>
      <c r="AC5682" s="22">
        <f t="shared" si="177"/>
        <v>0.78200000000000003</v>
      </c>
    </row>
    <row r="5683" spans="1:29">
      <c r="A5683" s="8" t="s">
        <v>7161</v>
      </c>
      <c r="B5683" s="17" t="s">
        <v>7800</v>
      </c>
      <c r="C5683" s="13">
        <v>39698</v>
      </c>
      <c r="D5683" s="13" t="s">
        <v>8465</v>
      </c>
      <c r="E5683" s="10" t="s">
        <v>4341</v>
      </c>
      <c r="F5683" s="10" t="s">
        <v>4341</v>
      </c>
      <c r="H5683" s="2" t="s">
        <v>1061</v>
      </c>
      <c r="L5683" s="18">
        <v>0</v>
      </c>
      <c r="Q5683" s="18">
        <v>1</v>
      </c>
      <c r="R5683" s="13">
        <v>44014</v>
      </c>
      <c r="T5683" s="22">
        <v>0.4</v>
      </c>
      <c r="V5683" s="22">
        <f>2.83/5</f>
        <v>0.56600000000000006</v>
      </c>
      <c r="W5683" s="14" t="s">
        <v>5674</v>
      </c>
      <c r="AB5683" s="18">
        <f t="shared" si="176"/>
        <v>2008</v>
      </c>
      <c r="AC5683" s="22">
        <f t="shared" si="177"/>
        <v>0.48300000000000004</v>
      </c>
    </row>
    <row r="5684" spans="1:29">
      <c r="A5684" s="8" t="s">
        <v>3415</v>
      </c>
      <c r="B5684" s="17" t="s">
        <v>7765</v>
      </c>
      <c r="C5684" s="13">
        <v>39687</v>
      </c>
      <c r="D5684" s="13" t="s">
        <v>8465</v>
      </c>
      <c r="E5684" s="10" t="s">
        <v>3740</v>
      </c>
      <c r="F5684" s="10" t="s">
        <v>3275</v>
      </c>
      <c r="H5684" s="2" t="s">
        <v>153</v>
      </c>
      <c r="L5684" s="18">
        <v>1</v>
      </c>
      <c r="P5684" s="18" t="s">
        <v>1107</v>
      </c>
      <c r="Q5684" s="18">
        <v>1</v>
      </c>
      <c r="R5684" s="13">
        <v>39876</v>
      </c>
      <c r="T5684" s="22">
        <v>0.9</v>
      </c>
      <c r="U5684" s="22">
        <v>0.83</v>
      </c>
      <c r="V5684" s="22">
        <f>4.24/5</f>
        <v>0.84800000000000009</v>
      </c>
      <c r="AB5684" s="18">
        <f t="shared" si="176"/>
        <v>2008</v>
      </c>
      <c r="AC5684" s="22">
        <f t="shared" si="177"/>
        <v>0.85933333333333339</v>
      </c>
    </row>
    <row r="5685" spans="1:29">
      <c r="A5685" s="8" t="s">
        <v>4684</v>
      </c>
      <c r="B5685" s="17" t="s">
        <v>7800</v>
      </c>
      <c r="C5685" s="13">
        <v>39687</v>
      </c>
      <c r="D5685" s="13" t="s">
        <v>8465</v>
      </c>
      <c r="E5685" s="10" t="s">
        <v>3171</v>
      </c>
      <c r="F5685" s="10" t="s">
        <v>3171</v>
      </c>
      <c r="G5685" s="11" t="s">
        <v>4682</v>
      </c>
      <c r="H5685" s="2" t="s">
        <v>1061</v>
      </c>
      <c r="L5685" s="18">
        <v>1</v>
      </c>
      <c r="N5685" s="13">
        <v>41067</v>
      </c>
      <c r="O5685" s="29">
        <v>0</v>
      </c>
      <c r="P5685" s="18" t="s">
        <v>1107</v>
      </c>
      <c r="Q5685" s="18">
        <v>1</v>
      </c>
      <c r="S5685" s="21">
        <v>3.4</v>
      </c>
      <c r="T5685" s="22">
        <v>0.6</v>
      </c>
      <c r="U5685" s="22">
        <v>0.63</v>
      </c>
      <c r="V5685" s="22">
        <f>3.04/5</f>
        <v>0.60799999999999998</v>
      </c>
      <c r="W5685" s="14" t="s">
        <v>7777</v>
      </c>
      <c r="AB5685" s="18">
        <f t="shared" si="176"/>
        <v>2008</v>
      </c>
      <c r="AC5685" s="22">
        <f t="shared" si="177"/>
        <v>0.61266666666666669</v>
      </c>
    </row>
    <row r="5686" spans="1:29">
      <c r="A5686" s="8" t="s">
        <v>5664</v>
      </c>
      <c r="B5686" s="17" t="s">
        <v>7800</v>
      </c>
      <c r="C5686" s="13">
        <v>39661</v>
      </c>
      <c r="D5686" s="13" t="s">
        <v>8465</v>
      </c>
      <c r="E5686" s="10" t="s">
        <v>3915</v>
      </c>
      <c r="F5686" s="10" t="s">
        <v>3915</v>
      </c>
      <c r="G5686" s="11" t="s">
        <v>5664</v>
      </c>
      <c r="H5686" s="2" t="s">
        <v>2820</v>
      </c>
      <c r="L5686" s="18">
        <v>1</v>
      </c>
      <c r="P5686" s="18" t="s">
        <v>1107</v>
      </c>
      <c r="Q5686" s="18">
        <v>1</v>
      </c>
      <c r="S5686" s="21">
        <v>0.27</v>
      </c>
      <c r="T5686" s="22">
        <v>0.7</v>
      </c>
      <c r="V5686" s="22">
        <f>3.11/5</f>
        <v>0.622</v>
      </c>
      <c r="W5686" s="14" t="s">
        <v>7777</v>
      </c>
      <c r="AB5686" s="18">
        <f t="shared" si="176"/>
        <v>2008</v>
      </c>
      <c r="AC5686" s="22">
        <f t="shared" si="177"/>
        <v>0.66100000000000003</v>
      </c>
    </row>
    <row r="5687" spans="1:29" ht="25.5">
      <c r="A5687" s="8" t="s">
        <v>6322</v>
      </c>
      <c r="B5687" s="17" t="s">
        <v>7765</v>
      </c>
      <c r="C5687" s="13">
        <v>39659</v>
      </c>
      <c r="D5687" s="13" t="s">
        <v>8465</v>
      </c>
      <c r="E5687" s="10" t="s">
        <v>1273</v>
      </c>
      <c r="F5687" s="10" t="s">
        <v>1052</v>
      </c>
      <c r="G5687" s="11" t="s">
        <v>1053</v>
      </c>
      <c r="H5687" s="2" t="s">
        <v>1054</v>
      </c>
      <c r="L5687" s="18">
        <v>1</v>
      </c>
      <c r="P5687" s="18" t="s">
        <v>1107</v>
      </c>
      <c r="Q5687" s="18">
        <v>1</v>
      </c>
      <c r="T5687" s="22">
        <v>0.9</v>
      </c>
      <c r="U5687" s="22">
        <v>0.9</v>
      </c>
      <c r="V5687" s="22">
        <f>4.18/5</f>
        <v>0.83599999999999997</v>
      </c>
      <c r="AB5687" s="18">
        <f t="shared" si="176"/>
        <v>2008</v>
      </c>
      <c r="AC5687" s="22">
        <f t="shared" si="177"/>
        <v>0.87866666666666671</v>
      </c>
    </row>
    <row r="5688" spans="1:29" ht="25.5">
      <c r="A5688" s="8" t="s">
        <v>2242</v>
      </c>
      <c r="B5688" s="17" t="s">
        <v>7748</v>
      </c>
      <c r="C5688" s="13">
        <v>39623</v>
      </c>
      <c r="D5688" s="13" t="s">
        <v>8465</v>
      </c>
      <c r="E5688" s="10" t="s">
        <v>1082</v>
      </c>
      <c r="F5688" s="10" t="s">
        <v>1082</v>
      </c>
      <c r="G5688" s="11" t="s">
        <v>1981</v>
      </c>
      <c r="H5688" s="2" t="s">
        <v>75</v>
      </c>
      <c r="L5688" s="18">
        <v>0</v>
      </c>
      <c r="Q5688" s="18">
        <v>1</v>
      </c>
      <c r="R5688" s="13">
        <v>44930</v>
      </c>
      <c r="S5688" s="21">
        <f>48+59/60+14/3600</f>
        <v>48.987222222222222</v>
      </c>
      <c r="T5688" s="22">
        <v>0.85</v>
      </c>
      <c r="U5688" s="22">
        <v>0.81</v>
      </c>
      <c r="V5688" s="22">
        <f>4.14/5</f>
        <v>0.82799999999999996</v>
      </c>
      <c r="AB5688" s="18">
        <f t="shared" si="176"/>
        <v>2008</v>
      </c>
      <c r="AC5688" s="22">
        <f t="shared" si="177"/>
        <v>0.82933333333333337</v>
      </c>
    </row>
    <row r="5689" spans="1:29" ht="25.5">
      <c r="A5689" s="8" t="s">
        <v>6344</v>
      </c>
      <c r="B5689" s="17" t="s">
        <v>7765</v>
      </c>
      <c r="C5689" s="13">
        <v>39622</v>
      </c>
      <c r="D5689" s="13" t="s">
        <v>8465</v>
      </c>
      <c r="E5689" s="10" t="s">
        <v>231</v>
      </c>
      <c r="F5689" s="10" t="s">
        <v>6349</v>
      </c>
      <c r="G5689" s="11" t="s">
        <v>6350</v>
      </c>
      <c r="H5689" s="2" t="s">
        <v>1050</v>
      </c>
      <c r="L5689" s="18">
        <v>0</v>
      </c>
      <c r="Q5689" s="18">
        <v>1</v>
      </c>
      <c r="T5689" s="22">
        <v>0.7</v>
      </c>
      <c r="U5689" s="22">
        <v>0.84</v>
      </c>
      <c r="V5689" s="22">
        <f>3.96/5</f>
        <v>0.79200000000000004</v>
      </c>
      <c r="AB5689" s="18">
        <f t="shared" si="176"/>
        <v>2008</v>
      </c>
      <c r="AC5689" s="22">
        <f t="shared" si="177"/>
        <v>0.77733333333333332</v>
      </c>
    </row>
    <row r="5690" spans="1:29" ht="38.25">
      <c r="A5690" s="8" t="s">
        <v>4302</v>
      </c>
      <c r="B5690" s="17" t="s">
        <v>7765</v>
      </c>
      <c r="C5690" s="13">
        <v>39602</v>
      </c>
      <c r="D5690" s="13" t="s">
        <v>8465</v>
      </c>
      <c r="E5690" s="10" t="s">
        <v>1284</v>
      </c>
      <c r="F5690" s="10" t="s">
        <v>1309</v>
      </c>
      <c r="G5690" s="11" t="s">
        <v>4301</v>
      </c>
      <c r="H5690" s="2" t="s">
        <v>80</v>
      </c>
      <c r="L5690" s="18">
        <v>0</v>
      </c>
      <c r="Q5690" s="18">
        <v>1</v>
      </c>
      <c r="R5690" s="13">
        <v>40035</v>
      </c>
      <c r="T5690" s="22">
        <v>0.7</v>
      </c>
      <c r="U5690" s="22">
        <v>0.79</v>
      </c>
      <c r="V5690" s="22">
        <f>3.83/5</f>
        <v>0.76600000000000001</v>
      </c>
      <c r="AB5690" s="18">
        <f t="shared" si="176"/>
        <v>2008</v>
      </c>
      <c r="AC5690" s="22">
        <f t="shared" si="177"/>
        <v>0.75200000000000011</v>
      </c>
    </row>
    <row r="5691" spans="1:29" ht="25.5">
      <c r="A5691" s="8" t="s">
        <v>6345</v>
      </c>
      <c r="B5691" s="17" t="s">
        <v>7765</v>
      </c>
      <c r="C5691" s="13">
        <v>39602</v>
      </c>
      <c r="D5691" s="13" t="s">
        <v>8465</v>
      </c>
      <c r="E5691" s="10" t="s">
        <v>1496</v>
      </c>
      <c r="F5691" s="10" t="s">
        <v>5879</v>
      </c>
      <c r="G5691" s="11" t="s">
        <v>6351</v>
      </c>
      <c r="H5691" s="2" t="s">
        <v>1168</v>
      </c>
      <c r="L5691" s="18">
        <v>0</v>
      </c>
      <c r="Q5691" s="18">
        <v>1</v>
      </c>
      <c r="R5691" s="13">
        <v>40090</v>
      </c>
      <c r="T5691" s="22">
        <v>0.5</v>
      </c>
      <c r="U5691" s="22">
        <v>0.73</v>
      </c>
      <c r="V5691" s="22">
        <f>3.61/5</f>
        <v>0.72199999999999998</v>
      </c>
      <c r="AB5691" s="18">
        <f t="shared" si="176"/>
        <v>2008</v>
      </c>
      <c r="AC5691" s="22">
        <f t="shared" si="177"/>
        <v>0.65066666666666662</v>
      </c>
    </row>
    <row r="5692" spans="1:29">
      <c r="A5692" s="8" t="s">
        <v>450</v>
      </c>
      <c r="B5692" s="17" t="s">
        <v>7742</v>
      </c>
      <c r="C5692" s="13">
        <v>39594</v>
      </c>
      <c r="D5692" s="13" t="s">
        <v>8465</v>
      </c>
      <c r="E5692" s="10" t="s">
        <v>170</v>
      </c>
      <c r="F5692" s="10" t="s">
        <v>562</v>
      </c>
      <c r="G5692" s="11" t="s">
        <v>450</v>
      </c>
      <c r="H5692" s="2" t="s">
        <v>147</v>
      </c>
      <c r="L5692" s="18">
        <v>0</v>
      </c>
      <c r="Q5692" s="18">
        <v>1</v>
      </c>
      <c r="T5692" s="22">
        <v>0.8</v>
      </c>
      <c r="V5692" s="22">
        <f>4.1/5</f>
        <v>0.82</v>
      </c>
      <c r="W5692" s="14" t="s">
        <v>1068</v>
      </c>
      <c r="AB5692" s="18">
        <f t="shared" si="176"/>
        <v>2008</v>
      </c>
      <c r="AC5692" s="22">
        <f t="shared" si="177"/>
        <v>0.81</v>
      </c>
    </row>
    <row r="5693" spans="1:29" ht="51">
      <c r="A5693" s="8" t="s">
        <v>4675</v>
      </c>
      <c r="B5693" s="17" t="s">
        <v>7800</v>
      </c>
      <c r="C5693" s="13">
        <v>39589</v>
      </c>
      <c r="D5693" s="13" t="s">
        <v>8465</v>
      </c>
      <c r="E5693" s="10" t="s">
        <v>3612</v>
      </c>
      <c r="F5693" s="10" t="s">
        <v>3612</v>
      </c>
      <c r="G5693" s="11" t="s">
        <v>4676</v>
      </c>
      <c r="H5693" s="2" t="s">
        <v>149</v>
      </c>
      <c r="L5693" s="18">
        <v>1</v>
      </c>
      <c r="N5693" s="13">
        <v>40733</v>
      </c>
      <c r="O5693" s="29">
        <v>0.9</v>
      </c>
      <c r="P5693" s="18" t="s">
        <v>1107</v>
      </c>
      <c r="Q5693" s="18">
        <v>1</v>
      </c>
      <c r="S5693" s="21">
        <v>6</v>
      </c>
      <c r="T5693" s="22">
        <v>0.7</v>
      </c>
      <c r="U5693" s="22">
        <v>0.77</v>
      </c>
      <c r="V5693" s="22">
        <f>3.71/5</f>
        <v>0.74199999999999999</v>
      </c>
      <c r="W5693" s="14" t="s">
        <v>7777</v>
      </c>
      <c r="AB5693" s="18">
        <f t="shared" si="176"/>
        <v>2008</v>
      </c>
      <c r="AC5693" s="22">
        <f t="shared" si="177"/>
        <v>0.73733333333333329</v>
      </c>
    </row>
    <row r="5694" spans="1:29" ht="30">
      <c r="A5694" s="8" t="s">
        <v>1696</v>
      </c>
      <c r="B5694" s="17" t="s">
        <v>7748</v>
      </c>
      <c r="C5694" s="13">
        <v>39560</v>
      </c>
      <c r="D5694" s="13" t="s">
        <v>8465</v>
      </c>
      <c r="E5694" s="10" t="s">
        <v>1082</v>
      </c>
      <c r="F5694" s="10" t="s">
        <v>1794</v>
      </c>
      <c r="G5694" s="11" t="s">
        <v>1696</v>
      </c>
      <c r="H5694" s="2" t="s">
        <v>171</v>
      </c>
      <c r="L5694" s="18">
        <v>0</v>
      </c>
      <c r="Q5694" s="18">
        <v>1</v>
      </c>
      <c r="T5694" s="22">
        <v>1</v>
      </c>
      <c r="U5694" s="22">
        <v>0.88</v>
      </c>
      <c r="V5694" s="22">
        <f>4.45/5</f>
        <v>0.89</v>
      </c>
      <c r="AB5694" s="18">
        <f t="shared" si="176"/>
        <v>2008</v>
      </c>
      <c r="AC5694" s="22">
        <f t="shared" si="177"/>
        <v>0.92333333333333334</v>
      </c>
    </row>
    <row r="5695" spans="1:29" ht="25.5">
      <c r="A5695" s="8" t="s">
        <v>2096</v>
      </c>
      <c r="B5695" s="17" t="s">
        <v>7748</v>
      </c>
      <c r="C5695" s="13">
        <v>39532</v>
      </c>
      <c r="D5695" s="13" t="s">
        <v>8465</v>
      </c>
      <c r="E5695" s="10" t="s">
        <v>76</v>
      </c>
      <c r="F5695" s="10" t="s">
        <v>1136</v>
      </c>
      <c r="G5695" s="11" t="s">
        <v>139</v>
      </c>
      <c r="H5695" s="2" t="s">
        <v>1059</v>
      </c>
      <c r="L5695" s="18">
        <v>0</v>
      </c>
      <c r="Q5695" s="18">
        <v>1</v>
      </c>
      <c r="T5695" s="22">
        <v>0.8</v>
      </c>
      <c r="U5695" s="22">
        <v>0.83</v>
      </c>
      <c r="V5695" s="22">
        <f>3.84/5</f>
        <v>0.76800000000000002</v>
      </c>
      <c r="AB5695" s="18">
        <f t="shared" si="176"/>
        <v>2008</v>
      </c>
      <c r="AC5695" s="22">
        <f t="shared" si="177"/>
        <v>0.79933333333333323</v>
      </c>
    </row>
    <row r="5696" spans="1:29" ht="30">
      <c r="A5696" s="8" t="s">
        <v>6234</v>
      </c>
      <c r="B5696" s="17" t="s">
        <v>7762</v>
      </c>
      <c r="C5696" s="13">
        <v>39531</v>
      </c>
      <c r="D5696" s="13" t="s">
        <v>8465</v>
      </c>
      <c r="E5696" s="10" t="s">
        <v>1082</v>
      </c>
      <c r="F5696" s="10" t="s">
        <v>1082</v>
      </c>
      <c r="G5696" s="11" t="s">
        <v>126</v>
      </c>
      <c r="H5696" s="2" t="s">
        <v>171</v>
      </c>
      <c r="L5696" s="18">
        <v>1</v>
      </c>
      <c r="M5696" s="14" t="s">
        <v>8462</v>
      </c>
      <c r="N5696" s="13">
        <v>43868</v>
      </c>
      <c r="O5696" s="29">
        <v>11.99</v>
      </c>
      <c r="P5696" s="18" t="s">
        <v>14</v>
      </c>
      <c r="Q5696" s="18">
        <v>1</v>
      </c>
      <c r="R5696" s="13">
        <v>44431</v>
      </c>
      <c r="S5696" s="21">
        <f>17+9/60+13/3600</f>
        <v>17.153611111111111</v>
      </c>
      <c r="T5696" s="22">
        <v>0.7</v>
      </c>
      <c r="U5696" s="22">
        <v>0.82</v>
      </c>
      <c r="V5696" s="22">
        <f>4.21/5</f>
        <v>0.84199999999999997</v>
      </c>
      <c r="AB5696" s="18">
        <f t="shared" si="176"/>
        <v>2008</v>
      </c>
      <c r="AC5696" s="22">
        <f t="shared" si="177"/>
        <v>0.78733333333333333</v>
      </c>
    </row>
    <row r="5697" spans="1:29" ht="25.5">
      <c r="A5697" s="8" t="s">
        <v>5932</v>
      </c>
      <c r="B5697" s="17" t="s">
        <v>7759</v>
      </c>
      <c r="C5697" s="13">
        <v>39525</v>
      </c>
      <c r="D5697" s="13" t="s">
        <v>8465</v>
      </c>
      <c r="E5697" s="10" t="s">
        <v>455</v>
      </c>
      <c r="F5697" s="10" t="s">
        <v>3487</v>
      </c>
      <c r="G5697" s="11" t="s">
        <v>3488</v>
      </c>
      <c r="H5697" s="2" t="s">
        <v>1061</v>
      </c>
      <c r="L5697" s="18">
        <v>1</v>
      </c>
      <c r="M5697" s="14" t="s">
        <v>8462</v>
      </c>
      <c r="N5697" s="13">
        <v>43321</v>
      </c>
      <c r="O5697" s="29">
        <v>8.5</v>
      </c>
      <c r="P5697" s="18" t="s">
        <v>14</v>
      </c>
      <c r="Q5697" s="18">
        <v>1</v>
      </c>
      <c r="R5697" s="13">
        <v>45094</v>
      </c>
      <c r="T5697" s="22">
        <v>0.4</v>
      </c>
      <c r="U5697" s="22">
        <v>0.83</v>
      </c>
      <c r="V5697" s="22">
        <f>3.59/5</f>
        <v>0.71799999999999997</v>
      </c>
      <c r="AB5697" s="18">
        <f t="shared" ref="AB5697:AB5760" si="178">IFERROR(YEAR(C5697), "Early Access")</f>
        <v>2008</v>
      </c>
      <c r="AC5697" s="22">
        <f t="shared" ref="AC5697:AC5760" si="179">AVERAGE(T5697, U5697, V5697, IF(ISBLANK(X5697), X5697, X5697/5))</f>
        <v>0.64933333333333332</v>
      </c>
    </row>
    <row r="5698" spans="1:29" ht="25.5">
      <c r="A5698" s="8" t="s">
        <v>959</v>
      </c>
      <c r="B5698" s="17" t="s">
        <v>7741</v>
      </c>
      <c r="C5698" s="13">
        <v>39516</v>
      </c>
      <c r="D5698" s="13" t="s">
        <v>8465</v>
      </c>
      <c r="E5698" s="10" t="s">
        <v>86</v>
      </c>
      <c r="F5698" s="10" t="s">
        <v>1512</v>
      </c>
      <c r="G5698" s="11" t="s">
        <v>892</v>
      </c>
      <c r="H5698" s="2" t="s">
        <v>459</v>
      </c>
      <c r="L5698" s="18">
        <v>0</v>
      </c>
      <c r="Q5698" s="18">
        <v>1</v>
      </c>
      <c r="T5698" s="22">
        <v>0.9</v>
      </c>
      <c r="U5698" s="22">
        <v>0.93</v>
      </c>
      <c r="V5698" s="22">
        <f>4.39/5</f>
        <v>0.87799999999999989</v>
      </c>
      <c r="AB5698" s="18">
        <f t="shared" si="178"/>
        <v>2008</v>
      </c>
      <c r="AC5698" s="22">
        <f t="shared" si="179"/>
        <v>0.90266666666666673</v>
      </c>
    </row>
    <row r="5699" spans="1:29">
      <c r="A5699" s="8" t="s">
        <v>5921</v>
      </c>
      <c r="B5699" s="17" t="s">
        <v>7765</v>
      </c>
      <c r="C5699" s="13">
        <v>39513</v>
      </c>
      <c r="D5699" s="13" t="s">
        <v>8465</v>
      </c>
      <c r="E5699" s="10" t="s">
        <v>231</v>
      </c>
      <c r="F5699" s="10" t="s">
        <v>5920</v>
      </c>
      <c r="G5699" s="11" t="s">
        <v>5921</v>
      </c>
      <c r="H5699" s="2" t="s">
        <v>1168</v>
      </c>
      <c r="L5699" s="18">
        <v>1</v>
      </c>
      <c r="M5699" s="14" t="s">
        <v>8462</v>
      </c>
      <c r="N5699" s="13">
        <v>43375</v>
      </c>
      <c r="O5699" s="29">
        <v>4.2699999999999996</v>
      </c>
      <c r="P5699" s="18" t="s">
        <v>14</v>
      </c>
      <c r="Q5699" s="18">
        <v>1</v>
      </c>
      <c r="R5699" s="13">
        <v>43533</v>
      </c>
      <c r="T5699" s="22">
        <v>0.6</v>
      </c>
      <c r="U5699" s="22">
        <v>0.75</v>
      </c>
      <c r="V5699" s="22">
        <f>3.59/5</f>
        <v>0.71799999999999997</v>
      </c>
      <c r="AB5699" s="18">
        <f t="shared" si="178"/>
        <v>2008</v>
      </c>
      <c r="AC5699" s="22">
        <f t="shared" si="179"/>
        <v>0.68933333333333335</v>
      </c>
    </row>
    <row r="5700" spans="1:29">
      <c r="A5700" s="8" t="s">
        <v>7154</v>
      </c>
      <c r="B5700" s="17" t="s">
        <v>7800</v>
      </c>
      <c r="C5700" s="13">
        <v>39507</v>
      </c>
      <c r="D5700" s="13" t="s">
        <v>8465</v>
      </c>
      <c r="E5700" s="10" t="s">
        <v>2821</v>
      </c>
      <c r="F5700" s="10" t="s">
        <v>2821</v>
      </c>
      <c r="G5700" s="11" t="s">
        <v>7599</v>
      </c>
      <c r="H5700" s="2" t="s">
        <v>56</v>
      </c>
      <c r="L5700" s="18">
        <v>0</v>
      </c>
      <c r="Q5700" s="18">
        <v>1</v>
      </c>
      <c r="R5700" s="13">
        <v>44014</v>
      </c>
      <c r="S5700" s="21">
        <f>22/60+19/3600</f>
        <v>0.37194444444444441</v>
      </c>
      <c r="T5700" s="22">
        <v>0.5</v>
      </c>
      <c r="V5700" s="22">
        <f>3.1/5</f>
        <v>0.62</v>
      </c>
      <c r="W5700" s="14" t="s">
        <v>5674</v>
      </c>
      <c r="AB5700" s="18">
        <f t="shared" si="178"/>
        <v>2008</v>
      </c>
      <c r="AC5700" s="22">
        <f t="shared" si="179"/>
        <v>0.56000000000000005</v>
      </c>
    </row>
    <row r="5701" spans="1:29" ht="25.5">
      <c r="A5701" s="8" t="s">
        <v>2104</v>
      </c>
      <c r="B5701" s="17" t="s">
        <v>7748</v>
      </c>
      <c r="C5701" s="13">
        <v>39488</v>
      </c>
      <c r="D5701" s="13" t="s">
        <v>8465</v>
      </c>
      <c r="E5701" s="10" t="s">
        <v>86</v>
      </c>
      <c r="F5701" s="10" t="s">
        <v>2129</v>
      </c>
      <c r="G5701" s="11" t="s">
        <v>2130</v>
      </c>
      <c r="H5701" s="2" t="s">
        <v>78</v>
      </c>
      <c r="L5701" s="18">
        <v>0</v>
      </c>
      <c r="Q5701" s="18">
        <v>1</v>
      </c>
      <c r="T5701" s="22">
        <v>0.9</v>
      </c>
      <c r="U5701" s="22">
        <v>0.86</v>
      </c>
      <c r="V5701" s="22">
        <f>4.16/5</f>
        <v>0.83200000000000007</v>
      </c>
      <c r="AB5701" s="18">
        <f t="shared" si="178"/>
        <v>2008</v>
      </c>
      <c r="AC5701" s="22">
        <f t="shared" si="179"/>
        <v>0.86399999999999999</v>
      </c>
    </row>
    <row r="5702" spans="1:29" ht="25.5">
      <c r="A5702" s="8" t="s">
        <v>2125</v>
      </c>
      <c r="B5702" s="17" t="s">
        <v>7748</v>
      </c>
      <c r="C5702" s="13">
        <v>39483</v>
      </c>
      <c r="D5702" s="13" t="s">
        <v>8465</v>
      </c>
      <c r="E5702" s="10" t="s">
        <v>1047</v>
      </c>
      <c r="F5702" s="10" t="s">
        <v>2142</v>
      </c>
      <c r="G5702" s="11" t="s">
        <v>1563</v>
      </c>
      <c r="H5702" s="2" t="s">
        <v>80</v>
      </c>
      <c r="L5702" s="18">
        <v>0</v>
      </c>
      <c r="Q5702" s="18">
        <v>1</v>
      </c>
      <c r="R5702" s="13">
        <v>43676</v>
      </c>
      <c r="T5702" s="22">
        <v>0.3</v>
      </c>
      <c r="U5702" s="22">
        <v>0.57999999999999996</v>
      </c>
      <c r="V5702" s="22">
        <f>2.85/5</f>
        <v>0.57000000000000006</v>
      </c>
      <c r="AB5702" s="18">
        <f t="shared" si="178"/>
        <v>2008</v>
      </c>
      <c r="AC5702" s="22">
        <f t="shared" si="179"/>
        <v>0.48333333333333334</v>
      </c>
    </row>
    <row r="5703" spans="1:29" ht="25.5">
      <c r="A5703" s="8" t="s">
        <v>5666</v>
      </c>
      <c r="B5703" s="17" t="s">
        <v>7800</v>
      </c>
      <c r="C5703" s="13">
        <v>39469</v>
      </c>
      <c r="D5703" s="13" t="s">
        <v>8465</v>
      </c>
      <c r="E5703" s="10" t="s">
        <v>5698</v>
      </c>
      <c r="F5703" s="10" t="s">
        <v>5698</v>
      </c>
      <c r="G5703" s="11" t="s">
        <v>5699</v>
      </c>
      <c r="H5703" s="2" t="s">
        <v>149</v>
      </c>
      <c r="L5703" s="18">
        <v>0</v>
      </c>
      <c r="Q5703" s="18">
        <v>1</v>
      </c>
      <c r="S5703" s="21">
        <v>4.09</v>
      </c>
      <c r="T5703" s="22">
        <v>0.9</v>
      </c>
      <c r="V5703" s="22">
        <f>4.17/5</f>
        <v>0.83399999999999996</v>
      </c>
      <c r="W5703" s="14" t="s">
        <v>5674</v>
      </c>
      <c r="AB5703" s="18">
        <f t="shared" si="178"/>
        <v>2008</v>
      </c>
      <c r="AC5703" s="22">
        <f t="shared" si="179"/>
        <v>0.86699999999999999</v>
      </c>
    </row>
    <row r="5704" spans="1:29">
      <c r="A5704" s="8" t="s">
        <v>6343</v>
      </c>
      <c r="B5704" s="17" t="s">
        <v>7765</v>
      </c>
      <c r="C5704" s="13">
        <v>39469</v>
      </c>
      <c r="D5704" s="13" t="s">
        <v>8465</v>
      </c>
      <c r="E5704" s="10" t="s">
        <v>231</v>
      </c>
      <c r="F5704" s="10" t="s">
        <v>3393</v>
      </c>
      <c r="G5704" s="11" t="s">
        <v>3394</v>
      </c>
      <c r="H5704" s="2" t="s">
        <v>150</v>
      </c>
      <c r="L5704" s="18">
        <v>0</v>
      </c>
      <c r="Q5704" s="18">
        <v>1</v>
      </c>
      <c r="R5704" s="13">
        <v>39905</v>
      </c>
      <c r="T5704" s="22">
        <v>0.9</v>
      </c>
      <c r="U5704" s="22">
        <v>0.88</v>
      </c>
      <c r="V5704" s="22">
        <f>3.9/5</f>
        <v>0.78</v>
      </c>
      <c r="AB5704" s="18">
        <f t="shared" si="178"/>
        <v>2008</v>
      </c>
      <c r="AC5704" s="22">
        <f t="shared" si="179"/>
        <v>0.85333333333333339</v>
      </c>
    </row>
    <row r="5705" spans="1:29" ht="25.5">
      <c r="A5705" s="8" t="s">
        <v>1011</v>
      </c>
      <c r="B5705" s="17" t="s">
        <v>7741</v>
      </c>
      <c r="C5705" s="13">
        <v>39434</v>
      </c>
      <c r="D5705" s="13" t="s">
        <v>8465</v>
      </c>
      <c r="E5705" s="10" t="s">
        <v>455</v>
      </c>
      <c r="F5705" s="10" t="s">
        <v>1492</v>
      </c>
      <c r="G5705" s="11" t="s">
        <v>1522</v>
      </c>
      <c r="H5705" s="2" t="s">
        <v>143</v>
      </c>
      <c r="L5705" s="18">
        <v>0</v>
      </c>
      <c r="Q5705" s="18">
        <v>0</v>
      </c>
      <c r="U5705" s="22">
        <v>0.69</v>
      </c>
      <c r="V5705" s="22">
        <f>3.4/5</f>
        <v>0.67999999999999994</v>
      </c>
      <c r="X5705" s="3">
        <v>3</v>
      </c>
      <c r="Z5705" s="23">
        <v>5.5</v>
      </c>
      <c r="AB5705" s="18">
        <f t="shared" si="178"/>
        <v>2007</v>
      </c>
      <c r="AC5705" s="22">
        <f t="shared" si="179"/>
        <v>0.65666666666666662</v>
      </c>
    </row>
    <row r="5706" spans="1:29">
      <c r="A5706" s="8" t="s">
        <v>14714</v>
      </c>
      <c r="B5706" s="17" t="s">
        <v>7758</v>
      </c>
      <c r="C5706" s="13">
        <v>39429</v>
      </c>
      <c r="D5706" s="13" t="s">
        <v>8463</v>
      </c>
      <c r="E5706" s="10" t="s">
        <v>3113</v>
      </c>
      <c r="F5706" s="10" t="s">
        <v>3113</v>
      </c>
      <c r="H5706" s="2" t="s">
        <v>75</v>
      </c>
      <c r="K5706" s="18">
        <v>0</v>
      </c>
      <c r="L5706" s="18">
        <v>0</v>
      </c>
      <c r="Q5706" s="18">
        <v>0</v>
      </c>
      <c r="V5706" s="22">
        <f>3.66/5</f>
        <v>0.73199999999999998</v>
      </c>
      <c r="X5706" s="3">
        <v>2</v>
      </c>
      <c r="AB5706" s="18">
        <f t="shared" si="178"/>
        <v>2007</v>
      </c>
      <c r="AC5706" s="22">
        <f t="shared" si="179"/>
        <v>0.56600000000000006</v>
      </c>
    </row>
    <row r="5707" spans="1:29" ht="30">
      <c r="A5707" s="8" t="s">
        <v>11885</v>
      </c>
      <c r="B5707" s="17" t="s">
        <v>7762</v>
      </c>
      <c r="C5707" s="13">
        <v>39429</v>
      </c>
      <c r="D5707" s="13" t="s">
        <v>8465</v>
      </c>
      <c r="E5707" s="10" t="s">
        <v>10149</v>
      </c>
      <c r="F5707" s="10" t="s">
        <v>11826</v>
      </c>
      <c r="H5707" s="2" t="s">
        <v>171</v>
      </c>
      <c r="L5707" s="18">
        <v>0</v>
      </c>
      <c r="Q5707" s="18">
        <v>0</v>
      </c>
      <c r="U5707" s="22">
        <v>0.52</v>
      </c>
      <c r="V5707" s="22">
        <f>3.14/5</f>
        <v>0.628</v>
      </c>
      <c r="X5707" s="3">
        <v>2</v>
      </c>
      <c r="Z5707" s="23">
        <v>17.5</v>
      </c>
      <c r="AB5707" s="18">
        <f t="shared" si="178"/>
        <v>2007</v>
      </c>
      <c r="AC5707" s="22">
        <f t="shared" si="179"/>
        <v>0.51600000000000001</v>
      </c>
    </row>
    <row r="5708" spans="1:29">
      <c r="A5708" s="8" t="s">
        <v>12940</v>
      </c>
      <c r="B5708" s="17" t="s">
        <v>7759</v>
      </c>
      <c r="C5708" s="13">
        <v>39426</v>
      </c>
      <c r="D5708" s="13" t="s">
        <v>8465</v>
      </c>
      <c r="E5708" s="10" t="s">
        <v>485</v>
      </c>
      <c r="F5708" s="10" t="s">
        <v>12939</v>
      </c>
      <c r="G5708" s="11" t="s">
        <v>12936</v>
      </c>
      <c r="H5708" s="2" t="s">
        <v>1050</v>
      </c>
      <c r="L5708" s="18">
        <v>0</v>
      </c>
      <c r="Q5708" s="18">
        <v>0</v>
      </c>
      <c r="U5708" s="22">
        <v>0.56000000000000005</v>
      </c>
      <c r="V5708" s="22">
        <f>2.87/5</f>
        <v>0.57400000000000007</v>
      </c>
      <c r="X5708" s="3">
        <v>2</v>
      </c>
      <c r="Y5708" s="18">
        <v>1</v>
      </c>
      <c r="Z5708" s="23">
        <v>5.5</v>
      </c>
      <c r="AB5708" s="18">
        <f t="shared" si="178"/>
        <v>2007</v>
      </c>
      <c r="AC5708" s="22">
        <f t="shared" si="179"/>
        <v>0.51133333333333342</v>
      </c>
    </row>
    <row r="5709" spans="1:29">
      <c r="A5709" s="8" t="s">
        <v>3196</v>
      </c>
      <c r="B5709" s="17" t="s">
        <v>7800</v>
      </c>
      <c r="C5709" s="13">
        <v>39423</v>
      </c>
      <c r="D5709" s="13" t="s">
        <v>8465</v>
      </c>
      <c r="E5709" s="10" t="s">
        <v>3197</v>
      </c>
      <c r="F5709" s="10" t="s">
        <v>3197</v>
      </c>
      <c r="H5709" s="2" t="s">
        <v>151</v>
      </c>
      <c r="L5709" s="18">
        <v>1</v>
      </c>
      <c r="N5709" s="13">
        <v>40534</v>
      </c>
      <c r="P5709" s="18" t="s">
        <v>1107</v>
      </c>
      <c r="Q5709" s="18">
        <v>0</v>
      </c>
      <c r="U5709" s="22">
        <v>0.83</v>
      </c>
      <c r="V5709" s="22">
        <f>3.92/5</f>
        <v>0.78400000000000003</v>
      </c>
      <c r="W5709" s="14" t="s">
        <v>7777</v>
      </c>
      <c r="X5709" s="3">
        <v>3</v>
      </c>
      <c r="Z5709" s="23">
        <v>16</v>
      </c>
      <c r="AB5709" s="18">
        <f t="shared" si="178"/>
        <v>2007</v>
      </c>
      <c r="AC5709" s="22">
        <f t="shared" si="179"/>
        <v>0.73799999999999999</v>
      </c>
    </row>
    <row r="5710" spans="1:29">
      <c r="A5710" s="8" t="s">
        <v>2221</v>
      </c>
      <c r="B5710" s="17" t="s">
        <v>7748</v>
      </c>
      <c r="C5710" s="13">
        <v>39422</v>
      </c>
      <c r="D5710" s="13" t="s">
        <v>8463</v>
      </c>
      <c r="E5710" s="10" t="s">
        <v>1541</v>
      </c>
      <c r="F5710" s="10" t="s">
        <v>1375</v>
      </c>
      <c r="G5710" s="11" t="s">
        <v>1422</v>
      </c>
      <c r="H5710" s="2" t="s">
        <v>149</v>
      </c>
      <c r="K5710" s="18">
        <v>2</v>
      </c>
      <c r="L5710" s="18">
        <v>0</v>
      </c>
      <c r="Q5710" s="18">
        <v>0</v>
      </c>
      <c r="V5710" s="22">
        <f>3.76/5</f>
        <v>0.752</v>
      </c>
      <c r="X5710" s="3">
        <v>3</v>
      </c>
      <c r="Z5710" s="23">
        <v>30</v>
      </c>
      <c r="AB5710" s="18">
        <f t="shared" si="178"/>
        <v>2007</v>
      </c>
      <c r="AC5710" s="22">
        <f t="shared" si="179"/>
        <v>0.67599999999999993</v>
      </c>
    </row>
    <row r="5711" spans="1:29">
      <c r="A5711" s="8" t="s">
        <v>13290</v>
      </c>
      <c r="B5711" s="17" t="s">
        <v>7748</v>
      </c>
      <c r="C5711" s="13">
        <v>39420</v>
      </c>
      <c r="D5711" s="13" t="s">
        <v>8465</v>
      </c>
      <c r="E5711" s="10" t="s">
        <v>228</v>
      </c>
      <c r="F5711" s="10" t="s">
        <v>1232</v>
      </c>
      <c r="H5711" s="2" t="s">
        <v>171</v>
      </c>
      <c r="L5711" s="18">
        <v>0</v>
      </c>
      <c r="Q5711" s="18">
        <v>0</v>
      </c>
      <c r="U5711" s="22">
        <v>0.71</v>
      </c>
      <c r="V5711" s="22">
        <f>3.74/5</f>
        <v>0.748</v>
      </c>
      <c r="X5711" s="3">
        <v>2</v>
      </c>
      <c r="Z5711" s="23">
        <v>4.5</v>
      </c>
      <c r="AB5711" s="18">
        <f t="shared" si="178"/>
        <v>2007</v>
      </c>
      <c r="AC5711" s="22">
        <f t="shared" si="179"/>
        <v>0.6193333333333334</v>
      </c>
    </row>
    <row r="5712" spans="1:29">
      <c r="A5712" s="8" t="s">
        <v>1623</v>
      </c>
      <c r="B5712" s="17" t="s">
        <v>7800</v>
      </c>
      <c r="C5712" s="13">
        <v>39417</v>
      </c>
      <c r="D5712" s="13" t="s">
        <v>8465</v>
      </c>
      <c r="E5712" s="10" t="s">
        <v>4370</v>
      </c>
      <c r="F5712" s="10" t="s">
        <v>2139</v>
      </c>
      <c r="G5712" s="11" t="s">
        <v>1623</v>
      </c>
      <c r="H5712" s="2" t="s">
        <v>78</v>
      </c>
      <c r="L5712" s="18">
        <v>1</v>
      </c>
      <c r="N5712" s="13">
        <v>40537</v>
      </c>
      <c r="O5712" s="29">
        <v>0.99</v>
      </c>
      <c r="P5712" s="18" t="s">
        <v>1107</v>
      </c>
      <c r="Q5712" s="18">
        <v>0</v>
      </c>
      <c r="U5712" s="22">
        <v>0.71</v>
      </c>
      <c r="V5712" s="22">
        <f>4.09/5</f>
        <v>0.81799999999999995</v>
      </c>
      <c r="W5712" s="14" t="s">
        <v>7777</v>
      </c>
      <c r="X5712" s="3">
        <v>2</v>
      </c>
      <c r="Z5712" s="23">
        <v>9</v>
      </c>
      <c r="AB5712" s="18">
        <f t="shared" si="178"/>
        <v>2007</v>
      </c>
      <c r="AC5712" s="22">
        <f t="shared" si="179"/>
        <v>0.64266666666666661</v>
      </c>
    </row>
    <row r="5713" spans="1:29" ht="25.5">
      <c r="A5713" s="8" t="s">
        <v>9338</v>
      </c>
      <c r="B5713" s="17" t="s">
        <v>7758</v>
      </c>
      <c r="C5713" s="13">
        <v>39415</v>
      </c>
      <c r="D5713" s="13" t="s">
        <v>8463</v>
      </c>
      <c r="E5713" s="10" t="s">
        <v>73</v>
      </c>
      <c r="F5713" s="10" t="s">
        <v>73</v>
      </c>
      <c r="G5713" s="11" t="s">
        <v>8133</v>
      </c>
      <c r="H5713" s="2" t="s">
        <v>153</v>
      </c>
      <c r="K5713" s="18">
        <v>0</v>
      </c>
      <c r="L5713" s="18">
        <v>0</v>
      </c>
      <c r="Q5713" s="18">
        <v>0</v>
      </c>
      <c r="V5713" s="22">
        <f>4.25/5</f>
        <v>0.85</v>
      </c>
      <c r="X5713" s="3">
        <v>2</v>
      </c>
      <c r="AB5713" s="18">
        <f t="shared" si="178"/>
        <v>2007</v>
      </c>
      <c r="AC5713" s="22">
        <f t="shared" si="179"/>
        <v>0.625</v>
      </c>
    </row>
    <row r="5714" spans="1:29">
      <c r="A5714" s="8" t="s">
        <v>10725</v>
      </c>
      <c r="B5714" s="17" t="s">
        <v>7741</v>
      </c>
      <c r="C5714" s="13">
        <v>39413</v>
      </c>
      <c r="D5714" s="13" t="s">
        <v>8465</v>
      </c>
      <c r="E5714" s="10" t="s">
        <v>1466</v>
      </c>
      <c r="F5714" s="10" t="s">
        <v>13169</v>
      </c>
      <c r="G5714" s="11" t="s">
        <v>10725</v>
      </c>
      <c r="H5714" s="2" t="s">
        <v>150</v>
      </c>
      <c r="L5714" s="18">
        <v>0</v>
      </c>
      <c r="Q5714" s="18">
        <v>0</v>
      </c>
      <c r="U5714" s="22">
        <v>0.25</v>
      </c>
      <c r="V5714" s="22">
        <f>3.19/5</f>
        <v>0.63800000000000001</v>
      </c>
      <c r="X5714" s="3">
        <v>2</v>
      </c>
      <c r="AB5714" s="18">
        <f t="shared" si="178"/>
        <v>2007</v>
      </c>
      <c r="AC5714" s="22">
        <f t="shared" si="179"/>
        <v>0.42933333333333334</v>
      </c>
    </row>
    <row r="5715" spans="1:29" ht="25.5">
      <c r="A5715" s="8" t="s">
        <v>1042</v>
      </c>
      <c r="B5715" s="17" t="s">
        <v>7741</v>
      </c>
      <c r="C5715" s="13">
        <v>39409</v>
      </c>
      <c r="D5715" s="13" t="s">
        <v>8465</v>
      </c>
      <c r="E5715" s="10" t="s">
        <v>1051</v>
      </c>
      <c r="F5715" s="10" t="s">
        <v>1052</v>
      </c>
      <c r="G5715" s="11" t="s">
        <v>1053</v>
      </c>
      <c r="H5715" s="2" t="s">
        <v>1054</v>
      </c>
      <c r="L5715" s="18">
        <v>1</v>
      </c>
      <c r="M5715" s="14" t="s">
        <v>8462</v>
      </c>
      <c r="N5715" s="13">
        <v>43643</v>
      </c>
      <c r="O5715" s="29">
        <v>3.99</v>
      </c>
      <c r="P5715" s="18" t="s">
        <v>14</v>
      </c>
      <c r="Q5715" s="18">
        <v>0</v>
      </c>
      <c r="U5715" s="22">
        <v>0.81</v>
      </c>
      <c r="V5715" s="22">
        <f>3.99/5</f>
        <v>0.79800000000000004</v>
      </c>
      <c r="X5715" s="3">
        <v>3</v>
      </c>
      <c r="Z5715" s="23">
        <v>10</v>
      </c>
      <c r="AB5715" s="18">
        <f t="shared" si="178"/>
        <v>2007</v>
      </c>
      <c r="AC5715" s="22">
        <f t="shared" si="179"/>
        <v>0.7360000000000001</v>
      </c>
    </row>
    <row r="5716" spans="1:29" ht="30">
      <c r="A5716" s="8" t="s">
        <v>6042</v>
      </c>
      <c r="B5716" s="17" t="s">
        <v>7759</v>
      </c>
      <c r="C5716" s="13">
        <v>39406</v>
      </c>
      <c r="D5716" s="13" t="s">
        <v>8465</v>
      </c>
      <c r="E5716" s="10" t="s">
        <v>2908</v>
      </c>
      <c r="F5716" s="10" t="s">
        <v>2646</v>
      </c>
      <c r="G5716" s="11" t="s">
        <v>6040</v>
      </c>
      <c r="H5716" s="2" t="s">
        <v>80</v>
      </c>
      <c r="L5716" s="18">
        <v>1</v>
      </c>
      <c r="M5716" s="14" t="s">
        <v>8462</v>
      </c>
      <c r="P5716" s="18" t="s">
        <v>14</v>
      </c>
      <c r="Q5716" s="18">
        <v>0</v>
      </c>
      <c r="U5716" s="22">
        <v>0.9</v>
      </c>
      <c r="V5716" s="22">
        <f>4.07/5</f>
        <v>0.81400000000000006</v>
      </c>
      <c r="X5716" s="3">
        <v>4</v>
      </c>
      <c r="Z5716" s="23">
        <v>8.5</v>
      </c>
      <c r="AB5716" s="18">
        <f t="shared" si="178"/>
        <v>2007</v>
      </c>
      <c r="AC5716" s="22">
        <f t="shared" si="179"/>
        <v>0.83800000000000008</v>
      </c>
    </row>
    <row r="5717" spans="1:29" ht="25.5">
      <c r="A5717" s="8" t="s">
        <v>1030</v>
      </c>
      <c r="B5717" s="17" t="s">
        <v>7741</v>
      </c>
      <c r="C5717" s="13">
        <v>39406</v>
      </c>
      <c r="D5717" s="13" t="s">
        <v>8465</v>
      </c>
      <c r="E5717" s="10" t="s">
        <v>228</v>
      </c>
      <c r="F5717" s="10" t="s">
        <v>228</v>
      </c>
      <c r="G5717" s="11" t="s">
        <v>1542</v>
      </c>
      <c r="H5717" s="2" t="s">
        <v>1334</v>
      </c>
      <c r="L5717" s="18">
        <v>0</v>
      </c>
      <c r="Q5717" s="18">
        <v>0</v>
      </c>
      <c r="U5717" s="22">
        <v>0.81</v>
      </c>
      <c r="V5717" s="22">
        <f>3.96/5</f>
        <v>0.79200000000000004</v>
      </c>
      <c r="X5717" s="3">
        <v>3</v>
      </c>
      <c r="Z5717" s="23">
        <v>11</v>
      </c>
      <c r="AB5717" s="18">
        <f t="shared" si="178"/>
        <v>2007</v>
      </c>
      <c r="AC5717" s="22">
        <f t="shared" si="179"/>
        <v>0.73399999999999999</v>
      </c>
    </row>
    <row r="5718" spans="1:29">
      <c r="A5718" s="8" t="s">
        <v>7380</v>
      </c>
      <c r="B5718" s="17" t="s">
        <v>7741</v>
      </c>
      <c r="C5718" s="13">
        <v>39406</v>
      </c>
      <c r="D5718" s="13" t="s">
        <v>8465</v>
      </c>
      <c r="E5718" s="10" t="s">
        <v>455</v>
      </c>
      <c r="F5718" s="10" t="s">
        <v>2348</v>
      </c>
      <c r="G5718" s="11" t="s">
        <v>7380</v>
      </c>
      <c r="H5718" s="2" t="s">
        <v>1170</v>
      </c>
      <c r="L5718" s="18">
        <v>0</v>
      </c>
      <c r="Q5718" s="18">
        <v>0</v>
      </c>
      <c r="U5718" s="22">
        <v>0.71</v>
      </c>
      <c r="V5718" s="22">
        <f>3.67/5</f>
        <v>0.73399999999999999</v>
      </c>
      <c r="X5718" s="3">
        <v>3</v>
      </c>
      <c r="Z5718" s="23">
        <v>0.77</v>
      </c>
      <c r="AB5718" s="18">
        <f t="shared" si="178"/>
        <v>2007</v>
      </c>
      <c r="AC5718" s="22">
        <f t="shared" si="179"/>
        <v>0.68133333333333335</v>
      </c>
    </row>
    <row r="5719" spans="1:29">
      <c r="A5719" s="8" t="s">
        <v>13307</v>
      </c>
      <c r="B5719" s="17" t="s">
        <v>7748</v>
      </c>
      <c r="C5719" s="13">
        <v>39406</v>
      </c>
      <c r="D5719" s="13" t="s">
        <v>8467</v>
      </c>
      <c r="E5719" s="10" t="s">
        <v>1601</v>
      </c>
      <c r="F5719" s="10" t="s">
        <v>1386</v>
      </c>
      <c r="G5719" s="11" t="s">
        <v>7674</v>
      </c>
      <c r="H5719" s="2" t="s">
        <v>171</v>
      </c>
      <c r="L5719" s="18">
        <v>0</v>
      </c>
      <c r="Q5719" s="18">
        <v>0</v>
      </c>
      <c r="V5719" s="22">
        <f>3.5/5</f>
        <v>0.7</v>
      </c>
      <c r="X5719" s="3">
        <v>2</v>
      </c>
      <c r="AB5719" s="18">
        <f t="shared" si="178"/>
        <v>2007</v>
      </c>
      <c r="AC5719" s="22">
        <f t="shared" si="179"/>
        <v>0.55000000000000004</v>
      </c>
    </row>
    <row r="5720" spans="1:29">
      <c r="A5720" s="8" t="s">
        <v>12931</v>
      </c>
      <c r="B5720" s="17" t="s">
        <v>7759</v>
      </c>
      <c r="C5720" s="13">
        <v>39406</v>
      </c>
      <c r="D5720" s="13" t="s">
        <v>8465</v>
      </c>
      <c r="E5720" s="10" t="s">
        <v>1509</v>
      </c>
      <c r="F5720" s="10" t="s">
        <v>2472</v>
      </c>
      <c r="G5720" s="11" t="s">
        <v>10629</v>
      </c>
      <c r="H5720" s="2" t="s">
        <v>1170</v>
      </c>
      <c r="L5720" s="18">
        <v>0</v>
      </c>
      <c r="Q5720" s="18">
        <v>0</v>
      </c>
      <c r="U5720" s="22">
        <v>0.6</v>
      </c>
      <c r="V5720" s="22">
        <f>3.56/5</f>
        <v>0.71199999999999997</v>
      </c>
      <c r="X5720" s="3">
        <v>2</v>
      </c>
      <c r="Y5720" s="18">
        <v>1</v>
      </c>
      <c r="Z5720" s="23">
        <v>1</v>
      </c>
      <c r="AB5720" s="18">
        <f t="shared" si="178"/>
        <v>2007</v>
      </c>
      <c r="AC5720" s="22">
        <f t="shared" si="179"/>
        <v>0.57066666666666654</v>
      </c>
    </row>
    <row r="5721" spans="1:29">
      <c r="A5721" s="8" t="s">
        <v>6726</v>
      </c>
      <c r="B5721" s="17" t="s">
        <v>7741</v>
      </c>
      <c r="C5721" s="13">
        <v>39406</v>
      </c>
      <c r="D5721" s="13" t="s">
        <v>8465</v>
      </c>
      <c r="E5721" s="10" t="s">
        <v>1541</v>
      </c>
      <c r="F5721" s="10" t="s">
        <v>158</v>
      </c>
      <c r="G5721" s="11" t="s">
        <v>6161</v>
      </c>
      <c r="H5721" s="2" t="s">
        <v>1059</v>
      </c>
      <c r="L5721" s="18">
        <v>0</v>
      </c>
      <c r="Q5721" s="18">
        <v>0</v>
      </c>
      <c r="U5721" s="22">
        <v>0.52</v>
      </c>
      <c r="V5721" s="22">
        <f>2.99/5</f>
        <v>0.59800000000000009</v>
      </c>
      <c r="X5721" s="3">
        <v>2</v>
      </c>
      <c r="Z5721" s="23">
        <v>8</v>
      </c>
      <c r="AB5721" s="18">
        <f t="shared" si="178"/>
        <v>2007</v>
      </c>
      <c r="AC5721" s="22">
        <f t="shared" si="179"/>
        <v>0.50600000000000012</v>
      </c>
    </row>
    <row r="5722" spans="1:29">
      <c r="A5722" s="8" t="s">
        <v>3816</v>
      </c>
      <c r="B5722" s="17" t="s">
        <v>7800</v>
      </c>
      <c r="C5722" s="13">
        <v>39405</v>
      </c>
      <c r="D5722" s="13" t="s">
        <v>8465</v>
      </c>
      <c r="E5722" s="10" t="s">
        <v>3817</v>
      </c>
      <c r="F5722" s="10" t="s">
        <v>3817</v>
      </c>
      <c r="G5722" s="11" t="s">
        <v>3818</v>
      </c>
      <c r="H5722" s="2" t="s">
        <v>1720</v>
      </c>
      <c r="L5722" s="18">
        <v>1</v>
      </c>
      <c r="N5722" s="13">
        <v>41243</v>
      </c>
      <c r="P5722" s="18" t="s">
        <v>1107</v>
      </c>
      <c r="Q5722" s="18">
        <v>0</v>
      </c>
      <c r="U5722" s="22">
        <v>0.72</v>
      </c>
      <c r="V5722" s="22">
        <f>3.59/5</f>
        <v>0.71799999999999997</v>
      </c>
      <c r="W5722" s="14" t="s">
        <v>7777</v>
      </c>
      <c r="X5722" s="3">
        <v>2</v>
      </c>
      <c r="Z5722" s="23">
        <v>18.5</v>
      </c>
      <c r="AB5722" s="18">
        <f t="shared" si="178"/>
        <v>2007</v>
      </c>
      <c r="AC5722" s="22">
        <f t="shared" si="179"/>
        <v>0.61266666666666669</v>
      </c>
    </row>
    <row r="5723" spans="1:29" ht="25.5">
      <c r="A5723" s="8" t="s">
        <v>10672</v>
      </c>
      <c r="B5723" s="17" t="s">
        <v>7741</v>
      </c>
      <c r="C5723" s="13">
        <v>39402</v>
      </c>
      <c r="D5723" s="13" t="s">
        <v>8465</v>
      </c>
      <c r="E5723" s="10" t="s">
        <v>5869</v>
      </c>
      <c r="F5723" s="10" t="s">
        <v>10673</v>
      </c>
      <c r="H5723" s="2" t="s">
        <v>1170</v>
      </c>
      <c r="L5723" s="18">
        <v>0</v>
      </c>
      <c r="Q5723" s="18">
        <v>0</v>
      </c>
      <c r="V5723" s="22">
        <f>2.67/5</f>
        <v>0.53400000000000003</v>
      </c>
      <c r="X5723" s="3">
        <v>2</v>
      </c>
      <c r="AB5723" s="18">
        <f t="shared" si="178"/>
        <v>2007</v>
      </c>
      <c r="AC5723" s="22">
        <f t="shared" si="179"/>
        <v>0.46700000000000003</v>
      </c>
    </row>
    <row r="5724" spans="1:29" ht="30">
      <c r="A5724" s="8" t="s">
        <v>15066</v>
      </c>
      <c r="B5724" s="17" t="s">
        <v>7782</v>
      </c>
      <c r="C5724" s="13">
        <v>39401</v>
      </c>
      <c r="D5724" s="13" t="s">
        <v>8465</v>
      </c>
      <c r="E5724" s="10" t="s">
        <v>7280</v>
      </c>
      <c r="F5724" s="10" t="s">
        <v>15067</v>
      </c>
      <c r="G5724" s="11" t="s">
        <v>7566</v>
      </c>
      <c r="H5724" s="2" t="s">
        <v>1377</v>
      </c>
      <c r="L5724" s="18">
        <v>0</v>
      </c>
      <c r="Q5724" s="18">
        <v>0</v>
      </c>
      <c r="V5724" s="22">
        <f>3.65/5</f>
        <v>0.73</v>
      </c>
      <c r="X5724" s="3">
        <v>2</v>
      </c>
      <c r="AB5724" s="18">
        <f t="shared" si="178"/>
        <v>2007</v>
      </c>
      <c r="AC5724" s="22">
        <f t="shared" si="179"/>
        <v>0.56499999999999995</v>
      </c>
    </row>
    <row r="5725" spans="1:29" ht="25.5">
      <c r="A5725" s="8" t="s">
        <v>4964</v>
      </c>
      <c r="B5725" s="17" t="s">
        <v>7800</v>
      </c>
      <c r="C5725" s="13">
        <v>39400</v>
      </c>
      <c r="D5725" s="13" t="s">
        <v>8465</v>
      </c>
      <c r="E5725" s="10" t="s">
        <v>4544</v>
      </c>
      <c r="F5725" s="10" t="s">
        <v>4544</v>
      </c>
      <c r="G5725" s="11" t="s">
        <v>4963</v>
      </c>
      <c r="H5725" s="2" t="s">
        <v>1054</v>
      </c>
      <c r="L5725" s="18">
        <v>1</v>
      </c>
      <c r="N5725" s="13">
        <v>41123</v>
      </c>
      <c r="O5725" s="29">
        <v>0</v>
      </c>
      <c r="P5725" s="18" t="s">
        <v>1107</v>
      </c>
      <c r="Q5725" s="18">
        <v>0</v>
      </c>
      <c r="U5725" s="22">
        <v>0.8</v>
      </c>
      <c r="V5725" s="22">
        <f>3.12/5</f>
        <v>0.624</v>
      </c>
      <c r="W5725" s="14" t="s">
        <v>7777</v>
      </c>
      <c r="X5725" s="3">
        <v>3</v>
      </c>
      <c r="Z5725" s="23">
        <v>4</v>
      </c>
      <c r="AB5725" s="18">
        <f t="shared" si="178"/>
        <v>2007</v>
      </c>
      <c r="AC5725" s="22">
        <f t="shared" si="179"/>
        <v>0.67466666666666664</v>
      </c>
    </row>
    <row r="5726" spans="1:29" ht="25.5">
      <c r="A5726" s="8" t="s">
        <v>7486</v>
      </c>
      <c r="B5726" s="17" t="s">
        <v>7759</v>
      </c>
      <c r="C5726" s="13">
        <v>39400</v>
      </c>
      <c r="D5726" s="13" t="s">
        <v>8465</v>
      </c>
      <c r="E5726" s="10" t="s">
        <v>231</v>
      </c>
      <c r="F5726" s="10" t="s">
        <v>6015</v>
      </c>
      <c r="G5726" s="11" t="s">
        <v>4518</v>
      </c>
      <c r="H5726" s="2" t="s">
        <v>150</v>
      </c>
      <c r="L5726" s="18">
        <v>0</v>
      </c>
      <c r="Q5726" s="18">
        <v>0</v>
      </c>
      <c r="U5726" s="22">
        <v>0.73</v>
      </c>
      <c r="V5726" s="22">
        <f>3.46/5</f>
        <v>0.69199999999999995</v>
      </c>
      <c r="X5726" s="3">
        <v>2</v>
      </c>
      <c r="Y5726" s="18">
        <v>1</v>
      </c>
      <c r="Z5726" s="23">
        <v>10.5</v>
      </c>
      <c r="AB5726" s="18">
        <f t="shared" si="178"/>
        <v>2007</v>
      </c>
      <c r="AC5726" s="22">
        <f t="shared" si="179"/>
        <v>0.60733333333333339</v>
      </c>
    </row>
    <row r="5727" spans="1:29" ht="25.5">
      <c r="A5727" s="8" t="s">
        <v>6712</v>
      </c>
      <c r="B5727" s="17" t="s">
        <v>7741</v>
      </c>
      <c r="C5727" s="13">
        <v>39399</v>
      </c>
      <c r="D5727" s="13" t="s">
        <v>8465</v>
      </c>
      <c r="E5727" s="10" t="s">
        <v>231</v>
      </c>
      <c r="F5727" s="10" t="s">
        <v>6023</v>
      </c>
      <c r="G5727" s="11" t="s">
        <v>2944</v>
      </c>
      <c r="H5727" s="2" t="s">
        <v>1050</v>
      </c>
      <c r="L5727" s="18">
        <v>0</v>
      </c>
      <c r="Q5727" s="18">
        <v>0</v>
      </c>
      <c r="U5727" s="22">
        <v>0.75</v>
      </c>
      <c r="V5727" s="22">
        <f>4.13/5</f>
        <v>0.82599999999999996</v>
      </c>
      <c r="X5727" s="3">
        <v>2</v>
      </c>
      <c r="Z5727" s="23">
        <v>5</v>
      </c>
      <c r="AB5727" s="18">
        <f t="shared" si="178"/>
        <v>2007</v>
      </c>
      <c r="AC5727" s="22">
        <f t="shared" si="179"/>
        <v>0.65866666666666662</v>
      </c>
    </row>
    <row r="5728" spans="1:29">
      <c r="A5728" s="8" t="s">
        <v>3522</v>
      </c>
      <c r="B5728" s="17" t="s">
        <v>7800</v>
      </c>
      <c r="C5728" s="13">
        <v>39399</v>
      </c>
      <c r="D5728" s="13" t="s">
        <v>8465</v>
      </c>
      <c r="E5728" s="10" t="s">
        <v>231</v>
      </c>
      <c r="F5728" s="10" t="s">
        <v>3523</v>
      </c>
      <c r="G5728" s="11" t="s">
        <v>3522</v>
      </c>
      <c r="H5728" s="2" t="s">
        <v>1050</v>
      </c>
      <c r="L5728" s="18">
        <v>1</v>
      </c>
      <c r="N5728" s="13">
        <v>41823</v>
      </c>
      <c r="O5728" s="29">
        <v>3.68</v>
      </c>
      <c r="P5728" s="18" t="s">
        <v>1107</v>
      </c>
      <c r="Q5728" s="18">
        <v>0</v>
      </c>
      <c r="U5728" s="22">
        <v>0.9</v>
      </c>
      <c r="V5728" s="22">
        <f>3.86/5</f>
        <v>0.77200000000000002</v>
      </c>
      <c r="W5728" s="14" t="s">
        <v>7777</v>
      </c>
      <c r="X5728" s="3">
        <v>4</v>
      </c>
      <c r="Z5728" s="23">
        <v>10</v>
      </c>
      <c r="AB5728" s="18">
        <f t="shared" si="178"/>
        <v>2007</v>
      </c>
      <c r="AC5728" s="22">
        <f t="shared" si="179"/>
        <v>0.82400000000000018</v>
      </c>
    </row>
    <row r="5729" spans="1:29" ht="25.5">
      <c r="A5729" s="8" t="s">
        <v>1021</v>
      </c>
      <c r="B5729" s="17" t="s">
        <v>7741</v>
      </c>
      <c r="C5729" s="13">
        <v>39399</v>
      </c>
      <c r="D5729" s="13" t="s">
        <v>8465</v>
      </c>
      <c r="E5729" s="10" t="s">
        <v>73</v>
      </c>
      <c r="F5729" s="10" t="s">
        <v>73</v>
      </c>
      <c r="G5729" s="11" t="s">
        <v>943</v>
      </c>
      <c r="H5729" s="2" t="s">
        <v>1170</v>
      </c>
      <c r="L5729" s="18">
        <v>0</v>
      </c>
      <c r="Q5729" s="18">
        <v>0</v>
      </c>
      <c r="U5729" s="22">
        <v>0.75</v>
      </c>
      <c r="V5729" s="22">
        <f>3.75/5</f>
        <v>0.75</v>
      </c>
      <c r="X5729" s="3">
        <v>4</v>
      </c>
      <c r="Z5729" s="23">
        <v>7.5</v>
      </c>
      <c r="AB5729" s="18">
        <f t="shared" si="178"/>
        <v>2007</v>
      </c>
      <c r="AC5729" s="22">
        <f t="shared" si="179"/>
        <v>0.76666666666666661</v>
      </c>
    </row>
    <row r="5730" spans="1:29">
      <c r="A5730" s="8" t="s">
        <v>11191</v>
      </c>
      <c r="B5730" s="17" t="s">
        <v>7758</v>
      </c>
      <c r="C5730" s="13">
        <v>39399</v>
      </c>
      <c r="D5730" s="13" t="s">
        <v>8465</v>
      </c>
      <c r="E5730" s="10" t="s">
        <v>11188</v>
      </c>
      <c r="F5730" s="10" t="s">
        <v>11192</v>
      </c>
      <c r="G5730" s="11" t="s">
        <v>567</v>
      </c>
      <c r="H5730" s="2" t="s">
        <v>459</v>
      </c>
      <c r="L5730" s="18">
        <v>0</v>
      </c>
      <c r="Q5730" s="18">
        <v>0</v>
      </c>
      <c r="U5730" s="22">
        <v>0.75</v>
      </c>
      <c r="V5730" s="22">
        <f>4.14/5</f>
        <v>0.82799999999999996</v>
      </c>
      <c r="X5730" s="3">
        <v>2</v>
      </c>
      <c r="Z5730" s="23">
        <v>3.5</v>
      </c>
      <c r="AB5730" s="18">
        <f t="shared" si="178"/>
        <v>2007</v>
      </c>
      <c r="AC5730" s="22">
        <f t="shared" si="179"/>
        <v>0.65933333333333322</v>
      </c>
    </row>
    <row r="5731" spans="1:29" ht="30">
      <c r="A5731" s="8" t="s">
        <v>12916</v>
      </c>
      <c r="B5731" s="17" t="s">
        <v>7762</v>
      </c>
      <c r="C5731" s="13">
        <v>39399</v>
      </c>
      <c r="D5731" s="13" t="s">
        <v>8465</v>
      </c>
      <c r="E5731" s="10" t="s">
        <v>455</v>
      </c>
      <c r="F5731" s="10" t="s">
        <v>1970</v>
      </c>
      <c r="G5731" s="11" t="s">
        <v>1688</v>
      </c>
      <c r="H5731" s="2" t="s">
        <v>150</v>
      </c>
      <c r="L5731" s="18">
        <v>0</v>
      </c>
      <c r="Q5731" s="18">
        <v>0</v>
      </c>
      <c r="U5731" s="22">
        <v>0.6</v>
      </c>
      <c r="V5731" s="22">
        <f>3.54/5</f>
        <v>0.70799999999999996</v>
      </c>
      <c r="X5731" s="3">
        <v>2</v>
      </c>
      <c r="Z5731" s="23">
        <v>5</v>
      </c>
      <c r="AB5731" s="18">
        <f t="shared" si="178"/>
        <v>2007</v>
      </c>
      <c r="AC5731" s="22">
        <f t="shared" si="179"/>
        <v>0.56933333333333325</v>
      </c>
    </row>
    <row r="5732" spans="1:29" ht="30">
      <c r="A5732" s="8" t="s">
        <v>14888</v>
      </c>
      <c r="B5732" s="17" t="s">
        <v>7762</v>
      </c>
      <c r="C5732" s="13">
        <v>39399</v>
      </c>
      <c r="D5732" s="13" t="s">
        <v>8465</v>
      </c>
      <c r="E5732" s="10" t="s">
        <v>1051</v>
      </c>
      <c r="F5732" s="10" t="s">
        <v>3152</v>
      </c>
      <c r="G5732" s="11" t="s">
        <v>442</v>
      </c>
      <c r="H5732" s="2" t="s">
        <v>80</v>
      </c>
      <c r="L5732" s="18">
        <v>0</v>
      </c>
      <c r="Q5732" s="18">
        <v>0</v>
      </c>
      <c r="U5732" s="22">
        <v>0.49</v>
      </c>
      <c r="V5732" s="22">
        <f>2.86/5</f>
        <v>0.57199999999999995</v>
      </c>
      <c r="X5732" s="3">
        <v>2</v>
      </c>
      <c r="Z5732" s="23">
        <v>4</v>
      </c>
      <c r="AB5732" s="18">
        <f t="shared" si="178"/>
        <v>2007</v>
      </c>
      <c r="AC5732" s="22">
        <f t="shared" si="179"/>
        <v>0.48733333333333323</v>
      </c>
    </row>
    <row r="5733" spans="1:29" ht="25.5">
      <c r="A5733" s="8" t="s">
        <v>10676</v>
      </c>
      <c r="B5733" s="17" t="s">
        <v>7800</v>
      </c>
      <c r="C5733" s="13">
        <v>39399</v>
      </c>
      <c r="D5733" s="13" t="s">
        <v>8465</v>
      </c>
      <c r="E5733" s="10" t="s">
        <v>1273</v>
      </c>
      <c r="F5733" s="10" t="s">
        <v>10677</v>
      </c>
      <c r="G5733" s="11" t="s">
        <v>10674</v>
      </c>
      <c r="H5733" s="2" t="s">
        <v>1050</v>
      </c>
      <c r="L5733" s="18">
        <v>0</v>
      </c>
      <c r="Q5733" s="18">
        <v>0</v>
      </c>
      <c r="U5733" s="22">
        <v>0.45</v>
      </c>
      <c r="V5733" s="22">
        <f>2.46/5</f>
        <v>0.49199999999999999</v>
      </c>
      <c r="W5733" s="14" t="s">
        <v>7778</v>
      </c>
      <c r="X5733" s="3">
        <v>2</v>
      </c>
      <c r="Z5733" s="23">
        <v>3.5</v>
      </c>
      <c r="AB5733" s="18">
        <f t="shared" si="178"/>
        <v>2007</v>
      </c>
      <c r="AC5733" s="22">
        <f t="shared" si="179"/>
        <v>0.44733333333333336</v>
      </c>
    </row>
    <row r="5734" spans="1:29">
      <c r="A5734" s="8" t="s">
        <v>7139</v>
      </c>
      <c r="B5734" s="17" t="s">
        <v>7800</v>
      </c>
      <c r="C5734" s="13">
        <v>39398</v>
      </c>
      <c r="D5734" s="13" t="s">
        <v>8465</v>
      </c>
      <c r="E5734" s="10" t="s">
        <v>7199</v>
      </c>
      <c r="F5734" s="10" t="s">
        <v>7199</v>
      </c>
      <c r="H5734" s="2" t="s">
        <v>245</v>
      </c>
      <c r="L5734" s="18">
        <v>0</v>
      </c>
      <c r="Q5734" s="18">
        <v>0</v>
      </c>
      <c r="V5734" s="22">
        <f>3.61/5</f>
        <v>0.72199999999999998</v>
      </c>
      <c r="W5734" s="14" t="s">
        <v>5674</v>
      </c>
      <c r="X5734" s="3">
        <v>3</v>
      </c>
      <c r="Z5734" s="23">
        <v>6</v>
      </c>
      <c r="AB5734" s="18">
        <f t="shared" si="178"/>
        <v>2007</v>
      </c>
      <c r="AC5734" s="22">
        <f t="shared" si="179"/>
        <v>0.66100000000000003</v>
      </c>
    </row>
    <row r="5735" spans="1:29" ht="30">
      <c r="A5735" s="8" t="s">
        <v>14861</v>
      </c>
      <c r="B5735" s="17" t="s">
        <v>7762</v>
      </c>
      <c r="C5735" s="13">
        <v>39398</v>
      </c>
      <c r="D5735" s="13" t="s">
        <v>8465</v>
      </c>
      <c r="E5735" s="10" t="s">
        <v>1342</v>
      </c>
      <c r="F5735" s="10" t="s">
        <v>14323</v>
      </c>
      <c r="G5735" s="11" t="s">
        <v>5534</v>
      </c>
      <c r="H5735" s="2" t="s">
        <v>3937</v>
      </c>
      <c r="L5735" s="18">
        <v>0</v>
      </c>
      <c r="Q5735" s="18">
        <v>0</v>
      </c>
      <c r="U5735" s="22">
        <v>0.67</v>
      </c>
      <c r="V5735" s="22">
        <f>3.45/5</f>
        <v>0.69000000000000006</v>
      </c>
      <c r="X5735" s="3">
        <v>2</v>
      </c>
      <c r="Z5735" s="23">
        <v>7.5</v>
      </c>
      <c r="AB5735" s="18">
        <f t="shared" si="178"/>
        <v>2007</v>
      </c>
      <c r="AC5735" s="22">
        <f t="shared" si="179"/>
        <v>0.58666666666666678</v>
      </c>
    </row>
    <row r="5736" spans="1:29" ht="38.25">
      <c r="A5736" s="8" t="s">
        <v>9194</v>
      </c>
      <c r="B5736" s="17" t="s">
        <v>7765</v>
      </c>
      <c r="C5736" s="13">
        <v>39398</v>
      </c>
      <c r="D5736" s="13" t="s">
        <v>8465</v>
      </c>
      <c r="E5736" s="10" t="s">
        <v>1342</v>
      </c>
      <c r="F5736" s="10" t="s">
        <v>9195</v>
      </c>
      <c r="G5736" s="11" t="s">
        <v>9196</v>
      </c>
      <c r="H5736" s="2" t="s">
        <v>80</v>
      </c>
      <c r="L5736" s="18">
        <v>1</v>
      </c>
      <c r="N5736" s="13">
        <v>44578</v>
      </c>
      <c r="O5736" s="29">
        <v>4.99</v>
      </c>
      <c r="P5736" s="18" t="s">
        <v>1107</v>
      </c>
      <c r="Q5736" s="18">
        <v>0</v>
      </c>
      <c r="U5736" s="22">
        <v>0.54</v>
      </c>
      <c r="V5736" s="22">
        <f>2.13/5</f>
        <v>0.42599999999999999</v>
      </c>
      <c r="X5736" s="3">
        <v>2</v>
      </c>
      <c r="Z5736" s="23">
        <v>5</v>
      </c>
      <c r="AB5736" s="18">
        <f t="shared" si="178"/>
        <v>2007</v>
      </c>
      <c r="AC5736" s="22">
        <f t="shared" si="179"/>
        <v>0.45533333333333337</v>
      </c>
    </row>
    <row r="5737" spans="1:29" ht="25.5">
      <c r="A5737" s="8" t="s">
        <v>5215</v>
      </c>
      <c r="B5737" s="17" t="s">
        <v>7800</v>
      </c>
      <c r="C5737" s="13">
        <v>39392</v>
      </c>
      <c r="D5737" s="13" t="s">
        <v>8465</v>
      </c>
      <c r="E5737" s="10" t="s">
        <v>1342</v>
      </c>
      <c r="F5737" s="10" t="s">
        <v>3738</v>
      </c>
      <c r="G5737" s="11" t="s">
        <v>5213</v>
      </c>
      <c r="H5737" s="2" t="s">
        <v>1143</v>
      </c>
      <c r="L5737" s="18">
        <v>1</v>
      </c>
      <c r="N5737" s="13">
        <v>41139</v>
      </c>
      <c r="O5737" s="29">
        <v>2.4900000000000002</v>
      </c>
      <c r="P5737" s="18" t="s">
        <v>1107</v>
      </c>
      <c r="Q5737" s="18">
        <v>0</v>
      </c>
      <c r="U5737" s="22">
        <v>0.82</v>
      </c>
      <c r="V5737" s="22">
        <f>4.2/5</f>
        <v>0.84000000000000008</v>
      </c>
      <c r="W5737" s="14" t="s">
        <v>7777</v>
      </c>
      <c r="X5737" s="3">
        <v>4</v>
      </c>
      <c r="Z5737" s="23">
        <v>14</v>
      </c>
      <c r="AB5737" s="18">
        <f t="shared" si="178"/>
        <v>2007</v>
      </c>
      <c r="AC5737" s="22">
        <f t="shared" si="179"/>
        <v>0.82</v>
      </c>
    </row>
    <row r="5738" spans="1:29" ht="25.5">
      <c r="A5738" s="8" t="s">
        <v>2171</v>
      </c>
      <c r="B5738" s="17" t="s">
        <v>7748</v>
      </c>
      <c r="C5738" s="13">
        <v>39392</v>
      </c>
      <c r="D5738" s="13" t="s">
        <v>8465</v>
      </c>
      <c r="E5738" s="10" t="s">
        <v>1082</v>
      </c>
      <c r="F5738" s="10" t="s">
        <v>58</v>
      </c>
      <c r="G5738" s="11" t="s">
        <v>140</v>
      </c>
      <c r="H5738" s="2" t="s">
        <v>149</v>
      </c>
      <c r="L5738" s="18">
        <v>0</v>
      </c>
      <c r="Q5738" s="18">
        <v>0</v>
      </c>
      <c r="U5738" s="22">
        <v>0.77</v>
      </c>
      <c r="V5738" s="22">
        <f>3.87/5</f>
        <v>0.77400000000000002</v>
      </c>
      <c r="X5738" s="3">
        <v>3</v>
      </c>
      <c r="Z5738" s="23">
        <v>23.5</v>
      </c>
      <c r="AB5738" s="18">
        <f t="shared" si="178"/>
        <v>2007</v>
      </c>
      <c r="AC5738" s="22">
        <f t="shared" si="179"/>
        <v>0.71466666666666667</v>
      </c>
    </row>
    <row r="5739" spans="1:29" ht="30">
      <c r="A5739" s="8" t="s">
        <v>9402</v>
      </c>
      <c r="B5739" s="17" t="s">
        <v>7762</v>
      </c>
      <c r="C5739" s="13">
        <v>39392</v>
      </c>
      <c r="D5739" s="13" t="s">
        <v>8465</v>
      </c>
      <c r="E5739" s="10" t="s">
        <v>9381</v>
      </c>
      <c r="F5739" s="10" t="s">
        <v>9403</v>
      </c>
      <c r="G5739" s="11" t="s">
        <v>1449</v>
      </c>
      <c r="H5739" s="2" t="s">
        <v>1061</v>
      </c>
      <c r="L5739" s="18">
        <v>0</v>
      </c>
      <c r="Q5739" s="18">
        <v>0</v>
      </c>
      <c r="U5739" s="22">
        <v>0.78</v>
      </c>
      <c r="V5739" s="22">
        <f>3.76/5</f>
        <v>0.752</v>
      </c>
      <c r="X5739" s="3">
        <v>3</v>
      </c>
      <c r="Z5739" s="23">
        <v>6</v>
      </c>
      <c r="AB5739" s="18">
        <f t="shared" si="178"/>
        <v>2007</v>
      </c>
      <c r="AC5739" s="22">
        <f t="shared" si="179"/>
        <v>0.71066666666666667</v>
      </c>
    </row>
    <row r="5740" spans="1:29" ht="45">
      <c r="A5740" s="8" t="s">
        <v>3854</v>
      </c>
      <c r="B5740" s="17" t="s">
        <v>7800</v>
      </c>
      <c r="C5740" s="13">
        <v>39392</v>
      </c>
      <c r="D5740" s="13" t="s">
        <v>8465</v>
      </c>
      <c r="E5740" s="10" t="s">
        <v>1156</v>
      </c>
      <c r="F5740" s="10" t="s">
        <v>3853</v>
      </c>
      <c r="G5740" s="11" t="s">
        <v>3847</v>
      </c>
      <c r="H5740" s="2" t="s">
        <v>1061</v>
      </c>
      <c r="J5740" s="18">
        <v>1</v>
      </c>
      <c r="L5740" s="18">
        <v>1</v>
      </c>
      <c r="N5740" s="13">
        <v>41591</v>
      </c>
      <c r="P5740" s="18" t="s">
        <v>1107</v>
      </c>
      <c r="Q5740" s="18">
        <v>0</v>
      </c>
      <c r="U5740" s="22">
        <v>0.62</v>
      </c>
      <c r="V5740" s="22">
        <f>3.48/5</f>
        <v>0.69599999999999995</v>
      </c>
      <c r="W5740" s="14" t="s">
        <v>7777</v>
      </c>
      <c r="X5740" s="3">
        <v>3</v>
      </c>
      <c r="Z5740" s="23">
        <v>5</v>
      </c>
      <c r="AB5740" s="18">
        <f t="shared" si="178"/>
        <v>2007</v>
      </c>
      <c r="AC5740" s="22">
        <f t="shared" si="179"/>
        <v>0.6386666666666666</v>
      </c>
    </row>
    <row r="5741" spans="1:29" ht="25.5">
      <c r="A5741" s="8" t="s">
        <v>3578</v>
      </c>
      <c r="B5741" s="17" t="s">
        <v>7800</v>
      </c>
      <c r="C5741" s="13">
        <v>39392</v>
      </c>
      <c r="D5741" s="13" t="s">
        <v>8465</v>
      </c>
      <c r="E5741" s="10" t="s">
        <v>3559</v>
      </c>
      <c r="F5741" s="10" t="s">
        <v>3576</v>
      </c>
      <c r="G5741" s="11" t="s">
        <v>3577</v>
      </c>
      <c r="H5741" s="2" t="s">
        <v>67</v>
      </c>
      <c r="L5741" s="18">
        <v>1</v>
      </c>
      <c r="N5741" s="13">
        <v>42431</v>
      </c>
      <c r="P5741" s="18" t="s">
        <v>1107</v>
      </c>
      <c r="Q5741" s="18">
        <v>0</v>
      </c>
      <c r="U5741" s="22">
        <v>0.56000000000000005</v>
      </c>
      <c r="V5741" s="22">
        <f>3.48/5</f>
        <v>0.69599999999999995</v>
      </c>
      <c r="W5741" s="14" t="s">
        <v>7777</v>
      </c>
      <c r="X5741" s="3">
        <v>3</v>
      </c>
      <c r="Z5741" s="23">
        <v>7.5</v>
      </c>
      <c r="AB5741" s="18">
        <f t="shared" si="178"/>
        <v>2007</v>
      </c>
      <c r="AC5741" s="22">
        <f t="shared" si="179"/>
        <v>0.61866666666666659</v>
      </c>
    </row>
    <row r="5742" spans="1:29" ht="30">
      <c r="A5742" s="8" t="s">
        <v>11939</v>
      </c>
      <c r="B5742" s="17" t="s">
        <v>7762</v>
      </c>
      <c r="C5742" s="13">
        <v>39392</v>
      </c>
      <c r="D5742" s="13" t="s">
        <v>8465</v>
      </c>
      <c r="E5742" s="10" t="s">
        <v>2908</v>
      </c>
      <c r="F5742" s="10" t="s">
        <v>7550</v>
      </c>
      <c r="G5742" s="11" t="s">
        <v>11933</v>
      </c>
      <c r="H5742" s="2" t="s">
        <v>7448</v>
      </c>
      <c r="L5742" s="18">
        <v>0</v>
      </c>
      <c r="Q5742" s="18">
        <v>0</v>
      </c>
      <c r="U5742" s="22">
        <v>0.72</v>
      </c>
      <c r="V5742" s="22">
        <f>3.84/5</f>
        <v>0.76800000000000002</v>
      </c>
      <c r="X5742" s="3">
        <v>2</v>
      </c>
      <c r="Z5742" s="23">
        <v>6.5</v>
      </c>
      <c r="AB5742" s="18">
        <f t="shared" si="178"/>
        <v>2007</v>
      </c>
      <c r="AC5742" s="22">
        <f t="shared" si="179"/>
        <v>0.6293333333333333</v>
      </c>
    </row>
    <row r="5743" spans="1:29">
      <c r="A5743" s="8" t="s">
        <v>13313</v>
      </c>
      <c r="B5743" s="17" t="s">
        <v>7748</v>
      </c>
      <c r="C5743" s="13">
        <v>39392</v>
      </c>
      <c r="D5743" s="13" t="s">
        <v>8465</v>
      </c>
      <c r="E5743" s="10" t="s">
        <v>9005</v>
      </c>
      <c r="F5743" s="10" t="s">
        <v>10468</v>
      </c>
      <c r="H5743" s="2" t="s">
        <v>67</v>
      </c>
      <c r="L5743" s="18">
        <v>0</v>
      </c>
      <c r="Q5743" s="18">
        <v>0</v>
      </c>
      <c r="U5743" s="22">
        <v>0.61</v>
      </c>
      <c r="V5743" s="22">
        <f>3.91/5</f>
        <v>0.78200000000000003</v>
      </c>
      <c r="X5743" s="3">
        <v>2</v>
      </c>
      <c r="Z5743" s="23">
        <v>26</v>
      </c>
      <c r="AB5743" s="18">
        <f t="shared" si="178"/>
        <v>2007</v>
      </c>
      <c r="AC5743" s="22">
        <f t="shared" si="179"/>
        <v>0.59733333333333327</v>
      </c>
    </row>
    <row r="5744" spans="1:29" ht="25.5">
      <c r="A5744" s="8" t="s">
        <v>14362</v>
      </c>
      <c r="B5744" s="17" t="s">
        <v>7741</v>
      </c>
      <c r="C5744" s="13">
        <v>39392</v>
      </c>
      <c r="D5744" s="13" t="s">
        <v>8465</v>
      </c>
      <c r="E5744" s="10" t="s">
        <v>455</v>
      </c>
      <c r="F5744" s="10" t="s">
        <v>14363</v>
      </c>
      <c r="G5744" s="11" t="s">
        <v>14364</v>
      </c>
      <c r="H5744" s="2" t="s">
        <v>255</v>
      </c>
      <c r="L5744" s="18">
        <v>0</v>
      </c>
      <c r="Q5744" s="18">
        <v>0</v>
      </c>
      <c r="U5744" s="22">
        <v>0.67</v>
      </c>
      <c r="V5744" s="22">
        <f>3.32/5</f>
        <v>0.66399999999999992</v>
      </c>
      <c r="X5744" s="3">
        <v>2</v>
      </c>
      <c r="Z5744" s="23">
        <v>7.5</v>
      </c>
      <c r="AB5744" s="18">
        <f t="shared" si="178"/>
        <v>2007</v>
      </c>
      <c r="AC5744" s="22">
        <f t="shared" si="179"/>
        <v>0.57799999999999996</v>
      </c>
    </row>
    <row r="5745" spans="1:29" ht="25.5">
      <c r="A5745" s="8" t="s">
        <v>10214</v>
      </c>
      <c r="B5745" s="17" t="s">
        <v>7759</v>
      </c>
      <c r="C5745" s="13">
        <v>39392</v>
      </c>
      <c r="D5745" s="13" t="s">
        <v>8465</v>
      </c>
      <c r="E5745" s="10" t="s">
        <v>68</v>
      </c>
      <c r="F5745" s="10" t="s">
        <v>1471</v>
      </c>
      <c r="G5745" s="11" t="s">
        <v>10237</v>
      </c>
      <c r="H5745" s="2" t="s">
        <v>1059</v>
      </c>
      <c r="L5745" s="18">
        <v>0</v>
      </c>
      <c r="Q5745" s="18">
        <v>0</v>
      </c>
      <c r="U5745" s="22">
        <v>0.57999999999999996</v>
      </c>
      <c r="V5745" s="22">
        <f>3.55/5</f>
        <v>0.71</v>
      </c>
      <c r="X5745" s="3">
        <v>2</v>
      </c>
      <c r="Y5745" s="18">
        <v>1</v>
      </c>
      <c r="Z5745" s="23">
        <v>30.5</v>
      </c>
      <c r="AB5745" s="18">
        <f t="shared" si="178"/>
        <v>2007</v>
      </c>
      <c r="AC5745" s="22">
        <f t="shared" si="179"/>
        <v>0.56333333333333335</v>
      </c>
    </row>
    <row r="5746" spans="1:29" ht="25.5">
      <c r="A5746" s="8" t="s">
        <v>3399</v>
      </c>
      <c r="B5746" s="17" t="s">
        <v>7748</v>
      </c>
      <c r="C5746" s="13">
        <v>39391</v>
      </c>
      <c r="D5746" s="13" t="s">
        <v>8465</v>
      </c>
      <c r="E5746" s="10" t="s">
        <v>1273</v>
      </c>
      <c r="F5746" s="10" t="s">
        <v>2454</v>
      </c>
      <c r="G5746" s="11" t="s">
        <v>3401</v>
      </c>
      <c r="H5746" s="2" t="s">
        <v>1050</v>
      </c>
      <c r="L5746" s="18">
        <v>0</v>
      </c>
      <c r="Q5746" s="18">
        <v>0</v>
      </c>
      <c r="U5746" s="22">
        <v>0.76</v>
      </c>
      <c r="V5746" s="22">
        <f>3.29/5</f>
        <v>0.65800000000000003</v>
      </c>
      <c r="X5746" s="3">
        <v>2</v>
      </c>
      <c r="Z5746" s="23">
        <v>7</v>
      </c>
      <c r="AB5746" s="18">
        <f t="shared" si="178"/>
        <v>2007</v>
      </c>
      <c r="AC5746" s="22">
        <f t="shared" si="179"/>
        <v>0.60599999999999998</v>
      </c>
    </row>
    <row r="5747" spans="1:29" ht="25.5">
      <c r="A5747" s="8" t="s">
        <v>3399</v>
      </c>
      <c r="B5747" s="17" t="s">
        <v>7800</v>
      </c>
      <c r="C5747" s="13">
        <v>39391</v>
      </c>
      <c r="D5747" s="13" t="s">
        <v>8465</v>
      </c>
      <c r="E5747" s="10" t="s">
        <v>1273</v>
      </c>
      <c r="F5747" s="10" t="s">
        <v>3400</v>
      </c>
      <c r="G5747" s="11" t="s">
        <v>3401</v>
      </c>
      <c r="H5747" s="2" t="s">
        <v>1050</v>
      </c>
      <c r="L5747" s="18">
        <v>1</v>
      </c>
      <c r="N5747" s="13">
        <v>41663</v>
      </c>
      <c r="O5747" s="29">
        <v>4.99</v>
      </c>
      <c r="P5747" s="18" t="s">
        <v>1107</v>
      </c>
      <c r="Q5747" s="18">
        <v>0</v>
      </c>
      <c r="U5747" s="22">
        <v>0.92</v>
      </c>
      <c r="V5747" s="22">
        <f>4.14/5</f>
        <v>0.82799999999999996</v>
      </c>
      <c r="W5747" s="14" t="s">
        <v>7777</v>
      </c>
      <c r="X5747" s="3">
        <v>2</v>
      </c>
      <c r="Z5747" s="23">
        <v>7</v>
      </c>
      <c r="AB5747" s="18">
        <f t="shared" si="178"/>
        <v>2007</v>
      </c>
      <c r="AC5747" s="22">
        <f t="shared" si="179"/>
        <v>0.71600000000000008</v>
      </c>
    </row>
    <row r="5748" spans="1:29" ht="25.5">
      <c r="A5748" s="8" t="s">
        <v>998</v>
      </c>
      <c r="B5748" s="17" t="s">
        <v>7741</v>
      </c>
      <c r="C5748" s="13">
        <v>39391</v>
      </c>
      <c r="D5748" s="13" t="s">
        <v>8465</v>
      </c>
      <c r="E5748" s="10" t="s">
        <v>86</v>
      </c>
      <c r="F5748" s="10" t="s">
        <v>1069</v>
      </c>
      <c r="G5748" s="11" t="s">
        <v>305</v>
      </c>
      <c r="H5748" s="2" t="s">
        <v>75</v>
      </c>
      <c r="L5748" s="18">
        <v>0</v>
      </c>
      <c r="Q5748" s="18">
        <v>0</v>
      </c>
      <c r="U5748" s="22">
        <v>0.79</v>
      </c>
      <c r="V5748" s="22">
        <f>4.23/5</f>
        <v>0.84600000000000009</v>
      </c>
      <c r="X5748" s="3">
        <v>4</v>
      </c>
      <c r="Z5748" s="23">
        <v>42.5</v>
      </c>
      <c r="AB5748" s="18">
        <f t="shared" si="178"/>
        <v>2007</v>
      </c>
      <c r="AC5748" s="22">
        <f t="shared" si="179"/>
        <v>0.81199999999999994</v>
      </c>
    </row>
    <row r="5749" spans="1:29" ht="25.5">
      <c r="A5749" s="8" t="s">
        <v>4909</v>
      </c>
      <c r="B5749" s="17" t="s">
        <v>7800</v>
      </c>
      <c r="C5749" s="13">
        <v>39388</v>
      </c>
      <c r="D5749" s="13" t="s">
        <v>8465</v>
      </c>
      <c r="E5749" s="10" t="s">
        <v>3246</v>
      </c>
      <c r="F5749" s="10" t="s">
        <v>3246</v>
      </c>
      <c r="G5749" s="11" t="s">
        <v>4908</v>
      </c>
      <c r="H5749" s="2" t="s">
        <v>67</v>
      </c>
      <c r="L5749" s="18">
        <v>1</v>
      </c>
      <c r="N5749" s="13">
        <v>41104</v>
      </c>
      <c r="O5749" s="29">
        <v>4.16</v>
      </c>
      <c r="P5749" s="18" t="s">
        <v>1107</v>
      </c>
      <c r="Q5749" s="18">
        <v>0</v>
      </c>
      <c r="U5749" s="22">
        <v>0.88</v>
      </c>
      <c r="V5749" s="22">
        <f>3.88/5</f>
        <v>0.77600000000000002</v>
      </c>
      <c r="W5749" s="14" t="s">
        <v>7777</v>
      </c>
      <c r="X5749" s="3">
        <v>3</v>
      </c>
      <c r="Z5749" s="23">
        <v>13</v>
      </c>
      <c r="AB5749" s="18">
        <f t="shared" si="178"/>
        <v>2007</v>
      </c>
      <c r="AC5749" s="22">
        <f t="shared" si="179"/>
        <v>0.75200000000000011</v>
      </c>
    </row>
    <row r="5750" spans="1:29">
      <c r="A5750" s="8" t="s">
        <v>4646</v>
      </c>
      <c r="B5750" s="17" t="s">
        <v>7800</v>
      </c>
      <c r="C5750" s="13">
        <v>39385</v>
      </c>
      <c r="D5750" s="13" t="s">
        <v>8465</v>
      </c>
      <c r="E5750" s="10" t="s">
        <v>1583</v>
      </c>
      <c r="F5750" s="10" t="s">
        <v>4647</v>
      </c>
      <c r="G5750" s="11" t="s">
        <v>4644</v>
      </c>
      <c r="H5750" s="2" t="s">
        <v>1050</v>
      </c>
      <c r="L5750" s="18">
        <v>1</v>
      </c>
      <c r="N5750" s="13">
        <v>41446</v>
      </c>
      <c r="P5750" s="18" t="s">
        <v>1107</v>
      </c>
      <c r="Q5750" s="18">
        <v>0</v>
      </c>
      <c r="U5750" s="22">
        <v>0.65</v>
      </c>
      <c r="V5750" s="22">
        <f>3.01/5</f>
        <v>0.60199999999999998</v>
      </c>
      <c r="W5750" s="14" t="s">
        <v>7777</v>
      </c>
      <c r="X5750" s="3">
        <v>3</v>
      </c>
      <c r="Z5750" s="23">
        <v>6</v>
      </c>
      <c r="AB5750" s="18">
        <f t="shared" si="178"/>
        <v>2007</v>
      </c>
      <c r="AC5750" s="22">
        <f t="shared" si="179"/>
        <v>0.61733333333333329</v>
      </c>
    </row>
    <row r="5751" spans="1:29">
      <c r="A5751" s="8" t="s">
        <v>8637</v>
      </c>
      <c r="B5751" s="17" t="s">
        <v>7800</v>
      </c>
      <c r="C5751" s="13">
        <v>39385</v>
      </c>
      <c r="D5751" s="13" t="s">
        <v>8465</v>
      </c>
      <c r="E5751" s="10" t="s">
        <v>1273</v>
      </c>
      <c r="F5751" s="10" t="s">
        <v>7904</v>
      </c>
      <c r="H5751" s="2" t="s">
        <v>1050</v>
      </c>
      <c r="L5751" s="18">
        <v>1</v>
      </c>
      <c r="N5751" s="13">
        <v>43956</v>
      </c>
      <c r="O5751" s="29">
        <v>0</v>
      </c>
      <c r="P5751" s="18" t="s">
        <v>1107</v>
      </c>
      <c r="Q5751" s="18">
        <v>0</v>
      </c>
      <c r="U5751" s="22">
        <v>0.71</v>
      </c>
      <c r="V5751" s="22">
        <f>3.44/5</f>
        <v>0.68799999999999994</v>
      </c>
      <c r="W5751" s="14" t="s">
        <v>7777</v>
      </c>
      <c r="X5751" s="3">
        <v>3</v>
      </c>
      <c r="Z5751" s="23">
        <v>8</v>
      </c>
      <c r="AB5751" s="18">
        <f t="shared" si="178"/>
        <v>2007</v>
      </c>
      <c r="AC5751" s="22">
        <f t="shared" si="179"/>
        <v>0.66599999999999993</v>
      </c>
    </row>
    <row r="5752" spans="1:29">
      <c r="A5752" s="8" t="s">
        <v>981</v>
      </c>
      <c r="B5752" s="17" t="s">
        <v>7741</v>
      </c>
      <c r="C5752" s="13">
        <v>39384</v>
      </c>
      <c r="D5752" s="13" t="s">
        <v>8465</v>
      </c>
      <c r="E5752" s="10" t="s">
        <v>86</v>
      </c>
      <c r="F5752" s="10" t="s">
        <v>1491</v>
      </c>
      <c r="G5752" s="11" t="s">
        <v>301</v>
      </c>
      <c r="H5752" s="2" t="s">
        <v>75</v>
      </c>
      <c r="L5752" s="18">
        <v>1</v>
      </c>
      <c r="M5752" s="14" t="s">
        <v>8462</v>
      </c>
      <c r="N5752" s="13">
        <v>43646</v>
      </c>
      <c r="O5752" s="29">
        <v>11</v>
      </c>
      <c r="P5752" s="18" t="s">
        <v>14</v>
      </c>
      <c r="Q5752" s="18">
        <v>0</v>
      </c>
      <c r="U5752" s="22">
        <v>0.74</v>
      </c>
      <c r="V5752" s="22">
        <f>3.75/5</f>
        <v>0.75</v>
      </c>
      <c r="X5752" s="3">
        <v>3</v>
      </c>
      <c r="Z5752" s="23">
        <v>9.5</v>
      </c>
      <c r="AB5752" s="18">
        <f t="shared" si="178"/>
        <v>2007</v>
      </c>
      <c r="AC5752" s="22">
        <f t="shared" si="179"/>
        <v>0.69666666666666666</v>
      </c>
    </row>
    <row r="5753" spans="1:29">
      <c r="A5753" s="8" t="s">
        <v>7386</v>
      </c>
      <c r="B5753" s="17" t="s">
        <v>7741</v>
      </c>
      <c r="C5753" s="13">
        <v>39384</v>
      </c>
      <c r="D5753" s="13" t="s">
        <v>8465</v>
      </c>
      <c r="E5753" s="10" t="s">
        <v>1618</v>
      </c>
      <c r="F5753" s="10" t="s">
        <v>7410</v>
      </c>
      <c r="G5753" s="11" t="s">
        <v>7411</v>
      </c>
      <c r="H5753" s="2" t="s">
        <v>245</v>
      </c>
      <c r="L5753" s="18">
        <v>0</v>
      </c>
      <c r="Q5753" s="18">
        <v>0</v>
      </c>
      <c r="U5753" s="22">
        <v>0.6</v>
      </c>
      <c r="V5753" s="22">
        <f>3.45/5</f>
        <v>0.69000000000000006</v>
      </c>
      <c r="X5753" s="3">
        <v>3</v>
      </c>
      <c r="Z5753" s="23">
        <v>8</v>
      </c>
      <c r="AB5753" s="18">
        <f t="shared" si="178"/>
        <v>2007</v>
      </c>
      <c r="AC5753" s="22">
        <f t="shared" si="179"/>
        <v>0.63</v>
      </c>
    </row>
    <row r="5754" spans="1:29">
      <c r="A5754" s="8" t="s">
        <v>2236</v>
      </c>
      <c r="B5754" s="17" t="s">
        <v>7748</v>
      </c>
      <c r="C5754" s="13">
        <v>39381</v>
      </c>
      <c r="D5754" s="13" t="s">
        <v>8465</v>
      </c>
      <c r="E5754" s="10" t="s">
        <v>2324</v>
      </c>
      <c r="F5754" s="10" t="s">
        <v>2300</v>
      </c>
      <c r="G5754" s="11" t="s">
        <v>2301</v>
      </c>
      <c r="H5754" s="2" t="s">
        <v>1061</v>
      </c>
      <c r="L5754" s="18">
        <v>1</v>
      </c>
      <c r="M5754" s="14" t="s">
        <v>10622</v>
      </c>
      <c r="P5754" s="18" t="s">
        <v>14</v>
      </c>
      <c r="Q5754" s="18">
        <v>0</v>
      </c>
      <c r="U5754" s="22">
        <v>0.73</v>
      </c>
      <c r="V5754" s="22">
        <f>3.49/5</f>
        <v>0.69800000000000006</v>
      </c>
      <c r="X5754" s="3">
        <v>4</v>
      </c>
      <c r="Z5754" s="23">
        <v>4</v>
      </c>
      <c r="AB5754" s="18">
        <f t="shared" si="178"/>
        <v>2007</v>
      </c>
      <c r="AC5754" s="22">
        <f t="shared" si="179"/>
        <v>0.74266666666666659</v>
      </c>
    </row>
    <row r="5755" spans="1:29" ht="30">
      <c r="A5755" s="8" t="s">
        <v>11913</v>
      </c>
      <c r="B5755" s="17" t="s">
        <v>7748</v>
      </c>
      <c r="C5755" s="13">
        <v>39380</v>
      </c>
      <c r="D5755" s="13" t="s">
        <v>8463</v>
      </c>
      <c r="E5755" s="10" t="s">
        <v>72</v>
      </c>
      <c r="F5755" s="10" t="s">
        <v>72</v>
      </c>
      <c r="G5755" s="11" t="s">
        <v>11913</v>
      </c>
      <c r="H5755" s="2" t="s">
        <v>1204</v>
      </c>
      <c r="K5755" s="18">
        <v>2</v>
      </c>
      <c r="L5755" s="18">
        <v>0</v>
      </c>
      <c r="Q5755" s="18">
        <v>0</v>
      </c>
      <c r="V5755" s="22">
        <f>3.5/5</f>
        <v>0.7</v>
      </c>
      <c r="X5755" s="3">
        <v>3</v>
      </c>
      <c r="AB5755" s="18">
        <f t="shared" si="178"/>
        <v>2007</v>
      </c>
      <c r="AC5755" s="22">
        <f t="shared" si="179"/>
        <v>0.64999999999999991</v>
      </c>
    </row>
    <row r="5756" spans="1:29" ht="30">
      <c r="A5756" s="8" t="s">
        <v>5903</v>
      </c>
      <c r="B5756" s="17" t="s">
        <v>7748</v>
      </c>
      <c r="C5756" s="13">
        <v>39380</v>
      </c>
      <c r="D5756" s="13" t="s">
        <v>8465</v>
      </c>
      <c r="E5756" s="10" t="s">
        <v>3848</v>
      </c>
      <c r="F5756" s="10" t="s">
        <v>6683</v>
      </c>
      <c r="G5756" s="11" t="s">
        <v>1576</v>
      </c>
      <c r="H5756" s="2" t="s">
        <v>1040</v>
      </c>
      <c r="L5756" s="18">
        <v>0</v>
      </c>
      <c r="Q5756" s="18">
        <v>0</v>
      </c>
      <c r="U5756" s="22">
        <v>0.73</v>
      </c>
      <c r="V5756" s="22">
        <f>2.76/5</f>
        <v>0.55199999999999994</v>
      </c>
      <c r="X5756" s="3">
        <v>2</v>
      </c>
      <c r="Z5756" s="23">
        <v>7</v>
      </c>
      <c r="AB5756" s="18">
        <f t="shared" si="178"/>
        <v>2007</v>
      </c>
      <c r="AC5756" s="22">
        <f t="shared" si="179"/>
        <v>0.56066666666666665</v>
      </c>
    </row>
    <row r="5757" spans="1:29" ht="30">
      <c r="A5757" s="8" t="s">
        <v>12200</v>
      </c>
      <c r="B5757" s="17" t="s">
        <v>7759</v>
      </c>
      <c r="C5757" s="13">
        <v>39379</v>
      </c>
      <c r="D5757" s="13" t="s">
        <v>8465</v>
      </c>
      <c r="E5757" s="10" t="s">
        <v>2908</v>
      </c>
      <c r="F5757" s="10" t="s">
        <v>5862</v>
      </c>
      <c r="G5757" s="11" t="s">
        <v>12200</v>
      </c>
      <c r="H5757" s="2" t="s">
        <v>3411</v>
      </c>
      <c r="L5757" s="18">
        <v>0</v>
      </c>
      <c r="Q5757" s="18">
        <v>0</v>
      </c>
      <c r="U5757" s="22">
        <v>0.75</v>
      </c>
      <c r="V5757" s="22">
        <f>3.49/5</f>
        <v>0.69800000000000006</v>
      </c>
      <c r="X5757" s="3">
        <v>2</v>
      </c>
      <c r="Z5757" s="23">
        <v>20.5</v>
      </c>
      <c r="AB5757" s="18">
        <f t="shared" si="178"/>
        <v>2007</v>
      </c>
      <c r="AC5757" s="22">
        <f t="shared" si="179"/>
        <v>0.61599999999999999</v>
      </c>
    </row>
    <row r="5758" spans="1:29" ht="38.25">
      <c r="A5758" s="8" t="s">
        <v>5998</v>
      </c>
      <c r="B5758" s="17" t="s">
        <v>7759</v>
      </c>
      <c r="C5758" s="13">
        <v>39378</v>
      </c>
      <c r="D5758" s="13" t="s">
        <v>8465</v>
      </c>
      <c r="E5758" s="10" t="s">
        <v>2908</v>
      </c>
      <c r="F5758" s="10" t="s">
        <v>3039</v>
      </c>
      <c r="G5758" s="11" t="s">
        <v>5853</v>
      </c>
      <c r="H5758" s="2" t="s">
        <v>1040</v>
      </c>
      <c r="L5758" s="18">
        <v>1</v>
      </c>
      <c r="M5758" s="14" t="s">
        <v>8462</v>
      </c>
      <c r="P5758" s="18" t="s">
        <v>14</v>
      </c>
      <c r="Q5758" s="18">
        <v>0</v>
      </c>
      <c r="U5758" s="22">
        <v>0.89</v>
      </c>
      <c r="V5758" s="22">
        <f>4.19/5</f>
        <v>0.83800000000000008</v>
      </c>
      <c r="X5758" s="3">
        <v>4</v>
      </c>
      <c r="Z5758" s="23">
        <v>13</v>
      </c>
      <c r="AB5758" s="18">
        <f t="shared" si="178"/>
        <v>2007</v>
      </c>
      <c r="AC5758" s="22">
        <f t="shared" si="179"/>
        <v>0.84266666666666679</v>
      </c>
    </row>
    <row r="5759" spans="1:29" ht="38.25">
      <c r="A5759" s="8" t="s">
        <v>2358</v>
      </c>
      <c r="B5759" s="17" t="s">
        <v>7748</v>
      </c>
      <c r="C5759" s="13">
        <v>39378</v>
      </c>
      <c r="D5759" s="13" t="s">
        <v>8465</v>
      </c>
      <c r="E5759" s="10" t="s">
        <v>73</v>
      </c>
      <c r="F5759" s="10" t="s">
        <v>73</v>
      </c>
      <c r="G5759" s="11" t="s">
        <v>2323</v>
      </c>
      <c r="H5759" s="2" t="s">
        <v>67</v>
      </c>
      <c r="L5759" s="18">
        <v>0</v>
      </c>
      <c r="Q5759" s="18">
        <v>0</v>
      </c>
      <c r="U5759" s="22">
        <v>0.81</v>
      </c>
      <c r="V5759" s="22">
        <f>4.4/5</f>
        <v>0.88000000000000012</v>
      </c>
      <c r="X5759" s="3">
        <v>4</v>
      </c>
      <c r="Z5759" s="23">
        <v>20.5</v>
      </c>
      <c r="AB5759" s="18">
        <f t="shared" si="178"/>
        <v>2007</v>
      </c>
      <c r="AC5759" s="22">
        <f t="shared" si="179"/>
        <v>0.83000000000000007</v>
      </c>
    </row>
    <row r="5760" spans="1:29" ht="30">
      <c r="A5760" s="8" t="s">
        <v>6230</v>
      </c>
      <c r="B5760" s="17" t="s">
        <v>7762</v>
      </c>
      <c r="C5760" s="13">
        <v>39378</v>
      </c>
      <c r="D5760" s="13" t="s">
        <v>8465</v>
      </c>
      <c r="E5760" s="10" t="s">
        <v>72</v>
      </c>
      <c r="F5760" s="10" t="s">
        <v>72</v>
      </c>
      <c r="G5760" s="11" t="s">
        <v>113</v>
      </c>
      <c r="H5760" s="2" t="s">
        <v>151</v>
      </c>
      <c r="L5760" s="18">
        <v>0</v>
      </c>
      <c r="Q5760" s="18">
        <v>0</v>
      </c>
      <c r="U5760" s="22">
        <v>0.81</v>
      </c>
      <c r="V5760" s="22">
        <f>4.13/5</f>
        <v>0.82599999999999996</v>
      </c>
      <c r="X5760" s="3">
        <v>4</v>
      </c>
      <c r="Z5760" s="23">
        <v>6</v>
      </c>
      <c r="AB5760" s="18">
        <f t="shared" si="178"/>
        <v>2007</v>
      </c>
      <c r="AC5760" s="22">
        <f t="shared" si="179"/>
        <v>0.81199999999999994</v>
      </c>
    </row>
    <row r="5761" spans="1:29">
      <c r="A5761" s="8" t="s">
        <v>2201</v>
      </c>
      <c r="B5761" s="17" t="s">
        <v>7748</v>
      </c>
      <c r="C5761" s="13">
        <v>39378</v>
      </c>
      <c r="D5761" s="13" t="s">
        <v>8465</v>
      </c>
      <c r="E5761" s="10" t="s">
        <v>73</v>
      </c>
      <c r="F5761" s="10" t="s">
        <v>1070</v>
      </c>
      <c r="G5761" s="11" t="s">
        <v>1983</v>
      </c>
      <c r="H5761" s="2" t="s">
        <v>56</v>
      </c>
      <c r="L5761" s="18">
        <v>0</v>
      </c>
      <c r="Q5761" s="18">
        <v>0</v>
      </c>
      <c r="U5761" s="22">
        <v>0.78</v>
      </c>
      <c r="V5761" s="22">
        <f>4.05/5</f>
        <v>0.80999999999999994</v>
      </c>
      <c r="X5761" s="3">
        <v>3</v>
      </c>
      <c r="Z5761" s="23">
        <v>7</v>
      </c>
      <c r="AB5761" s="18">
        <f t="shared" ref="AB5761:AB5824" si="180">IFERROR(YEAR(C5761), "Early Access")</f>
        <v>2007</v>
      </c>
      <c r="AC5761" s="22">
        <f t="shared" ref="AC5761:AC5824" si="181">AVERAGE(T5761, U5761, V5761, IF(ISBLANK(X5761), X5761, X5761/5))</f>
        <v>0.73</v>
      </c>
    </row>
    <row r="5762" spans="1:29">
      <c r="A5762" s="8" t="s">
        <v>812</v>
      </c>
      <c r="B5762" s="17" t="s">
        <v>7748</v>
      </c>
      <c r="C5762" s="13">
        <v>39378</v>
      </c>
      <c r="D5762" s="13" t="s">
        <v>8465</v>
      </c>
      <c r="E5762" s="10" t="s">
        <v>1082</v>
      </c>
      <c r="F5762" s="10" t="s">
        <v>1082</v>
      </c>
      <c r="G5762" s="11" t="s">
        <v>812</v>
      </c>
      <c r="H5762" s="2" t="s">
        <v>75</v>
      </c>
      <c r="L5762" s="18">
        <v>0</v>
      </c>
      <c r="Q5762" s="18">
        <v>0</v>
      </c>
      <c r="U5762" s="22">
        <v>0.75</v>
      </c>
      <c r="V5762" s="22">
        <f>3.86/5</f>
        <v>0.77200000000000002</v>
      </c>
      <c r="X5762" s="3">
        <v>3</v>
      </c>
      <c r="Z5762" s="23">
        <v>26.5</v>
      </c>
      <c r="AB5762" s="18">
        <f t="shared" si="180"/>
        <v>2007</v>
      </c>
      <c r="AC5762" s="22">
        <f t="shared" si="181"/>
        <v>0.70733333333333326</v>
      </c>
    </row>
    <row r="5763" spans="1:29">
      <c r="A5763" s="8" t="s">
        <v>3460</v>
      </c>
      <c r="B5763" s="17" t="s">
        <v>7800</v>
      </c>
      <c r="C5763" s="13">
        <v>39378</v>
      </c>
      <c r="D5763" s="13" t="s">
        <v>8465</v>
      </c>
      <c r="E5763" s="10" t="s">
        <v>1513</v>
      </c>
      <c r="F5763" s="10" t="s">
        <v>2456</v>
      </c>
      <c r="H5763" s="2" t="s">
        <v>1061</v>
      </c>
      <c r="L5763" s="18">
        <v>1</v>
      </c>
      <c r="N5763" s="13">
        <v>42011</v>
      </c>
      <c r="O5763" s="29">
        <v>1.49</v>
      </c>
      <c r="P5763" s="18" t="s">
        <v>1107</v>
      </c>
      <c r="Q5763" s="18">
        <v>0</v>
      </c>
      <c r="U5763" s="22">
        <v>0.64</v>
      </c>
      <c r="V5763" s="22">
        <f>3.33/5</f>
        <v>0.66600000000000004</v>
      </c>
      <c r="W5763" s="14" t="s">
        <v>7777</v>
      </c>
      <c r="X5763" s="3">
        <v>3</v>
      </c>
      <c r="Z5763" s="23">
        <v>7</v>
      </c>
      <c r="AB5763" s="18">
        <f t="shared" si="180"/>
        <v>2007</v>
      </c>
      <c r="AC5763" s="22">
        <f t="shared" si="181"/>
        <v>0.63533333333333342</v>
      </c>
    </row>
    <row r="5764" spans="1:29" ht="25.5">
      <c r="A5764" s="8" t="s">
        <v>11863</v>
      </c>
      <c r="B5764" s="17" t="s">
        <v>7748</v>
      </c>
      <c r="C5764" s="13">
        <v>39378</v>
      </c>
      <c r="D5764" s="13" t="s">
        <v>8465</v>
      </c>
      <c r="E5764" s="10" t="s">
        <v>11805</v>
      </c>
      <c r="F5764" s="10" t="s">
        <v>58</v>
      </c>
      <c r="G5764" s="11" t="s">
        <v>11617</v>
      </c>
      <c r="H5764" s="2" t="s">
        <v>149</v>
      </c>
      <c r="L5764" s="18">
        <v>0</v>
      </c>
      <c r="Q5764" s="18">
        <v>0</v>
      </c>
      <c r="U5764" s="22">
        <v>0.56999999999999995</v>
      </c>
      <c r="V5764" s="22">
        <f>3.61/5</f>
        <v>0.72199999999999998</v>
      </c>
      <c r="X5764" s="3">
        <v>3</v>
      </c>
      <c r="Z5764" s="23">
        <v>15</v>
      </c>
      <c r="AB5764" s="18">
        <f t="shared" si="180"/>
        <v>2007</v>
      </c>
      <c r="AC5764" s="22">
        <f t="shared" si="181"/>
        <v>0.6306666666666666</v>
      </c>
    </row>
    <row r="5765" spans="1:29" ht="25.5">
      <c r="A5765" s="8" t="s">
        <v>7911</v>
      </c>
      <c r="B5765" s="17" t="s">
        <v>7765</v>
      </c>
      <c r="C5765" s="13">
        <v>39378</v>
      </c>
      <c r="D5765" s="13" t="s">
        <v>8465</v>
      </c>
      <c r="E5765" s="10" t="s">
        <v>1509</v>
      </c>
      <c r="F5765" s="10" t="s">
        <v>3100</v>
      </c>
      <c r="G5765" s="11" t="s">
        <v>3101</v>
      </c>
      <c r="H5765" s="2" t="s">
        <v>7594</v>
      </c>
      <c r="L5765" s="18">
        <v>0</v>
      </c>
      <c r="Q5765" s="18">
        <v>0</v>
      </c>
      <c r="U5765" s="22">
        <v>0.81589999999999996</v>
      </c>
      <c r="V5765" s="22">
        <f>3.95/5</f>
        <v>0.79</v>
      </c>
      <c r="X5765" s="3">
        <v>2</v>
      </c>
      <c r="Y5765" s="18">
        <v>1</v>
      </c>
      <c r="Z5765" s="23">
        <v>10</v>
      </c>
      <c r="AB5765" s="18">
        <f t="shared" si="180"/>
        <v>2007</v>
      </c>
      <c r="AC5765" s="22">
        <f t="shared" si="181"/>
        <v>0.6686333333333333</v>
      </c>
    </row>
    <row r="5766" spans="1:29" ht="25.5">
      <c r="A5766" s="8" t="s">
        <v>7392</v>
      </c>
      <c r="B5766" s="17" t="s">
        <v>7741</v>
      </c>
      <c r="C5766" s="13">
        <v>39372</v>
      </c>
      <c r="D5766" s="13" t="s">
        <v>8465</v>
      </c>
      <c r="E5766" s="10" t="s">
        <v>1527</v>
      </c>
      <c r="F5766" s="10" t="s">
        <v>1527</v>
      </c>
      <c r="G5766" s="11" t="s">
        <v>7412</v>
      </c>
      <c r="H5766" s="2" t="s">
        <v>27</v>
      </c>
      <c r="L5766" s="18">
        <v>0</v>
      </c>
      <c r="Q5766" s="18">
        <v>0</v>
      </c>
      <c r="U5766" s="22">
        <v>0.78</v>
      </c>
      <c r="V5766" s="22">
        <f>3.61/5</f>
        <v>0.72199999999999998</v>
      </c>
      <c r="X5766" s="3">
        <v>3</v>
      </c>
      <c r="AB5766" s="18">
        <f t="shared" si="180"/>
        <v>2007</v>
      </c>
      <c r="AC5766" s="22">
        <f t="shared" si="181"/>
        <v>0.70066666666666666</v>
      </c>
    </row>
    <row r="5767" spans="1:29">
      <c r="A5767" s="8" t="s">
        <v>10305</v>
      </c>
      <c r="B5767" s="17" t="s">
        <v>7765</v>
      </c>
      <c r="C5767" s="13">
        <v>39371</v>
      </c>
      <c r="D5767" s="13" t="s">
        <v>8465</v>
      </c>
      <c r="E5767" s="10" t="s">
        <v>1509</v>
      </c>
      <c r="F5767" s="10" t="s">
        <v>1509</v>
      </c>
      <c r="G5767" s="11" t="s">
        <v>1615</v>
      </c>
      <c r="H5767" s="2" t="s">
        <v>31</v>
      </c>
      <c r="L5767" s="18">
        <v>0</v>
      </c>
      <c r="Q5767" s="18">
        <v>0</v>
      </c>
      <c r="U5767" s="22">
        <v>0.73</v>
      </c>
      <c r="V5767" s="22">
        <f>3.8/5</f>
        <v>0.76</v>
      </c>
      <c r="X5767" s="3">
        <v>3</v>
      </c>
      <c r="Y5767" s="18">
        <v>1</v>
      </c>
      <c r="Z5767" s="23">
        <v>6</v>
      </c>
      <c r="AB5767" s="18">
        <f t="shared" si="180"/>
        <v>2007</v>
      </c>
      <c r="AC5767" s="22">
        <f t="shared" si="181"/>
        <v>0.69666666666666666</v>
      </c>
    </row>
    <row r="5768" spans="1:29">
      <c r="A5768" s="8" t="s">
        <v>3607</v>
      </c>
      <c r="B5768" s="17" t="s">
        <v>7800</v>
      </c>
      <c r="C5768" s="13">
        <v>39371</v>
      </c>
      <c r="D5768" s="13" t="s">
        <v>8465</v>
      </c>
      <c r="E5768" s="10" t="s">
        <v>3608</v>
      </c>
      <c r="F5768" s="10" t="s">
        <v>3609</v>
      </c>
      <c r="G5768" s="11" t="s">
        <v>3607</v>
      </c>
      <c r="H5768" s="2" t="s">
        <v>245</v>
      </c>
      <c r="L5768" s="18">
        <v>1</v>
      </c>
      <c r="N5768" s="13">
        <v>41117</v>
      </c>
      <c r="P5768" s="18" t="s">
        <v>1107</v>
      </c>
      <c r="Q5768" s="18">
        <v>0</v>
      </c>
      <c r="U5768" s="22">
        <v>0.7</v>
      </c>
      <c r="V5768" s="22">
        <f>3.43/5</f>
        <v>0.68600000000000005</v>
      </c>
      <c r="W5768" s="14" t="s">
        <v>7777</v>
      </c>
      <c r="X5768" s="3">
        <v>2</v>
      </c>
      <c r="Z5768" s="23">
        <v>12</v>
      </c>
      <c r="AB5768" s="18">
        <f t="shared" si="180"/>
        <v>2007</v>
      </c>
      <c r="AC5768" s="22">
        <f t="shared" si="181"/>
        <v>0.59533333333333338</v>
      </c>
    </row>
    <row r="5769" spans="1:29" ht="25.5">
      <c r="A5769" s="8" t="s">
        <v>7818</v>
      </c>
      <c r="B5769" s="17" t="s">
        <v>7758</v>
      </c>
      <c r="C5769" s="13">
        <v>39369</v>
      </c>
      <c r="D5769" s="13" t="s">
        <v>8465</v>
      </c>
      <c r="E5769" s="10" t="s">
        <v>228</v>
      </c>
      <c r="F5769" s="10" t="s">
        <v>228</v>
      </c>
      <c r="G5769" s="11" t="s">
        <v>1171</v>
      </c>
      <c r="H5769" s="2" t="s">
        <v>149</v>
      </c>
      <c r="L5769" s="18">
        <v>0</v>
      </c>
      <c r="Q5769" s="18">
        <v>0</v>
      </c>
      <c r="U5769" s="22">
        <v>0.87360000000000004</v>
      </c>
      <c r="V5769" s="22">
        <f>4.29/5</f>
        <v>0.85799999999999998</v>
      </c>
      <c r="X5769" s="3">
        <v>4</v>
      </c>
      <c r="Z5769" s="23">
        <v>82</v>
      </c>
      <c r="AB5769" s="18">
        <f t="shared" si="180"/>
        <v>2007</v>
      </c>
      <c r="AC5769" s="22">
        <f t="shared" si="181"/>
        <v>0.84386666666666665</v>
      </c>
    </row>
    <row r="5770" spans="1:29">
      <c r="A5770" s="8" t="s">
        <v>11199</v>
      </c>
      <c r="B5770" s="17" t="s">
        <v>7748</v>
      </c>
      <c r="C5770" s="13">
        <v>39367</v>
      </c>
      <c r="D5770" s="13" t="s">
        <v>8467</v>
      </c>
      <c r="E5770" s="10" t="s">
        <v>11200</v>
      </c>
      <c r="F5770" s="10" t="s">
        <v>11201</v>
      </c>
      <c r="H5770" s="2" t="s">
        <v>80</v>
      </c>
      <c r="L5770" s="18">
        <v>0</v>
      </c>
      <c r="Q5770" s="18">
        <v>0</v>
      </c>
      <c r="U5770" s="22">
        <v>0.76</v>
      </c>
      <c r="V5770" s="22">
        <f>3.58/5</f>
        <v>0.71599999999999997</v>
      </c>
      <c r="X5770" s="3">
        <v>2</v>
      </c>
      <c r="AB5770" s="18">
        <f t="shared" si="180"/>
        <v>2007</v>
      </c>
      <c r="AC5770" s="22">
        <f t="shared" si="181"/>
        <v>0.6253333333333333</v>
      </c>
    </row>
    <row r="5771" spans="1:29" ht="25.5">
      <c r="A5771" s="8" t="s">
        <v>4073</v>
      </c>
      <c r="B5771" s="17" t="s">
        <v>7800</v>
      </c>
      <c r="C5771" s="13">
        <v>39365</v>
      </c>
      <c r="D5771" s="13" t="s">
        <v>8465</v>
      </c>
      <c r="E5771" s="10" t="s">
        <v>4070</v>
      </c>
      <c r="F5771" s="10" t="s">
        <v>4070</v>
      </c>
      <c r="G5771" s="11" t="s">
        <v>4069</v>
      </c>
      <c r="H5771" s="2" t="s">
        <v>1050</v>
      </c>
      <c r="L5771" s="18">
        <v>1</v>
      </c>
      <c r="N5771" s="13">
        <v>42002</v>
      </c>
      <c r="O5771" s="29">
        <v>2.86</v>
      </c>
      <c r="P5771" s="18" t="s">
        <v>1107</v>
      </c>
      <c r="Q5771" s="18">
        <v>0</v>
      </c>
      <c r="U5771" s="22">
        <v>0.91</v>
      </c>
      <c r="V5771" s="22">
        <f>4.24/5</f>
        <v>0.84800000000000009</v>
      </c>
      <c r="W5771" s="14" t="s">
        <v>7777</v>
      </c>
      <c r="X5771" s="3">
        <v>3</v>
      </c>
      <c r="Z5771" s="23">
        <v>5</v>
      </c>
      <c r="AB5771" s="18">
        <f t="shared" si="180"/>
        <v>2007</v>
      </c>
      <c r="AC5771" s="22">
        <f t="shared" si="181"/>
        <v>0.78600000000000003</v>
      </c>
    </row>
    <row r="5772" spans="1:29" ht="38.25">
      <c r="A5772" s="8" t="s">
        <v>14753</v>
      </c>
      <c r="B5772" s="17" t="s">
        <v>7800</v>
      </c>
      <c r="C5772" s="13">
        <v>39365</v>
      </c>
      <c r="D5772" s="13" t="s">
        <v>8465</v>
      </c>
      <c r="E5772" s="10" t="s">
        <v>2298</v>
      </c>
      <c r="F5772" s="10" t="s">
        <v>2331</v>
      </c>
      <c r="G5772" s="11" t="s">
        <v>2332</v>
      </c>
      <c r="H5772" s="2" t="s">
        <v>78</v>
      </c>
      <c r="L5772" s="18">
        <v>1</v>
      </c>
      <c r="N5772" s="13">
        <v>41652</v>
      </c>
      <c r="O5772" s="29">
        <v>0.99</v>
      </c>
      <c r="P5772" s="18" t="s">
        <v>1107</v>
      </c>
      <c r="Q5772" s="18">
        <v>0</v>
      </c>
      <c r="U5772" s="22">
        <v>0.84</v>
      </c>
      <c r="V5772" s="22">
        <f>3.88/5</f>
        <v>0.77600000000000002</v>
      </c>
      <c r="W5772" s="14" t="s">
        <v>7777</v>
      </c>
      <c r="X5772" s="3">
        <v>3</v>
      </c>
      <c r="Z5772" s="23">
        <v>35.5</v>
      </c>
      <c r="AB5772" s="18">
        <f t="shared" si="180"/>
        <v>2007</v>
      </c>
      <c r="AC5772" s="22">
        <f t="shared" si="181"/>
        <v>0.73866666666666669</v>
      </c>
    </row>
    <row r="5773" spans="1:29" ht="30">
      <c r="A5773" s="8" t="s">
        <v>6239</v>
      </c>
      <c r="B5773" s="17" t="s">
        <v>7762</v>
      </c>
      <c r="C5773" s="13">
        <v>39364</v>
      </c>
      <c r="D5773" s="13" t="s">
        <v>8465</v>
      </c>
      <c r="E5773" s="10" t="s">
        <v>1082</v>
      </c>
      <c r="F5773" s="10" t="s">
        <v>58</v>
      </c>
      <c r="G5773" s="11" t="s">
        <v>1981</v>
      </c>
      <c r="H5773" s="2" t="s">
        <v>75</v>
      </c>
      <c r="L5773" s="18">
        <v>1</v>
      </c>
      <c r="M5773" s="14" t="s">
        <v>8462</v>
      </c>
      <c r="N5773" s="13">
        <v>43868</v>
      </c>
      <c r="O5773" s="29">
        <v>8.99</v>
      </c>
      <c r="P5773" s="18" t="s">
        <v>14</v>
      </c>
      <c r="Q5773" s="18">
        <v>0</v>
      </c>
      <c r="U5773" s="22">
        <v>0.88</v>
      </c>
      <c r="V5773" s="22">
        <f>4.3/5</f>
        <v>0.86</v>
      </c>
      <c r="X5773" s="3">
        <v>4</v>
      </c>
      <c r="Z5773" s="23">
        <v>44.5</v>
      </c>
      <c r="AB5773" s="18">
        <f t="shared" si="180"/>
        <v>2007</v>
      </c>
      <c r="AC5773" s="22">
        <f t="shared" si="181"/>
        <v>0.84666666666666668</v>
      </c>
    </row>
    <row r="5774" spans="1:29" ht="25.5">
      <c r="A5774" s="8" t="s">
        <v>6958</v>
      </c>
      <c r="B5774" s="17" t="s">
        <v>7800</v>
      </c>
      <c r="C5774" s="13">
        <v>39364</v>
      </c>
      <c r="D5774" s="13" t="s">
        <v>8465</v>
      </c>
      <c r="E5774" s="10" t="s">
        <v>311</v>
      </c>
      <c r="F5774" s="10" t="s">
        <v>3166</v>
      </c>
      <c r="G5774" s="11" t="s">
        <v>4533</v>
      </c>
      <c r="H5774" s="2" t="s">
        <v>1720</v>
      </c>
      <c r="L5774" s="18">
        <v>1</v>
      </c>
      <c r="N5774" s="13">
        <v>41803</v>
      </c>
      <c r="O5774" s="29">
        <v>0</v>
      </c>
      <c r="P5774" s="18" t="s">
        <v>1107</v>
      </c>
      <c r="Q5774" s="18">
        <v>0</v>
      </c>
      <c r="U5774" s="22">
        <v>0.82</v>
      </c>
      <c r="V5774" s="22">
        <f>4.13/5</f>
        <v>0.82599999999999996</v>
      </c>
      <c r="W5774" s="14" t="s">
        <v>7778</v>
      </c>
      <c r="X5774" s="3">
        <v>4</v>
      </c>
      <c r="Z5774" s="23">
        <v>18</v>
      </c>
      <c r="AB5774" s="18">
        <f t="shared" si="180"/>
        <v>2007</v>
      </c>
      <c r="AC5774" s="22">
        <f t="shared" si="181"/>
        <v>0.81533333333333324</v>
      </c>
    </row>
    <row r="5775" spans="1:29" ht="25.5">
      <c r="A5775" s="8" t="s">
        <v>2160</v>
      </c>
      <c r="B5775" s="17" t="s">
        <v>7748</v>
      </c>
      <c r="C5775" s="13">
        <v>39364</v>
      </c>
      <c r="D5775" s="13" t="s">
        <v>8465</v>
      </c>
      <c r="E5775" s="10" t="s">
        <v>455</v>
      </c>
      <c r="F5775" s="10" t="s">
        <v>1474</v>
      </c>
      <c r="G5775" s="11" t="s">
        <v>2296</v>
      </c>
      <c r="H5775" s="2" t="s">
        <v>459</v>
      </c>
      <c r="L5775" s="18">
        <v>0</v>
      </c>
      <c r="Q5775" s="18">
        <v>0</v>
      </c>
      <c r="U5775" s="22">
        <v>0.84</v>
      </c>
      <c r="V5775" s="22">
        <f>3.75/5</f>
        <v>0.75</v>
      </c>
      <c r="X5775" s="3">
        <v>3</v>
      </c>
      <c r="Z5775" s="23">
        <v>4.5</v>
      </c>
      <c r="AB5775" s="18">
        <f t="shared" si="180"/>
        <v>2007</v>
      </c>
      <c r="AC5775" s="22">
        <f t="shared" si="181"/>
        <v>0.73</v>
      </c>
    </row>
    <row r="5776" spans="1:29" ht="30">
      <c r="A5776" s="8" t="s">
        <v>10216</v>
      </c>
      <c r="B5776" s="17" t="s">
        <v>7759</v>
      </c>
      <c r="C5776" s="13">
        <v>39364</v>
      </c>
      <c r="D5776" s="13" t="s">
        <v>8465</v>
      </c>
      <c r="E5776" s="10" t="s">
        <v>2908</v>
      </c>
      <c r="F5776" s="10" t="s">
        <v>6259</v>
      </c>
      <c r="H5776" s="2" t="s">
        <v>171</v>
      </c>
      <c r="L5776" s="18">
        <v>0</v>
      </c>
      <c r="Q5776" s="18">
        <v>0</v>
      </c>
      <c r="U5776" s="22">
        <v>0.75</v>
      </c>
      <c r="V5776" s="22">
        <f>3.77/5</f>
        <v>0.754</v>
      </c>
      <c r="X5776" s="3">
        <v>3</v>
      </c>
      <c r="Y5776" s="18">
        <v>1</v>
      </c>
      <c r="Z5776" s="23">
        <v>14.5</v>
      </c>
      <c r="AB5776" s="18">
        <f t="shared" si="180"/>
        <v>2007</v>
      </c>
      <c r="AC5776" s="22">
        <f t="shared" si="181"/>
        <v>0.70133333333333336</v>
      </c>
    </row>
    <row r="5777" spans="1:29">
      <c r="A5777" s="8" t="s">
        <v>2225</v>
      </c>
      <c r="B5777" s="17" t="s">
        <v>7748</v>
      </c>
      <c r="C5777" s="13">
        <v>39364</v>
      </c>
      <c r="D5777" s="13" t="s">
        <v>8465</v>
      </c>
      <c r="E5777" s="10" t="s">
        <v>228</v>
      </c>
      <c r="F5777" s="10" t="s">
        <v>2320</v>
      </c>
      <c r="G5777" s="11" t="s">
        <v>2224</v>
      </c>
      <c r="H5777" s="2" t="s">
        <v>67</v>
      </c>
      <c r="L5777" s="18">
        <v>0</v>
      </c>
      <c r="Q5777" s="18">
        <v>0</v>
      </c>
      <c r="U5777" s="22">
        <v>0.71</v>
      </c>
      <c r="V5777" s="22">
        <f>3.89/5</f>
        <v>0.77800000000000002</v>
      </c>
      <c r="X5777" s="3">
        <v>3</v>
      </c>
      <c r="Z5777" s="23">
        <v>5.5</v>
      </c>
      <c r="AB5777" s="18">
        <f t="shared" si="180"/>
        <v>2007</v>
      </c>
      <c r="AC5777" s="22">
        <f t="shared" si="181"/>
        <v>0.69600000000000006</v>
      </c>
    </row>
    <row r="5778" spans="1:29" ht="30">
      <c r="A5778" s="8" t="s">
        <v>14837</v>
      </c>
      <c r="B5778" s="17" t="s">
        <v>7762</v>
      </c>
      <c r="C5778" s="13">
        <v>39364</v>
      </c>
      <c r="D5778" s="13" t="s">
        <v>8465</v>
      </c>
      <c r="E5778" s="10" t="s">
        <v>1284</v>
      </c>
      <c r="F5778" s="10" t="s">
        <v>3152</v>
      </c>
      <c r="G5778" s="11" t="s">
        <v>1481</v>
      </c>
      <c r="H5778" s="2" t="s">
        <v>1168</v>
      </c>
      <c r="L5778" s="18">
        <v>0</v>
      </c>
      <c r="Q5778" s="18">
        <v>0</v>
      </c>
      <c r="U5778" s="22">
        <v>0.73</v>
      </c>
      <c r="V5778" s="22">
        <f>3.78/5</f>
        <v>0.75600000000000001</v>
      </c>
      <c r="X5778" s="3">
        <v>2</v>
      </c>
      <c r="Z5778" s="23">
        <v>4</v>
      </c>
      <c r="AB5778" s="18">
        <f t="shared" si="180"/>
        <v>2007</v>
      </c>
      <c r="AC5778" s="22">
        <f t="shared" si="181"/>
        <v>0.62866666666666671</v>
      </c>
    </row>
    <row r="5779" spans="1:29" ht="25.5">
      <c r="A5779" s="8" t="s">
        <v>2347</v>
      </c>
      <c r="B5779" s="17" t="s">
        <v>7741</v>
      </c>
      <c r="C5779" s="13">
        <v>39364</v>
      </c>
      <c r="D5779" s="13" t="s">
        <v>8465</v>
      </c>
      <c r="E5779" s="10" t="s">
        <v>455</v>
      </c>
      <c r="F5779" s="10" t="s">
        <v>2348</v>
      </c>
      <c r="G5779" s="11" t="s">
        <v>2296</v>
      </c>
      <c r="H5779" s="2" t="s">
        <v>459</v>
      </c>
      <c r="L5779" s="18">
        <v>0</v>
      </c>
      <c r="Q5779" s="18">
        <v>0</v>
      </c>
      <c r="U5779" s="22">
        <v>0.59</v>
      </c>
      <c r="V5779" s="22">
        <f>3.25/5</f>
        <v>0.65</v>
      </c>
      <c r="X5779" s="3">
        <v>2</v>
      </c>
      <c r="Z5779" s="23">
        <v>3</v>
      </c>
      <c r="AB5779" s="18">
        <f t="shared" si="180"/>
        <v>2007</v>
      </c>
      <c r="AC5779" s="22">
        <f t="shared" si="181"/>
        <v>0.54666666666666675</v>
      </c>
    </row>
    <row r="5780" spans="1:29" ht="25.5">
      <c r="A5780" s="8" t="s">
        <v>7376</v>
      </c>
      <c r="B5780" s="17" t="s">
        <v>7741</v>
      </c>
      <c r="C5780" s="13">
        <v>39363</v>
      </c>
      <c r="D5780" s="13" t="s">
        <v>8465</v>
      </c>
      <c r="E5780" s="10" t="s">
        <v>86</v>
      </c>
      <c r="F5780" s="10" t="s">
        <v>1545</v>
      </c>
      <c r="G5780" s="11" t="s">
        <v>1254</v>
      </c>
      <c r="H5780" s="2" t="s">
        <v>150</v>
      </c>
      <c r="L5780" s="18">
        <v>0</v>
      </c>
      <c r="Q5780" s="18">
        <v>0</v>
      </c>
      <c r="U5780" s="22">
        <v>0.44</v>
      </c>
      <c r="V5780" s="22">
        <f>3.37/5</f>
        <v>0.67400000000000004</v>
      </c>
      <c r="X5780" s="3">
        <v>3</v>
      </c>
      <c r="Z5780" s="23">
        <v>2</v>
      </c>
      <c r="AB5780" s="18">
        <f t="shared" si="180"/>
        <v>2007</v>
      </c>
      <c r="AC5780" s="22">
        <f t="shared" si="181"/>
        <v>0.57133333333333336</v>
      </c>
    </row>
    <row r="5781" spans="1:29">
      <c r="A5781" s="8" t="s">
        <v>7105</v>
      </c>
      <c r="B5781" s="17" t="s">
        <v>7800</v>
      </c>
      <c r="C5781" s="13">
        <v>39360</v>
      </c>
      <c r="D5781" s="13" t="s">
        <v>8465</v>
      </c>
      <c r="E5781" s="10" t="s">
        <v>7192</v>
      </c>
      <c r="F5781" s="10" t="s">
        <v>7192</v>
      </c>
      <c r="G5781" s="11" t="s">
        <v>7105</v>
      </c>
      <c r="H5781" s="2" t="s">
        <v>56</v>
      </c>
      <c r="L5781" s="18">
        <v>0</v>
      </c>
      <c r="Q5781" s="18">
        <v>0</v>
      </c>
      <c r="V5781" s="22">
        <f>3.83/5</f>
        <v>0.76600000000000001</v>
      </c>
      <c r="W5781" s="14" t="s">
        <v>5674</v>
      </c>
      <c r="X5781" s="3">
        <v>3</v>
      </c>
      <c r="Z5781" s="23">
        <v>9.5</v>
      </c>
      <c r="AB5781" s="18">
        <f t="shared" si="180"/>
        <v>2007</v>
      </c>
      <c r="AC5781" s="22">
        <f t="shared" si="181"/>
        <v>0.68300000000000005</v>
      </c>
    </row>
    <row r="5782" spans="1:29">
      <c r="A5782" s="8" t="s">
        <v>5903</v>
      </c>
      <c r="B5782" s="17" t="s">
        <v>7758</v>
      </c>
      <c r="C5782" s="13">
        <v>39359</v>
      </c>
      <c r="D5782" s="13" t="s">
        <v>8465</v>
      </c>
      <c r="E5782" s="10" t="s">
        <v>1051</v>
      </c>
      <c r="F5782" s="10" t="s">
        <v>1501</v>
      </c>
      <c r="G5782" s="11" t="s">
        <v>1576</v>
      </c>
      <c r="H5782" s="2" t="s">
        <v>1040</v>
      </c>
      <c r="L5782" s="18">
        <v>0</v>
      </c>
      <c r="Q5782" s="18">
        <v>0</v>
      </c>
      <c r="U5782" s="22">
        <v>0.72</v>
      </c>
      <c r="V5782" s="22">
        <f>3.06/5</f>
        <v>0.61199999999999999</v>
      </c>
      <c r="X5782" s="3">
        <v>3</v>
      </c>
      <c r="Z5782" s="23">
        <v>7</v>
      </c>
      <c r="AB5782" s="18">
        <f t="shared" si="180"/>
        <v>2007</v>
      </c>
      <c r="AC5782" s="22">
        <f t="shared" si="181"/>
        <v>0.64400000000000002</v>
      </c>
    </row>
    <row r="5783" spans="1:29" ht="25.5">
      <c r="A5783" s="8" t="s">
        <v>2157</v>
      </c>
      <c r="B5783" s="17" t="s">
        <v>7748</v>
      </c>
      <c r="C5783" s="13">
        <v>39359</v>
      </c>
      <c r="D5783" s="13" t="s">
        <v>8463</v>
      </c>
      <c r="E5783" s="10" t="s">
        <v>86</v>
      </c>
      <c r="F5783" s="10" t="s">
        <v>1548</v>
      </c>
      <c r="H5783" s="2" t="s">
        <v>75</v>
      </c>
      <c r="K5783" s="18">
        <v>2</v>
      </c>
      <c r="L5783" s="18">
        <v>0</v>
      </c>
      <c r="Q5783" s="18">
        <v>0</v>
      </c>
      <c r="U5783" s="22">
        <v>0.56999999999999995</v>
      </c>
      <c r="V5783" s="22">
        <f>3.75/5</f>
        <v>0.75</v>
      </c>
      <c r="X5783" s="3">
        <v>3</v>
      </c>
      <c r="Z5783" s="23">
        <v>45</v>
      </c>
      <c r="AB5783" s="18">
        <f t="shared" si="180"/>
        <v>2007</v>
      </c>
      <c r="AC5783" s="22">
        <f t="shared" si="181"/>
        <v>0.64</v>
      </c>
    </row>
    <row r="5784" spans="1:29" ht="25.5">
      <c r="A5784" s="8" t="s">
        <v>7564</v>
      </c>
      <c r="B5784" s="17" t="s">
        <v>7800</v>
      </c>
      <c r="C5784" s="13">
        <v>39357</v>
      </c>
      <c r="D5784" s="13" t="s">
        <v>8465</v>
      </c>
      <c r="E5784" s="10" t="s">
        <v>1273</v>
      </c>
      <c r="F5784" s="10" t="s">
        <v>3268</v>
      </c>
      <c r="G5784" s="11" t="s">
        <v>6588</v>
      </c>
      <c r="H5784" s="2" t="s">
        <v>1050</v>
      </c>
      <c r="L5784" s="18">
        <v>0</v>
      </c>
      <c r="Q5784" s="18">
        <v>0</v>
      </c>
      <c r="U5784" s="22">
        <v>0.84</v>
      </c>
      <c r="V5784" s="22">
        <f>3.77/5</f>
        <v>0.754</v>
      </c>
      <c r="W5784" s="14" t="s">
        <v>13076</v>
      </c>
      <c r="X5784" s="3">
        <v>4</v>
      </c>
      <c r="Z5784" s="23">
        <v>9</v>
      </c>
      <c r="AB5784" s="18">
        <f t="shared" si="180"/>
        <v>2007</v>
      </c>
      <c r="AC5784" s="22">
        <f t="shared" si="181"/>
        <v>0.79800000000000004</v>
      </c>
    </row>
    <row r="5785" spans="1:29" ht="30">
      <c r="A5785" s="8" t="s">
        <v>6081</v>
      </c>
      <c r="B5785" s="17" t="s">
        <v>7762</v>
      </c>
      <c r="C5785" s="13">
        <v>39357</v>
      </c>
      <c r="D5785" s="13" t="s">
        <v>8465</v>
      </c>
      <c r="E5785" s="10" t="s">
        <v>2908</v>
      </c>
      <c r="F5785" s="10" t="s">
        <v>3028</v>
      </c>
      <c r="G5785" s="11" t="s">
        <v>2996</v>
      </c>
      <c r="H5785" s="2" t="s">
        <v>1168</v>
      </c>
      <c r="L5785" s="18">
        <v>0</v>
      </c>
      <c r="Q5785" s="18">
        <v>0</v>
      </c>
      <c r="U5785" s="22">
        <v>0.84</v>
      </c>
      <c r="V5785" s="22">
        <f>4.01/5</f>
        <v>0.80199999999999994</v>
      </c>
      <c r="X5785" s="3">
        <v>3</v>
      </c>
      <c r="Z5785" s="23">
        <v>10</v>
      </c>
      <c r="AB5785" s="18">
        <f t="shared" si="180"/>
        <v>2007</v>
      </c>
      <c r="AC5785" s="22">
        <f t="shared" si="181"/>
        <v>0.74733333333333329</v>
      </c>
    </row>
    <row r="5786" spans="1:29" ht="25.5">
      <c r="A5786" s="8" t="s">
        <v>9048</v>
      </c>
      <c r="B5786" s="17" t="s">
        <v>7748</v>
      </c>
      <c r="C5786" s="13">
        <v>39357</v>
      </c>
      <c r="D5786" s="13" t="s">
        <v>8465</v>
      </c>
      <c r="E5786" s="10" t="s">
        <v>86</v>
      </c>
      <c r="F5786" s="10" t="s">
        <v>1493</v>
      </c>
      <c r="G5786" s="11" t="s">
        <v>9047</v>
      </c>
      <c r="H5786" s="2" t="s">
        <v>80</v>
      </c>
      <c r="L5786" s="18">
        <v>0</v>
      </c>
      <c r="Q5786" s="18">
        <v>0</v>
      </c>
      <c r="U5786" s="22">
        <v>0.77</v>
      </c>
      <c r="V5786" s="22">
        <f>3.79/5</f>
        <v>0.75800000000000001</v>
      </c>
      <c r="X5786" s="3">
        <v>3</v>
      </c>
      <c r="Z5786" s="23">
        <v>10</v>
      </c>
      <c r="AB5786" s="18">
        <f t="shared" si="180"/>
        <v>2007</v>
      </c>
      <c r="AC5786" s="22">
        <f t="shared" si="181"/>
        <v>0.70933333333333337</v>
      </c>
    </row>
    <row r="5787" spans="1:29" ht="25.5">
      <c r="A5787" s="8" t="s">
        <v>11485</v>
      </c>
      <c r="B5787" s="17" t="s">
        <v>7765</v>
      </c>
      <c r="C5787" s="13">
        <v>39357</v>
      </c>
      <c r="D5787" s="13" t="s">
        <v>8465</v>
      </c>
      <c r="E5787" s="10" t="s">
        <v>3740</v>
      </c>
      <c r="F5787" s="10" t="s">
        <v>1052</v>
      </c>
      <c r="G5787" s="11" t="s">
        <v>11482</v>
      </c>
      <c r="H5787" s="2" t="s">
        <v>150</v>
      </c>
      <c r="L5787" s="18">
        <v>0</v>
      </c>
      <c r="Q5787" s="18">
        <v>0</v>
      </c>
      <c r="U5787" s="22">
        <v>0.85</v>
      </c>
      <c r="V5787" s="22">
        <f>3.81/5</f>
        <v>0.76200000000000001</v>
      </c>
      <c r="X5787" s="3">
        <v>2</v>
      </c>
      <c r="Y5787" s="18">
        <v>1</v>
      </c>
      <c r="Z5787" s="23">
        <v>14</v>
      </c>
      <c r="AB5787" s="18">
        <f t="shared" si="180"/>
        <v>2007</v>
      </c>
      <c r="AC5787" s="22">
        <f t="shared" si="181"/>
        <v>0.67066666666666663</v>
      </c>
    </row>
    <row r="5788" spans="1:29" ht="25.5">
      <c r="A5788" s="8" t="s">
        <v>15088</v>
      </c>
      <c r="B5788" s="17" t="s">
        <v>7765</v>
      </c>
      <c r="C5788" s="13">
        <v>39357</v>
      </c>
      <c r="D5788" s="13" t="s">
        <v>8465</v>
      </c>
      <c r="E5788" s="10" t="s">
        <v>1273</v>
      </c>
      <c r="F5788" s="10" t="s">
        <v>1535</v>
      </c>
      <c r="G5788" s="11" t="s">
        <v>1264</v>
      </c>
      <c r="H5788" s="2" t="s">
        <v>80</v>
      </c>
      <c r="L5788" s="18">
        <v>0</v>
      </c>
      <c r="Q5788" s="18">
        <v>0</v>
      </c>
      <c r="U5788" s="22">
        <v>0.6</v>
      </c>
      <c r="V5788" s="22">
        <f>3.41/5</f>
        <v>0.68200000000000005</v>
      </c>
      <c r="X5788" s="3">
        <v>2</v>
      </c>
      <c r="Y5788" s="18">
        <v>1</v>
      </c>
      <c r="Z5788" s="23">
        <v>8</v>
      </c>
      <c r="AB5788" s="18">
        <f t="shared" si="180"/>
        <v>2007</v>
      </c>
      <c r="AC5788" s="22">
        <f t="shared" si="181"/>
        <v>0.56066666666666665</v>
      </c>
    </row>
    <row r="5789" spans="1:29" ht="25.5">
      <c r="A5789" s="8" t="s">
        <v>6701</v>
      </c>
      <c r="B5789" s="17" t="s">
        <v>7758</v>
      </c>
      <c r="C5789" s="13">
        <v>39357</v>
      </c>
      <c r="D5789" s="13" t="s">
        <v>8465</v>
      </c>
      <c r="E5789" s="10" t="s">
        <v>1051</v>
      </c>
      <c r="F5789" s="10" t="s">
        <v>3331</v>
      </c>
      <c r="G5789" s="11" t="s">
        <v>1975</v>
      </c>
      <c r="H5789" s="2" t="s">
        <v>80</v>
      </c>
      <c r="L5789" s="18">
        <v>0</v>
      </c>
      <c r="Q5789" s="18">
        <v>0</v>
      </c>
      <c r="U5789" s="22">
        <v>0.59</v>
      </c>
      <c r="V5789" s="22">
        <f>3.37/5</f>
        <v>0.67400000000000004</v>
      </c>
      <c r="X5789" s="3">
        <v>2</v>
      </c>
      <c r="Z5789" s="23">
        <v>5</v>
      </c>
      <c r="AB5789" s="18">
        <f t="shared" si="180"/>
        <v>2007</v>
      </c>
      <c r="AC5789" s="22">
        <f t="shared" si="181"/>
        <v>0.55466666666666675</v>
      </c>
    </row>
    <row r="5790" spans="1:29" ht="25.5">
      <c r="A5790" s="8" t="s">
        <v>3482</v>
      </c>
      <c r="B5790" s="17" t="s">
        <v>7800</v>
      </c>
      <c r="C5790" s="13">
        <v>39350</v>
      </c>
      <c r="D5790" s="13" t="s">
        <v>8465</v>
      </c>
      <c r="E5790" s="10" t="s">
        <v>1342</v>
      </c>
      <c r="F5790" s="10" t="s">
        <v>3480</v>
      </c>
      <c r="G5790" s="11" t="s">
        <v>3479</v>
      </c>
      <c r="H5790" s="2" t="s">
        <v>1143</v>
      </c>
      <c r="L5790" s="18">
        <v>1</v>
      </c>
      <c r="N5790" s="13">
        <v>41242</v>
      </c>
      <c r="P5790" s="18" t="s">
        <v>1107</v>
      </c>
      <c r="Q5790" s="18">
        <v>0</v>
      </c>
      <c r="U5790" s="22">
        <v>0.87</v>
      </c>
      <c r="V5790" s="22">
        <f>4.01/5</f>
        <v>0.80199999999999994</v>
      </c>
      <c r="W5790" s="14" t="s">
        <v>7777</v>
      </c>
      <c r="X5790" s="3">
        <v>3</v>
      </c>
      <c r="Z5790" s="23">
        <v>14</v>
      </c>
      <c r="AB5790" s="18">
        <f t="shared" si="180"/>
        <v>2007</v>
      </c>
      <c r="AC5790" s="22">
        <f t="shared" si="181"/>
        <v>0.7573333333333333</v>
      </c>
    </row>
    <row r="5791" spans="1:29" ht="25.5">
      <c r="A5791" s="8" t="s">
        <v>5771</v>
      </c>
      <c r="B5791" s="17" t="s">
        <v>7758</v>
      </c>
      <c r="C5791" s="13">
        <v>39350</v>
      </c>
      <c r="D5791" s="13" t="s">
        <v>8465</v>
      </c>
      <c r="E5791" s="10" t="s">
        <v>1062</v>
      </c>
      <c r="F5791" s="10" t="s">
        <v>2285</v>
      </c>
      <c r="H5791" s="2" t="s">
        <v>75</v>
      </c>
      <c r="L5791" s="18">
        <v>0</v>
      </c>
      <c r="Q5791" s="18">
        <v>0</v>
      </c>
      <c r="U5791" s="22">
        <v>0.73</v>
      </c>
      <c r="V5791" s="22">
        <f>4.03/5</f>
        <v>0.80600000000000005</v>
      </c>
      <c r="X5791" s="3">
        <v>3</v>
      </c>
      <c r="Z5791" s="23">
        <v>29.5</v>
      </c>
      <c r="AB5791" s="18">
        <f t="shared" si="180"/>
        <v>2007</v>
      </c>
      <c r="AC5791" s="22">
        <f t="shared" si="181"/>
        <v>0.71200000000000008</v>
      </c>
    </row>
    <row r="5792" spans="1:29">
      <c r="A5792" s="8" t="s">
        <v>1037</v>
      </c>
      <c r="B5792" s="17" t="s">
        <v>7741</v>
      </c>
      <c r="C5792" s="13">
        <v>39350</v>
      </c>
      <c r="D5792" s="13" t="s">
        <v>8465</v>
      </c>
      <c r="E5792" s="10" t="s">
        <v>72</v>
      </c>
      <c r="F5792" s="10" t="s">
        <v>72</v>
      </c>
      <c r="H5792" s="2" t="s">
        <v>1040</v>
      </c>
      <c r="L5792" s="18">
        <v>1</v>
      </c>
      <c r="M5792" s="14" t="s">
        <v>8462</v>
      </c>
      <c r="N5792" s="13">
        <v>43648</v>
      </c>
      <c r="O5792" s="29">
        <v>6.96</v>
      </c>
      <c r="P5792" s="18" t="s">
        <v>14</v>
      </c>
      <c r="Q5792" s="18">
        <v>0</v>
      </c>
      <c r="U5792" s="22">
        <v>0.67</v>
      </c>
      <c r="V5792" s="22">
        <f>3.49/5</f>
        <v>0.69800000000000006</v>
      </c>
      <c r="X5792" s="3">
        <v>3</v>
      </c>
      <c r="Z5792" s="23">
        <v>6</v>
      </c>
      <c r="AB5792" s="18">
        <f t="shared" si="180"/>
        <v>2007</v>
      </c>
      <c r="AC5792" s="22">
        <f t="shared" si="181"/>
        <v>0.65600000000000003</v>
      </c>
    </row>
    <row r="5793" spans="1:29" ht="25.5">
      <c r="A5793" s="8" t="s">
        <v>13172</v>
      </c>
      <c r="B5793" s="17" t="s">
        <v>7741</v>
      </c>
      <c r="C5793" s="13">
        <v>39350</v>
      </c>
      <c r="D5793" s="13" t="s">
        <v>8465</v>
      </c>
      <c r="E5793" s="10" t="s">
        <v>2298</v>
      </c>
      <c r="F5793" s="10" t="s">
        <v>13173</v>
      </c>
      <c r="H5793" s="2" t="s">
        <v>80</v>
      </c>
      <c r="L5793" s="18">
        <v>0</v>
      </c>
      <c r="Q5793" s="18">
        <v>0</v>
      </c>
      <c r="U5793" s="22">
        <v>0.51</v>
      </c>
      <c r="V5793" s="22">
        <f>2.7/5</f>
        <v>0.54</v>
      </c>
      <c r="X5793" s="3">
        <v>2</v>
      </c>
      <c r="Z5793" s="23">
        <v>6</v>
      </c>
      <c r="AB5793" s="18">
        <f t="shared" si="180"/>
        <v>2007</v>
      </c>
      <c r="AC5793" s="22">
        <f t="shared" si="181"/>
        <v>0.48333333333333339</v>
      </c>
    </row>
    <row r="5794" spans="1:29">
      <c r="A5794" s="8" t="s">
        <v>6014</v>
      </c>
      <c r="B5794" s="17" t="s">
        <v>7759</v>
      </c>
      <c r="C5794" s="13">
        <v>39349</v>
      </c>
      <c r="D5794" s="13" t="s">
        <v>8465</v>
      </c>
      <c r="E5794" s="10" t="s">
        <v>231</v>
      </c>
      <c r="F5794" s="10" t="s">
        <v>6015</v>
      </c>
      <c r="G5794" s="11" t="s">
        <v>6014</v>
      </c>
      <c r="H5794" s="2" t="s">
        <v>255</v>
      </c>
      <c r="L5794" s="18">
        <v>1</v>
      </c>
      <c r="M5794" s="14" t="s">
        <v>8462</v>
      </c>
      <c r="N5794" s="13">
        <v>43483</v>
      </c>
      <c r="O5794" s="29">
        <v>9.59</v>
      </c>
      <c r="P5794" s="18" t="s">
        <v>14</v>
      </c>
      <c r="Q5794" s="18">
        <v>0</v>
      </c>
      <c r="U5794" s="22">
        <v>0.86</v>
      </c>
      <c r="V5794" s="22">
        <f>3.9/5</f>
        <v>0.78</v>
      </c>
      <c r="X5794" s="3">
        <v>3</v>
      </c>
      <c r="Z5794" s="23">
        <v>11.5</v>
      </c>
      <c r="AB5794" s="18">
        <f t="shared" si="180"/>
        <v>2007</v>
      </c>
      <c r="AC5794" s="22">
        <f t="shared" si="181"/>
        <v>0.7466666666666667</v>
      </c>
    </row>
    <row r="5795" spans="1:29">
      <c r="A5795" s="8" t="s">
        <v>7094</v>
      </c>
      <c r="B5795" s="17" t="s">
        <v>7800</v>
      </c>
      <c r="C5795" s="13">
        <v>39343</v>
      </c>
      <c r="D5795" s="13" t="s">
        <v>8465</v>
      </c>
      <c r="E5795" s="10" t="s">
        <v>1051</v>
      </c>
      <c r="F5795" s="10" t="s">
        <v>5432</v>
      </c>
      <c r="H5795" s="2" t="s">
        <v>1143</v>
      </c>
      <c r="L5795" s="18">
        <v>1</v>
      </c>
      <c r="N5795" s="13">
        <v>41741</v>
      </c>
      <c r="O5795" s="29">
        <v>2.5</v>
      </c>
      <c r="P5795" s="18" t="s">
        <v>1107</v>
      </c>
      <c r="Q5795" s="18">
        <v>0</v>
      </c>
      <c r="U5795" s="22">
        <v>0.89</v>
      </c>
      <c r="V5795" s="22">
        <f>4.1/5</f>
        <v>0.82</v>
      </c>
      <c r="W5795" s="14" t="s">
        <v>7099</v>
      </c>
      <c r="X5795" s="3">
        <v>4</v>
      </c>
      <c r="Z5795" s="23">
        <v>12</v>
      </c>
      <c r="AB5795" s="18">
        <f t="shared" si="180"/>
        <v>2007</v>
      </c>
      <c r="AC5795" s="22">
        <f t="shared" si="181"/>
        <v>0.83666666666666656</v>
      </c>
    </row>
    <row r="5796" spans="1:29">
      <c r="A5796" s="8" t="s">
        <v>2268</v>
      </c>
      <c r="B5796" s="17" t="s">
        <v>7748</v>
      </c>
      <c r="C5796" s="13">
        <v>39343</v>
      </c>
      <c r="D5796" s="13" t="s">
        <v>8465</v>
      </c>
      <c r="E5796" s="10" t="s">
        <v>455</v>
      </c>
      <c r="F5796" s="10" t="s">
        <v>1492</v>
      </c>
      <c r="G5796" s="11" t="s">
        <v>1688</v>
      </c>
      <c r="H5796" s="2" t="s">
        <v>64</v>
      </c>
      <c r="L5796" s="18">
        <v>0</v>
      </c>
      <c r="Q5796" s="18">
        <v>0</v>
      </c>
      <c r="U5796" s="22">
        <v>0.8</v>
      </c>
      <c r="V5796" s="22">
        <f>3.8/5</f>
        <v>0.76</v>
      </c>
      <c r="X5796" s="3">
        <v>4</v>
      </c>
      <c r="Z5796" s="23">
        <v>7</v>
      </c>
      <c r="AB5796" s="18">
        <f t="shared" si="180"/>
        <v>2007</v>
      </c>
      <c r="AC5796" s="22">
        <f t="shared" si="181"/>
        <v>0.78666666666666674</v>
      </c>
    </row>
    <row r="5797" spans="1:29">
      <c r="A5797" s="8" t="s">
        <v>10093</v>
      </c>
      <c r="B5797" s="17" t="s">
        <v>7800</v>
      </c>
      <c r="C5797" s="13">
        <v>39343</v>
      </c>
      <c r="D5797" s="13" t="s">
        <v>8465</v>
      </c>
      <c r="E5797" s="10" t="s">
        <v>1466</v>
      </c>
      <c r="F5797" s="10" t="s">
        <v>10094</v>
      </c>
      <c r="H5797" s="2" t="s">
        <v>1168</v>
      </c>
      <c r="L5797" s="18">
        <v>1</v>
      </c>
      <c r="N5797" s="13">
        <v>44290</v>
      </c>
      <c r="O5797" s="29">
        <v>2.4900000000000002</v>
      </c>
      <c r="P5797" s="18" t="s">
        <v>1107</v>
      </c>
      <c r="Q5797" s="18">
        <v>0</v>
      </c>
      <c r="U5797" s="22">
        <v>0.77</v>
      </c>
      <c r="V5797" s="22">
        <f>3.49/5</f>
        <v>0.69800000000000006</v>
      </c>
      <c r="W5797" s="14" t="s">
        <v>7778</v>
      </c>
      <c r="X5797" s="3">
        <v>3</v>
      </c>
      <c r="Z5797" s="23">
        <v>6</v>
      </c>
      <c r="AB5797" s="18">
        <f t="shared" si="180"/>
        <v>2007</v>
      </c>
      <c r="AC5797" s="22">
        <f t="shared" si="181"/>
        <v>0.68933333333333335</v>
      </c>
    </row>
    <row r="5798" spans="1:29" ht="25.5">
      <c r="A5798" s="8" t="s">
        <v>5748</v>
      </c>
      <c r="B5798" s="17" t="s">
        <v>7758</v>
      </c>
      <c r="C5798" s="13">
        <v>39343</v>
      </c>
      <c r="D5798" s="13" t="s">
        <v>8465</v>
      </c>
      <c r="E5798" s="10" t="s">
        <v>228</v>
      </c>
      <c r="F5798" s="10" t="s">
        <v>2660</v>
      </c>
      <c r="G5798" s="11" t="s">
        <v>5868</v>
      </c>
      <c r="H5798" s="2" t="s">
        <v>75</v>
      </c>
      <c r="L5798" s="18">
        <v>0</v>
      </c>
      <c r="Q5798" s="18">
        <v>0</v>
      </c>
      <c r="U5798" s="22">
        <v>0.6</v>
      </c>
      <c r="V5798" s="22">
        <f>3.72/5</f>
        <v>0.74399999999999999</v>
      </c>
      <c r="X5798" s="3">
        <v>3</v>
      </c>
      <c r="Z5798" s="23">
        <v>35</v>
      </c>
      <c r="AB5798" s="18">
        <f t="shared" si="180"/>
        <v>2007</v>
      </c>
      <c r="AC5798" s="22">
        <f t="shared" si="181"/>
        <v>0.64800000000000002</v>
      </c>
    </row>
    <row r="5799" spans="1:29">
      <c r="A5799" s="8" t="s">
        <v>8883</v>
      </c>
      <c r="B5799" s="17" t="s">
        <v>7748</v>
      </c>
      <c r="C5799" s="13">
        <v>39343</v>
      </c>
      <c r="D5799" s="13" t="s">
        <v>8465</v>
      </c>
      <c r="E5799" s="10" t="s">
        <v>1509</v>
      </c>
      <c r="F5799" s="10" t="s">
        <v>1366</v>
      </c>
      <c r="G5799" s="11" t="s">
        <v>8877</v>
      </c>
      <c r="H5799" s="2" t="s">
        <v>149</v>
      </c>
      <c r="L5799" s="18">
        <v>0</v>
      </c>
      <c r="Q5799" s="18">
        <v>0</v>
      </c>
      <c r="U5799" s="22">
        <v>0.68</v>
      </c>
      <c r="V5799" s="22">
        <f>3.93/5</f>
        <v>0.78600000000000003</v>
      </c>
      <c r="X5799" s="3">
        <v>2</v>
      </c>
      <c r="Z5799" s="23">
        <v>25.5</v>
      </c>
      <c r="AB5799" s="18">
        <f t="shared" si="180"/>
        <v>2007</v>
      </c>
      <c r="AC5799" s="22">
        <f t="shared" si="181"/>
        <v>0.622</v>
      </c>
    </row>
    <row r="5800" spans="1:29">
      <c r="A5800" s="8" t="s">
        <v>7958</v>
      </c>
      <c r="B5800" s="17" t="s">
        <v>7758</v>
      </c>
      <c r="C5800" s="13">
        <v>39343</v>
      </c>
      <c r="D5800" s="13" t="s">
        <v>8465</v>
      </c>
      <c r="E5800" s="10" t="s">
        <v>68</v>
      </c>
      <c r="F5800" s="10" t="s">
        <v>1471</v>
      </c>
      <c r="G5800" s="11" t="s">
        <v>7958</v>
      </c>
      <c r="H5800" s="2" t="s">
        <v>1059</v>
      </c>
      <c r="L5800" s="18">
        <v>0</v>
      </c>
      <c r="Q5800" s="18">
        <v>0</v>
      </c>
      <c r="U5800" s="22">
        <v>0.53590000000000004</v>
      </c>
      <c r="V5800" s="22">
        <f>4.04/5</f>
        <v>0.80800000000000005</v>
      </c>
      <c r="X5800" s="3">
        <v>2</v>
      </c>
      <c r="Z5800" s="23">
        <v>6.5</v>
      </c>
      <c r="AB5800" s="18">
        <f t="shared" si="180"/>
        <v>2007</v>
      </c>
      <c r="AC5800" s="22">
        <f t="shared" si="181"/>
        <v>0.58130000000000004</v>
      </c>
    </row>
    <row r="5801" spans="1:29" ht="25.5">
      <c r="A5801" s="8" t="s">
        <v>8885</v>
      </c>
      <c r="B5801" s="17" t="s">
        <v>7758</v>
      </c>
      <c r="C5801" s="13">
        <v>39343</v>
      </c>
      <c r="D5801" s="13" t="s">
        <v>8465</v>
      </c>
      <c r="E5801" s="10" t="s">
        <v>3568</v>
      </c>
      <c r="F5801" s="10" t="s">
        <v>1366</v>
      </c>
      <c r="G5801" s="11" t="s">
        <v>8877</v>
      </c>
      <c r="H5801" s="2" t="s">
        <v>80</v>
      </c>
      <c r="L5801" s="18">
        <v>0</v>
      </c>
      <c r="Q5801" s="18">
        <v>0</v>
      </c>
      <c r="U5801" s="22">
        <v>0.43</v>
      </c>
      <c r="V5801" s="22">
        <f>3.59/5</f>
        <v>0.71799999999999997</v>
      </c>
      <c r="X5801" s="3">
        <v>2</v>
      </c>
      <c r="Z5801" s="23">
        <v>12.5</v>
      </c>
      <c r="AB5801" s="18">
        <f t="shared" si="180"/>
        <v>2007</v>
      </c>
      <c r="AC5801" s="22">
        <f t="shared" si="181"/>
        <v>0.51600000000000001</v>
      </c>
    </row>
    <row r="5802" spans="1:29" ht="25.5">
      <c r="A5802" s="8" t="s">
        <v>15121</v>
      </c>
      <c r="B5802" s="17" t="s">
        <v>7782</v>
      </c>
      <c r="C5802" s="13">
        <v>39343</v>
      </c>
      <c r="D5802" s="13" t="s">
        <v>8465</v>
      </c>
      <c r="E5802" s="10" t="s">
        <v>72</v>
      </c>
      <c r="F5802" s="10" t="s">
        <v>72</v>
      </c>
      <c r="G5802" s="11" t="s">
        <v>113</v>
      </c>
      <c r="H5802" s="2" t="s">
        <v>80</v>
      </c>
      <c r="L5802" s="18">
        <v>0</v>
      </c>
      <c r="Q5802" s="18">
        <v>0</v>
      </c>
      <c r="V5802" s="22">
        <f>2.41/5</f>
        <v>0.48200000000000004</v>
      </c>
      <c r="X5802" s="3">
        <v>2</v>
      </c>
      <c r="Z5802" s="23">
        <f>59/60</f>
        <v>0.98333333333333328</v>
      </c>
      <c r="AB5802" s="18">
        <f t="shared" si="180"/>
        <v>2007</v>
      </c>
      <c r="AC5802" s="22">
        <f t="shared" si="181"/>
        <v>0.44100000000000006</v>
      </c>
    </row>
    <row r="5803" spans="1:29" ht="30">
      <c r="A5803" s="8" t="s">
        <v>11547</v>
      </c>
      <c r="B5803" s="17" t="s">
        <v>7762</v>
      </c>
      <c r="C5803" s="13">
        <v>39343</v>
      </c>
      <c r="D5803" s="13" t="s">
        <v>8465</v>
      </c>
      <c r="E5803" s="10" t="s">
        <v>72</v>
      </c>
      <c r="F5803" s="10" t="s">
        <v>11548</v>
      </c>
      <c r="G5803" s="11" t="s">
        <v>11546</v>
      </c>
      <c r="H5803" s="2" t="s">
        <v>1050</v>
      </c>
      <c r="L5803" s="18">
        <v>0</v>
      </c>
      <c r="Q5803" s="18">
        <v>0</v>
      </c>
      <c r="U5803" s="22">
        <v>0.56000000000000005</v>
      </c>
      <c r="V5803" s="22">
        <f>3.34/5</f>
        <v>0.66799999999999993</v>
      </c>
      <c r="X5803" s="3">
        <v>2</v>
      </c>
      <c r="Z5803" s="23">
        <v>11</v>
      </c>
      <c r="AB5803" s="18">
        <f t="shared" si="180"/>
        <v>2007</v>
      </c>
      <c r="AC5803" s="22">
        <f t="shared" si="181"/>
        <v>0.54266666666666674</v>
      </c>
    </row>
    <row r="5804" spans="1:29" ht="38.25">
      <c r="A5804" s="8" t="s">
        <v>12710</v>
      </c>
      <c r="B5804" s="17" t="s">
        <v>7748</v>
      </c>
      <c r="C5804" s="13">
        <v>39339</v>
      </c>
      <c r="D5804" s="13" t="s">
        <v>8467</v>
      </c>
      <c r="E5804" s="10" t="s">
        <v>86</v>
      </c>
      <c r="F5804" s="10" t="s">
        <v>2304</v>
      </c>
      <c r="G5804" s="11" t="s">
        <v>85</v>
      </c>
      <c r="H5804" s="2" t="s">
        <v>80</v>
      </c>
      <c r="L5804" s="18">
        <v>1</v>
      </c>
      <c r="M5804" s="14" t="s">
        <v>8462</v>
      </c>
      <c r="N5804" s="13">
        <v>44926</v>
      </c>
      <c r="O5804" s="29">
        <v>169.94</v>
      </c>
      <c r="P5804" s="18" t="s">
        <v>14</v>
      </c>
      <c r="Q5804" s="18">
        <v>0</v>
      </c>
      <c r="U5804" s="22">
        <v>0.66</v>
      </c>
      <c r="V5804" s="22">
        <f>3.67/5</f>
        <v>0.73399999999999999</v>
      </c>
      <c r="X5804" s="3">
        <v>3</v>
      </c>
      <c r="Z5804" s="23">
        <v>29.5</v>
      </c>
      <c r="AB5804" s="18">
        <f t="shared" si="180"/>
        <v>2007</v>
      </c>
      <c r="AC5804" s="22">
        <f t="shared" si="181"/>
        <v>0.66466666666666674</v>
      </c>
    </row>
    <row r="5805" spans="1:29" ht="25.5">
      <c r="A5805" s="8" t="s">
        <v>12813</v>
      </c>
      <c r="B5805" s="17" t="s">
        <v>7759</v>
      </c>
      <c r="C5805" s="13">
        <v>39338</v>
      </c>
      <c r="D5805" s="13" t="s">
        <v>8463</v>
      </c>
      <c r="E5805" s="10" t="s">
        <v>3861</v>
      </c>
      <c r="F5805" s="10" t="s">
        <v>3861</v>
      </c>
      <c r="H5805" s="2" t="s">
        <v>149</v>
      </c>
      <c r="K5805" s="18">
        <v>0</v>
      </c>
      <c r="L5805" s="18">
        <v>0</v>
      </c>
      <c r="Q5805" s="18">
        <v>0</v>
      </c>
      <c r="V5805" s="22">
        <f>3.72/5</f>
        <v>0.74399999999999999</v>
      </c>
      <c r="X5805" s="3">
        <v>2</v>
      </c>
      <c r="AB5805" s="18">
        <f t="shared" si="180"/>
        <v>2007</v>
      </c>
      <c r="AC5805" s="22">
        <f t="shared" si="181"/>
        <v>0.57200000000000006</v>
      </c>
    </row>
    <row r="5806" spans="1:29">
      <c r="A5806" s="8" t="s">
        <v>2502</v>
      </c>
      <c r="B5806" s="17" t="s">
        <v>7765</v>
      </c>
      <c r="C5806" s="13">
        <v>39337</v>
      </c>
      <c r="D5806" s="13" t="s">
        <v>8465</v>
      </c>
      <c r="E5806" s="10" t="s">
        <v>455</v>
      </c>
      <c r="F5806" s="10" t="s">
        <v>455</v>
      </c>
      <c r="G5806" s="11" t="s">
        <v>1688</v>
      </c>
      <c r="H5806" s="2" t="s">
        <v>64</v>
      </c>
      <c r="L5806" s="18">
        <v>1</v>
      </c>
      <c r="P5806" s="18" t="s">
        <v>1107</v>
      </c>
      <c r="Q5806" s="18">
        <v>0</v>
      </c>
      <c r="U5806" s="22">
        <v>0.82</v>
      </c>
      <c r="V5806" s="22">
        <f>4.16/5</f>
        <v>0.83200000000000007</v>
      </c>
      <c r="X5806" s="3">
        <v>4</v>
      </c>
      <c r="Z5806" s="23">
        <v>2.5</v>
      </c>
      <c r="AB5806" s="18">
        <f t="shared" si="180"/>
        <v>2007</v>
      </c>
      <c r="AC5806" s="22">
        <f t="shared" si="181"/>
        <v>0.81733333333333336</v>
      </c>
    </row>
    <row r="5807" spans="1:29" ht="30">
      <c r="A5807" s="8" t="s">
        <v>5952</v>
      </c>
      <c r="B5807" s="17" t="s">
        <v>7759</v>
      </c>
      <c r="C5807" s="13">
        <v>39337</v>
      </c>
      <c r="D5807" s="13" t="s">
        <v>8465</v>
      </c>
      <c r="E5807" s="10" t="s">
        <v>2908</v>
      </c>
      <c r="F5807" s="10" t="s">
        <v>3687</v>
      </c>
      <c r="H5807" s="2" t="s">
        <v>1059</v>
      </c>
      <c r="L5807" s="18">
        <v>1</v>
      </c>
      <c r="M5807" s="14" t="s">
        <v>8462</v>
      </c>
      <c r="N5807" s="13">
        <v>43342</v>
      </c>
      <c r="O5807" s="29">
        <v>9.9499999999999993</v>
      </c>
      <c r="P5807" s="18" t="s">
        <v>14</v>
      </c>
      <c r="Q5807" s="18">
        <v>0</v>
      </c>
      <c r="U5807" s="22">
        <v>0.8</v>
      </c>
      <c r="V5807" s="22">
        <f>3.65/5</f>
        <v>0.73</v>
      </c>
      <c r="X5807" s="3">
        <v>4</v>
      </c>
      <c r="Z5807" s="23">
        <v>7</v>
      </c>
      <c r="AB5807" s="18">
        <f t="shared" si="180"/>
        <v>2007</v>
      </c>
      <c r="AC5807" s="22">
        <f t="shared" si="181"/>
        <v>0.77666666666666673</v>
      </c>
    </row>
    <row r="5808" spans="1:29">
      <c r="A5808" s="8" t="s">
        <v>9314</v>
      </c>
      <c r="B5808" s="17" t="s">
        <v>7765</v>
      </c>
      <c r="C5808" s="13">
        <v>39336</v>
      </c>
      <c r="D5808" s="13" t="s">
        <v>8465</v>
      </c>
      <c r="E5808" s="10" t="s">
        <v>68</v>
      </c>
      <c r="F5808" s="10" t="s">
        <v>7963</v>
      </c>
      <c r="H5808" s="2" t="s">
        <v>150</v>
      </c>
      <c r="L5808" s="18">
        <v>0</v>
      </c>
      <c r="Q5808" s="18">
        <v>0</v>
      </c>
      <c r="U5808" s="22">
        <v>0.61</v>
      </c>
      <c r="V5808" s="22">
        <f>3.47/5</f>
        <v>0.69400000000000006</v>
      </c>
      <c r="X5808" s="3">
        <v>2</v>
      </c>
      <c r="Z5808" s="23">
        <v>12.5</v>
      </c>
      <c r="AB5808" s="18">
        <f t="shared" si="180"/>
        <v>2007</v>
      </c>
      <c r="AC5808" s="22">
        <f t="shared" si="181"/>
        <v>0.56800000000000006</v>
      </c>
    </row>
    <row r="5809" spans="1:29">
      <c r="A5809" s="8" t="s">
        <v>2168</v>
      </c>
      <c r="B5809" s="17" t="s">
        <v>7748</v>
      </c>
      <c r="C5809" s="13">
        <v>39335</v>
      </c>
      <c r="D5809" s="13" t="s">
        <v>8465</v>
      </c>
      <c r="E5809" s="10" t="s">
        <v>86</v>
      </c>
      <c r="F5809" s="10" t="s">
        <v>1545</v>
      </c>
      <c r="G5809" s="11" t="s">
        <v>1254</v>
      </c>
      <c r="H5809" s="2" t="s">
        <v>56</v>
      </c>
      <c r="L5809" s="18">
        <v>0</v>
      </c>
      <c r="Q5809" s="18">
        <v>0</v>
      </c>
      <c r="U5809" s="22">
        <v>0.77</v>
      </c>
      <c r="V5809" s="22">
        <f>3.64/5</f>
        <v>0.72799999999999998</v>
      </c>
      <c r="X5809" s="3">
        <v>3</v>
      </c>
      <c r="Z5809" s="23">
        <v>5</v>
      </c>
      <c r="AB5809" s="18">
        <f t="shared" si="180"/>
        <v>2007</v>
      </c>
      <c r="AC5809" s="22">
        <f t="shared" si="181"/>
        <v>0.69933333333333325</v>
      </c>
    </row>
    <row r="5810" spans="1:29" ht="30">
      <c r="A5810" s="8" t="s">
        <v>10876</v>
      </c>
      <c r="B5810" s="17" t="s">
        <v>7758</v>
      </c>
      <c r="C5810" s="13">
        <v>39331</v>
      </c>
      <c r="D5810" s="13" t="s">
        <v>8463</v>
      </c>
      <c r="E5810" s="10" t="s">
        <v>470</v>
      </c>
      <c r="F5810" s="10" t="s">
        <v>1580</v>
      </c>
      <c r="G5810" s="11" t="s">
        <v>10874</v>
      </c>
      <c r="H5810" s="2" t="s">
        <v>1204</v>
      </c>
      <c r="K5810" s="18">
        <v>0</v>
      </c>
      <c r="L5810" s="18">
        <v>0</v>
      </c>
      <c r="Q5810" s="18">
        <v>0</v>
      </c>
      <c r="V5810" s="22">
        <f>4.22/5</f>
        <v>0.84399999999999997</v>
      </c>
      <c r="X5810" s="3">
        <v>3</v>
      </c>
      <c r="Z5810" s="23">
        <v>5.5</v>
      </c>
      <c r="AB5810" s="18">
        <f t="shared" si="180"/>
        <v>2007</v>
      </c>
      <c r="AC5810" s="22">
        <f t="shared" si="181"/>
        <v>0.72199999999999998</v>
      </c>
    </row>
    <row r="5811" spans="1:29">
      <c r="A5811" s="8" t="s">
        <v>3633</v>
      </c>
      <c r="B5811" s="17" t="s">
        <v>7800</v>
      </c>
      <c r="C5811" s="13">
        <v>39330</v>
      </c>
      <c r="D5811" s="13" t="s">
        <v>8465</v>
      </c>
      <c r="E5811" s="10" t="s">
        <v>3634</v>
      </c>
      <c r="F5811" s="10" t="s">
        <v>3634</v>
      </c>
      <c r="H5811" s="2" t="s">
        <v>171</v>
      </c>
      <c r="L5811" s="18">
        <v>1</v>
      </c>
      <c r="N5811" s="13">
        <v>41507</v>
      </c>
      <c r="P5811" s="18" t="s">
        <v>1107</v>
      </c>
      <c r="Q5811" s="18">
        <v>0</v>
      </c>
      <c r="U5811" s="22">
        <v>0.78</v>
      </c>
      <c r="V5811" s="22">
        <f>4/5</f>
        <v>0.8</v>
      </c>
      <c r="W5811" s="14" t="s">
        <v>7777</v>
      </c>
      <c r="X5811" s="3">
        <v>2</v>
      </c>
      <c r="Z5811" s="23">
        <v>5</v>
      </c>
      <c r="AB5811" s="18">
        <f t="shared" si="180"/>
        <v>2007</v>
      </c>
      <c r="AC5811" s="22">
        <f t="shared" si="181"/>
        <v>0.66</v>
      </c>
    </row>
    <row r="5812" spans="1:29">
      <c r="A5812" s="8" t="s">
        <v>3328</v>
      </c>
      <c r="B5812" s="17" t="s">
        <v>7800</v>
      </c>
      <c r="C5812" s="13">
        <v>39329</v>
      </c>
      <c r="D5812" s="13" t="s">
        <v>8465</v>
      </c>
      <c r="E5812" s="10" t="s">
        <v>3066</v>
      </c>
      <c r="F5812" s="10" t="s">
        <v>3066</v>
      </c>
      <c r="G5812" s="11" t="s">
        <v>3329</v>
      </c>
      <c r="H5812" s="2" t="s">
        <v>67</v>
      </c>
      <c r="L5812" s="18">
        <v>1</v>
      </c>
      <c r="N5812" s="13">
        <v>41346</v>
      </c>
      <c r="P5812" s="18" t="s">
        <v>1107</v>
      </c>
      <c r="Q5812" s="18">
        <v>0</v>
      </c>
      <c r="U5812" s="22">
        <v>0.85</v>
      </c>
      <c r="V5812" s="22">
        <f>3.62/5</f>
        <v>0.72399999999999998</v>
      </c>
      <c r="W5812" s="14" t="s">
        <v>7777</v>
      </c>
      <c r="X5812" s="3">
        <v>2</v>
      </c>
      <c r="Z5812" s="23">
        <v>2.5</v>
      </c>
      <c r="AB5812" s="18">
        <f t="shared" si="180"/>
        <v>2007</v>
      </c>
      <c r="AC5812" s="22">
        <f t="shared" si="181"/>
        <v>0.65799999999999992</v>
      </c>
    </row>
    <row r="5813" spans="1:29" ht="30">
      <c r="A5813" s="8" t="s">
        <v>9331</v>
      </c>
      <c r="B5813" s="17" t="s">
        <v>7762</v>
      </c>
      <c r="C5813" s="13">
        <v>39325</v>
      </c>
      <c r="D5813" s="13" t="s">
        <v>8467</v>
      </c>
      <c r="E5813" s="10" t="s">
        <v>4210</v>
      </c>
      <c r="F5813" s="10" t="s">
        <v>9330</v>
      </c>
      <c r="G5813" s="11" t="s">
        <v>9329</v>
      </c>
      <c r="H5813" s="2" t="s">
        <v>21</v>
      </c>
      <c r="L5813" s="18">
        <v>0</v>
      </c>
      <c r="Q5813" s="18">
        <v>0</v>
      </c>
      <c r="V5813" s="22">
        <f>3.26/5</f>
        <v>0.65199999999999991</v>
      </c>
      <c r="X5813" s="3">
        <v>2</v>
      </c>
      <c r="Z5813" s="23">
        <f>53/60</f>
        <v>0.8833333333333333</v>
      </c>
      <c r="AB5813" s="18">
        <f t="shared" si="180"/>
        <v>2007</v>
      </c>
      <c r="AC5813" s="22">
        <f t="shared" si="181"/>
        <v>0.52600000000000002</v>
      </c>
    </row>
    <row r="5814" spans="1:29" ht="30">
      <c r="A5814" s="8" t="s">
        <v>13852</v>
      </c>
      <c r="B5814" s="17" t="s">
        <v>7759</v>
      </c>
      <c r="C5814" s="13">
        <v>39325</v>
      </c>
      <c r="D5814" s="13" t="s">
        <v>8465</v>
      </c>
      <c r="E5814" s="10" t="s">
        <v>2908</v>
      </c>
      <c r="F5814" s="10" t="s">
        <v>1322</v>
      </c>
      <c r="H5814" s="2" t="s">
        <v>80</v>
      </c>
      <c r="L5814" s="18">
        <v>0</v>
      </c>
      <c r="Q5814" s="18">
        <v>0</v>
      </c>
      <c r="U5814" s="22">
        <v>0.53</v>
      </c>
      <c r="V5814" s="22">
        <f>2.83/5</f>
        <v>0.56600000000000006</v>
      </c>
      <c r="X5814" s="3">
        <v>2</v>
      </c>
      <c r="Y5814" s="18">
        <v>1</v>
      </c>
      <c r="Z5814" s="23">
        <v>8</v>
      </c>
      <c r="AB5814" s="18">
        <f t="shared" si="180"/>
        <v>2007</v>
      </c>
      <c r="AC5814" s="22">
        <f t="shared" si="181"/>
        <v>0.49866666666666665</v>
      </c>
    </row>
    <row r="5815" spans="1:29">
      <c r="A5815" s="8" t="s">
        <v>7152</v>
      </c>
      <c r="B5815" s="17" t="s">
        <v>7800</v>
      </c>
      <c r="C5815" s="13">
        <v>39322</v>
      </c>
      <c r="D5815" s="13" t="s">
        <v>8465</v>
      </c>
      <c r="E5815" s="10" t="s">
        <v>7191</v>
      </c>
      <c r="F5815" s="10" t="s">
        <v>7191</v>
      </c>
      <c r="G5815" s="11" t="s">
        <v>4255</v>
      </c>
      <c r="H5815" s="2" t="s">
        <v>1267</v>
      </c>
      <c r="L5815" s="18">
        <v>0</v>
      </c>
      <c r="Q5815" s="18">
        <v>0</v>
      </c>
      <c r="U5815" s="22">
        <v>0.8</v>
      </c>
      <c r="V5815" s="22">
        <f>4.22/5</f>
        <v>0.84399999999999997</v>
      </c>
      <c r="W5815" s="14" t="s">
        <v>5674</v>
      </c>
      <c r="X5815" s="3">
        <v>4</v>
      </c>
      <c r="Z5815" s="23">
        <v>1</v>
      </c>
      <c r="AB5815" s="18">
        <f t="shared" si="180"/>
        <v>2007</v>
      </c>
      <c r="AC5815" s="22">
        <f t="shared" si="181"/>
        <v>0.81466666666666665</v>
      </c>
    </row>
    <row r="5816" spans="1:29">
      <c r="A5816" s="8" t="s">
        <v>2297</v>
      </c>
      <c r="B5816" s="17" t="s">
        <v>7765</v>
      </c>
      <c r="C5816" s="13">
        <v>39322</v>
      </c>
      <c r="D5816" s="13" t="s">
        <v>8465</v>
      </c>
      <c r="E5816" s="10" t="s">
        <v>3740</v>
      </c>
      <c r="F5816" s="10" t="s">
        <v>1548</v>
      </c>
      <c r="G5816" s="11" t="s">
        <v>2297</v>
      </c>
      <c r="H5816" s="2" t="s">
        <v>149</v>
      </c>
      <c r="L5816" s="18">
        <v>1</v>
      </c>
      <c r="M5816" s="14" t="s">
        <v>8462</v>
      </c>
      <c r="N5816" s="13">
        <v>43393</v>
      </c>
      <c r="O5816" s="29">
        <v>6</v>
      </c>
      <c r="P5816" s="18" t="s">
        <v>14</v>
      </c>
      <c r="Q5816" s="18">
        <v>0</v>
      </c>
      <c r="U5816" s="22">
        <v>0.77</v>
      </c>
      <c r="V5816" s="22">
        <f>3.76/5</f>
        <v>0.752</v>
      </c>
      <c r="X5816" s="3">
        <v>4</v>
      </c>
      <c r="Z5816" s="23">
        <v>45.5</v>
      </c>
      <c r="AB5816" s="18">
        <f t="shared" si="180"/>
        <v>2007</v>
      </c>
      <c r="AC5816" s="22">
        <f t="shared" si="181"/>
        <v>0.77400000000000002</v>
      </c>
    </row>
    <row r="5817" spans="1:29" ht="30">
      <c r="A5817" s="8" t="s">
        <v>6256</v>
      </c>
      <c r="B5817" s="17" t="s">
        <v>7762</v>
      </c>
      <c r="C5817" s="13">
        <v>39322</v>
      </c>
      <c r="D5817" s="13" t="s">
        <v>8465</v>
      </c>
      <c r="E5817" s="10" t="s">
        <v>2298</v>
      </c>
      <c r="F5817" s="10" t="s">
        <v>3775</v>
      </c>
      <c r="H5817" s="2" t="s">
        <v>80</v>
      </c>
      <c r="L5817" s="18">
        <v>0</v>
      </c>
      <c r="Q5817" s="18">
        <v>0</v>
      </c>
      <c r="U5817" s="22">
        <v>0.77</v>
      </c>
      <c r="V5817" s="22">
        <f>3.69/5</f>
        <v>0.73799999999999999</v>
      </c>
      <c r="X5817" s="3">
        <v>4</v>
      </c>
      <c r="Z5817" s="23">
        <v>8</v>
      </c>
      <c r="AB5817" s="18">
        <f t="shared" si="180"/>
        <v>2007</v>
      </c>
      <c r="AC5817" s="22">
        <f t="shared" si="181"/>
        <v>0.76933333333333331</v>
      </c>
    </row>
    <row r="5818" spans="1:29" ht="30">
      <c r="A5818" s="8" t="s">
        <v>9810</v>
      </c>
      <c r="B5818" s="17" t="s">
        <v>7762</v>
      </c>
      <c r="C5818" s="13">
        <v>39322</v>
      </c>
      <c r="D5818" s="13" t="s">
        <v>8465</v>
      </c>
      <c r="E5818" s="10" t="s">
        <v>73</v>
      </c>
      <c r="F5818" s="10" t="s">
        <v>1140</v>
      </c>
      <c r="G5818" s="11" t="s">
        <v>1141</v>
      </c>
      <c r="H5818" s="2" t="s">
        <v>171</v>
      </c>
      <c r="L5818" s="18">
        <v>0</v>
      </c>
      <c r="Q5818" s="18">
        <v>0</v>
      </c>
      <c r="U5818" s="22">
        <v>0.72</v>
      </c>
      <c r="V5818" s="22">
        <f>4.31/5</f>
        <v>0.86199999999999988</v>
      </c>
      <c r="X5818" s="3">
        <v>3</v>
      </c>
      <c r="Z5818" s="23">
        <v>39.5</v>
      </c>
      <c r="AB5818" s="18">
        <f t="shared" si="180"/>
        <v>2007</v>
      </c>
      <c r="AC5818" s="22">
        <f t="shared" si="181"/>
        <v>0.72733333333333328</v>
      </c>
    </row>
    <row r="5819" spans="1:29">
      <c r="A5819" s="8" t="s">
        <v>5786</v>
      </c>
      <c r="B5819" s="17" t="s">
        <v>7758</v>
      </c>
      <c r="C5819" s="13">
        <v>39322</v>
      </c>
      <c r="D5819" s="13" t="s">
        <v>8465</v>
      </c>
      <c r="E5819" s="10" t="s">
        <v>1534</v>
      </c>
      <c r="F5819" s="10" t="s">
        <v>3037</v>
      </c>
      <c r="G5819" s="11" t="s">
        <v>3003</v>
      </c>
      <c r="H5819" s="2" t="s">
        <v>149</v>
      </c>
      <c r="L5819" s="18">
        <v>0</v>
      </c>
      <c r="Q5819" s="18">
        <v>0</v>
      </c>
      <c r="U5819" s="22">
        <v>0.73</v>
      </c>
      <c r="V5819" s="22">
        <f>4.02/5</f>
        <v>0.80399999999999994</v>
      </c>
      <c r="X5819" s="3">
        <v>3</v>
      </c>
      <c r="Z5819" s="23">
        <v>47</v>
      </c>
      <c r="AB5819" s="18">
        <f t="shared" si="180"/>
        <v>2007</v>
      </c>
      <c r="AC5819" s="22">
        <f t="shared" si="181"/>
        <v>0.71133333333333326</v>
      </c>
    </row>
    <row r="5820" spans="1:29" ht="25.5">
      <c r="A5820" s="8" t="s">
        <v>7949</v>
      </c>
      <c r="B5820" s="17" t="s">
        <v>7759</v>
      </c>
      <c r="C5820" s="13">
        <v>39322</v>
      </c>
      <c r="D5820" s="13" t="s">
        <v>8465</v>
      </c>
      <c r="E5820" s="10" t="s">
        <v>3568</v>
      </c>
      <c r="F5820" s="10" t="s">
        <v>1471</v>
      </c>
      <c r="G5820" s="11" t="s">
        <v>7950</v>
      </c>
      <c r="H5820" s="2" t="s">
        <v>1059</v>
      </c>
      <c r="L5820" s="18">
        <v>0</v>
      </c>
      <c r="Q5820" s="18">
        <v>0</v>
      </c>
      <c r="U5820" s="22">
        <v>0.6149</v>
      </c>
      <c r="V5820" s="22">
        <f>3.67/5</f>
        <v>0.73399999999999999</v>
      </c>
      <c r="X5820" s="3">
        <v>2</v>
      </c>
      <c r="Y5820" s="18">
        <v>1</v>
      </c>
      <c r="Z5820" s="23">
        <v>8</v>
      </c>
      <c r="AB5820" s="18">
        <f t="shared" si="180"/>
        <v>2007</v>
      </c>
      <c r="AC5820" s="22">
        <f t="shared" si="181"/>
        <v>0.58296666666666663</v>
      </c>
    </row>
    <row r="5821" spans="1:29">
      <c r="A5821" s="8" t="s">
        <v>5477</v>
      </c>
      <c r="B5821" s="17" t="s">
        <v>7800</v>
      </c>
      <c r="C5821" s="13">
        <v>39318</v>
      </c>
      <c r="D5821" s="13" t="s">
        <v>8465</v>
      </c>
      <c r="E5821" s="10" t="s">
        <v>4012</v>
      </c>
      <c r="F5821" s="10" t="s">
        <v>3771</v>
      </c>
      <c r="G5821" s="11" t="s">
        <v>5477</v>
      </c>
      <c r="H5821" s="2" t="s">
        <v>171</v>
      </c>
      <c r="L5821" s="18">
        <v>1</v>
      </c>
      <c r="N5821" s="13">
        <v>41243</v>
      </c>
      <c r="P5821" s="18" t="s">
        <v>1107</v>
      </c>
      <c r="Q5821" s="18">
        <v>0</v>
      </c>
      <c r="U5821" s="22">
        <v>0.65</v>
      </c>
      <c r="V5821" s="22">
        <f>3.28/5</f>
        <v>0.65599999999999992</v>
      </c>
      <c r="W5821" s="14" t="s">
        <v>7777</v>
      </c>
      <c r="X5821" s="3">
        <v>2</v>
      </c>
      <c r="Z5821" s="23">
        <v>17</v>
      </c>
      <c r="AB5821" s="18">
        <f t="shared" si="180"/>
        <v>2007</v>
      </c>
      <c r="AC5821" s="22">
        <f t="shared" si="181"/>
        <v>0.56866666666666665</v>
      </c>
    </row>
    <row r="5822" spans="1:29" ht="30">
      <c r="A5822" s="8" t="s">
        <v>6257</v>
      </c>
      <c r="B5822" s="17" t="s">
        <v>7762</v>
      </c>
      <c r="C5822" s="13">
        <v>39315</v>
      </c>
      <c r="D5822" s="13" t="s">
        <v>8465</v>
      </c>
      <c r="E5822" s="10" t="s">
        <v>1290</v>
      </c>
      <c r="F5822" s="10" t="s">
        <v>2129</v>
      </c>
      <c r="H5822" s="2" t="s">
        <v>75</v>
      </c>
      <c r="L5822" s="18">
        <v>0</v>
      </c>
      <c r="Q5822" s="18">
        <v>0</v>
      </c>
      <c r="U5822" s="22">
        <v>0.86</v>
      </c>
      <c r="V5822" s="22">
        <f>4.03/5</f>
        <v>0.80600000000000005</v>
      </c>
      <c r="X5822" s="3">
        <v>4</v>
      </c>
      <c r="Z5822" s="23">
        <v>31</v>
      </c>
      <c r="AB5822" s="18">
        <f t="shared" si="180"/>
        <v>2007</v>
      </c>
      <c r="AC5822" s="22">
        <f t="shared" si="181"/>
        <v>0.82200000000000006</v>
      </c>
    </row>
    <row r="5823" spans="1:29" ht="30">
      <c r="A5823" s="8" t="s">
        <v>9282</v>
      </c>
      <c r="B5823" s="17" t="s">
        <v>7762</v>
      </c>
      <c r="C5823" s="13">
        <v>39315</v>
      </c>
      <c r="D5823" s="13" t="s">
        <v>8465</v>
      </c>
      <c r="E5823" s="10" t="s">
        <v>2285</v>
      </c>
      <c r="F5823" s="10" t="s">
        <v>9283</v>
      </c>
      <c r="H5823" s="2" t="s">
        <v>149</v>
      </c>
      <c r="L5823" s="18">
        <v>0</v>
      </c>
      <c r="Q5823" s="18">
        <v>0</v>
      </c>
      <c r="U5823" s="22">
        <v>0.56000000000000005</v>
      </c>
      <c r="V5823" s="22">
        <f>3.24/5</f>
        <v>0.64800000000000002</v>
      </c>
      <c r="X5823" s="3">
        <v>2</v>
      </c>
      <c r="Z5823" s="23">
        <v>37.5</v>
      </c>
      <c r="AB5823" s="18">
        <f t="shared" si="180"/>
        <v>2007</v>
      </c>
      <c r="AC5823" s="22">
        <f t="shared" si="181"/>
        <v>0.53600000000000003</v>
      </c>
    </row>
    <row r="5824" spans="1:29">
      <c r="A5824" s="8" t="s">
        <v>3309</v>
      </c>
      <c r="B5824" s="17" t="s">
        <v>7765</v>
      </c>
      <c r="C5824" s="13">
        <v>39315</v>
      </c>
      <c r="D5824" s="13" t="s">
        <v>8465</v>
      </c>
      <c r="E5824" s="10" t="s">
        <v>3310</v>
      </c>
      <c r="F5824" s="10" t="s">
        <v>3311</v>
      </c>
      <c r="G5824" s="11" t="s">
        <v>3309</v>
      </c>
      <c r="H5824" s="2" t="s">
        <v>1050</v>
      </c>
      <c r="L5824" s="18">
        <v>1</v>
      </c>
      <c r="M5824" s="14" t="s">
        <v>8462</v>
      </c>
      <c r="N5824" s="13">
        <v>44029</v>
      </c>
      <c r="O5824" s="29">
        <v>0</v>
      </c>
      <c r="P5824" s="18" t="s">
        <v>14</v>
      </c>
      <c r="Q5824" s="18">
        <v>0</v>
      </c>
      <c r="U5824" s="22">
        <v>0.96</v>
      </c>
      <c r="V5824" s="22">
        <f>4.35/5</f>
        <v>0.86999999999999988</v>
      </c>
      <c r="X5824" s="3">
        <v>1</v>
      </c>
      <c r="Z5824" s="23">
        <v>12</v>
      </c>
      <c r="AB5824" s="18">
        <f t="shared" si="180"/>
        <v>2007</v>
      </c>
      <c r="AC5824" s="22">
        <f t="shared" si="181"/>
        <v>0.67666666666666664</v>
      </c>
    </row>
    <row r="5825" spans="1:29" ht="25.5">
      <c r="A5825" s="8" t="s">
        <v>2264</v>
      </c>
      <c r="B5825" s="17" t="s">
        <v>7748</v>
      </c>
      <c r="C5825" s="13">
        <v>39308</v>
      </c>
      <c r="D5825" s="13" t="s">
        <v>8465</v>
      </c>
      <c r="E5825" s="10" t="s">
        <v>66</v>
      </c>
      <c r="F5825" s="10" t="s">
        <v>1269</v>
      </c>
      <c r="G5825" s="11" t="s">
        <v>1540</v>
      </c>
      <c r="H5825" s="2" t="s">
        <v>171</v>
      </c>
      <c r="L5825" s="18">
        <v>0</v>
      </c>
      <c r="Q5825" s="18">
        <v>0</v>
      </c>
      <c r="U5825" s="22">
        <v>0.79</v>
      </c>
      <c r="V5825" s="22">
        <f>3.87/5</f>
        <v>0.77400000000000002</v>
      </c>
      <c r="X5825" s="3">
        <v>4</v>
      </c>
      <c r="Z5825" s="23">
        <v>20</v>
      </c>
      <c r="AB5825" s="18">
        <f t="shared" ref="AB5825:AB5888" si="182">IFERROR(YEAR(C5825), "Early Access")</f>
        <v>2007</v>
      </c>
      <c r="AC5825" s="22">
        <f t="shared" ref="AC5825:AC5888" si="183">AVERAGE(T5825, U5825, V5825, IF(ISBLANK(X5825), X5825, X5825/5))</f>
        <v>0.78799999999999992</v>
      </c>
    </row>
    <row r="5826" spans="1:29">
      <c r="A5826" s="8" t="s">
        <v>2251</v>
      </c>
      <c r="B5826" s="17" t="s">
        <v>7748</v>
      </c>
      <c r="C5826" s="13">
        <v>39308</v>
      </c>
      <c r="D5826" s="13" t="s">
        <v>8465</v>
      </c>
      <c r="E5826" s="10" t="s">
        <v>228</v>
      </c>
      <c r="F5826" s="10" t="s">
        <v>1528</v>
      </c>
      <c r="G5826" s="11" t="s">
        <v>2251</v>
      </c>
      <c r="H5826" s="2" t="s">
        <v>75</v>
      </c>
      <c r="L5826" s="18">
        <v>0</v>
      </c>
      <c r="Q5826" s="18">
        <v>0</v>
      </c>
      <c r="U5826" s="22">
        <v>0.7</v>
      </c>
      <c r="V5826" s="22">
        <f>3.68/5</f>
        <v>0.73599999999999999</v>
      </c>
      <c r="X5826" s="3">
        <v>4</v>
      </c>
      <c r="Z5826" s="23">
        <v>23</v>
      </c>
      <c r="AB5826" s="18">
        <f t="shared" si="182"/>
        <v>2007</v>
      </c>
      <c r="AC5826" s="22">
        <f t="shared" si="183"/>
        <v>0.74533333333333329</v>
      </c>
    </row>
    <row r="5827" spans="1:29">
      <c r="A5827" s="8" t="s">
        <v>2180</v>
      </c>
      <c r="B5827" s="17" t="s">
        <v>7748</v>
      </c>
      <c r="C5827" s="13">
        <v>39308</v>
      </c>
      <c r="D5827" s="13" t="s">
        <v>8465</v>
      </c>
      <c r="E5827" s="10" t="s">
        <v>1082</v>
      </c>
      <c r="F5827" s="10" t="s">
        <v>1962</v>
      </c>
      <c r="G5827" s="11" t="s">
        <v>1253</v>
      </c>
      <c r="H5827" s="2" t="s">
        <v>75</v>
      </c>
      <c r="L5827" s="18">
        <v>0</v>
      </c>
      <c r="Q5827" s="18">
        <v>0</v>
      </c>
      <c r="U5827" s="22">
        <v>0.65</v>
      </c>
      <c r="V5827" s="22">
        <f>3.04/5</f>
        <v>0.60799999999999998</v>
      </c>
      <c r="X5827" s="3">
        <v>3</v>
      </c>
      <c r="Z5827" s="23">
        <v>16</v>
      </c>
      <c r="AB5827" s="18">
        <f t="shared" si="182"/>
        <v>2007</v>
      </c>
      <c r="AC5827" s="22">
        <f t="shared" si="183"/>
        <v>0.6193333333333334</v>
      </c>
    </row>
    <row r="5828" spans="1:29" ht="30">
      <c r="A5828" s="8" t="s">
        <v>11564</v>
      </c>
      <c r="B5828" s="17" t="s">
        <v>7762</v>
      </c>
      <c r="C5828" s="13">
        <v>39308</v>
      </c>
      <c r="D5828" s="13" t="s">
        <v>8465</v>
      </c>
      <c r="E5828" s="10" t="s">
        <v>311</v>
      </c>
      <c r="F5828" s="10" t="s">
        <v>1491</v>
      </c>
      <c r="G5828" s="11" t="s">
        <v>445</v>
      </c>
      <c r="H5828" s="2" t="s">
        <v>75</v>
      </c>
      <c r="L5828" s="18">
        <v>0</v>
      </c>
      <c r="Q5828" s="18">
        <v>0</v>
      </c>
      <c r="U5828" s="22">
        <v>0.57999999999999996</v>
      </c>
      <c r="V5828" s="22">
        <f>3.24/5</f>
        <v>0.64800000000000002</v>
      </c>
      <c r="X5828" s="3">
        <v>2</v>
      </c>
      <c r="AB5828" s="18">
        <f t="shared" si="182"/>
        <v>2007</v>
      </c>
      <c r="AC5828" s="22">
        <f t="shared" si="183"/>
        <v>0.54266666666666674</v>
      </c>
    </row>
    <row r="5829" spans="1:29" ht="30">
      <c r="A5829" s="8" t="s">
        <v>10115</v>
      </c>
      <c r="B5829" s="17" t="s">
        <v>7762</v>
      </c>
      <c r="C5829" s="13">
        <v>39303</v>
      </c>
      <c r="D5829" s="13" t="s">
        <v>8465</v>
      </c>
      <c r="E5829" s="10" t="s">
        <v>2908</v>
      </c>
      <c r="F5829" s="10" t="s">
        <v>5862</v>
      </c>
      <c r="H5829" s="2" t="s">
        <v>78</v>
      </c>
      <c r="L5829" s="18">
        <v>0</v>
      </c>
      <c r="Q5829" s="18">
        <v>0</v>
      </c>
      <c r="V5829" s="22">
        <f>2.85/5</f>
        <v>0.57000000000000006</v>
      </c>
      <c r="X5829" s="3">
        <v>2</v>
      </c>
      <c r="Z5829" s="23">
        <v>6</v>
      </c>
      <c r="AB5829" s="18">
        <f t="shared" si="182"/>
        <v>2007</v>
      </c>
      <c r="AC5829" s="22">
        <f t="shared" si="183"/>
        <v>0.48500000000000004</v>
      </c>
    </row>
    <row r="5830" spans="1:29">
      <c r="A5830" s="8" t="s">
        <v>7143</v>
      </c>
      <c r="B5830" s="17" t="s">
        <v>7800</v>
      </c>
      <c r="C5830" s="13">
        <v>39301</v>
      </c>
      <c r="D5830" s="13" t="s">
        <v>8465</v>
      </c>
      <c r="E5830" s="10" t="s">
        <v>7224</v>
      </c>
      <c r="F5830" s="10" t="s">
        <v>7224</v>
      </c>
      <c r="H5830" s="2" t="s">
        <v>56</v>
      </c>
      <c r="L5830" s="18">
        <v>0</v>
      </c>
      <c r="Q5830" s="18">
        <v>0</v>
      </c>
      <c r="W5830" s="14" t="s">
        <v>5674</v>
      </c>
      <c r="X5830" s="3">
        <v>4</v>
      </c>
      <c r="AB5830" s="18">
        <f t="shared" si="182"/>
        <v>2007</v>
      </c>
      <c r="AC5830" s="22">
        <f t="shared" si="183"/>
        <v>0.8</v>
      </c>
    </row>
    <row r="5831" spans="1:29" ht="25.5">
      <c r="A5831" s="8" t="s">
        <v>2343</v>
      </c>
      <c r="B5831" s="17" t="s">
        <v>7748</v>
      </c>
      <c r="C5831" s="13">
        <v>39301</v>
      </c>
      <c r="D5831" s="13" t="s">
        <v>8465</v>
      </c>
      <c r="E5831" s="10" t="s">
        <v>73</v>
      </c>
      <c r="F5831" s="10" t="s">
        <v>73</v>
      </c>
      <c r="G5831" s="11" t="s">
        <v>2312</v>
      </c>
      <c r="H5831" s="2" t="s">
        <v>171</v>
      </c>
      <c r="L5831" s="18">
        <v>0</v>
      </c>
      <c r="Q5831" s="18">
        <v>0</v>
      </c>
      <c r="U5831" s="22">
        <v>0.62</v>
      </c>
      <c r="V5831" s="22">
        <f>3.96/5</f>
        <v>0.79200000000000004</v>
      </c>
      <c r="X5831" s="3">
        <v>3</v>
      </c>
      <c r="Z5831" s="23">
        <v>17</v>
      </c>
      <c r="AB5831" s="18">
        <f t="shared" si="182"/>
        <v>2007</v>
      </c>
      <c r="AC5831" s="22">
        <f t="shared" si="183"/>
        <v>0.67066666666666663</v>
      </c>
    </row>
    <row r="5832" spans="1:29" ht="30">
      <c r="A5832" s="8" t="s">
        <v>11550</v>
      </c>
      <c r="B5832" s="17" t="s">
        <v>7762</v>
      </c>
      <c r="C5832" s="13">
        <v>39301</v>
      </c>
      <c r="D5832" s="13" t="s">
        <v>8465</v>
      </c>
      <c r="E5832" s="10" t="s">
        <v>455</v>
      </c>
      <c r="F5832" s="10" t="s">
        <v>11551</v>
      </c>
      <c r="G5832" s="11" t="s">
        <v>2762</v>
      </c>
      <c r="H5832" s="2" t="s">
        <v>150</v>
      </c>
      <c r="L5832" s="18">
        <v>0</v>
      </c>
      <c r="Q5832" s="18">
        <v>0</v>
      </c>
      <c r="U5832" s="22">
        <v>0.64</v>
      </c>
      <c r="V5832" s="22">
        <f>3.54/5</f>
        <v>0.70799999999999996</v>
      </c>
      <c r="X5832" s="3">
        <v>2</v>
      </c>
      <c r="Z5832" s="23">
        <f>15/60</f>
        <v>0.25</v>
      </c>
      <c r="AB5832" s="18">
        <f t="shared" si="182"/>
        <v>2007</v>
      </c>
      <c r="AC5832" s="22">
        <f t="shared" si="183"/>
        <v>0.58266666666666656</v>
      </c>
    </row>
    <row r="5833" spans="1:29" ht="30">
      <c r="A5833" s="8" t="s">
        <v>6212</v>
      </c>
      <c r="B5833" s="17" t="s">
        <v>7762</v>
      </c>
      <c r="C5833" s="13">
        <v>39294</v>
      </c>
      <c r="D5833" s="13" t="s">
        <v>8465</v>
      </c>
      <c r="E5833" s="10" t="s">
        <v>1534</v>
      </c>
      <c r="F5833" s="10" t="s">
        <v>6259</v>
      </c>
      <c r="G5833" s="11" t="s">
        <v>6260</v>
      </c>
      <c r="H5833" s="2" t="s">
        <v>149</v>
      </c>
      <c r="L5833" s="18">
        <v>0</v>
      </c>
      <c r="Q5833" s="18">
        <v>0</v>
      </c>
      <c r="U5833" s="22">
        <v>0.78</v>
      </c>
      <c r="V5833" s="22">
        <f>3.81/5</f>
        <v>0.76200000000000001</v>
      </c>
      <c r="X5833" s="3">
        <v>3</v>
      </c>
      <c r="Z5833" s="23">
        <v>24</v>
      </c>
      <c r="AB5833" s="18">
        <f t="shared" si="182"/>
        <v>2007</v>
      </c>
      <c r="AC5833" s="22">
        <f t="shared" si="183"/>
        <v>0.71399999999999997</v>
      </c>
    </row>
    <row r="5834" spans="1:29">
      <c r="A5834" s="8" t="s">
        <v>10288</v>
      </c>
      <c r="B5834" s="17" t="s">
        <v>7748</v>
      </c>
      <c r="C5834" s="13">
        <v>39293</v>
      </c>
      <c r="D5834" s="13" t="s">
        <v>8465</v>
      </c>
      <c r="E5834" s="10" t="s">
        <v>86</v>
      </c>
      <c r="F5834" s="10" t="s">
        <v>1794</v>
      </c>
      <c r="G5834" s="11" t="s">
        <v>10286</v>
      </c>
      <c r="H5834" s="2" t="s">
        <v>78</v>
      </c>
      <c r="L5834" s="18">
        <v>0</v>
      </c>
      <c r="Q5834" s="18">
        <v>0</v>
      </c>
      <c r="U5834" s="22">
        <v>0.83</v>
      </c>
      <c r="V5834" s="22">
        <f>4.14/5</f>
        <v>0.82799999999999996</v>
      </c>
      <c r="X5834" s="3">
        <v>3</v>
      </c>
      <c r="Z5834" s="23">
        <v>41</v>
      </c>
      <c r="AB5834" s="18">
        <f t="shared" si="182"/>
        <v>2007</v>
      </c>
      <c r="AC5834" s="22">
        <f t="shared" si="183"/>
        <v>0.75266666666666671</v>
      </c>
    </row>
    <row r="5835" spans="1:29">
      <c r="A5835" s="8" t="s">
        <v>1008</v>
      </c>
      <c r="B5835" s="17" t="s">
        <v>7741</v>
      </c>
      <c r="C5835" s="13">
        <v>39293</v>
      </c>
      <c r="D5835" s="13" t="s">
        <v>8465</v>
      </c>
      <c r="E5835" s="10" t="s">
        <v>86</v>
      </c>
      <c r="F5835" s="10" t="s">
        <v>1535</v>
      </c>
      <c r="G5835" s="11" t="s">
        <v>1556</v>
      </c>
      <c r="H5835" s="2" t="s">
        <v>255</v>
      </c>
      <c r="L5835" s="18">
        <v>0</v>
      </c>
      <c r="Q5835" s="18">
        <v>0</v>
      </c>
      <c r="U5835" s="22">
        <v>0.79</v>
      </c>
      <c r="V5835" s="22">
        <f>3.7/5</f>
        <v>0.74</v>
      </c>
      <c r="X5835" s="3">
        <v>3</v>
      </c>
      <c r="Z5835" s="23">
        <v>10.5</v>
      </c>
      <c r="AB5835" s="18">
        <f t="shared" si="182"/>
        <v>2007</v>
      </c>
      <c r="AC5835" s="22">
        <f t="shared" si="183"/>
        <v>0.71</v>
      </c>
    </row>
    <row r="5836" spans="1:29" ht="25.5">
      <c r="A5836" s="8" t="s">
        <v>13180</v>
      </c>
      <c r="B5836" s="17" t="s">
        <v>7741</v>
      </c>
      <c r="C5836" s="13">
        <v>39289</v>
      </c>
      <c r="D5836" s="13" t="s">
        <v>8463</v>
      </c>
      <c r="E5836" s="10" t="s">
        <v>1509</v>
      </c>
      <c r="F5836" s="10" t="s">
        <v>157</v>
      </c>
      <c r="G5836" s="11" t="s">
        <v>1395</v>
      </c>
      <c r="H5836" s="2" t="s">
        <v>1050</v>
      </c>
      <c r="K5836" s="18">
        <v>1</v>
      </c>
      <c r="L5836" s="18">
        <v>0</v>
      </c>
      <c r="Q5836" s="18">
        <v>0</v>
      </c>
      <c r="V5836" s="22">
        <f>4.07/5</f>
        <v>0.81400000000000006</v>
      </c>
      <c r="X5836" s="3">
        <v>2</v>
      </c>
      <c r="AB5836" s="18">
        <f t="shared" si="182"/>
        <v>2007</v>
      </c>
      <c r="AC5836" s="22">
        <f t="shared" si="183"/>
        <v>0.60699999999999998</v>
      </c>
    </row>
    <row r="5837" spans="1:29">
      <c r="A5837" s="8" t="s">
        <v>10467</v>
      </c>
      <c r="B5837" s="17" t="s">
        <v>7741</v>
      </c>
      <c r="C5837" s="13">
        <v>39288</v>
      </c>
      <c r="D5837" s="13" t="s">
        <v>8465</v>
      </c>
      <c r="E5837" s="10" t="s">
        <v>1870</v>
      </c>
      <c r="F5837" s="10" t="s">
        <v>10468</v>
      </c>
      <c r="H5837" s="2" t="s">
        <v>1061</v>
      </c>
      <c r="L5837" s="18">
        <v>0</v>
      </c>
      <c r="Q5837" s="18">
        <v>0</v>
      </c>
      <c r="U5837" s="22">
        <v>0.37</v>
      </c>
      <c r="V5837" s="22">
        <f>3.17/5</f>
        <v>0.63400000000000001</v>
      </c>
      <c r="X5837" s="3">
        <v>2</v>
      </c>
      <c r="Z5837" s="23">
        <v>6.5</v>
      </c>
      <c r="AB5837" s="18">
        <f t="shared" si="182"/>
        <v>2007</v>
      </c>
      <c r="AC5837" s="22">
        <f t="shared" si="183"/>
        <v>0.46799999999999997</v>
      </c>
    </row>
    <row r="5838" spans="1:29" ht="25.5">
      <c r="A5838" s="8" t="s">
        <v>4995</v>
      </c>
      <c r="B5838" s="17" t="s">
        <v>7800</v>
      </c>
      <c r="C5838" s="13">
        <v>39287</v>
      </c>
      <c r="D5838" s="13" t="s">
        <v>8465</v>
      </c>
      <c r="E5838" s="10" t="s">
        <v>3310</v>
      </c>
      <c r="F5838" s="10" t="s">
        <v>4993</v>
      </c>
      <c r="G5838" s="11" t="s">
        <v>4994</v>
      </c>
      <c r="H5838" s="2" t="s">
        <v>3123</v>
      </c>
      <c r="L5838" s="18">
        <v>1</v>
      </c>
      <c r="N5838" s="13">
        <v>41341</v>
      </c>
      <c r="O5838" s="29">
        <v>0</v>
      </c>
      <c r="P5838" s="18" t="s">
        <v>1107</v>
      </c>
      <c r="Q5838" s="18">
        <v>0</v>
      </c>
      <c r="U5838" s="22">
        <v>0.86</v>
      </c>
      <c r="V5838" s="22">
        <f>4.26/5</f>
        <v>0.85199999999999998</v>
      </c>
      <c r="W5838" s="14" t="s">
        <v>7777</v>
      </c>
      <c r="X5838" s="3">
        <v>3</v>
      </c>
      <c r="Z5838" s="23">
        <v>26.5</v>
      </c>
      <c r="AB5838" s="18">
        <f t="shared" si="182"/>
        <v>2007</v>
      </c>
      <c r="AC5838" s="22">
        <f t="shared" si="183"/>
        <v>0.77066666666666661</v>
      </c>
    </row>
    <row r="5839" spans="1:29">
      <c r="A5839" s="8" t="s">
        <v>2493</v>
      </c>
      <c r="B5839" s="17" t="s">
        <v>7741</v>
      </c>
      <c r="C5839" s="13">
        <v>39287</v>
      </c>
      <c r="D5839" s="13" t="s">
        <v>8465</v>
      </c>
      <c r="E5839" s="10" t="s">
        <v>455</v>
      </c>
      <c r="F5839" s="10" t="s">
        <v>2512</v>
      </c>
      <c r="G5839" s="11" t="s">
        <v>2493</v>
      </c>
      <c r="H5839" s="2" t="s">
        <v>1054</v>
      </c>
      <c r="L5839" s="18">
        <v>0</v>
      </c>
      <c r="Q5839" s="18">
        <v>0</v>
      </c>
      <c r="U5839" s="22">
        <v>0.51</v>
      </c>
      <c r="V5839" s="22">
        <f>3.08/5</f>
        <v>0.61599999999999999</v>
      </c>
      <c r="X5839" s="3">
        <v>3</v>
      </c>
      <c r="Z5839" s="23">
        <v>12</v>
      </c>
      <c r="AB5839" s="18">
        <f t="shared" si="182"/>
        <v>2007</v>
      </c>
      <c r="AC5839" s="22">
        <f t="shared" si="183"/>
        <v>0.57533333333333336</v>
      </c>
    </row>
    <row r="5840" spans="1:29" ht="25.5">
      <c r="A5840" s="8" t="s">
        <v>7945</v>
      </c>
      <c r="B5840" s="17" t="s">
        <v>7748</v>
      </c>
      <c r="C5840" s="13">
        <v>39287</v>
      </c>
      <c r="D5840" s="13" t="s">
        <v>8465</v>
      </c>
      <c r="E5840" s="10" t="s">
        <v>68</v>
      </c>
      <c r="F5840" s="10" t="s">
        <v>68</v>
      </c>
      <c r="G5840" s="11" t="s">
        <v>7935</v>
      </c>
      <c r="H5840" s="2" t="s">
        <v>3411</v>
      </c>
      <c r="L5840" s="18">
        <v>0</v>
      </c>
      <c r="Q5840" s="18">
        <v>0</v>
      </c>
      <c r="U5840" s="22">
        <v>0.55459999999999998</v>
      </c>
      <c r="V5840" s="22">
        <f>2.8/5</f>
        <v>0.55999999999999994</v>
      </c>
      <c r="X5840" s="3">
        <v>2</v>
      </c>
      <c r="AB5840" s="18">
        <f t="shared" si="182"/>
        <v>2007</v>
      </c>
      <c r="AC5840" s="22">
        <f t="shared" si="183"/>
        <v>0.50486666666666657</v>
      </c>
    </row>
    <row r="5841" spans="1:29" ht="30">
      <c r="A5841" s="8" t="s">
        <v>8797</v>
      </c>
      <c r="B5841" s="17" t="s">
        <v>7762</v>
      </c>
      <c r="C5841" s="13">
        <v>39280</v>
      </c>
      <c r="D5841" s="13" t="s">
        <v>8465</v>
      </c>
      <c r="E5841" s="10" t="s">
        <v>1509</v>
      </c>
      <c r="F5841" s="10" t="s">
        <v>1375</v>
      </c>
      <c r="G5841" s="11" t="s">
        <v>1422</v>
      </c>
      <c r="H5841" s="2" t="s">
        <v>171</v>
      </c>
      <c r="L5841" s="18">
        <v>0</v>
      </c>
      <c r="Q5841" s="18">
        <v>0</v>
      </c>
      <c r="U5841" s="22">
        <v>0.66</v>
      </c>
      <c r="V5841" s="22">
        <f>3.73/5</f>
        <v>0.746</v>
      </c>
      <c r="X5841" s="3">
        <v>3</v>
      </c>
      <c r="Z5841" s="23">
        <v>26</v>
      </c>
      <c r="AB5841" s="18">
        <f t="shared" si="182"/>
        <v>2007</v>
      </c>
      <c r="AC5841" s="22">
        <f t="shared" si="183"/>
        <v>0.66866666666666674</v>
      </c>
    </row>
    <row r="5842" spans="1:29" ht="30">
      <c r="A5842" s="8" t="s">
        <v>11035</v>
      </c>
      <c r="B5842" s="17" t="s">
        <v>7758</v>
      </c>
      <c r="C5842" s="13">
        <v>39280</v>
      </c>
      <c r="D5842" s="13" t="s">
        <v>8465</v>
      </c>
      <c r="E5842" s="10" t="s">
        <v>2908</v>
      </c>
      <c r="F5842" s="10" t="s">
        <v>10091</v>
      </c>
      <c r="G5842" s="11" t="s">
        <v>11029</v>
      </c>
      <c r="H5842" s="2" t="s">
        <v>255</v>
      </c>
      <c r="L5842" s="18">
        <v>0</v>
      </c>
      <c r="Q5842" s="18">
        <v>0</v>
      </c>
      <c r="U5842" s="22">
        <v>0.7</v>
      </c>
      <c r="V5842" s="22">
        <f>3.99/5</f>
        <v>0.79800000000000004</v>
      </c>
      <c r="X5842" s="3">
        <v>2</v>
      </c>
      <c r="Z5842" s="23">
        <v>5</v>
      </c>
      <c r="AB5842" s="18">
        <f t="shared" si="182"/>
        <v>2007</v>
      </c>
      <c r="AC5842" s="22">
        <f t="shared" si="183"/>
        <v>0.63266666666666671</v>
      </c>
    </row>
    <row r="5843" spans="1:29" ht="25.5">
      <c r="A5843" s="8" t="s">
        <v>11183</v>
      </c>
      <c r="B5843" s="17" t="s">
        <v>7748</v>
      </c>
      <c r="C5843" s="13">
        <v>39275</v>
      </c>
      <c r="D5843" s="13" t="s">
        <v>8463</v>
      </c>
      <c r="E5843" s="10" t="s">
        <v>72</v>
      </c>
      <c r="F5843" s="10" t="s">
        <v>72</v>
      </c>
      <c r="G5843" s="11" t="s">
        <v>11182</v>
      </c>
      <c r="H5843" s="2" t="s">
        <v>1057</v>
      </c>
      <c r="K5843" s="18">
        <v>0</v>
      </c>
      <c r="L5843" s="18">
        <v>0</v>
      </c>
      <c r="Q5843" s="18">
        <v>0</v>
      </c>
      <c r="V5843" s="22">
        <f>3.82/5</f>
        <v>0.76400000000000001</v>
      </c>
      <c r="X5843" s="3">
        <v>2</v>
      </c>
      <c r="AB5843" s="18">
        <f t="shared" si="182"/>
        <v>2007</v>
      </c>
      <c r="AC5843" s="22">
        <f t="shared" si="183"/>
        <v>0.58200000000000007</v>
      </c>
    </row>
    <row r="5844" spans="1:29">
      <c r="A5844" s="8" t="s">
        <v>1688</v>
      </c>
      <c r="B5844" s="17" t="s">
        <v>7765</v>
      </c>
      <c r="C5844" s="13">
        <v>39274</v>
      </c>
      <c r="D5844" s="13" t="s">
        <v>8465</v>
      </c>
      <c r="E5844" s="10" t="s">
        <v>455</v>
      </c>
      <c r="F5844" s="10" t="s">
        <v>455</v>
      </c>
      <c r="G5844" s="11" t="s">
        <v>1688</v>
      </c>
      <c r="H5844" s="2" t="s">
        <v>64</v>
      </c>
      <c r="L5844" s="18">
        <v>1</v>
      </c>
      <c r="P5844" s="18" t="s">
        <v>1107</v>
      </c>
      <c r="Q5844" s="18">
        <v>0</v>
      </c>
      <c r="U5844" s="22">
        <v>0.78</v>
      </c>
      <c r="V5844" s="22">
        <f>4.01/5</f>
        <v>0.80199999999999994</v>
      </c>
      <c r="X5844" s="3">
        <v>2</v>
      </c>
      <c r="Z5844" s="23">
        <v>2</v>
      </c>
      <c r="AB5844" s="18">
        <f t="shared" si="182"/>
        <v>2007</v>
      </c>
      <c r="AC5844" s="22">
        <f t="shared" si="183"/>
        <v>0.66066666666666662</v>
      </c>
    </row>
    <row r="5845" spans="1:29">
      <c r="A5845" s="8" t="s">
        <v>6308</v>
      </c>
      <c r="B5845" s="17" t="s">
        <v>7765</v>
      </c>
      <c r="C5845" s="13">
        <v>39273</v>
      </c>
      <c r="D5845" s="13" t="s">
        <v>8465</v>
      </c>
      <c r="E5845" s="10" t="s">
        <v>3740</v>
      </c>
      <c r="F5845" s="10" t="s">
        <v>1512</v>
      </c>
      <c r="G5845" s="11" t="s">
        <v>2690</v>
      </c>
      <c r="H5845" s="2" t="s">
        <v>2138</v>
      </c>
      <c r="L5845" s="18">
        <v>1</v>
      </c>
      <c r="M5845" s="14" t="s">
        <v>8462</v>
      </c>
      <c r="N5845" s="13">
        <v>43558</v>
      </c>
      <c r="P5845" s="18" t="s">
        <v>14</v>
      </c>
      <c r="Q5845" s="18">
        <v>0</v>
      </c>
      <c r="U5845" s="22">
        <v>0.66</v>
      </c>
      <c r="V5845" s="22">
        <f>3.54/5</f>
        <v>0.70799999999999996</v>
      </c>
      <c r="X5845" s="3">
        <v>3</v>
      </c>
      <c r="Z5845" s="23">
        <v>5</v>
      </c>
      <c r="AB5845" s="18">
        <f t="shared" si="182"/>
        <v>2007</v>
      </c>
      <c r="AC5845" s="22">
        <f t="shared" si="183"/>
        <v>0.65600000000000003</v>
      </c>
    </row>
    <row r="5846" spans="1:29" ht="51">
      <c r="A5846" s="8" t="s">
        <v>10868</v>
      </c>
      <c r="B5846" s="17" t="s">
        <v>7759</v>
      </c>
      <c r="C5846" s="13">
        <v>39268</v>
      </c>
      <c r="D5846" s="13" t="s">
        <v>8463</v>
      </c>
      <c r="E5846" s="10" t="s">
        <v>2908</v>
      </c>
      <c r="F5846" s="10" t="s">
        <v>2470</v>
      </c>
      <c r="G5846" s="11" t="s">
        <v>10866</v>
      </c>
      <c r="H5846" s="2" t="s">
        <v>67</v>
      </c>
      <c r="K5846" s="18">
        <v>0</v>
      </c>
      <c r="L5846" s="18">
        <v>0</v>
      </c>
      <c r="Q5846" s="18">
        <v>0</v>
      </c>
      <c r="V5846" s="22">
        <f>4.06/5</f>
        <v>0.81199999999999994</v>
      </c>
      <c r="X5846" s="3">
        <v>3</v>
      </c>
      <c r="Y5846" s="18">
        <v>1</v>
      </c>
      <c r="AB5846" s="18">
        <f t="shared" si="182"/>
        <v>2007</v>
      </c>
      <c r="AC5846" s="22">
        <f t="shared" si="183"/>
        <v>0.70599999999999996</v>
      </c>
    </row>
    <row r="5847" spans="1:29">
      <c r="A5847" s="8" t="s">
        <v>5981</v>
      </c>
      <c r="B5847" s="17" t="s">
        <v>7759</v>
      </c>
      <c r="C5847" s="13">
        <v>39266</v>
      </c>
      <c r="D5847" s="13" t="s">
        <v>8465</v>
      </c>
      <c r="E5847" s="10" t="s">
        <v>76</v>
      </c>
      <c r="F5847" s="10" t="s">
        <v>1136</v>
      </c>
      <c r="G5847" s="11" t="s">
        <v>139</v>
      </c>
      <c r="H5847" s="2" t="s">
        <v>1059</v>
      </c>
      <c r="L5847" s="18">
        <v>1</v>
      </c>
      <c r="M5847" s="14" t="s">
        <v>8462</v>
      </c>
      <c r="N5847" s="13">
        <v>43400</v>
      </c>
      <c r="O5847" s="29">
        <v>6.9</v>
      </c>
      <c r="P5847" s="18" t="s">
        <v>14</v>
      </c>
      <c r="Q5847" s="18">
        <v>0</v>
      </c>
      <c r="U5847" s="22">
        <v>0.87</v>
      </c>
      <c r="V5847" s="22">
        <f>3.97/5</f>
        <v>0.79400000000000004</v>
      </c>
      <c r="X5847" s="3">
        <v>3</v>
      </c>
      <c r="Z5847" s="23">
        <v>14</v>
      </c>
      <c r="AB5847" s="18">
        <f t="shared" si="182"/>
        <v>2007</v>
      </c>
      <c r="AC5847" s="22">
        <f t="shared" si="183"/>
        <v>0.75466666666666671</v>
      </c>
    </row>
    <row r="5848" spans="1:29">
      <c r="A5848" s="8" t="s">
        <v>7420</v>
      </c>
      <c r="B5848" s="17" t="s">
        <v>7758</v>
      </c>
      <c r="C5848" s="13">
        <v>39262</v>
      </c>
      <c r="D5848" s="13" t="s">
        <v>8467</v>
      </c>
      <c r="E5848" s="10" t="s">
        <v>7419</v>
      </c>
      <c r="F5848" s="10" t="s">
        <v>7413</v>
      </c>
      <c r="G5848" s="11" t="s">
        <v>7414</v>
      </c>
      <c r="H5848" s="2" t="s">
        <v>1059</v>
      </c>
      <c r="L5848" s="18">
        <v>0</v>
      </c>
      <c r="Q5848" s="18">
        <v>0</v>
      </c>
      <c r="V5848" s="22">
        <f>3.47/5</f>
        <v>0.69400000000000006</v>
      </c>
      <c r="X5848" s="3">
        <v>3</v>
      </c>
      <c r="Z5848" s="23">
        <v>4.5</v>
      </c>
      <c r="AB5848" s="18">
        <f t="shared" si="182"/>
        <v>2007</v>
      </c>
      <c r="AC5848" s="22">
        <f t="shared" si="183"/>
        <v>0.64700000000000002</v>
      </c>
    </row>
    <row r="5849" spans="1:29" ht="25.5">
      <c r="A5849" s="8" t="s">
        <v>14724</v>
      </c>
      <c r="B5849" s="17" t="s">
        <v>7758</v>
      </c>
      <c r="C5849" s="13">
        <v>39262</v>
      </c>
      <c r="D5849" s="13" t="s">
        <v>8467</v>
      </c>
      <c r="E5849" s="10" t="s">
        <v>7419</v>
      </c>
      <c r="F5849" s="10" t="s">
        <v>14725</v>
      </c>
      <c r="G5849" s="11" t="s">
        <v>665</v>
      </c>
      <c r="H5849" s="2" t="s">
        <v>75</v>
      </c>
      <c r="L5849" s="18">
        <v>0</v>
      </c>
      <c r="Q5849" s="18">
        <v>0</v>
      </c>
      <c r="V5849" s="22">
        <f>3.13/5</f>
        <v>0.626</v>
      </c>
      <c r="X5849" s="3">
        <v>3</v>
      </c>
      <c r="AB5849" s="18">
        <f t="shared" si="182"/>
        <v>2007</v>
      </c>
      <c r="AC5849" s="22">
        <f t="shared" si="183"/>
        <v>0.61299999999999999</v>
      </c>
    </row>
    <row r="5850" spans="1:29">
      <c r="A5850" s="8" t="s">
        <v>12628</v>
      </c>
      <c r="B5850" s="17" t="s">
        <v>7800</v>
      </c>
      <c r="C5850" s="13">
        <v>39262</v>
      </c>
      <c r="D5850" s="13" t="s">
        <v>8465</v>
      </c>
      <c r="E5850" s="10" t="s">
        <v>12637</v>
      </c>
      <c r="F5850" s="10" t="s">
        <v>12637</v>
      </c>
      <c r="H5850" s="2" t="s">
        <v>67</v>
      </c>
      <c r="L5850" s="18">
        <v>1</v>
      </c>
      <c r="P5850" s="18" t="s">
        <v>1107</v>
      </c>
      <c r="Q5850" s="18">
        <v>0</v>
      </c>
      <c r="U5850" s="22">
        <v>0.61</v>
      </c>
      <c r="V5850" s="22">
        <f>1.75/5</f>
        <v>0.35</v>
      </c>
      <c r="W5850" s="14" t="s">
        <v>7777</v>
      </c>
      <c r="X5850" s="3">
        <v>2</v>
      </c>
      <c r="Z5850" s="23">
        <v>2</v>
      </c>
      <c r="AB5850" s="18">
        <f t="shared" si="182"/>
        <v>2007</v>
      </c>
      <c r="AC5850" s="22">
        <f t="shared" si="183"/>
        <v>0.45333333333333331</v>
      </c>
    </row>
    <row r="5851" spans="1:29" ht="25.5">
      <c r="A5851" s="8" t="s">
        <v>10532</v>
      </c>
      <c r="B5851" s="17" t="s">
        <v>7758</v>
      </c>
      <c r="C5851" s="13">
        <v>39261</v>
      </c>
      <c r="D5851" s="13" t="s">
        <v>8463</v>
      </c>
      <c r="E5851" s="10" t="s">
        <v>470</v>
      </c>
      <c r="F5851" s="10" t="s">
        <v>10531</v>
      </c>
      <c r="G5851" s="11" t="s">
        <v>299</v>
      </c>
      <c r="H5851" s="2" t="s">
        <v>75</v>
      </c>
      <c r="K5851" s="18">
        <v>2</v>
      </c>
      <c r="L5851" s="18">
        <v>0</v>
      </c>
      <c r="Q5851" s="18">
        <v>0</v>
      </c>
      <c r="V5851" s="22">
        <f>4.26/5</f>
        <v>0.85199999999999998</v>
      </c>
      <c r="X5851" s="3">
        <v>3</v>
      </c>
      <c r="AB5851" s="18">
        <f t="shared" si="182"/>
        <v>2007</v>
      </c>
      <c r="AC5851" s="22">
        <f t="shared" si="183"/>
        <v>0.72599999999999998</v>
      </c>
    </row>
    <row r="5852" spans="1:29" ht="38.25">
      <c r="A5852" s="8" t="s">
        <v>12319</v>
      </c>
      <c r="B5852" s="17" t="s">
        <v>7758</v>
      </c>
      <c r="C5852" s="13">
        <v>39261</v>
      </c>
      <c r="D5852" s="13" t="s">
        <v>8463</v>
      </c>
      <c r="E5852" s="10" t="s">
        <v>12320</v>
      </c>
      <c r="F5852" s="10" t="s">
        <v>8894</v>
      </c>
      <c r="G5852" s="11" t="s">
        <v>6586</v>
      </c>
      <c r="H5852" s="2" t="s">
        <v>459</v>
      </c>
      <c r="K5852" s="18">
        <v>0</v>
      </c>
      <c r="L5852" s="18">
        <v>0</v>
      </c>
      <c r="Q5852" s="18">
        <v>0</v>
      </c>
      <c r="V5852" s="22">
        <f>3.69/5</f>
        <v>0.73799999999999999</v>
      </c>
      <c r="X5852" s="3">
        <v>2</v>
      </c>
      <c r="Z5852" s="23">
        <f>50/60</f>
        <v>0.83333333333333337</v>
      </c>
      <c r="AB5852" s="18">
        <f t="shared" si="182"/>
        <v>2007</v>
      </c>
      <c r="AC5852" s="22">
        <f t="shared" si="183"/>
        <v>0.56899999999999995</v>
      </c>
    </row>
    <row r="5853" spans="1:29">
      <c r="A5853" s="8" t="s">
        <v>5813</v>
      </c>
      <c r="B5853" s="17" t="s">
        <v>7758</v>
      </c>
      <c r="C5853" s="13">
        <v>39259</v>
      </c>
      <c r="D5853" s="13" t="s">
        <v>8465</v>
      </c>
      <c r="E5853" s="10" t="s">
        <v>1062</v>
      </c>
      <c r="F5853" s="10" t="s">
        <v>1553</v>
      </c>
      <c r="G5853" s="11" t="s">
        <v>5813</v>
      </c>
      <c r="H5853" s="2" t="s">
        <v>1143</v>
      </c>
      <c r="L5853" s="18">
        <v>0</v>
      </c>
      <c r="Q5853" s="18">
        <v>0</v>
      </c>
      <c r="U5853" s="22">
        <v>0.78</v>
      </c>
      <c r="V5853" s="22">
        <f>3.84/5</f>
        <v>0.76800000000000002</v>
      </c>
      <c r="X5853" s="3">
        <v>4</v>
      </c>
      <c r="Z5853" s="23">
        <v>15</v>
      </c>
      <c r="AB5853" s="18">
        <f t="shared" si="182"/>
        <v>2007</v>
      </c>
      <c r="AC5853" s="22">
        <f t="shared" si="183"/>
        <v>0.78266666666666662</v>
      </c>
    </row>
    <row r="5854" spans="1:29" ht="25.5">
      <c r="A5854" s="8" t="s">
        <v>7437</v>
      </c>
      <c r="B5854" s="17" t="s">
        <v>7759</v>
      </c>
      <c r="C5854" s="13">
        <v>39259</v>
      </c>
      <c r="D5854" s="13" t="s">
        <v>8465</v>
      </c>
      <c r="E5854" s="10" t="s">
        <v>1047</v>
      </c>
      <c r="F5854" s="10" t="s">
        <v>1048</v>
      </c>
      <c r="G5854" s="11" t="s">
        <v>6608</v>
      </c>
      <c r="H5854" s="2" t="s">
        <v>1168</v>
      </c>
      <c r="L5854" s="18">
        <v>0</v>
      </c>
      <c r="Q5854" s="18">
        <v>0</v>
      </c>
      <c r="U5854" s="22">
        <v>0.85</v>
      </c>
      <c r="V5854" s="22">
        <f>3.63/5</f>
        <v>0.72599999999999998</v>
      </c>
      <c r="X5854" s="3">
        <v>3</v>
      </c>
      <c r="Y5854" s="18">
        <v>1</v>
      </c>
      <c r="Z5854" s="23">
        <v>8.5</v>
      </c>
      <c r="AB5854" s="18">
        <f t="shared" si="182"/>
        <v>2007</v>
      </c>
      <c r="AC5854" s="22">
        <f t="shared" si="183"/>
        <v>0.72533333333333339</v>
      </c>
    </row>
    <row r="5855" spans="1:29">
      <c r="A5855" s="8" t="s">
        <v>4630</v>
      </c>
      <c r="B5855" s="17" t="s">
        <v>7800</v>
      </c>
      <c r="C5855" s="13">
        <v>39259</v>
      </c>
      <c r="D5855" s="13" t="s">
        <v>8465</v>
      </c>
      <c r="E5855" s="10" t="s">
        <v>1513</v>
      </c>
      <c r="F5855" s="10" t="s">
        <v>3121</v>
      </c>
      <c r="G5855" s="11" t="s">
        <v>4630</v>
      </c>
      <c r="H5855" s="2" t="s">
        <v>171</v>
      </c>
      <c r="L5855" s="18">
        <v>1</v>
      </c>
      <c r="N5855" s="13">
        <v>41632</v>
      </c>
      <c r="P5855" s="18" t="s">
        <v>1107</v>
      </c>
      <c r="Q5855" s="18">
        <v>0</v>
      </c>
      <c r="U5855" s="22">
        <v>0.81</v>
      </c>
      <c r="V5855" s="22">
        <f>3.69/5</f>
        <v>0.73799999999999999</v>
      </c>
      <c r="W5855" s="14" t="s">
        <v>7777</v>
      </c>
      <c r="X5855" s="3">
        <v>3</v>
      </c>
      <c r="Z5855" s="23">
        <v>18</v>
      </c>
      <c r="AB5855" s="18">
        <f t="shared" si="182"/>
        <v>2007</v>
      </c>
      <c r="AC5855" s="22">
        <f t="shared" si="183"/>
        <v>0.71600000000000008</v>
      </c>
    </row>
    <row r="5856" spans="1:29">
      <c r="A5856" s="8" t="s">
        <v>2152</v>
      </c>
      <c r="B5856" s="17" t="s">
        <v>7748</v>
      </c>
      <c r="C5856" s="13">
        <v>39259</v>
      </c>
      <c r="D5856" s="13" t="s">
        <v>8465</v>
      </c>
      <c r="E5856" s="10" t="s">
        <v>1870</v>
      </c>
      <c r="F5856" s="10" t="s">
        <v>2293</v>
      </c>
      <c r="H5856" s="2" t="s">
        <v>78</v>
      </c>
      <c r="L5856" s="18">
        <v>0</v>
      </c>
      <c r="Q5856" s="18">
        <v>0</v>
      </c>
      <c r="U5856" s="22">
        <v>0.73</v>
      </c>
      <c r="V5856" s="22">
        <f>3.72/5</f>
        <v>0.74399999999999999</v>
      </c>
      <c r="X5856" s="3">
        <v>3</v>
      </c>
      <c r="Z5856" s="23">
        <v>8</v>
      </c>
      <c r="AB5856" s="18">
        <f t="shared" si="182"/>
        <v>2007</v>
      </c>
      <c r="AC5856" s="22">
        <f t="shared" si="183"/>
        <v>0.69133333333333324</v>
      </c>
    </row>
    <row r="5857" spans="1:29" ht="30">
      <c r="A5857" s="8" t="s">
        <v>126</v>
      </c>
      <c r="B5857" s="17" t="s">
        <v>7762</v>
      </c>
      <c r="C5857" s="13">
        <v>39259</v>
      </c>
      <c r="D5857" s="13" t="s">
        <v>8465</v>
      </c>
      <c r="E5857" s="10" t="s">
        <v>1082</v>
      </c>
      <c r="F5857" s="10" t="s">
        <v>58</v>
      </c>
      <c r="G5857" s="11" t="s">
        <v>126</v>
      </c>
      <c r="H5857" s="2" t="s">
        <v>149</v>
      </c>
      <c r="L5857" s="18">
        <v>1</v>
      </c>
      <c r="M5857" s="14" t="s">
        <v>8462</v>
      </c>
      <c r="N5857" s="13">
        <v>44592</v>
      </c>
      <c r="O5857" s="29">
        <v>30.34</v>
      </c>
      <c r="P5857" s="18" t="s">
        <v>14</v>
      </c>
      <c r="Q5857" s="18">
        <v>0</v>
      </c>
      <c r="U5857" s="22">
        <v>0.68</v>
      </c>
      <c r="V5857" s="22">
        <f>3.9/5</f>
        <v>0.78</v>
      </c>
      <c r="X5857" s="3">
        <v>3</v>
      </c>
      <c r="Z5857" s="23">
        <v>16.7</v>
      </c>
      <c r="AB5857" s="18">
        <f t="shared" si="182"/>
        <v>2007</v>
      </c>
      <c r="AC5857" s="22">
        <f t="shared" si="183"/>
        <v>0.68666666666666665</v>
      </c>
    </row>
    <row r="5858" spans="1:29" ht="25.5">
      <c r="A5858" s="8" t="s">
        <v>4350</v>
      </c>
      <c r="B5858" s="17" t="s">
        <v>7800</v>
      </c>
      <c r="C5858" s="13">
        <v>39259</v>
      </c>
      <c r="D5858" s="13" t="s">
        <v>8465</v>
      </c>
      <c r="E5858" s="10" t="s">
        <v>73</v>
      </c>
      <c r="F5858" s="10" t="s">
        <v>73</v>
      </c>
      <c r="G5858" s="11" t="s">
        <v>4348</v>
      </c>
      <c r="H5858" s="2" t="s">
        <v>1168</v>
      </c>
      <c r="L5858" s="18">
        <v>1</v>
      </c>
      <c r="N5858" s="13">
        <v>41974</v>
      </c>
      <c r="O5858" s="29">
        <v>2.99</v>
      </c>
      <c r="P5858" s="18" t="s">
        <v>1107</v>
      </c>
      <c r="Q5858" s="18">
        <v>0</v>
      </c>
      <c r="U5858" s="22">
        <v>0.67</v>
      </c>
      <c r="V5858" s="22">
        <f>3.4/5</f>
        <v>0.67999999999999994</v>
      </c>
      <c r="W5858" s="14" t="s">
        <v>7777</v>
      </c>
      <c r="X5858" s="3">
        <v>3</v>
      </c>
      <c r="Z5858" s="23">
        <v>8</v>
      </c>
      <c r="AB5858" s="18">
        <f t="shared" si="182"/>
        <v>2007</v>
      </c>
      <c r="AC5858" s="22">
        <f t="shared" si="183"/>
        <v>0.65</v>
      </c>
    </row>
    <row r="5859" spans="1:29" ht="25.5">
      <c r="A5859" s="8" t="s">
        <v>1017</v>
      </c>
      <c r="B5859" s="17" t="s">
        <v>7741</v>
      </c>
      <c r="C5859" s="13">
        <v>39258</v>
      </c>
      <c r="D5859" s="13" t="s">
        <v>8465</v>
      </c>
      <c r="E5859" s="10" t="s">
        <v>86</v>
      </c>
      <c r="F5859" s="10" t="s">
        <v>1490</v>
      </c>
      <c r="G5859" s="11" t="s">
        <v>1470</v>
      </c>
      <c r="H5859" s="2" t="s">
        <v>149</v>
      </c>
      <c r="L5859" s="18">
        <v>0</v>
      </c>
      <c r="Q5859" s="18">
        <v>0</v>
      </c>
      <c r="U5859" s="22">
        <v>0.53</v>
      </c>
      <c r="V5859" s="22">
        <f>3.37/5</f>
        <v>0.67400000000000004</v>
      </c>
      <c r="X5859" s="3">
        <v>3</v>
      </c>
      <c r="Z5859" s="23">
        <v>12.5</v>
      </c>
      <c r="AB5859" s="18">
        <f t="shared" si="182"/>
        <v>2007</v>
      </c>
      <c r="AC5859" s="22">
        <f t="shared" si="183"/>
        <v>0.60133333333333339</v>
      </c>
    </row>
    <row r="5860" spans="1:29" ht="25.5">
      <c r="A5860" s="8" t="s">
        <v>13453</v>
      </c>
      <c r="B5860" s="17" t="s">
        <v>7759</v>
      </c>
      <c r="C5860" s="13">
        <v>39258</v>
      </c>
      <c r="D5860" s="13" t="s">
        <v>8465</v>
      </c>
      <c r="E5860" s="10" t="s">
        <v>5010</v>
      </c>
      <c r="F5860" s="10" t="s">
        <v>5010</v>
      </c>
      <c r="G5860" s="11" t="s">
        <v>13449</v>
      </c>
      <c r="H5860" s="2" t="s">
        <v>80</v>
      </c>
      <c r="L5860" s="18">
        <v>0</v>
      </c>
      <c r="Q5860" s="18">
        <v>0</v>
      </c>
      <c r="U5860" s="22">
        <v>0.67</v>
      </c>
      <c r="V5860" s="22">
        <f>3.4/5</f>
        <v>0.67999999999999994</v>
      </c>
      <c r="X5860" s="3">
        <v>2</v>
      </c>
      <c r="Y5860" s="18">
        <v>1</v>
      </c>
      <c r="Z5860" s="23">
        <v>9.5</v>
      </c>
      <c r="AB5860" s="18">
        <f t="shared" si="182"/>
        <v>2007</v>
      </c>
      <c r="AC5860" s="22">
        <f t="shared" si="183"/>
        <v>0.58333333333333337</v>
      </c>
    </row>
    <row r="5861" spans="1:29" ht="25.5">
      <c r="A5861" s="8" t="s">
        <v>7805</v>
      </c>
      <c r="B5861" s="17" t="s">
        <v>7748</v>
      </c>
      <c r="C5861" s="13">
        <v>39258</v>
      </c>
      <c r="D5861" s="13" t="s">
        <v>8465</v>
      </c>
      <c r="E5861" s="10" t="s">
        <v>1519</v>
      </c>
      <c r="F5861" s="10" t="s">
        <v>7806</v>
      </c>
      <c r="G5861" s="11" t="s">
        <v>7804</v>
      </c>
      <c r="H5861" s="2" t="s">
        <v>75</v>
      </c>
      <c r="L5861" s="18">
        <v>0</v>
      </c>
      <c r="Q5861" s="18">
        <v>0</v>
      </c>
      <c r="U5861" s="22">
        <v>0.56710000000000005</v>
      </c>
      <c r="V5861" s="22">
        <f>3.43/5</f>
        <v>0.68600000000000005</v>
      </c>
      <c r="X5861" s="3">
        <v>2</v>
      </c>
      <c r="Z5861" s="23">
        <v>30</v>
      </c>
      <c r="AB5861" s="18">
        <f t="shared" si="182"/>
        <v>2007</v>
      </c>
      <c r="AC5861" s="22">
        <f t="shared" si="183"/>
        <v>0.55103333333333337</v>
      </c>
    </row>
    <row r="5862" spans="1:29">
      <c r="A5862" s="8" t="s">
        <v>5293</v>
      </c>
      <c r="B5862" s="17" t="s">
        <v>7759</v>
      </c>
      <c r="C5862" s="13">
        <v>39258</v>
      </c>
      <c r="D5862" s="13" t="s">
        <v>8465</v>
      </c>
      <c r="E5862" s="10" t="s">
        <v>3310</v>
      </c>
      <c r="F5862" s="10" t="s">
        <v>3381</v>
      </c>
      <c r="G5862" s="11" t="s">
        <v>5293</v>
      </c>
      <c r="H5862" s="2" t="s">
        <v>1050</v>
      </c>
      <c r="L5862" s="18">
        <v>1</v>
      </c>
      <c r="M5862" s="14" t="s">
        <v>8462</v>
      </c>
      <c r="N5862" s="13">
        <v>43342</v>
      </c>
      <c r="O5862" s="29">
        <v>5</v>
      </c>
      <c r="P5862" s="18" t="s">
        <v>14</v>
      </c>
      <c r="Q5862" s="18">
        <v>0</v>
      </c>
      <c r="U5862" s="22">
        <v>0.8</v>
      </c>
      <c r="V5862" s="22">
        <f>3.72/5</f>
        <v>0.74399999999999999</v>
      </c>
      <c r="X5862" s="3">
        <v>3</v>
      </c>
      <c r="Z5862" s="23">
        <v>9.5</v>
      </c>
      <c r="AB5862" s="18">
        <f t="shared" si="182"/>
        <v>2007</v>
      </c>
      <c r="AC5862" s="22">
        <f t="shared" si="183"/>
        <v>0.71466666666666667</v>
      </c>
    </row>
    <row r="5863" spans="1:29" ht="25.5">
      <c r="A5863" s="8" t="s">
        <v>15492</v>
      </c>
      <c r="B5863" s="17" t="s">
        <v>7758</v>
      </c>
      <c r="C5863" s="13">
        <v>39254</v>
      </c>
      <c r="D5863" s="13" t="s">
        <v>8463</v>
      </c>
      <c r="E5863" s="10" t="s">
        <v>228</v>
      </c>
      <c r="F5863" s="10" t="s">
        <v>2660</v>
      </c>
      <c r="G5863" s="11" t="s">
        <v>5868</v>
      </c>
      <c r="H5863" s="2" t="s">
        <v>75</v>
      </c>
      <c r="K5863" s="18">
        <v>1</v>
      </c>
      <c r="L5863" s="18">
        <v>0</v>
      </c>
      <c r="Q5863" s="18">
        <v>0</v>
      </c>
      <c r="V5863" s="22">
        <f>3.83/5</f>
        <v>0.76600000000000001</v>
      </c>
      <c r="X5863" s="3">
        <v>2</v>
      </c>
      <c r="AB5863" s="18">
        <f t="shared" si="182"/>
        <v>2007</v>
      </c>
      <c r="AC5863" s="22">
        <f t="shared" si="183"/>
        <v>0.58299999999999996</v>
      </c>
    </row>
    <row r="5864" spans="1:29">
      <c r="A5864" s="8" t="s">
        <v>11540</v>
      </c>
      <c r="B5864" s="17" t="s">
        <v>7748</v>
      </c>
      <c r="C5864" s="13">
        <v>39254</v>
      </c>
      <c r="D5864" s="13" t="s">
        <v>8465</v>
      </c>
      <c r="E5864" s="10" t="s">
        <v>1047</v>
      </c>
      <c r="F5864" s="10" t="s">
        <v>7461</v>
      </c>
      <c r="G5864" s="11" t="s">
        <v>3379</v>
      </c>
      <c r="H5864" s="2" t="s">
        <v>1168</v>
      </c>
      <c r="L5864" s="18">
        <v>0</v>
      </c>
      <c r="Q5864" s="18">
        <v>0</v>
      </c>
      <c r="U5864" s="22">
        <v>0.72</v>
      </c>
      <c r="V5864" s="22">
        <f>3.37/5</f>
        <v>0.67400000000000004</v>
      </c>
      <c r="X5864" s="3">
        <v>2</v>
      </c>
      <c r="Z5864" s="23">
        <v>4.5</v>
      </c>
      <c r="AB5864" s="18">
        <f t="shared" si="182"/>
        <v>2007</v>
      </c>
      <c r="AC5864" s="22">
        <f t="shared" si="183"/>
        <v>0.59799999999999998</v>
      </c>
    </row>
    <row r="5865" spans="1:29" ht="30">
      <c r="A5865" s="8" t="s">
        <v>1043</v>
      </c>
      <c r="B5865" s="17" t="s">
        <v>7741</v>
      </c>
      <c r="C5865" s="13">
        <v>39252</v>
      </c>
      <c r="D5865" s="13" t="s">
        <v>8465</v>
      </c>
      <c r="E5865" s="10" t="s">
        <v>73</v>
      </c>
      <c r="F5865" s="10" t="s">
        <v>1060</v>
      </c>
      <c r="G5865" s="11" t="s">
        <v>943</v>
      </c>
      <c r="H5865" s="2" t="s">
        <v>1061</v>
      </c>
      <c r="L5865" s="18">
        <v>1</v>
      </c>
      <c r="M5865" s="14" t="s">
        <v>10622</v>
      </c>
      <c r="N5865" s="13">
        <v>43569</v>
      </c>
      <c r="P5865" s="18" t="s">
        <v>14</v>
      </c>
      <c r="Q5865" s="18">
        <v>0</v>
      </c>
      <c r="U5865" s="22">
        <v>0.92</v>
      </c>
      <c r="V5865" s="22">
        <f>4.46/5</f>
        <v>0.89200000000000002</v>
      </c>
      <c r="X5865" s="3">
        <v>4</v>
      </c>
      <c r="Z5865" s="23">
        <v>16</v>
      </c>
      <c r="AB5865" s="18">
        <f t="shared" si="182"/>
        <v>2007</v>
      </c>
      <c r="AC5865" s="22">
        <f t="shared" si="183"/>
        <v>0.8706666666666667</v>
      </c>
    </row>
    <row r="5866" spans="1:29" ht="30">
      <c r="A5866" s="8" t="s">
        <v>11562</v>
      </c>
      <c r="B5866" s="17" t="s">
        <v>7762</v>
      </c>
      <c r="C5866" s="13">
        <v>39252</v>
      </c>
      <c r="D5866" s="13" t="s">
        <v>8465</v>
      </c>
      <c r="E5866" s="10" t="s">
        <v>1534</v>
      </c>
      <c r="F5866" s="10" t="s">
        <v>8822</v>
      </c>
      <c r="H5866" s="2" t="s">
        <v>1377</v>
      </c>
      <c r="L5866" s="18">
        <v>0</v>
      </c>
      <c r="Q5866" s="18">
        <v>0</v>
      </c>
      <c r="U5866" s="22">
        <v>0.7</v>
      </c>
      <c r="V5866" s="22">
        <f>3.54/5</f>
        <v>0.70799999999999996</v>
      </c>
      <c r="X5866" s="3">
        <v>2</v>
      </c>
      <c r="Z5866" s="23">
        <v>120</v>
      </c>
      <c r="AB5866" s="18">
        <f t="shared" si="182"/>
        <v>2007</v>
      </c>
      <c r="AC5866" s="22">
        <f t="shared" si="183"/>
        <v>0.60266666666666657</v>
      </c>
    </row>
    <row r="5867" spans="1:29">
      <c r="A5867" s="8" t="s">
        <v>6084</v>
      </c>
      <c r="B5867" s="17" t="s">
        <v>7758</v>
      </c>
      <c r="C5867" s="13">
        <v>39245</v>
      </c>
      <c r="D5867" s="13" t="s">
        <v>8465</v>
      </c>
      <c r="E5867" s="10" t="s">
        <v>3017</v>
      </c>
      <c r="F5867" s="10" t="s">
        <v>144</v>
      </c>
      <c r="G5867" s="11" t="s">
        <v>5803</v>
      </c>
      <c r="H5867" s="2" t="s">
        <v>80</v>
      </c>
      <c r="L5867" s="18">
        <v>0</v>
      </c>
      <c r="Q5867" s="18">
        <v>0</v>
      </c>
      <c r="U5867" s="22">
        <v>0.61</v>
      </c>
      <c r="V5867" s="22">
        <f>3.96/5</f>
        <v>0.79200000000000004</v>
      </c>
      <c r="X5867" s="3">
        <v>2</v>
      </c>
      <c r="Z5867" s="23">
        <v>10</v>
      </c>
      <c r="AB5867" s="18">
        <f t="shared" si="182"/>
        <v>2007</v>
      </c>
      <c r="AC5867" s="22">
        <f t="shared" si="183"/>
        <v>0.60066666666666668</v>
      </c>
    </row>
    <row r="5868" spans="1:29">
      <c r="A5868" s="8" t="s">
        <v>7434</v>
      </c>
      <c r="B5868" s="17" t="s">
        <v>7765</v>
      </c>
      <c r="C5868" s="13">
        <v>39245</v>
      </c>
      <c r="D5868" s="13" t="s">
        <v>8465</v>
      </c>
      <c r="E5868" s="10" t="s">
        <v>3740</v>
      </c>
      <c r="F5868" s="10" t="s">
        <v>1246</v>
      </c>
      <c r="G5868" s="11" t="s">
        <v>3030</v>
      </c>
      <c r="H5868" s="2" t="s">
        <v>80</v>
      </c>
      <c r="L5868" s="18">
        <v>0</v>
      </c>
      <c r="Q5868" s="18">
        <v>0</v>
      </c>
      <c r="U5868" s="22">
        <v>0.56999999999999995</v>
      </c>
      <c r="V5868" s="22">
        <f>3.66/5</f>
        <v>0.73199999999999998</v>
      </c>
      <c r="X5868" s="3">
        <v>2</v>
      </c>
      <c r="Y5868" s="18">
        <v>1</v>
      </c>
      <c r="Z5868" s="23">
        <v>12</v>
      </c>
      <c r="AB5868" s="18">
        <f t="shared" si="182"/>
        <v>2007</v>
      </c>
      <c r="AC5868" s="22">
        <f t="shared" si="183"/>
        <v>0.56733333333333336</v>
      </c>
    </row>
    <row r="5869" spans="1:29">
      <c r="A5869" s="8" t="s">
        <v>9211</v>
      </c>
      <c r="B5869" s="17" t="s">
        <v>7748</v>
      </c>
      <c r="C5869" s="13">
        <v>39240</v>
      </c>
      <c r="D5869" s="13" t="s">
        <v>8463</v>
      </c>
      <c r="E5869" s="10" t="s">
        <v>73</v>
      </c>
      <c r="F5869" s="10" t="s">
        <v>1070</v>
      </c>
      <c r="H5869" s="2" t="s">
        <v>67</v>
      </c>
      <c r="K5869" s="18">
        <v>0</v>
      </c>
      <c r="L5869" s="18">
        <v>0</v>
      </c>
      <c r="Q5869" s="18">
        <v>0</v>
      </c>
      <c r="V5869" s="22">
        <f>3.94/5</f>
        <v>0.78800000000000003</v>
      </c>
      <c r="X5869" s="3">
        <v>3</v>
      </c>
      <c r="AB5869" s="18">
        <f t="shared" si="182"/>
        <v>2007</v>
      </c>
      <c r="AC5869" s="22">
        <f t="shared" si="183"/>
        <v>0.69399999999999995</v>
      </c>
    </row>
    <row r="5870" spans="1:29">
      <c r="A5870" s="8" t="s">
        <v>3404</v>
      </c>
      <c r="B5870" s="17" t="s">
        <v>7800</v>
      </c>
      <c r="C5870" s="13">
        <v>39239</v>
      </c>
      <c r="D5870" s="13" t="s">
        <v>8465</v>
      </c>
      <c r="E5870" s="10" t="s">
        <v>1047</v>
      </c>
      <c r="F5870" s="10" t="s">
        <v>3405</v>
      </c>
      <c r="G5870" s="11" t="s">
        <v>3404</v>
      </c>
      <c r="H5870" s="2" t="s">
        <v>1050</v>
      </c>
      <c r="L5870" s="18">
        <v>1</v>
      </c>
      <c r="N5870" s="13">
        <v>41584</v>
      </c>
      <c r="P5870" s="18" t="s">
        <v>1107</v>
      </c>
      <c r="Q5870" s="18">
        <v>0</v>
      </c>
      <c r="U5870" s="22">
        <v>0.75</v>
      </c>
      <c r="V5870" s="22">
        <f>3.48/5</f>
        <v>0.69599999999999995</v>
      </c>
      <c r="W5870" s="14" t="s">
        <v>7777</v>
      </c>
      <c r="X5870" s="3">
        <v>3</v>
      </c>
      <c r="Z5870" s="23">
        <v>8</v>
      </c>
      <c r="AB5870" s="18">
        <f t="shared" si="182"/>
        <v>2007</v>
      </c>
      <c r="AC5870" s="22">
        <f t="shared" si="183"/>
        <v>0.68199999999999994</v>
      </c>
    </row>
    <row r="5871" spans="1:29" ht="25.5">
      <c r="A5871" s="8" t="s">
        <v>5435</v>
      </c>
      <c r="B5871" s="17" t="s">
        <v>7800</v>
      </c>
      <c r="C5871" s="13">
        <v>39238</v>
      </c>
      <c r="D5871" s="13" t="s">
        <v>8465</v>
      </c>
      <c r="E5871" s="10" t="s">
        <v>1870</v>
      </c>
      <c r="F5871" s="10" t="s">
        <v>1198</v>
      </c>
      <c r="G5871" s="11" t="s">
        <v>1853</v>
      </c>
      <c r="H5871" s="2" t="s">
        <v>80</v>
      </c>
      <c r="L5871" s="18">
        <v>1</v>
      </c>
      <c r="N5871" s="13">
        <v>42113</v>
      </c>
      <c r="O5871" s="29">
        <v>1.64</v>
      </c>
      <c r="P5871" s="18" t="s">
        <v>1107</v>
      </c>
      <c r="Q5871" s="18">
        <v>0</v>
      </c>
      <c r="U5871" s="22">
        <v>0.84</v>
      </c>
      <c r="V5871" s="22">
        <f>3.8/5</f>
        <v>0.76</v>
      </c>
      <c r="W5871" s="14" t="s">
        <v>7777</v>
      </c>
      <c r="X5871" s="3">
        <v>4</v>
      </c>
      <c r="Z5871" s="23">
        <v>13</v>
      </c>
      <c r="AB5871" s="18">
        <f t="shared" si="182"/>
        <v>2007</v>
      </c>
      <c r="AC5871" s="22">
        <f t="shared" si="183"/>
        <v>0.80000000000000016</v>
      </c>
    </row>
    <row r="5872" spans="1:29">
      <c r="A5872" s="8" t="s">
        <v>2338</v>
      </c>
      <c r="B5872" s="17" t="s">
        <v>7748</v>
      </c>
      <c r="C5872" s="13">
        <v>39237</v>
      </c>
      <c r="D5872" s="13" t="s">
        <v>8465</v>
      </c>
      <c r="E5872" s="10" t="s">
        <v>86</v>
      </c>
      <c r="F5872" s="10" t="s">
        <v>2339</v>
      </c>
      <c r="H5872" s="2" t="s">
        <v>2340</v>
      </c>
      <c r="L5872" s="18">
        <v>1</v>
      </c>
      <c r="M5872" s="14" t="s">
        <v>8462</v>
      </c>
      <c r="N5872" s="13">
        <v>43369</v>
      </c>
      <c r="O5872" s="29">
        <v>6.24</v>
      </c>
      <c r="P5872" s="18" t="s">
        <v>14</v>
      </c>
      <c r="Q5872" s="18">
        <v>0</v>
      </c>
      <c r="V5872" s="22">
        <f>3.11/5</f>
        <v>0.622</v>
      </c>
      <c r="X5872" s="3">
        <v>1</v>
      </c>
      <c r="AB5872" s="18">
        <f t="shared" si="182"/>
        <v>2007</v>
      </c>
      <c r="AC5872" s="22">
        <f t="shared" si="183"/>
        <v>0.41100000000000003</v>
      </c>
    </row>
    <row r="5873" spans="1:29" ht="25.5">
      <c r="A5873" s="8" t="s">
        <v>5733</v>
      </c>
      <c r="B5873" s="17" t="s">
        <v>7758</v>
      </c>
      <c r="C5873" s="13">
        <v>39231</v>
      </c>
      <c r="D5873" s="13" t="s">
        <v>8465</v>
      </c>
      <c r="E5873" s="10" t="s">
        <v>1062</v>
      </c>
      <c r="F5873" s="10" t="s">
        <v>2286</v>
      </c>
      <c r="G5873" s="11" t="s">
        <v>1567</v>
      </c>
      <c r="H5873" s="2" t="s">
        <v>149</v>
      </c>
      <c r="L5873" s="18">
        <v>0</v>
      </c>
      <c r="Q5873" s="18">
        <v>0</v>
      </c>
      <c r="U5873" s="22">
        <v>0.65</v>
      </c>
      <c r="V5873" s="22">
        <f>3.77/5</f>
        <v>0.754</v>
      </c>
      <c r="X5873" s="3">
        <v>3</v>
      </c>
      <c r="Z5873" s="23">
        <v>32.5</v>
      </c>
      <c r="AB5873" s="18">
        <f t="shared" si="182"/>
        <v>2007</v>
      </c>
      <c r="AC5873" s="22">
        <f t="shared" si="183"/>
        <v>0.66800000000000004</v>
      </c>
    </row>
    <row r="5874" spans="1:29">
      <c r="A5874" s="8" t="s">
        <v>7388</v>
      </c>
      <c r="B5874" s="17" t="s">
        <v>7741</v>
      </c>
      <c r="C5874" s="13">
        <v>39231</v>
      </c>
      <c r="D5874" s="13" t="s">
        <v>8465</v>
      </c>
      <c r="E5874" s="10" t="s">
        <v>86</v>
      </c>
      <c r="F5874" s="10" t="s">
        <v>62</v>
      </c>
      <c r="G5874" s="11" t="s">
        <v>860</v>
      </c>
      <c r="H5874" s="2" t="s">
        <v>1142</v>
      </c>
      <c r="L5874" s="18">
        <v>0</v>
      </c>
      <c r="Q5874" s="18">
        <v>0</v>
      </c>
      <c r="U5874" s="22">
        <v>0.63</v>
      </c>
      <c r="V5874" s="22">
        <f>3.54/5</f>
        <v>0.70799999999999996</v>
      </c>
      <c r="X5874" s="3">
        <v>3</v>
      </c>
      <c r="Z5874" s="23">
        <v>4.5</v>
      </c>
      <c r="AB5874" s="18">
        <f t="shared" si="182"/>
        <v>2007</v>
      </c>
      <c r="AC5874" s="22">
        <f t="shared" si="183"/>
        <v>0.64600000000000002</v>
      </c>
    </row>
    <row r="5875" spans="1:29" ht="25.5">
      <c r="A5875" s="8" t="s">
        <v>11764</v>
      </c>
      <c r="B5875" s="17" t="s">
        <v>7765</v>
      </c>
      <c r="C5875" s="13">
        <v>39231</v>
      </c>
      <c r="D5875" s="13" t="s">
        <v>8465</v>
      </c>
      <c r="E5875" s="10" t="s">
        <v>1047</v>
      </c>
      <c r="F5875" s="10" t="s">
        <v>10991</v>
      </c>
      <c r="G5875" s="11" t="s">
        <v>11765</v>
      </c>
      <c r="H5875" s="2" t="s">
        <v>21</v>
      </c>
      <c r="L5875" s="18">
        <v>0</v>
      </c>
      <c r="Q5875" s="18">
        <v>0</v>
      </c>
      <c r="U5875" s="22">
        <v>0.6</v>
      </c>
      <c r="V5875" s="22">
        <f>3.46/5</f>
        <v>0.69199999999999995</v>
      </c>
      <c r="X5875" s="3">
        <v>3</v>
      </c>
      <c r="Y5875" s="18">
        <v>1</v>
      </c>
      <c r="Z5875" s="23">
        <f>55/60</f>
        <v>0.91666666666666663</v>
      </c>
      <c r="AB5875" s="18">
        <f t="shared" si="182"/>
        <v>2007</v>
      </c>
      <c r="AC5875" s="22">
        <f t="shared" si="183"/>
        <v>0.6306666666666666</v>
      </c>
    </row>
    <row r="5876" spans="1:29">
      <c r="A5876" s="8" t="s">
        <v>10648</v>
      </c>
      <c r="B5876" s="17" t="s">
        <v>7765</v>
      </c>
      <c r="C5876" s="13">
        <v>39231</v>
      </c>
      <c r="D5876" s="13" t="s">
        <v>8465</v>
      </c>
      <c r="E5876" s="10" t="s">
        <v>3740</v>
      </c>
      <c r="F5876" s="10" t="s">
        <v>10651</v>
      </c>
      <c r="G5876" s="11" t="s">
        <v>10642</v>
      </c>
      <c r="H5876" s="2" t="s">
        <v>150</v>
      </c>
      <c r="L5876" s="18">
        <v>0</v>
      </c>
      <c r="Q5876" s="18">
        <v>0</v>
      </c>
      <c r="U5876" s="22">
        <v>0.9</v>
      </c>
      <c r="V5876" s="22">
        <f>3.95/5</f>
        <v>0.79</v>
      </c>
      <c r="X5876" s="3">
        <v>2</v>
      </c>
      <c r="Y5876" s="18">
        <v>1</v>
      </c>
      <c r="Z5876" s="23">
        <v>51</v>
      </c>
      <c r="AB5876" s="18">
        <f t="shared" si="182"/>
        <v>2007</v>
      </c>
      <c r="AC5876" s="22">
        <f t="shared" si="183"/>
        <v>0.69666666666666666</v>
      </c>
    </row>
    <row r="5877" spans="1:29">
      <c r="A5877" s="8" t="s">
        <v>10942</v>
      </c>
      <c r="B5877" s="17" t="s">
        <v>7748</v>
      </c>
      <c r="C5877" s="13">
        <v>39231</v>
      </c>
      <c r="D5877" s="13" t="s">
        <v>8465</v>
      </c>
      <c r="E5877" s="10" t="s">
        <v>6500</v>
      </c>
      <c r="F5877" s="10" t="s">
        <v>6634</v>
      </c>
      <c r="G5877" s="11" t="s">
        <v>10942</v>
      </c>
      <c r="H5877" s="2" t="s">
        <v>61</v>
      </c>
      <c r="L5877" s="18">
        <v>0</v>
      </c>
      <c r="Q5877" s="18">
        <v>0</v>
      </c>
      <c r="V5877" s="22">
        <f>3.56/5</f>
        <v>0.71199999999999997</v>
      </c>
      <c r="X5877" s="3">
        <v>2</v>
      </c>
      <c r="Z5877" s="23">
        <v>4</v>
      </c>
      <c r="AB5877" s="18">
        <f t="shared" si="182"/>
        <v>2007</v>
      </c>
      <c r="AC5877" s="22">
        <f t="shared" si="183"/>
        <v>0.55600000000000005</v>
      </c>
    </row>
    <row r="5878" spans="1:29">
      <c r="A5878" s="8" t="s">
        <v>8122</v>
      </c>
      <c r="B5878" s="17" t="s">
        <v>7758</v>
      </c>
      <c r="C5878" s="13">
        <v>39226</v>
      </c>
      <c r="D5878" s="13" t="s">
        <v>8465</v>
      </c>
      <c r="E5878" s="10" t="s">
        <v>1082</v>
      </c>
      <c r="F5878" s="10" t="s">
        <v>1082</v>
      </c>
      <c r="G5878" s="11" t="s">
        <v>1253</v>
      </c>
      <c r="H5878" s="2" t="s">
        <v>80</v>
      </c>
      <c r="L5878" s="18">
        <v>0</v>
      </c>
      <c r="Q5878" s="18">
        <v>0</v>
      </c>
      <c r="U5878" s="22">
        <v>0.57399999999999995</v>
      </c>
      <c r="V5878" s="22">
        <f>3.14/5</f>
        <v>0.628</v>
      </c>
      <c r="X5878" s="3">
        <v>3</v>
      </c>
      <c r="Z5878" s="23">
        <v>12</v>
      </c>
      <c r="AB5878" s="18">
        <f t="shared" si="182"/>
        <v>2007</v>
      </c>
      <c r="AC5878" s="22">
        <f t="shared" si="183"/>
        <v>0.60066666666666668</v>
      </c>
    </row>
    <row r="5879" spans="1:29">
      <c r="A5879" s="8" t="s">
        <v>5824</v>
      </c>
      <c r="B5879" s="17" t="s">
        <v>7758</v>
      </c>
      <c r="C5879" s="13">
        <v>39224</v>
      </c>
      <c r="D5879" s="13" t="s">
        <v>8465</v>
      </c>
      <c r="E5879" s="10" t="s">
        <v>228</v>
      </c>
      <c r="F5879" s="10" t="s">
        <v>1553</v>
      </c>
      <c r="G5879" s="11" t="s">
        <v>5824</v>
      </c>
      <c r="H5879" s="2" t="s">
        <v>171</v>
      </c>
      <c r="L5879" s="18">
        <v>0</v>
      </c>
      <c r="Q5879" s="18">
        <v>0</v>
      </c>
      <c r="U5879" s="22">
        <v>0.82</v>
      </c>
      <c r="V5879" s="22">
        <f>4.04/5</f>
        <v>0.80800000000000005</v>
      </c>
      <c r="X5879" s="3">
        <v>4</v>
      </c>
      <c r="Z5879" s="23">
        <v>39.5</v>
      </c>
      <c r="AB5879" s="18">
        <f t="shared" si="182"/>
        <v>2007</v>
      </c>
      <c r="AC5879" s="22">
        <f t="shared" si="183"/>
        <v>0.80933333333333335</v>
      </c>
    </row>
    <row r="5880" spans="1:29" ht="30">
      <c r="A5880" s="8" t="s">
        <v>13284</v>
      </c>
      <c r="B5880" s="17" t="s">
        <v>7748</v>
      </c>
      <c r="C5880" s="13">
        <v>39224</v>
      </c>
      <c r="D5880" s="13" t="s">
        <v>8465</v>
      </c>
      <c r="E5880" s="10" t="s">
        <v>72</v>
      </c>
      <c r="F5880" s="10" t="s">
        <v>1970</v>
      </c>
      <c r="G5880" s="11" t="s">
        <v>10457</v>
      </c>
      <c r="H5880" s="2" t="s">
        <v>1040</v>
      </c>
      <c r="L5880" s="18">
        <v>0</v>
      </c>
      <c r="Q5880" s="18">
        <v>0</v>
      </c>
      <c r="U5880" s="22">
        <v>0.47</v>
      </c>
      <c r="V5880" s="22">
        <f>3.13/5</f>
        <v>0.626</v>
      </c>
      <c r="X5880" s="3">
        <v>2</v>
      </c>
      <c r="AB5880" s="18">
        <f t="shared" si="182"/>
        <v>2007</v>
      </c>
      <c r="AC5880" s="22">
        <f t="shared" si="183"/>
        <v>0.49866666666666665</v>
      </c>
    </row>
    <row r="5881" spans="1:29" ht="25.5">
      <c r="A5881" s="8" t="s">
        <v>4525</v>
      </c>
      <c r="B5881" s="17" t="s">
        <v>7800</v>
      </c>
      <c r="C5881" s="13">
        <v>39223</v>
      </c>
      <c r="D5881" s="13" t="s">
        <v>8465</v>
      </c>
      <c r="E5881" s="10" t="s">
        <v>3234</v>
      </c>
      <c r="F5881" s="10" t="s">
        <v>3234</v>
      </c>
      <c r="G5881" s="11" t="s">
        <v>4526</v>
      </c>
      <c r="H5881" s="2" t="s">
        <v>1720</v>
      </c>
      <c r="L5881" s="18">
        <v>1</v>
      </c>
      <c r="N5881" s="13">
        <v>41354</v>
      </c>
      <c r="P5881" s="18" t="s">
        <v>1107</v>
      </c>
      <c r="Q5881" s="18">
        <v>0</v>
      </c>
      <c r="U5881" s="22">
        <v>0.8</v>
      </c>
      <c r="V5881" s="22">
        <f>3.71/5</f>
        <v>0.74199999999999999</v>
      </c>
      <c r="W5881" s="14" t="s">
        <v>7777</v>
      </c>
      <c r="X5881" s="3">
        <v>2</v>
      </c>
      <c r="AB5881" s="18">
        <f t="shared" si="182"/>
        <v>2007</v>
      </c>
      <c r="AC5881" s="22">
        <f t="shared" si="183"/>
        <v>0.64733333333333343</v>
      </c>
    </row>
    <row r="5882" spans="1:29" ht="51">
      <c r="A5882" s="8" t="s">
        <v>2253</v>
      </c>
      <c r="B5882" s="17" t="s">
        <v>7748</v>
      </c>
      <c r="C5882" s="13">
        <v>39219</v>
      </c>
      <c r="D5882" s="13" t="s">
        <v>8463</v>
      </c>
      <c r="E5882" s="10" t="s">
        <v>86</v>
      </c>
      <c r="F5882" s="10" t="s">
        <v>2132</v>
      </c>
      <c r="G5882" s="11" t="s">
        <v>2257</v>
      </c>
      <c r="H5882" s="2" t="s">
        <v>1220</v>
      </c>
      <c r="K5882" s="18">
        <v>1</v>
      </c>
      <c r="L5882" s="18">
        <v>0</v>
      </c>
      <c r="Q5882" s="18">
        <v>0</v>
      </c>
      <c r="U5882" s="22">
        <v>0.9</v>
      </c>
      <c r="V5882" s="22">
        <f>4.24/5</f>
        <v>0.84800000000000009</v>
      </c>
      <c r="X5882" s="3">
        <v>4</v>
      </c>
      <c r="Z5882" s="23">
        <v>8</v>
      </c>
      <c r="AB5882" s="18">
        <f t="shared" si="182"/>
        <v>2007</v>
      </c>
      <c r="AC5882" s="22">
        <f t="shared" si="183"/>
        <v>0.84933333333333338</v>
      </c>
    </row>
    <row r="5883" spans="1:29">
      <c r="A5883" s="8" t="s">
        <v>8187</v>
      </c>
      <c r="B5883" s="17" t="s">
        <v>7758</v>
      </c>
      <c r="C5883" s="13">
        <v>39219</v>
      </c>
      <c r="D5883" s="13" t="s">
        <v>8463</v>
      </c>
      <c r="E5883" s="10" t="s">
        <v>455</v>
      </c>
      <c r="F5883" s="10" t="s">
        <v>1974</v>
      </c>
      <c r="G5883" s="11" t="s">
        <v>1661</v>
      </c>
      <c r="H5883" s="2" t="s">
        <v>171</v>
      </c>
      <c r="K5883" s="18">
        <v>1</v>
      </c>
      <c r="L5883" s="18">
        <v>0</v>
      </c>
      <c r="Q5883" s="18">
        <v>0</v>
      </c>
      <c r="V5883" s="22">
        <f>3.98/5</f>
        <v>0.79600000000000004</v>
      </c>
      <c r="X5883" s="3">
        <v>2</v>
      </c>
      <c r="AB5883" s="18">
        <f t="shared" si="182"/>
        <v>2007</v>
      </c>
      <c r="AC5883" s="22">
        <f t="shared" si="183"/>
        <v>0.59800000000000009</v>
      </c>
    </row>
    <row r="5884" spans="1:29">
      <c r="A5884" s="8" t="s">
        <v>2239</v>
      </c>
      <c r="B5884" s="17" t="s">
        <v>7748</v>
      </c>
      <c r="C5884" s="13">
        <v>39217</v>
      </c>
      <c r="D5884" s="13" t="s">
        <v>8465</v>
      </c>
      <c r="E5884" s="10" t="s">
        <v>228</v>
      </c>
      <c r="F5884" s="10" t="s">
        <v>228</v>
      </c>
      <c r="G5884" s="11" t="s">
        <v>2239</v>
      </c>
      <c r="H5884" s="2" t="s">
        <v>1377</v>
      </c>
      <c r="L5884" s="18">
        <v>0</v>
      </c>
      <c r="Q5884" s="18">
        <v>0</v>
      </c>
      <c r="U5884" s="22">
        <v>0.76</v>
      </c>
      <c r="V5884" s="22">
        <f>3.84/5</f>
        <v>0.76800000000000002</v>
      </c>
      <c r="X5884" s="3">
        <v>4</v>
      </c>
      <c r="Z5884" s="23">
        <v>50.5</v>
      </c>
      <c r="AB5884" s="18">
        <f t="shared" si="182"/>
        <v>2007</v>
      </c>
      <c r="AC5884" s="22">
        <f t="shared" si="183"/>
        <v>0.77600000000000013</v>
      </c>
    </row>
    <row r="5885" spans="1:29" ht="30">
      <c r="A5885" s="8" t="s">
        <v>8450</v>
      </c>
      <c r="B5885" s="17" t="s">
        <v>7762</v>
      </c>
      <c r="C5885" s="13">
        <v>39217</v>
      </c>
      <c r="D5885" s="13" t="s">
        <v>8465</v>
      </c>
      <c r="E5885" s="10" t="s">
        <v>66</v>
      </c>
      <c r="F5885" s="10" t="s">
        <v>1537</v>
      </c>
      <c r="G5885" s="11" t="s">
        <v>710</v>
      </c>
      <c r="H5885" s="2" t="s">
        <v>1334</v>
      </c>
      <c r="L5885" s="18">
        <v>0</v>
      </c>
      <c r="Q5885" s="18">
        <v>0</v>
      </c>
      <c r="U5885" s="22">
        <v>0.67</v>
      </c>
      <c r="V5885" s="22">
        <f>3.85/5</f>
        <v>0.77</v>
      </c>
      <c r="X5885" s="3">
        <v>3</v>
      </c>
      <c r="Z5885" s="23">
        <v>30</v>
      </c>
      <c r="AB5885" s="18">
        <f t="shared" si="182"/>
        <v>2007</v>
      </c>
      <c r="AC5885" s="22">
        <f t="shared" si="183"/>
        <v>0.68</v>
      </c>
    </row>
    <row r="5886" spans="1:29">
      <c r="A5886" s="8" t="s">
        <v>13286</v>
      </c>
      <c r="B5886" s="17" t="s">
        <v>7748</v>
      </c>
      <c r="C5886" s="13">
        <v>39211</v>
      </c>
      <c r="D5886" s="13" t="s">
        <v>8465</v>
      </c>
      <c r="E5886" s="10" t="s">
        <v>5869</v>
      </c>
      <c r="F5886" s="10" t="s">
        <v>11819</v>
      </c>
      <c r="G5886" s="11" t="s">
        <v>13285</v>
      </c>
      <c r="H5886" s="2" t="s">
        <v>143</v>
      </c>
      <c r="L5886" s="18">
        <v>0</v>
      </c>
      <c r="Q5886" s="18">
        <v>0</v>
      </c>
      <c r="U5886" s="22">
        <v>0.4</v>
      </c>
      <c r="V5886" s="22">
        <f>2.59/5</f>
        <v>0.51800000000000002</v>
      </c>
      <c r="X5886" s="3">
        <v>2</v>
      </c>
      <c r="Z5886" s="23">
        <v>3.5</v>
      </c>
      <c r="AB5886" s="18">
        <f t="shared" si="182"/>
        <v>2007</v>
      </c>
      <c r="AC5886" s="22">
        <f t="shared" si="183"/>
        <v>0.43933333333333335</v>
      </c>
    </row>
    <row r="5887" spans="1:29" ht="30">
      <c r="A5887" s="8" t="s">
        <v>11561</v>
      </c>
      <c r="B5887" s="17" t="s">
        <v>7762</v>
      </c>
      <c r="C5887" s="13">
        <v>39210</v>
      </c>
      <c r="D5887" s="13" t="s">
        <v>8465</v>
      </c>
      <c r="E5887" s="10" t="s">
        <v>1047</v>
      </c>
      <c r="F5887" s="10" t="s">
        <v>1687</v>
      </c>
      <c r="G5887" s="11" t="s">
        <v>5940</v>
      </c>
      <c r="H5887" s="2" t="s">
        <v>150</v>
      </c>
      <c r="L5887" s="18">
        <v>0</v>
      </c>
      <c r="Q5887" s="18">
        <v>0</v>
      </c>
      <c r="U5887" s="22">
        <v>0.56999999999999995</v>
      </c>
      <c r="V5887" s="22">
        <f>3.42/5</f>
        <v>0.68399999999999994</v>
      </c>
      <c r="X5887" s="3">
        <v>2</v>
      </c>
      <c r="Z5887" s="23">
        <v>7</v>
      </c>
      <c r="AB5887" s="18">
        <f t="shared" si="182"/>
        <v>2007</v>
      </c>
      <c r="AC5887" s="22">
        <f t="shared" si="183"/>
        <v>0.55133333333333334</v>
      </c>
    </row>
    <row r="5888" spans="1:29">
      <c r="A5888" s="8" t="s">
        <v>15085</v>
      </c>
      <c r="B5888" s="17" t="s">
        <v>7759</v>
      </c>
      <c r="C5888" s="13">
        <v>39206</v>
      </c>
      <c r="D5888" s="13" t="s">
        <v>8465</v>
      </c>
      <c r="E5888" s="10" t="s">
        <v>1273</v>
      </c>
      <c r="F5888" s="10" t="s">
        <v>1508</v>
      </c>
      <c r="G5888" s="11" t="s">
        <v>1264</v>
      </c>
      <c r="H5888" s="2" t="s">
        <v>80</v>
      </c>
      <c r="L5888" s="18">
        <v>0</v>
      </c>
      <c r="Q5888" s="18">
        <v>0</v>
      </c>
      <c r="U5888" s="22">
        <v>0.6</v>
      </c>
      <c r="V5888" s="22">
        <f>3.22/5</f>
        <v>0.64400000000000002</v>
      </c>
      <c r="X5888" s="3">
        <v>2</v>
      </c>
      <c r="Y5888" s="18">
        <v>1</v>
      </c>
      <c r="Z5888" s="23">
        <v>8</v>
      </c>
      <c r="AB5888" s="18">
        <f t="shared" si="182"/>
        <v>2007</v>
      </c>
      <c r="AC5888" s="22">
        <f t="shared" si="183"/>
        <v>0.54800000000000004</v>
      </c>
    </row>
    <row r="5889" spans="1:29">
      <c r="A5889" s="8" t="s">
        <v>14690</v>
      </c>
      <c r="B5889" s="17" t="s">
        <v>7758</v>
      </c>
      <c r="C5889" s="13">
        <v>39199</v>
      </c>
      <c r="D5889" s="13" t="s">
        <v>8467</v>
      </c>
      <c r="E5889" s="10" t="s">
        <v>72</v>
      </c>
      <c r="F5889" s="10" t="s">
        <v>1355</v>
      </c>
      <c r="H5889" s="2" t="s">
        <v>1059</v>
      </c>
      <c r="L5889" s="18">
        <v>0</v>
      </c>
      <c r="Q5889" s="18">
        <v>0</v>
      </c>
      <c r="V5889" s="22">
        <f>3.07/5</f>
        <v>0.61399999999999999</v>
      </c>
      <c r="X5889" s="3">
        <v>2</v>
      </c>
      <c r="Z5889" s="23">
        <v>8</v>
      </c>
      <c r="AB5889" s="18">
        <f t="shared" ref="AB5889:AB5952" si="184">IFERROR(YEAR(C5889), "Early Access")</f>
        <v>2007</v>
      </c>
      <c r="AC5889" s="22">
        <f t="shared" ref="AC5889:AC5952" si="185">AVERAGE(T5889, U5889, V5889, IF(ISBLANK(X5889), X5889, X5889/5))</f>
        <v>0.50700000000000001</v>
      </c>
    </row>
    <row r="5890" spans="1:29">
      <c r="A5890" s="8" t="s">
        <v>10859</v>
      </c>
      <c r="B5890" s="17" t="s">
        <v>6317</v>
      </c>
      <c r="C5890" s="13">
        <v>39198</v>
      </c>
      <c r="D5890" s="13" t="s">
        <v>8463</v>
      </c>
      <c r="E5890" s="10" t="s">
        <v>472</v>
      </c>
      <c r="F5890" s="10" t="s">
        <v>467</v>
      </c>
      <c r="H5890" s="2" t="s">
        <v>21</v>
      </c>
      <c r="K5890" s="18">
        <v>0</v>
      </c>
      <c r="L5890" s="18">
        <v>0</v>
      </c>
      <c r="Q5890" s="18">
        <v>0</v>
      </c>
      <c r="V5890" s="22">
        <f>3.82/5</f>
        <v>0.76400000000000001</v>
      </c>
      <c r="X5890" s="3">
        <v>3</v>
      </c>
      <c r="Z5890" s="23">
        <f>34/60</f>
        <v>0.56666666666666665</v>
      </c>
      <c r="AB5890" s="18">
        <f t="shared" si="184"/>
        <v>2007</v>
      </c>
      <c r="AC5890" s="22">
        <f t="shared" si="185"/>
        <v>0.68199999999999994</v>
      </c>
    </row>
    <row r="5891" spans="1:29">
      <c r="A5891" s="8" t="s">
        <v>8989</v>
      </c>
      <c r="B5891" s="17" t="s">
        <v>7758</v>
      </c>
      <c r="C5891" s="13">
        <v>39198</v>
      </c>
      <c r="D5891" s="13" t="s">
        <v>8463</v>
      </c>
      <c r="E5891" s="10" t="s">
        <v>3861</v>
      </c>
      <c r="F5891" s="10" t="s">
        <v>3861</v>
      </c>
      <c r="H5891" s="2" t="s">
        <v>1377</v>
      </c>
      <c r="K5891" s="18">
        <v>2</v>
      </c>
      <c r="L5891" s="18">
        <v>0</v>
      </c>
      <c r="Q5891" s="18">
        <v>0</v>
      </c>
      <c r="V5891" s="22">
        <f>3.78/5</f>
        <v>0.75600000000000001</v>
      </c>
      <c r="X5891" s="3">
        <v>2</v>
      </c>
      <c r="AB5891" s="18">
        <f t="shared" si="184"/>
        <v>2007</v>
      </c>
      <c r="AC5891" s="22">
        <f t="shared" si="185"/>
        <v>0.57800000000000007</v>
      </c>
    </row>
    <row r="5892" spans="1:29">
      <c r="A5892" s="8" t="s">
        <v>11461</v>
      </c>
      <c r="B5892" s="17" t="s">
        <v>7758</v>
      </c>
      <c r="C5892" s="13">
        <v>39198</v>
      </c>
      <c r="D5892" s="13" t="s">
        <v>8463</v>
      </c>
      <c r="E5892" s="10" t="s">
        <v>10468</v>
      </c>
      <c r="F5892" s="10" t="s">
        <v>10468</v>
      </c>
      <c r="H5892" s="2" t="s">
        <v>75</v>
      </c>
      <c r="K5892" s="18">
        <v>0</v>
      </c>
      <c r="L5892" s="18">
        <v>0</v>
      </c>
      <c r="Q5892" s="18">
        <v>0</v>
      </c>
      <c r="V5892" s="22">
        <f>2.5/5</f>
        <v>0.5</v>
      </c>
      <c r="X5892" s="3">
        <v>2</v>
      </c>
      <c r="AB5892" s="18">
        <f t="shared" si="184"/>
        <v>2007</v>
      </c>
      <c r="AC5892" s="22">
        <f t="shared" si="185"/>
        <v>0.45</v>
      </c>
    </row>
    <row r="5893" spans="1:29" ht="30">
      <c r="A5893" s="8" t="s">
        <v>9082</v>
      </c>
      <c r="B5893" s="17" t="s">
        <v>7762</v>
      </c>
      <c r="C5893" s="13">
        <v>39196</v>
      </c>
      <c r="D5893" s="13" t="s">
        <v>8465</v>
      </c>
      <c r="E5893" s="10" t="s">
        <v>1062</v>
      </c>
      <c r="F5893" s="10" t="s">
        <v>3113</v>
      </c>
      <c r="G5893" s="11" t="s">
        <v>9081</v>
      </c>
      <c r="H5893" s="2" t="s">
        <v>75</v>
      </c>
      <c r="L5893" s="18">
        <v>0</v>
      </c>
      <c r="Q5893" s="18">
        <v>0</v>
      </c>
      <c r="U5893" s="22">
        <v>0.62</v>
      </c>
      <c r="V5893" s="22">
        <f>3.52/5</f>
        <v>0.70399999999999996</v>
      </c>
      <c r="X5893" s="3">
        <v>2</v>
      </c>
      <c r="AB5893" s="18">
        <f t="shared" si="184"/>
        <v>2007</v>
      </c>
      <c r="AC5893" s="22">
        <f t="shared" si="185"/>
        <v>0.57466666666666655</v>
      </c>
    </row>
    <row r="5894" spans="1:29">
      <c r="A5894" s="8" t="s">
        <v>9686</v>
      </c>
      <c r="B5894" s="17" t="s">
        <v>7758</v>
      </c>
      <c r="C5894" s="13">
        <v>39195</v>
      </c>
      <c r="D5894" s="13" t="s">
        <v>8465</v>
      </c>
      <c r="E5894" s="10" t="s">
        <v>5865</v>
      </c>
      <c r="F5894" s="10" t="s">
        <v>6600</v>
      </c>
      <c r="H5894" s="2" t="s">
        <v>1054</v>
      </c>
      <c r="L5894" s="18">
        <v>0</v>
      </c>
      <c r="Q5894" s="18">
        <v>0</v>
      </c>
      <c r="U5894" s="22">
        <v>0.72</v>
      </c>
      <c r="V5894" s="22">
        <f>3.68/5</f>
        <v>0.73599999999999999</v>
      </c>
      <c r="X5894" s="3">
        <v>3</v>
      </c>
      <c r="Z5894" s="23">
        <v>5</v>
      </c>
      <c r="AB5894" s="18">
        <f t="shared" si="184"/>
        <v>2007</v>
      </c>
      <c r="AC5894" s="22">
        <f t="shared" si="185"/>
        <v>0.68533333333333335</v>
      </c>
    </row>
    <row r="5895" spans="1:29">
      <c r="A5895" s="8" t="s">
        <v>7121</v>
      </c>
      <c r="B5895" s="17" t="s">
        <v>7800</v>
      </c>
      <c r="C5895" s="13">
        <v>39187</v>
      </c>
      <c r="D5895" s="13" t="s">
        <v>8465</v>
      </c>
      <c r="E5895" s="10" t="s">
        <v>7209</v>
      </c>
      <c r="F5895" s="10" t="s">
        <v>7209</v>
      </c>
      <c r="H5895" s="2" t="s">
        <v>21</v>
      </c>
      <c r="L5895" s="18">
        <v>0</v>
      </c>
      <c r="Q5895" s="18">
        <v>0</v>
      </c>
      <c r="W5895" s="14" t="s">
        <v>5674</v>
      </c>
      <c r="X5895" s="3">
        <v>3</v>
      </c>
      <c r="AB5895" s="18">
        <f t="shared" si="184"/>
        <v>2007</v>
      </c>
      <c r="AC5895" s="22">
        <f t="shared" si="185"/>
        <v>0.6</v>
      </c>
    </row>
    <row r="5896" spans="1:29" ht="25.5">
      <c r="A5896" s="8" t="s">
        <v>8744</v>
      </c>
      <c r="B5896" s="17" t="s">
        <v>7748</v>
      </c>
      <c r="C5896" s="13">
        <v>39175</v>
      </c>
      <c r="D5896" s="13" t="s">
        <v>8465</v>
      </c>
      <c r="E5896" s="10" t="s">
        <v>1082</v>
      </c>
      <c r="F5896" s="10" t="s">
        <v>1521</v>
      </c>
      <c r="G5896" s="11" t="s">
        <v>126</v>
      </c>
      <c r="H5896" s="2" t="s">
        <v>149</v>
      </c>
      <c r="L5896" s="18">
        <v>0</v>
      </c>
      <c r="Q5896" s="18">
        <v>0</v>
      </c>
      <c r="U5896" s="22">
        <v>0.75</v>
      </c>
      <c r="V5896" s="22">
        <f>3.65/5</f>
        <v>0.73</v>
      </c>
      <c r="X5896" s="3">
        <v>3</v>
      </c>
      <c r="Z5896" s="23">
        <v>9.5</v>
      </c>
      <c r="AB5896" s="18">
        <f t="shared" si="184"/>
        <v>2007</v>
      </c>
      <c r="AC5896" s="22">
        <f t="shared" si="185"/>
        <v>0.69333333333333336</v>
      </c>
    </row>
    <row r="5897" spans="1:29" ht="25.5">
      <c r="A5897" s="8" t="s">
        <v>2336</v>
      </c>
      <c r="B5897" s="17" t="s">
        <v>7748</v>
      </c>
      <c r="C5897" s="13">
        <v>39173</v>
      </c>
      <c r="D5897" s="13" t="s">
        <v>8463</v>
      </c>
      <c r="E5897" s="10" t="s">
        <v>86</v>
      </c>
      <c r="F5897" s="10" t="s">
        <v>87</v>
      </c>
      <c r="G5897" s="11" t="s">
        <v>85</v>
      </c>
      <c r="H5897" s="2" t="s">
        <v>143</v>
      </c>
      <c r="K5897" s="18">
        <v>2</v>
      </c>
      <c r="L5897" s="18">
        <v>1</v>
      </c>
      <c r="M5897" s="14" t="s">
        <v>8462</v>
      </c>
      <c r="N5897" s="13">
        <v>43529</v>
      </c>
      <c r="O5897" s="29">
        <v>13.27</v>
      </c>
      <c r="P5897" s="18" t="s">
        <v>14</v>
      </c>
      <c r="Q5897" s="18">
        <v>0</v>
      </c>
      <c r="V5897" s="22">
        <f>3.24/5</f>
        <v>0.64800000000000002</v>
      </c>
      <c r="X5897" s="3">
        <v>3</v>
      </c>
      <c r="Z5897" s="23">
        <v>1.5</v>
      </c>
      <c r="AB5897" s="18">
        <f t="shared" si="184"/>
        <v>2007</v>
      </c>
      <c r="AC5897" s="22">
        <f t="shared" si="185"/>
        <v>0.624</v>
      </c>
    </row>
    <row r="5898" spans="1:29" ht="25.5">
      <c r="A5898" s="8" t="s">
        <v>7463</v>
      </c>
      <c r="B5898" s="17" t="s">
        <v>7759</v>
      </c>
      <c r="C5898" s="13">
        <v>39171</v>
      </c>
      <c r="D5898" s="13" t="s">
        <v>8465</v>
      </c>
      <c r="E5898" s="10" t="s">
        <v>1047</v>
      </c>
      <c r="F5898" s="10" t="s">
        <v>7444</v>
      </c>
      <c r="G5898" s="11" t="s">
        <v>5430</v>
      </c>
      <c r="H5898" s="2" t="s">
        <v>245</v>
      </c>
      <c r="L5898" s="18">
        <v>0</v>
      </c>
      <c r="Q5898" s="18">
        <v>0</v>
      </c>
      <c r="U5898" s="22">
        <v>0.79</v>
      </c>
      <c r="V5898" s="22">
        <f>3.49/5</f>
        <v>0.69800000000000006</v>
      </c>
      <c r="X5898" s="3">
        <v>3</v>
      </c>
      <c r="Y5898" s="18">
        <v>1</v>
      </c>
      <c r="Z5898" s="23">
        <v>11.5</v>
      </c>
      <c r="AB5898" s="18">
        <f t="shared" si="184"/>
        <v>2007</v>
      </c>
      <c r="AC5898" s="22">
        <f t="shared" si="185"/>
        <v>0.69600000000000006</v>
      </c>
    </row>
    <row r="5899" spans="1:29" ht="38.25">
      <c r="A5899" s="8" t="s">
        <v>10872</v>
      </c>
      <c r="B5899" s="17" t="s">
        <v>7758</v>
      </c>
      <c r="C5899" s="13">
        <v>39170</v>
      </c>
      <c r="D5899" s="13" t="s">
        <v>8463</v>
      </c>
      <c r="E5899" s="10" t="s">
        <v>455</v>
      </c>
      <c r="F5899" s="10" t="s">
        <v>479</v>
      </c>
      <c r="G5899" s="11" t="s">
        <v>7845</v>
      </c>
      <c r="H5899" s="2" t="s">
        <v>459</v>
      </c>
      <c r="K5899" s="18">
        <v>0</v>
      </c>
      <c r="L5899" s="18">
        <v>0</v>
      </c>
      <c r="Q5899" s="18">
        <v>0</v>
      </c>
      <c r="V5899" s="22">
        <f>4.11/5</f>
        <v>0.82200000000000006</v>
      </c>
      <c r="X5899" s="3">
        <v>2</v>
      </c>
      <c r="Z5899" s="23">
        <v>2</v>
      </c>
      <c r="AB5899" s="18">
        <f t="shared" si="184"/>
        <v>2007</v>
      </c>
      <c r="AC5899" s="22">
        <f t="shared" si="185"/>
        <v>0.61099999999999999</v>
      </c>
    </row>
    <row r="5900" spans="1:29" ht="25.5">
      <c r="A5900" s="8" t="s">
        <v>6710</v>
      </c>
      <c r="B5900" s="17" t="s">
        <v>7741</v>
      </c>
      <c r="C5900" s="13">
        <v>39167</v>
      </c>
      <c r="D5900" s="13" t="s">
        <v>8465</v>
      </c>
      <c r="E5900" s="10" t="s">
        <v>231</v>
      </c>
      <c r="F5900" s="10" t="s">
        <v>6711</v>
      </c>
      <c r="G5900" s="11" t="s">
        <v>2944</v>
      </c>
      <c r="H5900" s="2" t="s">
        <v>1050</v>
      </c>
      <c r="L5900" s="18">
        <v>0</v>
      </c>
      <c r="Q5900" s="18">
        <v>0</v>
      </c>
      <c r="U5900" s="22">
        <v>0.57999999999999996</v>
      </c>
      <c r="V5900" s="22">
        <f>3.81/5</f>
        <v>0.76200000000000001</v>
      </c>
      <c r="X5900" s="3">
        <v>2</v>
      </c>
      <c r="Z5900" s="23">
        <v>3.5</v>
      </c>
      <c r="AB5900" s="18">
        <f t="shared" si="184"/>
        <v>2007</v>
      </c>
      <c r="AC5900" s="22">
        <f t="shared" si="185"/>
        <v>0.58066666666666666</v>
      </c>
    </row>
    <row r="5901" spans="1:29" ht="25.5">
      <c r="A5901" s="8" t="s">
        <v>6535</v>
      </c>
      <c r="B5901" s="17" t="s">
        <v>7800</v>
      </c>
      <c r="C5901" s="13">
        <v>39167</v>
      </c>
      <c r="D5901" s="13" t="s">
        <v>8465</v>
      </c>
      <c r="E5901" s="10" t="s">
        <v>231</v>
      </c>
      <c r="F5901" s="10" t="s">
        <v>1039</v>
      </c>
      <c r="G5901" s="11" t="s">
        <v>3043</v>
      </c>
      <c r="H5901" s="2" t="s">
        <v>1143</v>
      </c>
      <c r="L5901" s="18">
        <v>1</v>
      </c>
      <c r="N5901" s="13">
        <v>41627</v>
      </c>
      <c r="O5901" s="29">
        <v>0.33</v>
      </c>
      <c r="P5901" s="18" t="s">
        <v>1107</v>
      </c>
      <c r="Q5901" s="18">
        <v>0</v>
      </c>
      <c r="U5901" s="22">
        <v>0.86</v>
      </c>
      <c r="V5901" s="22">
        <f>3.86/5</f>
        <v>0.77200000000000002</v>
      </c>
      <c r="W5901" s="14" t="s">
        <v>7796</v>
      </c>
      <c r="X5901" s="3">
        <v>3</v>
      </c>
      <c r="Z5901" s="23">
        <v>23.5</v>
      </c>
      <c r="AB5901" s="18">
        <f t="shared" si="184"/>
        <v>2007</v>
      </c>
      <c r="AC5901" s="22">
        <f t="shared" si="185"/>
        <v>0.74400000000000011</v>
      </c>
    </row>
    <row r="5902" spans="1:29">
      <c r="A5902" s="8" t="s">
        <v>7418</v>
      </c>
      <c r="B5902" s="17" t="s">
        <v>7758</v>
      </c>
      <c r="C5902" s="13">
        <v>39164</v>
      </c>
      <c r="D5902" s="13" t="s">
        <v>8467</v>
      </c>
      <c r="E5902" s="10" t="s">
        <v>7419</v>
      </c>
      <c r="F5902" s="10" t="s">
        <v>7413</v>
      </c>
      <c r="G5902" s="11" t="s">
        <v>7414</v>
      </c>
      <c r="H5902" s="2" t="s">
        <v>1059</v>
      </c>
      <c r="L5902" s="18">
        <v>0</v>
      </c>
      <c r="Q5902" s="18">
        <v>0</v>
      </c>
      <c r="V5902" s="22">
        <f>3.35/5</f>
        <v>0.67</v>
      </c>
      <c r="X5902" s="3">
        <v>3</v>
      </c>
      <c r="Z5902" s="23">
        <v>3</v>
      </c>
      <c r="AB5902" s="18">
        <f t="shared" si="184"/>
        <v>2007</v>
      </c>
      <c r="AC5902" s="22">
        <f t="shared" si="185"/>
        <v>0.63500000000000001</v>
      </c>
    </row>
    <row r="5903" spans="1:29">
      <c r="A5903" s="8" t="s">
        <v>14755</v>
      </c>
      <c r="B5903" s="17" t="s">
        <v>7758</v>
      </c>
      <c r="C5903" s="13">
        <v>39164</v>
      </c>
      <c r="D5903" s="13" t="s">
        <v>8467</v>
      </c>
      <c r="E5903" s="10" t="s">
        <v>10155</v>
      </c>
      <c r="F5903" s="10" t="s">
        <v>7413</v>
      </c>
      <c r="H5903" s="2" t="s">
        <v>153</v>
      </c>
      <c r="L5903" s="18">
        <v>0</v>
      </c>
      <c r="Q5903" s="18">
        <v>0</v>
      </c>
      <c r="V5903" s="22">
        <f>3.04/5</f>
        <v>0.60799999999999998</v>
      </c>
      <c r="X5903" s="3">
        <v>2</v>
      </c>
      <c r="AB5903" s="18">
        <f t="shared" si="184"/>
        <v>2007</v>
      </c>
      <c r="AC5903" s="22">
        <f t="shared" si="185"/>
        <v>0.504</v>
      </c>
    </row>
    <row r="5904" spans="1:29">
      <c r="A5904" s="8" t="s">
        <v>12814</v>
      </c>
      <c r="B5904" s="17" t="s">
        <v>7759</v>
      </c>
      <c r="C5904" s="13">
        <v>39163</v>
      </c>
      <c r="D5904" s="13" t="s">
        <v>8463</v>
      </c>
      <c r="E5904" s="10" t="s">
        <v>3113</v>
      </c>
      <c r="F5904" s="10" t="s">
        <v>3113</v>
      </c>
      <c r="H5904" s="2" t="s">
        <v>75</v>
      </c>
      <c r="K5904" s="18">
        <v>0</v>
      </c>
      <c r="L5904" s="18">
        <v>0</v>
      </c>
      <c r="Q5904" s="18">
        <v>0</v>
      </c>
      <c r="V5904" s="22">
        <f>3.63/5</f>
        <v>0.72599999999999998</v>
      </c>
      <c r="X5904" s="3">
        <v>2</v>
      </c>
      <c r="AB5904" s="18">
        <f t="shared" si="184"/>
        <v>2007</v>
      </c>
      <c r="AC5904" s="22">
        <f t="shared" si="185"/>
        <v>0.56299999999999994</v>
      </c>
    </row>
    <row r="5905" spans="1:29" ht="25.5">
      <c r="A5905" s="8" t="s">
        <v>6032</v>
      </c>
      <c r="B5905" s="17" t="s">
        <v>7759</v>
      </c>
      <c r="C5905" s="13">
        <v>39162</v>
      </c>
      <c r="D5905" s="13" t="s">
        <v>8465</v>
      </c>
      <c r="E5905" s="10" t="s">
        <v>231</v>
      </c>
      <c r="F5905" s="10" t="s">
        <v>3593</v>
      </c>
      <c r="G5905" s="11" t="s">
        <v>6031</v>
      </c>
      <c r="H5905" s="2" t="s">
        <v>80</v>
      </c>
      <c r="L5905" s="18">
        <v>1</v>
      </c>
      <c r="M5905" s="14" t="s">
        <v>8462</v>
      </c>
      <c r="N5905" s="13">
        <v>43605</v>
      </c>
      <c r="O5905" s="29">
        <v>15.7</v>
      </c>
      <c r="P5905" s="18" t="s">
        <v>14</v>
      </c>
      <c r="Q5905" s="18">
        <v>0</v>
      </c>
      <c r="U5905" s="22">
        <v>0.72</v>
      </c>
      <c r="V5905" s="22">
        <f>3.95/5</f>
        <v>0.79</v>
      </c>
      <c r="X5905" s="3">
        <v>2</v>
      </c>
      <c r="Z5905" s="23">
        <v>13.5</v>
      </c>
      <c r="AB5905" s="18">
        <f t="shared" si="184"/>
        <v>2007</v>
      </c>
      <c r="AC5905" s="22">
        <f t="shared" si="185"/>
        <v>0.63666666666666671</v>
      </c>
    </row>
    <row r="5906" spans="1:29" ht="25.5">
      <c r="A5906" s="8" t="s">
        <v>7384</v>
      </c>
      <c r="B5906" s="17" t="s">
        <v>7741</v>
      </c>
      <c r="C5906" s="13">
        <v>39161</v>
      </c>
      <c r="D5906" s="13" t="s">
        <v>8465</v>
      </c>
      <c r="E5906" s="10" t="s">
        <v>62</v>
      </c>
      <c r="F5906" s="10" t="s">
        <v>62</v>
      </c>
      <c r="G5906" s="11" t="s">
        <v>7408</v>
      </c>
      <c r="H5906" s="2" t="s">
        <v>78</v>
      </c>
      <c r="L5906" s="18">
        <v>0</v>
      </c>
      <c r="Q5906" s="18">
        <v>0</v>
      </c>
      <c r="U5906" s="22">
        <v>0.71</v>
      </c>
      <c r="V5906" s="22">
        <f>3.92/5</f>
        <v>0.78400000000000003</v>
      </c>
      <c r="X5906" s="3">
        <v>3</v>
      </c>
      <c r="Z5906" s="23">
        <v>3.5</v>
      </c>
      <c r="AB5906" s="18">
        <f t="shared" si="184"/>
        <v>2007</v>
      </c>
      <c r="AC5906" s="22">
        <f t="shared" si="185"/>
        <v>0.69799999999999995</v>
      </c>
    </row>
    <row r="5907" spans="1:29" ht="25.5">
      <c r="A5907" s="8" t="s">
        <v>10307</v>
      </c>
      <c r="B5907" s="17" t="s">
        <v>7765</v>
      </c>
      <c r="C5907" s="13">
        <v>39161</v>
      </c>
      <c r="D5907" s="13" t="s">
        <v>8465</v>
      </c>
      <c r="E5907" s="10" t="s">
        <v>2298</v>
      </c>
      <c r="F5907" s="10" t="s">
        <v>1549</v>
      </c>
      <c r="G5907" s="11" t="s">
        <v>665</v>
      </c>
      <c r="H5907" s="2" t="s">
        <v>1168</v>
      </c>
      <c r="L5907" s="18">
        <v>0</v>
      </c>
      <c r="Q5907" s="18">
        <v>0</v>
      </c>
      <c r="U5907" s="22">
        <v>0.69</v>
      </c>
      <c r="V5907" s="22">
        <f>3.75/5</f>
        <v>0.75</v>
      </c>
      <c r="X5907" s="3">
        <v>3</v>
      </c>
      <c r="Y5907" s="18">
        <v>1</v>
      </c>
      <c r="Z5907" s="23">
        <v>9</v>
      </c>
      <c r="AB5907" s="18">
        <f t="shared" si="184"/>
        <v>2007</v>
      </c>
      <c r="AC5907" s="22">
        <f t="shared" si="185"/>
        <v>0.68</v>
      </c>
    </row>
    <row r="5908" spans="1:29">
      <c r="A5908" s="8" t="s">
        <v>8180</v>
      </c>
      <c r="B5908" s="17" t="s">
        <v>7758</v>
      </c>
      <c r="C5908" s="13">
        <v>39161</v>
      </c>
      <c r="D5908" s="13" t="s">
        <v>8465</v>
      </c>
      <c r="E5908" s="10" t="s">
        <v>455</v>
      </c>
      <c r="F5908" s="10" t="s">
        <v>1269</v>
      </c>
      <c r="G5908" s="11" t="s">
        <v>1661</v>
      </c>
      <c r="H5908" s="2" t="s">
        <v>171</v>
      </c>
      <c r="L5908" s="18">
        <v>0</v>
      </c>
      <c r="Q5908" s="18">
        <v>0</v>
      </c>
      <c r="U5908" s="22">
        <v>0.65290000000000004</v>
      </c>
      <c r="V5908" s="22">
        <f>3.86/5</f>
        <v>0.77200000000000002</v>
      </c>
      <c r="X5908" s="3">
        <v>3</v>
      </c>
      <c r="Z5908" s="23">
        <v>40.5</v>
      </c>
      <c r="AB5908" s="18">
        <f t="shared" si="184"/>
        <v>2007</v>
      </c>
      <c r="AC5908" s="22">
        <f t="shared" si="185"/>
        <v>0.67496666666666671</v>
      </c>
    </row>
    <row r="5909" spans="1:29" ht="30">
      <c r="A5909" s="8" t="s">
        <v>11532</v>
      </c>
      <c r="B5909" s="17" t="s">
        <v>7762</v>
      </c>
      <c r="C5909" s="13">
        <v>39161</v>
      </c>
      <c r="D5909" s="13" t="s">
        <v>8465</v>
      </c>
      <c r="E5909" s="10" t="s">
        <v>455</v>
      </c>
      <c r="F5909" s="10" t="s">
        <v>6947</v>
      </c>
      <c r="G5909" s="11" t="s">
        <v>357</v>
      </c>
      <c r="H5909" s="2" t="s">
        <v>7594</v>
      </c>
      <c r="L5909" s="18">
        <v>0</v>
      </c>
      <c r="Q5909" s="18">
        <v>0</v>
      </c>
      <c r="U5909" s="22">
        <v>0.73</v>
      </c>
      <c r="V5909" s="22">
        <f>3.63/5</f>
        <v>0.72599999999999998</v>
      </c>
      <c r="X5909" s="3">
        <v>2</v>
      </c>
      <c r="AB5909" s="18">
        <f t="shared" si="184"/>
        <v>2007</v>
      </c>
      <c r="AC5909" s="22">
        <f t="shared" si="185"/>
        <v>0.61866666666666659</v>
      </c>
    </row>
    <row r="5910" spans="1:29">
      <c r="A5910" s="8" t="s">
        <v>5914</v>
      </c>
      <c r="B5910" s="17" t="s">
        <v>7759</v>
      </c>
      <c r="C5910" s="13">
        <v>39161</v>
      </c>
      <c r="D5910" s="13" t="s">
        <v>8465</v>
      </c>
      <c r="E5910" s="10" t="s">
        <v>455</v>
      </c>
      <c r="F5910" s="10" t="s">
        <v>1580</v>
      </c>
      <c r="G5910" s="11" t="s">
        <v>5915</v>
      </c>
      <c r="H5910" s="2" t="s">
        <v>1204</v>
      </c>
      <c r="L5910" s="18">
        <v>1</v>
      </c>
      <c r="M5910" s="14" t="s">
        <v>8462</v>
      </c>
      <c r="N5910" s="13">
        <v>43545</v>
      </c>
      <c r="O5910" s="29">
        <v>14.99</v>
      </c>
      <c r="P5910" s="18" t="s">
        <v>14</v>
      </c>
      <c r="Q5910" s="18">
        <v>0</v>
      </c>
      <c r="U5910" s="22">
        <v>0.68</v>
      </c>
      <c r="V5910" s="22">
        <f>3.52/5</f>
        <v>0.70399999999999996</v>
      </c>
      <c r="X5910" s="3">
        <v>2</v>
      </c>
      <c r="Z5910" s="23">
        <v>9.5</v>
      </c>
      <c r="AB5910" s="18">
        <f t="shared" si="184"/>
        <v>2007</v>
      </c>
      <c r="AC5910" s="22">
        <f t="shared" si="185"/>
        <v>0.59466666666666657</v>
      </c>
    </row>
    <row r="5911" spans="1:29">
      <c r="A5911" s="8" t="s">
        <v>7427</v>
      </c>
      <c r="B5911" s="17" t="s">
        <v>7748</v>
      </c>
      <c r="C5911" s="13">
        <v>39161</v>
      </c>
      <c r="D5911" s="13" t="s">
        <v>8465</v>
      </c>
      <c r="E5911" s="10" t="s">
        <v>72</v>
      </c>
      <c r="F5911" s="10" t="s">
        <v>1083</v>
      </c>
      <c r="G5911" s="11" t="s">
        <v>7409</v>
      </c>
      <c r="H5911" s="2" t="s">
        <v>1334</v>
      </c>
      <c r="L5911" s="18">
        <v>0</v>
      </c>
      <c r="Q5911" s="18">
        <v>0</v>
      </c>
      <c r="U5911" s="22">
        <v>0.56999999999999995</v>
      </c>
      <c r="V5911" s="22">
        <f>3.74/5</f>
        <v>0.748</v>
      </c>
      <c r="X5911" s="3">
        <v>2</v>
      </c>
      <c r="AB5911" s="18">
        <f t="shared" si="184"/>
        <v>2007</v>
      </c>
      <c r="AC5911" s="22">
        <f t="shared" si="185"/>
        <v>0.57266666666666666</v>
      </c>
    </row>
    <row r="5912" spans="1:29" ht="25.5">
      <c r="A5912" s="8" t="s">
        <v>8384</v>
      </c>
      <c r="B5912" s="17" t="s">
        <v>7741</v>
      </c>
      <c r="C5912" s="13">
        <v>39161</v>
      </c>
      <c r="D5912" s="13" t="s">
        <v>8465</v>
      </c>
      <c r="E5912" s="10" t="s">
        <v>1551</v>
      </c>
      <c r="F5912" s="10" t="s">
        <v>8385</v>
      </c>
      <c r="G5912" s="11" t="s">
        <v>8386</v>
      </c>
      <c r="H5912" s="2" t="s">
        <v>1142</v>
      </c>
      <c r="L5912" s="18">
        <v>1</v>
      </c>
      <c r="M5912" s="14" t="s">
        <v>8462</v>
      </c>
      <c r="N5912" s="13">
        <v>43879</v>
      </c>
      <c r="O5912" s="29">
        <f>5.99+0.45</f>
        <v>6.44</v>
      </c>
      <c r="P5912" s="18" t="s">
        <v>14</v>
      </c>
      <c r="Q5912" s="18">
        <v>0</v>
      </c>
      <c r="U5912" s="22">
        <v>0.61</v>
      </c>
      <c r="V5912" s="22">
        <f>3.32/5</f>
        <v>0.66399999999999992</v>
      </c>
      <c r="X5912" s="3">
        <v>2</v>
      </c>
      <c r="Z5912" s="23">
        <v>2.5</v>
      </c>
      <c r="AB5912" s="18">
        <f t="shared" si="184"/>
        <v>2007</v>
      </c>
      <c r="AC5912" s="22">
        <f t="shared" si="185"/>
        <v>0.55799999999999994</v>
      </c>
    </row>
    <row r="5913" spans="1:29" ht="25.5">
      <c r="A5913" s="8" t="s">
        <v>4893</v>
      </c>
      <c r="B5913" s="17" t="s">
        <v>7800</v>
      </c>
      <c r="C5913" s="13">
        <v>39161</v>
      </c>
      <c r="D5913" s="13" t="s">
        <v>8465</v>
      </c>
      <c r="E5913" s="10" t="s">
        <v>4889</v>
      </c>
      <c r="F5913" s="10" t="s">
        <v>4889</v>
      </c>
      <c r="G5913" s="11" t="s">
        <v>4890</v>
      </c>
      <c r="H5913" s="2" t="s">
        <v>1050</v>
      </c>
      <c r="L5913" s="18">
        <v>1</v>
      </c>
      <c r="N5913" s="13">
        <v>41283</v>
      </c>
      <c r="P5913" s="18" t="s">
        <v>1107</v>
      </c>
      <c r="Q5913" s="18">
        <v>0</v>
      </c>
      <c r="U5913" s="22">
        <v>0.83</v>
      </c>
      <c r="V5913" s="22">
        <f>3.91/5</f>
        <v>0.78200000000000003</v>
      </c>
      <c r="W5913" s="14" t="s">
        <v>7777</v>
      </c>
      <c r="X5913" s="3">
        <v>3</v>
      </c>
      <c r="Z5913" s="23">
        <v>16</v>
      </c>
      <c r="AB5913" s="18">
        <f t="shared" si="184"/>
        <v>2007</v>
      </c>
      <c r="AC5913" s="22">
        <f t="shared" si="185"/>
        <v>0.7373333333333334</v>
      </c>
    </row>
    <row r="5914" spans="1:29">
      <c r="A5914" s="8" t="s">
        <v>2146</v>
      </c>
      <c r="B5914" s="17" t="s">
        <v>7748</v>
      </c>
      <c r="C5914" s="13">
        <v>39160</v>
      </c>
      <c r="D5914" s="13" t="s">
        <v>8465</v>
      </c>
      <c r="E5914" s="10" t="s">
        <v>86</v>
      </c>
      <c r="F5914" s="10" t="s">
        <v>1464</v>
      </c>
      <c r="G5914" s="11" t="s">
        <v>849</v>
      </c>
      <c r="H5914" s="2" t="s">
        <v>171</v>
      </c>
      <c r="L5914" s="18">
        <v>0</v>
      </c>
      <c r="Q5914" s="18">
        <v>0</v>
      </c>
      <c r="U5914" s="22">
        <v>0.72</v>
      </c>
      <c r="V5914" s="22">
        <f>3.99/5</f>
        <v>0.79800000000000004</v>
      </c>
      <c r="X5914" s="3">
        <v>3</v>
      </c>
      <c r="Z5914" s="23">
        <v>20</v>
      </c>
      <c r="AB5914" s="18">
        <f t="shared" si="184"/>
        <v>2007</v>
      </c>
      <c r="AC5914" s="22">
        <f t="shared" si="185"/>
        <v>0.70599999999999996</v>
      </c>
    </row>
    <row r="5915" spans="1:29">
      <c r="A5915" s="8" t="s">
        <v>4716</v>
      </c>
      <c r="B5915" s="17" t="s">
        <v>7800</v>
      </c>
      <c r="C5915" s="13">
        <v>39158</v>
      </c>
      <c r="D5915" s="13" t="s">
        <v>8465</v>
      </c>
      <c r="E5915" s="10" t="s">
        <v>3905</v>
      </c>
      <c r="F5915" s="10" t="s">
        <v>4557</v>
      </c>
      <c r="G5915" s="11" t="s">
        <v>4558</v>
      </c>
      <c r="H5915" s="2" t="s">
        <v>21</v>
      </c>
      <c r="L5915" s="18">
        <v>1</v>
      </c>
      <c r="N5915" s="13">
        <v>42015</v>
      </c>
      <c r="O5915" s="29">
        <v>0.69</v>
      </c>
      <c r="P5915" s="18" t="s">
        <v>1107</v>
      </c>
      <c r="Q5915" s="18">
        <v>0</v>
      </c>
      <c r="V5915" s="22">
        <f>2.86/5</f>
        <v>0.57199999999999995</v>
      </c>
      <c r="W5915" s="14" t="s">
        <v>7777</v>
      </c>
      <c r="X5915" s="3">
        <v>2</v>
      </c>
      <c r="Z5915" s="23">
        <v>3</v>
      </c>
      <c r="AB5915" s="18">
        <f t="shared" si="184"/>
        <v>2007</v>
      </c>
      <c r="AC5915" s="22">
        <f t="shared" si="185"/>
        <v>0.48599999999999999</v>
      </c>
    </row>
    <row r="5916" spans="1:29" ht="25.5">
      <c r="A5916" s="8" t="s">
        <v>4880</v>
      </c>
      <c r="B5916" s="17" t="s">
        <v>7800</v>
      </c>
      <c r="C5916" s="13">
        <v>39157</v>
      </c>
      <c r="D5916" s="13" t="s">
        <v>8465</v>
      </c>
      <c r="E5916" s="10" t="s">
        <v>3493</v>
      </c>
      <c r="F5916" s="10" t="s">
        <v>4877</v>
      </c>
      <c r="G5916" s="11" t="s">
        <v>4878</v>
      </c>
      <c r="H5916" s="2" t="s">
        <v>67</v>
      </c>
      <c r="L5916" s="18">
        <v>1</v>
      </c>
      <c r="N5916" s="13">
        <v>42137</v>
      </c>
      <c r="P5916" s="18" t="s">
        <v>1107</v>
      </c>
      <c r="Q5916" s="18">
        <v>0</v>
      </c>
      <c r="U5916" s="22">
        <v>0.7</v>
      </c>
      <c r="V5916" s="22">
        <f>3.49/5</f>
        <v>0.69800000000000006</v>
      </c>
      <c r="W5916" s="14" t="s">
        <v>7777</v>
      </c>
      <c r="X5916" s="3">
        <v>3</v>
      </c>
      <c r="Z5916" s="23">
        <v>10</v>
      </c>
      <c r="AB5916" s="18">
        <f t="shared" si="184"/>
        <v>2007</v>
      </c>
      <c r="AC5916" s="22">
        <f t="shared" si="185"/>
        <v>0.66600000000000004</v>
      </c>
    </row>
    <row r="5917" spans="1:29" ht="30">
      <c r="A5917" s="8" t="s">
        <v>6682</v>
      </c>
      <c r="B5917" s="17" t="s">
        <v>7762</v>
      </c>
      <c r="C5917" s="13">
        <v>39154</v>
      </c>
      <c r="D5917" s="13" t="s">
        <v>8465</v>
      </c>
      <c r="E5917" s="10" t="s">
        <v>1273</v>
      </c>
      <c r="F5917" s="10" t="s">
        <v>6683</v>
      </c>
      <c r="G5917" s="11" t="s">
        <v>3401</v>
      </c>
      <c r="H5917" s="2" t="s">
        <v>1050</v>
      </c>
      <c r="L5917" s="18">
        <v>0</v>
      </c>
      <c r="Q5917" s="18">
        <v>0</v>
      </c>
      <c r="U5917" s="22">
        <v>0.65</v>
      </c>
      <c r="V5917" s="22">
        <f>3.76/5</f>
        <v>0.752</v>
      </c>
      <c r="X5917" s="3">
        <v>2</v>
      </c>
      <c r="Z5917" s="23">
        <v>5</v>
      </c>
      <c r="AB5917" s="18">
        <f t="shared" si="184"/>
        <v>2007</v>
      </c>
      <c r="AC5917" s="22">
        <f t="shared" si="185"/>
        <v>0.60066666666666668</v>
      </c>
    </row>
    <row r="5918" spans="1:29" ht="38.25">
      <c r="A5918" s="8" t="s">
        <v>7454</v>
      </c>
      <c r="B5918" s="17" t="s">
        <v>7765</v>
      </c>
      <c r="C5918" s="13">
        <v>39147</v>
      </c>
      <c r="D5918" s="13" t="s">
        <v>8465</v>
      </c>
      <c r="E5918" s="10" t="s">
        <v>1047</v>
      </c>
      <c r="F5918" s="10" t="s">
        <v>1539</v>
      </c>
      <c r="G5918" s="11" t="s">
        <v>2474</v>
      </c>
      <c r="H5918" s="2" t="s">
        <v>7448</v>
      </c>
      <c r="L5918" s="18">
        <v>1</v>
      </c>
      <c r="N5918" s="13">
        <v>44558</v>
      </c>
      <c r="O5918" s="29">
        <v>4.99</v>
      </c>
      <c r="P5918" s="18" t="s">
        <v>1107</v>
      </c>
      <c r="Q5918" s="18">
        <v>0</v>
      </c>
      <c r="U5918" s="22">
        <v>0.86</v>
      </c>
      <c r="V5918" s="22">
        <f>3.8/5</f>
        <v>0.76</v>
      </c>
      <c r="X5918" s="3">
        <v>3</v>
      </c>
      <c r="Z5918" s="23">
        <v>9</v>
      </c>
      <c r="AB5918" s="18">
        <f t="shared" si="184"/>
        <v>2007</v>
      </c>
      <c r="AC5918" s="22">
        <f t="shared" si="185"/>
        <v>0.7400000000000001</v>
      </c>
    </row>
    <row r="5919" spans="1:29" ht="30">
      <c r="A5919" s="8" t="s">
        <v>5975</v>
      </c>
      <c r="B5919" s="17" t="s">
        <v>7759</v>
      </c>
      <c r="C5919" s="13">
        <v>39147</v>
      </c>
      <c r="D5919" s="13" t="s">
        <v>8465</v>
      </c>
      <c r="E5919" s="10" t="s">
        <v>2908</v>
      </c>
      <c r="F5919" s="10" t="s">
        <v>5976</v>
      </c>
      <c r="G5919" s="11" t="s">
        <v>5975</v>
      </c>
      <c r="H5919" s="2" t="s">
        <v>150</v>
      </c>
      <c r="L5919" s="18">
        <v>1</v>
      </c>
      <c r="M5919" s="14" t="s">
        <v>8462</v>
      </c>
      <c r="N5919" s="13">
        <v>43477</v>
      </c>
      <c r="O5919" s="29">
        <v>7.95</v>
      </c>
      <c r="P5919" s="18" t="s">
        <v>14</v>
      </c>
      <c r="Q5919" s="18">
        <v>0</v>
      </c>
      <c r="U5919" s="22">
        <v>0.82</v>
      </c>
      <c r="V5919" s="22">
        <f>3.54/5</f>
        <v>0.70799999999999996</v>
      </c>
      <c r="X5919" s="3">
        <v>3</v>
      </c>
      <c r="Z5919" s="23">
        <v>14.5</v>
      </c>
      <c r="AB5919" s="18">
        <f t="shared" si="184"/>
        <v>2007</v>
      </c>
      <c r="AC5919" s="22">
        <f t="shared" si="185"/>
        <v>0.70933333333333337</v>
      </c>
    </row>
    <row r="5920" spans="1:29">
      <c r="A5920" s="8" t="s">
        <v>6689</v>
      </c>
      <c r="B5920" s="17" t="s">
        <v>7758</v>
      </c>
      <c r="C5920" s="13">
        <v>39147</v>
      </c>
      <c r="D5920" s="13" t="s">
        <v>8465</v>
      </c>
      <c r="E5920" s="10" t="s">
        <v>231</v>
      </c>
      <c r="F5920" s="10" t="s">
        <v>6690</v>
      </c>
      <c r="G5920" s="11" t="s">
        <v>3394</v>
      </c>
      <c r="H5920" s="2" t="s">
        <v>150</v>
      </c>
      <c r="L5920" s="18">
        <v>0</v>
      </c>
      <c r="Q5920" s="18">
        <v>0</v>
      </c>
      <c r="U5920" s="22">
        <v>0.76</v>
      </c>
      <c r="V5920" s="22">
        <f>3.7/5</f>
        <v>0.74</v>
      </c>
      <c r="X5920" s="3">
        <v>3</v>
      </c>
      <c r="Z5920" s="23">
        <v>14</v>
      </c>
      <c r="AB5920" s="18">
        <f t="shared" si="184"/>
        <v>2007</v>
      </c>
      <c r="AC5920" s="22">
        <f t="shared" si="185"/>
        <v>0.70000000000000007</v>
      </c>
    </row>
    <row r="5921" spans="1:29" ht="30">
      <c r="A5921" s="8" t="s">
        <v>2217</v>
      </c>
      <c r="B5921" s="17" t="s">
        <v>7748</v>
      </c>
      <c r="C5921" s="13">
        <v>39147</v>
      </c>
      <c r="D5921" s="13" t="s">
        <v>8465</v>
      </c>
      <c r="E5921" s="10" t="s">
        <v>2317</v>
      </c>
      <c r="F5921" s="10" t="s">
        <v>1794</v>
      </c>
      <c r="G5921" s="11" t="s">
        <v>2217</v>
      </c>
      <c r="H5921" s="2" t="s">
        <v>171</v>
      </c>
      <c r="L5921" s="18">
        <v>0</v>
      </c>
      <c r="Q5921" s="18">
        <v>0</v>
      </c>
      <c r="U5921" s="22">
        <v>0.63</v>
      </c>
      <c r="V5921" s="22">
        <f>3.45/5</f>
        <v>0.69000000000000006</v>
      </c>
      <c r="X5921" s="3">
        <v>3</v>
      </c>
      <c r="Z5921" s="23">
        <v>15.5</v>
      </c>
      <c r="AB5921" s="18">
        <f t="shared" si="184"/>
        <v>2007</v>
      </c>
      <c r="AC5921" s="22">
        <f t="shared" si="185"/>
        <v>0.64</v>
      </c>
    </row>
    <row r="5922" spans="1:29" ht="25.5">
      <c r="A5922" s="8" t="s">
        <v>2230</v>
      </c>
      <c r="B5922" s="17" t="s">
        <v>7748</v>
      </c>
      <c r="C5922" s="13">
        <v>39146</v>
      </c>
      <c r="D5922" s="13" t="s">
        <v>8465</v>
      </c>
      <c r="E5922" s="10" t="s">
        <v>86</v>
      </c>
      <c r="F5922" s="10" t="s">
        <v>2322</v>
      </c>
      <c r="G5922" s="11" t="s">
        <v>1428</v>
      </c>
      <c r="H5922" s="2" t="s">
        <v>56</v>
      </c>
      <c r="L5922" s="18">
        <v>0</v>
      </c>
      <c r="Q5922" s="18">
        <v>0</v>
      </c>
      <c r="U5922" s="22">
        <v>0.62</v>
      </c>
      <c r="V5922" s="22">
        <f>3.36/5</f>
        <v>0.67199999999999993</v>
      </c>
      <c r="X5922" s="3">
        <v>3</v>
      </c>
      <c r="Z5922" s="23">
        <v>9</v>
      </c>
      <c r="AB5922" s="18">
        <f t="shared" si="184"/>
        <v>2007</v>
      </c>
      <c r="AC5922" s="22">
        <f t="shared" si="185"/>
        <v>0.6306666666666666</v>
      </c>
    </row>
    <row r="5923" spans="1:29">
      <c r="A5923" s="8" t="s">
        <v>11299</v>
      </c>
      <c r="B5923" s="17" t="s">
        <v>7748</v>
      </c>
      <c r="C5923" s="13">
        <v>39142</v>
      </c>
      <c r="D5923" s="13" t="s">
        <v>8463</v>
      </c>
      <c r="E5923" s="10" t="s">
        <v>470</v>
      </c>
      <c r="F5923" s="10" t="s">
        <v>470</v>
      </c>
      <c r="G5923" s="11" t="s">
        <v>299</v>
      </c>
      <c r="H5923" s="2" t="s">
        <v>75</v>
      </c>
      <c r="K5923" s="18">
        <v>2</v>
      </c>
      <c r="L5923" s="18">
        <v>0</v>
      </c>
      <c r="Q5923" s="18">
        <v>0</v>
      </c>
      <c r="V5923" s="22">
        <f>4.2/5</f>
        <v>0.84000000000000008</v>
      </c>
      <c r="X5923" s="3">
        <v>3</v>
      </c>
      <c r="Z5923" s="23">
        <v>37</v>
      </c>
      <c r="AB5923" s="18">
        <f t="shared" si="184"/>
        <v>2007</v>
      </c>
      <c r="AC5923" s="22">
        <f t="shared" si="185"/>
        <v>0.72</v>
      </c>
    </row>
    <row r="5924" spans="1:29" ht="30">
      <c r="A5924" s="8" t="s">
        <v>394</v>
      </c>
      <c r="B5924" s="17" t="s">
        <v>6317</v>
      </c>
      <c r="C5924" s="12">
        <v>39142</v>
      </c>
      <c r="D5924" s="13" t="s">
        <v>8465</v>
      </c>
      <c r="E5924" s="10" t="s">
        <v>548</v>
      </c>
      <c r="F5924" s="10" t="s">
        <v>548</v>
      </c>
      <c r="G5924" s="11" t="s">
        <v>549</v>
      </c>
      <c r="H5924" s="2" t="s">
        <v>153</v>
      </c>
      <c r="L5924" s="18">
        <v>0</v>
      </c>
      <c r="Q5924" s="18">
        <v>0</v>
      </c>
      <c r="V5924" s="22">
        <f>3/5</f>
        <v>0.6</v>
      </c>
      <c r="X5924" s="3">
        <v>3</v>
      </c>
      <c r="AB5924" s="18">
        <f t="shared" si="184"/>
        <v>2007</v>
      </c>
      <c r="AC5924" s="22">
        <f t="shared" si="185"/>
        <v>0.6</v>
      </c>
    </row>
    <row r="5925" spans="1:29" ht="25.5">
      <c r="A5925" s="8" t="s">
        <v>4194</v>
      </c>
      <c r="B5925" s="17" t="s">
        <v>7800</v>
      </c>
      <c r="C5925" s="13">
        <v>39140</v>
      </c>
      <c r="D5925" s="13" t="s">
        <v>8465</v>
      </c>
      <c r="E5925" s="10" t="s">
        <v>3740</v>
      </c>
      <c r="F5925" s="10" t="s">
        <v>1161</v>
      </c>
      <c r="H5925" s="2" t="s">
        <v>171</v>
      </c>
      <c r="L5925" s="18">
        <v>1</v>
      </c>
      <c r="N5925" s="13">
        <v>41799</v>
      </c>
      <c r="O5925" s="29">
        <v>3.32</v>
      </c>
      <c r="P5925" s="18" t="s">
        <v>1107</v>
      </c>
      <c r="Q5925" s="18">
        <v>0</v>
      </c>
      <c r="U5925" s="22">
        <v>0.81</v>
      </c>
      <c r="V5925" s="22">
        <f>3.9/5</f>
        <v>0.78</v>
      </c>
      <c r="W5925" s="14" t="s">
        <v>7777</v>
      </c>
      <c r="X5925" s="3">
        <v>4</v>
      </c>
      <c r="Z5925" s="23">
        <v>15</v>
      </c>
      <c r="AB5925" s="18">
        <f t="shared" si="184"/>
        <v>2007</v>
      </c>
      <c r="AC5925" s="22">
        <f t="shared" si="185"/>
        <v>0.79666666666666675</v>
      </c>
    </row>
    <row r="5926" spans="1:29">
      <c r="A5926" s="8" t="s">
        <v>6736</v>
      </c>
      <c r="B5926" s="17" t="s">
        <v>7741</v>
      </c>
      <c r="C5926" s="13">
        <v>39140</v>
      </c>
      <c r="D5926" s="13" t="s">
        <v>8465</v>
      </c>
      <c r="E5926" s="10" t="s">
        <v>6732</v>
      </c>
      <c r="F5926" s="10" t="s">
        <v>5920</v>
      </c>
      <c r="G5926" s="11" t="s">
        <v>6021</v>
      </c>
      <c r="H5926" s="2" t="s">
        <v>255</v>
      </c>
      <c r="L5926" s="18">
        <v>0</v>
      </c>
      <c r="Q5926" s="18">
        <v>0</v>
      </c>
      <c r="U5926" s="22">
        <v>0.75</v>
      </c>
      <c r="V5926" s="22">
        <f>3.08/5</f>
        <v>0.61599999999999999</v>
      </c>
      <c r="X5926" s="3">
        <v>3</v>
      </c>
      <c r="Z5926" s="23">
        <v>10</v>
      </c>
      <c r="AB5926" s="18">
        <f t="shared" si="184"/>
        <v>2007</v>
      </c>
      <c r="AC5926" s="22">
        <f t="shared" si="185"/>
        <v>0.65533333333333343</v>
      </c>
    </row>
    <row r="5927" spans="1:29" ht="25.5">
      <c r="A5927" s="8" t="s">
        <v>14833</v>
      </c>
      <c r="B5927" s="17" t="s">
        <v>7800</v>
      </c>
      <c r="C5927" s="13">
        <v>39136</v>
      </c>
      <c r="D5927" s="13" t="s">
        <v>8465</v>
      </c>
      <c r="E5927" s="10" t="s">
        <v>14834</v>
      </c>
      <c r="F5927" s="10" t="s">
        <v>5015</v>
      </c>
      <c r="H5927" s="2" t="s">
        <v>1143</v>
      </c>
      <c r="L5927" s="18">
        <v>0</v>
      </c>
      <c r="Q5927" s="18">
        <v>0</v>
      </c>
      <c r="U5927" s="22">
        <v>0.73</v>
      </c>
      <c r="V5927" s="22">
        <f>3.81/5</f>
        <v>0.76200000000000001</v>
      </c>
      <c r="X5927" s="3">
        <v>2</v>
      </c>
      <c r="Z5927" s="23">
        <v>10</v>
      </c>
      <c r="AB5927" s="18">
        <f t="shared" si="184"/>
        <v>2007</v>
      </c>
      <c r="AC5927" s="22">
        <f t="shared" si="185"/>
        <v>0.6306666666666666</v>
      </c>
    </row>
    <row r="5928" spans="1:29">
      <c r="A5928" s="8" t="s">
        <v>11008</v>
      </c>
      <c r="B5928" s="17" t="s">
        <v>7755</v>
      </c>
      <c r="C5928" s="13">
        <v>39135</v>
      </c>
      <c r="D5928" s="13" t="s">
        <v>8463</v>
      </c>
      <c r="E5928" s="10" t="s">
        <v>559</v>
      </c>
      <c r="F5928" s="10" t="s">
        <v>559</v>
      </c>
      <c r="H5928" s="2" t="s">
        <v>21</v>
      </c>
      <c r="K5928" s="18">
        <v>0</v>
      </c>
      <c r="L5928" s="18">
        <v>0</v>
      </c>
      <c r="Q5928" s="18">
        <v>0</v>
      </c>
      <c r="V5928" s="22">
        <f>3.95/5</f>
        <v>0.79</v>
      </c>
      <c r="X5928" s="3">
        <v>3</v>
      </c>
      <c r="Z5928" s="23">
        <f>53/60</f>
        <v>0.8833333333333333</v>
      </c>
      <c r="AB5928" s="18">
        <f t="shared" si="184"/>
        <v>2007</v>
      </c>
      <c r="AC5928" s="22">
        <f t="shared" si="185"/>
        <v>0.69500000000000006</v>
      </c>
    </row>
    <row r="5929" spans="1:29">
      <c r="A5929" s="8" t="s">
        <v>5213</v>
      </c>
      <c r="B5929" s="17" t="s">
        <v>7800</v>
      </c>
      <c r="C5929" s="13">
        <v>39133</v>
      </c>
      <c r="D5929" s="13" t="s">
        <v>8465</v>
      </c>
      <c r="E5929" s="10" t="s">
        <v>1342</v>
      </c>
      <c r="F5929" s="10" t="s">
        <v>3738</v>
      </c>
      <c r="G5929" s="11" t="s">
        <v>5213</v>
      </c>
      <c r="H5929" s="2" t="s">
        <v>1143</v>
      </c>
      <c r="L5929" s="18">
        <v>1</v>
      </c>
      <c r="N5929" s="13">
        <v>41139</v>
      </c>
      <c r="O5929" s="29">
        <v>2.4900000000000002</v>
      </c>
      <c r="P5929" s="18" t="s">
        <v>1107</v>
      </c>
      <c r="Q5929" s="18">
        <v>0</v>
      </c>
      <c r="U5929" s="22">
        <v>0.87</v>
      </c>
      <c r="V5929" s="22">
        <f>3.93/5</f>
        <v>0.78600000000000003</v>
      </c>
      <c r="W5929" s="14" t="s">
        <v>7777</v>
      </c>
      <c r="X5929" s="3">
        <v>4</v>
      </c>
      <c r="Z5929" s="23">
        <v>18.5</v>
      </c>
      <c r="AB5929" s="18">
        <f t="shared" si="184"/>
        <v>2007</v>
      </c>
      <c r="AC5929" s="22">
        <f t="shared" si="185"/>
        <v>0.81866666666666676</v>
      </c>
    </row>
    <row r="5930" spans="1:29">
      <c r="A5930" s="8" t="s">
        <v>6311</v>
      </c>
      <c r="B5930" s="17" t="s">
        <v>7765</v>
      </c>
      <c r="C5930" s="13">
        <v>39133</v>
      </c>
      <c r="D5930" s="13" t="s">
        <v>8465</v>
      </c>
      <c r="E5930" s="10" t="s">
        <v>3740</v>
      </c>
      <c r="F5930" s="10" t="s">
        <v>6312</v>
      </c>
      <c r="G5930" s="11" t="s">
        <v>6311</v>
      </c>
      <c r="H5930" s="2" t="s">
        <v>80</v>
      </c>
      <c r="L5930" s="18">
        <v>1</v>
      </c>
      <c r="P5930" s="18" t="s">
        <v>1107</v>
      </c>
      <c r="Q5930" s="18">
        <v>0</v>
      </c>
      <c r="U5930" s="22">
        <v>0.83</v>
      </c>
      <c r="V5930" s="22">
        <f>3.68/5</f>
        <v>0.73599999999999999</v>
      </c>
      <c r="X5930" s="3">
        <v>3</v>
      </c>
      <c r="Z5930" s="23">
        <v>10.5</v>
      </c>
      <c r="AB5930" s="18">
        <f t="shared" si="184"/>
        <v>2007</v>
      </c>
      <c r="AC5930" s="22">
        <f t="shared" si="185"/>
        <v>0.72199999999999998</v>
      </c>
    </row>
    <row r="5931" spans="1:29" ht="25.5">
      <c r="A5931" s="8" t="s">
        <v>2183</v>
      </c>
      <c r="B5931" s="17" t="s">
        <v>7748</v>
      </c>
      <c r="C5931" s="13">
        <v>39133</v>
      </c>
      <c r="D5931" s="13" t="s">
        <v>8465</v>
      </c>
      <c r="E5931" s="10" t="s">
        <v>228</v>
      </c>
      <c r="F5931" s="10" t="s">
        <v>2307</v>
      </c>
      <c r="G5931" s="11" t="s">
        <v>2308</v>
      </c>
      <c r="H5931" s="2" t="s">
        <v>1377</v>
      </c>
      <c r="L5931" s="18">
        <v>0</v>
      </c>
      <c r="Q5931" s="18">
        <v>0</v>
      </c>
      <c r="U5931" s="22">
        <v>0.64</v>
      </c>
      <c r="V5931" s="22">
        <f>3.52/5</f>
        <v>0.70399999999999996</v>
      </c>
      <c r="X5931" s="3">
        <v>3</v>
      </c>
      <c r="Z5931" s="23">
        <v>18.5</v>
      </c>
      <c r="AB5931" s="18">
        <f t="shared" si="184"/>
        <v>2007</v>
      </c>
      <c r="AC5931" s="22">
        <f t="shared" si="185"/>
        <v>0.64800000000000002</v>
      </c>
    </row>
    <row r="5932" spans="1:29" ht="25.5">
      <c r="A5932" s="8" t="s">
        <v>7397</v>
      </c>
      <c r="B5932" s="17" t="s">
        <v>7741</v>
      </c>
      <c r="C5932" s="13">
        <v>39133</v>
      </c>
      <c r="D5932" s="13" t="s">
        <v>8465</v>
      </c>
      <c r="E5932" s="10" t="s">
        <v>455</v>
      </c>
      <c r="F5932" s="10" t="s">
        <v>1492</v>
      </c>
      <c r="G5932" s="11" t="s">
        <v>1688</v>
      </c>
      <c r="H5932" s="2" t="s">
        <v>1040</v>
      </c>
      <c r="L5932" s="18">
        <v>0</v>
      </c>
      <c r="Q5932" s="18">
        <v>0</v>
      </c>
      <c r="U5932" s="22">
        <v>0.71</v>
      </c>
      <c r="V5932" s="22">
        <f>2.96/5</f>
        <v>0.59199999999999997</v>
      </c>
      <c r="X5932" s="3">
        <v>3</v>
      </c>
      <c r="Z5932" s="23">
        <v>8</v>
      </c>
      <c r="AB5932" s="18">
        <f t="shared" si="184"/>
        <v>2007</v>
      </c>
      <c r="AC5932" s="22">
        <f t="shared" si="185"/>
        <v>0.63400000000000001</v>
      </c>
    </row>
    <row r="5933" spans="1:29">
      <c r="A5933" s="8" t="s">
        <v>15334</v>
      </c>
      <c r="B5933" s="17" t="s">
        <v>7748</v>
      </c>
      <c r="C5933" s="13">
        <v>39133</v>
      </c>
      <c r="D5933" s="13" t="s">
        <v>8465</v>
      </c>
      <c r="E5933" s="10" t="s">
        <v>6262</v>
      </c>
      <c r="F5933" s="10" t="s">
        <v>2139</v>
      </c>
      <c r="G5933" s="11" t="s">
        <v>2119</v>
      </c>
      <c r="H5933" s="2" t="s">
        <v>78</v>
      </c>
      <c r="L5933" s="18">
        <v>0</v>
      </c>
      <c r="Q5933" s="18">
        <v>0</v>
      </c>
      <c r="U5933" s="22">
        <v>0.74</v>
      </c>
      <c r="V5933" s="22">
        <f>3.63/5</f>
        <v>0.72599999999999998</v>
      </c>
      <c r="X5933" s="3">
        <v>2</v>
      </c>
      <c r="Z5933" s="23">
        <v>1.5</v>
      </c>
      <c r="AB5933" s="18">
        <f t="shared" si="184"/>
        <v>2007</v>
      </c>
      <c r="AC5933" s="22">
        <f t="shared" si="185"/>
        <v>0.622</v>
      </c>
    </row>
    <row r="5934" spans="1:29" ht="30">
      <c r="A5934" s="8" t="s">
        <v>9413</v>
      </c>
      <c r="B5934" s="17" t="s">
        <v>7762</v>
      </c>
      <c r="C5934" s="13">
        <v>39132</v>
      </c>
      <c r="D5934" s="13" t="s">
        <v>8465</v>
      </c>
      <c r="E5934" s="10" t="s">
        <v>228</v>
      </c>
      <c r="F5934" s="10" t="s">
        <v>9414</v>
      </c>
      <c r="H5934" s="2" t="s">
        <v>149</v>
      </c>
      <c r="L5934" s="18">
        <v>0</v>
      </c>
      <c r="Q5934" s="18">
        <v>0</v>
      </c>
      <c r="U5934" s="22">
        <v>0.66</v>
      </c>
      <c r="V5934" s="22">
        <f>3.57/5</f>
        <v>0.71399999999999997</v>
      </c>
      <c r="X5934" s="3">
        <v>3</v>
      </c>
      <c r="Z5934" s="23">
        <v>26</v>
      </c>
      <c r="AB5934" s="18">
        <f t="shared" si="184"/>
        <v>2007</v>
      </c>
      <c r="AC5934" s="22">
        <f t="shared" si="185"/>
        <v>0.65800000000000003</v>
      </c>
    </row>
    <row r="5935" spans="1:29">
      <c r="A5935" s="8" t="s">
        <v>11181</v>
      </c>
      <c r="B5935" s="17" t="s">
        <v>7748</v>
      </c>
      <c r="C5935" s="13">
        <v>39128</v>
      </c>
      <c r="D5935" s="13" t="s">
        <v>8463</v>
      </c>
      <c r="E5935" s="10" t="s">
        <v>72</v>
      </c>
      <c r="F5935" s="10" t="s">
        <v>72</v>
      </c>
      <c r="G5935" s="11" t="s">
        <v>11182</v>
      </c>
      <c r="H5935" s="2" t="s">
        <v>1057</v>
      </c>
      <c r="K5935" s="18">
        <v>2</v>
      </c>
      <c r="L5935" s="18">
        <v>0</v>
      </c>
      <c r="Q5935" s="18">
        <v>0</v>
      </c>
      <c r="V5935" s="22">
        <f>3.78/5</f>
        <v>0.75600000000000001</v>
      </c>
      <c r="X5935" s="3">
        <v>2</v>
      </c>
      <c r="AB5935" s="18">
        <f t="shared" si="184"/>
        <v>2007</v>
      </c>
      <c r="AC5935" s="22">
        <f t="shared" si="185"/>
        <v>0.57800000000000007</v>
      </c>
    </row>
    <row r="5936" spans="1:29" ht="30">
      <c r="A5936" s="8" t="s">
        <v>6250</v>
      </c>
      <c r="B5936" s="17" t="s">
        <v>7762</v>
      </c>
      <c r="C5936" s="13">
        <v>39126</v>
      </c>
      <c r="D5936" s="13" t="s">
        <v>8465</v>
      </c>
      <c r="E5936" s="10" t="s">
        <v>1290</v>
      </c>
      <c r="F5936" s="10" t="s">
        <v>5881</v>
      </c>
      <c r="G5936" s="11" t="s">
        <v>5853</v>
      </c>
      <c r="H5936" s="2" t="s">
        <v>1040</v>
      </c>
      <c r="L5936" s="18">
        <v>0</v>
      </c>
      <c r="Q5936" s="18">
        <v>0</v>
      </c>
      <c r="U5936" s="22">
        <v>0.85</v>
      </c>
      <c r="V5936" s="22">
        <f>3.82/5</f>
        <v>0.76400000000000001</v>
      </c>
      <c r="X5936" s="3">
        <v>4</v>
      </c>
      <c r="Z5936" s="23">
        <v>7</v>
      </c>
      <c r="AB5936" s="18">
        <f t="shared" si="184"/>
        <v>2007</v>
      </c>
      <c r="AC5936" s="22">
        <f t="shared" si="185"/>
        <v>0.80466666666666653</v>
      </c>
    </row>
    <row r="5937" spans="1:29">
      <c r="A5937" s="8" t="s">
        <v>9238</v>
      </c>
      <c r="B5937" s="17" t="s">
        <v>7758</v>
      </c>
      <c r="C5937" s="13">
        <v>39126</v>
      </c>
      <c r="D5937" s="13" t="s">
        <v>8465</v>
      </c>
      <c r="E5937" s="10" t="s">
        <v>66</v>
      </c>
      <c r="F5937" s="10" t="s">
        <v>5873</v>
      </c>
      <c r="H5937" s="2" t="s">
        <v>1334</v>
      </c>
      <c r="L5937" s="18">
        <v>0</v>
      </c>
      <c r="Q5937" s="18">
        <v>0</v>
      </c>
      <c r="U5937" s="22">
        <v>0.56999999999999995</v>
      </c>
      <c r="V5937" s="22">
        <f>3.68/5</f>
        <v>0.73599999999999999</v>
      </c>
      <c r="X5937" s="3">
        <v>3</v>
      </c>
      <c r="Z5937" s="23">
        <v>14.5</v>
      </c>
      <c r="AB5937" s="18">
        <f t="shared" si="184"/>
        <v>2007</v>
      </c>
      <c r="AC5937" s="22">
        <f t="shared" si="185"/>
        <v>0.63533333333333342</v>
      </c>
    </row>
    <row r="5938" spans="1:29">
      <c r="A5938" s="8" t="s">
        <v>15101</v>
      </c>
      <c r="B5938" s="17" t="s">
        <v>7758</v>
      </c>
      <c r="C5938" s="13">
        <v>39126</v>
      </c>
      <c r="D5938" s="13" t="s">
        <v>8465</v>
      </c>
      <c r="E5938" s="10" t="s">
        <v>15102</v>
      </c>
      <c r="F5938" s="10" t="s">
        <v>9403</v>
      </c>
      <c r="G5938" s="11" t="s">
        <v>15101</v>
      </c>
      <c r="H5938" s="2" t="s">
        <v>153</v>
      </c>
      <c r="L5938" s="18">
        <v>0</v>
      </c>
      <c r="Q5938" s="18">
        <v>0</v>
      </c>
      <c r="U5938" s="22">
        <v>0.54</v>
      </c>
      <c r="V5938" s="22">
        <f>4.24/5</f>
        <v>0.84800000000000009</v>
      </c>
      <c r="X5938" s="3">
        <v>2</v>
      </c>
      <c r="Z5938" s="23">
        <v>4</v>
      </c>
      <c r="AB5938" s="18">
        <f t="shared" si="184"/>
        <v>2007</v>
      </c>
      <c r="AC5938" s="22">
        <f t="shared" si="185"/>
        <v>0.59600000000000009</v>
      </c>
    </row>
    <row r="5939" spans="1:29" ht="30">
      <c r="A5939" s="8" t="s">
        <v>9075</v>
      </c>
      <c r="B5939" s="17" t="s">
        <v>7762</v>
      </c>
      <c r="C5939" s="13">
        <v>39122</v>
      </c>
      <c r="D5939" s="13" t="s">
        <v>8467</v>
      </c>
      <c r="E5939" s="10" t="s">
        <v>2908</v>
      </c>
      <c r="F5939" s="10" t="s">
        <v>3029</v>
      </c>
      <c r="G5939" s="11" t="s">
        <v>9074</v>
      </c>
      <c r="H5939" s="2" t="s">
        <v>245</v>
      </c>
      <c r="L5939" s="18">
        <v>0</v>
      </c>
      <c r="Q5939" s="18">
        <v>0</v>
      </c>
      <c r="V5939" s="22">
        <f>3.66/5</f>
        <v>0.73199999999999998</v>
      </c>
      <c r="X5939" s="3">
        <v>2</v>
      </c>
      <c r="Z5939" s="23">
        <v>5.5</v>
      </c>
      <c r="AB5939" s="18">
        <f t="shared" si="184"/>
        <v>2007</v>
      </c>
      <c r="AC5939" s="22">
        <f t="shared" si="185"/>
        <v>0.56600000000000006</v>
      </c>
    </row>
    <row r="5940" spans="1:29" ht="25.5">
      <c r="A5940" s="8" t="s">
        <v>5793</v>
      </c>
      <c r="B5940" s="17" t="s">
        <v>7758</v>
      </c>
      <c r="C5940" s="13">
        <v>39119</v>
      </c>
      <c r="D5940" s="13" t="s">
        <v>8465</v>
      </c>
      <c r="E5940" s="10" t="s">
        <v>1062</v>
      </c>
      <c r="F5940" s="10" t="s">
        <v>2286</v>
      </c>
      <c r="G5940" s="11" t="s">
        <v>5863</v>
      </c>
      <c r="H5940" s="2" t="s">
        <v>149</v>
      </c>
      <c r="L5940" s="18">
        <v>0</v>
      </c>
      <c r="Q5940" s="18">
        <v>0</v>
      </c>
      <c r="U5940" s="22">
        <v>0.72</v>
      </c>
      <c r="V5940" s="22">
        <f>3.98/5</f>
        <v>0.79600000000000004</v>
      </c>
      <c r="X5940" s="3">
        <v>4</v>
      </c>
      <c r="Z5940" s="23">
        <v>29.5</v>
      </c>
      <c r="AB5940" s="18">
        <f t="shared" si="184"/>
        <v>2007</v>
      </c>
      <c r="AC5940" s="22">
        <f t="shared" si="185"/>
        <v>0.77199999999999991</v>
      </c>
    </row>
    <row r="5941" spans="1:29">
      <c r="A5941" s="8" t="s">
        <v>2196</v>
      </c>
      <c r="B5941" s="17" t="s">
        <v>7748</v>
      </c>
      <c r="C5941" s="13">
        <v>39119</v>
      </c>
      <c r="D5941" s="13" t="s">
        <v>8465</v>
      </c>
      <c r="E5941" s="10" t="s">
        <v>72</v>
      </c>
      <c r="F5941" s="10" t="s">
        <v>1940</v>
      </c>
      <c r="G5941" s="11" t="s">
        <v>1941</v>
      </c>
      <c r="H5941" s="2" t="s">
        <v>171</v>
      </c>
      <c r="L5941" s="18">
        <v>0</v>
      </c>
      <c r="Q5941" s="18">
        <v>0</v>
      </c>
      <c r="U5941" s="22">
        <v>0.82</v>
      </c>
      <c r="V5941" s="22">
        <f>3.73/5</f>
        <v>0.746</v>
      </c>
      <c r="X5941" s="3">
        <v>3</v>
      </c>
      <c r="Z5941" s="23">
        <v>11</v>
      </c>
      <c r="AB5941" s="18">
        <f t="shared" si="184"/>
        <v>2007</v>
      </c>
      <c r="AC5941" s="22">
        <f t="shared" si="185"/>
        <v>0.72199999999999998</v>
      </c>
    </row>
    <row r="5942" spans="1:29" ht="30">
      <c r="A5942" s="8" t="s">
        <v>14480</v>
      </c>
      <c r="B5942" s="17" t="s">
        <v>7758</v>
      </c>
      <c r="C5942" s="13">
        <v>39119</v>
      </c>
      <c r="D5942" s="13" t="s">
        <v>8465</v>
      </c>
      <c r="E5942" s="10" t="s">
        <v>68</v>
      </c>
      <c r="F5942" s="10" t="s">
        <v>68</v>
      </c>
      <c r="G5942" s="11" t="s">
        <v>40</v>
      </c>
      <c r="H5942" s="2" t="s">
        <v>69</v>
      </c>
      <c r="L5942" s="18">
        <v>0</v>
      </c>
      <c r="Q5942" s="18">
        <v>0</v>
      </c>
      <c r="U5942" s="22">
        <v>0.7</v>
      </c>
      <c r="V5942" s="22">
        <f>4.1/5</f>
        <v>0.82</v>
      </c>
      <c r="X5942" s="3">
        <v>2</v>
      </c>
      <c r="Z5942" s="23">
        <v>37</v>
      </c>
      <c r="AB5942" s="18">
        <f t="shared" si="184"/>
        <v>2007</v>
      </c>
      <c r="AC5942" s="22">
        <f t="shared" si="185"/>
        <v>0.64</v>
      </c>
    </row>
    <row r="5943" spans="1:29" ht="30">
      <c r="A5943" s="8" t="s">
        <v>2051</v>
      </c>
      <c r="B5943" s="17" t="s">
        <v>7747</v>
      </c>
      <c r="C5943" s="13">
        <v>39118</v>
      </c>
      <c r="D5943" s="13" t="s">
        <v>8465</v>
      </c>
      <c r="E5943" s="10" t="s">
        <v>86</v>
      </c>
      <c r="F5943" s="10" t="s">
        <v>58</v>
      </c>
      <c r="G5943" s="11" t="s">
        <v>126</v>
      </c>
      <c r="H5943" s="2" t="s">
        <v>149</v>
      </c>
      <c r="L5943" s="18">
        <v>0</v>
      </c>
      <c r="Q5943" s="18">
        <v>0</v>
      </c>
      <c r="U5943" s="22">
        <v>0.91</v>
      </c>
      <c r="V5943" s="22">
        <f>4.44/5</f>
        <v>0.88800000000000012</v>
      </c>
      <c r="X5943" s="3">
        <v>4</v>
      </c>
      <c r="Y5943" s="18">
        <v>1</v>
      </c>
      <c r="Z5943" s="23">
        <v>32.5</v>
      </c>
      <c r="AB5943" s="18">
        <f t="shared" si="184"/>
        <v>2007</v>
      </c>
      <c r="AC5943" s="22">
        <f t="shared" si="185"/>
        <v>0.86599999999999999</v>
      </c>
    </row>
    <row r="5944" spans="1:29">
      <c r="A5944" s="8" t="s">
        <v>3974</v>
      </c>
      <c r="B5944" s="17" t="s">
        <v>7800</v>
      </c>
      <c r="C5944" s="13">
        <v>39117</v>
      </c>
      <c r="D5944" s="13" t="s">
        <v>8465</v>
      </c>
      <c r="E5944" s="10" t="s">
        <v>3234</v>
      </c>
      <c r="F5944" s="10" t="s">
        <v>3234</v>
      </c>
      <c r="G5944" s="11" t="s">
        <v>3971</v>
      </c>
      <c r="H5944" s="2" t="s">
        <v>1720</v>
      </c>
      <c r="L5944" s="18">
        <v>1</v>
      </c>
      <c r="N5944" s="13">
        <v>41114</v>
      </c>
      <c r="P5944" s="18" t="s">
        <v>1107</v>
      </c>
      <c r="Q5944" s="18">
        <v>0</v>
      </c>
      <c r="U5944" s="22">
        <v>0.83</v>
      </c>
      <c r="V5944" s="22">
        <f>4/5</f>
        <v>0.8</v>
      </c>
      <c r="W5944" s="14" t="s">
        <v>7777</v>
      </c>
      <c r="X5944" s="3">
        <v>2</v>
      </c>
      <c r="Z5944" s="23">
        <v>7.5</v>
      </c>
      <c r="AB5944" s="18">
        <f t="shared" si="184"/>
        <v>2007</v>
      </c>
      <c r="AC5944" s="22">
        <f t="shared" si="185"/>
        <v>0.67666666666666664</v>
      </c>
    </row>
    <row r="5945" spans="1:29">
      <c r="A5945" s="8" t="s">
        <v>5854</v>
      </c>
      <c r="B5945" s="17" t="s">
        <v>7758</v>
      </c>
      <c r="C5945" s="13">
        <v>39112</v>
      </c>
      <c r="D5945" s="13" t="s">
        <v>8465</v>
      </c>
      <c r="E5945" s="10" t="s">
        <v>1290</v>
      </c>
      <c r="F5945" s="10" t="s">
        <v>2129</v>
      </c>
      <c r="H5945" s="2" t="s">
        <v>149</v>
      </c>
      <c r="L5945" s="18">
        <v>0</v>
      </c>
      <c r="Q5945" s="18">
        <v>0</v>
      </c>
      <c r="U5945" s="22">
        <v>0.82</v>
      </c>
      <c r="V5945" s="22">
        <f>4.06/5</f>
        <v>0.81199999999999994</v>
      </c>
      <c r="X5945" s="3">
        <v>4</v>
      </c>
      <c r="Z5945" s="23">
        <v>37.5</v>
      </c>
      <c r="AB5945" s="18">
        <f t="shared" si="184"/>
        <v>2007</v>
      </c>
      <c r="AC5945" s="22">
        <f t="shared" si="185"/>
        <v>0.81066666666666665</v>
      </c>
    </row>
    <row r="5946" spans="1:29">
      <c r="A5946" s="8" t="s">
        <v>3276</v>
      </c>
      <c r="B5946" s="17" t="s">
        <v>7800</v>
      </c>
      <c r="C5946" s="13">
        <v>39112</v>
      </c>
      <c r="D5946" s="13" t="s">
        <v>8465</v>
      </c>
      <c r="E5946" s="10" t="s">
        <v>1870</v>
      </c>
      <c r="F5946" s="10" t="s">
        <v>3277</v>
      </c>
      <c r="G5946" s="11" t="s">
        <v>3278</v>
      </c>
      <c r="H5946" s="2" t="s">
        <v>3279</v>
      </c>
      <c r="L5946" s="18">
        <v>1</v>
      </c>
      <c r="N5946" s="13">
        <v>41842</v>
      </c>
      <c r="P5946" s="18" t="s">
        <v>1107</v>
      </c>
      <c r="Q5946" s="18">
        <v>0</v>
      </c>
      <c r="U5946" s="22">
        <v>0.77</v>
      </c>
      <c r="V5946" s="22">
        <f>3.45/5</f>
        <v>0.69000000000000006</v>
      </c>
      <c r="W5946" s="14" t="s">
        <v>7777</v>
      </c>
      <c r="X5946" s="3">
        <v>3</v>
      </c>
      <c r="Z5946" s="23">
        <v>3.5</v>
      </c>
      <c r="AB5946" s="18">
        <f t="shared" si="184"/>
        <v>2007</v>
      </c>
      <c r="AC5946" s="22">
        <f t="shared" si="185"/>
        <v>0.68666666666666665</v>
      </c>
    </row>
    <row r="5947" spans="1:29">
      <c r="A5947" s="8" t="s">
        <v>1688</v>
      </c>
      <c r="B5947" s="17" t="s">
        <v>7759</v>
      </c>
      <c r="C5947" s="13">
        <v>39112</v>
      </c>
      <c r="D5947" s="13" t="s">
        <v>8465</v>
      </c>
      <c r="E5947" s="10" t="s">
        <v>455</v>
      </c>
      <c r="F5947" s="10" t="s">
        <v>1492</v>
      </c>
      <c r="G5947" s="11" t="s">
        <v>1688</v>
      </c>
      <c r="H5947" s="2" t="s">
        <v>1040</v>
      </c>
      <c r="L5947" s="18">
        <v>1</v>
      </c>
      <c r="M5947" s="14" t="s">
        <v>8462</v>
      </c>
      <c r="N5947" s="13">
        <v>43531</v>
      </c>
      <c r="O5947" s="29">
        <v>14.99</v>
      </c>
      <c r="P5947" s="18" t="s">
        <v>14</v>
      </c>
      <c r="Q5947" s="18">
        <v>0</v>
      </c>
      <c r="U5947" s="22">
        <v>0.46</v>
      </c>
      <c r="V5947" s="22">
        <f>2.4/5</f>
        <v>0.48</v>
      </c>
      <c r="X5947" s="3">
        <v>2</v>
      </c>
      <c r="Z5947" s="23">
        <v>2</v>
      </c>
      <c r="AB5947" s="18">
        <f t="shared" si="184"/>
        <v>2007</v>
      </c>
      <c r="AC5947" s="22">
        <f t="shared" si="185"/>
        <v>0.4466666666666666</v>
      </c>
    </row>
    <row r="5948" spans="1:29">
      <c r="A5948" s="8" t="s">
        <v>7111</v>
      </c>
      <c r="B5948" s="17" t="s">
        <v>7800</v>
      </c>
      <c r="C5948" s="13">
        <v>39107</v>
      </c>
      <c r="D5948" s="13" t="s">
        <v>8465</v>
      </c>
      <c r="E5948" s="10" t="s">
        <v>7199</v>
      </c>
      <c r="F5948" s="10" t="s">
        <v>7199</v>
      </c>
      <c r="G5948" s="11" t="s">
        <v>7200</v>
      </c>
      <c r="H5948" s="2" t="s">
        <v>67</v>
      </c>
      <c r="L5948" s="18">
        <v>0</v>
      </c>
      <c r="Q5948" s="18">
        <v>0</v>
      </c>
      <c r="V5948" s="22">
        <f>3.84/5</f>
        <v>0.76800000000000002</v>
      </c>
      <c r="W5948" s="14" t="s">
        <v>5674</v>
      </c>
      <c r="X5948" s="3">
        <v>3</v>
      </c>
      <c r="Z5948" s="23">
        <v>3</v>
      </c>
      <c r="AB5948" s="18">
        <f t="shared" si="184"/>
        <v>2007</v>
      </c>
      <c r="AC5948" s="22">
        <f t="shared" si="185"/>
        <v>0.68399999999999994</v>
      </c>
    </row>
    <row r="5949" spans="1:29" ht="30">
      <c r="A5949" s="8" t="s">
        <v>6225</v>
      </c>
      <c r="B5949" s="17" t="s">
        <v>7762</v>
      </c>
      <c r="C5949" s="13">
        <v>39105</v>
      </c>
      <c r="D5949" s="13" t="s">
        <v>8465</v>
      </c>
      <c r="E5949" s="10" t="s">
        <v>1541</v>
      </c>
      <c r="F5949" s="10" t="s">
        <v>1245</v>
      </c>
      <c r="G5949" s="11" t="s">
        <v>2892</v>
      </c>
      <c r="H5949" s="2" t="s">
        <v>149</v>
      </c>
      <c r="L5949" s="18">
        <v>0</v>
      </c>
      <c r="Q5949" s="18">
        <v>0</v>
      </c>
      <c r="U5949" s="22">
        <v>0.62</v>
      </c>
      <c r="V5949" s="22">
        <f>3.62/5</f>
        <v>0.72399999999999998</v>
      </c>
      <c r="X5949" s="3">
        <v>3</v>
      </c>
      <c r="Z5949" s="23">
        <v>41</v>
      </c>
      <c r="AB5949" s="18">
        <f t="shared" si="184"/>
        <v>2007</v>
      </c>
      <c r="AC5949" s="22">
        <f t="shared" si="185"/>
        <v>0.64800000000000002</v>
      </c>
    </row>
    <row r="5950" spans="1:29" ht="30">
      <c r="A5950" s="8" t="s">
        <v>3828</v>
      </c>
      <c r="B5950" s="17" t="s">
        <v>7800</v>
      </c>
      <c r="C5950" s="13">
        <v>39105</v>
      </c>
      <c r="D5950" s="13" t="s">
        <v>8465</v>
      </c>
      <c r="E5950" s="10" t="s">
        <v>3453</v>
      </c>
      <c r="F5950" s="10" t="s">
        <v>3516</v>
      </c>
      <c r="G5950" s="11" t="s">
        <v>3829</v>
      </c>
      <c r="H5950" s="2" t="s">
        <v>1271</v>
      </c>
      <c r="L5950" s="18">
        <v>1</v>
      </c>
      <c r="N5950" s="13">
        <v>41515</v>
      </c>
      <c r="P5950" s="18" t="s">
        <v>1107</v>
      </c>
      <c r="Q5950" s="18">
        <v>0</v>
      </c>
      <c r="U5950" s="22">
        <v>0.83</v>
      </c>
      <c r="V5950" s="22">
        <f>3.91/5</f>
        <v>0.78200000000000003</v>
      </c>
      <c r="W5950" s="14" t="s">
        <v>7777</v>
      </c>
      <c r="X5950" s="3">
        <v>2</v>
      </c>
      <c r="Z5950" s="23">
        <v>77</v>
      </c>
      <c r="AB5950" s="18">
        <f t="shared" si="184"/>
        <v>2007</v>
      </c>
      <c r="AC5950" s="22">
        <f t="shared" si="185"/>
        <v>0.67066666666666663</v>
      </c>
    </row>
    <row r="5951" spans="1:29" ht="25.5">
      <c r="A5951" s="8" t="s">
        <v>8421</v>
      </c>
      <c r="B5951" s="17" t="s">
        <v>7748</v>
      </c>
      <c r="C5951" s="13">
        <v>39105</v>
      </c>
      <c r="D5951" s="13" t="s">
        <v>8465</v>
      </c>
      <c r="E5951" s="10" t="s">
        <v>1509</v>
      </c>
      <c r="F5951" s="10" t="s">
        <v>8422</v>
      </c>
      <c r="G5951" s="11" t="s">
        <v>8423</v>
      </c>
      <c r="H5951" s="2" t="s">
        <v>149</v>
      </c>
      <c r="L5951" s="18">
        <v>0</v>
      </c>
      <c r="Q5951" s="18">
        <v>0</v>
      </c>
      <c r="U5951" s="22">
        <v>0.46</v>
      </c>
      <c r="V5951" s="22">
        <f>3.04/5</f>
        <v>0.60799999999999998</v>
      </c>
      <c r="X5951" s="3">
        <v>3</v>
      </c>
      <c r="AB5951" s="18">
        <f t="shared" si="184"/>
        <v>2007</v>
      </c>
      <c r="AC5951" s="22">
        <f t="shared" si="185"/>
        <v>0.55600000000000005</v>
      </c>
    </row>
    <row r="5952" spans="1:29">
      <c r="A5952" s="8" t="s">
        <v>11460</v>
      </c>
      <c r="B5952" s="17" t="s">
        <v>7758</v>
      </c>
      <c r="C5952" s="13">
        <v>39100</v>
      </c>
      <c r="D5952" s="13" t="s">
        <v>8463</v>
      </c>
      <c r="E5952" s="10" t="s">
        <v>1897</v>
      </c>
      <c r="F5952" s="10" t="s">
        <v>1897</v>
      </c>
      <c r="H5952" s="2" t="s">
        <v>75</v>
      </c>
      <c r="K5952" s="18">
        <v>0</v>
      </c>
      <c r="L5952" s="18">
        <v>0</v>
      </c>
      <c r="Q5952" s="18">
        <v>0</v>
      </c>
      <c r="V5952" s="22">
        <f>4.27/5</f>
        <v>0.85399999999999987</v>
      </c>
      <c r="X5952" s="3">
        <v>2</v>
      </c>
      <c r="AB5952" s="18">
        <f t="shared" si="184"/>
        <v>2007</v>
      </c>
      <c r="AC5952" s="22">
        <f t="shared" si="185"/>
        <v>0.627</v>
      </c>
    </row>
    <row r="5953" spans="1:29" ht="38.25">
      <c r="A5953" s="8" t="s">
        <v>2357</v>
      </c>
      <c r="B5953" s="17" t="s">
        <v>7748</v>
      </c>
      <c r="C5953" s="13">
        <v>39098</v>
      </c>
      <c r="D5953" s="13" t="s">
        <v>8465</v>
      </c>
      <c r="E5953" s="10" t="s">
        <v>73</v>
      </c>
      <c r="F5953" s="10" t="s">
        <v>73</v>
      </c>
      <c r="G5953" s="11" t="s">
        <v>2323</v>
      </c>
      <c r="H5953" s="2" t="s">
        <v>67</v>
      </c>
      <c r="L5953" s="18">
        <v>0</v>
      </c>
      <c r="Q5953" s="18">
        <v>0</v>
      </c>
      <c r="U5953" s="22">
        <v>0.78</v>
      </c>
      <c r="V5953" s="22">
        <f>4.18/5</f>
        <v>0.83599999999999997</v>
      </c>
      <c r="X5953" s="3">
        <v>4</v>
      </c>
      <c r="Z5953" s="23">
        <v>18</v>
      </c>
      <c r="AB5953" s="18">
        <f t="shared" ref="AB5953:AB6016" si="186">IFERROR(YEAR(C5953), "Early Access")</f>
        <v>2007</v>
      </c>
      <c r="AC5953" s="22">
        <f t="shared" ref="AC5953:AC6016" si="187">AVERAGE(T5953, U5953, V5953, IF(ISBLANK(X5953), X5953, X5953/5))</f>
        <v>0.80533333333333346</v>
      </c>
    </row>
    <row r="5954" spans="1:29">
      <c r="A5954" s="8" t="s">
        <v>14410</v>
      </c>
      <c r="B5954" s="17" t="s">
        <v>6317</v>
      </c>
      <c r="C5954" s="24">
        <v>39083</v>
      </c>
      <c r="D5954" s="13" t="s">
        <v>8465</v>
      </c>
      <c r="E5954" s="10" t="s">
        <v>455</v>
      </c>
      <c r="F5954" s="10" t="s">
        <v>455</v>
      </c>
      <c r="G5954" s="11" t="s">
        <v>7380</v>
      </c>
      <c r="H5954" s="2" t="s">
        <v>1170</v>
      </c>
      <c r="L5954" s="18">
        <v>0</v>
      </c>
      <c r="Q5954" s="18">
        <v>0</v>
      </c>
      <c r="V5954" s="22">
        <f>4.25/5</f>
        <v>0.85</v>
      </c>
      <c r="X5954" s="3">
        <v>2</v>
      </c>
      <c r="AB5954" s="18">
        <f t="shared" si="186"/>
        <v>2007</v>
      </c>
      <c r="AC5954" s="22">
        <f t="shared" si="187"/>
        <v>0.625</v>
      </c>
    </row>
    <row r="5955" spans="1:29" ht="25.5">
      <c r="A5955" s="8" t="s">
        <v>15124</v>
      </c>
      <c r="B5955" s="17" t="s">
        <v>7782</v>
      </c>
      <c r="C5955" s="24">
        <v>39083</v>
      </c>
      <c r="D5955" s="13" t="s">
        <v>8465</v>
      </c>
      <c r="E5955" s="10" t="s">
        <v>15123</v>
      </c>
      <c r="F5955" s="10" t="s">
        <v>15123</v>
      </c>
      <c r="G5955" s="11" t="s">
        <v>15122</v>
      </c>
      <c r="H5955" s="2" t="s">
        <v>1061</v>
      </c>
      <c r="L5955" s="18">
        <v>0</v>
      </c>
      <c r="Q5955" s="18">
        <v>0</v>
      </c>
      <c r="V5955" s="22">
        <f>3.83/5</f>
        <v>0.76600000000000001</v>
      </c>
      <c r="X5955" s="3">
        <v>2</v>
      </c>
      <c r="AB5955" s="18">
        <f t="shared" si="186"/>
        <v>2007</v>
      </c>
      <c r="AC5955" s="22">
        <f t="shared" si="187"/>
        <v>0.58299999999999996</v>
      </c>
    </row>
    <row r="5956" spans="1:29">
      <c r="A5956" s="8" t="s">
        <v>11101</v>
      </c>
      <c r="B5956" s="17" t="s">
        <v>6317</v>
      </c>
      <c r="C5956" s="24">
        <v>39083</v>
      </c>
      <c r="D5956" s="13" t="s">
        <v>8465</v>
      </c>
      <c r="E5956" s="10" t="s">
        <v>14407</v>
      </c>
      <c r="F5956" s="10" t="s">
        <v>14407</v>
      </c>
      <c r="G5956" s="11" t="s">
        <v>1049</v>
      </c>
      <c r="H5956" s="2" t="s">
        <v>1170</v>
      </c>
      <c r="L5956" s="18">
        <v>0</v>
      </c>
      <c r="Q5956" s="18">
        <v>0</v>
      </c>
      <c r="V5956" s="22">
        <f>3.33/5</f>
        <v>0.66600000000000004</v>
      </c>
      <c r="X5956" s="3">
        <v>2</v>
      </c>
      <c r="AB5956" s="18">
        <f t="shared" si="186"/>
        <v>2007</v>
      </c>
      <c r="AC5956" s="22">
        <f t="shared" si="187"/>
        <v>0.53300000000000003</v>
      </c>
    </row>
    <row r="5957" spans="1:29">
      <c r="A5957" s="8" t="s">
        <v>12420</v>
      </c>
      <c r="B5957" s="17" t="s">
        <v>7800</v>
      </c>
      <c r="C5957" s="24">
        <v>39083</v>
      </c>
      <c r="D5957" s="13" t="s">
        <v>8463</v>
      </c>
      <c r="E5957" s="10" t="s">
        <v>12421</v>
      </c>
      <c r="F5957" s="10" t="s">
        <v>12421</v>
      </c>
      <c r="H5957" s="2" t="s">
        <v>147</v>
      </c>
      <c r="K5957" s="18">
        <v>0</v>
      </c>
      <c r="L5957" s="18">
        <v>0</v>
      </c>
      <c r="Q5957" s="18">
        <v>0</v>
      </c>
      <c r="W5957" s="14" t="s">
        <v>5674</v>
      </c>
      <c r="X5957" s="3">
        <v>2</v>
      </c>
      <c r="AB5957" s="18">
        <f t="shared" si="186"/>
        <v>2007</v>
      </c>
      <c r="AC5957" s="22">
        <f t="shared" si="187"/>
        <v>0.4</v>
      </c>
    </row>
    <row r="5958" spans="1:29">
      <c r="A5958" s="8" t="s">
        <v>5636</v>
      </c>
      <c r="B5958" s="17" t="s">
        <v>7800</v>
      </c>
      <c r="C5958" s="13">
        <v>39445</v>
      </c>
      <c r="D5958" s="13" t="s">
        <v>8465</v>
      </c>
      <c r="E5958" s="10" t="s">
        <v>3143</v>
      </c>
      <c r="F5958" s="10" t="s">
        <v>3143</v>
      </c>
      <c r="G5958" s="11" t="s">
        <v>5636</v>
      </c>
      <c r="H5958" s="2" t="s">
        <v>2138</v>
      </c>
      <c r="L5958" s="18">
        <v>1</v>
      </c>
      <c r="N5958" s="13">
        <v>40883</v>
      </c>
      <c r="P5958" s="18" t="s">
        <v>1107</v>
      </c>
      <c r="Q5958" s="18">
        <v>1</v>
      </c>
      <c r="S5958" s="21">
        <v>3.3</v>
      </c>
      <c r="T5958" s="22">
        <v>0.7</v>
      </c>
      <c r="V5958" s="22">
        <f>3.25/5</f>
        <v>0.65</v>
      </c>
      <c r="W5958" s="14" t="s">
        <v>7777</v>
      </c>
      <c r="AB5958" s="18">
        <f t="shared" si="186"/>
        <v>2007</v>
      </c>
      <c r="AC5958" s="22">
        <f t="shared" si="187"/>
        <v>0.67500000000000004</v>
      </c>
    </row>
    <row r="5959" spans="1:29" ht="30">
      <c r="A5959" s="8" t="s">
        <v>2099</v>
      </c>
      <c r="B5959" s="17" t="s">
        <v>7748</v>
      </c>
      <c r="C5959" s="13">
        <v>39428</v>
      </c>
      <c r="D5959" s="13" t="s">
        <v>8465</v>
      </c>
      <c r="E5959" s="10" t="s">
        <v>72</v>
      </c>
      <c r="F5959" s="10" t="s">
        <v>1084</v>
      </c>
      <c r="G5959" s="11" t="s">
        <v>97</v>
      </c>
      <c r="H5959" s="2" t="s">
        <v>147</v>
      </c>
      <c r="L5959" s="18">
        <v>0</v>
      </c>
      <c r="Q5959" s="18">
        <v>1</v>
      </c>
      <c r="T5959" s="22">
        <v>0.8</v>
      </c>
      <c r="U5959" s="22">
        <v>0.84</v>
      </c>
      <c r="V5959" s="22">
        <f>4.01/5</f>
        <v>0.80199999999999994</v>
      </c>
      <c r="AB5959" s="18">
        <f t="shared" si="186"/>
        <v>2007</v>
      </c>
      <c r="AC5959" s="22">
        <f t="shared" si="187"/>
        <v>0.81400000000000006</v>
      </c>
    </row>
    <row r="5960" spans="1:29">
      <c r="A5960" s="8" t="s">
        <v>1162</v>
      </c>
      <c r="B5960" s="17" t="s">
        <v>7765</v>
      </c>
      <c r="C5960" s="13">
        <v>39406</v>
      </c>
      <c r="D5960" s="13" t="s">
        <v>8465</v>
      </c>
      <c r="E5960" s="10" t="s">
        <v>3116</v>
      </c>
      <c r="F5960" s="10" t="s">
        <v>1161</v>
      </c>
      <c r="G5960" s="11" t="s">
        <v>1162</v>
      </c>
      <c r="H5960" s="2" t="s">
        <v>171</v>
      </c>
      <c r="L5960" s="18">
        <v>0</v>
      </c>
      <c r="Q5960" s="18">
        <v>1</v>
      </c>
      <c r="R5960" s="13">
        <v>40267</v>
      </c>
      <c r="T5960" s="22">
        <v>0.9</v>
      </c>
      <c r="U5960" s="22">
        <v>0.91</v>
      </c>
      <c r="V5960" s="22">
        <f>4.32/5</f>
        <v>0.8640000000000001</v>
      </c>
      <c r="AB5960" s="18">
        <f t="shared" si="186"/>
        <v>2007</v>
      </c>
      <c r="AC5960" s="22">
        <f t="shared" si="187"/>
        <v>0.89133333333333342</v>
      </c>
    </row>
    <row r="5961" spans="1:29" ht="25.5">
      <c r="A5961" s="8" t="s">
        <v>2176</v>
      </c>
      <c r="B5961" s="17" t="s">
        <v>7748</v>
      </c>
      <c r="C5961" s="13">
        <v>39406</v>
      </c>
      <c r="D5961" s="13" t="s">
        <v>8465</v>
      </c>
      <c r="E5961" s="10" t="s">
        <v>1082</v>
      </c>
      <c r="F5961" s="10" t="s">
        <v>2303</v>
      </c>
      <c r="G5961" s="11" t="s">
        <v>126</v>
      </c>
      <c r="H5961" s="2" t="s">
        <v>1143</v>
      </c>
      <c r="L5961" s="18">
        <v>0</v>
      </c>
      <c r="Q5961" s="18">
        <v>1</v>
      </c>
      <c r="R5961" s="13">
        <v>44392</v>
      </c>
      <c r="S5961" s="21">
        <f>24+40/60</f>
        <v>24.666666666666668</v>
      </c>
      <c r="T5961" s="22">
        <v>0.7</v>
      </c>
      <c r="U5961" s="22">
        <v>0.8</v>
      </c>
      <c r="V5961" s="22">
        <f>3.52/5</f>
        <v>0.70399999999999996</v>
      </c>
      <c r="AB5961" s="18">
        <f t="shared" si="186"/>
        <v>2007</v>
      </c>
      <c r="AC5961" s="22">
        <f t="shared" si="187"/>
        <v>0.73466666666666658</v>
      </c>
    </row>
    <row r="5962" spans="1:29" ht="30">
      <c r="A5962" s="8" t="s">
        <v>965</v>
      </c>
      <c r="B5962" s="17" t="s">
        <v>7741</v>
      </c>
      <c r="C5962" s="13">
        <v>39405</v>
      </c>
      <c r="D5962" s="13" t="s">
        <v>8465</v>
      </c>
      <c r="E5962" s="10" t="s">
        <v>86</v>
      </c>
      <c r="F5962" s="10" t="s">
        <v>87</v>
      </c>
      <c r="G5962" s="11" t="s">
        <v>85</v>
      </c>
      <c r="H5962" s="2" t="s">
        <v>1170</v>
      </c>
      <c r="L5962" s="18">
        <v>1</v>
      </c>
      <c r="M5962" s="14" t="s">
        <v>11021</v>
      </c>
      <c r="N5962" s="13">
        <v>43566</v>
      </c>
      <c r="O5962" s="29">
        <v>4.3</v>
      </c>
      <c r="P5962" s="18" t="s">
        <v>14</v>
      </c>
      <c r="Q5962" s="18">
        <v>1</v>
      </c>
      <c r="T5962" s="22">
        <v>0.7</v>
      </c>
      <c r="U5962" s="22">
        <v>0.69</v>
      </c>
      <c r="V5962" s="22">
        <f>3.4/5</f>
        <v>0.67999999999999994</v>
      </c>
      <c r="AB5962" s="18">
        <f t="shared" si="186"/>
        <v>2007</v>
      </c>
      <c r="AC5962" s="22">
        <f t="shared" si="187"/>
        <v>0.69</v>
      </c>
    </row>
    <row r="5963" spans="1:29">
      <c r="A5963" s="8" t="s">
        <v>4639</v>
      </c>
      <c r="B5963" s="17" t="s">
        <v>7765</v>
      </c>
      <c r="C5963" s="13">
        <v>39400</v>
      </c>
      <c r="D5963" s="13" t="s">
        <v>8465</v>
      </c>
      <c r="E5963" s="10" t="s">
        <v>1509</v>
      </c>
      <c r="F5963" s="10" t="s">
        <v>1509</v>
      </c>
      <c r="G5963" s="11" t="s">
        <v>4639</v>
      </c>
      <c r="H5963" s="2" t="s">
        <v>31</v>
      </c>
      <c r="L5963" s="18">
        <v>0</v>
      </c>
      <c r="Q5963" s="18">
        <v>1</v>
      </c>
      <c r="T5963" s="22">
        <v>0.7</v>
      </c>
      <c r="U5963" s="22">
        <v>0.64</v>
      </c>
      <c r="V5963" s="22">
        <f>3.88/5</f>
        <v>0.77600000000000002</v>
      </c>
      <c r="AB5963" s="18">
        <f t="shared" si="186"/>
        <v>2007</v>
      </c>
      <c r="AC5963" s="22">
        <f t="shared" si="187"/>
        <v>0.70533333333333326</v>
      </c>
    </row>
    <row r="5964" spans="1:29">
      <c r="A5964" s="8" t="s">
        <v>1563</v>
      </c>
      <c r="B5964" s="17" t="s">
        <v>7765</v>
      </c>
      <c r="C5964" s="13">
        <v>39399</v>
      </c>
      <c r="D5964" s="13" t="s">
        <v>8465</v>
      </c>
      <c r="E5964" s="10" t="s">
        <v>1047</v>
      </c>
      <c r="F5964" s="10" t="s">
        <v>1048</v>
      </c>
      <c r="G5964" s="11" t="s">
        <v>1563</v>
      </c>
      <c r="H5964" s="2" t="s">
        <v>80</v>
      </c>
      <c r="L5964" s="18">
        <v>0</v>
      </c>
      <c r="Q5964" s="18">
        <v>1</v>
      </c>
      <c r="R5964" s="13">
        <v>39996</v>
      </c>
      <c r="T5964" s="22">
        <v>0.8</v>
      </c>
      <c r="U5964" s="22">
        <v>0.83</v>
      </c>
      <c r="V5964" s="22">
        <f>3.83/5</f>
        <v>0.76600000000000001</v>
      </c>
      <c r="AB5964" s="18">
        <f t="shared" si="186"/>
        <v>2007</v>
      </c>
      <c r="AC5964" s="22">
        <f t="shared" si="187"/>
        <v>0.79866666666666664</v>
      </c>
    </row>
    <row r="5965" spans="1:29" ht="25.5">
      <c r="A5965" s="8" t="s">
        <v>4222</v>
      </c>
      <c r="B5965" s="17" t="s">
        <v>7800</v>
      </c>
      <c r="C5965" s="13">
        <v>39399</v>
      </c>
      <c r="D5965" s="13" t="s">
        <v>8465</v>
      </c>
      <c r="E5965" s="10" t="s">
        <v>1082</v>
      </c>
      <c r="F5965" s="10" t="s">
        <v>4118</v>
      </c>
      <c r="G5965" s="11" t="s">
        <v>4221</v>
      </c>
      <c r="H5965" s="2" t="s">
        <v>1168</v>
      </c>
      <c r="L5965" s="18">
        <v>1</v>
      </c>
      <c r="N5965" s="13">
        <v>41849</v>
      </c>
      <c r="O5965" s="29">
        <v>1.74</v>
      </c>
      <c r="P5965" s="18" t="s">
        <v>1107</v>
      </c>
      <c r="Q5965" s="18">
        <v>1</v>
      </c>
      <c r="R5965" s="13">
        <v>43351</v>
      </c>
      <c r="S5965" s="21">
        <v>4.3499999999999996</v>
      </c>
      <c r="T5965" s="22">
        <v>0.6</v>
      </c>
      <c r="U5965" s="22">
        <v>0.68</v>
      </c>
      <c r="V5965" s="22">
        <f>3.2/5</f>
        <v>0.64</v>
      </c>
      <c r="W5965" s="14" t="s">
        <v>7777</v>
      </c>
      <c r="AB5965" s="18">
        <f t="shared" si="186"/>
        <v>2007</v>
      </c>
      <c r="AC5965" s="22">
        <f t="shared" si="187"/>
        <v>0.64</v>
      </c>
    </row>
    <row r="5966" spans="1:29">
      <c r="A5966" s="8" t="s">
        <v>958</v>
      </c>
      <c r="B5966" s="17" t="s">
        <v>7741</v>
      </c>
      <c r="C5966" s="13">
        <v>39398</v>
      </c>
      <c r="D5966" s="13" t="s">
        <v>8465</v>
      </c>
      <c r="E5966" s="10" t="s">
        <v>86</v>
      </c>
      <c r="F5966" s="10" t="s">
        <v>87</v>
      </c>
      <c r="G5966" s="11" t="s">
        <v>137</v>
      </c>
      <c r="H5966" s="2" t="s">
        <v>1040</v>
      </c>
      <c r="L5966" s="18">
        <v>1</v>
      </c>
      <c r="M5966" s="14" t="s">
        <v>8462</v>
      </c>
      <c r="N5966" s="13">
        <v>43569</v>
      </c>
      <c r="P5966" s="18" t="s">
        <v>14</v>
      </c>
      <c r="Q5966" s="18">
        <v>1</v>
      </c>
      <c r="T5966" s="22">
        <v>1</v>
      </c>
      <c r="U5966" s="22">
        <v>0.98</v>
      </c>
      <c r="V5966" s="22">
        <f>4.4/5</f>
        <v>0.88000000000000012</v>
      </c>
      <c r="AB5966" s="18">
        <f t="shared" si="186"/>
        <v>2007</v>
      </c>
      <c r="AC5966" s="22">
        <f t="shared" si="187"/>
        <v>0.95333333333333348</v>
      </c>
    </row>
    <row r="5967" spans="1:29" ht="25.5">
      <c r="A5967" s="8" t="s">
        <v>3399</v>
      </c>
      <c r="B5967" s="17" t="s">
        <v>7765</v>
      </c>
      <c r="C5967" s="13">
        <v>39391</v>
      </c>
      <c r="D5967" s="13" t="s">
        <v>8465</v>
      </c>
      <c r="E5967" s="10" t="s">
        <v>1273</v>
      </c>
      <c r="F5967" s="10" t="s">
        <v>3400</v>
      </c>
      <c r="G5967" s="11" t="s">
        <v>3401</v>
      </c>
      <c r="H5967" s="2" t="s">
        <v>1050</v>
      </c>
      <c r="L5967" s="18">
        <v>0</v>
      </c>
      <c r="Q5967" s="18">
        <v>1</v>
      </c>
      <c r="T5967" s="22">
        <v>1</v>
      </c>
      <c r="U5967" s="22">
        <v>0.94</v>
      </c>
      <c r="V5967" s="22">
        <f>4.33/5</f>
        <v>0.86599999999999999</v>
      </c>
      <c r="AB5967" s="18">
        <f t="shared" si="186"/>
        <v>2007</v>
      </c>
      <c r="AC5967" s="22">
        <f t="shared" si="187"/>
        <v>0.93533333333333335</v>
      </c>
    </row>
    <row r="5968" spans="1:29">
      <c r="A5968" s="8" t="s">
        <v>5643</v>
      </c>
      <c r="B5968" s="17" t="s">
        <v>7800</v>
      </c>
      <c r="C5968" s="13">
        <v>39387</v>
      </c>
      <c r="D5968" s="13" t="s">
        <v>8465</v>
      </c>
      <c r="E5968" s="10" t="s">
        <v>5680</v>
      </c>
      <c r="F5968" s="10" t="s">
        <v>5680</v>
      </c>
      <c r="H5968" s="2" t="s">
        <v>2820</v>
      </c>
      <c r="L5968" s="18">
        <v>0</v>
      </c>
      <c r="Q5968" s="18">
        <v>1</v>
      </c>
      <c r="T5968" s="22">
        <v>0.8</v>
      </c>
      <c r="V5968" s="22">
        <f>2.68/5</f>
        <v>0.53600000000000003</v>
      </c>
      <c r="W5968" s="14" t="s">
        <v>5674</v>
      </c>
      <c r="AB5968" s="18">
        <f t="shared" si="186"/>
        <v>2007</v>
      </c>
      <c r="AC5968" s="22">
        <f t="shared" si="187"/>
        <v>0.66800000000000004</v>
      </c>
    </row>
    <row r="5969" spans="1:29">
      <c r="A5969" s="8" t="s">
        <v>7142</v>
      </c>
      <c r="B5969" s="17" t="s">
        <v>7800</v>
      </c>
      <c r="C5969" s="12">
        <v>39387</v>
      </c>
      <c r="D5969" s="13" t="s">
        <v>8465</v>
      </c>
      <c r="E5969" s="10" t="s">
        <v>7223</v>
      </c>
      <c r="F5969" s="10" t="s">
        <v>7223</v>
      </c>
      <c r="H5969" s="2" t="s">
        <v>1061</v>
      </c>
      <c r="L5969" s="18">
        <v>0</v>
      </c>
      <c r="Q5969" s="18">
        <v>1</v>
      </c>
      <c r="R5969" s="13">
        <v>44014</v>
      </c>
      <c r="S5969" s="21">
        <f>1+1/60</f>
        <v>1.0166666666666666</v>
      </c>
      <c r="T5969" s="22">
        <v>0.6</v>
      </c>
      <c r="V5969" s="22">
        <f>3.15/5</f>
        <v>0.63</v>
      </c>
      <c r="W5969" s="14" t="s">
        <v>5674</v>
      </c>
      <c r="AB5969" s="18">
        <f t="shared" si="186"/>
        <v>2007</v>
      </c>
      <c r="AC5969" s="22">
        <f t="shared" si="187"/>
        <v>0.61499999999999999</v>
      </c>
    </row>
    <row r="5970" spans="1:29" ht="25.5">
      <c r="A5970" s="8" t="s">
        <v>963</v>
      </c>
      <c r="B5970" s="17" t="s">
        <v>7741</v>
      </c>
      <c r="C5970" s="13">
        <v>39383</v>
      </c>
      <c r="D5970" s="13" t="s">
        <v>8465</v>
      </c>
      <c r="E5970" s="10" t="s">
        <v>1273</v>
      </c>
      <c r="F5970" s="10" t="s">
        <v>1511</v>
      </c>
      <c r="G5970" s="11" t="s">
        <v>1514</v>
      </c>
      <c r="H5970" s="2" t="s">
        <v>1220</v>
      </c>
      <c r="L5970" s="18">
        <v>0</v>
      </c>
      <c r="Q5970" s="18">
        <v>1</v>
      </c>
      <c r="T5970" s="22">
        <v>0.7</v>
      </c>
      <c r="U5970" s="22">
        <v>0.86</v>
      </c>
      <c r="V5970" s="22">
        <f>4.08/5</f>
        <v>0.81600000000000006</v>
      </c>
      <c r="AB5970" s="18">
        <f t="shared" si="186"/>
        <v>2007</v>
      </c>
      <c r="AC5970" s="22">
        <f t="shared" si="187"/>
        <v>0.79200000000000015</v>
      </c>
    </row>
    <row r="5971" spans="1:29" ht="25.5">
      <c r="A5971" s="8" t="s">
        <v>956</v>
      </c>
      <c r="B5971" s="17" t="s">
        <v>7741</v>
      </c>
      <c r="C5971" s="13">
        <v>39382</v>
      </c>
      <c r="D5971" s="13" t="s">
        <v>8465</v>
      </c>
      <c r="E5971" s="10" t="s">
        <v>86</v>
      </c>
      <c r="F5971" s="10" t="s">
        <v>1139</v>
      </c>
      <c r="G5971" s="11" t="s">
        <v>109</v>
      </c>
      <c r="H5971" s="2" t="s">
        <v>1050</v>
      </c>
      <c r="L5971" s="18">
        <v>1</v>
      </c>
      <c r="M5971" s="14" t="s">
        <v>8462</v>
      </c>
      <c r="N5971" s="13">
        <v>43569</v>
      </c>
      <c r="P5971" s="18" t="s">
        <v>14</v>
      </c>
      <c r="Q5971" s="18">
        <v>1</v>
      </c>
      <c r="T5971" s="22">
        <v>0.8</v>
      </c>
      <c r="U5971" s="22">
        <v>0.9</v>
      </c>
      <c r="V5971" s="22">
        <f>4.21/5</f>
        <v>0.84199999999999997</v>
      </c>
      <c r="AB5971" s="18">
        <f t="shared" si="186"/>
        <v>2007</v>
      </c>
      <c r="AC5971" s="22">
        <f t="shared" si="187"/>
        <v>0.84733333333333338</v>
      </c>
    </row>
    <row r="5972" spans="1:29" ht="25.5">
      <c r="A5972" s="8" t="s">
        <v>964</v>
      </c>
      <c r="B5972" s="17" t="s">
        <v>7741</v>
      </c>
      <c r="C5972" s="13">
        <v>39378</v>
      </c>
      <c r="D5972" s="13" t="s">
        <v>8465</v>
      </c>
      <c r="E5972" s="10" t="s">
        <v>73</v>
      </c>
      <c r="F5972" s="10" t="s">
        <v>73</v>
      </c>
      <c r="H5972" s="2" t="s">
        <v>67</v>
      </c>
      <c r="L5972" s="18">
        <v>0</v>
      </c>
      <c r="Q5972" s="18">
        <v>1</v>
      </c>
      <c r="T5972" s="22">
        <v>0.8</v>
      </c>
      <c r="U5972" s="22">
        <v>0.86</v>
      </c>
      <c r="V5972" s="22">
        <f>3.91/5</f>
        <v>0.78200000000000003</v>
      </c>
      <c r="AB5972" s="18">
        <f t="shared" si="186"/>
        <v>2007</v>
      </c>
      <c r="AC5972" s="22">
        <f t="shared" si="187"/>
        <v>0.81400000000000006</v>
      </c>
    </row>
    <row r="5973" spans="1:29" ht="25.5">
      <c r="A5973" s="8" t="s">
        <v>6348</v>
      </c>
      <c r="B5973" s="17" t="s">
        <v>7765</v>
      </c>
      <c r="C5973" s="13">
        <v>39371</v>
      </c>
      <c r="D5973" s="13" t="s">
        <v>8465</v>
      </c>
      <c r="E5973" s="10" t="s">
        <v>3310</v>
      </c>
      <c r="F5973" s="10" t="s">
        <v>1690</v>
      </c>
      <c r="G5973" s="11" t="s">
        <v>1207</v>
      </c>
      <c r="H5973" s="2" t="s">
        <v>171</v>
      </c>
      <c r="L5973" s="18">
        <v>0</v>
      </c>
      <c r="Q5973" s="18">
        <v>1</v>
      </c>
      <c r="R5973" s="13">
        <v>40358</v>
      </c>
      <c r="T5973" s="22">
        <v>1</v>
      </c>
      <c r="U5973" s="22">
        <v>0.88</v>
      </c>
      <c r="V5973" s="22">
        <f>4.41/5</f>
        <v>0.88200000000000001</v>
      </c>
      <c r="AB5973" s="18">
        <f t="shared" si="186"/>
        <v>2007</v>
      </c>
      <c r="AC5973" s="22">
        <f t="shared" si="187"/>
        <v>0.92066666666666663</v>
      </c>
    </row>
    <row r="5974" spans="1:29">
      <c r="A5974" s="8" t="s">
        <v>6509</v>
      </c>
      <c r="B5974" s="17" t="s">
        <v>7765</v>
      </c>
      <c r="C5974" s="13">
        <v>39365</v>
      </c>
      <c r="D5974" s="13" t="s">
        <v>8465</v>
      </c>
      <c r="E5974" s="10" t="s">
        <v>4070</v>
      </c>
      <c r="F5974" s="10" t="s">
        <v>4070</v>
      </c>
      <c r="H5974" s="2" t="s">
        <v>6510</v>
      </c>
      <c r="L5974" s="18">
        <v>0</v>
      </c>
      <c r="Q5974" s="18">
        <v>1</v>
      </c>
      <c r="R5974" s="13">
        <v>40146</v>
      </c>
      <c r="T5974" s="22">
        <v>0.9</v>
      </c>
      <c r="U5974" s="22">
        <v>0.96</v>
      </c>
      <c r="V5974" s="22">
        <f>4.43/5</f>
        <v>0.8859999999999999</v>
      </c>
      <c r="AB5974" s="18">
        <f t="shared" si="186"/>
        <v>2007</v>
      </c>
      <c r="AC5974" s="22">
        <f t="shared" si="187"/>
        <v>0.91533333333333322</v>
      </c>
    </row>
    <row r="5975" spans="1:29">
      <c r="A5975" s="8" t="s">
        <v>4732</v>
      </c>
      <c r="B5975" s="17" t="s">
        <v>7800</v>
      </c>
      <c r="C5975" s="13">
        <v>39365</v>
      </c>
      <c r="D5975" s="13" t="s">
        <v>8465</v>
      </c>
      <c r="E5975" s="10" t="s">
        <v>4070</v>
      </c>
      <c r="F5975" s="10" t="s">
        <v>4070</v>
      </c>
      <c r="G5975" s="11" t="s">
        <v>4732</v>
      </c>
      <c r="H5975" s="2" t="s">
        <v>27</v>
      </c>
      <c r="L5975" s="18">
        <v>1</v>
      </c>
      <c r="N5975" s="13">
        <v>40310</v>
      </c>
      <c r="O5975" s="29">
        <v>0</v>
      </c>
      <c r="P5975" s="18" t="s">
        <v>1107</v>
      </c>
      <c r="Q5975" s="18">
        <v>1</v>
      </c>
      <c r="R5975" s="13">
        <v>45062</v>
      </c>
      <c r="S5975" s="21">
        <f>2+18/60</f>
        <v>2.2999999999999998</v>
      </c>
      <c r="T5975" s="22">
        <v>0.8</v>
      </c>
      <c r="U5975" s="22">
        <v>0.89</v>
      </c>
      <c r="V5975" s="22">
        <f>4.31/5</f>
        <v>0.86199999999999988</v>
      </c>
      <c r="W5975" s="14" t="s">
        <v>7777</v>
      </c>
      <c r="AB5975" s="18">
        <f t="shared" si="186"/>
        <v>2007</v>
      </c>
      <c r="AC5975" s="22">
        <f t="shared" si="187"/>
        <v>0.85066666666666657</v>
      </c>
    </row>
    <row r="5976" spans="1:29" ht="45">
      <c r="A5976" s="8" t="s">
        <v>2098</v>
      </c>
      <c r="B5976" s="17" t="s">
        <v>7748</v>
      </c>
      <c r="C5976" s="13">
        <v>39356</v>
      </c>
      <c r="D5976" s="13" t="s">
        <v>8465</v>
      </c>
      <c r="E5976" s="10" t="s">
        <v>86</v>
      </c>
      <c r="F5976" s="10" t="s">
        <v>87</v>
      </c>
      <c r="G5976" s="11" t="s">
        <v>85</v>
      </c>
      <c r="H5976" s="2" t="s">
        <v>80</v>
      </c>
      <c r="L5976" s="18">
        <v>1</v>
      </c>
      <c r="M5976" s="14" t="s">
        <v>8462</v>
      </c>
      <c r="N5976" s="13">
        <v>43528</v>
      </c>
      <c r="O5976" s="29">
        <v>23.99</v>
      </c>
      <c r="P5976" s="18" t="s">
        <v>14</v>
      </c>
      <c r="Q5976" s="18">
        <v>1</v>
      </c>
      <c r="T5976" s="22">
        <v>0.9</v>
      </c>
      <c r="U5976" s="22">
        <v>0.89</v>
      </c>
      <c r="V5976" s="22">
        <f>3.92/5</f>
        <v>0.78400000000000003</v>
      </c>
      <c r="W5976" s="14" t="s">
        <v>8471</v>
      </c>
      <c r="AB5976" s="18">
        <f t="shared" si="186"/>
        <v>2007</v>
      </c>
      <c r="AC5976" s="22">
        <f t="shared" si="187"/>
        <v>0.85799999999999998</v>
      </c>
    </row>
    <row r="5977" spans="1:29">
      <c r="A5977" s="8" t="s">
        <v>6323</v>
      </c>
      <c r="B5977" s="17" t="s">
        <v>7765</v>
      </c>
      <c r="C5977" s="13">
        <v>39350</v>
      </c>
      <c r="D5977" s="13" t="s">
        <v>8465</v>
      </c>
      <c r="E5977" s="10" t="s">
        <v>3740</v>
      </c>
      <c r="F5977" s="10" t="s">
        <v>6114</v>
      </c>
      <c r="G5977" s="11" t="s">
        <v>4079</v>
      </c>
      <c r="H5977" s="2" t="s">
        <v>1050</v>
      </c>
      <c r="L5977" s="18">
        <v>1</v>
      </c>
      <c r="P5977" s="18" t="s">
        <v>1107</v>
      </c>
      <c r="Q5977" s="18">
        <v>1</v>
      </c>
      <c r="R5977" s="13">
        <v>41624</v>
      </c>
      <c r="T5977" s="22">
        <v>0.8</v>
      </c>
      <c r="U5977" s="22">
        <v>0.94</v>
      </c>
      <c r="V5977" s="22">
        <f>4.16/5</f>
        <v>0.83200000000000007</v>
      </c>
      <c r="AB5977" s="18">
        <f t="shared" si="186"/>
        <v>2007</v>
      </c>
      <c r="AC5977" s="22">
        <f t="shared" si="187"/>
        <v>0.85733333333333339</v>
      </c>
    </row>
    <row r="5978" spans="1:29">
      <c r="A5978" s="8" t="s">
        <v>2626</v>
      </c>
      <c r="B5978" s="17" t="s">
        <v>7765</v>
      </c>
      <c r="C5978" s="13">
        <v>39323</v>
      </c>
      <c r="D5978" s="13" t="s">
        <v>8465</v>
      </c>
      <c r="E5978" s="10" t="s">
        <v>455</v>
      </c>
      <c r="F5978" s="10" t="s">
        <v>455</v>
      </c>
      <c r="G5978" s="11" t="s">
        <v>2516</v>
      </c>
      <c r="H5978" s="2" t="s">
        <v>153</v>
      </c>
      <c r="L5978" s="18">
        <v>0</v>
      </c>
      <c r="Q5978" s="18">
        <v>1</v>
      </c>
      <c r="R5978" s="13">
        <v>39998</v>
      </c>
      <c r="T5978" s="22">
        <v>0.9</v>
      </c>
      <c r="U5978" s="22">
        <v>0.77</v>
      </c>
      <c r="V5978" s="22">
        <f>4.05/5</f>
        <v>0.80999999999999994</v>
      </c>
      <c r="AB5978" s="18">
        <f t="shared" si="186"/>
        <v>2007</v>
      </c>
      <c r="AC5978" s="22">
        <f t="shared" si="187"/>
        <v>0.82666666666666666</v>
      </c>
    </row>
    <row r="5979" spans="1:29">
      <c r="A5979" s="8" t="s">
        <v>3309</v>
      </c>
      <c r="B5979" s="17" t="s">
        <v>7800</v>
      </c>
      <c r="C5979" s="13">
        <v>39315</v>
      </c>
      <c r="D5979" s="13" t="s">
        <v>8465</v>
      </c>
      <c r="E5979" s="10" t="s">
        <v>3310</v>
      </c>
      <c r="F5979" s="10" t="s">
        <v>3311</v>
      </c>
      <c r="G5979" s="11" t="s">
        <v>3309</v>
      </c>
      <c r="H5979" s="2" t="s">
        <v>1050</v>
      </c>
      <c r="L5979" s="18">
        <v>1</v>
      </c>
      <c r="N5979" s="13">
        <v>41349</v>
      </c>
      <c r="O5979" s="29">
        <v>0</v>
      </c>
      <c r="P5979" s="18" t="s">
        <v>1107</v>
      </c>
      <c r="Q5979" s="18">
        <v>1</v>
      </c>
      <c r="R5979" s="13">
        <v>41749</v>
      </c>
      <c r="S5979" s="21">
        <v>14.02</v>
      </c>
      <c r="T5979" s="22">
        <v>0.9</v>
      </c>
      <c r="U5979" s="22">
        <v>0.95</v>
      </c>
      <c r="V5979" s="22">
        <f>4.11/5</f>
        <v>0.82200000000000006</v>
      </c>
      <c r="W5979" s="14" t="s">
        <v>7777</v>
      </c>
      <c r="AB5979" s="18">
        <f t="shared" si="186"/>
        <v>2007</v>
      </c>
      <c r="AC5979" s="22">
        <f t="shared" si="187"/>
        <v>0.89066666666666672</v>
      </c>
    </row>
    <row r="5980" spans="1:29" ht="30">
      <c r="A5980" s="8" t="s">
        <v>295</v>
      </c>
      <c r="B5980" s="17" t="s">
        <v>7762</v>
      </c>
      <c r="C5980" s="13">
        <v>39287</v>
      </c>
      <c r="D5980" s="13" t="s">
        <v>8465</v>
      </c>
      <c r="E5980" s="10" t="s">
        <v>1082</v>
      </c>
      <c r="F5980" s="10" t="s">
        <v>58</v>
      </c>
      <c r="G5980" s="11" t="s">
        <v>126</v>
      </c>
      <c r="H5980" s="2" t="s">
        <v>149</v>
      </c>
      <c r="L5980" s="18">
        <v>1</v>
      </c>
      <c r="M5980" s="14" t="s">
        <v>8462</v>
      </c>
      <c r="N5980" s="13">
        <v>43709</v>
      </c>
      <c r="O5980" s="29">
        <v>15.36</v>
      </c>
      <c r="P5980" s="18" t="s">
        <v>14</v>
      </c>
      <c r="Q5980" s="18">
        <v>1</v>
      </c>
      <c r="R5980" s="13">
        <v>43866</v>
      </c>
      <c r="S5980" s="21">
        <f>24+5/60</f>
        <v>24.083333333333332</v>
      </c>
      <c r="T5980" s="22">
        <v>0.75</v>
      </c>
      <c r="U5980" s="22">
        <v>0.65</v>
      </c>
      <c r="V5980" s="22">
        <f>3.68/5</f>
        <v>0.73599999999999999</v>
      </c>
      <c r="AB5980" s="18">
        <f t="shared" si="186"/>
        <v>2007</v>
      </c>
      <c r="AC5980" s="22">
        <f t="shared" si="187"/>
        <v>0.71200000000000008</v>
      </c>
    </row>
    <row r="5981" spans="1:29">
      <c r="A5981" s="8" t="s">
        <v>880</v>
      </c>
      <c r="B5981" s="17" t="s">
        <v>7742</v>
      </c>
      <c r="C5981" s="13">
        <v>39279</v>
      </c>
      <c r="D5981" s="13" t="s">
        <v>8465</v>
      </c>
      <c r="E5981" s="10" t="s">
        <v>86</v>
      </c>
      <c r="F5981" s="10" t="s">
        <v>1069</v>
      </c>
      <c r="G5981" s="11" t="s">
        <v>880</v>
      </c>
      <c r="H5981" s="2" t="s">
        <v>149</v>
      </c>
      <c r="L5981" s="18">
        <v>0</v>
      </c>
      <c r="Q5981" s="18">
        <v>1</v>
      </c>
      <c r="T5981" s="22">
        <v>0.8</v>
      </c>
      <c r="V5981" s="22">
        <f>4.37/5</f>
        <v>0.874</v>
      </c>
      <c r="W5981" s="14" t="s">
        <v>1068</v>
      </c>
      <c r="AB5981" s="18">
        <f t="shared" si="186"/>
        <v>2007</v>
      </c>
      <c r="AC5981" s="22">
        <f t="shared" si="187"/>
        <v>0.83699999999999997</v>
      </c>
    </row>
    <row r="5982" spans="1:29">
      <c r="A5982" s="8" t="s">
        <v>7268</v>
      </c>
      <c r="B5982" s="17" t="s">
        <v>7782</v>
      </c>
      <c r="C5982" s="13">
        <v>39253</v>
      </c>
      <c r="D5982" s="13" t="s">
        <v>8465</v>
      </c>
      <c r="E5982" s="10" t="s">
        <v>7269</v>
      </c>
      <c r="F5982" s="10" t="s">
        <v>7270</v>
      </c>
      <c r="G5982" s="11" t="s">
        <v>5718</v>
      </c>
      <c r="H5982" s="2" t="s">
        <v>1059</v>
      </c>
      <c r="L5982" s="18">
        <v>0</v>
      </c>
      <c r="Q5982" s="18">
        <v>1</v>
      </c>
      <c r="R5982" s="13">
        <v>45088</v>
      </c>
      <c r="T5982" s="22">
        <v>0.3</v>
      </c>
      <c r="V5982" s="22">
        <f>3.22/5</f>
        <v>0.64400000000000002</v>
      </c>
      <c r="AB5982" s="18">
        <f t="shared" si="186"/>
        <v>2007</v>
      </c>
      <c r="AC5982" s="22">
        <f t="shared" si="187"/>
        <v>0.47199999999999998</v>
      </c>
    </row>
    <row r="5983" spans="1:29">
      <c r="A5983" s="8" t="s">
        <v>6491</v>
      </c>
      <c r="B5983" s="17" t="s">
        <v>7765</v>
      </c>
      <c r="C5983" s="13">
        <v>39218</v>
      </c>
      <c r="D5983" s="13" t="s">
        <v>8465</v>
      </c>
      <c r="E5983" s="10" t="s">
        <v>3116</v>
      </c>
      <c r="F5983" s="10" t="s">
        <v>3116</v>
      </c>
      <c r="H5983" s="2" t="s">
        <v>21</v>
      </c>
      <c r="L5983" s="18">
        <v>0</v>
      </c>
      <c r="Q5983" s="18">
        <v>1</v>
      </c>
      <c r="R5983" s="13">
        <v>39977</v>
      </c>
      <c r="T5983" s="22">
        <v>0.7</v>
      </c>
      <c r="U5983" s="22">
        <v>0.68</v>
      </c>
      <c r="V5983" s="22">
        <f>3.19/5</f>
        <v>0.63800000000000001</v>
      </c>
      <c r="AB5983" s="18">
        <f t="shared" si="186"/>
        <v>2007</v>
      </c>
      <c r="AC5983" s="22">
        <f t="shared" si="187"/>
        <v>0.67266666666666663</v>
      </c>
    </row>
    <row r="5984" spans="1:29">
      <c r="A5984" s="8" t="s">
        <v>139</v>
      </c>
      <c r="B5984" s="17" t="s">
        <v>7742</v>
      </c>
      <c r="C5984" s="13">
        <v>39216</v>
      </c>
      <c r="D5984" s="13" t="s">
        <v>8465</v>
      </c>
      <c r="E5984" s="10" t="s">
        <v>76</v>
      </c>
      <c r="F5984" s="10" t="s">
        <v>76</v>
      </c>
      <c r="G5984" s="11" t="s">
        <v>139</v>
      </c>
      <c r="H5984" s="2" t="s">
        <v>56</v>
      </c>
      <c r="L5984" s="18">
        <v>0</v>
      </c>
      <c r="Q5984" s="18">
        <v>1</v>
      </c>
      <c r="T5984" s="22">
        <v>0.8</v>
      </c>
      <c r="V5984" s="22">
        <f>3.94/5</f>
        <v>0.78800000000000003</v>
      </c>
      <c r="W5984" s="14" t="s">
        <v>1068</v>
      </c>
      <c r="AB5984" s="18">
        <f t="shared" si="186"/>
        <v>2007</v>
      </c>
      <c r="AC5984" s="22">
        <f t="shared" si="187"/>
        <v>0.79400000000000004</v>
      </c>
    </row>
    <row r="5985" spans="1:29">
      <c r="A5985" s="8" t="s">
        <v>960</v>
      </c>
      <c r="B5985" s="17" t="s">
        <v>7741</v>
      </c>
      <c r="C5985" s="13">
        <v>39203</v>
      </c>
      <c r="D5985" s="13" t="s">
        <v>8465</v>
      </c>
      <c r="E5985" s="10" t="s">
        <v>1513</v>
      </c>
      <c r="F5985" s="10" t="s">
        <v>1513</v>
      </c>
      <c r="H5985" s="2" t="s">
        <v>7594</v>
      </c>
      <c r="L5985" s="18">
        <v>1</v>
      </c>
      <c r="M5985" s="14" t="s">
        <v>8462</v>
      </c>
      <c r="N5985" s="13">
        <v>43645</v>
      </c>
      <c r="O5985" s="29">
        <v>5.59</v>
      </c>
      <c r="P5985" s="18" t="s">
        <v>14</v>
      </c>
      <c r="Q5985" s="18">
        <v>1</v>
      </c>
      <c r="T5985" s="22">
        <v>0.4</v>
      </c>
      <c r="U5985" s="22">
        <v>0.64</v>
      </c>
      <c r="V5985" s="22">
        <f>3.81/5</f>
        <v>0.76200000000000001</v>
      </c>
      <c r="AB5985" s="18">
        <f t="shared" si="186"/>
        <v>2007</v>
      </c>
      <c r="AC5985" s="22">
        <f t="shared" si="187"/>
        <v>0.60066666666666668</v>
      </c>
    </row>
    <row r="5986" spans="1:29">
      <c r="A5986" s="8" t="s">
        <v>2109</v>
      </c>
      <c r="B5986" s="17" t="s">
        <v>7748</v>
      </c>
      <c r="C5986" s="13">
        <v>39194</v>
      </c>
      <c r="D5986" s="13" t="s">
        <v>8465</v>
      </c>
      <c r="E5986" s="10" t="s">
        <v>86</v>
      </c>
      <c r="F5986" s="10" t="s">
        <v>1354</v>
      </c>
      <c r="G5986" s="11" t="s">
        <v>1470</v>
      </c>
      <c r="H5986" s="2" t="s">
        <v>149</v>
      </c>
      <c r="L5986" s="18">
        <v>0</v>
      </c>
      <c r="Q5986" s="18">
        <v>1</v>
      </c>
      <c r="T5986" s="22">
        <v>0.8</v>
      </c>
      <c r="U5986" s="22">
        <v>0.85</v>
      </c>
      <c r="V5986" s="22">
        <f>4.13/5</f>
        <v>0.82599999999999996</v>
      </c>
      <c r="AB5986" s="18">
        <f t="shared" si="186"/>
        <v>2007</v>
      </c>
      <c r="AC5986" s="22">
        <f t="shared" si="187"/>
        <v>0.82533333333333336</v>
      </c>
    </row>
    <row r="5987" spans="1:29">
      <c r="A5987" s="8" t="s">
        <v>961</v>
      </c>
      <c r="B5987" s="17" t="s">
        <v>7741</v>
      </c>
      <c r="C5987" s="13">
        <v>39181</v>
      </c>
      <c r="D5987" s="13" t="s">
        <v>8465</v>
      </c>
      <c r="E5987" s="10" t="s">
        <v>86</v>
      </c>
      <c r="F5987" s="10" t="s">
        <v>1069</v>
      </c>
      <c r="G5987" s="11" t="s">
        <v>880</v>
      </c>
      <c r="H5987" s="2" t="s">
        <v>171</v>
      </c>
      <c r="L5987" s="18">
        <v>0</v>
      </c>
      <c r="Q5987" s="18">
        <v>1</v>
      </c>
      <c r="T5987" s="22">
        <v>0.8</v>
      </c>
      <c r="V5987" s="22">
        <f>3.98/5</f>
        <v>0.79600000000000004</v>
      </c>
      <c r="AB5987" s="18">
        <f t="shared" si="186"/>
        <v>2007</v>
      </c>
      <c r="AC5987" s="22">
        <f t="shared" si="187"/>
        <v>0.79800000000000004</v>
      </c>
    </row>
    <row r="5988" spans="1:29">
      <c r="A5988" s="8" t="s">
        <v>5656</v>
      </c>
      <c r="B5988" s="17" t="s">
        <v>7800</v>
      </c>
      <c r="C5988" s="13">
        <v>39174</v>
      </c>
      <c r="D5988" s="13" t="s">
        <v>8465</v>
      </c>
      <c r="E5988" s="10" t="s">
        <v>5693</v>
      </c>
      <c r="F5988" s="10" t="s">
        <v>5693</v>
      </c>
      <c r="H5988" s="2" t="s">
        <v>78</v>
      </c>
      <c r="L5988" s="18">
        <v>1</v>
      </c>
      <c r="P5988" s="18" t="s">
        <v>1107</v>
      </c>
      <c r="Q5988" s="18">
        <v>1</v>
      </c>
      <c r="T5988" s="22">
        <v>0.6</v>
      </c>
      <c r="V5988" s="22">
        <f>3.8/5</f>
        <v>0.76</v>
      </c>
      <c r="W5988" s="14" t="s">
        <v>5675</v>
      </c>
      <c r="AB5988" s="18">
        <f t="shared" si="186"/>
        <v>2007</v>
      </c>
      <c r="AC5988" s="22">
        <f t="shared" si="187"/>
        <v>0.67999999999999994</v>
      </c>
    </row>
    <row r="5989" spans="1:29">
      <c r="A5989" s="8" t="s">
        <v>4683</v>
      </c>
      <c r="B5989" s="17" t="s">
        <v>7800</v>
      </c>
      <c r="C5989" s="13">
        <v>39171</v>
      </c>
      <c r="D5989" s="13" t="s">
        <v>8465</v>
      </c>
      <c r="E5989" s="10" t="s">
        <v>3171</v>
      </c>
      <c r="F5989" s="10" t="s">
        <v>3171</v>
      </c>
      <c r="G5989" s="11" t="s">
        <v>4682</v>
      </c>
      <c r="H5989" s="2" t="s">
        <v>1061</v>
      </c>
      <c r="L5989" s="18">
        <v>1</v>
      </c>
      <c r="N5989" s="13">
        <v>40534</v>
      </c>
      <c r="P5989" s="18" t="s">
        <v>1107</v>
      </c>
      <c r="Q5989" s="18">
        <v>1</v>
      </c>
      <c r="S5989" s="21">
        <v>3.7</v>
      </c>
      <c r="T5989" s="22">
        <v>0.8</v>
      </c>
      <c r="U5989" s="22">
        <v>0.74</v>
      </c>
      <c r="V5989" s="22">
        <f>3.71/5</f>
        <v>0.74199999999999999</v>
      </c>
      <c r="W5989" s="14" t="s">
        <v>7777</v>
      </c>
      <c r="AB5989" s="18">
        <f t="shared" si="186"/>
        <v>2007</v>
      </c>
      <c r="AC5989" s="22">
        <f t="shared" si="187"/>
        <v>0.76066666666666671</v>
      </c>
    </row>
    <row r="5990" spans="1:29" ht="30">
      <c r="A5990" s="8" t="s">
        <v>2972</v>
      </c>
      <c r="B5990" s="17" t="s">
        <v>7765</v>
      </c>
      <c r="C5990" s="13">
        <v>39162</v>
      </c>
      <c r="D5990" s="13" t="s">
        <v>8465</v>
      </c>
      <c r="E5990" s="10" t="s">
        <v>72</v>
      </c>
      <c r="F5990" s="10" t="s">
        <v>6310</v>
      </c>
      <c r="G5990" s="11" t="s">
        <v>113</v>
      </c>
      <c r="H5990" s="2" t="s">
        <v>151</v>
      </c>
      <c r="L5990" s="18">
        <v>1</v>
      </c>
      <c r="P5990" s="18" t="s">
        <v>1107</v>
      </c>
      <c r="Q5990" s="18">
        <v>1</v>
      </c>
      <c r="R5990" s="13">
        <v>40164</v>
      </c>
      <c r="T5990" s="22">
        <v>1</v>
      </c>
      <c r="U5990" s="22">
        <v>0.9</v>
      </c>
      <c r="V5990" s="22">
        <f>4.44/5</f>
        <v>0.88800000000000012</v>
      </c>
      <c r="AB5990" s="18">
        <f t="shared" si="186"/>
        <v>2007</v>
      </c>
      <c r="AC5990" s="22">
        <f t="shared" si="187"/>
        <v>0.92933333333333346</v>
      </c>
    </row>
    <row r="5991" spans="1:29" ht="30">
      <c r="A5991" s="8" t="s">
        <v>1896</v>
      </c>
      <c r="B5991" s="17" t="s">
        <v>7747</v>
      </c>
      <c r="C5991" s="13">
        <v>39161</v>
      </c>
      <c r="D5991" s="13" t="s">
        <v>8465</v>
      </c>
      <c r="E5991" s="10" t="s">
        <v>1047</v>
      </c>
      <c r="F5991" s="10" t="s">
        <v>1048</v>
      </c>
      <c r="G5991" s="11" t="s">
        <v>215</v>
      </c>
      <c r="H5991" s="2" t="s">
        <v>153</v>
      </c>
      <c r="L5991" s="18">
        <v>0</v>
      </c>
      <c r="Q5991" s="18">
        <v>1</v>
      </c>
      <c r="T5991" s="22">
        <v>0.8</v>
      </c>
      <c r="U5991" s="22">
        <v>0.76</v>
      </c>
      <c r="V5991" s="22">
        <f>3.98/5</f>
        <v>0.79600000000000004</v>
      </c>
      <c r="AB5991" s="18">
        <f t="shared" si="186"/>
        <v>2007</v>
      </c>
      <c r="AC5991" s="22">
        <f t="shared" si="187"/>
        <v>0.78533333333333333</v>
      </c>
    </row>
    <row r="5992" spans="1:29" ht="38.25">
      <c r="A5992" s="8" t="s">
        <v>6511</v>
      </c>
      <c r="B5992" s="17" t="s">
        <v>7765</v>
      </c>
      <c r="C5992" s="13">
        <v>39155</v>
      </c>
      <c r="D5992" s="13" t="s">
        <v>8465</v>
      </c>
      <c r="E5992" s="10" t="s">
        <v>72</v>
      </c>
      <c r="F5992" s="10" t="s">
        <v>72</v>
      </c>
      <c r="G5992" s="11" t="s">
        <v>215</v>
      </c>
      <c r="H5992" s="2" t="s">
        <v>153</v>
      </c>
      <c r="L5992" s="18">
        <v>0</v>
      </c>
      <c r="Q5992" s="18">
        <v>1</v>
      </c>
      <c r="T5992" s="22">
        <v>0.7</v>
      </c>
      <c r="U5992" s="22">
        <v>0.67</v>
      </c>
      <c r="V5992" s="22">
        <f>3.76/5</f>
        <v>0.752</v>
      </c>
      <c r="AB5992" s="18">
        <f t="shared" si="186"/>
        <v>2007</v>
      </c>
      <c r="AC5992" s="22">
        <f t="shared" si="187"/>
        <v>0.70733333333333326</v>
      </c>
    </row>
    <row r="5993" spans="1:29" ht="30">
      <c r="A5993" s="8" t="s">
        <v>5812</v>
      </c>
      <c r="B5993" s="17" t="s">
        <v>7758</v>
      </c>
      <c r="C5993" s="13">
        <v>39154</v>
      </c>
      <c r="D5993" s="13" t="s">
        <v>8465</v>
      </c>
      <c r="E5993" s="10" t="s">
        <v>2908</v>
      </c>
      <c r="F5993" s="10" t="s">
        <v>5719</v>
      </c>
      <c r="G5993" s="11" t="s">
        <v>5718</v>
      </c>
      <c r="H5993" s="2" t="s">
        <v>1059</v>
      </c>
      <c r="L5993" s="18">
        <v>0</v>
      </c>
      <c r="Q5993" s="18">
        <v>1</v>
      </c>
      <c r="R5993" s="13">
        <v>45087</v>
      </c>
      <c r="S5993" s="21">
        <f>11+29/60+26/3600</f>
        <v>11.490555555555554</v>
      </c>
      <c r="T5993" s="22">
        <v>0.8</v>
      </c>
      <c r="U5993" s="22">
        <v>0.93</v>
      </c>
      <c r="V5993" s="22">
        <f>4.33/5</f>
        <v>0.86599999999999999</v>
      </c>
      <c r="AB5993" s="18">
        <f t="shared" si="186"/>
        <v>2007</v>
      </c>
      <c r="AC5993" s="22">
        <f t="shared" si="187"/>
        <v>0.8653333333333334</v>
      </c>
    </row>
    <row r="5994" spans="1:29">
      <c r="A5994" s="8" t="s">
        <v>6488</v>
      </c>
      <c r="B5994" s="17" t="s">
        <v>7765</v>
      </c>
      <c r="C5994" s="13">
        <v>39141</v>
      </c>
      <c r="D5994" s="13" t="s">
        <v>8465</v>
      </c>
      <c r="E5994" s="10" t="s">
        <v>6500</v>
      </c>
      <c r="F5994" s="10" t="s">
        <v>3275</v>
      </c>
      <c r="G5994" s="11" t="s">
        <v>6512</v>
      </c>
      <c r="H5994" s="2" t="s">
        <v>147</v>
      </c>
      <c r="L5994" s="18">
        <v>0</v>
      </c>
      <c r="Q5994" s="18">
        <v>1</v>
      </c>
      <c r="R5994" s="13">
        <v>40224</v>
      </c>
      <c r="T5994" s="22">
        <v>0.8</v>
      </c>
      <c r="U5994" s="22">
        <v>0.78</v>
      </c>
      <c r="V5994" s="22">
        <f>3.54/5</f>
        <v>0.70799999999999996</v>
      </c>
      <c r="AB5994" s="18">
        <f t="shared" si="186"/>
        <v>2007</v>
      </c>
      <c r="AC5994" s="22">
        <f t="shared" si="187"/>
        <v>0.76266666666666671</v>
      </c>
    </row>
    <row r="5995" spans="1:29">
      <c r="A5995" s="8" t="s">
        <v>5640</v>
      </c>
      <c r="B5995" s="17" t="s">
        <v>7800</v>
      </c>
      <c r="C5995" s="13">
        <v>39140</v>
      </c>
      <c r="D5995" s="13" t="s">
        <v>8465</v>
      </c>
      <c r="E5995" s="10" t="s">
        <v>3288</v>
      </c>
      <c r="F5995" s="10" t="s">
        <v>3288</v>
      </c>
      <c r="G5995" s="11" t="s">
        <v>5640</v>
      </c>
      <c r="H5995" s="2" t="s">
        <v>31</v>
      </c>
      <c r="L5995" s="18">
        <v>0</v>
      </c>
      <c r="Q5995" s="18">
        <v>1</v>
      </c>
      <c r="T5995" s="22">
        <v>0.8</v>
      </c>
      <c r="U5995" s="22">
        <v>0.85</v>
      </c>
      <c r="V5995" s="22">
        <f>3.74/5</f>
        <v>0.748</v>
      </c>
      <c r="W5995" s="14" t="s">
        <v>13363</v>
      </c>
      <c r="AB5995" s="18">
        <f t="shared" si="186"/>
        <v>2007</v>
      </c>
      <c r="AC5995" s="22">
        <f t="shared" si="187"/>
        <v>0.79933333333333323</v>
      </c>
    </row>
    <row r="5996" spans="1:29" ht="25.5">
      <c r="A5996" s="8" t="s">
        <v>893</v>
      </c>
      <c r="B5996" s="17" t="s">
        <v>7742</v>
      </c>
      <c r="C5996" s="13">
        <v>39139</v>
      </c>
      <c r="D5996" s="13" t="s">
        <v>8465</v>
      </c>
      <c r="E5996" s="10" t="s">
        <v>86</v>
      </c>
      <c r="F5996" s="10" t="s">
        <v>87</v>
      </c>
      <c r="G5996" s="11" t="s">
        <v>85</v>
      </c>
      <c r="H5996" s="2" t="s">
        <v>80</v>
      </c>
      <c r="L5996" s="18">
        <v>0</v>
      </c>
      <c r="Q5996" s="18">
        <v>1</v>
      </c>
      <c r="T5996" s="22">
        <v>0.8</v>
      </c>
      <c r="V5996" s="22">
        <f>4.59/5</f>
        <v>0.91799999999999993</v>
      </c>
      <c r="W5996" s="14" t="s">
        <v>1068</v>
      </c>
      <c r="AB5996" s="18">
        <f t="shared" si="186"/>
        <v>2007</v>
      </c>
      <c r="AC5996" s="22">
        <f t="shared" si="187"/>
        <v>0.85899999999999999</v>
      </c>
    </row>
    <row r="5997" spans="1:29">
      <c r="A5997" s="8" t="s">
        <v>224</v>
      </c>
      <c r="B5997" s="17" t="s">
        <v>7742</v>
      </c>
      <c r="C5997" s="13">
        <v>39125</v>
      </c>
      <c r="D5997" s="13" t="s">
        <v>8465</v>
      </c>
      <c r="E5997" s="10" t="s">
        <v>86</v>
      </c>
      <c r="F5997" s="10" t="s">
        <v>30</v>
      </c>
      <c r="G5997" s="11" t="s">
        <v>223</v>
      </c>
      <c r="H5997" s="2" t="s">
        <v>64</v>
      </c>
      <c r="L5997" s="18">
        <v>0</v>
      </c>
      <c r="Q5997" s="18">
        <v>1</v>
      </c>
      <c r="T5997" s="22">
        <v>0.8</v>
      </c>
      <c r="V5997" s="22">
        <f>4.13/5</f>
        <v>0.82599999999999996</v>
      </c>
      <c r="W5997" s="14" t="s">
        <v>1068</v>
      </c>
      <c r="AB5997" s="18">
        <f t="shared" si="186"/>
        <v>2007</v>
      </c>
      <c r="AC5997" s="22">
        <f t="shared" si="187"/>
        <v>0.81299999999999994</v>
      </c>
    </row>
    <row r="5998" spans="1:29">
      <c r="A5998" s="8" t="s">
        <v>967</v>
      </c>
      <c r="B5998" s="17" t="s">
        <v>7741</v>
      </c>
      <c r="C5998" s="13">
        <v>39125</v>
      </c>
      <c r="D5998" s="13" t="s">
        <v>8465</v>
      </c>
      <c r="E5998" s="10" t="s">
        <v>86</v>
      </c>
      <c r="F5998" s="10" t="s">
        <v>87</v>
      </c>
      <c r="H5998" s="2" t="s">
        <v>1142</v>
      </c>
      <c r="L5998" s="18">
        <v>0</v>
      </c>
      <c r="Q5998" s="18">
        <v>1</v>
      </c>
      <c r="T5998" s="22">
        <v>0.6</v>
      </c>
      <c r="U5998" s="22">
        <v>0.62</v>
      </c>
      <c r="V5998" s="22">
        <f>3.14/5</f>
        <v>0.628</v>
      </c>
      <c r="AB5998" s="18">
        <f t="shared" si="186"/>
        <v>2007</v>
      </c>
      <c r="AC5998" s="22">
        <f t="shared" si="187"/>
        <v>0.61599999999999999</v>
      </c>
    </row>
    <row r="5999" spans="1:29">
      <c r="A5999" s="8" t="s">
        <v>2103</v>
      </c>
      <c r="B5999" s="17" t="s">
        <v>7748</v>
      </c>
      <c r="C5999" s="13">
        <v>39104</v>
      </c>
      <c r="D5999" s="13" t="s">
        <v>8465</v>
      </c>
      <c r="E5999" s="10" t="s">
        <v>86</v>
      </c>
      <c r="F5999" s="10" t="s">
        <v>1525</v>
      </c>
      <c r="G5999" s="11" t="s">
        <v>2128</v>
      </c>
      <c r="H5999" s="2" t="s">
        <v>1057</v>
      </c>
      <c r="L5999" s="18">
        <v>0</v>
      </c>
      <c r="Q5999" s="18">
        <v>1</v>
      </c>
      <c r="T5999" s="22">
        <v>0.9</v>
      </c>
      <c r="U5999" s="22">
        <v>0.79</v>
      </c>
      <c r="V5999" s="22">
        <f>4.04/5</f>
        <v>0.80800000000000005</v>
      </c>
      <c r="AB5999" s="18">
        <f t="shared" si="186"/>
        <v>2007</v>
      </c>
      <c r="AC5999" s="22">
        <f t="shared" si="187"/>
        <v>0.83266666666666678</v>
      </c>
    </row>
    <row r="6000" spans="1:29" ht="25.5">
      <c r="A6000" s="8" t="s">
        <v>968</v>
      </c>
      <c r="B6000" s="17" t="s">
        <v>7741</v>
      </c>
      <c r="C6000" s="13">
        <v>39097</v>
      </c>
      <c r="D6000" s="13" t="s">
        <v>8465</v>
      </c>
      <c r="E6000" s="10" t="s">
        <v>86</v>
      </c>
      <c r="F6000" s="10" t="s">
        <v>1515</v>
      </c>
      <c r="G6000" s="11" t="s">
        <v>1516</v>
      </c>
      <c r="H6000" s="2" t="s">
        <v>1142</v>
      </c>
      <c r="L6000" s="18">
        <v>0</v>
      </c>
      <c r="Q6000" s="18">
        <v>1</v>
      </c>
      <c r="T6000" s="22">
        <v>0.8</v>
      </c>
      <c r="U6000" s="22">
        <v>0.82</v>
      </c>
      <c r="V6000" s="22">
        <f>3.88/5</f>
        <v>0.77600000000000002</v>
      </c>
      <c r="AB6000" s="18">
        <f t="shared" si="186"/>
        <v>2007</v>
      </c>
      <c r="AC6000" s="22">
        <f t="shared" si="187"/>
        <v>0.79866666666666664</v>
      </c>
    </row>
    <row r="6001" spans="1:29" ht="25.5">
      <c r="A6001" s="8" t="s">
        <v>7158</v>
      </c>
      <c r="B6001" s="17" t="s">
        <v>7800</v>
      </c>
      <c r="C6001" s="13">
        <v>39082</v>
      </c>
      <c r="D6001" s="13" t="s">
        <v>8465</v>
      </c>
      <c r="E6001" s="10" t="s">
        <v>1612</v>
      </c>
      <c r="F6001" s="10" t="s">
        <v>1612</v>
      </c>
      <c r="G6001" s="11" t="s">
        <v>4549</v>
      </c>
      <c r="H6001" s="2" t="s">
        <v>143</v>
      </c>
      <c r="L6001" s="18">
        <v>0</v>
      </c>
      <c r="Q6001" s="18">
        <v>0</v>
      </c>
      <c r="V6001" s="22">
        <f>3.38/5</f>
        <v>0.67599999999999993</v>
      </c>
      <c r="W6001" s="14" t="s">
        <v>5674</v>
      </c>
      <c r="X6001" s="3">
        <v>4</v>
      </c>
      <c r="AB6001" s="18">
        <f t="shared" si="186"/>
        <v>2006</v>
      </c>
      <c r="AC6001" s="22">
        <f t="shared" si="187"/>
        <v>0.73799999999999999</v>
      </c>
    </row>
    <row r="6002" spans="1:29">
      <c r="A6002" s="8" t="s">
        <v>4556</v>
      </c>
      <c r="B6002" s="17" t="s">
        <v>7800</v>
      </c>
      <c r="C6002" s="13">
        <v>39077</v>
      </c>
      <c r="D6002" s="13" t="s">
        <v>8465</v>
      </c>
      <c r="E6002" s="10" t="s">
        <v>3905</v>
      </c>
      <c r="F6002" s="10" t="s">
        <v>4557</v>
      </c>
      <c r="G6002" s="11" t="s">
        <v>4558</v>
      </c>
      <c r="H6002" s="2" t="s">
        <v>21</v>
      </c>
      <c r="L6002" s="18">
        <v>1</v>
      </c>
      <c r="N6002" s="13">
        <v>42041</v>
      </c>
      <c r="P6002" s="18" t="s">
        <v>1107</v>
      </c>
      <c r="Q6002" s="18">
        <v>0</v>
      </c>
      <c r="V6002" s="22">
        <f>2/5</f>
        <v>0.4</v>
      </c>
      <c r="W6002" s="14" t="s">
        <v>7777</v>
      </c>
      <c r="X6002" s="3">
        <v>2</v>
      </c>
      <c r="Z6002" s="23">
        <v>1.5</v>
      </c>
      <c r="AB6002" s="18">
        <f t="shared" si="186"/>
        <v>2006</v>
      </c>
      <c r="AC6002" s="22">
        <f t="shared" si="187"/>
        <v>0.4</v>
      </c>
    </row>
    <row r="6003" spans="1:29">
      <c r="A6003" s="8" t="s">
        <v>10151</v>
      </c>
      <c r="B6003" s="17" t="s">
        <v>7800</v>
      </c>
      <c r="C6003" s="13">
        <v>39076</v>
      </c>
      <c r="D6003" s="13" t="s">
        <v>8467</v>
      </c>
      <c r="E6003" s="10" t="s">
        <v>10152</v>
      </c>
      <c r="F6003" s="10" t="s">
        <v>10153</v>
      </c>
      <c r="H6003" s="2" t="s">
        <v>1061</v>
      </c>
      <c r="L6003" s="18">
        <v>0</v>
      </c>
      <c r="Q6003" s="18">
        <v>0</v>
      </c>
      <c r="V6003" s="22">
        <f>2.92/5</f>
        <v>0.58399999999999996</v>
      </c>
      <c r="W6003" s="14" t="s">
        <v>13076</v>
      </c>
      <c r="X6003" s="3">
        <v>2</v>
      </c>
      <c r="AB6003" s="18">
        <f t="shared" si="186"/>
        <v>2006</v>
      </c>
      <c r="AC6003" s="22">
        <f t="shared" si="187"/>
        <v>0.49199999999999999</v>
      </c>
    </row>
    <row r="6004" spans="1:29">
      <c r="A6004" s="8" t="s">
        <v>5283</v>
      </c>
      <c r="B6004" s="17" t="s">
        <v>7800</v>
      </c>
      <c r="C6004" s="13">
        <v>39074</v>
      </c>
      <c r="D6004" s="13" t="s">
        <v>8465</v>
      </c>
      <c r="E6004" s="10" t="s">
        <v>3066</v>
      </c>
      <c r="F6004" s="10" t="s">
        <v>3066</v>
      </c>
      <c r="G6004" s="11" t="s">
        <v>3329</v>
      </c>
      <c r="H6004" s="2" t="s">
        <v>67</v>
      </c>
      <c r="L6004" s="18">
        <v>1</v>
      </c>
      <c r="N6004" s="13">
        <v>41346</v>
      </c>
      <c r="P6004" s="18" t="s">
        <v>1107</v>
      </c>
      <c r="Q6004" s="18">
        <v>0</v>
      </c>
      <c r="U6004" s="22">
        <v>0.79</v>
      </c>
      <c r="V6004" s="22">
        <f>3.47/5</f>
        <v>0.69400000000000006</v>
      </c>
      <c r="W6004" s="14" t="s">
        <v>7777</v>
      </c>
      <c r="X6004" s="3">
        <v>3</v>
      </c>
      <c r="Z6004" s="23">
        <v>3</v>
      </c>
      <c r="AB6004" s="18">
        <f t="shared" si="186"/>
        <v>2006</v>
      </c>
      <c r="AC6004" s="22">
        <f t="shared" si="187"/>
        <v>0.69466666666666665</v>
      </c>
    </row>
    <row r="6005" spans="1:29">
      <c r="A6005" s="8" t="s">
        <v>1009</v>
      </c>
      <c r="B6005" s="17" t="s">
        <v>7741</v>
      </c>
      <c r="C6005" s="13">
        <v>39065</v>
      </c>
      <c r="D6005" s="13" t="s">
        <v>8465</v>
      </c>
      <c r="E6005" s="10" t="s">
        <v>170</v>
      </c>
      <c r="F6005" s="10" t="s">
        <v>1536</v>
      </c>
      <c r="G6005" s="11" t="s">
        <v>450</v>
      </c>
      <c r="H6005" s="2" t="s">
        <v>147</v>
      </c>
      <c r="L6005" s="18">
        <v>1</v>
      </c>
      <c r="M6005" s="14" t="s">
        <v>8462</v>
      </c>
      <c r="N6005" s="13">
        <v>43645</v>
      </c>
      <c r="O6005" s="29">
        <v>18.98</v>
      </c>
      <c r="P6005" s="18" t="s">
        <v>14</v>
      </c>
      <c r="Q6005" s="18">
        <v>0</v>
      </c>
      <c r="U6005" s="22">
        <v>0.74</v>
      </c>
      <c r="V6005" s="22">
        <f>4.1/5</f>
        <v>0.82</v>
      </c>
      <c r="X6005" s="3">
        <v>3</v>
      </c>
      <c r="Z6005" s="23">
        <v>7.5</v>
      </c>
      <c r="AB6005" s="18">
        <f t="shared" si="186"/>
        <v>2006</v>
      </c>
      <c r="AC6005" s="22">
        <f t="shared" si="187"/>
        <v>0.72000000000000008</v>
      </c>
    </row>
    <row r="6006" spans="1:29" ht="25.5">
      <c r="A6006" s="8" t="s">
        <v>11622</v>
      </c>
      <c r="B6006" s="17" t="s">
        <v>7748</v>
      </c>
      <c r="C6006" s="13">
        <v>39065</v>
      </c>
      <c r="D6006" s="13" t="s">
        <v>8463</v>
      </c>
      <c r="E6006" s="10" t="s">
        <v>455</v>
      </c>
      <c r="F6006" s="10" t="s">
        <v>1492</v>
      </c>
      <c r="G6006" s="11" t="s">
        <v>1211</v>
      </c>
      <c r="H6006" s="2" t="s">
        <v>78</v>
      </c>
      <c r="K6006" s="18">
        <v>2</v>
      </c>
      <c r="L6006" s="18">
        <v>0</v>
      </c>
      <c r="Q6006" s="18">
        <v>0</v>
      </c>
      <c r="V6006" s="22">
        <f>4.19/5</f>
        <v>0.83800000000000008</v>
      </c>
      <c r="X6006" s="3">
        <v>2</v>
      </c>
      <c r="Z6006" s="23">
        <v>9</v>
      </c>
      <c r="AB6006" s="18">
        <f t="shared" si="186"/>
        <v>2006</v>
      </c>
      <c r="AC6006" s="22">
        <f t="shared" si="187"/>
        <v>0.61899999999999999</v>
      </c>
    </row>
    <row r="6007" spans="1:29">
      <c r="A6007" s="8" t="s">
        <v>993</v>
      </c>
      <c r="B6007" s="17" t="s">
        <v>7741</v>
      </c>
      <c r="C6007" s="13">
        <v>39063</v>
      </c>
      <c r="D6007" s="13" t="s">
        <v>8465</v>
      </c>
      <c r="E6007" s="10" t="s">
        <v>72</v>
      </c>
      <c r="F6007" s="10" t="s">
        <v>72</v>
      </c>
      <c r="G6007" s="11" t="s">
        <v>993</v>
      </c>
      <c r="H6007" s="2" t="s">
        <v>1050</v>
      </c>
      <c r="L6007" s="18">
        <v>1</v>
      </c>
      <c r="M6007" s="14" t="s">
        <v>8462</v>
      </c>
      <c r="N6007" s="13">
        <v>43648</v>
      </c>
      <c r="O6007" s="29">
        <v>8</v>
      </c>
      <c r="P6007" s="18" t="s">
        <v>14</v>
      </c>
      <c r="Q6007" s="18">
        <v>0</v>
      </c>
      <c r="U6007" s="22">
        <v>0.76</v>
      </c>
      <c r="V6007" s="22">
        <f>3.57/5</f>
        <v>0.71399999999999997</v>
      </c>
      <c r="X6007" s="3">
        <v>3</v>
      </c>
      <c r="Z6007" s="23">
        <v>9</v>
      </c>
      <c r="AB6007" s="18">
        <f t="shared" si="186"/>
        <v>2006</v>
      </c>
      <c r="AC6007" s="22">
        <f t="shared" si="187"/>
        <v>0.69133333333333324</v>
      </c>
    </row>
    <row r="6008" spans="1:29">
      <c r="A6008" s="8" t="s">
        <v>1041</v>
      </c>
      <c r="B6008" s="17" t="s">
        <v>7741</v>
      </c>
      <c r="C6008" s="13">
        <v>39063</v>
      </c>
      <c r="D6008" s="13" t="s">
        <v>8465</v>
      </c>
      <c r="E6008" s="10" t="s">
        <v>1047</v>
      </c>
      <c r="F6008" s="10" t="s">
        <v>1048</v>
      </c>
      <c r="G6008" s="11" t="s">
        <v>1049</v>
      </c>
      <c r="H6008" s="2" t="s">
        <v>1050</v>
      </c>
      <c r="L6008" s="18">
        <v>1</v>
      </c>
      <c r="M6008" s="14" t="s">
        <v>8462</v>
      </c>
      <c r="N6008" s="13">
        <v>43648</v>
      </c>
      <c r="O6008" s="29">
        <v>5.98</v>
      </c>
      <c r="P6008" s="18" t="s">
        <v>14</v>
      </c>
      <c r="Q6008" s="18">
        <v>0</v>
      </c>
      <c r="U6008" s="22">
        <v>0.38</v>
      </c>
      <c r="V6008" s="22">
        <f>2.51/5</f>
        <v>0.502</v>
      </c>
      <c r="X6008" s="3">
        <v>3</v>
      </c>
      <c r="Z6008" s="23">
        <v>8</v>
      </c>
      <c r="AB6008" s="18">
        <f t="shared" si="186"/>
        <v>2006</v>
      </c>
      <c r="AC6008" s="22">
        <f t="shared" si="187"/>
        <v>0.49399999999999999</v>
      </c>
    </row>
    <row r="6009" spans="1:29" ht="30">
      <c r="A6009" s="8" t="s">
        <v>2025</v>
      </c>
      <c r="B6009" s="17" t="s">
        <v>7747</v>
      </c>
      <c r="C6009" s="13">
        <v>39063</v>
      </c>
      <c r="D6009" s="13" t="s">
        <v>8465</v>
      </c>
      <c r="E6009" s="10" t="s">
        <v>1965</v>
      </c>
      <c r="F6009" s="10" t="s">
        <v>1966</v>
      </c>
      <c r="G6009" s="11" t="s">
        <v>2025</v>
      </c>
      <c r="H6009" s="2" t="s">
        <v>1377</v>
      </c>
      <c r="L6009" s="18">
        <v>0</v>
      </c>
      <c r="Q6009" s="18">
        <v>0</v>
      </c>
      <c r="U6009" s="22">
        <v>0.67</v>
      </c>
      <c r="V6009" s="22">
        <f>3.69/5</f>
        <v>0.73799999999999999</v>
      </c>
      <c r="X6009" s="3">
        <v>3</v>
      </c>
      <c r="Z6009" s="23">
        <v>15</v>
      </c>
      <c r="AB6009" s="18">
        <f t="shared" si="186"/>
        <v>2006</v>
      </c>
      <c r="AC6009" s="22">
        <f t="shared" si="187"/>
        <v>0.66933333333333334</v>
      </c>
    </row>
    <row r="6010" spans="1:29" ht="25.5">
      <c r="A6010" s="8" t="s">
        <v>9186</v>
      </c>
      <c r="B6010" s="17" t="s">
        <v>7748</v>
      </c>
      <c r="C6010" s="13">
        <v>39063</v>
      </c>
      <c r="D6010" s="13" t="s">
        <v>8465</v>
      </c>
      <c r="E6010" s="10" t="s">
        <v>2287</v>
      </c>
      <c r="F6010" s="10" t="s">
        <v>66</v>
      </c>
      <c r="G6010" s="11" t="s">
        <v>9091</v>
      </c>
      <c r="H6010" s="2" t="s">
        <v>153</v>
      </c>
      <c r="L6010" s="18">
        <v>0</v>
      </c>
      <c r="Q6010" s="18">
        <v>0</v>
      </c>
      <c r="U6010" s="22">
        <v>0.57999999999999996</v>
      </c>
      <c r="V6010" s="22">
        <f>3.26/5</f>
        <v>0.65199999999999991</v>
      </c>
      <c r="X6010" s="3">
        <v>2</v>
      </c>
      <c r="Z6010" s="23">
        <v>9.5</v>
      </c>
      <c r="AB6010" s="18">
        <f t="shared" si="186"/>
        <v>2006</v>
      </c>
      <c r="AC6010" s="22">
        <f t="shared" si="187"/>
        <v>0.54399999999999993</v>
      </c>
    </row>
    <row r="6011" spans="1:29" ht="30">
      <c r="A6011" s="8" t="s">
        <v>947</v>
      </c>
      <c r="B6011" s="17" t="s">
        <v>7740</v>
      </c>
      <c r="C6011" s="13">
        <v>39062</v>
      </c>
      <c r="D6011" s="13" t="s">
        <v>8465</v>
      </c>
      <c r="E6011" s="10" t="s">
        <v>86</v>
      </c>
      <c r="F6011" s="10" t="s">
        <v>87</v>
      </c>
      <c r="G6011" s="11" t="s">
        <v>85</v>
      </c>
      <c r="H6011" s="2" t="s">
        <v>80</v>
      </c>
      <c r="L6011" s="18">
        <v>1</v>
      </c>
      <c r="M6011" s="14" t="s">
        <v>8462</v>
      </c>
      <c r="N6011" s="13">
        <v>44031</v>
      </c>
      <c r="O6011" s="29">
        <v>79.569999999999993</v>
      </c>
      <c r="P6011" s="18" t="s">
        <v>14</v>
      </c>
      <c r="Q6011" s="18">
        <v>0</v>
      </c>
      <c r="U6011" s="22">
        <v>0.95</v>
      </c>
      <c r="V6011" s="22">
        <f>4.39/5</f>
        <v>0.87799999999999989</v>
      </c>
      <c r="X6011" s="3">
        <v>3</v>
      </c>
      <c r="Z6011" s="23">
        <v>37</v>
      </c>
      <c r="AB6011" s="18">
        <f t="shared" si="186"/>
        <v>2006</v>
      </c>
      <c r="AC6011" s="22">
        <f t="shared" si="187"/>
        <v>0.80933333333333335</v>
      </c>
    </row>
    <row r="6012" spans="1:29" ht="30">
      <c r="A6012" s="8" t="s">
        <v>6247</v>
      </c>
      <c r="B6012" s="17" t="s">
        <v>7762</v>
      </c>
      <c r="C6012" s="13">
        <v>39056</v>
      </c>
      <c r="D6012" s="13" t="s">
        <v>8465</v>
      </c>
      <c r="E6012" s="10" t="s">
        <v>72</v>
      </c>
      <c r="F6012" s="10" t="s">
        <v>1940</v>
      </c>
      <c r="G6012" s="11" t="s">
        <v>220</v>
      </c>
      <c r="H6012" s="2" t="s">
        <v>245</v>
      </c>
      <c r="L6012" s="18">
        <v>0</v>
      </c>
      <c r="Q6012" s="18">
        <v>0</v>
      </c>
      <c r="U6012" s="22">
        <v>0.87</v>
      </c>
      <c r="V6012" s="22">
        <f>3.85/5</f>
        <v>0.77</v>
      </c>
      <c r="X6012" s="3">
        <v>4</v>
      </c>
      <c r="Z6012" s="23">
        <v>12</v>
      </c>
      <c r="AB6012" s="18">
        <f t="shared" si="186"/>
        <v>2006</v>
      </c>
      <c r="AC6012" s="22">
        <f t="shared" si="187"/>
        <v>0.81333333333333346</v>
      </c>
    </row>
    <row r="6013" spans="1:29">
      <c r="A6013" s="8" t="s">
        <v>2191</v>
      </c>
      <c r="B6013" s="17" t="s">
        <v>7748</v>
      </c>
      <c r="C6013" s="13">
        <v>39055</v>
      </c>
      <c r="D6013" s="13" t="s">
        <v>8465</v>
      </c>
      <c r="E6013" s="10" t="s">
        <v>86</v>
      </c>
      <c r="F6013" s="10" t="s">
        <v>1905</v>
      </c>
      <c r="G6013" s="11" t="s">
        <v>223</v>
      </c>
      <c r="H6013" s="2" t="s">
        <v>64</v>
      </c>
      <c r="L6013" s="18">
        <v>0</v>
      </c>
      <c r="Q6013" s="18">
        <v>0</v>
      </c>
      <c r="U6013" s="22">
        <v>0.72</v>
      </c>
      <c r="V6013" s="22">
        <f>3.84/5</f>
        <v>0.76800000000000002</v>
      </c>
      <c r="X6013" s="3">
        <v>3</v>
      </c>
      <c r="Z6013" s="23">
        <v>4</v>
      </c>
      <c r="AB6013" s="18">
        <f t="shared" si="186"/>
        <v>2006</v>
      </c>
      <c r="AC6013" s="22">
        <f t="shared" si="187"/>
        <v>0.69600000000000006</v>
      </c>
    </row>
    <row r="6014" spans="1:29" ht="25.5">
      <c r="A6014" s="8" t="s">
        <v>13182</v>
      </c>
      <c r="B6014" s="17" t="s">
        <v>7741</v>
      </c>
      <c r="C6014" s="13">
        <v>39053</v>
      </c>
      <c r="D6014" s="13" t="s">
        <v>8463</v>
      </c>
      <c r="E6014" s="10" t="s">
        <v>1509</v>
      </c>
      <c r="F6014" s="10" t="s">
        <v>1509</v>
      </c>
      <c r="G6014" s="11" t="s">
        <v>1395</v>
      </c>
      <c r="H6014" s="2" t="s">
        <v>80</v>
      </c>
      <c r="K6014" s="18">
        <v>0</v>
      </c>
      <c r="L6014" s="18">
        <v>0</v>
      </c>
      <c r="Q6014" s="18">
        <v>0</v>
      </c>
      <c r="V6014" s="22">
        <f>4.31/5</f>
        <v>0.86199999999999988</v>
      </c>
      <c r="X6014" s="3">
        <v>2</v>
      </c>
      <c r="AB6014" s="18">
        <f t="shared" si="186"/>
        <v>2006</v>
      </c>
      <c r="AC6014" s="22">
        <f t="shared" si="187"/>
        <v>0.63100000000000001</v>
      </c>
    </row>
    <row r="6015" spans="1:29">
      <c r="A6015" s="8" t="s">
        <v>8701</v>
      </c>
      <c r="B6015" s="17" t="s">
        <v>7758</v>
      </c>
      <c r="C6015" s="13">
        <v>39051</v>
      </c>
      <c r="D6015" s="13" t="s">
        <v>8463</v>
      </c>
      <c r="E6015" s="10" t="s">
        <v>470</v>
      </c>
      <c r="F6015" s="10" t="s">
        <v>1897</v>
      </c>
      <c r="G6015" s="11" t="s">
        <v>1898</v>
      </c>
      <c r="H6015" s="2" t="s">
        <v>75</v>
      </c>
      <c r="K6015" s="18">
        <v>0</v>
      </c>
      <c r="L6015" s="18">
        <v>0</v>
      </c>
      <c r="Q6015" s="18">
        <v>0</v>
      </c>
      <c r="V6015" s="22">
        <f>4.04/5</f>
        <v>0.80800000000000005</v>
      </c>
      <c r="X6015" s="3">
        <v>3</v>
      </c>
      <c r="AB6015" s="18">
        <f t="shared" si="186"/>
        <v>2006</v>
      </c>
      <c r="AC6015" s="22">
        <f t="shared" si="187"/>
        <v>0.70399999999999996</v>
      </c>
    </row>
    <row r="6016" spans="1:29">
      <c r="A6016" s="8" t="s">
        <v>15343</v>
      </c>
      <c r="B6016" s="17" t="s">
        <v>7765</v>
      </c>
      <c r="C6016" s="13">
        <v>39051</v>
      </c>
      <c r="D6016" s="13" t="s">
        <v>8463</v>
      </c>
      <c r="E6016" s="10" t="s">
        <v>470</v>
      </c>
      <c r="F6016" s="10" t="s">
        <v>470</v>
      </c>
      <c r="G6016" s="11" t="s">
        <v>299</v>
      </c>
      <c r="H6016" s="2" t="s">
        <v>75</v>
      </c>
      <c r="K6016" s="18">
        <v>0</v>
      </c>
      <c r="L6016" s="18">
        <v>0</v>
      </c>
      <c r="Q6016" s="18">
        <v>0</v>
      </c>
      <c r="V6016" s="22">
        <f>3.8/5</f>
        <v>0.76</v>
      </c>
      <c r="X6016" s="3">
        <v>2</v>
      </c>
      <c r="AB6016" s="18">
        <f t="shared" si="186"/>
        <v>2006</v>
      </c>
      <c r="AC6016" s="22">
        <f t="shared" si="187"/>
        <v>0.58000000000000007</v>
      </c>
    </row>
    <row r="6017" spans="1:29" ht="51">
      <c r="A6017" s="8" t="s">
        <v>13079</v>
      </c>
      <c r="B6017" s="17" t="s">
        <v>7800</v>
      </c>
      <c r="C6017" s="13">
        <v>39049</v>
      </c>
      <c r="D6017" s="13" t="s">
        <v>8465</v>
      </c>
      <c r="E6017" s="10" t="s">
        <v>231</v>
      </c>
      <c r="F6017" s="10" t="s">
        <v>1039</v>
      </c>
      <c r="G6017" s="11" t="s">
        <v>4445</v>
      </c>
      <c r="H6017" s="2" t="s">
        <v>1143</v>
      </c>
      <c r="L6017" s="18">
        <v>0</v>
      </c>
      <c r="Q6017" s="18">
        <v>0</v>
      </c>
      <c r="U6017" s="22">
        <v>0.78</v>
      </c>
      <c r="V6017" s="22">
        <f>4.02/5</f>
        <v>0.80399999999999994</v>
      </c>
      <c r="W6017" s="14" t="s">
        <v>13076</v>
      </c>
      <c r="X6017" s="3">
        <v>3</v>
      </c>
      <c r="Z6017" s="23">
        <v>9.5</v>
      </c>
      <c r="AB6017" s="18">
        <f t="shared" ref="AB6017:AB6080" si="188">IFERROR(YEAR(C6017), "Early Access")</f>
        <v>2006</v>
      </c>
      <c r="AC6017" s="22">
        <f t="shared" ref="AC6017:AC6080" si="189">AVERAGE(T6017, U6017, V6017, IF(ISBLANK(X6017), X6017, X6017/5))</f>
        <v>0.72800000000000009</v>
      </c>
    </row>
    <row r="6018" spans="1:29" ht="25.5">
      <c r="A6018" s="8" t="s">
        <v>7463</v>
      </c>
      <c r="B6018" s="17" t="s">
        <v>7741</v>
      </c>
      <c r="C6018" s="13">
        <v>39049</v>
      </c>
      <c r="D6018" s="13" t="s">
        <v>8465</v>
      </c>
      <c r="E6018" s="10" t="s">
        <v>1047</v>
      </c>
      <c r="F6018" s="10" t="s">
        <v>1048</v>
      </c>
      <c r="G6018" s="11" t="s">
        <v>5430</v>
      </c>
      <c r="H6018" s="2" t="s">
        <v>245</v>
      </c>
      <c r="L6018" s="18">
        <v>0</v>
      </c>
      <c r="Q6018" s="18">
        <v>0</v>
      </c>
      <c r="U6018" s="22">
        <v>0.61</v>
      </c>
      <c r="V6018" s="22">
        <f>3.32/5</f>
        <v>0.66399999999999992</v>
      </c>
      <c r="X6018" s="3">
        <v>2</v>
      </c>
      <c r="Z6018" s="23">
        <v>11.5</v>
      </c>
      <c r="AB6018" s="18">
        <f t="shared" si="188"/>
        <v>2006</v>
      </c>
      <c r="AC6018" s="22">
        <f t="shared" si="189"/>
        <v>0.55799999999999994</v>
      </c>
    </row>
    <row r="6019" spans="1:29">
      <c r="A6019" s="8" t="s">
        <v>2356</v>
      </c>
      <c r="B6019" s="17" t="s">
        <v>7748</v>
      </c>
      <c r="C6019" s="13">
        <v>39044</v>
      </c>
      <c r="D6019" s="13" t="s">
        <v>8463</v>
      </c>
      <c r="E6019" s="10" t="s">
        <v>86</v>
      </c>
      <c r="F6019" s="10" t="s">
        <v>1546</v>
      </c>
      <c r="G6019" s="11" t="s">
        <v>2326</v>
      </c>
      <c r="H6019" s="2" t="s">
        <v>459</v>
      </c>
      <c r="K6019" s="18">
        <v>2</v>
      </c>
      <c r="L6019" s="18">
        <v>0</v>
      </c>
      <c r="Q6019" s="18">
        <v>0</v>
      </c>
      <c r="U6019" s="22">
        <v>0.86</v>
      </c>
      <c r="V6019" s="22">
        <f>4.23/5</f>
        <v>0.84600000000000009</v>
      </c>
      <c r="X6019" s="3">
        <v>4</v>
      </c>
      <c r="Z6019" s="23">
        <v>17.5</v>
      </c>
      <c r="AB6019" s="18">
        <f t="shared" si="188"/>
        <v>2006</v>
      </c>
      <c r="AC6019" s="22">
        <f t="shared" si="189"/>
        <v>0.83533333333333337</v>
      </c>
    </row>
    <row r="6020" spans="1:29" ht="30">
      <c r="A6020" s="8" t="s">
        <v>2070</v>
      </c>
      <c r="B6020" s="17" t="s">
        <v>7747</v>
      </c>
      <c r="C6020" s="13">
        <v>39042</v>
      </c>
      <c r="D6020" s="13" t="s">
        <v>8465</v>
      </c>
      <c r="E6020" s="10" t="s">
        <v>228</v>
      </c>
      <c r="F6020" s="10" t="s">
        <v>470</v>
      </c>
      <c r="G6020" s="11" t="s">
        <v>299</v>
      </c>
      <c r="H6020" s="2" t="s">
        <v>75</v>
      </c>
      <c r="L6020" s="18">
        <v>0</v>
      </c>
      <c r="Q6020" s="18">
        <v>0</v>
      </c>
      <c r="U6020" s="22">
        <v>0.85</v>
      </c>
      <c r="V6020" s="22">
        <f>4.08/5</f>
        <v>0.81600000000000006</v>
      </c>
      <c r="X6020" s="3">
        <v>4</v>
      </c>
      <c r="Z6020" s="23">
        <v>26.5</v>
      </c>
      <c r="AB6020" s="18">
        <f t="shared" si="188"/>
        <v>2006</v>
      </c>
      <c r="AC6020" s="22">
        <f t="shared" si="189"/>
        <v>0.82200000000000006</v>
      </c>
    </row>
    <row r="6021" spans="1:29" ht="30">
      <c r="A6021" s="8" t="s">
        <v>2075</v>
      </c>
      <c r="B6021" s="17" t="s">
        <v>7747</v>
      </c>
      <c r="C6021" s="13">
        <v>39042</v>
      </c>
      <c r="D6021" s="13" t="s">
        <v>8465</v>
      </c>
      <c r="E6021" s="10" t="s">
        <v>228</v>
      </c>
      <c r="F6021" s="10" t="s">
        <v>1416</v>
      </c>
      <c r="G6021" s="11" t="s">
        <v>1987</v>
      </c>
      <c r="H6021" s="2" t="s">
        <v>75</v>
      </c>
      <c r="L6021" s="18">
        <v>0</v>
      </c>
      <c r="Q6021" s="18">
        <v>0</v>
      </c>
      <c r="U6021" s="22">
        <v>0.79</v>
      </c>
      <c r="V6021" s="22">
        <f>3.82/5</f>
        <v>0.76400000000000001</v>
      </c>
      <c r="X6021" s="3">
        <v>4</v>
      </c>
      <c r="Z6021" s="23">
        <v>26</v>
      </c>
      <c r="AB6021" s="18">
        <f t="shared" si="188"/>
        <v>2006</v>
      </c>
      <c r="AC6021" s="22">
        <f t="shared" si="189"/>
        <v>0.78466666666666673</v>
      </c>
    </row>
    <row r="6022" spans="1:29" ht="38.25">
      <c r="A6022" s="8" t="s">
        <v>11938</v>
      </c>
      <c r="B6022" s="17" t="s">
        <v>7762</v>
      </c>
      <c r="C6022" s="13">
        <v>39042</v>
      </c>
      <c r="D6022" s="13" t="s">
        <v>8465</v>
      </c>
      <c r="E6022" s="10" t="s">
        <v>2908</v>
      </c>
      <c r="F6022" s="10" t="s">
        <v>7550</v>
      </c>
      <c r="G6022" s="11" t="s">
        <v>11933</v>
      </c>
      <c r="H6022" s="2" t="s">
        <v>7448</v>
      </c>
      <c r="L6022" s="18">
        <v>0</v>
      </c>
      <c r="Q6022" s="18">
        <v>0</v>
      </c>
      <c r="U6022" s="22">
        <v>0.81</v>
      </c>
      <c r="V6022" s="22">
        <f>4.02/5</f>
        <v>0.80399999999999994</v>
      </c>
      <c r="X6022" s="3">
        <v>2</v>
      </c>
      <c r="Z6022" s="23">
        <v>4</v>
      </c>
      <c r="AB6022" s="18">
        <f t="shared" si="188"/>
        <v>2006</v>
      </c>
      <c r="AC6022" s="22">
        <f t="shared" si="189"/>
        <v>0.67133333333333323</v>
      </c>
    </row>
    <row r="6023" spans="1:29" ht="25.5">
      <c r="A6023" s="8" t="s">
        <v>7438</v>
      </c>
      <c r="B6023" s="17" t="s">
        <v>7765</v>
      </c>
      <c r="C6023" s="13">
        <v>39041</v>
      </c>
      <c r="D6023" s="13" t="s">
        <v>8465</v>
      </c>
      <c r="E6023" s="10" t="s">
        <v>1047</v>
      </c>
      <c r="F6023" s="10" t="s">
        <v>7439</v>
      </c>
      <c r="G6023" s="11" t="s">
        <v>6608</v>
      </c>
      <c r="H6023" s="2" t="s">
        <v>1168</v>
      </c>
      <c r="L6023" s="18">
        <v>1</v>
      </c>
      <c r="M6023" s="14" t="s">
        <v>14359</v>
      </c>
      <c r="P6023" s="18" t="s">
        <v>14</v>
      </c>
      <c r="Q6023" s="18">
        <v>0</v>
      </c>
      <c r="U6023" s="22">
        <v>0.84</v>
      </c>
      <c r="V6023" s="22">
        <f>4.03/5</f>
        <v>0.80600000000000005</v>
      </c>
      <c r="X6023" s="3">
        <v>3</v>
      </c>
      <c r="Z6023" s="23">
        <v>8.5</v>
      </c>
      <c r="AB6023" s="18">
        <f t="shared" si="188"/>
        <v>2006</v>
      </c>
      <c r="AC6023" s="22">
        <f t="shared" si="189"/>
        <v>0.7486666666666667</v>
      </c>
    </row>
    <row r="6024" spans="1:29">
      <c r="A6024" s="8" t="s">
        <v>1018</v>
      </c>
      <c r="B6024" s="17" t="s">
        <v>7741</v>
      </c>
      <c r="C6024" s="13">
        <v>39040</v>
      </c>
      <c r="D6024" s="13" t="s">
        <v>8465</v>
      </c>
      <c r="E6024" s="10" t="s">
        <v>1047</v>
      </c>
      <c r="F6024" s="10" t="s">
        <v>1539</v>
      </c>
      <c r="G6024" s="11" t="s">
        <v>1018</v>
      </c>
      <c r="H6024" s="2" t="s">
        <v>1050</v>
      </c>
      <c r="L6024" s="18">
        <v>0</v>
      </c>
      <c r="Q6024" s="18">
        <v>0</v>
      </c>
      <c r="U6024" s="22">
        <v>0.65</v>
      </c>
      <c r="V6024" s="22">
        <f>3.04/5</f>
        <v>0.60799999999999998</v>
      </c>
      <c r="X6024" s="3">
        <v>3</v>
      </c>
      <c r="Z6024" s="23">
        <v>8.5</v>
      </c>
      <c r="AB6024" s="18">
        <f t="shared" si="188"/>
        <v>2006</v>
      </c>
      <c r="AC6024" s="22">
        <f t="shared" si="189"/>
        <v>0.6193333333333334</v>
      </c>
    </row>
    <row r="6025" spans="1:29" ht="25.5">
      <c r="A6025" s="8" t="s">
        <v>1045</v>
      </c>
      <c r="B6025" s="17" t="s">
        <v>7741</v>
      </c>
      <c r="C6025" s="13">
        <v>39040</v>
      </c>
      <c r="D6025" s="13" t="s">
        <v>8465</v>
      </c>
      <c r="E6025" s="10" t="s">
        <v>455</v>
      </c>
      <c r="F6025" s="10" t="s">
        <v>455</v>
      </c>
      <c r="G6025" s="11" t="s">
        <v>1065</v>
      </c>
      <c r="H6025" s="2" t="s">
        <v>1040</v>
      </c>
      <c r="L6025" s="18">
        <v>1</v>
      </c>
      <c r="M6025" s="14" t="s">
        <v>8462</v>
      </c>
      <c r="N6025" s="13">
        <v>43569</v>
      </c>
      <c r="P6025" s="18" t="s">
        <v>14</v>
      </c>
      <c r="Q6025" s="18">
        <v>0</v>
      </c>
      <c r="U6025" s="22">
        <v>0.73</v>
      </c>
      <c r="V6025" s="22">
        <f>3.16/5</f>
        <v>0.63200000000000001</v>
      </c>
      <c r="X6025" s="3">
        <v>3</v>
      </c>
      <c r="Z6025" s="23">
        <v>5.5</v>
      </c>
      <c r="AB6025" s="18">
        <f t="shared" si="188"/>
        <v>2006</v>
      </c>
      <c r="AC6025" s="22">
        <f t="shared" si="189"/>
        <v>0.65400000000000003</v>
      </c>
    </row>
    <row r="6026" spans="1:29" ht="30">
      <c r="A6026" s="8" t="s">
        <v>10217</v>
      </c>
      <c r="B6026" s="17" t="s">
        <v>7759</v>
      </c>
      <c r="C6026" s="13">
        <v>39038</v>
      </c>
      <c r="D6026" s="13" t="s">
        <v>8465</v>
      </c>
      <c r="E6026" s="10" t="s">
        <v>2908</v>
      </c>
      <c r="F6026" s="10" t="s">
        <v>6259</v>
      </c>
      <c r="G6026" s="11" t="s">
        <v>9714</v>
      </c>
      <c r="H6026" s="2" t="s">
        <v>80</v>
      </c>
      <c r="L6026" s="18">
        <v>0</v>
      </c>
      <c r="Q6026" s="18">
        <v>0</v>
      </c>
      <c r="U6026" s="22">
        <v>0.55000000000000004</v>
      </c>
      <c r="V6026" s="22">
        <f>3.01/5</f>
        <v>0.60199999999999998</v>
      </c>
      <c r="X6026" s="3">
        <v>3</v>
      </c>
      <c r="Y6026" s="18">
        <v>1</v>
      </c>
      <c r="Z6026" s="23">
        <v>12.5</v>
      </c>
      <c r="AB6026" s="18">
        <f t="shared" si="188"/>
        <v>2006</v>
      </c>
      <c r="AC6026" s="22">
        <f t="shared" si="189"/>
        <v>0.58400000000000007</v>
      </c>
    </row>
    <row r="6027" spans="1:29">
      <c r="A6027" s="8" t="s">
        <v>9120</v>
      </c>
      <c r="B6027" s="17" t="s">
        <v>7748</v>
      </c>
      <c r="C6027" s="13">
        <v>39038</v>
      </c>
      <c r="D6027" s="13" t="s">
        <v>8467</v>
      </c>
      <c r="E6027" s="10" t="s">
        <v>1601</v>
      </c>
      <c r="F6027" s="10" t="s">
        <v>9121</v>
      </c>
      <c r="G6027" s="11" t="s">
        <v>304</v>
      </c>
      <c r="H6027" s="2" t="s">
        <v>1143</v>
      </c>
      <c r="L6027" s="18">
        <v>0</v>
      </c>
      <c r="Q6027" s="18">
        <v>0</v>
      </c>
      <c r="V6027" s="22">
        <f>2.81/5</f>
        <v>0.56200000000000006</v>
      </c>
      <c r="X6027" s="3">
        <v>3</v>
      </c>
      <c r="AB6027" s="18">
        <f t="shared" si="188"/>
        <v>2006</v>
      </c>
      <c r="AC6027" s="22">
        <f t="shared" si="189"/>
        <v>0.58099999999999996</v>
      </c>
    </row>
    <row r="6028" spans="1:29" ht="30">
      <c r="A6028" s="8" t="s">
        <v>15263</v>
      </c>
      <c r="B6028" s="17" t="s">
        <v>7759</v>
      </c>
      <c r="C6028" s="13">
        <v>39038</v>
      </c>
      <c r="D6028" s="13" t="s">
        <v>8465</v>
      </c>
      <c r="E6028" s="10" t="s">
        <v>2908</v>
      </c>
      <c r="F6028" s="10" t="s">
        <v>6158</v>
      </c>
      <c r="H6028" s="2" t="s">
        <v>1054</v>
      </c>
      <c r="L6028" s="18">
        <v>0</v>
      </c>
      <c r="Q6028" s="18">
        <v>0</v>
      </c>
      <c r="U6028" s="22">
        <v>0.68</v>
      </c>
      <c r="V6028" s="22">
        <f>3.32/5</f>
        <v>0.66399999999999992</v>
      </c>
      <c r="X6028" s="3">
        <v>2</v>
      </c>
      <c r="AB6028" s="18">
        <f t="shared" si="188"/>
        <v>2006</v>
      </c>
      <c r="AC6028" s="22">
        <f t="shared" si="189"/>
        <v>0.58133333333333326</v>
      </c>
    </row>
    <row r="6029" spans="1:29" ht="25.5">
      <c r="A6029" s="8" t="s">
        <v>7485</v>
      </c>
      <c r="B6029" s="17" t="s">
        <v>7759</v>
      </c>
      <c r="C6029" s="13">
        <v>39037</v>
      </c>
      <c r="D6029" s="13" t="s">
        <v>8465</v>
      </c>
      <c r="E6029" s="10" t="s">
        <v>231</v>
      </c>
      <c r="F6029" s="10" t="s">
        <v>6023</v>
      </c>
      <c r="G6029" s="11" t="s">
        <v>4518</v>
      </c>
      <c r="H6029" s="2" t="s">
        <v>150</v>
      </c>
      <c r="L6029" s="18">
        <v>0</v>
      </c>
      <c r="Q6029" s="18">
        <v>0</v>
      </c>
      <c r="U6029" s="22">
        <v>0.76</v>
      </c>
      <c r="V6029" s="22">
        <f>3.72/5</f>
        <v>0.74399999999999999</v>
      </c>
      <c r="X6029" s="3">
        <v>2</v>
      </c>
      <c r="Y6029" s="18">
        <v>1</v>
      </c>
      <c r="Z6029" s="23">
        <v>12.5</v>
      </c>
      <c r="AB6029" s="18">
        <f t="shared" si="188"/>
        <v>2006</v>
      </c>
      <c r="AC6029" s="22">
        <f t="shared" si="189"/>
        <v>0.6346666666666666</v>
      </c>
    </row>
    <row r="6030" spans="1:29" ht="30">
      <c r="A6030" s="8" t="s">
        <v>12915</v>
      </c>
      <c r="B6030" s="17" t="s">
        <v>7762</v>
      </c>
      <c r="C6030" s="13">
        <v>39037</v>
      </c>
      <c r="D6030" s="13" t="s">
        <v>8465</v>
      </c>
      <c r="E6030" s="10" t="s">
        <v>455</v>
      </c>
      <c r="F6030" s="10" t="s">
        <v>1970</v>
      </c>
      <c r="G6030" s="11" t="s">
        <v>1688</v>
      </c>
      <c r="H6030" s="2" t="s">
        <v>150</v>
      </c>
      <c r="L6030" s="18">
        <v>0</v>
      </c>
      <c r="Q6030" s="18">
        <v>0</v>
      </c>
      <c r="U6030" s="22">
        <v>0.64</v>
      </c>
      <c r="V6030" s="22">
        <f>3.29/5</f>
        <v>0.65800000000000003</v>
      </c>
      <c r="X6030" s="3">
        <v>2</v>
      </c>
      <c r="Z6030" s="23">
        <v>5</v>
      </c>
      <c r="AB6030" s="18">
        <f t="shared" si="188"/>
        <v>2006</v>
      </c>
      <c r="AC6030" s="22">
        <f t="shared" si="189"/>
        <v>0.56599999999999995</v>
      </c>
    </row>
    <row r="6031" spans="1:29" ht="30">
      <c r="A6031" s="8" t="s">
        <v>12815</v>
      </c>
      <c r="B6031" s="17" t="s">
        <v>7759</v>
      </c>
      <c r="C6031" s="13">
        <v>39036</v>
      </c>
      <c r="D6031" s="13" t="s">
        <v>8465</v>
      </c>
      <c r="E6031" s="10" t="s">
        <v>8952</v>
      </c>
      <c r="F6031" s="10" t="s">
        <v>8952</v>
      </c>
      <c r="G6031" s="11" t="s">
        <v>12816</v>
      </c>
      <c r="H6031" s="2" t="s">
        <v>171</v>
      </c>
      <c r="L6031" s="18">
        <v>0</v>
      </c>
      <c r="Q6031" s="18">
        <v>0</v>
      </c>
      <c r="U6031" s="22">
        <v>0.57999999999999996</v>
      </c>
      <c r="V6031" s="22">
        <f>3.2/5</f>
        <v>0.64</v>
      </c>
      <c r="X6031" s="3">
        <v>2</v>
      </c>
      <c r="Y6031" s="18">
        <v>1</v>
      </c>
      <c r="Z6031" s="23">
        <v>12.5</v>
      </c>
      <c r="AB6031" s="18">
        <f t="shared" si="188"/>
        <v>2006</v>
      </c>
      <c r="AC6031" s="22">
        <f t="shared" si="189"/>
        <v>0.54</v>
      </c>
    </row>
    <row r="6032" spans="1:29" ht="25.5">
      <c r="A6032" s="8" t="s">
        <v>7401</v>
      </c>
      <c r="B6032" s="17" t="s">
        <v>7741</v>
      </c>
      <c r="C6032" s="13">
        <v>39035</v>
      </c>
      <c r="D6032" s="13" t="s">
        <v>8465</v>
      </c>
      <c r="E6032" s="10" t="s">
        <v>228</v>
      </c>
      <c r="F6032" s="10" t="s">
        <v>228</v>
      </c>
      <c r="G6032" s="11" t="s">
        <v>1542</v>
      </c>
      <c r="H6032" s="2" t="s">
        <v>1334</v>
      </c>
      <c r="L6032" s="18">
        <v>0</v>
      </c>
      <c r="Q6032" s="18">
        <v>0</v>
      </c>
      <c r="U6032" s="22">
        <v>0.81</v>
      </c>
      <c r="V6032" s="22">
        <f>3.89/5</f>
        <v>0.77800000000000002</v>
      </c>
      <c r="X6032" s="3">
        <v>3</v>
      </c>
      <c r="Z6032" s="23">
        <v>8.5</v>
      </c>
      <c r="AB6032" s="18">
        <f t="shared" si="188"/>
        <v>2006</v>
      </c>
      <c r="AC6032" s="22">
        <f t="shared" si="189"/>
        <v>0.72933333333333339</v>
      </c>
    </row>
    <row r="6033" spans="1:29" ht="30">
      <c r="A6033" s="8" t="s">
        <v>5967</v>
      </c>
      <c r="B6033" s="17" t="s">
        <v>7759</v>
      </c>
      <c r="C6033" s="13">
        <v>39035</v>
      </c>
      <c r="D6033" s="13" t="s">
        <v>8465</v>
      </c>
      <c r="E6033" s="10" t="s">
        <v>1273</v>
      </c>
      <c r="F6033" s="10" t="s">
        <v>5017</v>
      </c>
      <c r="G6033" s="11" t="s">
        <v>5967</v>
      </c>
      <c r="H6033" s="2" t="s">
        <v>171</v>
      </c>
      <c r="L6033" s="18">
        <v>1</v>
      </c>
      <c r="M6033" s="14" t="s">
        <v>8462</v>
      </c>
      <c r="N6033" s="13">
        <v>43540</v>
      </c>
      <c r="O6033" s="29">
        <v>14.99</v>
      </c>
      <c r="P6033" s="18" t="s">
        <v>14</v>
      </c>
      <c r="Q6033" s="18">
        <v>0</v>
      </c>
      <c r="U6033" s="22">
        <v>0.78</v>
      </c>
      <c r="V6033" s="22">
        <f>3.7/5</f>
        <v>0.74</v>
      </c>
      <c r="X6033" s="3">
        <v>3</v>
      </c>
      <c r="Z6033" s="23">
        <v>13</v>
      </c>
      <c r="AB6033" s="18">
        <f t="shared" si="188"/>
        <v>2006</v>
      </c>
      <c r="AC6033" s="22">
        <f t="shared" si="189"/>
        <v>0.70666666666666667</v>
      </c>
    </row>
    <row r="6034" spans="1:29" ht="30">
      <c r="A6034" s="8" t="s">
        <v>9198</v>
      </c>
      <c r="B6034" s="17" t="s">
        <v>7747</v>
      </c>
      <c r="C6034" s="13">
        <v>39035</v>
      </c>
      <c r="D6034" s="13" t="s">
        <v>8465</v>
      </c>
      <c r="E6034" s="10" t="s">
        <v>1051</v>
      </c>
      <c r="F6034" s="10" t="s">
        <v>6683</v>
      </c>
      <c r="G6034" s="11" t="s">
        <v>9198</v>
      </c>
      <c r="H6034" s="2" t="s">
        <v>149</v>
      </c>
      <c r="L6034" s="18">
        <v>0</v>
      </c>
      <c r="Q6034" s="18">
        <v>0</v>
      </c>
      <c r="U6034" s="22">
        <v>0.7</v>
      </c>
      <c r="V6034" s="22">
        <f>2.61/5</f>
        <v>0.52200000000000002</v>
      </c>
      <c r="X6034" s="3">
        <v>3</v>
      </c>
      <c r="Z6034" s="23">
        <v>6.5</v>
      </c>
      <c r="AB6034" s="18">
        <f t="shared" si="188"/>
        <v>2006</v>
      </c>
      <c r="AC6034" s="22">
        <f t="shared" si="189"/>
        <v>0.60733333333333339</v>
      </c>
    </row>
    <row r="6035" spans="1:29" ht="30">
      <c r="A6035" s="8" t="s">
        <v>14848</v>
      </c>
      <c r="B6035" s="17" t="s">
        <v>7800</v>
      </c>
      <c r="C6035" s="13">
        <v>39035</v>
      </c>
      <c r="D6035" s="13" t="s">
        <v>8465</v>
      </c>
      <c r="E6035" s="10" t="s">
        <v>1509</v>
      </c>
      <c r="F6035" s="10" t="s">
        <v>14849</v>
      </c>
      <c r="G6035" s="11" t="s">
        <v>4483</v>
      </c>
      <c r="H6035" s="2" t="s">
        <v>1143</v>
      </c>
      <c r="L6035" s="18">
        <v>0</v>
      </c>
      <c r="Q6035" s="18">
        <v>0</v>
      </c>
      <c r="U6035" s="22">
        <v>0.73</v>
      </c>
      <c r="V6035" s="22">
        <f>3.36/5</f>
        <v>0.67199999999999993</v>
      </c>
      <c r="X6035" s="3">
        <v>2</v>
      </c>
      <c r="Z6035" s="23">
        <v>15</v>
      </c>
      <c r="AB6035" s="18">
        <f t="shared" si="188"/>
        <v>2006</v>
      </c>
      <c r="AC6035" s="22">
        <f t="shared" si="189"/>
        <v>0.60066666666666668</v>
      </c>
    </row>
    <row r="6036" spans="1:29" ht="30">
      <c r="A6036" s="8" t="s">
        <v>15010</v>
      </c>
      <c r="B6036" s="17" t="s">
        <v>7740</v>
      </c>
      <c r="C6036" s="13">
        <v>39035</v>
      </c>
      <c r="D6036" s="13" t="s">
        <v>8465</v>
      </c>
      <c r="E6036" s="10" t="s">
        <v>1870</v>
      </c>
      <c r="F6036" s="10" t="s">
        <v>1309</v>
      </c>
      <c r="G6036" s="11" t="s">
        <v>15004</v>
      </c>
      <c r="H6036" s="2" t="s">
        <v>80</v>
      </c>
      <c r="L6036" s="18">
        <v>0</v>
      </c>
      <c r="Q6036" s="18">
        <v>0</v>
      </c>
      <c r="U6036" s="22">
        <v>0.51</v>
      </c>
      <c r="V6036" s="22">
        <f>3.54/5</f>
        <v>0.70799999999999996</v>
      </c>
      <c r="X6036" s="3">
        <v>2</v>
      </c>
      <c r="Z6036" s="23">
        <v>7.5</v>
      </c>
      <c r="AB6036" s="18">
        <f t="shared" si="188"/>
        <v>2006</v>
      </c>
      <c r="AC6036" s="22">
        <f t="shared" si="189"/>
        <v>0.53933333333333333</v>
      </c>
    </row>
    <row r="6037" spans="1:29">
      <c r="A6037" s="8" t="s">
        <v>5437</v>
      </c>
      <c r="B6037" s="17" t="s">
        <v>7748</v>
      </c>
      <c r="C6037" s="13">
        <v>39035</v>
      </c>
      <c r="D6037" s="13" t="s">
        <v>8465</v>
      </c>
      <c r="E6037" s="10" t="s">
        <v>1870</v>
      </c>
      <c r="F6037" s="10" t="s">
        <v>11040</v>
      </c>
      <c r="G6037" s="11" t="s">
        <v>1853</v>
      </c>
      <c r="H6037" s="2" t="s">
        <v>80</v>
      </c>
      <c r="L6037" s="18">
        <v>0</v>
      </c>
      <c r="Q6037" s="18">
        <v>0</v>
      </c>
      <c r="U6037" s="22">
        <v>0.57999999999999996</v>
      </c>
      <c r="V6037" s="22">
        <f>3.18/5</f>
        <v>0.63600000000000001</v>
      </c>
      <c r="X6037" s="3">
        <v>2</v>
      </c>
      <c r="Z6037" s="23">
        <v>3</v>
      </c>
      <c r="AB6037" s="18">
        <f t="shared" si="188"/>
        <v>2006</v>
      </c>
      <c r="AC6037" s="22">
        <f t="shared" si="189"/>
        <v>0.53866666666666674</v>
      </c>
    </row>
    <row r="6038" spans="1:29" ht="25.5">
      <c r="A6038" s="8" t="s">
        <v>15086</v>
      </c>
      <c r="B6038" s="17" t="s">
        <v>7748</v>
      </c>
      <c r="C6038" s="13">
        <v>39035</v>
      </c>
      <c r="D6038" s="13" t="s">
        <v>8465</v>
      </c>
      <c r="E6038" s="10" t="s">
        <v>1273</v>
      </c>
      <c r="F6038" s="10" t="s">
        <v>1956</v>
      </c>
      <c r="G6038" s="11" t="s">
        <v>1264</v>
      </c>
      <c r="H6038" s="2" t="s">
        <v>56</v>
      </c>
      <c r="L6038" s="18">
        <v>0</v>
      </c>
      <c r="Q6038" s="18">
        <v>0</v>
      </c>
      <c r="U6038" s="22">
        <v>0.68</v>
      </c>
      <c r="V6038" s="22">
        <f>2.45/5</f>
        <v>0.49000000000000005</v>
      </c>
      <c r="X6038" s="3">
        <v>2</v>
      </c>
      <c r="Z6038" s="23">
        <v>3</v>
      </c>
      <c r="AB6038" s="18">
        <f t="shared" si="188"/>
        <v>2006</v>
      </c>
      <c r="AC6038" s="22">
        <f t="shared" si="189"/>
        <v>0.52333333333333343</v>
      </c>
    </row>
    <row r="6039" spans="1:29">
      <c r="A6039" s="8" t="s">
        <v>11091</v>
      </c>
      <c r="B6039" s="17" t="s">
        <v>7748</v>
      </c>
      <c r="C6039" s="13">
        <v>39035</v>
      </c>
      <c r="D6039" s="13" t="s">
        <v>8465</v>
      </c>
      <c r="E6039" s="10" t="s">
        <v>7461</v>
      </c>
      <c r="F6039" s="10" t="s">
        <v>7461</v>
      </c>
      <c r="G6039" s="11" t="s">
        <v>11086</v>
      </c>
      <c r="H6039" s="2" t="s">
        <v>150</v>
      </c>
      <c r="L6039" s="18">
        <v>0</v>
      </c>
      <c r="Q6039" s="18">
        <v>0</v>
      </c>
      <c r="U6039" s="22">
        <v>0.42</v>
      </c>
      <c r="V6039" s="22">
        <f>3.68/5</f>
        <v>0.73599999999999999</v>
      </c>
      <c r="X6039" s="3">
        <v>2</v>
      </c>
      <c r="Z6039" s="23">
        <v>13</v>
      </c>
      <c r="AB6039" s="18">
        <f t="shared" si="188"/>
        <v>2006</v>
      </c>
      <c r="AC6039" s="22">
        <f t="shared" si="189"/>
        <v>0.51866666666666672</v>
      </c>
    </row>
    <row r="6040" spans="1:29" ht="30">
      <c r="A6040" s="8" t="s">
        <v>14846</v>
      </c>
      <c r="B6040" s="17" t="s">
        <v>7762</v>
      </c>
      <c r="C6040" s="13">
        <v>39035</v>
      </c>
      <c r="D6040" s="13" t="s">
        <v>8465</v>
      </c>
      <c r="E6040" s="10" t="s">
        <v>1509</v>
      </c>
      <c r="F6040" s="10" t="s">
        <v>14847</v>
      </c>
      <c r="G6040" s="11" t="s">
        <v>4483</v>
      </c>
      <c r="H6040" s="2" t="s">
        <v>3411</v>
      </c>
      <c r="L6040" s="18">
        <v>0</v>
      </c>
      <c r="Q6040" s="18">
        <v>0</v>
      </c>
      <c r="U6040" s="22">
        <v>0.55000000000000004</v>
      </c>
      <c r="V6040" s="22">
        <f>2.04/5</f>
        <v>0.40800000000000003</v>
      </c>
      <c r="X6040" s="3">
        <v>2</v>
      </c>
      <c r="AB6040" s="18">
        <f t="shared" si="188"/>
        <v>2006</v>
      </c>
      <c r="AC6040" s="22">
        <f t="shared" si="189"/>
        <v>0.45266666666666672</v>
      </c>
    </row>
    <row r="6041" spans="1:29" ht="30">
      <c r="A6041" s="8" t="s">
        <v>12917</v>
      </c>
      <c r="B6041" s="17" t="s">
        <v>7747</v>
      </c>
      <c r="C6041" s="13">
        <v>39035</v>
      </c>
      <c r="D6041" s="13" t="s">
        <v>8465</v>
      </c>
      <c r="E6041" s="10" t="s">
        <v>455</v>
      </c>
      <c r="F6041" s="10" t="s">
        <v>1492</v>
      </c>
      <c r="G6041" s="11" t="s">
        <v>1688</v>
      </c>
      <c r="H6041" s="2" t="s">
        <v>64</v>
      </c>
      <c r="L6041" s="18">
        <v>0</v>
      </c>
      <c r="Q6041" s="18">
        <v>0</v>
      </c>
      <c r="U6041" s="22">
        <v>0.33</v>
      </c>
      <c r="V6041" s="22">
        <f>1.77/5</f>
        <v>0.35399999999999998</v>
      </c>
      <c r="X6041" s="3">
        <v>2</v>
      </c>
      <c r="Z6041" s="23">
        <v>2</v>
      </c>
      <c r="AB6041" s="18">
        <f t="shared" si="188"/>
        <v>2006</v>
      </c>
      <c r="AC6041" s="22">
        <f t="shared" si="189"/>
        <v>0.36133333333333334</v>
      </c>
    </row>
    <row r="6042" spans="1:29">
      <c r="A6042" s="8" t="s">
        <v>15586</v>
      </c>
      <c r="B6042" s="17" t="s">
        <v>7800</v>
      </c>
      <c r="C6042" s="13">
        <v>39035</v>
      </c>
      <c r="D6042" s="13" t="s">
        <v>8465</v>
      </c>
      <c r="E6042" s="10" t="s">
        <v>7243</v>
      </c>
      <c r="F6042" s="10" t="s">
        <v>4847</v>
      </c>
      <c r="G6042" s="11" t="s">
        <v>3208</v>
      </c>
      <c r="H6042" s="2" t="s">
        <v>1720</v>
      </c>
      <c r="L6042" s="18">
        <v>0</v>
      </c>
      <c r="Q6042" s="18">
        <v>0</v>
      </c>
      <c r="U6042" s="22">
        <v>0.63</v>
      </c>
      <c r="V6042" s="22">
        <f>3.47/5</f>
        <v>0.69400000000000006</v>
      </c>
      <c r="X6042" s="3">
        <v>2</v>
      </c>
      <c r="Z6042" s="23">
        <v>45.5</v>
      </c>
      <c r="AB6042" s="18">
        <f t="shared" si="188"/>
        <v>2006</v>
      </c>
      <c r="AC6042" s="22">
        <f t="shared" si="189"/>
        <v>0.57466666666666677</v>
      </c>
    </row>
    <row r="6043" spans="1:29">
      <c r="A6043" s="8" t="s">
        <v>8045</v>
      </c>
      <c r="B6043" s="17" t="s">
        <v>7759</v>
      </c>
      <c r="C6043" s="13">
        <v>39034</v>
      </c>
      <c r="D6043" s="13" t="s">
        <v>8465</v>
      </c>
      <c r="E6043" s="10" t="s">
        <v>1509</v>
      </c>
      <c r="F6043" s="10" t="s">
        <v>1509</v>
      </c>
      <c r="G6043" s="11" t="s">
        <v>8037</v>
      </c>
      <c r="H6043" s="2" t="s">
        <v>150</v>
      </c>
      <c r="L6043" s="18">
        <v>0</v>
      </c>
      <c r="Q6043" s="18">
        <v>0</v>
      </c>
      <c r="U6043" s="22">
        <v>0.79469999999999996</v>
      </c>
      <c r="V6043" s="22">
        <f>3.84/5</f>
        <v>0.76800000000000002</v>
      </c>
      <c r="X6043" s="3">
        <v>3</v>
      </c>
      <c r="Y6043" s="18">
        <v>1</v>
      </c>
      <c r="Z6043" s="23">
        <v>9.5</v>
      </c>
      <c r="AB6043" s="18">
        <f t="shared" si="188"/>
        <v>2006</v>
      </c>
      <c r="AC6043" s="22">
        <f t="shared" si="189"/>
        <v>0.72089999999999999</v>
      </c>
    </row>
    <row r="6044" spans="1:29">
      <c r="A6044" s="8" t="s">
        <v>4418</v>
      </c>
      <c r="B6044" s="17" t="s">
        <v>7800</v>
      </c>
      <c r="C6044" s="13">
        <v>39034</v>
      </c>
      <c r="D6044" s="13" t="s">
        <v>8465</v>
      </c>
      <c r="E6044" s="10" t="s">
        <v>455</v>
      </c>
      <c r="F6044" s="10" t="s">
        <v>3151</v>
      </c>
      <c r="G6044" s="11" t="s">
        <v>3794</v>
      </c>
      <c r="H6044" s="2" t="s">
        <v>3279</v>
      </c>
      <c r="L6044" s="18">
        <v>1</v>
      </c>
      <c r="N6044" s="13">
        <v>41711</v>
      </c>
      <c r="P6044" s="18" t="s">
        <v>1107</v>
      </c>
      <c r="Q6044" s="18">
        <v>0</v>
      </c>
      <c r="U6044" s="22">
        <v>0.87</v>
      </c>
      <c r="V6044" s="22">
        <f>4.17/5</f>
        <v>0.83399999999999996</v>
      </c>
      <c r="W6044" s="14" t="s">
        <v>7777</v>
      </c>
      <c r="X6044" s="3">
        <v>2</v>
      </c>
      <c r="Z6044" s="23">
        <v>31.5</v>
      </c>
      <c r="AB6044" s="18">
        <f t="shared" si="188"/>
        <v>2006</v>
      </c>
      <c r="AC6044" s="22">
        <f t="shared" si="189"/>
        <v>0.70133333333333336</v>
      </c>
    </row>
    <row r="6045" spans="1:29" ht="30">
      <c r="A6045" s="8" t="s">
        <v>6721</v>
      </c>
      <c r="B6045" s="17" t="s">
        <v>7762</v>
      </c>
      <c r="C6045" s="13">
        <v>39034</v>
      </c>
      <c r="D6045" s="13" t="s">
        <v>8465</v>
      </c>
      <c r="E6045" s="10" t="s">
        <v>1466</v>
      </c>
      <c r="F6045" s="10" t="s">
        <v>1466</v>
      </c>
      <c r="G6045" s="11" t="s">
        <v>17</v>
      </c>
      <c r="H6045" s="2" t="s">
        <v>459</v>
      </c>
      <c r="L6045" s="18">
        <v>0</v>
      </c>
      <c r="Q6045" s="18">
        <v>0</v>
      </c>
      <c r="U6045" s="22">
        <v>0.71</v>
      </c>
      <c r="V6045" s="22">
        <f>4.03/5</f>
        <v>0.80600000000000005</v>
      </c>
      <c r="X6045" s="3">
        <v>2</v>
      </c>
      <c r="Z6045" s="23">
        <v>2</v>
      </c>
      <c r="AB6045" s="18">
        <f t="shared" si="188"/>
        <v>2006</v>
      </c>
      <c r="AC6045" s="22">
        <f t="shared" si="189"/>
        <v>0.6386666666666666</v>
      </c>
    </row>
    <row r="6046" spans="1:29">
      <c r="A6046" s="8" t="s">
        <v>14571</v>
      </c>
      <c r="B6046" s="17" t="s">
        <v>7765</v>
      </c>
      <c r="C6046" s="13">
        <v>39034</v>
      </c>
      <c r="D6046" s="13" t="s">
        <v>8465</v>
      </c>
      <c r="E6046" s="10" t="s">
        <v>76</v>
      </c>
      <c r="F6046" s="10" t="s">
        <v>1136</v>
      </c>
      <c r="G6046" s="11" t="s">
        <v>10281</v>
      </c>
      <c r="H6046" s="2" t="s">
        <v>255</v>
      </c>
      <c r="L6046" s="18">
        <v>0</v>
      </c>
      <c r="Q6046" s="18">
        <v>0</v>
      </c>
      <c r="U6046" s="22">
        <v>0.53</v>
      </c>
      <c r="V6046" s="22">
        <f>3.45/5</f>
        <v>0.69000000000000006</v>
      </c>
      <c r="X6046" s="3">
        <v>2</v>
      </c>
      <c r="Z6046" s="23">
        <v>1.5</v>
      </c>
      <c r="AB6046" s="18">
        <f t="shared" si="188"/>
        <v>2006</v>
      </c>
      <c r="AC6046" s="22">
        <f t="shared" si="189"/>
        <v>0.54</v>
      </c>
    </row>
    <row r="6047" spans="1:29" ht="25.5">
      <c r="A6047" s="8" t="s">
        <v>11591</v>
      </c>
      <c r="B6047" s="17" t="s">
        <v>7759</v>
      </c>
      <c r="C6047" s="13">
        <v>39034</v>
      </c>
      <c r="D6047" s="13" t="s">
        <v>8465</v>
      </c>
      <c r="E6047" s="10" t="s">
        <v>1509</v>
      </c>
      <c r="F6047" s="10" t="s">
        <v>1366</v>
      </c>
      <c r="G6047" s="11" t="s">
        <v>1395</v>
      </c>
      <c r="H6047" s="2" t="s">
        <v>1204</v>
      </c>
      <c r="L6047" s="18">
        <v>0</v>
      </c>
      <c r="Q6047" s="18">
        <v>0</v>
      </c>
      <c r="U6047" s="22">
        <v>0.33</v>
      </c>
      <c r="V6047" s="22">
        <f>3.03/5</f>
        <v>0.60599999999999998</v>
      </c>
      <c r="X6047" s="3">
        <v>2</v>
      </c>
      <c r="Y6047" s="18">
        <v>1</v>
      </c>
      <c r="Z6047" s="23">
        <v>9</v>
      </c>
      <c r="AB6047" s="18">
        <f t="shared" si="188"/>
        <v>2006</v>
      </c>
      <c r="AC6047" s="22">
        <f t="shared" si="189"/>
        <v>0.4453333333333333</v>
      </c>
    </row>
    <row r="6048" spans="1:29" ht="25.5">
      <c r="A6048" s="8" t="s">
        <v>13163</v>
      </c>
      <c r="B6048" s="17" t="s">
        <v>7748</v>
      </c>
      <c r="C6048" s="13">
        <v>39029</v>
      </c>
      <c r="D6048" s="13" t="s">
        <v>8465</v>
      </c>
      <c r="E6048" s="10" t="s">
        <v>2461</v>
      </c>
      <c r="F6048" s="10" t="s">
        <v>62</v>
      </c>
      <c r="G6048" s="11" t="s">
        <v>7674</v>
      </c>
      <c r="H6048" s="2" t="s">
        <v>31</v>
      </c>
      <c r="L6048" s="18">
        <v>0</v>
      </c>
      <c r="Q6048" s="18">
        <v>0</v>
      </c>
      <c r="U6048" s="22">
        <v>0.78</v>
      </c>
      <c r="V6048" s="22">
        <f>3.67/5</f>
        <v>0.73399999999999999</v>
      </c>
      <c r="X6048" s="3">
        <v>2</v>
      </c>
      <c r="Z6048" s="23">
        <v>13.5</v>
      </c>
      <c r="AB6048" s="18">
        <f t="shared" si="188"/>
        <v>2006</v>
      </c>
      <c r="AC6048" s="22">
        <f t="shared" si="189"/>
        <v>0.63800000000000001</v>
      </c>
    </row>
    <row r="6049" spans="1:29" ht="30">
      <c r="A6049" s="8" t="s">
        <v>6213</v>
      </c>
      <c r="B6049" s="17" t="s">
        <v>7762</v>
      </c>
      <c r="C6049" s="13">
        <v>39028</v>
      </c>
      <c r="D6049" s="13" t="s">
        <v>8465</v>
      </c>
      <c r="E6049" s="10" t="s">
        <v>6262</v>
      </c>
      <c r="F6049" s="10" t="s">
        <v>2139</v>
      </c>
      <c r="G6049" s="11" t="s">
        <v>6263</v>
      </c>
      <c r="H6049" s="2" t="s">
        <v>2138</v>
      </c>
      <c r="L6049" s="18">
        <v>0</v>
      </c>
      <c r="Q6049" s="18">
        <v>0</v>
      </c>
      <c r="U6049" s="22">
        <v>0.76</v>
      </c>
      <c r="V6049" s="22">
        <f>3.38/5</f>
        <v>0.67599999999999993</v>
      </c>
      <c r="X6049" s="3">
        <v>3</v>
      </c>
      <c r="Z6049" s="23">
        <v>12</v>
      </c>
      <c r="AB6049" s="18">
        <f t="shared" si="188"/>
        <v>2006</v>
      </c>
      <c r="AC6049" s="22">
        <f t="shared" si="189"/>
        <v>0.67866666666666664</v>
      </c>
    </row>
    <row r="6050" spans="1:29" ht="38.25">
      <c r="A6050" s="8" t="s">
        <v>11937</v>
      </c>
      <c r="B6050" s="17" t="s">
        <v>7758</v>
      </c>
      <c r="C6050" s="13">
        <v>39028</v>
      </c>
      <c r="D6050" s="13" t="s">
        <v>8465</v>
      </c>
      <c r="E6050" s="10" t="s">
        <v>2908</v>
      </c>
      <c r="F6050" s="10" t="s">
        <v>7550</v>
      </c>
      <c r="G6050" s="11" t="s">
        <v>11933</v>
      </c>
      <c r="H6050" s="2" t="s">
        <v>7448</v>
      </c>
      <c r="L6050" s="18">
        <v>0</v>
      </c>
      <c r="Q6050" s="18">
        <v>0</v>
      </c>
      <c r="U6050" s="22">
        <v>0.72</v>
      </c>
      <c r="V6050" s="22">
        <f>3.9/5</f>
        <v>0.78</v>
      </c>
      <c r="X6050" s="3">
        <v>2</v>
      </c>
      <c r="Z6050" s="23">
        <v>7</v>
      </c>
      <c r="AB6050" s="18">
        <f t="shared" si="188"/>
        <v>2006</v>
      </c>
      <c r="AC6050" s="22">
        <f t="shared" si="189"/>
        <v>0.6333333333333333</v>
      </c>
    </row>
    <row r="6051" spans="1:29">
      <c r="A6051" s="8" t="s">
        <v>8882</v>
      </c>
      <c r="B6051" s="17" t="s">
        <v>7748</v>
      </c>
      <c r="C6051" s="13">
        <v>39028</v>
      </c>
      <c r="D6051" s="13" t="s">
        <v>8465</v>
      </c>
      <c r="E6051" s="10" t="s">
        <v>3568</v>
      </c>
      <c r="F6051" s="10" t="s">
        <v>1366</v>
      </c>
      <c r="G6051" s="11" t="s">
        <v>8877</v>
      </c>
      <c r="H6051" s="2" t="s">
        <v>149</v>
      </c>
      <c r="L6051" s="18">
        <v>0</v>
      </c>
      <c r="Q6051" s="18">
        <v>0</v>
      </c>
      <c r="U6051" s="22">
        <v>0.71</v>
      </c>
      <c r="V6051" s="22">
        <f>3.79/5</f>
        <v>0.75800000000000001</v>
      </c>
      <c r="X6051" s="3">
        <v>2</v>
      </c>
      <c r="Z6051" s="23">
        <v>23</v>
      </c>
      <c r="AB6051" s="18">
        <f t="shared" si="188"/>
        <v>2006</v>
      </c>
      <c r="AC6051" s="22">
        <f t="shared" si="189"/>
        <v>0.62266666666666659</v>
      </c>
    </row>
    <row r="6052" spans="1:29">
      <c r="A6052" s="8" t="s">
        <v>13196</v>
      </c>
      <c r="B6052" s="17" t="s">
        <v>7782</v>
      </c>
      <c r="C6052" s="12">
        <v>39022</v>
      </c>
      <c r="D6052" s="13" t="s">
        <v>8465</v>
      </c>
      <c r="E6052" s="10" t="s">
        <v>62</v>
      </c>
      <c r="F6052" s="10" t="s">
        <v>5421</v>
      </c>
      <c r="G6052" s="11" t="s">
        <v>1319</v>
      </c>
      <c r="H6052" s="2" t="s">
        <v>64</v>
      </c>
      <c r="L6052" s="18">
        <v>0</v>
      </c>
      <c r="Q6052" s="18">
        <v>0</v>
      </c>
      <c r="V6052" s="22">
        <f>4.17/5</f>
        <v>0.83399999999999996</v>
      </c>
      <c r="X6052" s="3">
        <v>2</v>
      </c>
      <c r="AB6052" s="18">
        <f t="shared" si="188"/>
        <v>2006</v>
      </c>
      <c r="AC6052" s="22">
        <f t="shared" si="189"/>
        <v>0.61699999999999999</v>
      </c>
    </row>
    <row r="6053" spans="1:29" ht="30">
      <c r="A6053" s="8" t="s">
        <v>6245</v>
      </c>
      <c r="B6053" s="17" t="s">
        <v>7762</v>
      </c>
      <c r="C6053" s="13">
        <v>39021</v>
      </c>
      <c r="D6053" s="13" t="s">
        <v>8465</v>
      </c>
      <c r="E6053" s="10" t="s">
        <v>1618</v>
      </c>
      <c r="F6053" s="10" t="s">
        <v>2305</v>
      </c>
      <c r="G6053" s="11" t="s">
        <v>2306</v>
      </c>
      <c r="H6053" s="2" t="s">
        <v>1168</v>
      </c>
      <c r="L6053" s="18">
        <v>0</v>
      </c>
      <c r="Q6053" s="18">
        <v>0</v>
      </c>
      <c r="U6053" s="22">
        <v>0.85</v>
      </c>
      <c r="V6053" s="22">
        <f>4.03/5</f>
        <v>0.80600000000000005</v>
      </c>
      <c r="X6053" s="3">
        <v>4</v>
      </c>
      <c r="Z6053" s="23">
        <v>16.5</v>
      </c>
      <c r="AB6053" s="18">
        <f t="shared" si="188"/>
        <v>2006</v>
      </c>
      <c r="AC6053" s="22">
        <f t="shared" si="189"/>
        <v>0.81866666666666676</v>
      </c>
    </row>
    <row r="6054" spans="1:29">
      <c r="A6054" s="8" t="s">
        <v>6957</v>
      </c>
      <c r="B6054" s="17" t="s">
        <v>7800</v>
      </c>
      <c r="C6054" s="13">
        <v>39021</v>
      </c>
      <c r="D6054" s="13" t="s">
        <v>8465</v>
      </c>
      <c r="E6054" s="10" t="s">
        <v>311</v>
      </c>
      <c r="F6054" s="10" t="s">
        <v>3166</v>
      </c>
      <c r="G6054" s="11" t="s">
        <v>4533</v>
      </c>
      <c r="H6054" s="2" t="s">
        <v>1720</v>
      </c>
      <c r="L6054" s="18">
        <v>1</v>
      </c>
      <c r="N6054" s="13">
        <v>41803</v>
      </c>
      <c r="O6054" s="29">
        <v>3.99</v>
      </c>
      <c r="P6054" s="18" t="s">
        <v>1107</v>
      </c>
      <c r="Q6054" s="18">
        <v>0</v>
      </c>
      <c r="U6054" s="22">
        <v>0.82</v>
      </c>
      <c r="V6054" s="22">
        <f>3.87/5</f>
        <v>0.77400000000000002</v>
      </c>
      <c r="W6054" s="14" t="s">
        <v>7778</v>
      </c>
      <c r="X6054" s="3">
        <v>4</v>
      </c>
      <c r="Z6054" s="23">
        <v>59</v>
      </c>
      <c r="AB6054" s="18">
        <f t="shared" si="188"/>
        <v>2006</v>
      </c>
      <c r="AC6054" s="22">
        <f t="shared" si="189"/>
        <v>0.79800000000000004</v>
      </c>
    </row>
    <row r="6055" spans="1:29" ht="30">
      <c r="A6055" s="8" t="s">
        <v>9182</v>
      </c>
      <c r="B6055" s="17" t="s">
        <v>7762</v>
      </c>
      <c r="C6055" s="13">
        <v>39021</v>
      </c>
      <c r="D6055" s="13" t="s">
        <v>8465</v>
      </c>
      <c r="E6055" s="10" t="s">
        <v>2908</v>
      </c>
      <c r="F6055" s="10" t="s">
        <v>5882</v>
      </c>
      <c r="G6055" s="11" t="s">
        <v>5820</v>
      </c>
      <c r="H6055" s="2" t="s">
        <v>1054</v>
      </c>
      <c r="L6055" s="18">
        <v>0</v>
      </c>
      <c r="Q6055" s="18">
        <v>0</v>
      </c>
      <c r="U6055" s="22">
        <v>0.77</v>
      </c>
      <c r="V6055" s="22">
        <f>3.66/5</f>
        <v>0.73199999999999998</v>
      </c>
      <c r="X6055" s="3">
        <v>3</v>
      </c>
      <c r="Z6055" s="23">
        <v>7.5</v>
      </c>
      <c r="AB6055" s="18">
        <f t="shared" si="188"/>
        <v>2006</v>
      </c>
      <c r="AC6055" s="22">
        <f t="shared" si="189"/>
        <v>0.70066666666666666</v>
      </c>
    </row>
    <row r="6056" spans="1:29" ht="30">
      <c r="A6056" s="8" t="s">
        <v>10458</v>
      </c>
      <c r="B6056" s="17" t="s">
        <v>7762</v>
      </c>
      <c r="C6056" s="13">
        <v>39021</v>
      </c>
      <c r="D6056" s="13" t="s">
        <v>8465</v>
      </c>
      <c r="E6056" s="10" t="s">
        <v>72</v>
      </c>
      <c r="F6056" s="10" t="s">
        <v>1970</v>
      </c>
      <c r="G6056" s="11" t="s">
        <v>10457</v>
      </c>
      <c r="H6056" s="2" t="s">
        <v>1059</v>
      </c>
      <c r="L6056" s="18">
        <v>0</v>
      </c>
      <c r="Q6056" s="18">
        <v>0</v>
      </c>
      <c r="U6056" s="22">
        <v>0.68</v>
      </c>
      <c r="V6056" s="22">
        <f>3.5/5</f>
        <v>0.7</v>
      </c>
      <c r="X6056" s="3">
        <v>3</v>
      </c>
      <c r="Z6056" s="23">
        <v>6.5</v>
      </c>
      <c r="AB6056" s="18">
        <f t="shared" si="188"/>
        <v>2006</v>
      </c>
      <c r="AC6056" s="22">
        <f t="shared" si="189"/>
        <v>0.66</v>
      </c>
    </row>
    <row r="6057" spans="1:29">
      <c r="A6057" s="8" t="s">
        <v>5810</v>
      </c>
      <c r="B6057" s="17" t="s">
        <v>7758</v>
      </c>
      <c r="C6057" s="13">
        <v>39021</v>
      </c>
      <c r="D6057" s="13" t="s">
        <v>8465</v>
      </c>
      <c r="E6057" s="10" t="s">
        <v>1082</v>
      </c>
      <c r="F6057" s="10" t="s">
        <v>1082</v>
      </c>
      <c r="G6057" s="11" t="s">
        <v>126</v>
      </c>
      <c r="H6057" s="2" t="s">
        <v>149</v>
      </c>
      <c r="L6057" s="18">
        <v>0</v>
      </c>
      <c r="Q6057" s="18">
        <v>0</v>
      </c>
      <c r="U6057" s="22">
        <v>0.91</v>
      </c>
      <c r="V6057" s="22">
        <f>4.05/5</f>
        <v>0.80999999999999994</v>
      </c>
      <c r="X6057" s="3">
        <v>2</v>
      </c>
      <c r="Z6057" s="23">
        <v>60.5</v>
      </c>
      <c r="AB6057" s="18">
        <f t="shared" si="188"/>
        <v>2006</v>
      </c>
      <c r="AC6057" s="22">
        <f t="shared" si="189"/>
        <v>0.70666666666666667</v>
      </c>
    </row>
    <row r="6058" spans="1:29">
      <c r="A6058" s="8" t="s">
        <v>2259</v>
      </c>
      <c r="B6058" s="17" t="s">
        <v>7748</v>
      </c>
      <c r="C6058" s="13">
        <v>39020</v>
      </c>
      <c r="D6058" s="13" t="s">
        <v>8465</v>
      </c>
      <c r="E6058" s="10" t="s">
        <v>86</v>
      </c>
      <c r="F6058" s="10" t="s">
        <v>30</v>
      </c>
      <c r="G6058" s="11" t="s">
        <v>2259</v>
      </c>
      <c r="H6058" s="2" t="s">
        <v>171</v>
      </c>
      <c r="L6058" s="18">
        <v>0</v>
      </c>
      <c r="Q6058" s="18">
        <v>0</v>
      </c>
      <c r="U6058" s="22">
        <v>0.7</v>
      </c>
      <c r="V6058" s="22">
        <f>3.51/5</f>
        <v>0.70199999999999996</v>
      </c>
      <c r="X6058" s="3">
        <v>4</v>
      </c>
      <c r="Z6058" s="23">
        <v>12</v>
      </c>
      <c r="AB6058" s="18">
        <f t="shared" si="188"/>
        <v>2006</v>
      </c>
      <c r="AC6058" s="22">
        <f t="shared" si="189"/>
        <v>0.73399999999999999</v>
      </c>
    </row>
    <row r="6059" spans="1:29">
      <c r="A6059" s="8" t="s">
        <v>2163</v>
      </c>
      <c r="B6059" s="17" t="s">
        <v>7748</v>
      </c>
      <c r="C6059" s="13">
        <v>39020</v>
      </c>
      <c r="D6059" s="13" t="s">
        <v>8465</v>
      </c>
      <c r="E6059" s="10" t="s">
        <v>86</v>
      </c>
      <c r="F6059" s="10" t="s">
        <v>1082</v>
      </c>
      <c r="G6059" s="11" t="s">
        <v>1253</v>
      </c>
      <c r="H6059" s="2" t="s">
        <v>171</v>
      </c>
      <c r="L6059" s="18">
        <v>0</v>
      </c>
      <c r="Q6059" s="18">
        <v>0</v>
      </c>
      <c r="U6059" s="22">
        <v>0.68</v>
      </c>
      <c r="V6059" s="22">
        <f>3.29/5</f>
        <v>0.65800000000000003</v>
      </c>
      <c r="X6059" s="3">
        <v>4</v>
      </c>
      <c r="Z6059" s="23">
        <v>16</v>
      </c>
      <c r="AB6059" s="18">
        <f t="shared" si="188"/>
        <v>2006</v>
      </c>
      <c r="AC6059" s="22">
        <f t="shared" si="189"/>
        <v>0.71266666666666667</v>
      </c>
    </row>
    <row r="6060" spans="1:29" ht="30">
      <c r="A6060" s="8" t="s">
        <v>11563</v>
      </c>
      <c r="B6060" s="17" t="s">
        <v>7762</v>
      </c>
      <c r="C6060" s="13">
        <v>39020</v>
      </c>
      <c r="D6060" s="13" t="s">
        <v>8465</v>
      </c>
      <c r="E6060" s="10" t="s">
        <v>3310</v>
      </c>
      <c r="F6060" s="10" t="s">
        <v>5456</v>
      </c>
      <c r="G6060" s="11" t="s">
        <v>3736</v>
      </c>
      <c r="H6060" s="2" t="s">
        <v>171</v>
      </c>
      <c r="L6060" s="18">
        <v>0</v>
      </c>
      <c r="Q6060" s="18">
        <v>0</v>
      </c>
      <c r="U6060" s="22">
        <v>0.74</v>
      </c>
      <c r="V6060" s="22">
        <f>3.7/5</f>
        <v>0.74</v>
      </c>
      <c r="X6060" s="3">
        <v>2</v>
      </c>
      <c r="Z6060" s="23">
        <v>16.5</v>
      </c>
      <c r="AB6060" s="18">
        <f t="shared" si="188"/>
        <v>2006</v>
      </c>
      <c r="AC6060" s="22">
        <f t="shared" si="189"/>
        <v>0.62666666666666659</v>
      </c>
    </row>
    <row r="6061" spans="1:29">
      <c r="A6061" s="8" t="s">
        <v>12017</v>
      </c>
      <c r="B6061" s="17" t="s">
        <v>7748</v>
      </c>
      <c r="C6061" s="13">
        <v>39016</v>
      </c>
      <c r="D6061" s="13" t="s">
        <v>8463</v>
      </c>
      <c r="E6061" s="10" t="s">
        <v>12018</v>
      </c>
      <c r="F6061" s="10" t="s">
        <v>1232</v>
      </c>
      <c r="G6061" s="11" t="s">
        <v>1422</v>
      </c>
      <c r="H6061" s="2" t="s">
        <v>171</v>
      </c>
      <c r="K6061" s="18">
        <v>2</v>
      </c>
      <c r="L6061" s="18">
        <v>0</v>
      </c>
      <c r="Q6061" s="18">
        <v>0</v>
      </c>
      <c r="V6061" s="22">
        <f>2.86/5</f>
        <v>0.57199999999999995</v>
      </c>
      <c r="X6061" s="3">
        <v>4</v>
      </c>
      <c r="Z6061" s="23">
        <v>12</v>
      </c>
      <c r="AB6061" s="18">
        <f t="shared" si="188"/>
        <v>2006</v>
      </c>
      <c r="AC6061" s="22">
        <f t="shared" si="189"/>
        <v>0.68599999999999994</v>
      </c>
    </row>
    <row r="6062" spans="1:29" ht="38.25">
      <c r="A6062" s="8" t="s">
        <v>10448</v>
      </c>
      <c r="B6062" s="17" t="s">
        <v>7758</v>
      </c>
      <c r="C6062" s="13">
        <v>39016</v>
      </c>
      <c r="D6062" s="13" t="s">
        <v>8463</v>
      </c>
      <c r="E6062" s="10" t="s">
        <v>3568</v>
      </c>
      <c r="F6062" s="10" t="s">
        <v>10449</v>
      </c>
      <c r="G6062" s="11" t="s">
        <v>484</v>
      </c>
      <c r="H6062" s="2" t="s">
        <v>153</v>
      </c>
      <c r="K6062" s="18">
        <v>2</v>
      </c>
      <c r="L6062" s="18">
        <v>0</v>
      </c>
      <c r="Q6062" s="18">
        <v>0</v>
      </c>
      <c r="V6062" s="22">
        <f>3.62/5</f>
        <v>0.72399999999999998</v>
      </c>
      <c r="X6062" s="3">
        <v>3</v>
      </c>
      <c r="Z6062" s="23">
        <v>7</v>
      </c>
      <c r="AB6062" s="18">
        <f t="shared" si="188"/>
        <v>2006</v>
      </c>
      <c r="AC6062" s="22">
        <f t="shared" si="189"/>
        <v>0.66199999999999992</v>
      </c>
    </row>
    <row r="6063" spans="1:29" ht="25.5">
      <c r="A6063" s="8" t="s">
        <v>3561</v>
      </c>
      <c r="B6063" s="17" t="s">
        <v>7800</v>
      </c>
      <c r="C6063" s="13">
        <v>39014</v>
      </c>
      <c r="D6063" s="13" t="s">
        <v>8465</v>
      </c>
      <c r="E6063" s="10" t="s">
        <v>1047</v>
      </c>
      <c r="F6063" s="10" t="s">
        <v>3218</v>
      </c>
      <c r="G6063" s="11" t="s">
        <v>3562</v>
      </c>
      <c r="H6063" s="2" t="s">
        <v>171</v>
      </c>
      <c r="L6063" s="18">
        <v>1</v>
      </c>
      <c r="N6063" s="13">
        <v>41690</v>
      </c>
      <c r="O6063" s="29">
        <v>2.02</v>
      </c>
      <c r="P6063" s="18" t="s">
        <v>1107</v>
      </c>
      <c r="Q6063" s="18">
        <v>0</v>
      </c>
      <c r="U6063" s="22">
        <v>0.74</v>
      </c>
      <c r="V6063" s="22">
        <f>3.81/5</f>
        <v>0.76200000000000001</v>
      </c>
      <c r="W6063" s="14" t="s">
        <v>7777</v>
      </c>
      <c r="X6063" s="3">
        <v>4</v>
      </c>
      <c r="Z6063" s="23">
        <v>10.5</v>
      </c>
      <c r="AB6063" s="18">
        <f t="shared" si="188"/>
        <v>2006</v>
      </c>
      <c r="AC6063" s="22">
        <f t="shared" si="189"/>
        <v>0.76733333333333331</v>
      </c>
    </row>
    <row r="6064" spans="1:29" ht="45">
      <c r="A6064" s="8" t="s">
        <v>3852</v>
      </c>
      <c r="B6064" s="17" t="s">
        <v>7800</v>
      </c>
      <c r="C6064" s="13">
        <v>39014</v>
      </c>
      <c r="D6064" s="13" t="s">
        <v>8465</v>
      </c>
      <c r="E6064" s="10" t="s">
        <v>1156</v>
      </c>
      <c r="F6064" s="10" t="s">
        <v>3853</v>
      </c>
      <c r="G6064" s="11" t="s">
        <v>3847</v>
      </c>
      <c r="H6064" s="2" t="s">
        <v>1061</v>
      </c>
      <c r="J6064" s="18">
        <v>1</v>
      </c>
      <c r="L6064" s="18">
        <v>1</v>
      </c>
      <c r="N6064" s="13">
        <v>41591</v>
      </c>
      <c r="P6064" s="18" t="s">
        <v>1107</v>
      </c>
      <c r="Q6064" s="18">
        <v>0</v>
      </c>
      <c r="U6064" s="22">
        <v>0.76</v>
      </c>
      <c r="V6064" s="22">
        <f>3.74/5</f>
        <v>0.748</v>
      </c>
      <c r="W6064" s="14" t="s">
        <v>7777</v>
      </c>
      <c r="X6064" s="3">
        <v>3</v>
      </c>
      <c r="Z6064" s="23">
        <v>4.5</v>
      </c>
      <c r="AB6064" s="18">
        <f t="shared" si="188"/>
        <v>2006</v>
      </c>
      <c r="AC6064" s="22">
        <f t="shared" si="189"/>
        <v>0.70266666666666666</v>
      </c>
    </row>
    <row r="6065" spans="1:29">
      <c r="A6065" s="8" t="s">
        <v>9836</v>
      </c>
      <c r="B6065" s="17" t="s">
        <v>7758</v>
      </c>
      <c r="C6065" s="13">
        <v>39014</v>
      </c>
      <c r="D6065" s="13" t="s">
        <v>8465</v>
      </c>
      <c r="E6065" s="10" t="s">
        <v>455</v>
      </c>
      <c r="F6065" s="10" t="s">
        <v>1492</v>
      </c>
      <c r="G6065" s="11" t="s">
        <v>1936</v>
      </c>
      <c r="H6065" s="2" t="s">
        <v>171</v>
      </c>
      <c r="L6065" s="18">
        <v>0</v>
      </c>
      <c r="Q6065" s="18">
        <v>0</v>
      </c>
      <c r="U6065" s="22">
        <v>0.68</v>
      </c>
      <c r="V6065" s="22">
        <f>3.69/5</f>
        <v>0.73799999999999999</v>
      </c>
      <c r="X6065" s="3">
        <v>3</v>
      </c>
      <c r="Z6065" s="23">
        <v>27</v>
      </c>
      <c r="AB6065" s="18">
        <f t="shared" si="188"/>
        <v>2006</v>
      </c>
      <c r="AC6065" s="22">
        <f t="shared" si="189"/>
        <v>0.67266666666666675</v>
      </c>
    </row>
    <row r="6066" spans="1:29">
      <c r="A6066" s="8" t="s">
        <v>2224</v>
      </c>
      <c r="B6066" s="17" t="s">
        <v>7748</v>
      </c>
      <c r="C6066" s="13">
        <v>39014</v>
      </c>
      <c r="D6066" s="13" t="s">
        <v>8465</v>
      </c>
      <c r="E6066" s="10" t="s">
        <v>228</v>
      </c>
      <c r="F6066" s="10" t="s">
        <v>2320</v>
      </c>
      <c r="G6066" s="11" t="s">
        <v>2224</v>
      </c>
      <c r="H6066" s="2" t="s">
        <v>67</v>
      </c>
      <c r="L6066" s="18">
        <v>0</v>
      </c>
      <c r="Q6066" s="18">
        <v>0</v>
      </c>
      <c r="U6066" s="22">
        <v>0.65</v>
      </c>
      <c r="V6066" s="22">
        <f>3.7/5</f>
        <v>0.74</v>
      </c>
      <c r="X6066" s="3">
        <v>3</v>
      </c>
      <c r="Z6066" s="23">
        <v>6</v>
      </c>
      <c r="AB6066" s="18">
        <f t="shared" si="188"/>
        <v>2006</v>
      </c>
      <c r="AC6066" s="22">
        <f t="shared" si="189"/>
        <v>0.66333333333333344</v>
      </c>
    </row>
    <row r="6067" spans="1:29" ht="30">
      <c r="A6067" s="8" t="s">
        <v>7914</v>
      </c>
      <c r="B6067" s="17" t="s">
        <v>7762</v>
      </c>
      <c r="C6067" s="13">
        <v>39014</v>
      </c>
      <c r="D6067" s="13" t="s">
        <v>8465</v>
      </c>
      <c r="E6067" s="10" t="s">
        <v>1509</v>
      </c>
      <c r="F6067" s="10" t="s">
        <v>3539</v>
      </c>
      <c r="G6067" s="11" t="s">
        <v>3101</v>
      </c>
      <c r="H6067" s="2" t="s">
        <v>7594</v>
      </c>
      <c r="L6067" s="18">
        <v>0</v>
      </c>
      <c r="Q6067" s="18">
        <v>0</v>
      </c>
      <c r="U6067" s="22">
        <v>0.76229999999999998</v>
      </c>
      <c r="V6067" s="22">
        <f>4.24/5</f>
        <v>0.84800000000000009</v>
      </c>
      <c r="X6067" s="3">
        <v>2</v>
      </c>
      <c r="Z6067" s="23">
        <v>4</v>
      </c>
      <c r="AB6067" s="18">
        <f t="shared" si="188"/>
        <v>2006</v>
      </c>
      <c r="AC6067" s="22">
        <f t="shared" si="189"/>
        <v>0.67010000000000003</v>
      </c>
    </row>
    <row r="6068" spans="1:29" ht="30">
      <c r="A6068" s="8" t="s">
        <v>7944</v>
      </c>
      <c r="B6068" s="17" t="s">
        <v>7762</v>
      </c>
      <c r="C6068" s="13">
        <v>39014</v>
      </c>
      <c r="D6068" s="13" t="s">
        <v>8465</v>
      </c>
      <c r="E6068" s="10" t="s">
        <v>68</v>
      </c>
      <c r="F6068" s="10" t="s">
        <v>1471</v>
      </c>
      <c r="G6068" s="11" t="s">
        <v>7935</v>
      </c>
      <c r="H6068" s="2" t="s">
        <v>1059</v>
      </c>
      <c r="L6068" s="18">
        <v>0</v>
      </c>
      <c r="Q6068" s="18">
        <v>0</v>
      </c>
      <c r="U6068" s="22">
        <v>0.59930000000000005</v>
      </c>
      <c r="V6068" s="22">
        <f>3.67/5</f>
        <v>0.73399999999999999</v>
      </c>
      <c r="X6068" s="3">
        <v>2</v>
      </c>
      <c r="Z6068" s="23">
        <v>1.5</v>
      </c>
      <c r="AB6068" s="18">
        <f t="shared" si="188"/>
        <v>2006</v>
      </c>
      <c r="AC6068" s="22">
        <f t="shared" si="189"/>
        <v>0.57776666666666665</v>
      </c>
    </row>
    <row r="6069" spans="1:29" ht="38.25">
      <c r="A6069" s="8" t="s">
        <v>11133</v>
      </c>
      <c r="B6069" s="17" t="s">
        <v>7758</v>
      </c>
      <c r="C6069" s="13">
        <v>39014</v>
      </c>
      <c r="D6069" s="13" t="s">
        <v>8465</v>
      </c>
      <c r="E6069" s="10" t="s">
        <v>76</v>
      </c>
      <c r="F6069" s="10" t="s">
        <v>76</v>
      </c>
      <c r="G6069" s="11" t="s">
        <v>11130</v>
      </c>
      <c r="H6069" s="2" t="s">
        <v>1040</v>
      </c>
      <c r="L6069" s="18">
        <v>0</v>
      </c>
      <c r="Q6069" s="18">
        <v>0</v>
      </c>
      <c r="U6069" s="22">
        <v>0.66</v>
      </c>
      <c r="V6069" s="22">
        <f>3.34/5</f>
        <v>0.66799999999999993</v>
      </c>
      <c r="X6069" s="3">
        <v>2</v>
      </c>
      <c r="Z6069" s="23">
        <v>9</v>
      </c>
      <c r="AB6069" s="18">
        <f t="shared" si="188"/>
        <v>2006</v>
      </c>
      <c r="AC6069" s="22">
        <f t="shared" si="189"/>
        <v>0.57599999999999996</v>
      </c>
    </row>
    <row r="6070" spans="1:29" ht="30">
      <c r="A6070" s="8" t="s">
        <v>15279</v>
      </c>
      <c r="B6070" s="17" t="s">
        <v>7747</v>
      </c>
      <c r="C6070" s="13">
        <v>39014</v>
      </c>
      <c r="D6070" s="13" t="s">
        <v>8465</v>
      </c>
      <c r="E6070" s="10" t="s">
        <v>1972</v>
      </c>
      <c r="F6070" s="10" t="s">
        <v>1973</v>
      </c>
      <c r="H6070" s="2" t="s">
        <v>80</v>
      </c>
      <c r="L6070" s="18">
        <v>0</v>
      </c>
      <c r="Q6070" s="18">
        <v>0</v>
      </c>
      <c r="U6070" s="22">
        <v>0.66</v>
      </c>
      <c r="V6070" s="22">
        <f>3.25/5</f>
        <v>0.65</v>
      </c>
      <c r="X6070" s="3">
        <v>2</v>
      </c>
      <c r="AB6070" s="18">
        <f t="shared" si="188"/>
        <v>2006</v>
      </c>
      <c r="AC6070" s="22">
        <f t="shared" si="189"/>
        <v>0.56999999999999995</v>
      </c>
    </row>
    <row r="6071" spans="1:29">
      <c r="A6071" s="8" t="s">
        <v>1963</v>
      </c>
      <c r="B6071" s="17" t="s">
        <v>7748</v>
      </c>
      <c r="C6071" s="13">
        <v>39013</v>
      </c>
      <c r="D6071" s="13" t="s">
        <v>8465</v>
      </c>
      <c r="E6071" s="10" t="s">
        <v>86</v>
      </c>
      <c r="F6071" s="10" t="s">
        <v>1962</v>
      </c>
      <c r="G6071" s="11" t="s">
        <v>1963</v>
      </c>
      <c r="H6071" s="2" t="s">
        <v>149</v>
      </c>
      <c r="L6071" s="18">
        <v>0</v>
      </c>
      <c r="Q6071" s="18">
        <v>0</v>
      </c>
      <c r="U6071" s="22">
        <v>0.7</v>
      </c>
      <c r="V6071" s="22">
        <f>3.67/5</f>
        <v>0.73399999999999999</v>
      </c>
      <c r="X6071" s="3">
        <v>4</v>
      </c>
      <c r="Z6071" s="23">
        <v>26</v>
      </c>
      <c r="AB6071" s="18">
        <f t="shared" si="188"/>
        <v>2006</v>
      </c>
      <c r="AC6071" s="22">
        <f t="shared" si="189"/>
        <v>0.7446666666666667</v>
      </c>
    </row>
    <row r="6072" spans="1:29" ht="30">
      <c r="A6072" s="8" t="s">
        <v>6708</v>
      </c>
      <c r="B6072" s="17" t="s">
        <v>7762</v>
      </c>
      <c r="C6072" s="13">
        <v>39010</v>
      </c>
      <c r="D6072" s="13" t="s">
        <v>8465</v>
      </c>
      <c r="E6072" s="10" t="s">
        <v>231</v>
      </c>
      <c r="F6072" s="10" t="s">
        <v>6709</v>
      </c>
      <c r="G6072" s="11" t="s">
        <v>2944</v>
      </c>
      <c r="H6072" s="2" t="s">
        <v>1050</v>
      </c>
      <c r="L6072" s="18">
        <v>0</v>
      </c>
      <c r="Q6072" s="18">
        <v>0</v>
      </c>
      <c r="U6072" s="22">
        <v>0.69</v>
      </c>
      <c r="V6072" s="22">
        <f>3.79/5</f>
        <v>0.75800000000000001</v>
      </c>
      <c r="X6072" s="3">
        <v>2</v>
      </c>
      <c r="Z6072" s="23">
        <v>2.5</v>
      </c>
      <c r="AB6072" s="18">
        <f t="shared" si="188"/>
        <v>2006</v>
      </c>
      <c r="AC6072" s="22">
        <f t="shared" si="189"/>
        <v>0.61599999999999999</v>
      </c>
    </row>
    <row r="6073" spans="1:29" ht="30">
      <c r="A6073" s="8" t="s">
        <v>2235</v>
      </c>
      <c r="B6073" s="17" t="s">
        <v>7748</v>
      </c>
      <c r="C6073" s="13">
        <v>39009</v>
      </c>
      <c r="D6073" s="13" t="s">
        <v>8465</v>
      </c>
      <c r="E6073" s="10" t="s">
        <v>228</v>
      </c>
      <c r="F6073" s="10" t="s">
        <v>1505</v>
      </c>
      <c r="H6073" s="2" t="s">
        <v>149</v>
      </c>
      <c r="L6073" s="18">
        <v>0</v>
      </c>
      <c r="Q6073" s="18">
        <v>0</v>
      </c>
      <c r="U6073" s="22">
        <v>0.73</v>
      </c>
      <c r="V6073" s="22">
        <f>3.64/5</f>
        <v>0.72799999999999998</v>
      </c>
      <c r="X6073" s="3">
        <v>4</v>
      </c>
      <c r="Z6073" s="23">
        <v>11.5</v>
      </c>
      <c r="AB6073" s="18">
        <f t="shared" si="188"/>
        <v>2006</v>
      </c>
      <c r="AC6073" s="22">
        <f t="shared" si="189"/>
        <v>0.75266666666666671</v>
      </c>
    </row>
    <row r="6074" spans="1:29" ht="30">
      <c r="A6074" s="8" t="s">
        <v>2080</v>
      </c>
      <c r="B6074" s="17" t="s">
        <v>7747</v>
      </c>
      <c r="C6074" s="13">
        <v>39007</v>
      </c>
      <c r="D6074" s="13" t="s">
        <v>8465</v>
      </c>
      <c r="E6074" s="10" t="s">
        <v>228</v>
      </c>
      <c r="F6074" s="10" t="s">
        <v>1897</v>
      </c>
      <c r="G6074" s="11" t="s">
        <v>1898</v>
      </c>
      <c r="H6074" s="2" t="s">
        <v>171</v>
      </c>
      <c r="L6074" s="18">
        <v>0</v>
      </c>
      <c r="Q6074" s="18">
        <v>0</v>
      </c>
      <c r="U6074" s="22">
        <v>0.8</v>
      </c>
      <c r="V6074" s="22">
        <f>4.07/5</f>
        <v>0.81400000000000006</v>
      </c>
      <c r="X6074" s="3">
        <v>4</v>
      </c>
      <c r="Z6074" s="23">
        <v>17</v>
      </c>
      <c r="AB6074" s="18">
        <f t="shared" si="188"/>
        <v>2006</v>
      </c>
      <c r="AC6074" s="22">
        <f t="shared" si="189"/>
        <v>0.80466666666666675</v>
      </c>
    </row>
    <row r="6075" spans="1:29">
      <c r="A6075" s="8" t="s">
        <v>8131</v>
      </c>
      <c r="B6075" s="17" t="s">
        <v>7758</v>
      </c>
      <c r="C6075" s="13">
        <v>39007</v>
      </c>
      <c r="D6075" s="13" t="s">
        <v>8465</v>
      </c>
      <c r="E6075" s="10" t="s">
        <v>1342</v>
      </c>
      <c r="F6075" s="10" t="s">
        <v>5109</v>
      </c>
      <c r="G6075" s="11" t="s">
        <v>8127</v>
      </c>
      <c r="H6075" s="2" t="s">
        <v>80</v>
      </c>
      <c r="L6075" s="18">
        <v>0</v>
      </c>
      <c r="Q6075" s="18">
        <v>0</v>
      </c>
      <c r="U6075" s="22">
        <v>0.75749999999999995</v>
      </c>
      <c r="V6075" s="22">
        <f>3.78/5</f>
        <v>0.75600000000000001</v>
      </c>
      <c r="X6075" s="3">
        <v>3</v>
      </c>
      <c r="Z6075" s="23">
        <v>11.5</v>
      </c>
      <c r="AB6075" s="18">
        <f t="shared" si="188"/>
        <v>2006</v>
      </c>
      <c r="AC6075" s="22">
        <f t="shared" si="189"/>
        <v>0.70450000000000002</v>
      </c>
    </row>
    <row r="6076" spans="1:29" ht="45">
      <c r="A6076" s="8" t="s">
        <v>15918</v>
      </c>
      <c r="B6076" s="17" t="s">
        <v>7758</v>
      </c>
      <c r="C6076" s="13">
        <v>39007</v>
      </c>
      <c r="D6076" s="13" t="s">
        <v>8465</v>
      </c>
      <c r="E6076" s="10" t="s">
        <v>1156</v>
      </c>
      <c r="F6076" s="10" t="s">
        <v>5342</v>
      </c>
      <c r="G6076" s="11" t="s">
        <v>15899</v>
      </c>
      <c r="H6076" s="2" t="s">
        <v>171</v>
      </c>
      <c r="L6076" s="18">
        <v>0</v>
      </c>
      <c r="Q6076" s="18">
        <v>0</v>
      </c>
      <c r="U6076" s="22">
        <v>0.68</v>
      </c>
      <c r="V6076" s="22">
        <f>3.74/5</f>
        <v>0.748</v>
      </c>
      <c r="X6076" s="3">
        <v>2</v>
      </c>
      <c r="Z6076" s="23">
        <v>5.5</v>
      </c>
      <c r="AB6076" s="18">
        <f t="shared" si="188"/>
        <v>2006</v>
      </c>
      <c r="AC6076" s="22">
        <f t="shared" si="189"/>
        <v>0.60933333333333328</v>
      </c>
    </row>
    <row r="6077" spans="1:29" ht="45">
      <c r="A6077" s="8" t="s">
        <v>15919</v>
      </c>
      <c r="B6077" s="17" t="s">
        <v>7747</v>
      </c>
      <c r="C6077" s="13">
        <v>39007</v>
      </c>
      <c r="D6077" s="13" t="s">
        <v>8465</v>
      </c>
      <c r="E6077" s="10" t="s">
        <v>1156</v>
      </c>
      <c r="F6077" s="10" t="s">
        <v>1084</v>
      </c>
      <c r="G6077" s="11" t="s">
        <v>15895</v>
      </c>
      <c r="H6077" s="2" t="s">
        <v>56</v>
      </c>
      <c r="L6077" s="18">
        <v>0</v>
      </c>
      <c r="Q6077" s="18">
        <v>0</v>
      </c>
      <c r="U6077" s="22">
        <v>0.72</v>
      </c>
      <c r="V6077" s="22">
        <f>3.38/5</f>
        <v>0.67599999999999993</v>
      </c>
      <c r="X6077" s="3">
        <v>2</v>
      </c>
      <c r="Z6077" s="23">
        <v>2</v>
      </c>
      <c r="AB6077" s="18">
        <f t="shared" si="188"/>
        <v>2006</v>
      </c>
      <c r="AC6077" s="22">
        <f t="shared" si="189"/>
        <v>0.59866666666666657</v>
      </c>
    </row>
    <row r="6078" spans="1:29" ht="30">
      <c r="A6078" s="8" t="s">
        <v>8038</v>
      </c>
      <c r="B6078" s="17" t="s">
        <v>7762</v>
      </c>
      <c r="C6078" s="13">
        <v>39003</v>
      </c>
      <c r="D6078" s="13" t="s">
        <v>8467</v>
      </c>
      <c r="E6078" s="10" t="s">
        <v>1509</v>
      </c>
      <c r="F6078" s="10" t="s">
        <v>1509</v>
      </c>
      <c r="G6078" s="11" t="s">
        <v>8037</v>
      </c>
      <c r="H6078" s="2" t="s">
        <v>150</v>
      </c>
      <c r="L6078" s="18">
        <v>0</v>
      </c>
      <c r="Q6078" s="18">
        <v>0</v>
      </c>
      <c r="U6078" s="22">
        <v>0.6986</v>
      </c>
      <c r="V6078" s="22">
        <f>4.23/5</f>
        <v>0.84600000000000009</v>
      </c>
      <c r="X6078" s="3">
        <v>3</v>
      </c>
      <c r="Z6078" s="23">
        <v>5.5</v>
      </c>
      <c r="AB6078" s="18">
        <f t="shared" si="188"/>
        <v>2006</v>
      </c>
      <c r="AC6078" s="22">
        <f t="shared" si="189"/>
        <v>0.71486666666666665</v>
      </c>
    </row>
    <row r="6079" spans="1:29" ht="25.5">
      <c r="A6079" s="8" t="s">
        <v>6719</v>
      </c>
      <c r="B6079" s="17" t="s">
        <v>7758</v>
      </c>
      <c r="C6079" s="13">
        <v>39001</v>
      </c>
      <c r="D6079" s="13" t="s">
        <v>8465</v>
      </c>
      <c r="E6079" s="10" t="s">
        <v>1466</v>
      </c>
      <c r="F6079" s="10" t="s">
        <v>1466</v>
      </c>
      <c r="G6079" s="11" t="s">
        <v>17</v>
      </c>
      <c r="H6079" s="2" t="s">
        <v>459</v>
      </c>
      <c r="L6079" s="18">
        <v>0</v>
      </c>
      <c r="Q6079" s="18">
        <v>0</v>
      </c>
      <c r="U6079" s="22">
        <v>0.75</v>
      </c>
      <c r="V6079" s="22">
        <f>3.65/5</f>
        <v>0.73</v>
      </c>
      <c r="X6079" s="3">
        <v>2</v>
      </c>
      <c r="Z6079" s="23">
        <v>8.5</v>
      </c>
      <c r="AB6079" s="18">
        <f t="shared" si="188"/>
        <v>2006</v>
      </c>
      <c r="AC6079" s="22">
        <f t="shared" si="189"/>
        <v>0.62666666666666659</v>
      </c>
    </row>
    <row r="6080" spans="1:29">
      <c r="A6080" s="8" t="s">
        <v>5844</v>
      </c>
      <c r="B6080" s="17" t="s">
        <v>7758</v>
      </c>
      <c r="C6080" s="13">
        <v>39000</v>
      </c>
      <c r="D6080" s="13" t="s">
        <v>8465</v>
      </c>
      <c r="E6080" s="10" t="s">
        <v>1541</v>
      </c>
      <c r="F6080" s="10" t="s">
        <v>1500</v>
      </c>
      <c r="G6080" s="11" t="s">
        <v>1422</v>
      </c>
      <c r="H6080" s="2" t="s">
        <v>149</v>
      </c>
      <c r="L6080" s="18">
        <v>0</v>
      </c>
      <c r="Q6080" s="18">
        <v>0</v>
      </c>
      <c r="U6080" s="22">
        <v>0.79</v>
      </c>
      <c r="V6080" s="22">
        <f>4.29/5</f>
        <v>0.85799999999999998</v>
      </c>
      <c r="X6080" s="3">
        <v>4</v>
      </c>
      <c r="Z6080" s="23">
        <v>49.5</v>
      </c>
      <c r="AB6080" s="18">
        <f t="shared" si="188"/>
        <v>2006</v>
      </c>
      <c r="AC6080" s="22">
        <f t="shared" si="189"/>
        <v>0.81600000000000017</v>
      </c>
    </row>
    <row r="6081" spans="1:29">
      <c r="A6081" s="8" t="s">
        <v>5811</v>
      </c>
      <c r="B6081" s="17" t="s">
        <v>7758</v>
      </c>
      <c r="C6081" s="13">
        <v>39000</v>
      </c>
      <c r="D6081" s="13" t="s">
        <v>8465</v>
      </c>
      <c r="E6081" s="10" t="s">
        <v>73</v>
      </c>
      <c r="F6081" s="10" t="s">
        <v>1504</v>
      </c>
      <c r="H6081" s="2" t="s">
        <v>153</v>
      </c>
      <c r="L6081" s="18">
        <v>0</v>
      </c>
      <c r="Q6081" s="18">
        <v>0</v>
      </c>
      <c r="U6081" s="22">
        <v>0.75</v>
      </c>
      <c r="V6081" s="22">
        <f>4.22/5</f>
        <v>0.84399999999999997</v>
      </c>
      <c r="X6081" s="3">
        <v>4</v>
      </c>
      <c r="Z6081" s="23">
        <v>12.5</v>
      </c>
      <c r="AB6081" s="18">
        <f t="shared" ref="AB6081:AB6144" si="190">IFERROR(YEAR(C6081), "Early Access")</f>
        <v>2006</v>
      </c>
      <c r="AC6081" s="22">
        <f t="shared" ref="AC6081:AC6144" si="191">AVERAGE(T6081, U6081, V6081, IF(ISBLANK(X6081), X6081, X6081/5))</f>
        <v>0.79800000000000004</v>
      </c>
    </row>
    <row r="6082" spans="1:29" ht="51">
      <c r="A6082" s="8" t="s">
        <v>5834</v>
      </c>
      <c r="B6082" s="17" t="s">
        <v>7758</v>
      </c>
      <c r="C6082" s="13">
        <v>39000</v>
      </c>
      <c r="D6082" s="13" t="s">
        <v>8465</v>
      </c>
      <c r="E6082" s="10" t="s">
        <v>228</v>
      </c>
      <c r="F6082" s="10" t="s">
        <v>228</v>
      </c>
      <c r="G6082" s="11" t="s">
        <v>1171</v>
      </c>
      <c r="H6082" s="2" t="s">
        <v>171</v>
      </c>
      <c r="L6082" s="18">
        <v>0</v>
      </c>
      <c r="Q6082" s="18">
        <v>0</v>
      </c>
      <c r="U6082" s="22">
        <v>0.75</v>
      </c>
      <c r="V6082" s="22">
        <f>3.93/5</f>
        <v>0.78600000000000003</v>
      </c>
      <c r="X6082" s="3">
        <v>4</v>
      </c>
      <c r="Z6082" s="23">
        <v>27</v>
      </c>
      <c r="AB6082" s="18">
        <f t="shared" si="190"/>
        <v>2006</v>
      </c>
      <c r="AC6082" s="22">
        <f t="shared" si="191"/>
        <v>0.77866666666666673</v>
      </c>
    </row>
    <row r="6083" spans="1:29" ht="25.5">
      <c r="A6083" s="8" t="s">
        <v>12891</v>
      </c>
      <c r="B6083" s="17" t="s">
        <v>7758</v>
      </c>
      <c r="C6083" s="13">
        <v>39000</v>
      </c>
      <c r="D6083" s="13" t="s">
        <v>8463</v>
      </c>
      <c r="E6083" s="10" t="s">
        <v>2298</v>
      </c>
      <c r="F6083" s="10" t="s">
        <v>12892</v>
      </c>
      <c r="H6083" s="2" t="s">
        <v>153</v>
      </c>
      <c r="K6083" s="18">
        <v>2</v>
      </c>
      <c r="L6083" s="18">
        <v>0</v>
      </c>
      <c r="Q6083" s="18">
        <v>0</v>
      </c>
      <c r="V6083" s="22">
        <f>3.54/5</f>
        <v>0.70799999999999996</v>
      </c>
      <c r="X6083" s="3">
        <v>2</v>
      </c>
      <c r="Z6083" s="23">
        <v>1.5</v>
      </c>
      <c r="AB6083" s="18">
        <f t="shared" si="190"/>
        <v>2006</v>
      </c>
      <c r="AC6083" s="22">
        <f t="shared" si="191"/>
        <v>0.55400000000000005</v>
      </c>
    </row>
    <row r="6084" spans="1:29" ht="30">
      <c r="A6084" s="8" t="s">
        <v>6700</v>
      </c>
      <c r="B6084" s="17" t="s">
        <v>7758</v>
      </c>
      <c r="C6084" s="13">
        <v>39000</v>
      </c>
      <c r="D6084" s="13" t="s">
        <v>8465</v>
      </c>
      <c r="E6084" s="10" t="s">
        <v>3848</v>
      </c>
      <c r="F6084" s="10" t="s">
        <v>3331</v>
      </c>
      <c r="G6084" s="11" t="s">
        <v>1975</v>
      </c>
      <c r="H6084" s="2" t="s">
        <v>80</v>
      </c>
      <c r="L6084" s="18">
        <v>0</v>
      </c>
      <c r="Q6084" s="18">
        <v>0</v>
      </c>
      <c r="U6084" s="22">
        <v>0.65</v>
      </c>
      <c r="V6084" s="22">
        <f>3.36/5</f>
        <v>0.67199999999999993</v>
      </c>
      <c r="X6084" s="3">
        <v>2</v>
      </c>
      <c r="Z6084" s="23">
        <v>7</v>
      </c>
      <c r="AB6084" s="18">
        <f t="shared" si="190"/>
        <v>2006</v>
      </c>
      <c r="AC6084" s="22">
        <f t="shared" si="191"/>
        <v>0.57399999999999995</v>
      </c>
    </row>
    <row r="6085" spans="1:29" ht="30">
      <c r="A6085" s="8" t="s">
        <v>13280</v>
      </c>
      <c r="B6085" s="17" t="s">
        <v>7748</v>
      </c>
      <c r="C6085" s="13">
        <v>39000</v>
      </c>
      <c r="D6085" s="13" t="s">
        <v>8465</v>
      </c>
      <c r="E6085" s="10" t="s">
        <v>3848</v>
      </c>
      <c r="F6085" s="10" t="s">
        <v>1232</v>
      </c>
      <c r="G6085" s="11" t="s">
        <v>1576</v>
      </c>
      <c r="H6085" s="2" t="s">
        <v>1142</v>
      </c>
      <c r="L6085" s="18">
        <v>0</v>
      </c>
      <c r="Q6085" s="18">
        <v>0</v>
      </c>
      <c r="U6085" s="22">
        <v>0.37</v>
      </c>
      <c r="V6085" s="22">
        <f>2.12/5</f>
        <v>0.42400000000000004</v>
      </c>
      <c r="X6085" s="3">
        <v>2</v>
      </c>
      <c r="Z6085" s="23">
        <v>3</v>
      </c>
      <c r="AB6085" s="18">
        <f t="shared" si="190"/>
        <v>2006</v>
      </c>
      <c r="AC6085" s="22">
        <f t="shared" si="191"/>
        <v>0.39799999999999996</v>
      </c>
    </row>
    <row r="6086" spans="1:29" ht="30">
      <c r="A6086" s="8" t="s">
        <v>9692</v>
      </c>
      <c r="B6086" s="17" t="s">
        <v>7762</v>
      </c>
      <c r="C6086" s="13">
        <v>38993</v>
      </c>
      <c r="D6086" s="13" t="s">
        <v>8465</v>
      </c>
      <c r="E6086" s="10" t="s">
        <v>2908</v>
      </c>
      <c r="F6086" s="10" t="s">
        <v>9691</v>
      </c>
      <c r="H6086" s="2" t="s">
        <v>80</v>
      </c>
      <c r="L6086" s="18">
        <v>0</v>
      </c>
      <c r="Q6086" s="18">
        <v>0</v>
      </c>
      <c r="U6086" s="22">
        <v>0.52</v>
      </c>
      <c r="V6086" s="22">
        <f>3.11/5</f>
        <v>0.622</v>
      </c>
      <c r="X6086" s="3">
        <v>2</v>
      </c>
      <c r="Z6086" s="23">
        <v>6</v>
      </c>
      <c r="AB6086" s="18">
        <f t="shared" si="190"/>
        <v>2006</v>
      </c>
      <c r="AC6086" s="22">
        <f t="shared" si="191"/>
        <v>0.5139999999999999</v>
      </c>
    </row>
    <row r="6087" spans="1:29">
      <c r="A6087" s="8" t="s">
        <v>14406</v>
      </c>
      <c r="B6087" s="17" t="s">
        <v>6317</v>
      </c>
      <c r="C6087" s="13">
        <v>38991</v>
      </c>
      <c r="D6087" s="13" t="s">
        <v>8465</v>
      </c>
      <c r="E6087" s="10" t="s">
        <v>14407</v>
      </c>
      <c r="F6087" s="10" t="s">
        <v>14408</v>
      </c>
      <c r="G6087" s="11" t="s">
        <v>442</v>
      </c>
      <c r="H6087" s="2" t="s">
        <v>1170</v>
      </c>
      <c r="L6087" s="18">
        <v>0</v>
      </c>
      <c r="Q6087" s="18">
        <v>0</v>
      </c>
      <c r="V6087" s="22">
        <f>3.24/5</f>
        <v>0.64800000000000002</v>
      </c>
      <c r="X6087" s="3">
        <v>2</v>
      </c>
      <c r="AB6087" s="18">
        <f t="shared" si="190"/>
        <v>2006</v>
      </c>
      <c r="AC6087" s="22">
        <f t="shared" si="191"/>
        <v>0.52400000000000002</v>
      </c>
    </row>
    <row r="6088" spans="1:29">
      <c r="A6088" s="8" t="s">
        <v>4215</v>
      </c>
      <c r="B6088" s="17" t="s">
        <v>7800</v>
      </c>
      <c r="C6088" s="13">
        <v>38987</v>
      </c>
      <c r="D6088" s="13" t="s">
        <v>8465</v>
      </c>
      <c r="E6088" s="10" t="s">
        <v>1870</v>
      </c>
      <c r="F6088" s="10" t="s">
        <v>4216</v>
      </c>
      <c r="G6088" s="11" t="s">
        <v>4215</v>
      </c>
      <c r="H6088" s="2" t="s">
        <v>1168</v>
      </c>
      <c r="L6088" s="18">
        <v>1</v>
      </c>
      <c r="N6088" s="13">
        <v>41196</v>
      </c>
      <c r="P6088" s="18" t="s">
        <v>1107</v>
      </c>
      <c r="Q6088" s="18">
        <v>0</v>
      </c>
      <c r="U6088" s="22">
        <v>0.74</v>
      </c>
      <c r="V6088" s="22">
        <f>3.13/5</f>
        <v>0.626</v>
      </c>
      <c r="W6088" s="14" t="s">
        <v>7777</v>
      </c>
      <c r="X6088" s="3">
        <v>3</v>
      </c>
      <c r="Z6088" s="23">
        <v>8.5</v>
      </c>
      <c r="AB6088" s="18">
        <f t="shared" si="190"/>
        <v>2006</v>
      </c>
      <c r="AC6088" s="22">
        <f t="shared" si="191"/>
        <v>0.65533333333333343</v>
      </c>
    </row>
    <row r="6089" spans="1:29" ht="25.5">
      <c r="A6089" s="8" t="s">
        <v>5783</v>
      </c>
      <c r="B6089" s="17" t="s">
        <v>7758</v>
      </c>
      <c r="C6089" s="13">
        <v>38986</v>
      </c>
      <c r="D6089" s="13" t="s">
        <v>8465</v>
      </c>
      <c r="E6089" s="10" t="s">
        <v>1082</v>
      </c>
      <c r="F6089" s="10" t="s">
        <v>1423</v>
      </c>
      <c r="G6089" s="11" t="s">
        <v>2295</v>
      </c>
      <c r="H6089" s="2" t="s">
        <v>149</v>
      </c>
      <c r="L6089" s="18">
        <v>0</v>
      </c>
      <c r="Q6089" s="18">
        <v>0</v>
      </c>
      <c r="U6089" s="22">
        <v>0.84</v>
      </c>
      <c r="V6089" s="22">
        <f>4.07/5</f>
        <v>0.81400000000000006</v>
      </c>
      <c r="X6089" s="3">
        <v>4</v>
      </c>
      <c r="Z6089" s="23">
        <v>42.5</v>
      </c>
      <c r="AB6089" s="18">
        <f t="shared" si="190"/>
        <v>2006</v>
      </c>
      <c r="AC6089" s="22">
        <f t="shared" si="191"/>
        <v>0.81799999999999995</v>
      </c>
    </row>
    <row r="6090" spans="1:29" ht="38.25">
      <c r="A6090" s="8" t="s">
        <v>6252</v>
      </c>
      <c r="B6090" s="17" t="s">
        <v>7762</v>
      </c>
      <c r="C6090" s="13">
        <v>38986</v>
      </c>
      <c r="D6090" s="13" t="s">
        <v>8465</v>
      </c>
      <c r="E6090" s="10" t="s">
        <v>1062</v>
      </c>
      <c r="F6090" s="10" t="s">
        <v>3113</v>
      </c>
      <c r="G6090" s="11" t="s">
        <v>7671</v>
      </c>
      <c r="H6090" s="2" t="s">
        <v>75</v>
      </c>
      <c r="L6090" s="18">
        <v>0</v>
      </c>
      <c r="Q6090" s="18">
        <v>0</v>
      </c>
      <c r="U6090" s="22">
        <v>0.5</v>
      </c>
      <c r="V6090" s="22">
        <f>3.67/5</f>
        <v>0.73399999999999999</v>
      </c>
      <c r="X6090" s="3">
        <v>4</v>
      </c>
      <c r="Z6090" s="23">
        <v>93.5</v>
      </c>
      <c r="AB6090" s="18">
        <f t="shared" si="190"/>
        <v>2006</v>
      </c>
      <c r="AC6090" s="22">
        <f t="shared" si="191"/>
        <v>0.67799999999999994</v>
      </c>
    </row>
    <row r="6091" spans="1:29" ht="30">
      <c r="A6091" s="8" t="s">
        <v>934</v>
      </c>
      <c r="B6091" s="17" t="s">
        <v>7740</v>
      </c>
      <c r="C6091" s="13">
        <v>38985</v>
      </c>
      <c r="D6091" s="13" t="s">
        <v>8465</v>
      </c>
      <c r="E6091" s="10" t="s">
        <v>86</v>
      </c>
      <c r="F6091" s="10" t="s">
        <v>1145</v>
      </c>
      <c r="G6091" s="11" t="s">
        <v>8673</v>
      </c>
      <c r="H6091" s="2" t="s">
        <v>149</v>
      </c>
      <c r="L6091" s="18">
        <v>0</v>
      </c>
      <c r="Q6091" s="18">
        <v>0</v>
      </c>
      <c r="U6091" s="22">
        <v>0.77</v>
      </c>
      <c r="V6091" s="22">
        <f>4.17/5</f>
        <v>0.83399999999999996</v>
      </c>
      <c r="X6091" s="3">
        <v>4</v>
      </c>
      <c r="Z6091" s="23">
        <v>40.5</v>
      </c>
      <c r="AB6091" s="18">
        <f t="shared" si="190"/>
        <v>2006</v>
      </c>
      <c r="AC6091" s="22">
        <f t="shared" si="191"/>
        <v>0.80133333333333334</v>
      </c>
    </row>
    <row r="6092" spans="1:29" ht="30">
      <c r="A6092" s="8" t="s">
        <v>2198</v>
      </c>
      <c r="B6092" s="17" t="s">
        <v>7748</v>
      </c>
      <c r="C6092" s="13">
        <v>38985</v>
      </c>
      <c r="D6092" s="13" t="s">
        <v>8465</v>
      </c>
      <c r="E6092" s="10" t="s">
        <v>86</v>
      </c>
      <c r="F6092" s="10" t="s">
        <v>1506</v>
      </c>
      <c r="G6092" s="11" t="s">
        <v>1964</v>
      </c>
      <c r="H6092" s="2" t="s">
        <v>78</v>
      </c>
      <c r="L6092" s="18">
        <v>0</v>
      </c>
      <c r="Q6092" s="18">
        <v>0</v>
      </c>
      <c r="U6092" s="22">
        <v>0.78</v>
      </c>
      <c r="V6092" s="22">
        <f>3.52/5</f>
        <v>0.70399999999999996</v>
      </c>
      <c r="X6092" s="3">
        <v>3</v>
      </c>
      <c r="Z6092" s="23">
        <v>4.5</v>
      </c>
      <c r="AB6092" s="18">
        <f t="shared" si="190"/>
        <v>2006</v>
      </c>
      <c r="AC6092" s="22">
        <f t="shared" si="191"/>
        <v>0.69466666666666665</v>
      </c>
    </row>
    <row r="6093" spans="1:29" ht="38.25">
      <c r="A6093" s="8" t="s">
        <v>7518</v>
      </c>
      <c r="B6093" s="17" t="s">
        <v>7762</v>
      </c>
      <c r="C6093" s="13">
        <v>38981</v>
      </c>
      <c r="D6093" s="13" t="s">
        <v>8465</v>
      </c>
      <c r="E6093" s="10" t="s">
        <v>1273</v>
      </c>
      <c r="F6093" s="10" t="s">
        <v>1467</v>
      </c>
      <c r="G6093" s="11" t="s">
        <v>7519</v>
      </c>
      <c r="H6093" s="2" t="s">
        <v>3411</v>
      </c>
      <c r="L6093" s="18">
        <v>1</v>
      </c>
      <c r="M6093" s="14" t="s">
        <v>10622</v>
      </c>
      <c r="N6093" s="13">
        <v>43700</v>
      </c>
      <c r="P6093" s="18" t="s">
        <v>14</v>
      </c>
      <c r="Q6093" s="18">
        <v>0</v>
      </c>
      <c r="U6093" s="22">
        <v>0.42</v>
      </c>
      <c r="V6093" s="22">
        <f>3.14/5</f>
        <v>0.628</v>
      </c>
      <c r="X6093" s="3">
        <v>1</v>
      </c>
      <c r="AB6093" s="18">
        <f t="shared" si="190"/>
        <v>2006</v>
      </c>
      <c r="AC6093" s="22">
        <f t="shared" si="191"/>
        <v>0.41599999999999998</v>
      </c>
    </row>
    <row r="6094" spans="1:29" ht="25.5">
      <c r="A6094" s="8" t="s">
        <v>2169</v>
      </c>
      <c r="B6094" s="17" t="s">
        <v>7748</v>
      </c>
      <c r="C6094" s="13">
        <v>38979</v>
      </c>
      <c r="D6094" s="13" t="s">
        <v>8465</v>
      </c>
      <c r="E6094" s="10" t="s">
        <v>1082</v>
      </c>
      <c r="F6094" s="10" t="s">
        <v>58</v>
      </c>
      <c r="G6094" s="11" t="s">
        <v>140</v>
      </c>
      <c r="H6094" s="2" t="s">
        <v>80</v>
      </c>
      <c r="L6094" s="18">
        <v>0</v>
      </c>
      <c r="Q6094" s="18">
        <v>0</v>
      </c>
      <c r="U6094" s="22">
        <v>0.82</v>
      </c>
      <c r="V6094" s="22">
        <f>3.98/5</f>
        <v>0.79600000000000004</v>
      </c>
      <c r="X6094" s="3">
        <v>3</v>
      </c>
      <c r="Z6094" s="23">
        <v>12.5</v>
      </c>
      <c r="AB6094" s="18">
        <f t="shared" si="190"/>
        <v>2006</v>
      </c>
      <c r="AC6094" s="22">
        <f t="shared" si="191"/>
        <v>0.73866666666666669</v>
      </c>
    </row>
    <row r="6095" spans="1:29" ht="25.5">
      <c r="A6095" s="8" t="s">
        <v>14648</v>
      </c>
      <c r="B6095" s="17" t="s">
        <v>7758</v>
      </c>
      <c r="C6095" s="13">
        <v>38979</v>
      </c>
      <c r="D6095" s="13" t="s">
        <v>8465</v>
      </c>
      <c r="E6095" s="10" t="s">
        <v>11188</v>
      </c>
      <c r="F6095" s="10" t="s">
        <v>11188</v>
      </c>
      <c r="G6095" s="11" t="s">
        <v>567</v>
      </c>
      <c r="H6095" s="2" t="s">
        <v>459</v>
      </c>
      <c r="L6095" s="18">
        <v>0</v>
      </c>
      <c r="Q6095" s="18">
        <v>0</v>
      </c>
      <c r="V6095" s="22">
        <f>3.85/5</f>
        <v>0.77</v>
      </c>
      <c r="X6095" s="3">
        <v>2</v>
      </c>
      <c r="Z6095" s="23">
        <v>2</v>
      </c>
      <c r="AB6095" s="18">
        <f t="shared" si="190"/>
        <v>2006</v>
      </c>
      <c r="AC6095" s="22">
        <f t="shared" si="191"/>
        <v>0.58499999999999996</v>
      </c>
    </row>
    <row r="6096" spans="1:29">
      <c r="A6096" s="8" t="s">
        <v>7953</v>
      </c>
      <c r="B6096" s="17" t="s">
        <v>7758</v>
      </c>
      <c r="C6096" s="13">
        <v>38979</v>
      </c>
      <c r="D6096" s="13" t="s">
        <v>8465</v>
      </c>
      <c r="E6096" s="10" t="s">
        <v>68</v>
      </c>
      <c r="F6096" s="10" t="s">
        <v>1471</v>
      </c>
      <c r="G6096" s="11" t="s">
        <v>2465</v>
      </c>
      <c r="H6096" s="2" t="s">
        <v>1059</v>
      </c>
      <c r="L6096" s="18">
        <v>0</v>
      </c>
      <c r="Q6096" s="18">
        <v>0</v>
      </c>
      <c r="U6096" s="22">
        <v>0.61970000000000003</v>
      </c>
      <c r="V6096" s="22">
        <f>4.09/5</f>
        <v>0.81799999999999995</v>
      </c>
      <c r="X6096" s="3">
        <v>2</v>
      </c>
      <c r="Z6096" s="23">
        <v>30</v>
      </c>
      <c r="AB6096" s="18">
        <f t="shared" si="190"/>
        <v>2006</v>
      </c>
      <c r="AC6096" s="22">
        <f t="shared" si="191"/>
        <v>0.61256666666666659</v>
      </c>
    </row>
    <row r="6097" spans="1:29" ht="38.25">
      <c r="A6097" s="8" t="s">
        <v>2060</v>
      </c>
      <c r="B6097" s="17" t="s">
        <v>7747</v>
      </c>
      <c r="C6097" s="13">
        <v>38978</v>
      </c>
      <c r="D6097" s="13" t="s">
        <v>8465</v>
      </c>
      <c r="E6097" s="10" t="s">
        <v>86</v>
      </c>
      <c r="F6097" s="10" t="s">
        <v>164</v>
      </c>
      <c r="G6097" s="11" t="s">
        <v>1984</v>
      </c>
      <c r="H6097" s="2" t="s">
        <v>1377</v>
      </c>
      <c r="L6097" s="18">
        <v>0</v>
      </c>
      <c r="Q6097" s="18">
        <v>0</v>
      </c>
      <c r="U6097" s="22">
        <v>0.71</v>
      </c>
      <c r="V6097" s="22">
        <f>3.95/5</f>
        <v>0.79</v>
      </c>
      <c r="X6097" s="3">
        <v>3</v>
      </c>
      <c r="Z6097" s="23">
        <v>20.5</v>
      </c>
      <c r="AB6097" s="18">
        <f t="shared" si="190"/>
        <v>2006</v>
      </c>
      <c r="AC6097" s="22">
        <f t="shared" si="191"/>
        <v>0.70000000000000007</v>
      </c>
    </row>
    <row r="6098" spans="1:29" ht="30">
      <c r="A6098" s="8" t="s">
        <v>11535</v>
      </c>
      <c r="B6098" s="17" t="s">
        <v>7762</v>
      </c>
      <c r="C6098" s="13">
        <v>38973</v>
      </c>
      <c r="D6098" s="13" t="s">
        <v>8465</v>
      </c>
      <c r="E6098" s="10" t="s">
        <v>158</v>
      </c>
      <c r="F6098" s="10" t="s">
        <v>8816</v>
      </c>
      <c r="H6098" s="2" t="s">
        <v>171</v>
      </c>
      <c r="L6098" s="18">
        <v>0</v>
      </c>
      <c r="Q6098" s="18">
        <v>0</v>
      </c>
      <c r="U6098" s="22">
        <v>0.63</v>
      </c>
      <c r="V6098" s="22">
        <f>3.63/5</f>
        <v>0.72599999999999998</v>
      </c>
      <c r="X6098" s="3">
        <v>2</v>
      </c>
      <c r="Z6098" s="23">
        <v>9</v>
      </c>
      <c r="AB6098" s="18">
        <f t="shared" si="190"/>
        <v>2006</v>
      </c>
      <c r="AC6098" s="22">
        <f t="shared" si="191"/>
        <v>0.58533333333333326</v>
      </c>
    </row>
    <row r="6099" spans="1:29">
      <c r="A6099" s="8" t="s">
        <v>3479</v>
      </c>
      <c r="B6099" s="17" t="s">
        <v>7800</v>
      </c>
      <c r="C6099" s="13">
        <v>38972</v>
      </c>
      <c r="D6099" s="13" t="s">
        <v>8465</v>
      </c>
      <c r="E6099" s="10" t="s">
        <v>1342</v>
      </c>
      <c r="F6099" s="10" t="s">
        <v>3480</v>
      </c>
      <c r="G6099" s="11" t="s">
        <v>3479</v>
      </c>
      <c r="H6099" s="2" t="s">
        <v>1143</v>
      </c>
      <c r="L6099" s="18">
        <v>1</v>
      </c>
      <c r="N6099" s="13">
        <v>41242</v>
      </c>
      <c r="P6099" s="18" t="s">
        <v>1107</v>
      </c>
      <c r="Q6099" s="18">
        <v>0</v>
      </c>
      <c r="U6099" s="22">
        <v>0.94</v>
      </c>
      <c r="V6099" s="22">
        <f>4.08/5</f>
        <v>0.81600000000000006</v>
      </c>
      <c r="W6099" s="14" t="s">
        <v>7777</v>
      </c>
      <c r="X6099" s="3">
        <v>3</v>
      </c>
      <c r="Z6099" s="23">
        <v>19</v>
      </c>
      <c r="AB6099" s="18">
        <f t="shared" si="190"/>
        <v>2006</v>
      </c>
      <c r="AC6099" s="22">
        <f t="shared" si="191"/>
        <v>0.78533333333333333</v>
      </c>
    </row>
    <row r="6100" spans="1:29">
      <c r="A6100" s="8" t="s">
        <v>2200</v>
      </c>
      <c r="B6100" s="17" t="s">
        <v>7748</v>
      </c>
      <c r="C6100" s="13">
        <v>38972</v>
      </c>
      <c r="D6100" s="13" t="s">
        <v>8465</v>
      </c>
      <c r="E6100" s="10" t="s">
        <v>73</v>
      </c>
      <c r="F6100" s="10" t="s">
        <v>1070</v>
      </c>
      <c r="G6100" s="11" t="s">
        <v>1983</v>
      </c>
      <c r="H6100" s="2" t="s">
        <v>56</v>
      </c>
      <c r="L6100" s="18">
        <v>0</v>
      </c>
      <c r="Q6100" s="18">
        <v>0</v>
      </c>
      <c r="U6100" s="22">
        <v>0.77</v>
      </c>
      <c r="V6100" s="22">
        <f>4/5</f>
        <v>0.8</v>
      </c>
      <c r="X6100" s="3">
        <v>3</v>
      </c>
      <c r="Z6100" s="23">
        <v>9</v>
      </c>
      <c r="AB6100" s="18">
        <f t="shared" si="190"/>
        <v>2006</v>
      </c>
      <c r="AC6100" s="22">
        <f t="shared" si="191"/>
        <v>0.72333333333333327</v>
      </c>
    </row>
    <row r="6101" spans="1:29">
      <c r="A6101" s="8" t="s">
        <v>5767</v>
      </c>
      <c r="B6101" s="17" t="s">
        <v>7758</v>
      </c>
      <c r="C6101" s="13">
        <v>38972</v>
      </c>
      <c r="D6101" s="13" t="s">
        <v>8465</v>
      </c>
      <c r="E6101" s="10" t="s">
        <v>228</v>
      </c>
      <c r="F6101" s="10" t="s">
        <v>5873</v>
      </c>
      <c r="H6101" s="2" t="s">
        <v>1061</v>
      </c>
      <c r="L6101" s="18">
        <v>0</v>
      </c>
      <c r="Q6101" s="18">
        <v>0</v>
      </c>
      <c r="U6101" s="22">
        <v>0.61</v>
      </c>
      <c r="V6101" s="22">
        <f>3.54/5</f>
        <v>0.70799999999999996</v>
      </c>
      <c r="X6101" s="3">
        <v>3</v>
      </c>
      <c r="Z6101" s="23">
        <v>8</v>
      </c>
      <c r="AB6101" s="18">
        <f t="shared" si="190"/>
        <v>2006</v>
      </c>
      <c r="AC6101" s="22">
        <f t="shared" si="191"/>
        <v>0.63933333333333342</v>
      </c>
    </row>
    <row r="6102" spans="1:29" ht="30">
      <c r="A6102" s="8" t="s">
        <v>7546</v>
      </c>
      <c r="B6102" s="17" t="s">
        <v>7748</v>
      </c>
      <c r="C6102" s="13">
        <v>38972</v>
      </c>
      <c r="D6102" s="13" t="s">
        <v>8465</v>
      </c>
      <c r="E6102" s="10" t="s">
        <v>1551</v>
      </c>
      <c r="F6102" s="10" t="s">
        <v>1970</v>
      </c>
      <c r="G6102" s="11" t="s">
        <v>1433</v>
      </c>
      <c r="H6102" s="2" t="s">
        <v>1204</v>
      </c>
      <c r="L6102" s="18">
        <v>0</v>
      </c>
      <c r="Q6102" s="18">
        <v>0</v>
      </c>
      <c r="U6102" s="22">
        <v>0.63</v>
      </c>
      <c r="V6102" s="22">
        <f>3.26/5</f>
        <v>0.65199999999999991</v>
      </c>
      <c r="X6102" s="3">
        <v>2</v>
      </c>
      <c r="Z6102" s="23">
        <v>7.5</v>
      </c>
      <c r="AB6102" s="18">
        <f t="shared" si="190"/>
        <v>2006</v>
      </c>
      <c r="AC6102" s="22">
        <f t="shared" si="191"/>
        <v>0.56066666666666665</v>
      </c>
    </row>
    <row r="6103" spans="1:29" ht="38.25">
      <c r="A6103" s="8" t="s">
        <v>14647</v>
      </c>
      <c r="B6103" s="17" t="s">
        <v>7762</v>
      </c>
      <c r="C6103" s="13">
        <v>38972</v>
      </c>
      <c r="D6103" s="13" t="s">
        <v>8465</v>
      </c>
      <c r="E6103" s="10" t="s">
        <v>72</v>
      </c>
      <c r="F6103" s="10" t="s">
        <v>62</v>
      </c>
      <c r="G6103" s="11" t="s">
        <v>11618</v>
      </c>
      <c r="H6103" s="2" t="s">
        <v>80</v>
      </c>
      <c r="L6103" s="18">
        <v>0</v>
      </c>
      <c r="Q6103" s="18">
        <v>0</v>
      </c>
      <c r="U6103" s="22">
        <v>0.51</v>
      </c>
      <c r="V6103" s="22">
        <f>3.71/5</f>
        <v>0.74199999999999999</v>
      </c>
      <c r="X6103" s="3">
        <v>2</v>
      </c>
      <c r="Z6103" s="23">
        <v>6.5</v>
      </c>
      <c r="AB6103" s="18">
        <f t="shared" si="190"/>
        <v>2006</v>
      </c>
      <c r="AC6103" s="22">
        <f t="shared" si="191"/>
        <v>0.55066666666666675</v>
      </c>
    </row>
    <row r="6104" spans="1:29">
      <c r="A6104" s="8" t="s">
        <v>10964</v>
      </c>
      <c r="B6104" s="17" t="s">
        <v>7748</v>
      </c>
      <c r="C6104" s="13">
        <v>38971</v>
      </c>
      <c r="D6104" s="13" t="s">
        <v>8465</v>
      </c>
      <c r="E6104" s="10" t="s">
        <v>86</v>
      </c>
      <c r="F6104" s="10" t="s">
        <v>1082</v>
      </c>
      <c r="G6104" s="11" t="s">
        <v>1874</v>
      </c>
      <c r="H6104" s="2" t="s">
        <v>255</v>
      </c>
      <c r="L6104" s="18">
        <v>0</v>
      </c>
      <c r="Q6104" s="18">
        <v>0</v>
      </c>
      <c r="U6104" s="22">
        <v>0.69</v>
      </c>
      <c r="V6104" s="22">
        <f>3.49/5</f>
        <v>0.69800000000000006</v>
      </c>
      <c r="X6104" s="3">
        <v>3</v>
      </c>
      <c r="Z6104" s="23">
        <v>5</v>
      </c>
      <c r="AB6104" s="18">
        <f t="shared" si="190"/>
        <v>2006</v>
      </c>
      <c r="AC6104" s="22">
        <f t="shared" si="191"/>
        <v>0.66266666666666663</v>
      </c>
    </row>
    <row r="6105" spans="1:29" ht="30">
      <c r="A6105" s="8" t="s">
        <v>8641</v>
      </c>
      <c r="B6105" s="17" t="s">
        <v>7800</v>
      </c>
      <c r="C6105" s="13">
        <v>38969</v>
      </c>
      <c r="D6105" s="13" t="s">
        <v>8465</v>
      </c>
      <c r="E6105" s="10" t="s">
        <v>1273</v>
      </c>
      <c r="F6105" s="10" t="s">
        <v>8642</v>
      </c>
      <c r="G6105" s="11" t="s">
        <v>8643</v>
      </c>
      <c r="H6105" s="2" t="s">
        <v>1334</v>
      </c>
      <c r="L6105" s="18">
        <v>1</v>
      </c>
      <c r="N6105" s="13">
        <v>43956</v>
      </c>
      <c r="O6105" s="29">
        <v>0</v>
      </c>
      <c r="P6105" s="18" t="s">
        <v>1107</v>
      </c>
      <c r="Q6105" s="18">
        <v>0</v>
      </c>
      <c r="U6105" s="22">
        <v>0.74</v>
      </c>
      <c r="V6105" s="22">
        <f>3.56/5</f>
        <v>0.71199999999999997</v>
      </c>
      <c r="W6105" s="14" t="s">
        <v>7777</v>
      </c>
      <c r="X6105" s="3">
        <v>2</v>
      </c>
      <c r="Z6105" s="23">
        <v>16</v>
      </c>
      <c r="AB6105" s="18">
        <f t="shared" si="190"/>
        <v>2006</v>
      </c>
      <c r="AC6105" s="22">
        <f t="shared" si="191"/>
        <v>0.61733333333333329</v>
      </c>
    </row>
    <row r="6106" spans="1:29" ht="30">
      <c r="A6106" s="8" t="s">
        <v>14605</v>
      </c>
      <c r="B6106" s="17" t="s">
        <v>7800</v>
      </c>
      <c r="C6106" s="13">
        <v>38966</v>
      </c>
      <c r="D6106" s="13" t="s">
        <v>8465</v>
      </c>
      <c r="E6106" s="10" t="s">
        <v>7243</v>
      </c>
      <c r="F6106" s="10" t="s">
        <v>14606</v>
      </c>
      <c r="H6106" s="2" t="s">
        <v>80</v>
      </c>
      <c r="L6106" s="18">
        <v>0</v>
      </c>
      <c r="Q6106" s="18">
        <v>0</v>
      </c>
      <c r="U6106" s="22">
        <v>0.28000000000000003</v>
      </c>
      <c r="V6106" s="22">
        <f>2.73/5</f>
        <v>0.54600000000000004</v>
      </c>
      <c r="X6106" s="3">
        <v>2</v>
      </c>
      <c r="Z6106" s="23">
        <v>4.5</v>
      </c>
      <c r="AB6106" s="18">
        <f t="shared" si="190"/>
        <v>2006</v>
      </c>
      <c r="AC6106" s="22">
        <f t="shared" si="191"/>
        <v>0.40866666666666668</v>
      </c>
    </row>
    <row r="6107" spans="1:29" ht="30">
      <c r="A6107" s="8" t="s">
        <v>6246</v>
      </c>
      <c r="B6107" s="17" t="s">
        <v>7762</v>
      </c>
      <c r="C6107" s="13">
        <v>38965</v>
      </c>
      <c r="D6107" s="13" t="s">
        <v>8465</v>
      </c>
      <c r="E6107" s="10" t="s">
        <v>1290</v>
      </c>
      <c r="F6107" s="10" t="s">
        <v>6264</v>
      </c>
      <c r="G6107" s="11" t="s">
        <v>6246</v>
      </c>
      <c r="H6107" s="2" t="s">
        <v>27</v>
      </c>
      <c r="L6107" s="18">
        <v>0</v>
      </c>
      <c r="Q6107" s="18">
        <v>0</v>
      </c>
      <c r="U6107" s="22">
        <v>0.85</v>
      </c>
      <c r="V6107" s="22">
        <f>3.94/5</f>
        <v>0.78800000000000003</v>
      </c>
      <c r="X6107" s="3">
        <v>4</v>
      </c>
      <c r="Z6107" s="23">
        <v>5.5</v>
      </c>
      <c r="AB6107" s="18">
        <f t="shared" si="190"/>
        <v>2006</v>
      </c>
      <c r="AC6107" s="22">
        <f t="shared" si="191"/>
        <v>0.81266666666666654</v>
      </c>
    </row>
    <row r="6108" spans="1:29">
      <c r="A6108" s="8" t="s">
        <v>5600</v>
      </c>
      <c r="B6108" s="17" t="s">
        <v>7758</v>
      </c>
      <c r="C6108" s="13">
        <v>38965</v>
      </c>
      <c r="D6108" s="13" t="s">
        <v>8465</v>
      </c>
      <c r="E6108" s="10" t="s">
        <v>455</v>
      </c>
      <c r="F6108" s="10" t="s">
        <v>455</v>
      </c>
      <c r="G6108" s="11" t="s">
        <v>5600</v>
      </c>
      <c r="H6108" s="2" t="s">
        <v>80</v>
      </c>
      <c r="L6108" s="18">
        <v>0</v>
      </c>
      <c r="Q6108" s="18">
        <v>0</v>
      </c>
      <c r="U6108" s="22">
        <v>0.78</v>
      </c>
      <c r="V6108" s="22">
        <f>4.03/5</f>
        <v>0.80600000000000005</v>
      </c>
      <c r="X6108" s="3">
        <v>3</v>
      </c>
      <c r="Z6108" s="23">
        <v>14.5</v>
      </c>
      <c r="AB6108" s="18">
        <f t="shared" si="190"/>
        <v>2006</v>
      </c>
      <c r="AC6108" s="22">
        <f t="shared" si="191"/>
        <v>0.72866666666666668</v>
      </c>
    </row>
    <row r="6109" spans="1:29" ht="30">
      <c r="A6109" s="8" t="s">
        <v>11567</v>
      </c>
      <c r="B6109" s="17" t="s">
        <v>7762</v>
      </c>
      <c r="C6109" s="13">
        <v>38965</v>
      </c>
      <c r="D6109" s="13" t="s">
        <v>8465</v>
      </c>
      <c r="E6109" s="10" t="s">
        <v>1551</v>
      </c>
      <c r="F6109" s="10" t="s">
        <v>479</v>
      </c>
      <c r="G6109" s="11" t="s">
        <v>447</v>
      </c>
      <c r="H6109" s="2" t="s">
        <v>153</v>
      </c>
      <c r="L6109" s="18">
        <v>0</v>
      </c>
      <c r="Q6109" s="18">
        <v>0</v>
      </c>
      <c r="U6109" s="22">
        <v>0.77</v>
      </c>
      <c r="V6109" s="22">
        <f>3.72/5</f>
        <v>0.74399999999999999</v>
      </c>
      <c r="X6109" s="3">
        <v>2</v>
      </c>
      <c r="Z6109" s="23">
        <v>2.5</v>
      </c>
      <c r="AB6109" s="18">
        <f t="shared" si="190"/>
        <v>2006</v>
      </c>
      <c r="AC6109" s="22">
        <f t="shared" si="191"/>
        <v>0.63800000000000001</v>
      </c>
    </row>
    <row r="6110" spans="1:29" ht="38.25">
      <c r="A6110" s="8" t="s">
        <v>12710</v>
      </c>
      <c r="B6110" s="17" t="s">
        <v>7748</v>
      </c>
      <c r="C6110" s="13">
        <v>38962</v>
      </c>
      <c r="D6110" s="13" t="s">
        <v>8463</v>
      </c>
      <c r="E6110" s="10" t="s">
        <v>86</v>
      </c>
      <c r="F6110" s="10" t="s">
        <v>2304</v>
      </c>
      <c r="G6110" s="11" t="s">
        <v>85</v>
      </c>
      <c r="H6110" s="2" t="s">
        <v>80</v>
      </c>
      <c r="K6110" s="18">
        <v>0</v>
      </c>
      <c r="L6110" s="18">
        <v>1</v>
      </c>
      <c r="M6110" s="14" t="s">
        <v>8462</v>
      </c>
      <c r="N6110" s="13">
        <v>43529</v>
      </c>
      <c r="O6110" s="29">
        <v>13.27</v>
      </c>
      <c r="P6110" s="18" t="s">
        <v>14</v>
      </c>
      <c r="Q6110" s="18">
        <v>0</v>
      </c>
      <c r="U6110" s="22">
        <v>0.66</v>
      </c>
      <c r="V6110" s="22">
        <f>3.67/5</f>
        <v>0.73399999999999999</v>
      </c>
      <c r="X6110" s="3">
        <v>1</v>
      </c>
      <c r="Z6110" s="23">
        <v>29.5</v>
      </c>
      <c r="AB6110" s="18">
        <f t="shared" si="190"/>
        <v>2006</v>
      </c>
      <c r="AC6110" s="22">
        <f t="shared" si="191"/>
        <v>0.53133333333333332</v>
      </c>
    </row>
    <row r="6111" spans="1:29" ht="30">
      <c r="A6111" s="8" t="s">
        <v>10373</v>
      </c>
      <c r="B6111" s="17" t="s">
        <v>7758</v>
      </c>
      <c r="C6111" s="13">
        <v>38960</v>
      </c>
      <c r="D6111" s="13" t="s">
        <v>8463</v>
      </c>
      <c r="E6111" s="10" t="s">
        <v>3568</v>
      </c>
      <c r="F6111" s="10" t="s">
        <v>1505</v>
      </c>
      <c r="G6111" s="11" t="s">
        <v>10369</v>
      </c>
      <c r="H6111" s="2" t="s">
        <v>80</v>
      </c>
      <c r="K6111" s="18">
        <v>0</v>
      </c>
      <c r="L6111" s="18">
        <v>0</v>
      </c>
      <c r="Q6111" s="18">
        <v>0</v>
      </c>
      <c r="V6111" s="22">
        <f>4.07/5</f>
        <v>0.81400000000000006</v>
      </c>
      <c r="X6111" s="3">
        <v>2</v>
      </c>
      <c r="Z6111" s="23">
        <v>10</v>
      </c>
      <c r="AB6111" s="18">
        <f t="shared" si="190"/>
        <v>2006</v>
      </c>
      <c r="AC6111" s="22">
        <f t="shared" si="191"/>
        <v>0.60699999999999998</v>
      </c>
    </row>
    <row r="6112" spans="1:29" ht="25.5">
      <c r="A6112" s="8" t="s">
        <v>5804</v>
      </c>
      <c r="B6112" s="17" t="s">
        <v>7758</v>
      </c>
      <c r="C6112" s="13">
        <v>38958</v>
      </c>
      <c r="D6112" s="13" t="s">
        <v>8465</v>
      </c>
      <c r="E6112" s="10" t="s">
        <v>1062</v>
      </c>
      <c r="F6112" s="10" t="s">
        <v>2285</v>
      </c>
      <c r="G6112" s="11" t="s">
        <v>2302</v>
      </c>
      <c r="H6112" s="2" t="s">
        <v>75</v>
      </c>
      <c r="L6112" s="18">
        <v>0</v>
      </c>
      <c r="Q6112" s="18">
        <v>0</v>
      </c>
      <c r="U6112" s="22">
        <v>0.85</v>
      </c>
      <c r="V6112" s="22">
        <f>4.17/5</f>
        <v>0.83399999999999996</v>
      </c>
      <c r="X6112" s="3">
        <v>4</v>
      </c>
      <c r="Z6112" s="23">
        <v>33.5</v>
      </c>
      <c r="AB6112" s="18">
        <f t="shared" si="190"/>
        <v>2006</v>
      </c>
      <c r="AC6112" s="22">
        <f t="shared" si="191"/>
        <v>0.82799999999999996</v>
      </c>
    </row>
    <row r="6113" spans="1:29" ht="25.5">
      <c r="A6113" s="8" t="s">
        <v>5788</v>
      </c>
      <c r="B6113" s="17" t="s">
        <v>7758</v>
      </c>
      <c r="C6113" s="13">
        <v>38958</v>
      </c>
      <c r="D6113" s="13" t="s">
        <v>8465</v>
      </c>
      <c r="E6113" s="10" t="s">
        <v>1541</v>
      </c>
      <c r="F6113" s="10" t="s">
        <v>1145</v>
      </c>
      <c r="G6113" s="11" t="s">
        <v>1146</v>
      </c>
      <c r="H6113" s="2" t="s">
        <v>149</v>
      </c>
      <c r="L6113" s="18">
        <v>0</v>
      </c>
      <c r="Q6113" s="18">
        <v>0</v>
      </c>
      <c r="U6113" s="22">
        <v>0.83</v>
      </c>
      <c r="V6113" s="22">
        <f>4.2/5</f>
        <v>0.84000000000000008</v>
      </c>
      <c r="X6113" s="3">
        <v>4</v>
      </c>
      <c r="Z6113" s="23">
        <v>35.5</v>
      </c>
      <c r="AB6113" s="18">
        <f t="shared" si="190"/>
        <v>2006</v>
      </c>
      <c r="AC6113" s="22">
        <f t="shared" si="191"/>
        <v>0.82333333333333325</v>
      </c>
    </row>
    <row r="6114" spans="1:29">
      <c r="A6114" s="8" t="s">
        <v>5945</v>
      </c>
      <c r="B6114" s="17" t="s">
        <v>7759</v>
      </c>
      <c r="C6114" s="13">
        <v>38958</v>
      </c>
      <c r="D6114" s="13" t="s">
        <v>8465</v>
      </c>
      <c r="E6114" s="10" t="s">
        <v>1047</v>
      </c>
      <c r="F6114" s="10" t="s">
        <v>1580</v>
      </c>
      <c r="H6114" s="2" t="s">
        <v>149</v>
      </c>
      <c r="L6114" s="18">
        <v>1</v>
      </c>
      <c r="M6114" s="14" t="s">
        <v>8462</v>
      </c>
      <c r="N6114" s="13">
        <v>43414</v>
      </c>
      <c r="O6114" s="29">
        <v>14.99</v>
      </c>
      <c r="P6114" s="18" t="s">
        <v>14</v>
      </c>
      <c r="Q6114" s="18">
        <v>0</v>
      </c>
      <c r="U6114" s="22">
        <v>0.67</v>
      </c>
      <c r="V6114" s="22">
        <f>3.36/5</f>
        <v>0.67199999999999993</v>
      </c>
      <c r="X6114" s="3">
        <v>4</v>
      </c>
      <c r="Z6114" s="23">
        <v>23.5</v>
      </c>
      <c r="AB6114" s="18">
        <f t="shared" si="190"/>
        <v>2006</v>
      </c>
      <c r="AC6114" s="22">
        <f t="shared" si="191"/>
        <v>0.71400000000000008</v>
      </c>
    </row>
    <row r="6115" spans="1:29">
      <c r="A6115" s="8" t="s">
        <v>1656</v>
      </c>
      <c r="B6115" s="17" t="s">
        <v>7765</v>
      </c>
      <c r="C6115" s="13">
        <v>38958</v>
      </c>
      <c r="D6115" s="13" t="s">
        <v>8465</v>
      </c>
      <c r="E6115" s="10" t="s">
        <v>1342</v>
      </c>
      <c r="F6115" s="10" t="s">
        <v>1655</v>
      </c>
      <c r="G6115" s="11" t="s">
        <v>1656</v>
      </c>
      <c r="H6115" s="2" t="s">
        <v>80</v>
      </c>
      <c r="L6115" s="18">
        <v>1</v>
      </c>
      <c r="M6115" s="14" t="s">
        <v>8462</v>
      </c>
      <c r="N6115" s="13">
        <v>43448</v>
      </c>
      <c r="O6115" s="29">
        <v>7.99</v>
      </c>
      <c r="P6115" s="18" t="s">
        <v>14</v>
      </c>
      <c r="Q6115" s="18">
        <v>0</v>
      </c>
      <c r="U6115" s="22">
        <v>0.82</v>
      </c>
      <c r="V6115" s="22">
        <f>3.74/5</f>
        <v>0.748</v>
      </c>
      <c r="X6115" s="3">
        <v>3</v>
      </c>
      <c r="Z6115" s="23">
        <v>17</v>
      </c>
      <c r="AB6115" s="18">
        <f t="shared" si="190"/>
        <v>2006</v>
      </c>
      <c r="AC6115" s="22">
        <f t="shared" si="191"/>
        <v>0.72266666666666668</v>
      </c>
    </row>
    <row r="6116" spans="1:29" ht="30">
      <c r="A6116" s="8" t="s">
        <v>11528</v>
      </c>
      <c r="B6116" s="17" t="s">
        <v>7762</v>
      </c>
      <c r="C6116" s="13">
        <v>38958</v>
      </c>
      <c r="D6116" s="13" t="s">
        <v>8465</v>
      </c>
      <c r="E6116" s="10" t="s">
        <v>3848</v>
      </c>
      <c r="F6116" s="10" t="s">
        <v>8147</v>
      </c>
      <c r="G6116" s="11" t="s">
        <v>6073</v>
      </c>
      <c r="H6116" s="2" t="s">
        <v>1054</v>
      </c>
      <c r="L6116" s="18">
        <v>0</v>
      </c>
      <c r="Q6116" s="18">
        <v>0</v>
      </c>
      <c r="U6116" s="22">
        <v>0.52</v>
      </c>
      <c r="V6116" s="22">
        <f>2.63/5</f>
        <v>0.52600000000000002</v>
      </c>
      <c r="X6116" s="3">
        <v>2</v>
      </c>
      <c r="Z6116" s="23">
        <v>6</v>
      </c>
      <c r="AB6116" s="18">
        <f t="shared" si="190"/>
        <v>2006</v>
      </c>
      <c r="AC6116" s="22">
        <f t="shared" si="191"/>
        <v>0.48200000000000004</v>
      </c>
    </row>
    <row r="6117" spans="1:29" ht="30">
      <c r="A6117" s="8" t="s">
        <v>13844</v>
      </c>
      <c r="B6117" s="17" t="s">
        <v>7762</v>
      </c>
      <c r="C6117" s="13">
        <v>38953</v>
      </c>
      <c r="D6117" s="13" t="s">
        <v>8463</v>
      </c>
      <c r="E6117" s="10" t="s">
        <v>1580</v>
      </c>
      <c r="F6117" s="10" t="s">
        <v>1580</v>
      </c>
      <c r="G6117" s="11" t="s">
        <v>2977</v>
      </c>
      <c r="H6117" s="2" t="s">
        <v>171</v>
      </c>
      <c r="K6117" s="18">
        <v>0</v>
      </c>
      <c r="L6117" s="18">
        <v>0</v>
      </c>
      <c r="Q6117" s="18">
        <v>0</v>
      </c>
      <c r="V6117" s="22">
        <f>3.44/5</f>
        <v>0.68799999999999994</v>
      </c>
      <c r="X6117" s="3">
        <v>3</v>
      </c>
      <c r="AB6117" s="18">
        <f t="shared" si="190"/>
        <v>2006</v>
      </c>
      <c r="AC6117" s="22">
        <f t="shared" si="191"/>
        <v>0.64399999999999991</v>
      </c>
    </row>
    <row r="6118" spans="1:29">
      <c r="A6118" s="8" t="s">
        <v>5218</v>
      </c>
      <c r="B6118" s="17" t="s">
        <v>7800</v>
      </c>
      <c r="C6118" s="13">
        <v>38951</v>
      </c>
      <c r="D6118" s="13" t="s">
        <v>8465</v>
      </c>
      <c r="E6118" s="10" t="s">
        <v>3453</v>
      </c>
      <c r="F6118" s="10" t="s">
        <v>5219</v>
      </c>
      <c r="G6118" s="11" t="s">
        <v>5218</v>
      </c>
      <c r="H6118" s="2" t="s">
        <v>69</v>
      </c>
      <c r="L6118" s="18">
        <v>1</v>
      </c>
      <c r="N6118" s="13">
        <v>41438</v>
      </c>
      <c r="P6118" s="18" t="s">
        <v>1107</v>
      </c>
      <c r="Q6118" s="18">
        <v>0</v>
      </c>
      <c r="U6118" s="22">
        <v>0.68</v>
      </c>
      <c r="V6118" s="22">
        <f>3.43/5</f>
        <v>0.68600000000000005</v>
      </c>
      <c r="W6118" s="14" t="s">
        <v>7777</v>
      </c>
      <c r="X6118" s="3">
        <v>2</v>
      </c>
      <c r="AB6118" s="18">
        <f t="shared" si="190"/>
        <v>2006</v>
      </c>
      <c r="AC6118" s="22">
        <f t="shared" si="191"/>
        <v>0.58866666666666667</v>
      </c>
    </row>
    <row r="6119" spans="1:29" ht="30">
      <c r="A6119" s="8" t="s">
        <v>12359</v>
      </c>
      <c r="B6119" s="17" t="s">
        <v>7740</v>
      </c>
      <c r="C6119" s="13">
        <v>38951</v>
      </c>
      <c r="D6119" s="13" t="s">
        <v>8465</v>
      </c>
      <c r="E6119" s="10" t="s">
        <v>1509</v>
      </c>
      <c r="F6119" s="10" t="s">
        <v>12360</v>
      </c>
      <c r="G6119" s="11" t="s">
        <v>4639</v>
      </c>
      <c r="H6119" s="2" t="s">
        <v>150</v>
      </c>
      <c r="L6119" s="18">
        <v>0</v>
      </c>
      <c r="Q6119" s="18">
        <v>0</v>
      </c>
      <c r="U6119" s="22">
        <v>0.56999999999999995</v>
      </c>
      <c r="V6119" s="22">
        <f>3.57/5</f>
        <v>0.71399999999999997</v>
      </c>
      <c r="X6119" s="3">
        <v>2</v>
      </c>
      <c r="Z6119" s="23">
        <v>2</v>
      </c>
      <c r="AB6119" s="18">
        <f t="shared" si="190"/>
        <v>2006</v>
      </c>
      <c r="AC6119" s="22">
        <f t="shared" si="191"/>
        <v>0.56133333333333324</v>
      </c>
    </row>
    <row r="6120" spans="1:29">
      <c r="A6120" s="8" t="s">
        <v>13298</v>
      </c>
      <c r="B6120" s="17" t="s">
        <v>7748</v>
      </c>
      <c r="C6120" s="13">
        <v>38950</v>
      </c>
      <c r="D6120" s="13" t="s">
        <v>8465</v>
      </c>
      <c r="E6120" s="10" t="s">
        <v>66</v>
      </c>
      <c r="F6120" s="10" t="s">
        <v>54</v>
      </c>
      <c r="H6120" s="2" t="s">
        <v>7594</v>
      </c>
      <c r="L6120" s="18">
        <v>0</v>
      </c>
      <c r="Q6120" s="18">
        <v>0</v>
      </c>
      <c r="U6120" s="22">
        <v>0.46</v>
      </c>
      <c r="V6120" s="22">
        <f>3.44/5</f>
        <v>0.68799999999999994</v>
      </c>
      <c r="X6120" s="3">
        <v>2</v>
      </c>
      <c r="AB6120" s="18">
        <f t="shared" si="190"/>
        <v>2006</v>
      </c>
      <c r="AC6120" s="22">
        <f t="shared" si="191"/>
        <v>0.51600000000000001</v>
      </c>
    </row>
    <row r="6121" spans="1:29">
      <c r="A6121" s="8" t="s">
        <v>7433</v>
      </c>
      <c r="B6121" s="17" t="s">
        <v>7748</v>
      </c>
      <c r="C6121" s="13">
        <v>38950</v>
      </c>
      <c r="D6121" s="13" t="s">
        <v>8465</v>
      </c>
      <c r="E6121" s="10" t="s">
        <v>86</v>
      </c>
      <c r="F6121" s="10" t="s">
        <v>2348</v>
      </c>
      <c r="G6121" s="11" t="s">
        <v>3030</v>
      </c>
      <c r="H6121" s="2" t="s">
        <v>80</v>
      </c>
      <c r="L6121" s="18">
        <v>0</v>
      </c>
      <c r="Q6121" s="18">
        <v>0</v>
      </c>
      <c r="U6121" s="22">
        <v>0.34</v>
      </c>
      <c r="V6121" s="22">
        <f>2.81/5</f>
        <v>0.56200000000000006</v>
      </c>
      <c r="X6121" s="3">
        <v>2</v>
      </c>
      <c r="Z6121" s="23">
        <v>7</v>
      </c>
      <c r="AB6121" s="18">
        <f t="shared" si="190"/>
        <v>2006</v>
      </c>
      <c r="AC6121" s="22">
        <f t="shared" si="191"/>
        <v>0.434</v>
      </c>
    </row>
    <row r="6122" spans="1:29">
      <c r="A6122" s="8" t="s">
        <v>15341</v>
      </c>
      <c r="B6122" s="17" t="s">
        <v>7765</v>
      </c>
      <c r="C6122" s="13">
        <v>38944</v>
      </c>
      <c r="D6122" s="13" t="s">
        <v>8465</v>
      </c>
      <c r="E6122" s="10" t="s">
        <v>3740</v>
      </c>
      <c r="F6122" s="10" t="s">
        <v>2139</v>
      </c>
      <c r="G6122" s="11" t="s">
        <v>15341</v>
      </c>
      <c r="H6122" s="2" t="s">
        <v>1059</v>
      </c>
      <c r="L6122" s="18">
        <v>0</v>
      </c>
      <c r="Q6122" s="18">
        <v>0</v>
      </c>
      <c r="U6122" s="22">
        <v>0.61</v>
      </c>
      <c r="V6122" s="22">
        <f>3.28/5</f>
        <v>0.65599999999999992</v>
      </c>
      <c r="X6122" s="3">
        <v>3</v>
      </c>
      <c r="Y6122" s="18">
        <v>1</v>
      </c>
      <c r="Z6122" s="23">
        <v>5</v>
      </c>
      <c r="AB6122" s="18">
        <f t="shared" si="190"/>
        <v>2006</v>
      </c>
      <c r="AC6122" s="22">
        <f t="shared" si="191"/>
        <v>0.622</v>
      </c>
    </row>
    <row r="6123" spans="1:29">
      <c r="A6123" s="8" t="s">
        <v>8415</v>
      </c>
      <c r="B6123" s="17" t="s">
        <v>7748</v>
      </c>
      <c r="C6123" s="13">
        <v>38944</v>
      </c>
      <c r="D6123" s="13" t="s">
        <v>8465</v>
      </c>
      <c r="E6123" s="10" t="s">
        <v>228</v>
      </c>
      <c r="F6123" s="10" t="s">
        <v>8416</v>
      </c>
      <c r="H6123" s="2" t="s">
        <v>1377</v>
      </c>
      <c r="L6123" s="18">
        <v>0</v>
      </c>
      <c r="Q6123" s="18">
        <v>0</v>
      </c>
      <c r="U6123" s="22">
        <v>0.56999999999999995</v>
      </c>
      <c r="V6123" s="22">
        <f>2.91/5</f>
        <v>0.58200000000000007</v>
      </c>
      <c r="X6123" s="3">
        <v>3</v>
      </c>
      <c r="Z6123" s="23">
        <v>8.5</v>
      </c>
      <c r="AB6123" s="18">
        <f t="shared" si="190"/>
        <v>2006</v>
      </c>
      <c r="AC6123" s="22">
        <f t="shared" si="191"/>
        <v>0.58400000000000007</v>
      </c>
    </row>
    <row r="6124" spans="1:29">
      <c r="A6124" s="8" t="s">
        <v>9329</v>
      </c>
      <c r="B6124" s="17" t="s">
        <v>7764</v>
      </c>
      <c r="C6124" s="13">
        <v>38944</v>
      </c>
      <c r="D6124" s="13" t="s">
        <v>8465</v>
      </c>
      <c r="E6124" s="10" t="s">
        <v>4210</v>
      </c>
      <c r="F6124" s="10" t="s">
        <v>9330</v>
      </c>
      <c r="G6124" s="11" t="s">
        <v>9329</v>
      </c>
      <c r="H6124" s="2" t="s">
        <v>21</v>
      </c>
      <c r="L6124" s="18">
        <v>0</v>
      </c>
      <c r="Q6124" s="18">
        <v>0</v>
      </c>
      <c r="U6124" s="22">
        <v>0.7</v>
      </c>
      <c r="V6124" s="22">
        <f>3.45/5</f>
        <v>0.69000000000000006</v>
      </c>
      <c r="X6124" s="3">
        <v>2</v>
      </c>
      <c r="Y6124" s="18">
        <v>1</v>
      </c>
      <c r="AB6124" s="18">
        <f t="shared" si="190"/>
        <v>2006</v>
      </c>
      <c r="AC6124" s="22">
        <f t="shared" si="191"/>
        <v>0.59666666666666668</v>
      </c>
    </row>
    <row r="6125" spans="1:29" ht="30">
      <c r="A6125" s="8" t="s">
        <v>2069</v>
      </c>
      <c r="B6125" s="17" t="s">
        <v>7747</v>
      </c>
      <c r="C6125" s="13">
        <v>38937</v>
      </c>
      <c r="D6125" s="13" t="s">
        <v>8465</v>
      </c>
      <c r="E6125" s="10" t="s">
        <v>228</v>
      </c>
      <c r="F6125" s="10" t="s">
        <v>470</v>
      </c>
      <c r="G6125" s="11" t="s">
        <v>299</v>
      </c>
      <c r="H6125" s="2" t="s">
        <v>75</v>
      </c>
      <c r="L6125" s="18">
        <v>0</v>
      </c>
      <c r="Q6125" s="18">
        <v>0</v>
      </c>
      <c r="U6125" s="22">
        <v>0.72</v>
      </c>
      <c r="V6125" s="22">
        <f>4.02/5</f>
        <v>0.80399999999999994</v>
      </c>
      <c r="X6125" s="3">
        <v>4</v>
      </c>
      <c r="Z6125" s="23">
        <v>30</v>
      </c>
      <c r="AB6125" s="18">
        <f t="shared" si="190"/>
        <v>2006</v>
      </c>
      <c r="AC6125" s="22">
        <f t="shared" si="191"/>
        <v>0.77466666666666661</v>
      </c>
    </row>
    <row r="6126" spans="1:29">
      <c r="A6126" s="8" t="s">
        <v>5741</v>
      </c>
      <c r="B6126" s="17" t="s">
        <v>7758</v>
      </c>
      <c r="C6126" s="13">
        <v>38933</v>
      </c>
      <c r="D6126" s="13" t="s">
        <v>8467</v>
      </c>
      <c r="E6126" s="10" t="s">
        <v>1290</v>
      </c>
      <c r="F6126" s="10" t="s">
        <v>5867</v>
      </c>
      <c r="G6126" s="11" t="s">
        <v>5840</v>
      </c>
      <c r="H6126" s="2" t="s">
        <v>1061</v>
      </c>
      <c r="L6126" s="18">
        <v>0</v>
      </c>
      <c r="Q6126" s="18">
        <v>0</v>
      </c>
      <c r="U6126" s="22">
        <v>0.74</v>
      </c>
      <c r="V6126" s="22">
        <f>4.06/5</f>
        <v>0.81199999999999994</v>
      </c>
      <c r="X6126" s="3">
        <v>3</v>
      </c>
      <c r="Z6126" s="23">
        <v>19</v>
      </c>
      <c r="AB6126" s="18">
        <f t="shared" si="190"/>
        <v>2006</v>
      </c>
      <c r="AC6126" s="22">
        <f t="shared" si="191"/>
        <v>0.71733333333333338</v>
      </c>
    </row>
    <row r="6127" spans="1:29" ht="30">
      <c r="A6127" s="8" t="s">
        <v>2028</v>
      </c>
      <c r="B6127" s="17" t="s">
        <v>7747</v>
      </c>
      <c r="C6127" s="13">
        <v>38932</v>
      </c>
      <c r="D6127" s="13" t="s">
        <v>8463</v>
      </c>
      <c r="E6127" s="10" t="s">
        <v>86</v>
      </c>
      <c r="F6127" s="10" t="s">
        <v>1515</v>
      </c>
      <c r="G6127" s="11" t="s">
        <v>1547</v>
      </c>
      <c r="H6127" s="2" t="s">
        <v>1220</v>
      </c>
      <c r="K6127" s="18">
        <v>2</v>
      </c>
      <c r="L6127" s="18">
        <v>0</v>
      </c>
      <c r="Q6127" s="18">
        <v>0</v>
      </c>
      <c r="U6127" s="22">
        <v>0.85</v>
      </c>
      <c r="V6127" s="22">
        <f>4.15/5</f>
        <v>0.83000000000000007</v>
      </c>
      <c r="X6127" s="3">
        <v>3</v>
      </c>
      <c r="Z6127" s="23">
        <v>4</v>
      </c>
      <c r="AB6127" s="18">
        <f t="shared" si="190"/>
        <v>2006</v>
      </c>
      <c r="AC6127" s="22">
        <f t="shared" si="191"/>
        <v>0.76000000000000012</v>
      </c>
    </row>
    <row r="6128" spans="1:29" ht="25.5">
      <c r="A6128" s="8" t="s">
        <v>6743</v>
      </c>
      <c r="B6128" s="17" t="s">
        <v>7758</v>
      </c>
      <c r="C6128" s="13">
        <v>38930</v>
      </c>
      <c r="D6128" s="13" t="s">
        <v>8465</v>
      </c>
      <c r="E6128" s="10" t="s">
        <v>455</v>
      </c>
      <c r="F6128" s="10" t="s">
        <v>1309</v>
      </c>
      <c r="G6128" s="11" t="s">
        <v>1065</v>
      </c>
      <c r="H6128" s="2" t="s">
        <v>1040</v>
      </c>
      <c r="L6128" s="18">
        <v>0</v>
      </c>
      <c r="Q6128" s="18">
        <v>0</v>
      </c>
      <c r="U6128" s="22">
        <v>0.55000000000000004</v>
      </c>
      <c r="V6128" s="22">
        <f>2.78/5</f>
        <v>0.55599999999999994</v>
      </c>
      <c r="X6128" s="3">
        <v>2</v>
      </c>
      <c r="Z6128" s="23">
        <v>7</v>
      </c>
      <c r="AB6128" s="18">
        <f t="shared" si="190"/>
        <v>2006</v>
      </c>
      <c r="AC6128" s="22">
        <f t="shared" si="191"/>
        <v>0.50199999999999989</v>
      </c>
    </row>
    <row r="6129" spans="1:29">
      <c r="A6129" s="8" t="s">
        <v>9337</v>
      </c>
      <c r="B6129" s="17" t="s">
        <v>7758</v>
      </c>
      <c r="C6129" s="13">
        <v>38925</v>
      </c>
      <c r="D6129" s="13" t="s">
        <v>8463</v>
      </c>
      <c r="E6129" s="10" t="s">
        <v>73</v>
      </c>
      <c r="F6129" s="10" t="s">
        <v>73</v>
      </c>
      <c r="G6129" s="11" t="s">
        <v>8133</v>
      </c>
      <c r="H6129" s="2" t="s">
        <v>153</v>
      </c>
      <c r="K6129" s="18">
        <v>0</v>
      </c>
      <c r="L6129" s="18">
        <v>0</v>
      </c>
      <c r="Q6129" s="18">
        <v>0</v>
      </c>
      <c r="V6129" s="22">
        <f>4.24/5</f>
        <v>0.84800000000000009</v>
      </c>
      <c r="X6129" s="3">
        <v>2</v>
      </c>
      <c r="Z6129" s="23">
        <v>11</v>
      </c>
      <c r="AB6129" s="18">
        <f t="shared" si="190"/>
        <v>2006</v>
      </c>
      <c r="AC6129" s="22">
        <f t="shared" si="191"/>
        <v>0.62400000000000011</v>
      </c>
    </row>
    <row r="6130" spans="1:29" ht="30">
      <c r="A6130" s="8" t="s">
        <v>8081</v>
      </c>
      <c r="B6130" s="17" t="s">
        <v>7762</v>
      </c>
      <c r="C6130" s="13">
        <v>38923</v>
      </c>
      <c r="D6130" s="13" t="s">
        <v>8465</v>
      </c>
      <c r="E6130" s="10" t="s">
        <v>1509</v>
      </c>
      <c r="F6130" s="10" t="s">
        <v>461</v>
      </c>
      <c r="G6130" s="11" t="s">
        <v>8076</v>
      </c>
      <c r="H6130" s="2" t="s">
        <v>459</v>
      </c>
      <c r="L6130" s="18">
        <v>0</v>
      </c>
      <c r="Q6130" s="18">
        <v>0</v>
      </c>
      <c r="U6130" s="22">
        <v>0.88270000000000004</v>
      </c>
      <c r="V6130" s="22">
        <f>4.21/5</f>
        <v>0.84199999999999997</v>
      </c>
      <c r="X6130" s="3">
        <v>2</v>
      </c>
      <c r="Z6130" s="23">
        <v>3.5</v>
      </c>
      <c r="AB6130" s="18">
        <f t="shared" si="190"/>
        <v>2006</v>
      </c>
      <c r="AC6130" s="22">
        <f t="shared" si="191"/>
        <v>0.70823333333333327</v>
      </c>
    </row>
    <row r="6131" spans="1:29" ht="25.5">
      <c r="A6131" s="8" t="s">
        <v>4997</v>
      </c>
      <c r="B6131" s="17" t="s">
        <v>7800</v>
      </c>
      <c r="C6131" s="13">
        <v>38922</v>
      </c>
      <c r="D6131" s="13" t="s">
        <v>8465</v>
      </c>
      <c r="E6131" s="10" t="s">
        <v>3310</v>
      </c>
      <c r="F6131" s="10" t="s">
        <v>4993</v>
      </c>
      <c r="G6131" s="11" t="s">
        <v>4994</v>
      </c>
      <c r="H6131" s="2" t="s">
        <v>3123</v>
      </c>
      <c r="L6131" s="18">
        <v>1</v>
      </c>
      <c r="N6131" s="13">
        <v>41341</v>
      </c>
      <c r="O6131" s="29">
        <v>0</v>
      </c>
      <c r="P6131" s="18" t="s">
        <v>1107</v>
      </c>
      <c r="Q6131" s="18">
        <v>0</v>
      </c>
      <c r="U6131" s="22">
        <v>0.83</v>
      </c>
      <c r="V6131" s="22">
        <f>4.01/5</f>
        <v>0.80199999999999994</v>
      </c>
      <c r="W6131" s="14" t="s">
        <v>7777</v>
      </c>
      <c r="X6131" s="3">
        <v>3</v>
      </c>
      <c r="Z6131" s="23">
        <v>7</v>
      </c>
      <c r="AB6131" s="18">
        <f t="shared" si="190"/>
        <v>2006</v>
      </c>
      <c r="AC6131" s="22">
        <f t="shared" si="191"/>
        <v>0.74399999999999988</v>
      </c>
    </row>
    <row r="6132" spans="1:29" ht="30">
      <c r="A6132" s="8" t="s">
        <v>13843</v>
      </c>
      <c r="B6132" s="17" t="s">
        <v>7762</v>
      </c>
      <c r="C6132" s="13">
        <v>38918</v>
      </c>
      <c r="D6132" s="13" t="s">
        <v>8463</v>
      </c>
      <c r="E6132" s="10" t="s">
        <v>1580</v>
      </c>
      <c r="F6132" s="10" t="s">
        <v>1580</v>
      </c>
      <c r="G6132" s="11" t="s">
        <v>2977</v>
      </c>
      <c r="H6132" s="2" t="s">
        <v>171</v>
      </c>
      <c r="K6132" s="18">
        <v>0</v>
      </c>
      <c r="L6132" s="18">
        <v>0</v>
      </c>
      <c r="Q6132" s="18">
        <v>0</v>
      </c>
      <c r="V6132" s="22">
        <f>3.08/5</f>
        <v>0.61599999999999999</v>
      </c>
      <c r="X6132" s="3">
        <v>3</v>
      </c>
      <c r="AB6132" s="18">
        <f t="shared" si="190"/>
        <v>2006</v>
      </c>
      <c r="AC6132" s="22">
        <f t="shared" si="191"/>
        <v>0.60799999999999998</v>
      </c>
    </row>
    <row r="6133" spans="1:29">
      <c r="A6133" s="8" t="s">
        <v>11689</v>
      </c>
      <c r="B6133" s="17" t="s">
        <v>7765</v>
      </c>
      <c r="C6133" s="13">
        <v>38917</v>
      </c>
      <c r="D6133" s="13" t="s">
        <v>8465</v>
      </c>
      <c r="E6133" s="10" t="s">
        <v>3737</v>
      </c>
      <c r="F6133" s="10" t="s">
        <v>6504</v>
      </c>
      <c r="H6133" s="2" t="s">
        <v>64</v>
      </c>
      <c r="L6133" s="18">
        <v>1</v>
      </c>
      <c r="N6133" s="13">
        <v>44682</v>
      </c>
      <c r="O6133" s="29">
        <v>0</v>
      </c>
      <c r="P6133" s="18" t="s">
        <v>1107</v>
      </c>
      <c r="Q6133" s="18">
        <v>0</v>
      </c>
      <c r="U6133" s="22">
        <v>0.8</v>
      </c>
      <c r="V6133" s="22">
        <f>3.62/5</f>
        <v>0.72399999999999998</v>
      </c>
      <c r="W6133" s="14" t="s">
        <v>11393</v>
      </c>
      <c r="X6133" s="3">
        <v>3</v>
      </c>
      <c r="Z6133" s="23">
        <v>5</v>
      </c>
      <c r="AB6133" s="18">
        <f t="shared" si="190"/>
        <v>2006</v>
      </c>
      <c r="AC6133" s="22">
        <f t="shared" si="191"/>
        <v>0.70800000000000007</v>
      </c>
    </row>
    <row r="6134" spans="1:29" ht="30">
      <c r="A6134" s="8" t="s">
        <v>10116</v>
      </c>
      <c r="B6134" s="17" t="s">
        <v>7762</v>
      </c>
      <c r="C6134" s="13">
        <v>38916</v>
      </c>
      <c r="D6134" s="13" t="s">
        <v>8465</v>
      </c>
      <c r="E6134" s="10" t="s">
        <v>1062</v>
      </c>
      <c r="F6134" s="10" t="s">
        <v>9283</v>
      </c>
      <c r="H6134" s="2" t="s">
        <v>149</v>
      </c>
      <c r="L6134" s="18">
        <v>0</v>
      </c>
      <c r="Q6134" s="18">
        <v>0</v>
      </c>
      <c r="U6134" s="22">
        <v>0.6</v>
      </c>
      <c r="V6134" s="22">
        <f>2.93/5</f>
        <v>0.58600000000000008</v>
      </c>
      <c r="X6134" s="3">
        <v>3</v>
      </c>
      <c r="Z6134" s="23">
        <v>28.5</v>
      </c>
      <c r="AB6134" s="18">
        <f t="shared" si="190"/>
        <v>2006</v>
      </c>
      <c r="AC6134" s="22">
        <f t="shared" si="191"/>
        <v>0.59533333333333338</v>
      </c>
    </row>
    <row r="6135" spans="1:29" ht="30">
      <c r="A6135" s="8" t="s">
        <v>9104</v>
      </c>
      <c r="B6135" s="17" t="s">
        <v>7762</v>
      </c>
      <c r="C6135" s="13">
        <v>38916</v>
      </c>
      <c r="D6135" s="13" t="s">
        <v>8465</v>
      </c>
      <c r="E6135" s="10" t="s">
        <v>3848</v>
      </c>
      <c r="F6135" s="10" t="s">
        <v>3152</v>
      </c>
      <c r="G6135" s="11" t="s">
        <v>9105</v>
      </c>
      <c r="H6135" s="2" t="s">
        <v>1168</v>
      </c>
      <c r="L6135" s="18">
        <v>0</v>
      </c>
      <c r="Q6135" s="18">
        <v>0</v>
      </c>
      <c r="U6135" s="22">
        <v>0.63</v>
      </c>
      <c r="V6135" s="22">
        <f>3.48/5</f>
        <v>0.69599999999999995</v>
      </c>
      <c r="X6135" s="3">
        <v>2</v>
      </c>
      <c r="Z6135" s="23">
        <v>2.5</v>
      </c>
      <c r="AB6135" s="18">
        <f t="shared" si="190"/>
        <v>2006</v>
      </c>
      <c r="AC6135" s="22">
        <f t="shared" si="191"/>
        <v>0.57533333333333336</v>
      </c>
    </row>
    <row r="6136" spans="1:29" ht="30">
      <c r="A6136" s="8" t="s">
        <v>14704</v>
      </c>
      <c r="B6136" s="17" t="s">
        <v>7758</v>
      </c>
      <c r="C6136" s="13">
        <v>38911</v>
      </c>
      <c r="D6136" s="13" t="s">
        <v>8463</v>
      </c>
      <c r="E6136" s="10" t="s">
        <v>2908</v>
      </c>
      <c r="F6136" s="10" t="s">
        <v>6034</v>
      </c>
      <c r="G6136" s="11" t="s">
        <v>2968</v>
      </c>
      <c r="H6136" s="2" t="s">
        <v>1040</v>
      </c>
      <c r="K6136" s="18">
        <v>0</v>
      </c>
      <c r="L6136" s="18">
        <v>0</v>
      </c>
      <c r="Q6136" s="18">
        <v>0</v>
      </c>
      <c r="V6136" s="22">
        <f>3.6/5</f>
        <v>0.72</v>
      </c>
      <c r="X6136" s="3">
        <v>3</v>
      </c>
      <c r="AB6136" s="18">
        <f t="shared" si="190"/>
        <v>2006</v>
      </c>
      <c r="AC6136" s="22">
        <f t="shared" si="191"/>
        <v>0.65999999999999992</v>
      </c>
    </row>
    <row r="6137" spans="1:29" ht="25.5">
      <c r="A6137" s="8" t="s">
        <v>10380</v>
      </c>
      <c r="B6137" s="17" t="s">
        <v>7748</v>
      </c>
      <c r="C6137" s="13">
        <v>38911</v>
      </c>
      <c r="D6137" s="13" t="s">
        <v>8463</v>
      </c>
      <c r="E6137" s="10" t="s">
        <v>86</v>
      </c>
      <c r="F6137" s="10" t="s">
        <v>9144</v>
      </c>
      <c r="H6137" s="2" t="s">
        <v>67</v>
      </c>
      <c r="K6137" s="18">
        <v>0</v>
      </c>
      <c r="L6137" s="18">
        <v>0</v>
      </c>
      <c r="Q6137" s="18">
        <v>0</v>
      </c>
      <c r="V6137" s="22">
        <f>3.21/5</f>
        <v>0.64200000000000002</v>
      </c>
      <c r="X6137" s="3">
        <v>3</v>
      </c>
      <c r="AB6137" s="18">
        <f t="shared" si="190"/>
        <v>2006</v>
      </c>
      <c r="AC6137" s="22">
        <f t="shared" si="191"/>
        <v>0.621</v>
      </c>
    </row>
    <row r="6138" spans="1:29">
      <c r="A6138" s="8" t="s">
        <v>10306</v>
      </c>
      <c r="B6138" s="17" t="s">
        <v>7765</v>
      </c>
      <c r="C6138" s="13">
        <v>38909</v>
      </c>
      <c r="D6138" s="13" t="s">
        <v>8465</v>
      </c>
      <c r="E6138" s="10" t="s">
        <v>455</v>
      </c>
      <c r="F6138" s="10" t="s">
        <v>1580</v>
      </c>
      <c r="H6138" s="2" t="s">
        <v>1204</v>
      </c>
      <c r="L6138" s="18">
        <v>0</v>
      </c>
      <c r="Q6138" s="18">
        <v>0</v>
      </c>
      <c r="U6138" s="22">
        <v>0.71</v>
      </c>
      <c r="V6138" s="22">
        <f>3.29/5</f>
        <v>0.65800000000000003</v>
      </c>
      <c r="X6138" s="3">
        <v>3</v>
      </c>
      <c r="Y6138" s="18">
        <v>1</v>
      </c>
      <c r="Z6138" s="23">
        <v>10</v>
      </c>
      <c r="AB6138" s="18">
        <f t="shared" si="190"/>
        <v>2006</v>
      </c>
      <c r="AC6138" s="22">
        <f t="shared" si="191"/>
        <v>0.65600000000000003</v>
      </c>
    </row>
    <row r="6139" spans="1:29">
      <c r="A6139" s="8" t="s">
        <v>5357</v>
      </c>
      <c r="B6139" s="17" t="s">
        <v>7800</v>
      </c>
      <c r="C6139" s="13">
        <v>38909</v>
      </c>
      <c r="D6139" s="13" t="s">
        <v>8465</v>
      </c>
      <c r="E6139" s="10" t="s">
        <v>5358</v>
      </c>
      <c r="F6139" s="10" t="s">
        <v>5359</v>
      </c>
      <c r="H6139" s="2" t="s">
        <v>245</v>
      </c>
      <c r="L6139" s="18">
        <v>1</v>
      </c>
      <c r="N6139" s="13">
        <v>41111</v>
      </c>
      <c r="O6139" s="29">
        <v>0</v>
      </c>
      <c r="P6139" s="18" t="s">
        <v>1107</v>
      </c>
      <c r="Q6139" s="18">
        <v>0</v>
      </c>
      <c r="U6139" s="22">
        <v>0.76</v>
      </c>
      <c r="V6139" s="22">
        <f>3.44/5</f>
        <v>0.68799999999999994</v>
      </c>
      <c r="W6139" s="14" t="s">
        <v>7777</v>
      </c>
      <c r="X6139" s="3">
        <v>2</v>
      </c>
      <c r="Z6139" s="23">
        <v>2</v>
      </c>
      <c r="AB6139" s="18">
        <f t="shared" si="190"/>
        <v>2006</v>
      </c>
      <c r="AC6139" s="22">
        <f t="shared" si="191"/>
        <v>0.61599999999999999</v>
      </c>
    </row>
    <row r="6140" spans="1:29">
      <c r="A6140" s="8" t="s">
        <v>4741</v>
      </c>
      <c r="B6140" s="17" t="s">
        <v>7765</v>
      </c>
      <c r="C6140" s="13">
        <v>38909</v>
      </c>
      <c r="D6140" s="13" t="s">
        <v>8465</v>
      </c>
      <c r="E6140" s="10" t="s">
        <v>3310</v>
      </c>
      <c r="F6140" s="10" t="s">
        <v>4882</v>
      </c>
      <c r="G6140" s="11" t="s">
        <v>4741</v>
      </c>
      <c r="H6140" s="2" t="s">
        <v>1050</v>
      </c>
      <c r="L6140" s="18">
        <v>1</v>
      </c>
      <c r="N6140" s="13">
        <v>44503</v>
      </c>
      <c r="O6140" s="29">
        <v>3.99</v>
      </c>
      <c r="P6140" s="18" t="s">
        <v>1107</v>
      </c>
      <c r="Q6140" s="18">
        <v>0</v>
      </c>
      <c r="U6140" s="22">
        <v>0.78</v>
      </c>
      <c r="V6140" s="22">
        <f>3.44/5</f>
        <v>0.68799999999999994</v>
      </c>
      <c r="X6140" s="3">
        <v>3</v>
      </c>
      <c r="Z6140" s="23">
        <v>7.5</v>
      </c>
      <c r="AB6140" s="18">
        <f t="shared" si="190"/>
        <v>2006</v>
      </c>
      <c r="AC6140" s="22">
        <f t="shared" si="191"/>
        <v>0.68933333333333335</v>
      </c>
    </row>
    <row r="6141" spans="1:29" ht="25.5">
      <c r="A6141" s="8" t="s">
        <v>7100</v>
      </c>
      <c r="B6141" s="17" t="s">
        <v>7800</v>
      </c>
      <c r="C6141" s="13">
        <v>38899</v>
      </c>
      <c r="D6141" s="13" t="s">
        <v>8465</v>
      </c>
      <c r="E6141" s="10" t="s">
        <v>7187</v>
      </c>
      <c r="F6141" s="10" t="s">
        <v>7187</v>
      </c>
      <c r="H6141" s="2" t="s">
        <v>78</v>
      </c>
      <c r="L6141" s="18">
        <v>0</v>
      </c>
      <c r="Q6141" s="18">
        <v>0</v>
      </c>
      <c r="W6141" s="14" t="s">
        <v>5674</v>
      </c>
      <c r="X6141" s="3">
        <v>2</v>
      </c>
      <c r="AB6141" s="18">
        <f t="shared" si="190"/>
        <v>2006</v>
      </c>
      <c r="AC6141" s="22">
        <f t="shared" si="191"/>
        <v>0.4</v>
      </c>
    </row>
    <row r="6142" spans="1:29" ht="30">
      <c r="A6142" s="8" t="s">
        <v>9073</v>
      </c>
      <c r="B6142" s="17" t="s">
        <v>7758</v>
      </c>
      <c r="C6142" s="13">
        <v>38898</v>
      </c>
      <c r="D6142" s="13" t="s">
        <v>8467</v>
      </c>
      <c r="E6142" s="10" t="s">
        <v>2908</v>
      </c>
      <c r="F6142" s="10" t="s">
        <v>3029</v>
      </c>
      <c r="G6142" s="11" t="s">
        <v>9074</v>
      </c>
      <c r="H6142" s="2" t="s">
        <v>245</v>
      </c>
      <c r="L6142" s="18">
        <v>0</v>
      </c>
      <c r="Q6142" s="18">
        <v>0</v>
      </c>
      <c r="V6142" s="22">
        <f>3.78/5</f>
        <v>0.75600000000000001</v>
      </c>
      <c r="X6142" s="3">
        <v>2</v>
      </c>
      <c r="Z6142" s="23">
        <v>9.5</v>
      </c>
      <c r="AB6142" s="18">
        <f t="shared" si="190"/>
        <v>2006</v>
      </c>
      <c r="AC6142" s="22">
        <f t="shared" si="191"/>
        <v>0.57800000000000007</v>
      </c>
    </row>
    <row r="6143" spans="1:29">
      <c r="A6143" s="8" t="s">
        <v>450</v>
      </c>
      <c r="B6143" s="17" t="s">
        <v>7758</v>
      </c>
      <c r="C6143" s="13">
        <v>38897</v>
      </c>
      <c r="D6143" s="13" t="s">
        <v>8463</v>
      </c>
      <c r="E6143" s="10" t="s">
        <v>170</v>
      </c>
      <c r="F6143" s="10" t="s">
        <v>170</v>
      </c>
      <c r="G6143" s="11" t="s">
        <v>450</v>
      </c>
      <c r="H6143" s="2" t="s">
        <v>1168</v>
      </c>
      <c r="K6143" s="18">
        <v>0</v>
      </c>
      <c r="L6143" s="18">
        <v>0</v>
      </c>
      <c r="Q6143" s="18">
        <v>0</v>
      </c>
      <c r="V6143" s="22">
        <f>3.23/5</f>
        <v>0.64600000000000002</v>
      </c>
      <c r="X6143" s="3">
        <v>2</v>
      </c>
      <c r="Z6143" s="23">
        <v>4.5</v>
      </c>
      <c r="AB6143" s="18">
        <f t="shared" si="190"/>
        <v>2006</v>
      </c>
      <c r="AC6143" s="22">
        <f t="shared" si="191"/>
        <v>0.52300000000000002</v>
      </c>
    </row>
    <row r="6144" spans="1:29" ht="25.5">
      <c r="A6144" s="8" t="s">
        <v>11977</v>
      </c>
      <c r="B6144" s="17" t="s">
        <v>7758</v>
      </c>
      <c r="C6144" s="13">
        <v>38896</v>
      </c>
      <c r="D6144" s="13" t="s">
        <v>8465</v>
      </c>
      <c r="E6144" s="10" t="s">
        <v>66</v>
      </c>
      <c r="F6144" s="10" t="s">
        <v>11978</v>
      </c>
      <c r="H6144" s="2" t="s">
        <v>1040</v>
      </c>
      <c r="L6144" s="18">
        <v>0</v>
      </c>
      <c r="Q6144" s="18">
        <v>0</v>
      </c>
      <c r="U6144" s="22">
        <v>0.56999999999999995</v>
      </c>
      <c r="V6144" s="22">
        <f>3.14/5</f>
        <v>0.628</v>
      </c>
      <c r="X6144" s="3">
        <v>2</v>
      </c>
      <c r="Z6144" s="23">
        <v>6</v>
      </c>
      <c r="AB6144" s="18">
        <f t="shared" si="190"/>
        <v>2006</v>
      </c>
      <c r="AC6144" s="22">
        <f t="shared" si="191"/>
        <v>0.53266666666666662</v>
      </c>
    </row>
    <row r="6145" spans="1:29" ht="63.75">
      <c r="A6145" s="8" t="s">
        <v>14646</v>
      </c>
      <c r="B6145" s="17" t="s">
        <v>7762</v>
      </c>
      <c r="C6145" s="13">
        <v>38895</v>
      </c>
      <c r="D6145" s="13" t="s">
        <v>8463</v>
      </c>
      <c r="E6145" s="10" t="s">
        <v>2908</v>
      </c>
      <c r="F6145" s="10" t="s">
        <v>2470</v>
      </c>
      <c r="G6145" s="11" t="s">
        <v>10866</v>
      </c>
      <c r="H6145" s="2" t="s">
        <v>67</v>
      </c>
      <c r="K6145" s="18">
        <v>1</v>
      </c>
      <c r="L6145" s="18">
        <v>0</v>
      </c>
      <c r="Q6145" s="18">
        <v>0</v>
      </c>
      <c r="V6145" s="22">
        <f>3.83/5</f>
        <v>0.76600000000000001</v>
      </c>
      <c r="X6145" s="3">
        <v>4</v>
      </c>
      <c r="AB6145" s="18">
        <f t="shared" ref="AB6145:AB6208" si="192">IFERROR(YEAR(C6145), "Early Access")</f>
        <v>2006</v>
      </c>
      <c r="AC6145" s="22">
        <f t="shared" ref="AC6145:AC6208" si="193">AVERAGE(T6145, U6145, V6145, IF(ISBLANK(X6145), X6145, X6145/5))</f>
        <v>0.78300000000000003</v>
      </c>
    </row>
    <row r="6146" spans="1:29" ht="30">
      <c r="A6146" s="8" t="s">
        <v>6211</v>
      </c>
      <c r="B6146" s="17" t="s">
        <v>7762</v>
      </c>
      <c r="C6146" s="13">
        <v>38895</v>
      </c>
      <c r="D6146" s="13" t="s">
        <v>8465</v>
      </c>
      <c r="E6146" s="10" t="s">
        <v>1047</v>
      </c>
      <c r="F6146" s="10" t="s">
        <v>6258</v>
      </c>
      <c r="G6146" s="11" t="s">
        <v>6211</v>
      </c>
      <c r="H6146" s="2" t="s">
        <v>149</v>
      </c>
      <c r="L6146" s="18">
        <v>0</v>
      </c>
      <c r="Q6146" s="18">
        <v>0</v>
      </c>
      <c r="U6146" s="22">
        <v>0.51</v>
      </c>
      <c r="V6146" s="22">
        <f>3.03/5</f>
        <v>0.60599999999999998</v>
      </c>
      <c r="X6146" s="3">
        <v>2</v>
      </c>
      <c r="Z6146" s="23">
        <v>16.5</v>
      </c>
      <c r="AB6146" s="18">
        <f t="shared" si="192"/>
        <v>2006</v>
      </c>
      <c r="AC6146" s="22">
        <f t="shared" si="193"/>
        <v>0.5053333333333333</v>
      </c>
    </row>
    <row r="6147" spans="1:29">
      <c r="A6147" s="8" t="s">
        <v>1700</v>
      </c>
      <c r="B6147" s="17" t="s">
        <v>7800</v>
      </c>
      <c r="C6147" s="13">
        <v>38894</v>
      </c>
      <c r="D6147" s="13" t="s">
        <v>8465</v>
      </c>
      <c r="E6147" s="10" t="s">
        <v>1342</v>
      </c>
      <c r="F6147" s="10" t="s">
        <v>1701</v>
      </c>
      <c r="G6147" s="11" t="s">
        <v>1700</v>
      </c>
      <c r="H6147" s="2" t="s">
        <v>171</v>
      </c>
      <c r="L6147" s="18">
        <v>1</v>
      </c>
      <c r="N6147" s="13">
        <v>41249</v>
      </c>
      <c r="P6147" s="18" t="s">
        <v>1107</v>
      </c>
      <c r="Q6147" s="18">
        <v>0</v>
      </c>
      <c r="U6147" s="22">
        <v>0.8</v>
      </c>
      <c r="V6147" s="22">
        <f>3.76/5</f>
        <v>0.752</v>
      </c>
      <c r="W6147" s="14" t="s">
        <v>7777</v>
      </c>
      <c r="X6147" s="3">
        <v>4</v>
      </c>
      <c r="Z6147" s="23">
        <v>25.5</v>
      </c>
      <c r="AB6147" s="18">
        <f t="shared" si="192"/>
        <v>2006</v>
      </c>
      <c r="AC6147" s="22">
        <f t="shared" si="193"/>
        <v>0.78400000000000014</v>
      </c>
    </row>
    <row r="6148" spans="1:29">
      <c r="A6148" s="8" t="s">
        <v>7140</v>
      </c>
      <c r="B6148" s="17" t="s">
        <v>7800</v>
      </c>
      <c r="C6148" s="13">
        <v>38894</v>
      </c>
      <c r="D6148" s="13" t="s">
        <v>8465</v>
      </c>
      <c r="E6148" s="10" t="s">
        <v>7199</v>
      </c>
      <c r="F6148" s="10" t="s">
        <v>7199</v>
      </c>
      <c r="G6148" s="11" t="s">
        <v>7200</v>
      </c>
      <c r="H6148" s="2" t="s">
        <v>67</v>
      </c>
      <c r="L6148" s="18">
        <v>0</v>
      </c>
      <c r="Q6148" s="18">
        <v>0</v>
      </c>
      <c r="V6148" s="22">
        <f>4.13/5</f>
        <v>0.82599999999999996</v>
      </c>
      <c r="W6148" s="14" t="s">
        <v>5674</v>
      </c>
      <c r="X6148" s="3">
        <v>3</v>
      </c>
      <c r="Z6148" s="23">
        <v>2.5</v>
      </c>
      <c r="AB6148" s="18">
        <f t="shared" si="192"/>
        <v>2006</v>
      </c>
      <c r="AC6148" s="22">
        <f t="shared" si="193"/>
        <v>0.71299999999999997</v>
      </c>
    </row>
    <row r="6149" spans="1:29">
      <c r="A6149" s="8" t="s">
        <v>14297</v>
      </c>
      <c r="B6149" s="17" t="s">
        <v>7800</v>
      </c>
      <c r="C6149" s="13">
        <v>38891</v>
      </c>
      <c r="D6149" s="13" t="s">
        <v>8463</v>
      </c>
      <c r="E6149" s="10" t="s">
        <v>1457</v>
      </c>
      <c r="F6149" s="10" t="s">
        <v>14298</v>
      </c>
      <c r="H6149" s="2" t="s">
        <v>75</v>
      </c>
      <c r="K6149" s="18">
        <v>2</v>
      </c>
      <c r="L6149" s="18">
        <v>0</v>
      </c>
      <c r="Q6149" s="18">
        <v>0</v>
      </c>
      <c r="V6149" s="22">
        <f>3.73/5</f>
        <v>0.746</v>
      </c>
      <c r="X6149" s="3">
        <v>2</v>
      </c>
      <c r="AB6149" s="18">
        <f t="shared" si="192"/>
        <v>2006</v>
      </c>
      <c r="AC6149" s="22">
        <f t="shared" si="193"/>
        <v>0.57299999999999995</v>
      </c>
    </row>
    <row r="6150" spans="1:29" ht="30">
      <c r="A6150" s="8" t="s">
        <v>7432</v>
      </c>
      <c r="B6150" s="17" t="s">
        <v>7762</v>
      </c>
      <c r="C6150" s="13">
        <v>38891</v>
      </c>
      <c r="D6150" s="13" t="s">
        <v>8467</v>
      </c>
      <c r="E6150" s="10" t="s">
        <v>455</v>
      </c>
      <c r="F6150" s="10" t="s">
        <v>1246</v>
      </c>
      <c r="G6150" s="11" t="s">
        <v>3030</v>
      </c>
      <c r="H6150" s="2" t="s">
        <v>80</v>
      </c>
      <c r="L6150" s="18">
        <v>0</v>
      </c>
      <c r="Q6150" s="18">
        <v>0</v>
      </c>
      <c r="U6150" s="22">
        <v>0.51</v>
      </c>
      <c r="V6150" s="22">
        <f>3.58/5</f>
        <v>0.71599999999999997</v>
      </c>
      <c r="X6150" s="3">
        <v>2</v>
      </c>
      <c r="Z6150" s="23">
        <v>6.5</v>
      </c>
      <c r="AB6150" s="18">
        <f t="shared" si="192"/>
        <v>2006</v>
      </c>
      <c r="AC6150" s="22">
        <f t="shared" si="193"/>
        <v>0.54199999999999993</v>
      </c>
    </row>
    <row r="6151" spans="1:29" ht="38.25">
      <c r="A6151" s="8" t="s">
        <v>6224</v>
      </c>
      <c r="B6151" s="17" t="s">
        <v>7762</v>
      </c>
      <c r="C6151" s="13">
        <v>38888</v>
      </c>
      <c r="D6151" s="13" t="s">
        <v>8465</v>
      </c>
      <c r="E6151" s="10" t="s">
        <v>1541</v>
      </c>
      <c r="F6151" s="10" t="s">
        <v>1245</v>
      </c>
      <c r="G6151" s="11" t="s">
        <v>2892</v>
      </c>
      <c r="H6151" s="2" t="s">
        <v>149</v>
      </c>
      <c r="L6151" s="18">
        <v>0</v>
      </c>
      <c r="Q6151" s="18">
        <v>0</v>
      </c>
      <c r="U6151" s="22">
        <v>0.65</v>
      </c>
      <c r="V6151" s="22">
        <f>3.59/5</f>
        <v>0.71799999999999997</v>
      </c>
      <c r="X6151" s="3">
        <v>3</v>
      </c>
      <c r="Z6151" s="23">
        <v>23</v>
      </c>
      <c r="AB6151" s="18">
        <f t="shared" si="192"/>
        <v>2006</v>
      </c>
      <c r="AC6151" s="22">
        <f t="shared" si="193"/>
        <v>0.65600000000000003</v>
      </c>
    </row>
    <row r="6152" spans="1:29" ht="25.5">
      <c r="A6152" s="8" t="s">
        <v>8949</v>
      </c>
      <c r="B6152" s="17" t="s">
        <v>7748</v>
      </c>
      <c r="C6152" s="13">
        <v>38883</v>
      </c>
      <c r="D6152" s="13" t="s">
        <v>8463</v>
      </c>
      <c r="E6152" s="10" t="s">
        <v>463</v>
      </c>
      <c r="F6152" s="10" t="s">
        <v>8947</v>
      </c>
      <c r="G6152" s="11" t="s">
        <v>1392</v>
      </c>
      <c r="H6152" s="2" t="s">
        <v>149</v>
      </c>
      <c r="K6152" s="18">
        <v>0</v>
      </c>
      <c r="L6152" s="18">
        <v>0</v>
      </c>
      <c r="Q6152" s="18">
        <v>0</v>
      </c>
      <c r="V6152" s="22">
        <f>3.34/5</f>
        <v>0.66799999999999993</v>
      </c>
      <c r="X6152" s="3">
        <v>3</v>
      </c>
      <c r="AB6152" s="18">
        <f t="shared" si="192"/>
        <v>2006</v>
      </c>
      <c r="AC6152" s="22">
        <f t="shared" si="193"/>
        <v>0.6339999999999999</v>
      </c>
    </row>
    <row r="6153" spans="1:29" ht="38.25">
      <c r="A6153" s="8" t="s">
        <v>2090</v>
      </c>
      <c r="B6153" s="17" t="s">
        <v>7747</v>
      </c>
      <c r="C6153" s="13">
        <v>38881</v>
      </c>
      <c r="D6153" s="13" t="s">
        <v>8465</v>
      </c>
      <c r="E6153" s="10" t="s">
        <v>73</v>
      </c>
      <c r="F6153" s="10" t="s">
        <v>73</v>
      </c>
      <c r="G6153" s="11" t="s">
        <v>1904</v>
      </c>
      <c r="H6153" s="2" t="s">
        <v>75</v>
      </c>
      <c r="L6153" s="18">
        <v>0</v>
      </c>
      <c r="Q6153" s="18">
        <v>0</v>
      </c>
      <c r="U6153" s="22">
        <v>0.65</v>
      </c>
      <c r="V6153" s="22">
        <f>4.28/5</f>
        <v>0.85600000000000009</v>
      </c>
      <c r="X6153" s="3">
        <v>4</v>
      </c>
      <c r="Z6153" s="23">
        <v>22</v>
      </c>
      <c r="AB6153" s="18">
        <f t="shared" si="192"/>
        <v>2006</v>
      </c>
      <c r="AC6153" s="22">
        <f t="shared" si="193"/>
        <v>0.76866666666666672</v>
      </c>
    </row>
    <row r="6154" spans="1:29" ht="25.5">
      <c r="A6154" s="8" t="s">
        <v>7656</v>
      </c>
      <c r="B6154" s="17" t="s">
        <v>7758</v>
      </c>
      <c r="C6154" s="13">
        <v>38881</v>
      </c>
      <c r="D6154" s="13" t="s">
        <v>8465</v>
      </c>
      <c r="E6154" s="10" t="s">
        <v>3017</v>
      </c>
      <c r="F6154" s="10" t="s">
        <v>1580</v>
      </c>
      <c r="G6154" s="11" t="s">
        <v>5915</v>
      </c>
      <c r="H6154" s="2" t="s">
        <v>1168</v>
      </c>
      <c r="L6154" s="18">
        <v>0</v>
      </c>
      <c r="Q6154" s="18">
        <v>0</v>
      </c>
      <c r="U6154" s="22">
        <v>0.62</v>
      </c>
      <c r="V6154" s="22">
        <f>3.86/5</f>
        <v>0.77200000000000002</v>
      </c>
      <c r="X6154" s="3">
        <v>3</v>
      </c>
      <c r="Z6154" s="23">
        <v>8</v>
      </c>
      <c r="AB6154" s="18">
        <f t="shared" si="192"/>
        <v>2006</v>
      </c>
      <c r="AC6154" s="22">
        <f t="shared" si="193"/>
        <v>0.66400000000000003</v>
      </c>
    </row>
    <row r="6155" spans="1:29">
      <c r="A6155" s="8" t="s">
        <v>12944</v>
      </c>
      <c r="B6155" s="17" t="s">
        <v>7748</v>
      </c>
      <c r="C6155" s="13">
        <v>38881</v>
      </c>
      <c r="D6155" s="13" t="s">
        <v>8465</v>
      </c>
      <c r="E6155" s="10" t="s">
        <v>1509</v>
      </c>
      <c r="F6155" s="10" t="s">
        <v>7406</v>
      </c>
      <c r="G6155" s="11" t="s">
        <v>12941</v>
      </c>
      <c r="H6155" s="2" t="s">
        <v>1170</v>
      </c>
      <c r="L6155" s="18">
        <v>0</v>
      </c>
      <c r="Q6155" s="18">
        <v>0</v>
      </c>
      <c r="U6155" s="22">
        <v>0.66</v>
      </c>
      <c r="V6155" s="22">
        <f>3.59/5</f>
        <v>0.71799999999999997</v>
      </c>
      <c r="X6155" s="3">
        <v>2</v>
      </c>
      <c r="Z6155" s="23">
        <v>3</v>
      </c>
      <c r="AB6155" s="18">
        <f t="shared" si="192"/>
        <v>2006</v>
      </c>
      <c r="AC6155" s="22">
        <f t="shared" si="193"/>
        <v>0.59266666666666667</v>
      </c>
    </row>
    <row r="6156" spans="1:29" ht="25.5">
      <c r="A6156" s="8" t="s">
        <v>9709</v>
      </c>
      <c r="B6156" s="17" t="s">
        <v>7758</v>
      </c>
      <c r="C6156" s="13">
        <v>38881</v>
      </c>
      <c r="D6156" s="13" t="s">
        <v>8465</v>
      </c>
      <c r="E6156" s="10" t="s">
        <v>1870</v>
      </c>
      <c r="F6156" s="10" t="s">
        <v>3263</v>
      </c>
      <c r="H6156" s="2" t="s">
        <v>1050</v>
      </c>
      <c r="L6156" s="18">
        <v>0</v>
      </c>
      <c r="Q6156" s="18">
        <v>0</v>
      </c>
      <c r="U6156" s="22">
        <v>0.73</v>
      </c>
      <c r="V6156" s="22">
        <f>3.85/5</f>
        <v>0.77</v>
      </c>
      <c r="X6156" s="3">
        <v>3</v>
      </c>
      <c r="Z6156" s="23">
        <v>8</v>
      </c>
      <c r="AB6156" s="18">
        <f t="shared" si="192"/>
        <v>2006</v>
      </c>
      <c r="AC6156" s="22">
        <f t="shared" si="193"/>
        <v>0.70000000000000007</v>
      </c>
    </row>
    <row r="6157" spans="1:29" ht="30">
      <c r="A6157" s="8" t="s">
        <v>11149</v>
      </c>
      <c r="B6157" s="17" t="s">
        <v>7747</v>
      </c>
      <c r="C6157" s="13">
        <v>38874</v>
      </c>
      <c r="D6157" s="13" t="s">
        <v>8465</v>
      </c>
      <c r="E6157" s="10" t="s">
        <v>311</v>
      </c>
      <c r="F6157" s="10" t="s">
        <v>1232</v>
      </c>
      <c r="G6157" s="11" t="s">
        <v>11042</v>
      </c>
      <c r="H6157" s="2" t="s">
        <v>153</v>
      </c>
      <c r="L6157" s="18">
        <v>0</v>
      </c>
      <c r="Q6157" s="18">
        <v>0</v>
      </c>
      <c r="U6157" s="22">
        <v>0.75</v>
      </c>
      <c r="V6157" s="22">
        <f>3.93/5</f>
        <v>0.78600000000000003</v>
      </c>
      <c r="X6157" s="3">
        <v>2</v>
      </c>
      <c r="Z6157" s="23">
        <v>3.5</v>
      </c>
      <c r="AB6157" s="18">
        <f t="shared" si="192"/>
        <v>2006</v>
      </c>
      <c r="AC6157" s="22">
        <f t="shared" si="193"/>
        <v>0.64533333333333331</v>
      </c>
    </row>
    <row r="6158" spans="1:29">
      <c r="A6158" s="8" t="s">
        <v>11291</v>
      </c>
      <c r="B6158" s="17" t="s">
        <v>7748</v>
      </c>
      <c r="C6158" s="13">
        <v>38873</v>
      </c>
      <c r="D6158" s="13" t="s">
        <v>8465</v>
      </c>
      <c r="E6158" s="10" t="s">
        <v>86</v>
      </c>
      <c r="F6158" s="10" t="s">
        <v>9652</v>
      </c>
      <c r="G6158" s="11" t="s">
        <v>11291</v>
      </c>
      <c r="H6158" s="2" t="s">
        <v>78</v>
      </c>
      <c r="L6158" s="18">
        <v>0</v>
      </c>
      <c r="Q6158" s="18">
        <v>0</v>
      </c>
      <c r="U6158" s="22">
        <v>0.68</v>
      </c>
      <c r="V6158" s="22">
        <f>3.52/5</f>
        <v>0.70399999999999996</v>
      </c>
      <c r="X6158" s="3">
        <v>2</v>
      </c>
      <c r="Z6158" s="23">
        <v>10</v>
      </c>
      <c r="AB6158" s="18">
        <f t="shared" si="192"/>
        <v>2006</v>
      </c>
      <c r="AC6158" s="22">
        <f t="shared" si="193"/>
        <v>0.59466666666666657</v>
      </c>
    </row>
    <row r="6159" spans="1:29" ht="25.5">
      <c r="A6159" s="8" t="s">
        <v>4072</v>
      </c>
      <c r="B6159" s="17" t="s">
        <v>7800</v>
      </c>
      <c r="C6159" s="13">
        <v>38869</v>
      </c>
      <c r="D6159" s="13" t="s">
        <v>8465</v>
      </c>
      <c r="E6159" s="10" t="s">
        <v>4070</v>
      </c>
      <c r="F6159" s="10" t="s">
        <v>4070</v>
      </c>
      <c r="G6159" s="11" t="s">
        <v>4069</v>
      </c>
      <c r="H6159" s="2" t="s">
        <v>1050</v>
      </c>
      <c r="L6159" s="18">
        <v>1</v>
      </c>
      <c r="N6159" s="13">
        <v>42002</v>
      </c>
      <c r="O6159" s="29">
        <v>2.86</v>
      </c>
      <c r="P6159" s="18" t="s">
        <v>1107</v>
      </c>
      <c r="Q6159" s="18">
        <v>0</v>
      </c>
      <c r="U6159" s="22">
        <v>0.86</v>
      </c>
      <c r="V6159" s="22">
        <f>4.01/5</f>
        <v>0.80199999999999994</v>
      </c>
      <c r="W6159" s="14" t="s">
        <v>7777</v>
      </c>
      <c r="X6159" s="3">
        <v>3</v>
      </c>
      <c r="Z6159" s="23">
        <v>4</v>
      </c>
      <c r="AB6159" s="18">
        <f t="shared" si="192"/>
        <v>2006</v>
      </c>
      <c r="AC6159" s="22">
        <f t="shared" si="193"/>
        <v>0.754</v>
      </c>
    </row>
    <row r="6160" spans="1:29">
      <c r="A6160" s="8" t="s">
        <v>4121</v>
      </c>
      <c r="B6160" s="17" t="s">
        <v>7800</v>
      </c>
      <c r="C6160" s="13">
        <v>38867</v>
      </c>
      <c r="D6160" s="13" t="s">
        <v>8465</v>
      </c>
      <c r="E6160" s="10" t="s">
        <v>1870</v>
      </c>
      <c r="F6160" s="10" t="s">
        <v>4118</v>
      </c>
      <c r="G6160" s="11" t="s">
        <v>4117</v>
      </c>
      <c r="H6160" s="2" t="s">
        <v>245</v>
      </c>
      <c r="L6160" s="18">
        <v>1</v>
      </c>
      <c r="N6160" s="13">
        <v>41105</v>
      </c>
      <c r="O6160" s="29">
        <v>2.08</v>
      </c>
      <c r="P6160" s="18" t="s">
        <v>1107</v>
      </c>
      <c r="Q6160" s="18">
        <v>0</v>
      </c>
      <c r="U6160" s="22">
        <v>0.82</v>
      </c>
      <c r="V6160" s="22">
        <f>4.2/5</f>
        <v>0.84000000000000008</v>
      </c>
      <c r="W6160" s="14" t="s">
        <v>7777</v>
      </c>
      <c r="X6160" s="3">
        <v>4</v>
      </c>
      <c r="Z6160" s="23">
        <v>11.5</v>
      </c>
      <c r="AB6160" s="18">
        <f t="shared" si="192"/>
        <v>2006</v>
      </c>
      <c r="AC6160" s="22">
        <f t="shared" si="193"/>
        <v>0.82</v>
      </c>
    </row>
    <row r="6161" spans="1:29" ht="38.25">
      <c r="A6161" s="8" t="s">
        <v>10971</v>
      </c>
      <c r="B6161" s="17" t="s">
        <v>7762</v>
      </c>
      <c r="C6161" s="13">
        <v>38862</v>
      </c>
      <c r="D6161" s="13" t="s">
        <v>8463</v>
      </c>
      <c r="E6161" s="10" t="s">
        <v>1082</v>
      </c>
      <c r="F6161" s="10" t="s">
        <v>10972</v>
      </c>
      <c r="G6161" s="11" t="s">
        <v>7407</v>
      </c>
      <c r="H6161" s="2" t="s">
        <v>1469</v>
      </c>
      <c r="K6161" s="18">
        <v>2</v>
      </c>
      <c r="L6161" s="18">
        <v>0</v>
      </c>
      <c r="Q6161" s="18">
        <v>0</v>
      </c>
      <c r="V6161" s="22">
        <f>3.73/5</f>
        <v>0.746</v>
      </c>
      <c r="X6161" s="3">
        <v>2</v>
      </c>
      <c r="AB6161" s="18">
        <f t="shared" si="192"/>
        <v>2006</v>
      </c>
      <c r="AC6161" s="22">
        <f t="shared" si="193"/>
        <v>0.57299999999999995</v>
      </c>
    </row>
    <row r="6162" spans="1:29">
      <c r="A6162" s="8" t="s">
        <v>5772</v>
      </c>
      <c r="B6162" s="17" t="s">
        <v>7758</v>
      </c>
      <c r="C6162" s="13">
        <v>38860</v>
      </c>
      <c r="D6162" s="13" t="s">
        <v>8465</v>
      </c>
      <c r="E6162" s="10" t="s">
        <v>228</v>
      </c>
      <c r="F6162" s="10" t="s">
        <v>144</v>
      </c>
      <c r="G6162" s="11" t="s">
        <v>5772</v>
      </c>
      <c r="H6162" s="2" t="s">
        <v>171</v>
      </c>
      <c r="L6162" s="18">
        <v>0</v>
      </c>
      <c r="Q6162" s="18">
        <v>0</v>
      </c>
      <c r="U6162" s="22">
        <v>0.75</v>
      </c>
      <c r="V6162" s="22">
        <f>3.97/5</f>
        <v>0.79400000000000004</v>
      </c>
      <c r="X6162" s="3">
        <v>3</v>
      </c>
      <c r="Z6162" s="23">
        <v>34</v>
      </c>
      <c r="AB6162" s="18">
        <f t="shared" si="192"/>
        <v>2006</v>
      </c>
      <c r="AC6162" s="22">
        <f t="shared" si="193"/>
        <v>0.71466666666666667</v>
      </c>
    </row>
    <row r="6163" spans="1:29" ht="30">
      <c r="A6163" s="8" t="s">
        <v>9809</v>
      </c>
      <c r="B6163" s="17" t="s">
        <v>7762</v>
      </c>
      <c r="C6163" s="13">
        <v>38860</v>
      </c>
      <c r="D6163" s="13" t="s">
        <v>8465</v>
      </c>
      <c r="E6163" s="10" t="s">
        <v>73</v>
      </c>
      <c r="F6163" s="10" t="s">
        <v>1140</v>
      </c>
      <c r="G6163" s="11" t="s">
        <v>1141</v>
      </c>
      <c r="H6163" s="2" t="s">
        <v>171</v>
      </c>
      <c r="L6163" s="18">
        <v>0</v>
      </c>
      <c r="Q6163" s="18">
        <v>0</v>
      </c>
      <c r="U6163" s="22">
        <v>0.71</v>
      </c>
      <c r="V6163" s="22">
        <f>4.01/5</f>
        <v>0.80199999999999994</v>
      </c>
      <c r="X6163" s="3">
        <v>3</v>
      </c>
      <c r="Z6163" s="23">
        <v>45</v>
      </c>
      <c r="AB6163" s="18">
        <f t="shared" si="192"/>
        <v>2006</v>
      </c>
      <c r="AC6163" s="22">
        <f t="shared" si="193"/>
        <v>0.70400000000000007</v>
      </c>
    </row>
    <row r="6164" spans="1:29" ht="30">
      <c r="A6164" s="8" t="s">
        <v>16035</v>
      </c>
      <c r="B6164" s="17" t="s">
        <v>7762</v>
      </c>
      <c r="C6164" s="13">
        <v>38860</v>
      </c>
      <c r="D6164" s="13" t="s">
        <v>8465</v>
      </c>
      <c r="E6164" s="10" t="s">
        <v>2908</v>
      </c>
      <c r="F6164" s="10" t="s">
        <v>1634</v>
      </c>
      <c r="G6164" s="11" t="s">
        <v>16035</v>
      </c>
      <c r="H6164" s="2" t="s">
        <v>31</v>
      </c>
      <c r="L6164" s="18">
        <v>0</v>
      </c>
      <c r="Q6164" s="18">
        <v>0</v>
      </c>
      <c r="U6164" s="22">
        <v>0.76</v>
      </c>
      <c r="V6164" s="22">
        <f>3.8/5</f>
        <v>0.76</v>
      </c>
      <c r="X6164" s="3">
        <v>2</v>
      </c>
      <c r="Z6164" s="23">
        <v>8.5</v>
      </c>
      <c r="AB6164" s="18">
        <f t="shared" si="192"/>
        <v>2006</v>
      </c>
      <c r="AC6164" s="22">
        <f t="shared" si="193"/>
        <v>0.64</v>
      </c>
    </row>
    <row r="6165" spans="1:29">
      <c r="A6165" s="8" t="s">
        <v>2609</v>
      </c>
      <c r="B6165" s="17" t="s">
        <v>7751</v>
      </c>
      <c r="C6165" s="13">
        <v>38859</v>
      </c>
      <c r="D6165" s="13" t="s">
        <v>8465</v>
      </c>
      <c r="E6165" s="10" t="s">
        <v>2661</v>
      </c>
      <c r="F6165" s="10" t="s">
        <v>2676</v>
      </c>
      <c r="H6165" s="2" t="s">
        <v>149</v>
      </c>
      <c r="L6165" s="18">
        <v>0</v>
      </c>
      <c r="Q6165" s="18">
        <v>0</v>
      </c>
      <c r="U6165" s="22">
        <v>0.67</v>
      </c>
      <c r="V6165" s="22">
        <f>3.1/5</f>
        <v>0.62</v>
      </c>
      <c r="X6165" s="3">
        <v>4</v>
      </c>
      <c r="Z6165" s="23">
        <v>25</v>
      </c>
      <c r="AB6165" s="18">
        <f t="shared" si="192"/>
        <v>2006</v>
      </c>
      <c r="AC6165" s="22">
        <f t="shared" si="193"/>
        <v>0.69666666666666666</v>
      </c>
    </row>
    <row r="6166" spans="1:29">
      <c r="A6166" s="8" t="s">
        <v>4963</v>
      </c>
      <c r="B6166" s="17" t="s">
        <v>7800</v>
      </c>
      <c r="C6166" s="13">
        <v>38845</v>
      </c>
      <c r="D6166" s="13" t="s">
        <v>8465</v>
      </c>
      <c r="E6166" s="10" t="s">
        <v>4544</v>
      </c>
      <c r="F6166" s="10" t="s">
        <v>4544</v>
      </c>
      <c r="G6166" s="11" t="s">
        <v>4963</v>
      </c>
      <c r="H6166" s="2" t="s">
        <v>1054</v>
      </c>
      <c r="L6166" s="18">
        <v>1</v>
      </c>
      <c r="N6166" s="13">
        <v>41355</v>
      </c>
      <c r="O6166" s="29">
        <v>1.74</v>
      </c>
      <c r="P6166" s="18" t="s">
        <v>1107</v>
      </c>
      <c r="Q6166" s="18">
        <v>0</v>
      </c>
      <c r="U6166" s="22">
        <v>0.75</v>
      </c>
      <c r="V6166" s="22">
        <f>3.18/5</f>
        <v>0.63600000000000001</v>
      </c>
      <c r="W6166" s="14" t="s">
        <v>7777</v>
      </c>
      <c r="X6166" s="3">
        <v>3</v>
      </c>
      <c r="Z6166" s="23">
        <v>6</v>
      </c>
      <c r="AB6166" s="18">
        <f t="shared" si="192"/>
        <v>2006</v>
      </c>
      <c r="AC6166" s="22">
        <f t="shared" si="193"/>
        <v>0.66200000000000003</v>
      </c>
    </row>
    <row r="6167" spans="1:29" ht="30">
      <c r="A6167" s="8" t="s">
        <v>3635</v>
      </c>
      <c r="B6167" s="17" t="s">
        <v>7800</v>
      </c>
      <c r="C6167" s="13">
        <v>38842</v>
      </c>
      <c r="D6167" s="13" t="s">
        <v>8465</v>
      </c>
      <c r="E6167" s="10" t="s">
        <v>311</v>
      </c>
      <c r="F6167" s="10" t="s">
        <v>3207</v>
      </c>
      <c r="G6167" s="11" t="s">
        <v>3636</v>
      </c>
      <c r="H6167" s="2" t="s">
        <v>3279</v>
      </c>
      <c r="L6167" s="18">
        <v>1</v>
      </c>
      <c r="N6167" s="13">
        <v>41866</v>
      </c>
      <c r="P6167" s="18" t="s">
        <v>1107</v>
      </c>
      <c r="Q6167" s="18">
        <v>0</v>
      </c>
      <c r="U6167" s="22">
        <v>0.65</v>
      </c>
      <c r="V6167" s="22">
        <f>2.95/5</f>
        <v>0.59000000000000008</v>
      </c>
      <c r="W6167" s="14" t="s">
        <v>7777</v>
      </c>
      <c r="X6167" s="3">
        <v>2</v>
      </c>
      <c r="Z6167" s="23">
        <v>22.5</v>
      </c>
      <c r="AB6167" s="18">
        <f t="shared" si="192"/>
        <v>2006</v>
      </c>
      <c r="AC6167" s="22">
        <f t="shared" si="193"/>
        <v>0.54666666666666675</v>
      </c>
    </row>
    <row r="6168" spans="1:29">
      <c r="A6168" s="8" t="s">
        <v>7163</v>
      </c>
      <c r="B6168" s="17" t="s">
        <v>7800</v>
      </c>
      <c r="C6168" s="13">
        <v>38838</v>
      </c>
      <c r="D6168" s="13" t="s">
        <v>8465</v>
      </c>
      <c r="E6168" s="10" t="s">
        <v>7191</v>
      </c>
      <c r="F6168" s="10" t="s">
        <v>7191</v>
      </c>
      <c r="H6168" s="2" t="s">
        <v>64</v>
      </c>
      <c r="L6168" s="18">
        <v>0</v>
      </c>
      <c r="Q6168" s="18">
        <v>0</v>
      </c>
      <c r="V6168" s="22">
        <f>3.85/5</f>
        <v>0.77</v>
      </c>
      <c r="W6168" s="14" t="s">
        <v>5674</v>
      </c>
      <c r="X6168" s="3">
        <v>3</v>
      </c>
      <c r="Z6168" s="23">
        <v>4</v>
      </c>
      <c r="AB6168" s="18">
        <f t="shared" si="192"/>
        <v>2006</v>
      </c>
      <c r="AC6168" s="22">
        <f t="shared" si="193"/>
        <v>0.68500000000000005</v>
      </c>
    </row>
    <row r="6169" spans="1:29">
      <c r="A6169" s="8" t="s">
        <v>7566</v>
      </c>
      <c r="B6169" s="17" t="s">
        <v>7748</v>
      </c>
      <c r="C6169" s="13">
        <v>38838</v>
      </c>
      <c r="D6169" s="13" t="s">
        <v>8465</v>
      </c>
      <c r="E6169" s="10" t="s">
        <v>231</v>
      </c>
      <c r="F6169" s="10" t="s">
        <v>1889</v>
      </c>
      <c r="G6169" s="11" t="s">
        <v>7566</v>
      </c>
      <c r="H6169" s="2" t="s">
        <v>1377</v>
      </c>
      <c r="L6169" s="18">
        <v>0</v>
      </c>
      <c r="Q6169" s="18">
        <v>0</v>
      </c>
      <c r="U6169" s="22">
        <v>0.72</v>
      </c>
      <c r="V6169" s="22">
        <f>3.46/5</f>
        <v>0.69199999999999995</v>
      </c>
      <c r="X6169" s="3">
        <v>3</v>
      </c>
      <c r="Z6169" s="23">
        <v>5</v>
      </c>
      <c r="AB6169" s="18">
        <f t="shared" si="192"/>
        <v>2006</v>
      </c>
      <c r="AC6169" s="22">
        <f t="shared" si="193"/>
        <v>0.67066666666666663</v>
      </c>
    </row>
    <row r="6170" spans="1:29">
      <c r="A6170" s="8" t="s">
        <v>15510</v>
      </c>
      <c r="B6170" s="17" t="s">
        <v>7800</v>
      </c>
      <c r="C6170" s="13">
        <v>38835</v>
      </c>
      <c r="D6170" s="13" t="s">
        <v>8465</v>
      </c>
      <c r="E6170" s="10" t="s">
        <v>4050</v>
      </c>
      <c r="F6170" s="10" t="s">
        <v>15511</v>
      </c>
      <c r="H6170" s="2" t="s">
        <v>171</v>
      </c>
      <c r="L6170" s="18">
        <v>1</v>
      </c>
      <c r="N6170" s="13">
        <v>45147</v>
      </c>
      <c r="O6170" s="29">
        <v>1.99</v>
      </c>
      <c r="P6170" s="18" t="s">
        <v>1107</v>
      </c>
      <c r="Q6170" s="18">
        <v>0</v>
      </c>
      <c r="V6170" s="22">
        <f>3.54/5</f>
        <v>0.70799999999999996</v>
      </c>
      <c r="W6170" s="14" t="s">
        <v>7777</v>
      </c>
      <c r="X6170" s="3">
        <v>2</v>
      </c>
      <c r="Z6170" s="23">
        <v>41.5</v>
      </c>
      <c r="AB6170" s="18">
        <f t="shared" si="192"/>
        <v>2006</v>
      </c>
      <c r="AC6170" s="22">
        <f t="shared" si="193"/>
        <v>0.55400000000000005</v>
      </c>
    </row>
    <row r="6171" spans="1:29" ht="25.5">
      <c r="A6171" s="8" t="s">
        <v>3397</v>
      </c>
      <c r="B6171" s="17" t="s">
        <v>7800</v>
      </c>
      <c r="C6171" s="13">
        <v>38833</v>
      </c>
      <c r="D6171" s="13" t="s">
        <v>8465</v>
      </c>
      <c r="E6171" s="10" t="s">
        <v>1690</v>
      </c>
      <c r="F6171" s="10" t="s">
        <v>3398</v>
      </c>
      <c r="H6171" s="2" t="s">
        <v>1061</v>
      </c>
      <c r="L6171" s="18">
        <v>1</v>
      </c>
      <c r="N6171" s="13">
        <v>41747</v>
      </c>
      <c r="O6171" s="29">
        <v>1.9</v>
      </c>
      <c r="P6171" s="18" t="s">
        <v>1107</v>
      </c>
      <c r="Q6171" s="18">
        <v>0</v>
      </c>
      <c r="U6171" s="22">
        <v>0.78</v>
      </c>
      <c r="V6171" s="22">
        <f>3.59/5</f>
        <v>0.71799999999999997</v>
      </c>
      <c r="W6171" s="14" t="s">
        <v>7777</v>
      </c>
      <c r="X6171" s="3">
        <v>4</v>
      </c>
      <c r="Z6171" s="23">
        <v>12</v>
      </c>
      <c r="AB6171" s="18">
        <f t="shared" si="192"/>
        <v>2006</v>
      </c>
      <c r="AC6171" s="22">
        <f t="shared" si="193"/>
        <v>0.76600000000000001</v>
      </c>
    </row>
    <row r="6172" spans="1:29" ht="25.5">
      <c r="A6172" s="8" t="s">
        <v>5732</v>
      </c>
      <c r="B6172" s="17" t="s">
        <v>7758</v>
      </c>
      <c r="C6172" s="13">
        <v>38832</v>
      </c>
      <c r="D6172" s="13" t="s">
        <v>8465</v>
      </c>
      <c r="E6172" s="10" t="s">
        <v>1062</v>
      </c>
      <c r="F6172" s="10" t="s">
        <v>2286</v>
      </c>
      <c r="G6172" s="11" t="s">
        <v>1567</v>
      </c>
      <c r="H6172" s="2" t="s">
        <v>149</v>
      </c>
      <c r="L6172" s="18">
        <v>0</v>
      </c>
      <c r="Q6172" s="18">
        <v>0</v>
      </c>
      <c r="U6172" s="22">
        <v>0.7</v>
      </c>
      <c r="V6172" s="22">
        <f>3.95/5</f>
        <v>0.79</v>
      </c>
      <c r="X6172" s="3">
        <v>3</v>
      </c>
      <c r="Z6172" s="23">
        <v>29.5</v>
      </c>
      <c r="AB6172" s="18">
        <f t="shared" si="192"/>
        <v>2006</v>
      </c>
      <c r="AC6172" s="22">
        <f t="shared" si="193"/>
        <v>0.69666666666666666</v>
      </c>
    </row>
    <row r="6173" spans="1:29">
      <c r="A6173" s="8" t="s">
        <v>2194</v>
      </c>
      <c r="B6173" s="17" t="s">
        <v>7748</v>
      </c>
      <c r="C6173" s="13">
        <v>38832</v>
      </c>
      <c r="D6173" s="13" t="s">
        <v>8465</v>
      </c>
      <c r="E6173" s="10" t="s">
        <v>1047</v>
      </c>
      <c r="F6173" s="10" t="s">
        <v>54</v>
      </c>
      <c r="G6173" s="11" t="s">
        <v>2194</v>
      </c>
      <c r="H6173" s="2" t="s">
        <v>1143</v>
      </c>
      <c r="L6173" s="18">
        <v>0</v>
      </c>
      <c r="Q6173" s="18">
        <v>0</v>
      </c>
      <c r="U6173" s="22">
        <v>0.7</v>
      </c>
      <c r="V6173" s="22">
        <f>3.6/5</f>
        <v>0.72</v>
      </c>
      <c r="X6173" s="3">
        <v>3</v>
      </c>
      <c r="Z6173" s="23">
        <v>11</v>
      </c>
      <c r="AB6173" s="18">
        <f t="shared" si="192"/>
        <v>2006</v>
      </c>
      <c r="AC6173" s="22">
        <f t="shared" si="193"/>
        <v>0.67333333333333334</v>
      </c>
    </row>
    <row r="6174" spans="1:29">
      <c r="A6174" s="8" t="s">
        <v>8948</v>
      </c>
      <c r="B6174" s="17" t="s">
        <v>7758</v>
      </c>
      <c r="C6174" s="13">
        <v>38832</v>
      </c>
      <c r="D6174" s="13" t="s">
        <v>8465</v>
      </c>
      <c r="E6174" s="10" t="s">
        <v>228</v>
      </c>
      <c r="F6174" s="10" t="s">
        <v>463</v>
      </c>
      <c r="G6174" s="11" t="s">
        <v>1392</v>
      </c>
      <c r="H6174" s="2" t="s">
        <v>149</v>
      </c>
      <c r="L6174" s="18">
        <v>0</v>
      </c>
      <c r="Q6174" s="18">
        <v>0</v>
      </c>
      <c r="U6174" s="22">
        <v>0.62</v>
      </c>
      <c r="V6174" s="22">
        <f>3.67/5</f>
        <v>0.73399999999999999</v>
      </c>
      <c r="X6174" s="3">
        <v>3</v>
      </c>
      <c r="Z6174" s="23">
        <v>33</v>
      </c>
      <c r="AB6174" s="18">
        <f t="shared" si="192"/>
        <v>2006</v>
      </c>
      <c r="AC6174" s="22">
        <f t="shared" si="193"/>
        <v>0.65133333333333343</v>
      </c>
    </row>
    <row r="6175" spans="1:29" ht="25.5">
      <c r="A6175" s="8" t="s">
        <v>7910</v>
      </c>
      <c r="B6175" s="17" t="s">
        <v>7758</v>
      </c>
      <c r="C6175" s="13">
        <v>38832</v>
      </c>
      <c r="D6175" s="13" t="s">
        <v>8465</v>
      </c>
      <c r="E6175" s="10" t="s">
        <v>3568</v>
      </c>
      <c r="F6175" s="10" t="s">
        <v>158</v>
      </c>
      <c r="G6175" s="11" t="s">
        <v>3101</v>
      </c>
      <c r="H6175" s="2" t="s">
        <v>7594</v>
      </c>
      <c r="L6175" s="18">
        <v>0</v>
      </c>
      <c r="Q6175" s="18">
        <v>0</v>
      </c>
      <c r="U6175" s="22">
        <v>0.75470000000000004</v>
      </c>
      <c r="V6175" s="22">
        <f>4.19/5</f>
        <v>0.83800000000000008</v>
      </c>
      <c r="X6175" s="3">
        <v>2</v>
      </c>
      <c r="Z6175" s="23">
        <v>4</v>
      </c>
      <c r="AB6175" s="18">
        <f t="shared" si="192"/>
        <v>2006</v>
      </c>
      <c r="AC6175" s="22">
        <f t="shared" si="193"/>
        <v>0.66423333333333334</v>
      </c>
    </row>
    <row r="6176" spans="1:29" ht="25.5">
      <c r="A6176" s="8" t="s">
        <v>13757</v>
      </c>
      <c r="B6176" s="17" t="s">
        <v>7758</v>
      </c>
      <c r="C6176" s="13">
        <v>38832</v>
      </c>
      <c r="D6176" s="13" t="s">
        <v>8465</v>
      </c>
      <c r="E6176" s="10" t="s">
        <v>455</v>
      </c>
      <c r="F6176" s="10" t="s">
        <v>1687</v>
      </c>
      <c r="G6176" s="11" t="s">
        <v>13741</v>
      </c>
      <c r="H6176" s="2" t="s">
        <v>150</v>
      </c>
      <c r="L6176" s="18">
        <v>0</v>
      </c>
      <c r="Q6176" s="18">
        <v>0</v>
      </c>
      <c r="U6176" s="22">
        <v>0.81</v>
      </c>
      <c r="V6176" s="22">
        <f>3.83/5</f>
        <v>0.76600000000000001</v>
      </c>
      <c r="X6176" s="3">
        <v>2</v>
      </c>
      <c r="Z6176" s="23">
        <v>5.5</v>
      </c>
      <c r="AB6176" s="18">
        <f t="shared" si="192"/>
        <v>2006</v>
      </c>
      <c r="AC6176" s="22">
        <f t="shared" si="193"/>
        <v>0.65866666666666662</v>
      </c>
    </row>
    <row r="6177" spans="1:29" ht="25.5">
      <c r="A6177" s="8" t="s">
        <v>13299</v>
      </c>
      <c r="B6177" s="17" t="s">
        <v>7748</v>
      </c>
      <c r="C6177" s="13">
        <v>38832</v>
      </c>
      <c r="D6177" s="13" t="s">
        <v>8465</v>
      </c>
      <c r="E6177" s="10" t="s">
        <v>1551</v>
      </c>
      <c r="F6177" s="10" t="s">
        <v>479</v>
      </c>
      <c r="G6177" s="11" t="s">
        <v>447</v>
      </c>
      <c r="H6177" s="2" t="s">
        <v>459</v>
      </c>
      <c r="L6177" s="18">
        <v>0</v>
      </c>
      <c r="Q6177" s="18">
        <v>0</v>
      </c>
      <c r="U6177" s="22">
        <v>0.6</v>
      </c>
      <c r="V6177" s="22">
        <f>2.85/5</f>
        <v>0.57000000000000006</v>
      </c>
      <c r="X6177" s="3">
        <v>2</v>
      </c>
      <c r="Z6177" s="23">
        <f>19/60</f>
        <v>0.31666666666666665</v>
      </c>
      <c r="AB6177" s="18">
        <f t="shared" si="192"/>
        <v>2006</v>
      </c>
      <c r="AC6177" s="22">
        <f t="shared" si="193"/>
        <v>0.52333333333333332</v>
      </c>
    </row>
    <row r="6178" spans="1:29" ht="25.5">
      <c r="A6178" s="8" t="s">
        <v>10858</v>
      </c>
      <c r="B6178" s="17" t="s">
        <v>6317</v>
      </c>
      <c r="C6178" s="13">
        <v>38828</v>
      </c>
      <c r="D6178" s="13" t="s">
        <v>8463</v>
      </c>
      <c r="E6178" s="10" t="s">
        <v>472</v>
      </c>
      <c r="F6178" s="10" t="s">
        <v>467</v>
      </c>
      <c r="G6178" s="11" t="s">
        <v>5751</v>
      </c>
      <c r="H6178" s="2" t="s">
        <v>21</v>
      </c>
      <c r="K6178" s="18">
        <v>0</v>
      </c>
      <c r="L6178" s="18">
        <v>0</v>
      </c>
      <c r="Q6178" s="18">
        <v>0</v>
      </c>
      <c r="V6178" s="22">
        <f>3.27/5</f>
        <v>0.65400000000000003</v>
      </c>
      <c r="X6178" s="3">
        <v>3</v>
      </c>
      <c r="Z6178" s="23">
        <f>45/60</f>
        <v>0.75</v>
      </c>
      <c r="AB6178" s="18">
        <f t="shared" si="192"/>
        <v>2006</v>
      </c>
      <c r="AC6178" s="22">
        <f t="shared" si="193"/>
        <v>0.627</v>
      </c>
    </row>
    <row r="6179" spans="1:29" ht="38.25">
      <c r="A6179" s="8" t="s">
        <v>8134</v>
      </c>
      <c r="B6179" s="17" t="s">
        <v>7758</v>
      </c>
      <c r="C6179" s="13">
        <v>38827</v>
      </c>
      <c r="D6179" s="13" t="s">
        <v>8463</v>
      </c>
      <c r="E6179" s="10" t="s">
        <v>1082</v>
      </c>
      <c r="F6179" s="10" t="s">
        <v>5866</v>
      </c>
      <c r="G6179" s="11" t="s">
        <v>140</v>
      </c>
      <c r="H6179" s="2" t="s">
        <v>1377</v>
      </c>
      <c r="K6179" s="18">
        <v>0</v>
      </c>
      <c r="L6179" s="18">
        <v>0</v>
      </c>
      <c r="Q6179" s="18">
        <v>0</v>
      </c>
      <c r="V6179" s="22">
        <f>4.16/5</f>
        <v>0.83200000000000007</v>
      </c>
      <c r="X6179" s="3">
        <v>2</v>
      </c>
      <c r="AB6179" s="18">
        <f t="shared" si="192"/>
        <v>2006</v>
      </c>
      <c r="AC6179" s="22">
        <f t="shared" si="193"/>
        <v>0.6160000000000001</v>
      </c>
    </row>
    <row r="6180" spans="1:29" ht="25.5">
      <c r="A6180" s="8" t="s">
        <v>15132</v>
      </c>
      <c r="B6180" s="17" t="s">
        <v>7782</v>
      </c>
      <c r="C6180" s="13">
        <v>38826</v>
      </c>
      <c r="D6180" s="13" t="s">
        <v>8465</v>
      </c>
      <c r="E6180" s="10" t="s">
        <v>73</v>
      </c>
      <c r="F6180" s="10" t="s">
        <v>73</v>
      </c>
      <c r="G6180" s="11" t="s">
        <v>943</v>
      </c>
      <c r="H6180" s="2" t="s">
        <v>1061</v>
      </c>
      <c r="L6180" s="18">
        <v>0</v>
      </c>
      <c r="Q6180" s="18">
        <v>0</v>
      </c>
      <c r="V6180" s="22">
        <f>3.47/5</f>
        <v>0.69400000000000006</v>
      </c>
      <c r="X6180" s="3">
        <v>2</v>
      </c>
      <c r="Z6180" s="23">
        <f>15/60</f>
        <v>0.25</v>
      </c>
      <c r="AB6180" s="18">
        <f t="shared" si="192"/>
        <v>2006</v>
      </c>
      <c r="AC6180" s="22">
        <f t="shared" si="193"/>
        <v>0.54700000000000004</v>
      </c>
    </row>
    <row r="6181" spans="1:29" ht="25.5">
      <c r="A6181" s="8" t="s">
        <v>11190</v>
      </c>
      <c r="B6181" s="17" t="s">
        <v>7764</v>
      </c>
      <c r="C6181" s="13">
        <v>38825</v>
      </c>
      <c r="D6181" s="13" t="s">
        <v>8465</v>
      </c>
      <c r="E6181" s="10" t="s">
        <v>11188</v>
      </c>
      <c r="F6181" s="10" t="s">
        <v>11188</v>
      </c>
      <c r="G6181" s="11" t="s">
        <v>567</v>
      </c>
      <c r="H6181" s="2" t="s">
        <v>459</v>
      </c>
      <c r="L6181" s="18">
        <v>0</v>
      </c>
      <c r="Q6181" s="18">
        <v>0</v>
      </c>
      <c r="U6181" s="22">
        <v>0.62</v>
      </c>
      <c r="V6181" s="22">
        <f>3.71/5</f>
        <v>0.74199999999999999</v>
      </c>
      <c r="X6181" s="3">
        <v>2</v>
      </c>
      <c r="Z6181" s="23">
        <f>18/60</f>
        <v>0.3</v>
      </c>
      <c r="AB6181" s="18">
        <f t="shared" si="192"/>
        <v>2006</v>
      </c>
      <c r="AC6181" s="22">
        <f t="shared" si="193"/>
        <v>0.58733333333333337</v>
      </c>
    </row>
    <row r="6182" spans="1:29">
      <c r="A6182" s="8" t="s">
        <v>2166</v>
      </c>
      <c r="B6182" s="17" t="s">
        <v>7748</v>
      </c>
      <c r="C6182" s="13">
        <v>38820</v>
      </c>
      <c r="D6182" s="13" t="s">
        <v>8463</v>
      </c>
      <c r="E6182" s="10" t="s">
        <v>86</v>
      </c>
      <c r="F6182" s="10" t="s">
        <v>58</v>
      </c>
      <c r="G6182" s="11" t="s">
        <v>1950</v>
      </c>
      <c r="H6182" s="2" t="s">
        <v>64</v>
      </c>
      <c r="K6182" s="18">
        <v>0</v>
      </c>
      <c r="L6182" s="18">
        <v>0</v>
      </c>
      <c r="Q6182" s="18">
        <v>0</v>
      </c>
      <c r="U6182" s="22">
        <v>0.8</v>
      </c>
      <c r="V6182" s="22">
        <f>3.9/5</f>
        <v>0.78</v>
      </c>
      <c r="X6182" s="3">
        <v>3</v>
      </c>
      <c r="AB6182" s="18">
        <f t="shared" si="192"/>
        <v>2006</v>
      </c>
      <c r="AC6182" s="22">
        <f t="shared" si="193"/>
        <v>0.72666666666666668</v>
      </c>
    </row>
    <row r="6183" spans="1:29">
      <c r="A6183" s="8" t="s">
        <v>11859</v>
      </c>
      <c r="B6183" s="17" t="s">
        <v>7758</v>
      </c>
      <c r="C6183" s="13">
        <v>38820</v>
      </c>
      <c r="D6183" s="13" t="s">
        <v>8465</v>
      </c>
      <c r="E6183" s="10" t="s">
        <v>76</v>
      </c>
      <c r="F6183" s="10" t="s">
        <v>76</v>
      </c>
      <c r="G6183" s="11" t="s">
        <v>7681</v>
      </c>
      <c r="H6183" s="2" t="s">
        <v>1334</v>
      </c>
      <c r="L6183" s="18">
        <v>0</v>
      </c>
      <c r="Q6183" s="18">
        <v>0</v>
      </c>
      <c r="U6183" s="22">
        <v>0.57999999999999996</v>
      </c>
      <c r="V6183" s="22">
        <f>3.36/5</f>
        <v>0.67199999999999993</v>
      </c>
      <c r="X6183" s="3">
        <v>3</v>
      </c>
      <c r="Z6183" s="23">
        <v>34</v>
      </c>
      <c r="AB6183" s="18">
        <f t="shared" si="192"/>
        <v>2006</v>
      </c>
      <c r="AC6183" s="22">
        <f t="shared" si="193"/>
        <v>0.61733333333333329</v>
      </c>
    </row>
    <row r="6184" spans="1:29">
      <c r="A6184" s="8" t="s">
        <v>5437</v>
      </c>
      <c r="B6184" s="17" t="s">
        <v>7800</v>
      </c>
      <c r="C6184" s="13">
        <v>38818</v>
      </c>
      <c r="D6184" s="13" t="s">
        <v>8465</v>
      </c>
      <c r="E6184" s="10" t="s">
        <v>1870</v>
      </c>
      <c r="F6184" s="10" t="s">
        <v>1198</v>
      </c>
      <c r="G6184" s="11" t="s">
        <v>1853</v>
      </c>
      <c r="H6184" s="2" t="s">
        <v>80</v>
      </c>
      <c r="L6184" s="18">
        <v>1</v>
      </c>
      <c r="N6184" s="13">
        <v>42113</v>
      </c>
      <c r="O6184" s="29">
        <v>1.64</v>
      </c>
      <c r="P6184" s="18" t="s">
        <v>1107</v>
      </c>
      <c r="Q6184" s="18">
        <v>0</v>
      </c>
      <c r="U6184" s="22">
        <v>0.82</v>
      </c>
      <c r="V6184" s="22">
        <f>3.78/5</f>
        <v>0.75600000000000001</v>
      </c>
      <c r="W6184" s="14" t="s">
        <v>7777</v>
      </c>
      <c r="X6184" s="3">
        <v>4</v>
      </c>
      <c r="Z6184" s="23">
        <v>7.5</v>
      </c>
      <c r="AB6184" s="18">
        <f t="shared" si="192"/>
        <v>2006</v>
      </c>
      <c r="AC6184" s="22">
        <f t="shared" si="193"/>
        <v>0.79200000000000015</v>
      </c>
    </row>
    <row r="6185" spans="1:29" ht="30">
      <c r="A6185" s="8" t="s">
        <v>8173</v>
      </c>
      <c r="B6185" s="17" t="s">
        <v>7758</v>
      </c>
      <c r="C6185" s="13">
        <v>38818</v>
      </c>
      <c r="D6185" s="13" t="s">
        <v>8465</v>
      </c>
      <c r="E6185" s="10" t="s">
        <v>1509</v>
      </c>
      <c r="F6185" s="10" t="s">
        <v>1505</v>
      </c>
      <c r="G6185" s="11" t="s">
        <v>8174</v>
      </c>
      <c r="H6185" s="2" t="s">
        <v>153</v>
      </c>
      <c r="L6185" s="18">
        <v>0</v>
      </c>
      <c r="Q6185" s="18">
        <v>0</v>
      </c>
      <c r="U6185" s="22">
        <v>0.66169999999999995</v>
      </c>
      <c r="V6185" s="22">
        <f>3.6/5</f>
        <v>0.72</v>
      </c>
      <c r="X6185" s="3">
        <v>3</v>
      </c>
      <c r="Z6185" s="23">
        <v>7</v>
      </c>
      <c r="AB6185" s="18">
        <f t="shared" si="192"/>
        <v>2006</v>
      </c>
      <c r="AC6185" s="22">
        <f t="shared" si="193"/>
        <v>0.66056666666666664</v>
      </c>
    </row>
    <row r="6186" spans="1:29" ht="30">
      <c r="A6186" s="8" t="s">
        <v>6654</v>
      </c>
      <c r="B6186" s="17" t="s">
        <v>7740</v>
      </c>
      <c r="C6186" s="13">
        <v>38817</v>
      </c>
      <c r="D6186" s="13" t="s">
        <v>8465</v>
      </c>
      <c r="E6186" s="10" t="s">
        <v>86</v>
      </c>
      <c r="F6186" s="10" t="s">
        <v>6655</v>
      </c>
      <c r="H6186" s="2" t="s">
        <v>1383</v>
      </c>
      <c r="L6186" s="18">
        <v>0</v>
      </c>
      <c r="Q6186" s="18">
        <v>0</v>
      </c>
      <c r="U6186" s="22">
        <v>0.64</v>
      </c>
      <c r="V6186" s="22">
        <f>3.11/5</f>
        <v>0.622</v>
      </c>
      <c r="X6186" s="3">
        <v>3</v>
      </c>
      <c r="Z6186" s="23">
        <v>6</v>
      </c>
      <c r="AB6186" s="18">
        <f t="shared" si="192"/>
        <v>2006</v>
      </c>
      <c r="AC6186" s="22">
        <f t="shared" si="193"/>
        <v>0.6206666666666667</v>
      </c>
    </row>
    <row r="6187" spans="1:29" ht="30">
      <c r="A6187" s="8" t="s">
        <v>14859</v>
      </c>
      <c r="B6187" s="17" t="s">
        <v>7793</v>
      </c>
      <c r="C6187" s="13">
        <v>38813</v>
      </c>
      <c r="D6187" s="13" t="s">
        <v>8465</v>
      </c>
      <c r="E6187" s="10" t="s">
        <v>1342</v>
      </c>
      <c r="F6187" s="10" t="s">
        <v>14860</v>
      </c>
      <c r="G6187" s="11" t="s">
        <v>5534</v>
      </c>
      <c r="H6187" s="2" t="s">
        <v>3937</v>
      </c>
      <c r="L6187" s="18">
        <v>0</v>
      </c>
      <c r="Q6187" s="18">
        <v>0</v>
      </c>
      <c r="V6187" s="22">
        <f>2.5/5</f>
        <v>0.5</v>
      </c>
      <c r="X6187" s="3">
        <v>2</v>
      </c>
      <c r="AB6187" s="18">
        <f t="shared" si="192"/>
        <v>2006</v>
      </c>
      <c r="AC6187" s="22">
        <f t="shared" si="193"/>
        <v>0.45</v>
      </c>
    </row>
    <row r="6188" spans="1:29">
      <c r="A6188" s="8" t="s">
        <v>12015</v>
      </c>
      <c r="B6188" s="17" t="s">
        <v>7748</v>
      </c>
      <c r="C6188" s="13">
        <v>38806</v>
      </c>
      <c r="D6188" s="13" t="s">
        <v>8463</v>
      </c>
      <c r="E6188" s="10" t="s">
        <v>158</v>
      </c>
      <c r="F6188" s="10" t="s">
        <v>1145</v>
      </c>
      <c r="G6188" s="11" t="s">
        <v>1146</v>
      </c>
      <c r="H6188" s="2" t="s">
        <v>149</v>
      </c>
      <c r="K6188" s="18">
        <v>0</v>
      </c>
      <c r="L6188" s="18">
        <v>0</v>
      </c>
      <c r="Q6188" s="18">
        <v>0</v>
      </c>
      <c r="V6188" s="22">
        <f>4.06/5</f>
        <v>0.81199999999999994</v>
      </c>
      <c r="X6188" s="3">
        <v>4</v>
      </c>
      <c r="Z6188" s="23">
        <v>20</v>
      </c>
      <c r="AB6188" s="18">
        <f t="shared" si="192"/>
        <v>2006</v>
      </c>
      <c r="AC6188" s="22">
        <f t="shared" si="193"/>
        <v>0.80600000000000005</v>
      </c>
    </row>
    <row r="6189" spans="1:29" ht="30">
      <c r="A6189" s="8" t="s">
        <v>10875</v>
      </c>
      <c r="B6189" s="17" t="s">
        <v>7758</v>
      </c>
      <c r="C6189" s="13">
        <v>38806</v>
      </c>
      <c r="D6189" s="13" t="s">
        <v>8463</v>
      </c>
      <c r="E6189" s="10" t="s">
        <v>470</v>
      </c>
      <c r="F6189" s="10" t="s">
        <v>1580</v>
      </c>
      <c r="G6189" s="11" t="s">
        <v>10874</v>
      </c>
      <c r="H6189" s="2" t="s">
        <v>1204</v>
      </c>
      <c r="K6189" s="18">
        <v>1</v>
      </c>
      <c r="L6189" s="18">
        <v>0</v>
      </c>
      <c r="Q6189" s="18">
        <v>0</v>
      </c>
      <c r="V6189" s="22">
        <f>4.23/5</f>
        <v>0.84600000000000009</v>
      </c>
      <c r="X6189" s="3">
        <v>3</v>
      </c>
      <c r="Z6189" s="23">
        <v>10.5</v>
      </c>
      <c r="AB6189" s="18">
        <f t="shared" si="192"/>
        <v>2006</v>
      </c>
      <c r="AC6189" s="22">
        <f t="shared" si="193"/>
        <v>0.72300000000000009</v>
      </c>
    </row>
    <row r="6190" spans="1:29" ht="30">
      <c r="A6190" s="8" t="s">
        <v>11975</v>
      </c>
      <c r="B6190" s="17" t="s">
        <v>7762</v>
      </c>
      <c r="C6190" s="13">
        <v>38805</v>
      </c>
      <c r="D6190" s="13" t="s">
        <v>8465</v>
      </c>
      <c r="E6190" s="10" t="s">
        <v>311</v>
      </c>
      <c r="F6190" s="10" t="s">
        <v>11973</v>
      </c>
      <c r="G6190" s="11" t="s">
        <v>11970</v>
      </c>
      <c r="H6190" s="2" t="s">
        <v>1040</v>
      </c>
      <c r="L6190" s="18">
        <v>0</v>
      </c>
      <c r="Q6190" s="18">
        <v>0</v>
      </c>
      <c r="U6190" s="22">
        <v>0.56999999999999995</v>
      </c>
      <c r="V6190" s="22">
        <f>2.97/5</f>
        <v>0.59400000000000008</v>
      </c>
      <c r="X6190" s="3">
        <v>2</v>
      </c>
      <c r="Z6190" s="23">
        <v>4.5</v>
      </c>
      <c r="AB6190" s="18">
        <f t="shared" si="192"/>
        <v>2006</v>
      </c>
      <c r="AC6190" s="22">
        <f t="shared" si="193"/>
        <v>0.52133333333333332</v>
      </c>
    </row>
    <row r="6191" spans="1:29">
      <c r="A6191" s="8" t="s">
        <v>5821</v>
      </c>
      <c r="B6191" s="17" t="s">
        <v>7758</v>
      </c>
      <c r="C6191" s="13">
        <v>38804</v>
      </c>
      <c r="D6191" s="13" t="s">
        <v>8465</v>
      </c>
      <c r="E6191" s="10" t="s">
        <v>1082</v>
      </c>
      <c r="F6191" s="10" t="s">
        <v>1082</v>
      </c>
      <c r="G6191" s="11" t="s">
        <v>1957</v>
      </c>
      <c r="H6191" s="2" t="s">
        <v>171</v>
      </c>
      <c r="L6191" s="18">
        <v>0</v>
      </c>
      <c r="Q6191" s="18">
        <v>0</v>
      </c>
      <c r="U6191" s="22">
        <v>0.87</v>
      </c>
      <c r="V6191" s="22">
        <f>4.43/5</f>
        <v>0.8859999999999999</v>
      </c>
      <c r="X6191" s="3">
        <v>4</v>
      </c>
      <c r="Z6191" s="23">
        <v>32</v>
      </c>
      <c r="AB6191" s="18">
        <f t="shared" si="192"/>
        <v>2006</v>
      </c>
      <c r="AC6191" s="22">
        <f t="shared" si="193"/>
        <v>0.85199999999999998</v>
      </c>
    </row>
    <row r="6192" spans="1:29" ht="30">
      <c r="A6192" s="8" t="s">
        <v>6644</v>
      </c>
      <c r="B6192" s="17" t="s">
        <v>7740</v>
      </c>
      <c r="C6192" s="13">
        <v>38804</v>
      </c>
      <c r="D6192" s="13" t="s">
        <v>8465</v>
      </c>
      <c r="E6192" s="10" t="s">
        <v>66</v>
      </c>
      <c r="F6192" s="10" t="s">
        <v>6645</v>
      </c>
      <c r="G6192" s="11" t="s">
        <v>710</v>
      </c>
      <c r="H6192" s="2" t="s">
        <v>1334</v>
      </c>
      <c r="L6192" s="18">
        <v>0</v>
      </c>
      <c r="Q6192" s="18">
        <v>0</v>
      </c>
      <c r="U6192" s="22">
        <v>0.84</v>
      </c>
      <c r="V6192" s="22">
        <f>3.94/5</f>
        <v>0.78800000000000003</v>
      </c>
      <c r="X6192" s="3">
        <v>3</v>
      </c>
      <c r="Z6192" s="23">
        <v>29.5</v>
      </c>
      <c r="AB6192" s="18">
        <f t="shared" si="192"/>
        <v>2006</v>
      </c>
      <c r="AC6192" s="22">
        <f t="shared" si="193"/>
        <v>0.7426666666666667</v>
      </c>
    </row>
    <row r="6193" spans="1:29" ht="25.5">
      <c r="A6193" s="8" t="s">
        <v>11444</v>
      </c>
      <c r="B6193" s="17" t="s">
        <v>7758</v>
      </c>
      <c r="C6193" s="13">
        <v>38804</v>
      </c>
      <c r="D6193" s="13" t="s">
        <v>8465</v>
      </c>
      <c r="E6193" s="10" t="s">
        <v>68</v>
      </c>
      <c r="F6193" s="10" t="s">
        <v>1471</v>
      </c>
      <c r="G6193" s="11" t="s">
        <v>7935</v>
      </c>
      <c r="H6193" s="2" t="s">
        <v>1059</v>
      </c>
      <c r="L6193" s="18">
        <v>0</v>
      </c>
      <c r="Q6193" s="18">
        <v>0</v>
      </c>
      <c r="U6193" s="22">
        <v>0.62</v>
      </c>
      <c r="V6193" s="22">
        <f>3.99/5</f>
        <v>0.79800000000000004</v>
      </c>
      <c r="X6193" s="3">
        <v>2</v>
      </c>
      <c r="Z6193" s="23">
        <v>14</v>
      </c>
      <c r="AB6193" s="18">
        <f t="shared" si="192"/>
        <v>2006</v>
      </c>
      <c r="AC6193" s="22">
        <f t="shared" si="193"/>
        <v>0.60599999999999998</v>
      </c>
    </row>
    <row r="6194" spans="1:29" ht="30">
      <c r="A6194" s="8" t="s">
        <v>12818</v>
      </c>
      <c r="B6194" s="17" t="s">
        <v>7762</v>
      </c>
      <c r="C6194" s="13">
        <v>38804</v>
      </c>
      <c r="D6194" s="13" t="s">
        <v>8465</v>
      </c>
      <c r="E6194" s="10" t="s">
        <v>8952</v>
      </c>
      <c r="F6194" s="10" t="s">
        <v>8952</v>
      </c>
      <c r="G6194" s="11" t="s">
        <v>12816</v>
      </c>
      <c r="H6194" s="2" t="s">
        <v>171</v>
      </c>
      <c r="L6194" s="18">
        <v>0</v>
      </c>
      <c r="Q6194" s="18">
        <v>0</v>
      </c>
      <c r="U6194" s="22">
        <v>0.65</v>
      </c>
      <c r="V6194" s="22">
        <f>3.48/5</f>
        <v>0.69599999999999995</v>
      </c>
      <c r="X6194" s="3">
        <v>2</v>
      </c>
      <c r="Z6194" s="23">
        <v>21</v>
      </c>
      <c r="AB6194" s="18">
        <f t="shared" si="192"/>
        <v>2006</v>
      </c>
      <c r="AC6194" s="22">
        <f t="shared" si="193"/>
        <v>0.58199999999999996</v>
      </c>
    </row>
    <row r="6195" spans="1:29" ht="25.5">
      <c r="A6195" s="8" t="s">
        <v>9849</v>
      </c>
      <c r="B6195" s="17" t="s">
        <v>7758</v>
      </c>
      <c r="C6195" s="13">
        <v>38804</v>
      </c>
      <c r="D6195" s="13" t="s">
        <v>8465</v>
      </c>
      <c r="E6195" s="10" t="s">
        <v>66</v>
      </c>
      <c r="F6195" s="10" t="s">
        <v>5025</v>
      </c>
      <c r="G6195" s="11" t="s">
        <v>9850</v>
      </c>
      <c r="H6195" s="2" t="s">
        <v>1334</v>
      </c>
      <c r="L6195" s="18">
        <v>0</v>
      </c>
      <c r="Q6195" s="18">
        <v>0</v>
      </c>
      <c r="U6195" s="22">
        <v>0.51</v>
      </c>
      <c r="V6195" s="22">
        <f>3.17/5</f>
        <v>0.63400000000000001</v>
      </c>
      <c r="X6195" s="3">
        <v>2</v>
      </c>
      <c r="AB6195" s="18">
        <f t="shared" si="192"/>
        <v>2006</v>
      </c>
      <c r="AC6195" s="22">
        <f t="shared" si="193"/>
        <v>0.51466666666666672</v>
      </c>
    </row>
    <row r="6196" spans="1:29" ht="25.5">
      <c r="A6196" s="8" t="s">
        <v>9263</v>
      </c>
      <c r="B6196" s="17" t="s">
        <v>7764</v>
      </c>
      <c r="C6196" s="13">
        <v>38804</v>
      </c>
      <c r="D6196" s="13" t="s">
        <v>8465</v>
      </c>
      <c r="E6196" s="10" t="s">
        <v>1047</v>
      </c>
      <c r="F6196" s="10" t="s">
        <v>1048</v>
      </c>
      <c r="G6196" s="11" t="s">
        <v>1049</v>
      </c>
      <c r="H6196" s="2" t="s">
        <v>1050</v>
      </c>
      <c r="L6196" s="18">
        <v>0</v>
      </c>
      <c r="Q6196" s="18">
        <v>0</v>
      </c>
      <c r="U6196" s="22">
        <v>0.78</v>
      </c>
      <c r="V6196" s="22">
        <f>3.53/5</f>
        <v>0.70599999999999996</v>
      </c>
      <c r="X6196" s="3">
        <v>2</v>
      </c>
      <c r="Y6196" s="18">
        <v>1</v>
      </c>
      <c r="Z6196" s="23">
        <v>7</v>
      </c>
      <c r="AB6196" s="18">
        <f t="shared" si="192"/>
        <v>2006</v>
      </c>
      <c r="AC6196" s="22">
        <f t="shared" si="193"/>
        <v>0.62866666666666671</v>
      </c>
    </row>
    <row r="6197" spans="1:29" ht="25.5">
      <c r="A6197" s="8" t="s">
        <v>10308</v>
      </c>
      <c r="B6197" s="17" t="s">
        <v>7765</v>
      </c>
      <c r="C6197" s="13">
        <v>38804</v>
      </c>
      <c r="D6197" s="13" t="s">
        <v>8465</v>
      </c>
      <c r="E6197" s="10" t="s">
        <v>1047</v>
      </c>
      <c r="F6197" s="10" t="s">
        <v>1048</v>
      </c>
      <c r="G6197" s="11" t="s">
        <v>1049</v>
      </c>
      <c r="H6197" s="2" t="s">
        <v>1050</v>
      </c>
      <c r="L6197" s="18">
        <v>1</v>
      </c>
      <c r="N6197" s="13">
        <v>44537</v>
      </c>
      <c r="O6197" s="29">
        <v>5.99</v>
      </c>
      <c r="P6197" s="18" t="s">
        <v>1107</v>
      </c>
      <c r="Q6197" s="18">
        <v>0</v>
      </c>
      <c r="U6197" s="22">
        <v>0.78</v>
      </c>
      <c r="V6197" s="22">
        <f>3.26/5</f>
        <v>0.65199999999999991</v>
      </c>
      <c r="X6197" s="3">
        <v>2</v>
      </c>
      <c r="Z6197" s="23">
        <v>15</v>
      </c>
      <c r="AB6197" s="18">
        <f t="shared" si="192"/>
        <v>2006</v>
      </c>
      <c r="AC6197" s="22">
        <f t="shared" si="193"/>
        <v>0.61066666666666658</v>
      </c>
    </row>
    <row r="6198" spans="1:29">
      <c r="A6198" s="8" t="s">
        <v>11011</v>
      </c>
      <c r="B6198" s="17" t="s">
        <v>7755</v>
      </c>
      <c r="C6198" s="13">
        <v>38799</v>
      </c>
      <c r="D6198" s="13" t="s">
        <v>8463</v>
      </c>
      <c r="E6198" s="10" t="s">
        <v>10991</v>
      </c>
      <c r="F6198" s="10" t="s">
        <v>10991</v>
      </c>
      <c r="H6198" s="2" t="s">
        <v>21</v>
      </c>
      <c r="K6198" s="18">
        <v>0</v>
      </c>
      <c r="L6198" s="18">
        <v>0</v>
      </c>
      <c r="Q6198" s="18">
        <v>0</v>
      </c>
      <c r="V6198" s="22">
        <f>4.01/5</f>
        <v>0.80199999999999994</v>
      </c>
      <c r="X6198" s="3">
        <v>3</v>
      </c>
      <c r="Z6198" s="23">
        <v>1.5</v>
      </c>
      <c r="AB6198" s="18">
        <f t="shared" si="192"/>
        <v>2006</v>
      </c>
      <c r="AC6198" s="22">
        <f t="shared" si="193"/>
        <v>0.70099999999999996</v>
      </c>
    </row>
    <row r="6199" spans="1:29">
      <c r="A6199" s="8" t="s">
        <v>5777</v>
      </c>
      <c r="B6199" s="17" t="s">
        <v>7758</v>
      </c>
      <c r="C6199" s="13">
        <v>38797</v>
      </c>
      <c r="D6199" s="13" t="s">
        <v>8465</v>
      </c>
      <c r="E6199" s="10" t="s">
        <v>72</v>
      </c>
      <c r="F6199" s="10" t="s">
        <v>72</v>
      </c>
      <c r="G6199" s="11" t="s">
        <v>2318</v>
      </c>
      <c r="H6199" s="2" t="s">
        <v>149</v>
      </c>
      <c r="L6199" s="18">
        <v>0</v>
      </c>
      <c r="Q6199" s="18">
        <v>0</v>
      </c>
      <c r="U6199" s="22">
        <v>0.79</v>
      </c>
      <c r="V6199" s="22">
        <f>4.19/5</f>
        <v>0.83800000000000008</v>
      </c>
      <c r="X6199" s="3">
        <v>3</v>
      </c>
      <c r="Z6199" s="23">
        <v>51</v>
      </c>
      <c r="AB6199" s="18">
        <f t="shared" si="192"/>
        <v>2006</v>
      </c>
      <c r="AC6199" s="22">
        <f t="shared" si="193"/>
        <v>0.7426666666666667</v>
      </c>
    </row>
    <row r="6200" spans="1:29" ht="30">
      <c r="A6200" s="8" t="s">
        <v>6220</v>
      </c>
      <c r="B6200" s="17" t="s">
        <v>7762</v>
      </c>
      <c r="C6200" s="13">
        <v>38797</v>
      </c>
      <c r="D6200" s="13" t="s">
        <v>8465</v>
      </c>
      <c r="E6200" s="10" t="s">
        <v>72</v>
      </c>
      <c r="F6200" s="10" t="s">
        <v>1940</v>
      </c>
      <c r="G6200" s="11" t="s">
        <v>220</v>
      </c>
      <c r="H6200" s="2" t="s">
        <v>245</v>
      </c>
      <c r="L6200" s="18">
        <v>0</v>
      </c>
      <c r="Q6200" s="18">
        <v>0</v>
      </c>
      <c r="U6200" s="22">
        <v>0.8</v>
      </c>
      <c r="V6200" s="22">
        <f>3.86/5</f>
        <v>0.77200000000000002</v>
      </c>
      <c r="X6200" s="3">
        <v>3</v>
      </c>
      <c r="Z6200" s="23">
        <v>14</v>
      </c>
      <c r="AB6200" s="18">
        <f t="shared" si="192"/>
        <v>2006</v>
      </c>
      <c r="AC6200" s="22">
        <f t="shared" si="193"/>
        <v>0.72400000000000009</v>
      </c>
    </row>
    <row r="6201" spans="1:29" ht="30">
      <c r="A6201" s="8" t="s">
        <v>11571</v>
      </c>
      <c r="B6201" s="17" t="s">
        <v>7762</v>
      </c>
      <c r="C6201" s="13">
        <v>38797</v>
      </c>
      <c r="D6201" s="13" t="s">
        <v>8465</v>
      </c>
      <c r="E6201" s="10" t="s">
        <v>158</v>
      </c>
      <c r="F6201" s="10" t="s">
        <v>158</v>
      </c>
      <c r="G6201" s="11" t="s">
        <v>1615</v>
      </c>
      <c r="H6201" s="2" t="s">
        <v>31</v>
      </c>
      <c r="L6201" s="18">
        <v>0</v>
      </c>
      <c r="Q6201" s="18">
        <v>0</v>
      </c>
      <c r="U6201" s="22">
        <v>0.75</v>
      </c>
      <c r="V6201" s="22">
        <f>3.9/5</f>
        <v>0.78</v>
      </c>
      <c r="X6201" s="3">
        <v>3</v>
      </c>
      <c r="Z6201" s="23">
        <v>7</v>
      </c>
      <c r="AB6201" s="18">
        <f t="shared" si="192"/>
        <v>2006</v>
      </c>
      <c r="AC6201" s="22">
        <f t="shared" si="193"/>
        <v>0.71</v>
      </c>
    </row>
    <row r="6202" spans="1:29" ht="38.25">
      <c r="A6202" s="8" t="s">
        <v>1877</v>
      </c>
      <c r="B6202" s="17" t="s">
        <v>7748</v>
      </c>
      <c r="C6202" s="13">
        <v>38797</v>
      </c>
      <c r="D6202" s="13" t="s">
        <v>8465</v>
      </c>
      <c r="E6202" s="10" t="s">
        <v>72</v>
      </c>
      <c r="F6202" s="10" t="s">
        <v>72</v>
      </c>
      <c r="G6202" s="11" t="s">
        <v>1831</v>
      </c>
      <c r="H6202" s="2" t="s">
        <v>149</v>
      </c>
      <c r="L6202" s="18">
        <v>0</v>
      </c>
      <c r="Q6202" s="18">
        <v>0</v>
      </c>
      <c r="U6202" s="22">
        <v>0.52</v>
      </c>
      <c r="V6202" s="22">
        <f>2.8/5</f>
        <v>0.55999999999999994</v>
      </c>
      <c r="X6202" s="3">
        <v>3</v>
      </c>
      <c r="Z6202" s="23">
        <v>45</v>
      </c>
      <c r="AB6202" s="18">
        <f t="shared" si="192"/>
        <v>2006</v>
      </c>
      <c r="AC6202" s="22">
        <f t="shared" si="193"/>
        <v>0.56000000000000005</v>
      </c>
    </row>
    <row r="6203" spans="1:29" ht="25.5">
      <c r="A6203" s="8" t="s">
        <v>11972</v>
      </c>
      <c r="B6203" s="17" t="s">
        <v>7800</v>
      </c>
      <c r="C6203" s="13">
        <v>38797</v>
      </c>
      <c r="D6203" s="13" t="s">
        <v>8465</v>
      </c>
      <c r="E6203" s="10" t="s">
        <v>311</v>
      </c>
      <c r="F6203" s="10" t="s">
        <v>11973</v>
      </c>
      <c r="G6203" s="11" t="s">
        <v>11970</v>
      </c>
      <c r="H6203" s="2" t="s">
        <v>1040</v>
      </c>
      <c r="L6203" s="18">
        <v>1</v>
      </c>
      <c r="P6203" s="18" t="s">
        <v>1107</v>
      </c>
      <c r="Q6203" s="18">
        <v>0</v>
      </c>
      <c r="V6203" s="22">
        <f>3.39/5</f>
        <v>0.67800000000000005</v>
      </c>
      <c r="W6203" s="14" t="s">
        <v>7777</v>
      </c>
      <c r="X6203" s="3">
        <v>2</v>
      </c>
      <c r="Z6203" s="23">
        <v>4.5</v>
      </c>
      <c r="AB6203" s="18">
        <f t="shared" si="192"/>
        <v>2006</v>
      </c>
      <c r="AC6203" s="22">
        <f t="shared" si="193"/>
        <v>0.53900000000000003</v>
      </c>
    </row>
    <row r="6204" spans="1:29">
      <c r="A6204" s="8" t="s">
        <v>2273</v>
      </c>
      <c r="B6204" s="17" t="s">
        <v>7748</v>
      </c>
      <c r="C6204" s="13">
        <v>38796</v>
      </c>
      <c r="D6204" s="13" t="s">
        <v>8465</v>
      </c>
      <c r="E6204" s="10" t="s">
        <v>86</v>
      </c>
      <c r="F6204" s="10" t="s">
        <v>1515</v>
      </c>
      <c r="G6204" s="11" t="s">
        <v>98</v>
      </c>
      <c r="H6204" s="2" t="s">
        <v>78</v>
      </c>
      <c r="L6204" s="18">
        <v>0</v>
      </c>
      <c r="Q6204" s="18">
        <v>0</v>
      </c>
      <c r="U6204" s="22">
        <v>0.87</v>
      </c>
      <c r="V6204" s="22">
        <f>4.16/5</f>
        <v>0.83200000000000007</v>
      </c>
      <c r="X6204" s="3">
        <v>4</v>
      </c>
      <c r="Z6204" s="23">
        <v>17</v>
      </c>
      <c r="AB6204" s="18">
        <f t="shared" si="192"/>
        <v>2006</v>
      </c>
      <c r="AC6204" s="22">
        <f t="shared" si="193"/>
        <v>0.83399999999999996</v>
      </c>
    </row>
    <row r="6205" spans="1:29" ht="25.5">
      <c r="A6205" s="8" t="s">
        <v>5304</v>
      </c>
      <c r="B6205" s="17" t="s">
        <v>7800</v>
      </c>
      <c r="C6205" s="13">
        <v>38796</v>
      </c>
      <c r="D6205" s="13" t="s">
        <v>8465</v>
      </c>
      <c r="E6205" s="10" t="s">
        <v>1690</v>
      </c>
      <c r="F6205" s="10" t="s">
        <v>1691</v>
      </c>
      <c r="G6205" s="11" t="s">
        <v>1207</v>
      </c>
      <c r="H6205" s="2" t="s">
        <v>171</v>
      </c>
      <c r="L6205" s="18">
        <v>1</v>
      </c>
      <c r="N6205" s="13">
        <v>41123</v>
      </c>
      <c r="O6205" s="29">
        <v>8.49</v>
      </c>
      <c r="P6205" s="18" t="s">
        <v>1107</v>
      </c>
      <c r="Q6205" s="18">
        <v>0</v>
      </c>
      <c r="U6205" s="22">
        <v>0.93</v>
      </c>
      <c r="V6205" s="22">
        <f>4.17/5</f>
        <v>0.83399999999999996</v>
      </c>
      <c r="W6205" s="14" t="s">
        <v>7777</v>
      </c>
      <c r="X6205" s="3">
        <v>3</v>
      </c>
      <c r="Z6205" s="23">
        <v>27</v>
      </c>
      <c r="AB6205" s="18">
        <f t="shared" si="192"/>
        <v>2006</v>
      </c>
      <c r="AC6205" s="22">
        <f t="shared" si="193"/>
        <v>0.78799999999999992</v>
      </c>
    </row>
    <row r="6206" spans="1:29">
      <c r="A6206" s="8" t="s">
        <v>14705</v>
      </c>
      <c r="B6206" s="17" t="s">
        <v>7758</v>
      </c>
      <c r="C6206" s="13">
        <v>38793</v>
      </c>
      <c r="D6206" s="13" t="s">
        <v>8467</v>
      </c>
      <c r="E6206" s="10" t="s">
        <v>4511</v>
      </c>
      <c r="F6206" s="10" t="s">
        <v>14706</v>
      </c>
      <c r="H6206" s="2" t="s">
        <v>1040</v>
      </c>
      <c r="L6206" s="18">
        <v>0</v>
      </c>
      <c r="Q6206" s="18">
        <v>0</v>
      </c>
      <c r="V6206" s="22">
        <f>2.63/5</f>
        <v>0.52600000000000002</v>
      </c>
      <c r="X6206" s="3">
        <v>2</v>
      </c>
      <c r="Z6206" s="23">
        <v>1.5</v>
      </c>
      <c r="AB6206" s="18">
        <f t="shared" si="192"/>
        <v>2006</v>
      </c>
      <c r="AC6206" s="22">
        <f t="shared" si="193"/>
        <v>0.46300000000000002</v>
      </c>
    </row>
    <row r="6207" spans="1:29" ht="30">
      <c r="A6207" s="8" t="s">
        <v>6235</v>
      </c>
      <c r="B6207" s="17" t="s">
        <v>7762</v>
      </c>
      <c r="C6207" s="13">
        <v>38790</v>
      </c>
      <c r="D6207" s="13" t="s">
        <v>8465</v>
      </c>
      <c r="E6207" s="10" t="s">
        <v>1290</v>
      </c>
      <c r="F6207" s="10" t="s">
        <v>1555</v>
      </c>
      <c r="G6207" s="11" t="s">
        <v>5880</v>
      </c>
      <c r="H6207" s="2" t="s">
        <v>1040</v>
      </c>
      <c r="L6207" s="18">
        <v>0</v>
      </c>
      <c r="Q6207" s="18">
        <v>0</v>
      </c>
      <c r="U6207" s="22">
        <v>0.86</v>
      </c>
      <c r="V6207" s="22">
        <f>3.81/5</f>
        <v>0.76200000000000001</v>
      </c>
      <c r="X6207" s="3">
        <v>4</v>
      </c>
      <c r="Z6207" s="23">
        <v>7.5</v>
      </c>
      <c r="AB6207" s="18">
        <f t="shared" si="192"/>
        <v>2006</v>
      </c>
      <c r="AC6207" s="22">
        <f t="shared" si="193"/>
        <v>0.80733333333333324</v>
      </c>
    </row>
    <row r="6208" spans="1:29" ht="30">
      <c r="A6208" s="8" t="s">
        <v>6218</v>
      </c>
      <c r="B6208" s="17" t="s">
        <v>7762</v>
      </c>
      <c r="C6208" s="13">
        <v>38790</v>
      </c>
      <c r="D6208" s="13" t="s">
        <v>8465</v>
      </c>
      <c r="E6208" s="10" t="s">
        <v>73</v>
      </c>
      <c r="F6208" s="10" t="s">
        <v>73</v>
      </c>
      <c r="G6208" s="11" t="s">
        <v>89</v>
      </c>
      <c r="H6208" s="2" t="s">
        <v>56</v>
      </c>
      <c r="L6208" s="18">
        <v>0</v>
      </c>
      <c r="Q6208" s="18">
        <v>0</v>
      </c>
      <c r="U6208" s="22">
        <v>0.83</v>
      </c>
      <c r="V6208" s="22">
        <f>4.09/5</f>
        <v>0.81799999999999995</v>
      </c>
      <c r="X6208" s="3">
        <v>3</v>
      </c>
      <c r="Z6208" s="23">
        <v>3.5</v>
      </c>
      <c r="AB6208" s="18">
        <f t="shared" si="192"/>
        <v>2006</v>
      </c>
      <c r="AC6208" s="22">
        <f t="shared" si="193"/>
        <v>0.7493333333333333</v>
      </c>
    </row>
    <row r="6209" spans="1:29" ht="30">
      <c r="A6209" s="8" t="s">
        <v>6080</v>
      </c>
      <c r="B6209" s="17" t="s">
        <v>7762</v>
      </c>
      <c r="C6209" s="13">
        <v>38790</v>
      </c>
      <c r="D6209" s="13" t="s">
        <v>8465</v>
      </c>
      <c r="E6209" s="10" t="s">
        <v>2908</v>
      </c>
      <c r="F6209" s="10" t="s">
        <v>3028</v>
      </c>
      <c r="G6209" s="11" t="s">
        <v>2996</v>
      </c>
      <c r="H6209" s="2" t="s">
        <v>1168</v>
      </c>
      <c r="L6209" s="18">
        <v>0</v>
      </c>
      <c r="Q6209" s="18">
        <v>0</v>
      </c>
      <c r="U6209" s="22">
        <v>0.87</v>
      </c>
      <c r="V6209" s="22">
        <f>3.71/5</f>
        <v>0.74199999999999999</v>
      </c>
      <c r="X6209" s="3">
        <v>2</v>
      </c>
      <c r="Z6209" s="23">
        <v>7</v>
      </c>
      <c r="AB6209" s="18">
        <f t="shared" ref="AB6209:AB6272" si="194">IFERROR(YEAR(C6209), "Early Access")</f>
        <v>2006</v>
      </c>
      <c r="AC6209" s="22">
        <f t="shared" ref="AC6209:AC6272" si="195">AVERAGE(T6209, U6209, V6209, IF(ISBLANK(X6209), X6209, X6209/5))</f>
        <v>0.67066666666666663</v>
      </c>
    </row>
    <row r="6210" spans="1:29" ht="25.5">
      <c r="A6210" s="8" t="s">
        <v>7446</v>
      </c>
      <c r="B6210" s="17" t="s">
        <v>7764</v>
      </c>
      <c r="C6210" s="13">
        <v>38790</v>
      </c>
      <c r="D6210" s="13" t="s">
        <v>8465</v>
      </c>
      <c r="E6210" s="10" t="s">
        <v>1047</v>
      </c>
      <c r="F6210" s="10" t="s">
        <v>1538</v>
      </c>
      <c r="G6210" s="11" t="s">
        <v>6608</v>
      </c>
      <c r="H6210" s="2" t="s">
        <v>1050</v>
      </c>
      <c r="L6210" s="18">
        <v>0</v>
      </c>
      <c r="Q6210" s="18">
        <v>0</v>
      </c>
      <c r="U6210" s="22">
        <v>0.56999999999999995</v>
      </c>
      <c r="V6210" s="22">
        <f>3.16/5</f>
        <v>0.63200000000000001</v>
      </c>
      <c r="X6210" s="3">
        <v>2</v>
      </c>
      <c r="Y6210" s="18">
        <v>1</v>
      </c>
      <c r="Z6210" s="23">
        <v>3.5</v>
      </c>
      <c r="AB6210" s="18">
        <f t="shared" si="194"/>
        <v>2006</v>
      </c>
      <c r="AC6210" s="22">
        <f t="shared" si="195"/>
        <v>0.53399999999999992</v>
      </c>
    </row>
    <row r="6211" spans="1:29">
      <c r="A6211" s="8" t="s">
        <v>9643</v>
      </c>
      <c r="B6211" s="17" t="s">
        <v>7800</v>
      </c>
      <c r="C6211" s="13">
        <v>38786</v>
      </c>
      <c r="D6211" s="13" t="s">
        <v>8465</v>
      </c>
      <c r="E6211" s="10" t="s">
        <v>9644</v>
      </c>
      <c r="F6211" s="10" t="s">
        <v>9645</v>
      </c>
      <c r="H6211" s="2" t="s">
        <v>1050</v>
      </c>
      <c r="L6211" s="18">
        <v>0</v>
      </c>
      <c r="Q6211" s="18">
        <v>0</v>
      </c>
      <c r="V6211" s="22">
        <f>2.5/5</f>
        <v>0.5</v>
      </c>
      <c r="W6211" s="14" t="s">
        <v>13076</v>
      </c>
      <c r="X6211" s="3">
        <v>2</v>
      </c>
      <c r="AB6211" s="18">
        <f t="shared" si="194"/>
        <v>2006</v>
      </c>
      <c r="AC6211" s="22">
        <f t="shared" si="195"/>
        <v>0.45</v>
      </c>
    </row>
    <row r="6212" spans="1:29" ht="38.25">
      <c r="A6212" s="8" t="s">
        <v>7453</v>
      </c>
      <c r="B6212" s="17" t="s">
        <v>7765</v>
      </c>
      <c r="C6212" s="13">
        <v>38785</v>
      </c>
      <c r="D6212" s="13" t="s">
        <v>8465</v>
      </c>
      <c r="E6212" s="10" t="s">
        <v>1047</v>
      </c>
      <c r="F6212" s="10" t="s">
        <v>1539</v>
      </c>
      <c r="G6212" s="11" t="s">
        <v>2474</v>
      </c>
      <c r="H6212" s="2" t="s">
        <v>7448</v>
      </c>
      <c r="L6212" s="18">
        <v>1</v>
      </c>
      <c r="N6212" s="13">
        <v>44558</v>
      </c>
      <c r="O6212" s="29">
        <v>4.99</v>
      </c>
      <c r="P6212" s="18" t="s">
        <v>1107</v>
      </c>
      <c r="Q6212" s="18">
        <v>0</v>
      </c>
      <c r="U6212" s="22">
        <v>0.9</v>
      </c>
      <c r="V6212" s="22">
        <f>3.58/5</f>
        <v>0.71599999999999997</v>
      </c>
      <c r="X6212" s="3">
        <v>3</v>
      </c>
      <c r="Z6212" s="23">
        <v>8</v>
      </c>
      <c r="AB6212" s="18">
        <f t="shared" si="194"/>
        <v>2006</v>
      </c>
      <c r="AC6212" s="22">
        <f t="shared" si="195"/>
        <v>0.73866666666666669</v>
      </c>
    </row>
    <row r="6213" spans="1:29" ht="30">
      <c r="A6213" s="8" t="s">
        <v>8164</v>
      </c>
      <c r="B6213" s="17" t="s">
        <v>7758</v>
      </c>
      <c r="C6213" s="13">
        <v>38784</v>
      </c>
      <c r="D6213" s="13" t="s">
        <v>8465</v>
      </c>
      <c r="E6213" s="10" t="s">
        <v>73</v>
      </c>
      <c r="F6213" s="10" t="s">
        <v>8165</v>
      </c>
      <c r="G6213" s="11" t="s">
        <v>1967</v>
      </c>
      <c r="H6213" s="2" t="s">
        <v>1059</v>
      </c>
      <c r="L6213" s="18">
        <v>0</v>
      </c>
      <c r="Q6213" s="18">
        <v>0</v>
      </c>
      <c r="U6213" s="22">
        <v>0.81820000000000004</v>
      </c>
      <c r="V6213" s="22">
        <f>3.79/5</f>
        <v>0.75800000000000001</v>
      </c>
      <c r="X6213" s="3">
        <v>3</v>
      </c>
      <c r="Z6213" s="23">
        <v>18</v>
      </c>
      <c r="AB6213" s="18">
        <f t="shared" si="194"/>
        <v>2006</v>
      </c>
      <c r="AC6213" s="22">
        <f t="shared" si="195"/>
        <v>0.72540000000000004</v>
      </c>
    </row>
    <row r="6214" spans="1:29" ht="25.5">
      <c r="A6214" s="8" t="s">
        <v>4933</v>
      </c>
      <c r="B6214" s="17" t="s">
        <v>7800</v>
      </c>
      <c r="C6214" s="13">
        <v>38784</v>
      </c>
      <c r="D6214" s="13" t="s">
        <v>8465</v>
      </c>
      <c r="E6214" s="10" t="s">
        <v>4934</v>
      </c>
      <c r="F6214" s="10" t="s">
        <v>4934</v>
      </c>
      <c r="H6214" s="2" t="s">
        <v>1061</v>
      </c>
      <c r="L6214" s="18">
        <v>1</v>
      </c>
      <c r="N6214" s="13">
        <v>41395</v>
      </c>
      <c r="P6214" s="18" t="s">
        <v>1107</v>
      </c>
      <c r="Q6214" s="18">
        <v>0</v>
      </c>
      <c r="U6214" s="22">
        <v>0.72</v>
      </c>
      <c r="V6214" s="22">
        <f>3.57/5</f>
        <v>0.71399999999999997</v>
      </c>
      <c r="W6214" s="14" t="s">
        <v>7777</v>
      </c>
      <c r="X6214" s="3">
        <v>3</v>
      </c>
      <c r="Z6214" s="23">
        <v>6</v>
      </c>
      <c r="AB6214" s="18">
        <f t="shared" si="194"/>
        <v>2006</v>
      </c>
      <c r="AC6214" s="22">
        <f t="shared" si="195"/>
        <v>0.67799999999999994</v>
      </c>
    </row>
    <row r="6215" spans="1:29" ht="25.5">
      <c r="A6215" s="8" t="s">
        <v>5770</v>
      </c>
      <c r="B6215" s="17" t="s">
        <v>7758</v>
      </c>
      <c r="C6215" s="13">
        <v>38783</v>
      </c>
      <c r="D6215" s="13" t="s">
        <v>8465</v>
      </c>
      <c r="E6215" s="10" t="s">
        <v>1534</v>
      </c>
      <c r="F6215" s="10" t="s">
        <v>5875</v>
      </c>
      <c r="G6215" s="11" t="s">
        <v>5832</v>
      </c>
      <c r="H6215" s="2" t="s">
        <v>149</v>
      </c>
      <c r="L6215" s="18">
        <v>0</v>
      </c>
      <c r="Q6215" s="18">
        <v>0</v>
      </c>
      <c r="U6215" s="22">
        <v>0.78</v>
      </c>
      <c r="V6215" s="22">
        <f>3.84/5</f>
        <v>0.76800000000000002</v>
      </c>
      <c r="X6215" s="3">
        <v>3</v>
      </c>
      <c r="Z6215" s="23">
        <v>42.5</v>
      </c>
      <c r="AB6215" s="18">
        <f t="shared" si="194"/>
        <v>2006</v>
      </c>
      <c r="AC6215" s="22">
        <f t="shared" si="195"/>
        <v>0.71600000000000008</v>
      </c>
    </row>
    <row r="6216" spans="1:29" ht="30">
      <c r="A6216" s="8" t="s">
        <v>7983</v>
      </c>
      <c r="B6216" s="17" t="s">
        <v>7762</v>
      </c>
      <c r="C6216" s="13">
        <v>38783</v>
      </c>
      <c r="D6216" s="13" t="s">
        <v>8465</v>
      </c>
      <c r="E6216" s="10" t="s">
        <v>68</v>
      </c>
      <c r="F6216" s="10" t="s">
        <v>1471</v>
      </c>
      <c r="G6216" s="11" t="s">
        <v>2465</v>
      </c>
      <c r="H6216" s="2" t="s">
        <v>1059</v>
      </c>
      <c r="L6216" s="18">
        <v>0</v>
      </c>
      <c r="Q6216" s="18">
        <v>0</v>
      </c>
      <c r="U6216" s="22">
        <v>0.65269999999999995</v>
      </c>
      <c r="V6216" s="22">
        <f>3.51/5</f>
        <v>0.70199999999999996</v>
      </c>
      <c r="X6216" s="3">
        <v>2</v>
      </c>
      <c r="Z6216" s="23">
        <v>10.199999999999999</v>
      </c>
      <c r="AB6216" s="18">
        <f t="shared" si="194"/>
        <v>2006</v>
      </c>
      <c r="AC6216" s="22">
        <f t="shared" si="195"/>
        <v>0.58489999999999986</v>
      </c>
    </row>
    <row r="6217" spans="1:29" ht="30">
      <c r="A6217" s="8" t="s">
        <v>839</v>
      </c>
      <c r="B6217" s="17" t="s">
        <v>7747</v>
      </c>
      <c r="C6217" s="13">
        <v>38782</v>
      </c>
      <c r="D6217" s="13" t="s">
        <v>8465</v>
      </c>
      <c r="E6217" s="10" t="s">
        <v>86</v>
      </c>
      <c r="F6217" s="10" t="s">
        <v>1500</v>
      </c>
      <c r="G6217" s="11" t="s">
        <v>1422</v>
      </c>
      <c r="H6217" s="2" t="s">
        <v>149</v>
      </c>
      <c r="L6217" s="18">
        <v>0</v>
      </c>
      <c r="Q6217" s="18">
        <v>0</v>
      </c>
      <c r="U6217" s="22">
        <v>0.73</v>
      </c>
      <c r="V6217" s="22">
        <f>3.8/5</f>
        <v>0.76</v>
      </c>
      <c r="X6217" s="3">
        <v>4</v>
      </c>
      <c r="Z6217" s="23">
        <v>31.5</v>
      </c>
      <c r="AB6217" s="18">
        <f t="shared" si="194"/>
        <v>2006</v>
      </c>
      <c r="AC6217" s="22">
        <f t="shared" si="195"/>
        <v>0.76333333333333331</v>
      </c>
    </row>
    <row r="6218" spans="1:29">
      <c r="A6218" s="8" t="s">
        <v>7711</v>
      </c>
      <c r="B6218" s="17" t="s">
        <v>7748</v>
      </c>
      <c r="C6218" s="13">
        <v>38782</v>
      </c>
      <c r="D6218" s="13" t="s">
        <v>8465</v>
      </c>
      <c r="E6218" s="10" t="s">
        <v>86</v>
      </c>
      <c r="F6218" s="10" t="s">
        <v>1490</v>
      </c>
      <c r="G6218" s="11" t="s">
        <v>1470</v>
      </c>
      <c r="H6218" s="2" t="s">
        <v>78</v>
      </c>
      <c r="L6218" s="18">
        <v>0</v>
      </c>
      <c r="Q6218" s="18">
        <v>0</v>
      </c>
      <c r="U6218" s="22">
        <v>0.73</v>
      </c>
      <c r="V6218" s="22">
        <f>3.1/5</f>
        <v>0.62</v>
      </c>
      <c r="X6218" s="3">
        <v>3</v>
      </c>
      <c r="Z6218" s="23">
        <v>3.5</v>
      </c>
      <c r="AB6218" s="18">
        <f t="shared" si="194"/>
        <v>2006</v>
      </c>
      <c r="AC6218" s="22">
        <f t="shared" si="195"/>
        <v>0.65</v>
      </c>
    </row>
    <row r="6219" spans="1:29">
      <c r="A6219" s="8" t="s">
        <v>3237</v>
      </c>
      <c r="B6219" s="17" t="s">
        <v>7800</v>
      </c>
      <c r="C6219" s="13">
        <v>38778</v>
      </c>
      <c r="D6219" s="13" t="s">
        <v>8465</v>
      </c>
      <c r="E6219" s="10" t="s">
        <v>3234</v>
      </c>
      <c r="F6219" s="10" t="s">
        <v>3234</v>
      </c>
      <c r="G6219" s="11" t="s">
        <v>3238</v>
      </c>
      <c r="H6219" s="2" t="s">
        <v>1720</v>
      </c>
      <c r="L6219" s="18">
        <v>1</v>
      </c>
      <c r="N6219" s="13">
        <v>41087</v>
      </c>
      <c r="P6219" s="18" t="s">
        <v>1107</v>
      </c>
      <c r="Q6219" s="18">
        <v>0</v>
      </c>
      <c r="U6219" s="22">
        <v>0.74</v>
      </c>
      <c r="V6219" s="22">
        <f>3.49/5</f>
        <v>0.69800000000000006</v>
      </c>
      <c r="W6219" s="14" t="s">
        <v>7777</v>
      </c>
      <c r="X6219" s="3">
        <v>2</v>
      </c>
      <c r="AB6219" s="18">
        <f t="shared" si="194"/>
        <v>2006</v>
      </c>
      <c r="AC6219" s="22">
        <f t="shared" si="195"/>
        <v>0.61266666666666669</v>
      </c>
    </row>
    <row r="6220" spans="1:29" ht="38.25">
      <c r="A6220" s="8" t="s">
        <v>10681</v>
      </c>
      <c r="B6220" s="17" t="s">
        <v>7747</v>
      </c>
      <c r="C6220" s="13">
        <v>38778</v>
      </c>
      <c r="D6220" s="13" t="s">
        <v>8463</v>
      </c>
      <c r="E6220" s="10" t="s">
        <v>470</v>
      </c>
      <c r="F6220" s="10" t="s">
        <v>470</v>
      </c>
      <c r="G6220" s="11" t="s">
        <v>10682</v>
      </c>
      <c r="H6220" s="2" t="s">
        <v>459</v>
      </c>
      <c r="K6220" s="18">
        <v>0</v>
      </c>
      <c r="L6220" s="18">
        <v>0</v>
      </c>
      <c r="Q6220" s="18">
        <v>0</v>
      </c>
      <c r="V6220" s="22">
        <f>3.54/5</f>
        <v>0.70799999999999996</v>
      </c>
      <c r="X6220" s="3">
        <v>2</v>
      </c>
      <c r="AB6220" s="18">
        <f t="shared" si="194"/>
        <v>2006</v>
      </c>
      <c r="AC6220" s="22">
        <f t="shared" si="195"/>
        <v>0.55400000000000005</v>
      </c>
    </row>
    <row r="6221" spans="1:29" ht="38.25">
      <c r="A6221" s="8" t="s">
        <v>13078</v>
      </c>
      <c r="B6221" s="17" t="s">
        <v>7800</v>
      </c>
      <c r="C6221" s="13">
        <v>38776</v>
      </c>
      <c r="D6221" s="13" t="s">
        <v>8465</v>
      </c>
      <c r="E6221" s="10" t="s">
        <v>231</v>
      </c>
      <c r="F6221" s="10" t="s">
        <v>1039</v>
      </c>
      <c r="G6221" s="11" t="s">
        <v>4445</v>
      </c>
      <c r="H6221" s="2" t="s">
        <v>1143</v>
      </c>
      <c r="L6221" s="18">
        <v>0</v>
      </c>
      <c r="Q6221" s="18">
        <v>0</v>
      </c>
      <c r="U6221" s="22">
        <v>0.84</v>
      </c>
      <c r="V6221" s="22">
        <f>3.95/5</f>
        <v>0.79</v>
      </c>
      <c r="W6221" s="14" t="s">
        <v>13076</v>
      </c>
      <c r="X6221" s="3">
        <v>3</v>
      </c>
      <c r="Z6221" s="23">
        <v>14.5</v>
      </c>
      <c r="AB6221" s="18">
        <f t="shared" si="194"/>
        <v>2006</v>
      </c>
      <c r="AC6221" s="22">
        <f t="shared" si="195"/>
        <v>0.74333333333333329</v>
      </c>
    </row>
    <row r="6222" spans="1:29" ht="30">
      <c r="A6222" s="8" t="s">
        <v>9081</v>
      </c>
      <c r="B6222" s="17" t="s">
        <v>7762</v>
      </c>
      <c r="C6222" s="13">
        <v>38776</v>
      </c>
      <c r="D6222" s="13" t="s">
        <v>8465</v>
      </c>
      <c r="E6222" s="10" t="s">
        <v>1062</v>
      </c>
      <c r="F6222" s="10" t="s">
        <v>3113</v>
      </c>
      <c r="G6222" s="11" t="s">
        <v>9081</v>
      </c>
      <c r="H6222" s="2" t="s">
        <v>75</v>
      </c>
      <c r="L6222" s="18">
        <v>0</v>
      </c>
      <c r="Q6222" s="18">
        <v>0</v>
      </c>
      <c r="U6222" s="22">
        <v>0.6</v>
      </c>
      <c r="V6222" s="22">
        <f>3.38/5</f>
        <v>0.67599999999999993</v>
      </c>
      <c r="X6222" s="3">
        <v>2</v>
      </c>
      <c r="Z6222" s="23">
        <v>21.5</v>
      </c>
      <c r="AB6222" s="18">
        <f t="shared" si="194"/>
        <v>2006</v>
      </c>
      <c r="AC6222" s="22">
        <f t="shared" si="195"/>
        <v>0.55866666666666653</v>
      </c>
    </row>
    <row r="6223" spans="1:29" ht="30">
      <c r="A6223" s="8" t="s">
        <v>8137</v>
      </c>
      <c r="B6223" s="17" t="s">
        <v>7758</v>
      </c>
      <c r="C6223" s="13">
        <v>38776</v>
      </c>
      <c r="D6223" s="13" t="s">
        <v>8465</v>
      </c>
      <c r="E6223" s="10" t="s">
        <v>73</v>
      </c>
      <c r="F6223" s="10" t="s">
        <v>6090</v>
      </c>
      <c r="G6223" s="11" t="s">
        <v>225</v>
      </c>
      <c r="H6223" s="2" t="s">
        <v>153</v>
      </c>
      <c r="L6223" s="18">
        <v>0</v>
      </c>
      <c r="Q6223" s="18">
        <v>0</v>
      </c>
      <c r="U6223" s="22">
        <v>0.46820000000000001</v>
      </c>
      <c r="V6223" s="22">
        <f>3.2/5</f>
        <v>0.64</v>
      </c>
      <c r="X6223" s="3">
        <v>2</v>
      </c>
      <c r="Z6223" s="23">
        <v>7.5</v>
      </c>
      <c r="AB6223" s="18">
        <f t="shared" si="194"/>
        <v>2006</v>
      </c>
      <c r="AC6223" s="22">
        <f t="shared" si="195"/>
        <v>0.50273333333333337</v>
      </c>
    </row>
    <row r="6224" spans="1:29">
      <c r="A6224" s="8" t="s">
        <v>5717</v>
      </c>
      <c r="B6224" s="17" t="s">
        <v>7758</v>
      </c>
      <c r="C6224" s="13">
        <v>38776</v>
      </c>
      <c r="D6224" s="13" t="s">
        <v>8465</v>
      </c>
      <c r="E6224" s="10" t="s">
        <v>231</v>
      </c>
      <c r="F6224" s="10" t="s">
        <v>3393</v>
      </c>
      <c r="H6224" s="2" t="s">
        <v>1050</v>
      </c>
      <c r="L6224" s="18">
        <v>1</v>
      </c>
      <c r="M6224" s="14" t="s">
        <v>8462</v>
      </c>
      <c r="N6224" s="13">
        <v>43529</v>
      </c>
      <c r="O6224" s="29">
        <v>11</v>
      </c>
      <c r="P6224" s="18" t="s">
        <v>14</v>
      </c>
      <c r="Q6224" s="18">
        <v>0</v>
      </c>
      <c r="U6224" s="22">
        <v>0.8</v>
      </c>
      <c r="V6224" s="22">
        <f>4.16/5</f>
        <v>0.83200000000000007</v>
      </c>
      <c r="X6224" s="3">
        <v>3</v>
      </c>
      <c r="Z6224" s="23">
        <v>6</v>
      </c>
      <c r="AB6224" s="18">
        <f t="shared" si="194"/>
        <v>2006</v>
      </c>
      <c r="AC6224" s="22">
        <f t="shared" si="195"/>
        <v>0.74400000000000011</v>
      </c>
    </row>
    <row r="6225" spans="1:29">
      <c r="A6225" s="8" t="s">
        <v>2272</v>
      </c>
      <c r="B6225" s="17" t="s">
        <v>7748</v>
      </c>
      <c r="C6225" s="13">
        <v>38775</v>
      </c>
      <c r="D6225" s="13" t="s">
        <v>8465</v>
      </c>
      <c r="E6225" s="10" t="s">
        <v>86</v>
      </c>
      <c r="F6225" s="10" t="s">
        <v>58</v>
      </c>
      <c r="G6225" s="11" t="s">
        <v>137</v>
      </c>
      <c r="H6225" s="2" t="s">
        <v>64</v>
      </c>
      <c r="L6225" s="18">
        <v>0</v>
      </c>
      <c r="Q6225" s="18">
        <v>0</v>
      </c>
      <c r="U6225" s="22">
        <v>0.77</v>
      </c>
      <c r="V6225" s="22">
        <f>3.7/5</f>
        <v>0.74</v>
      </c>
      <c r="X6225" s="3">
        <v>4</v>
      </c>
      <c r="Z6225" s="23">
        <v>7.5</v>
      </c>
      <c r="AB6225" s="18">
        <f t="shared" si="194"/>
        <v>2006</v>
      </c>
      <c r="AC6225" s="22">
        <f t="shared" si="195"/>
        <v>0.77</v>
      </c>
    </row>
    <row r="6226" spans="1:29" ht="30">
      <c r="A6226" s="8" t="s">
        <v>9687</v>
      </c>
      <c r="B6226" s="17" t="s">
        <v>7758</v>
      </c>
      <c r="C6226" s="13">
        <v>38772</v>
      </c>
      <c r="D6226" s="13" t="s">
        <v>8467</v>
      </c>
      <c r="E6226" s="10" t="s">
        <v>72</v>
      </c>
      <c r="F6226" s="10" t="s">
        <v>6310</v>
      </c>
      <c r="H6226" s="2" t="s">
        <v>80</v>
      </c>
      <c r="L6226" s="18">
        <v>0</v>
      </c>
      <c r="Q6226" s="18">
        <v>0</v>
      </c>
      <c r="V6226" s="22">
        <f>3.59/5</f>
        <v>0.71799999999999997</v>
      </c>
      <c r="X6226" s="3">
        <v>3</v>
      </c>
      <c r="Z6226" s="23">
        <v>7.5</v>
      </c>
      <c r="AB6226" s="18">
        <f t="shared" si="194"/>
        <v>2006</v>
      </c>
      <c r="AC6226" s="22">
        <f t="shared" si="195"/>
        <v>0.65900000000000003</v>
      </c>
    </row>
    <row r="6227" spans="1:29" ht="30">
      <c r="A6227" s="8" t="s">
        <v>14413</v>
      </c>
      <c r="B6227" s="17" t="s">
        <v>7762</v>
      </c>
      <c r="C6227" s="13">
        <v>38771</v>
      </c>
      <c r="D6227" s="13" t="s">
        <v>8463</v>
      </c>
      <c r="E6227" s="10" t="s">
        <v>455</v>
      </c>
      <c r="F6227" s="10" t="s">
        <v>58</v>
      </c>
      <c r="G6227" s="11" t="s">
        <v>14411</v>
      </c>
      <c r="H6227" s="2" t="s">
        <v>150</v>
      </c>
      <c r="K6227" s="18">
        <v>1</v>
      </c>
      <c r="L6227" s="18">
        <v>0</v>
      </c>
      <c r="Q6227" s="18">
        <v>0</v>
      </c>
      <c r="V6227" s="22">
        <f>4.23/5</f>
        <v>0.84600000000000009</v>
      </c>
      <c r="X6227" s="3">
        <v>2</v>
      </c>
      <c r="Z6227" s="23">
        <v>15.5</v>
      </c>
      <c r="AB6227" s="18">
        <f t="shared" si="194"/>
        <v>2006</v>
      </c>
      <c r="AC6227" s="22">
        <f t="shared" si="195"/>
        <v>0.623</v>
      </c>
    </row>
    <row r="6228" spans="1:29">
      <c r="A6228" s="8" t="s">
        <v>5751</v>
      </c>
      <c r="B6228" s="17" t="s">
        <v>7758</v>
      </c>
      <c r="C6228" s="13">
        <v>38771</v>
      </c>
      <c r="D6228" s="13" t="s">
        <v>8463</v>
      </c>
      <c r="E6228" s="10" t="s">
        <v>54</v>
      </c>
      <c r="F6228" s="10" t="s">
        <v>467</v>
      </c>
      <c r="G6228" s="11" t="s">
        <v>5751</v>
      </c>
      <c r="H6228" s="2" t="s">
        <v>21</v>
      </c>
      <c r="K6228" s="18">
        <v>0</v>
      </c>
      <c r="L6228" s="18">
        <v>0</v>
      </c>
      <c r="Q6228" s="18">
        <v>0</v>
      </c>
      <c r="V6228" s="22">
        <f>3.57/5</f>
        <v>0.71399999999999997</v>
      </c>
      <c r="X6228" s="3">
        <v>2</v>
      </c>
      <c r="Z6228" s="23">
        <v>1.5</v>
      </c>
      <c r="AB6228" s="18">
        <f t="shared" si="194"/>
        <v>2006</v>
      </c>
      <c r="AC6228" s="22">
        <f t="shared" si="195"/>
        <v>0.55699999999999994</v>
      </c>
    </row>
    <row r="6229" spans="1:29">
      <c r="A6229" s="8" t="s">
        <v>9079</v>
      </c>
      <c r="B6229" s="17" t="s">
        <v>7758</v>
      </c>
      <c r="C6229" s="13">
        <v>38769</v>
      </c>
      <c r="D6229" s="13" t="s">
        <v>8465</v>
      </c>
      <c r="E6229" s="10" t="s">
        <v>157</v>
      </c>
      <c r="F6229" s="10" t="s">
        <v>1366</v>
      </c>
      <c r="G6229" s="11" t="s">
        <v>1395</v>
      </c>
      <c r="H6229" s="2" t="s">
        <v>75</v>
      </c>
      <c r="L6229" s="18">
        <v>0</v>
      </c>
      <c r="Q6229" s="18">
        <v>0</v>
      </c>
      <c r="U6229" s="22">
        <v>0.65</v>
      </c>
      <c r="V6229" s="22">
        <f>4.1/5</f>
        <v>0.82</v>
      </c>
      <c r="X6229" s="3">
        <v>3</v>
      </c>
      <c r="Z6229" s="23">
        <v>42.5</v>
      </c>
      <c r="AB6229" s="18">
        <f t="shared" si="194"/>
        <v>2006</v>
      </c>
      <c r="AC6229" s="22">
        <f t="shared" si="195"/>
        <v>0.69</v>
      </c>
    </row>
    <row r="6230" spans="1:29" ht="25.5">
      <c r="A6230" s="8" t="s">
        <v>3950</v>
      </c>
      <c r="B6230" s="17" t="s">
        <v>7800</v>
      </c>
      <c r="C6230" s="13">
        <v>38769</v>
      </c>
      <c r="D6230" s="13" t="s">
        <v>8465</v>
      </c>
      <c r="E6230" s="10" t="s">
        <v>3453</v>
      </c>
      <c r="F6230" s="10" t="s">
        <v>3951</v>
      </c>
      <c r="G6230" s="11" t="s">
        <v>3952</v>
      </c>
      <c r="H6230" s="2" t="s">
        <v>69</v>
      </c>
      <c r="L6230" s="18">
        <v>1</v>
      </c>
      <c r="N6230" s="13">
        <v>41870</v>
      </c>
      <c r="P6230" s="18" t="s">
        <v>1107</v>
      </c>
      <c r="Q6230" s="18">
        <v>0</v>
      </c>
      <c r="V6230" s="22">
        <f>4/5</f>
        <v>0.8</v>
      </c>
      <c r="W6230" s="14" t="s">
        <v>7777</v>
      </c>
      <c r="X6230" s="3">
        <v>2</v>
      </c>
      <c r="Z6230" s="23">
        <v>21.5</v>
      </c>
      <c r="AB6230" s="18">
        <f t="shared" si="194"/>
        <v>2006</v>
      </c>
      <c r="AC6230" s="22">
        <f t="shared" si="195"/>
        <v>0.60000000000000009</v>
      </c>
    </row>
    <row r="6231" spans="1:29" ht="25.5">
      <c r="A6231" s="8" t="s">
        <v>6740</v>
      </c>
      <c r="B6231" s="17" t="s">
        <v>7748</v>
      </c>
      <c r="C6231" s="13">
        <v>38769</v>
      </c>
      <c r="D6231" s="13" t="s">
        <v>8465</v>
      </c>
      <c r="E6231" s="10" t="s">
        <v>455</v>
      </c>
      <c r="F6231" s="10" t="s">
        <v>455</v>
      </c>
      <c r="G6231" s="11" t="s">
        <v>1065</v>
      </c>
      <c r="H6231" s="2" t="s">
        <v>1142</v>
      </c>
      <c r="L6231" s="18">
        <v>0</v>
      </c>
      <c r="Q6231" s="18">
        <v>0</v>
      </c>
      <c r="U6231" s="22">
        <v>0.66</v>
      </c>
      <c r="V6231" s="22">
        <f>3.33/5</f>
        <v>0.66600000000000004</v>
      </c>
      <c r="X6231" s="3">
        <v>2</v>
      </c>
      <c r="Z6231" s="23">
        <v>0.78</v>
      </c>
      <c r="AB6231" s="18">
        <f t="shared" si="194"/>
        <v>2006</v>
      </c>
      <c r="AC6231" s="22">
        <f t="shared" si="195"/>
        <v>0.57533333333333336</v>
      </c>
    </row>
    <row r="6232" spans="1:29">
      <c r="A6232" s="8" t="s">
        <v>5762</v>
      </c>
      <c r="B6232" s="17" t="s">
        <v>7758</v>
      </c>
      <c r="C6232" s="13">
        <v>38764</v>
      </c>
      <c r="D6232" s="13" t="s">
        <v>8463</v>
      </c>
      <c r="E6232" s="10" t="s">
        <v>73</v>
      </c>
      <c r="F6232" s="10" t="s">
        <v>73</v>
      </c>
      <c r="G6232" s="11" t="s">
        <v>1141</v>
      </c>
      <c r="H6232" s="2" t="s">
        <v>171</v>
      </c>
      <c r="K6232" s="18">
        <v>2</v>
      </c>
      <c r="L6232" s="18">
        <v>0</v>
      </c>
      <c r="Q6232" s="18">
        <v>0</v>
      </c>
      <c r="V6232" s="22">
        <f>4.26/5</f>
        <v>0.85199999999999998</v>
      </c>
      <c r="X6232" s="3">
        <v>3</v>
      </c>
      <c r="Z6232" s="23">
        <v>39.5</v>
      </c>
      <c r="AB6232" s="18">
        <f t="shared" si="194"/>
        <v>2006</v>
      </c>
      <c r="AC6232" s="22">
        <f t="shared" si="195"/>
        <v>0.72599999999999998</v>
      </c>
    </row>
    <row r="6233" spans="1:29" ht="25.5">
      <c r="A6233" s="8" t="s">
        <v>5113</v>
      </c>
      <c r="B6233" s="17" t="s">
        <v>7800</v>
      </c>
      <c r="C6233" s="13">
        <v>38764</v>
      </c>
      <c r="D6233" s="13" t="s">
        <v>8465</v>
      </c>
      <c r="E6233" s="10" t="s">
        <v>1284</v>
      </c>
      <c r="F6233" s="10" t="s">
        <v>4033</v>
      </c>
      <c r="G6233" s="11" t="s">
        <v>1481</v>
      </c>
      <c r="H6233" s="2" t="s">
        <v>1143</v>
      </c>
      <c r="L6233" s="18">
        <v>1</v>
      </c>
      <c r="N6233" s="13">
        <v>42038</v>
      </c>
      <c r="P6233" s="18" t="s">
        <v>1107</v>
      </c>
      <c r="Q6233" s="18">
        <v>0</v>
      </c>
      <c r="U6233" s="22">
        <v>0.79</v>
      </c>
      <c r="V6233" s="22">
        <f>3.78/5</f>
        <v>0.75600000000000001</v>
      </c>
      <c r="W6233" s="14" t="s">
        <v>7777</v>
      </c>
      <c r="X6233" s="3">
        <v>3</v>
      </c>
      <c r="Z6233" s="23">
        <v>23</v>
      </c>
      <c r="AB6233" s="18">
        <f t="shared" si="194"/>
        <v>2006</v>
      </c>
      <c r="AC6233" s="22">
        <f t="shared" si="195"/>
        <v>0.71533333333333327</v>
      </c>
    </row>
    <row r="6234" spans="1:29">
      <c r="A6234" s="8" t="s">
        <v>5739</v>
      </c>
      <c r="B6234" s="17" t="s">
        <v>7758</v>
      </c>
      <c r="C6234" s="13">
        <v>38762</v>
      </c>
      <c r="D6234" s="13" t="s">
        <v>8465</v>
      </c>
      <c r="E6234" s="10" t="s">
        <v>1047</v>
      </c>
      <c r="F6234" s="10" t="s">
        <v>5866</v>
      </c>
      <c r="G6234" s="11" t="s">
        <v>4538</v>
      </c>
      <c r="H6234" s="2" t="s">
        <v>171</v>
      </c>
      <c r="L6234" s="18">
        <v>0</v>
      </c>
      <c r="Q6234" s="18">
        <v>0</v>
      </c>
      <c r="U6234" s="22">
        <v>0.63</v>
      </c>
      <c r="V6234" s="22">
        <f>3.44/5</f>
        <v>0.68799999999999994</v>
      </c>
      <c r="X6234" s="3">
        <v>4</v>
      </c>
      <c r="Z6234" s="23">
        <v>16.5</v>
      </c>
      <c r="AB6234" s="18">
        <f t="shared" si="194"/>
        <v>2006</v>
      </c>
      <c r="AC6234" s="22">
        <f t="shared" si="195"/>
        <v>0.70600000000000007</v>
      </c>
    </row>
    <row r="6235" spans="1:29">
      <c r="A6235" s="8" t="s">
        <v>5745</v>
      </c>
      <c r="B6235" s="17" t="s">
        <v>7758</v>
      </c>
      <c r="C6235" s="13">
        <v>38762</v>
      </c>
      <c r="D6235" s="13" t="s">
        <v>8465</v>
      </c>
      <c r="E6235" s="10" t="s">
        <v>1082</v>
      </c>
      <c r="F6235" s="10" t="s">
        <v>1512</v>
      </c>
      <c r="G6235" s="11" t="s">
        <v>1871</v>
      </c>
      <c r="H6235" s="2" t="s">
        <v>149</v>
      </c>
      <c r="L6235" s="18">
        <v>0</v>
      </c>
      <c r="Q6235" s="18">
        <v>0</v>
      </c>
      <c r="U6235" s="22">
        <v>0.79</v>
      </c>
      <c r="V6235" s="22">
        <f>3.68/5</f>
        <v>0.73599999999999999</v>
      </c>
      <c r="X6235" s="3">
        <v>3</v>
      </c>
      <c r="Z6235" s="23">
        <v>40</v>
      </c>
      <c r="AB6235" s="18">
        <f t="shared" si="194"/>
        <v>2006</v>
      </c>
      <c r="AC6235" s="22">
        <f t="shared" si="195"/>
        <v>0.70866666666666667</v>
      </c>
    </row>
    <row r="6236" spans="1:29" ht="30">
      <c r="A6236" s="8" t="s">
        <v>7603</v>
      </c>
      <c r="B6236" s="17" t="s">
        <v>7748</v>
      </c>
      <c r="C6236" s="13">
        <v>38762</v>
      </c>
      <c r="D6236" s="13" t="s">
        <v>8465</v>
      </c>
      <c r="E6236" s="10" t="s">
        <v>1551</v>
      </c>
      <c r="F6236" s="10" t="s">
        <v>1970</v>
      </c>
      <c r="G6236" s="11" t="s">
        <v>3118</v>
      </c>
      <c r="H6236" s="2" t="s">
        <v>69</v>
      </c>
      <c r="L6236" s="18">
        <v>0</v>
      </c>
      <c r="Q6236" s="18">
        <v>0</v>
      </c>
      <c r="U6236" s="22">
        <v>0.8</v>
      </c>
      <c r="V6236" s="22">
        <f>3.47/5</f>
        <v>0.69400000000000006</v>
      </c>
      <c r="X6236" s="3">
        <v>3</v>
      </c>
      <c r="Z6236" s="23">
        <v>15.5</v>
      </c>
      <c r="AB6236" s="18">
        <f t="shared" si="194"/>
        <v>2006</v>
      </c>
      <c r="AC6236" s="22">
        <f t="shared" si="195"/>
        <v>0.69800000000000006</v>
      </c>
    </row>
    <row r="6237" spans="1:29">
      <c r="A6237" s="8" t="s">
        <v>14716</v>
      </c>
      <c r="B6237" s="17" t="s">
        <v>7758</v>
      </c>
      <c r="C6237" s="13">
        <v>38762</v>
      </c>
      <c r="D6237" s="13" t="s">
        <v>8465</v>
      </c>
      <c r="E6237" s="10" t="s">
        <v>5506</v>
      </c>
      <c r="F6237" s="10" t="s">
        <v>14717</v>
      </c>
      <c r="G6237" s="11" t="s">
        <v>14715</v>
      </c>
      <c r="H6237" s="2" t="s">
        <v>1168</v>
      </c>
      <c r="L6237" s="18">
        <v>0</v>
      </c>
      <c r="Q6237" s="18">
        <v>0</v>
      </c>
      <c r="U6237" s="22">
        <v>0.44</v>
      </c>
      <c r="V6237" s="22">
        <f>2.82/5</f>
        <v>0.56399999999999995</v>
      </c>
      <c r="X6237" s="3">
        <v>2</v>
      </c>
      <c r="Z6237" s="23">
        <v>4.5</v>
      </c>
      <c r="AB6237" s="18">
        <f t="shared" si="194"/>
        <v>2006</v>
      </c>
      <c r="AC6237" s="22">
        <f t="shared" si="195"/>
        <v>0.46799999999999997</v>
      </c>
    </row>
    <row r="6238" spans="1:29">
      <c r="A6238" s="8" t="s">
        <v>13294</v>
      </c>
      <c r="B6238" s="17" t="s">
        <v>7748</v>
      </c>
      <c r="C6238" s="13">
        <v>38761</v>
      </c>
      <c r="D6238" s="13" t="s">
        <v>8465</v>
      </c>
      <c r="E6238" s="10" t="s">
        <v>455</v>
      </c>
      <c r="F6238" s="10" t="s">
        <v>1492</v>
      </c>
      <c r="G6238" s="11" t="s">
        <v>13293</v>
      </c>
      <c r="H6238" s="2" t="s">
        <v>1142</v>
      </c>
      <c r="L6238" s="18">
        <v>0</v>
      </c>
      <c r="Q6238" s="18">
        <v>0</v>
      </c>
      <c r="U6238" s="22">
        <v>0.68</v>
      </c>
      <c r="V6238" s="22">
        <f>3.5/5</f>
        <v>0.7</v>
      </c>
      <c r="X6238" s="3">
        <v>2</v>
      </c>
      <c r="Z6238" s="23">
        <v>2.5</v>
      </c>
      <c r="AB6238" s="18">
        <f t="shared" si="194"/>
        <v>2006</v>
      </c>
      <c r="AC6238" s="22">
        <f t="shared" si="195"/>
        <v>0.59333333333333327</v>
      </c>
    </row>
    <row r="6239" spans="1:29" ht="30">
      <c r="A6239" s="8" t="s">
        <v>9047</v>
      </c>
      <c r="B6239" s="17" t="s">
        <v>7740</v>
      </c>
      <c r="C6239" s="13">
        <v>38756</v>
      </c>
      <c r="D6239" s="13" t="s">
        <v>8465</v>
      </c>
      <c r="E6239" s="10" t="s">
        <v>86</v>
      </c>
      <c r="F6239" s="10" t="s">
        <v>1493</v>
      </c>
      <c r="G6239" s="11" t="s">
        <v>9047</v>
      </c>
      <c r="H6239" s="2" t="s">
        <v>1267</v>
      </c>
      <c r="L6239" s="18">
        <v>0</v>
      </c>
      <c r="Q6239" s="18">
        <v>0</v>
      </c>
      <c r="U6239" s="22">
        <v>0.79</v>
      </c>
      <c r="V6239" s="22">
        <f>4.08/5</f>
        <v>0.81600000000000006</v>
      </c>
      <c r="X6239" s="3">
        <v>4</v>
      </c>
      <c r="Z6239" s="23">
        <v>12.5</v>
      </c>
      <c r="AB6239" s="18">
        <f t="shared" si="194"/>
        <v>2006</v>
      </c>
      <c r="AC6239" s="22">
        <f t="shared" si="195"/>
        <v>0.80200000000000005</v>
      </c>
    </row>
    <row r="6240" spans="1:29" ht="25.5">
      <c r="A6240" s="8" t="s">
        <v>2208</v>
      </c>
      <c r="B6240" s="17" t="s">
        <v>7748</v>
      </c>
      <c r="C6240" s="13">
        <v>38755</v>
      </c>
      <c r="D6240" s="13" t="s">
        <v>8465</v>
      </c>
      <c r="E6240" s="10" t="s">
        <v>73</v>
      </c>
      <c r="F6240" s="10" t="s">
        <v>73</v>
      </c>
      <c r="G6240" s="11" t="s">
        <v>943</v>
      </c>
      <c r="H6240" s="2" t="s">
        <v>1061</v>
      </c>
      <c r="L6240" s="18">
        <v>0</v>
      </c>
      <c r="Q6240" s="18">
        <v>0</v>
      </c>
      <c r="U6240" s="22">
        <v>0.71</v>
      </c>
      <c r="V6240" s="22">
        <f>3.97/5</f>
        <v>0.79400000000000004</v>
      </c>
      <c r="X6240" s="3">
        <v>3</v>
      </c>
      <c r="Z6240" s="23">
        <v>5.5</v>
      </c>
      <c r="AB6240" s="18">
        <f t="shared" si="194"/>
        <v>2006</v>
      </c>
      <c r="AC6240" s="22">
        <f t="shared" si="195"/>
        <v>0.70133333333333336</v>
      </c>
    </row>
    <row r="6241" spans="1:29">
      <c r="A6241" s="8" t="s">
        <v>5779</v>
      </c>
      <c r="B6241" s="17" t="s">
        <v>7758</v>
      </c>
      <c r="C6241" s="13">
        <v>38755</v>
      </c>
      <c r="D6241" s="13" t="s">
        <v>8465</v>
      </c>
      <c r="E6241" s="10" t="s">
        <v>158</v>
      </c>
      <c r="F6241" s="10" t="s">
        <v>158</v>
      </c>
      <c r="G6241" s="11" t="s">
        <v>1422</v>
      </c>
      <c r="H6241" s="2" t="s">
        <v>149</v>
      </c>
      <c r="L6241" s="18">
        <v>0</v>
      </c>
      <c r="Q6241" s="18">
        <v>0</v>
      </c>
      <c r="U6241" s="22">
        <v>0.73</v>
      </c>
      <c r="V6241" s="22">
        <f>3.72/5</f>
        <v>0.74399999999999999</v>
      </c>
      <c r="X6241" s="3">
        <v>3</v>
      </c>
      <c r="Z6241" s="23">
        <v>33</v>
      </c>
      <c r="AB6241" s="18">
        <f t="shared" si="194"/>
        <v>2006</v>
      </c>
      <c r="AC6241" s="22">
        <f t="shared" si="195"/>
        <v>0.69133333333333324</v>
      </c>
    </row>
    <row r="6242" spans="1:29" ht="30">
      <c r="A6242" s="8" t="s">
        <v>6274</v>
      </c>
      <c r="B6242" s="17" t="s">
        <v>7762</v>
      </c>
      <c r="C6242" s="13">
        <v>38748</v>
      </c>
      <c r="D6242" s="13" t="s">
        <v>8465</v>
      </c>
      <c r="E6242" s="10" t="s">
        <v>73</v>
      </c>
      <c r="F6242" s="10" t="s">
        <v>73</v>
      </c>
      <c r="G6242" s="11" t="s">
        <v>601</v>
      </c>
      <c r="H6242" s="2" t="s">
        <v>56</v>
      </c>
      <c r="L6242" s="18">
        <v>0</v>
      </c>
      <c r="Q6242" s="18">
        <v>0</v>
      </c>
      <c r="U6242" s="22">
        <v>0.82</v>
      </c>
      <c r="V6242" s="22">
        <f>4.13/5</f>
        <v>0.82599999999999996</v>
      </c>
      <c r="X6242" s="3">
        <v>3</v>
      </c>
      <c r="Z6242" s="23">
        <v>4</v>
      </c>
      <c r="AB6242" s="18">
        <f t="shared" si="194"/>
        <v>2006</v>
      </c>
      <c r="AC6242" s="22">
        <f t="shared" si="195"/>
        <v>0.7486666666666667</v>
      </c>
    </row>
    <row r="6243" spans="1:29">
      <c r="A6243" s="8" t="s">
        <v>8175</v>
      </c>
      <c r="B6243" s="17" t="s">
        <v>7758</v>
      </c>
      <c r="C6243" s="13">
        <v>38743</v>
      </c>
      <c r="D6243" s="13" t="s">
        <v>8463</v>
      </c>
      <c r="E6243" s="10" t="s">
        <v>170</v>
      </c>
      <c r="F6243" s="10" t="s">
        <v>170</v>
      </c>
      <c r="G6243" s="11" t="s">
        <v>519</v>
      </c>
      <c r="H6243" s="2" t="s">
        <v>459</v>
      </c>
      <c r="K6243" s="18">
        <v>0</v>
      </c>
      <c r="L6243" s="18">
        <v>0</v>
      </c>
      <c r="Q6243" s="18">
        <v>0</v>
      </c>
      <c r="V6243" s="22">
        <f>4.18/5</f>
        <v>0.83599999999999997</v>
      </c>
      <c r="X6243" s="3">
        <v>3</v>
      </c>
      <c r="Z6243" s="23">
        <v>0.53333333333333333</v>
      </c>
      <c r="AB6243" s="18">
        <f t="shared" si="194"/>
        <v>2006</v>
      </c>
      <c r="AC6243" s="22">
        <f t="shared" si="195"/>
        <v>0.71799999999999997</v>
      </c>
    </row>
    <row r="6244" spans="1:29">
      <c r="A6244" s="8" t="s">
        <v>5730</v>
      </c>
      <c r="B6244" s="17" t="s">
        <v>7758</v>
      </c>
      <c r="C6244" s="13">
        <v>38734</v>
      </c>
      <c r="D6244" s="13" t="s">
        <v>8465</v>
      </c>
      <c r="E6244" s="10" t="s">
        <v>1290</v>
      </c>
      <c r="F6244" s="10" t="s">
        <v>5862</v>
      </c>
      <c r="G6244" s="11" t="s">
        <v>2968</v>
      </c>
      <c r="H6244" s="2" t="s">
        <v>1040</v>
      </c>
      <c r="L6244" s="18">
        <v>0</v>
      </c>
      <c r="Q6244" s="18">
        <v>0</v>
      </c>
      <c r="U6244" s="22">
        <v>0.79</v>
      </c>
      <c r="V6244" s="22">
        <f>4.14/5</f>
        <v>0.82799999999999996</v>
      </c>
      <c r="X6244" s="3">
        <v>3</v>
      </c>
      <c r="Z6244" s="23">
        <v>7</v>
      </c>
      <c r="AB6244" s="18">
        <f t="shared" si="194"/>
        <v>2006</v>
      </c>
      <c r="AC6244" s="22">
        <f t="shared" si="195"/>
        <v>0.73933333333333329</v>
      </c>
    </row>
    <row r="6245" spans="1:29">
      <c r="A6245" s="8" t="s">
        <v>5785</v>
      </c>
      <c r="B6245" s="17" t="s">
        <v>7758</v>
      </c>
      <c r="C6245" s="13">
        <v>38727</v>
      </c>
      <c r="D6245" s="13" t="s">
        <v>8465</v>
      </c>
      <c r="E6245" s="10" t="s">
        <v>1534</v>
      </c>
      <c r="F6245" s="10" t="s">
        <v>3037</v>
      </c>
      <c r="G6245" s="11" t="s">
        <v>3003</v>
      </c>
      <c r="H6245" s="2" t="s">
        <v>149</v>
      </c>
      <c r="L6245" s="18">
        <v>0</v>
      </c>
      <c r="Q6245" s="18">
        <v>0</v>
      </c>
      <c r="U6245" s="22">
        <v>0.73</v>
      </c>
      <c r="V6245" s="22">
        <f>3.71/5</f>
        <v>0.74199999999999999</v>
      </c>
      <c r="X6245" s="3">
        <v>3</v>
      </c>
      <c r="Z6245" s="23">
        <v>27</v>
      </c>
      <c r="AB6245" s="18">
        <f t="shared" si="194"/>
        <v>2006</v>
      </c>
      <c r="AC6245" s="22">
        <f t="shared" si="195"/>
        <v>0.69066666666666665</v>
      </c>
    </row>
    <row r="6246" spans="1:29" ht="30">
      <c r="A6246" s="8" t="s">
        <v>7368</v>
      </c>
      <c r="B6246" s="17" t="s">
        <v>7740</v>
      </c>
      <c r="C6246" s="13">
        <v>38727</v>
      </c>
      <c r="D6246" s="13" t="s">
        <v>8465</v>
      </c>
      <c r="E6246" s="10" t="s">
        <v>73</v>
      </c>
      <c r="F6246" s="10" t="s">
        <v>73</v>
      </c>
      <c r="G6246" s="11" t="s">
        <v>601</v>
      </c>
      <c r="H6246" s="2" t="s">
        <v>56</v>
      </c>
      <c r="L6246" s="18">
        <v>0</v>
      </c>
      <c r="Q6246" s="18">
        <v>0</v>
      </c>
      <c r="U6246" s="22">
        <v>0.77</v>
      </c>
      <c r="V6246" s="22">
        <f>4.27/5</f>
        <v>0.85399999999999987</v>
      </c>
      <c r="X6246" s="3">
        <v>2</v>
      </c>
      <c r="Z6246" s="23">
        <v>17</v>
      </c>
      <c r="AB6246" s="18">
        <f t="shared" si="194"/>
        <v>2006</v>
      </c>
      <c r="AC6246" s="22">
        <f t="shared" si="195"/>
        <v>0.67466666666666664</v>
      </c>
    </row>
    <row r="6247" spans="1:29" ht="25.5">
      <c r="A6247" s="8" t="s">
        <v>12284</v>
      </c>
      <c r="B6247" s="17" t="s">
        <v>7800</v>
      </c>
      <c r="C6247" s="24">
        <v>38718</v>
      </c>
      <c r="D6247" s="13" t="s">
        <v>8467</v>
      </c>
      <c r="E6247" s="10" t="s">
        <v>12285</v>
      </c>
      <c r="F6247" s="10" t="s">
        <v>12286</v>
      </c>
      <c r="H6247" s="2" t="s">
        <v>1050</v>
      </c>
      <c r="L6247" s="18">
        <v>0</v>
      </c>
      <c r="Q6247" s="18">
        <v>0</v>
      </c>
      <c r="W6247" s="14" t="s">
        <v>13076</v>
      </c>
      <c r="X6247" s="3">
        <v>2</v>
      </c>
      <c r="AB6247" s="18">
        <f t="shared" si="194"/>
        <v>2006</v>
      </c>
      <c r="AC6247" s="22">
        <f t="shared" si="195"/>
        <v>0.4</v>
      </c>
    </row>
    <row r="6248" spans="1:29">
      <c r="A6248" s="8" t="s">
        <v>4255</v>
      </c>
      <c r="B6248" s="17" t="s">
        <v>7800</v>
      </c>
      <c r="C6248" s="13">
        <v>38718</v>
      </c>
      <c r="D6248" s="13" t="s">
        <v>8465</v>
      </c>
      <c r="E6248" s="10" t="s">
        <v>7191</v>
      </c>
      <c r="F6248" s="10" t="s">
        <v>7191</v>
      </c>
      <c r="G6248" s="11" t="s">
        <v>4255</v>
      </c>
      <c r="H6248" s="2" t="s">
        <v>1267</v>
      </c>
      <c r="L6248" s="18">
        <v>0</v>
      </c>
      <c r="Q6248" s="18">
        <v>0</v>
      </c>
      <c r="U6248" s="22">
        <v>0.8</v>
      </c>
      <c r="V6248" s="22">
        <f>3.86/5</f>
        <v>0.77200000000000002</v>
      </c>
      <c r="W6248" s="14" t="s">
        <v>5674</v>
      </c>
      <c r="X6248" s="3">
        <v>4</v>
      </c>
      <c r="Z6248" s="23">
        <v>1</v>
      </c>
      <c r="AB6248" s="18">
        <f t="shared" si="194"/>
        <v>2006</v>
      </c>
      <c r="AC6248" s="22">
        <f t="shared" si="195"/>
        <v>0.79066666666666663</v>
      </c>
    </row>
    <row r="6249" spans="1:29">
      <c r="A6249" s="8" t="s">
        <v>7118</v>
      </c>
      <c r="B6249" s="17" t="s">
        <v>7800</v>
      </c>
      <c r="C6249" s="12">
        <v>38718</v>
      </c>
      <c r="D6249" s="13" t="s">
        <v>8465</v>
      </c>
      <c r="E6249" s="10" t="s">
        <v>7206</v>
      </c>
      <c r="F6249" s="10" t="s">
        <v>7206</v>
      </c>
      <c r="H6249" s="2" t="s">
        <v>21</v>
      </c>
      <c r="L6249" s="18">
        <v>0</v>
      </c>
      <c r="Q6249" s="18">
        <v>0</v>
      </c>
      <c r="W6249" s="14" t="s">
        <v>5674</v>
      </c>
      <c r="X6249" s="3">
        <v>3</v>
      </c>
      <c r="AB6249" s="18">
        <f t="shared" si="194"/>
        <v>2006</v>
      </c>
      <c r="AC6249" s="22">
        <f t="shared" si="195"/>
        <v>0.6</v>
      </c>
    </row>
    <row r="6250" spans="1:29" ht="25.5">
      <c r="A6250" s="8" t="s">
        <v>7123</v>
      </c>
      <c r="B6250" s="17" t="s">
        <v>7800</v>
      </c>
      <c r="C6250" s="12">
        <v>38718</v>
      </c>
      <c r="D6250" s="13" t="s">
        <v>8465</v>
      </c>
      <c r="E6250" s="10" t="s">
        <v>7212</v>
      </c>
      <c r="F6250" s="10" t="s">
        <v>7212</v>
      </c>
      <c r="H6250" s="2" t="s">
        <v>147</v>
      </c>
      <c r="L6250" s="18">
        <v>0</v>
      </c>
      <c r="Q6250" s="18">
        <v>0</v>
      </c>
      <c r="W6250" s="14" t="s">
        <v>5674</v>
      </c>
      <c r="X6250" s="3">
        <v>3</v>
      </c>
      <c r="AB6250" s="18">
        <f t="shared" si="194"/>
        <v>2006</v>
      </c>
      <c r="AC6250" s="22">
        <f t="shared" si="195"/>
        <v>0.6</v>
      </c>
    </row>
    <row r="6251" spans="1:29" ht="38.25">
      <c r="A6251" s="8" t="s">
        <v>15134</v>
      </c>
      <c r="B6251" s="17" t="s">
        <v>7782</v>
      </c>
      <c r="C6251" s="24">
        <v>38718</v>
      </c>
      <c r="D6251" s="13" t="s">
        <v>8465</v>
      </c>
      <c r="E6251" s="10" t="s">
        <v>73</v>
      </c>
      <c r="F6251" s="10" t="s">
        <v>73</v>
      </c>
      <c r="G6251" s="11" t="s">
        <v>943</v>
      </c>
      <c r="H6251" s="2" t="s">
        <v>75</v>
      </c>
      <c r="L6251" s="18">
        <v>0</v>
      </c>
      <c r="Q6251" s="18">
        <v>0</v>
      </c>
      <c r="V6251" s="22">
        <f>3.7/5</f>
        <v>0.74</v>
      </c>
      <c r="X6251" s="3">
        <v>2</v>
      </c>
      <c r="Z6251" s="23">
        <v>1</v>
      </c>
      <c r="AB6251" s="18">
        <f t="shared" si="194"/>
        <v>2006</v>
      </c>
      <c r="AC6251" s="22">
        <f t="shared" si="195"/>
        <v>0.57000000000000006</v>
      </c>
    </row>
    <row r="6252" spans="1:29" ht="38.25">
      <c r="A6252" s="8" t="s">
        <v>15136</v>
      </c>
      <c r="B6252" s="17" t="s">
        <v>7782</v>
      </c>
      <c r="C6252" s="24">
        <v>38718</v>
      </c>
      <c r="D6252" s="13" t="s">
        <v>8465</v>
      </c>
      <c r="E6252" s="10" t="s">
        <v>73</v>
      </c>
      <c r="F6252" s="10" t="s">
        <v>73</v>
      </c>
      <c r="G6252" s="11" t="s">
        <v>943</v>
      </c>
      <c r="H6252" s="2" t="s">
        <v>75</v>
      </c>
      <c r="L6252" s="18">
        <v>0</v>
      </c>
      <c r="Q6252" s="18">
        <v>0</v>
      </c>
      <c r="V6252" s="22">
        <f>3.5/5</f>
        <v>0.7</v>
      </c>
      <c r="X6252" s="3">
        <v>2</v>
      </c>
      <c r="Z6252" s="23">
        <v>1.5</v>
      </c>
      <c r="AB6252" s="18">
        <f t="shared" si="194"/>
        <v>2006</v>
      </c>
      <c r="AC6252" s="22">
        <f t="shared" si="195"/>
        <v>0.55000000000000004</v>
      </c>
    </row>
    <row r="6253" spans="1:29" ht="38.25">
      <c r="A6253" s="8" t="s">
        <v>15133</v>
      </c>
      <c r="B6253" s="17" t="s">
        <v>7782</v>
      </c>
      <c r="C6253" s="24">
        <v>38718</v>
      </c>
      <c r="D6253" s="13" t="s">
        <v>8465</v>
      </c>
      <c r="E6253" s="10" t="s">
        <v>73</v>
      </c>
      <c r="F6253" s="10" t="s">
        <v>73</v>
      </c>
      <c r="G6253" s="11" t="s">
        <v>943</v>
      </c>
      <c r="H6253" s="2" t="s">
        <v>75</v>
      </c>
      <c r="L6253" s="18">
        <v>0</v>
      </c>
      <c r="Q6253" s="18">
        <v>0</v>
      </c>
      <c r="V6253" s="22">
        <f>3.33/5</f>
        <v>0.66600000000000004</v>
      </c>
      <c r="X6253" s="3">
        <v>2</v>
      </c>
      <c r="Z6253" s="23">
        <v>2</v>
      </c>
      <c r="AB6253" s="18">
        <f t="shared" si="194"/>
        <v>2006</v>
      </c>
      <c r="AC6253" s="22">
        <f t="shared" si="195"/>
        <v>0.53300000000000003</v>
      </c>
    </row>
    <row r="6254" spans="1:29" ht="38.25">
      <c r="A6254" s="8" t="s">
        <v>15135</v>
      </c>
      <c r="B6254" s="17" t="s">
        <v>7782</v>
      </c>
      <c r="C6254" s="24">
        <v>38718</v>
      </c>
      <c r="D6254" s="13" t="s">
        <v>8465</v>
      </c>
      <c r="E6254" s="10" t="s">
        <v>73</v>
      </c>
      <c r="F6254" s="10" t="s">
        <v>73</v>
      </c>
      <c r="G6254" s="11" t="s">
        <v>943</v>
      </c>
      <c r="H6254" s="2" t="s">
        <v>75</v>
      </c>
      <c r="L6254" s="18">
        <v>0</v>
      </c>
      <c r="Q6254" s="18">
        <v>0</v>
      </c>
      <c r="V6254" s="22">
        <f>3.08/5</f>
        <v>0.61599999999999999</v>
      </c>
      <c r="X6254" s="3">
        <v>2</v>
      </c>
      <c r="Z6254" s="23">
        <v>1</v>
      </c>
      <c r="AB6254" s="18">
        <f t="shared" si="194"/>
        <v>2006</v>
      </c>
      <c r="AC6254" s="22">
        <f t="shared" si="195"/>
        <v>0.50800000000000001</v>
      </c>
    </row>
    <row r="6255" spans="1:29" ht="25.5">
      <c r="A6255" s="8" t="s">
        <v>12669</v>
      </c>
      <c r="B6255" s="17" t="s">
        <v>7800</v>
      </c>
      <c r="C6255" s="24">
        <v>38718</v>
      </c>
      <c r="D6255" s="13" t="s">
        <v>8465</v>
      </c>
      <c r="E6255" s="10" t="s">
        <v>7201</v>
      </c>
      <c r="F6255" s="10" t="s">
        <v>7201</v>
      </c>
      <c r="G6255" s="11" t="s">
        <v>7202</v>
      </c>
      <c r="H6255" s="2" t="s">
        <v>64</v>
      </c>
      <c r="L6255" s="18">
        <v>1</v>
      </c>
      <c r="P6255" s="18" t="s">
        <v>1107</v>
      </c>
      <c r="Q6255" s="18">
        <v>0</v>
      </c>
      <c r="W6255" s="14" t="s">
        <v>7777</v>
      </c>
      <c r="X6255" s="3">
        <v>2</v>
      </c>
      <c r="AB6255" s="18">
        <f t="shared" si="194"/>
        <v>2006</v>
      </c>
      <c r="AC6255" s="22">
        <f t="shared" si="195"/>
        <v>0.4</v>
      </c>
    </row>
    <row r="6256" spans="1:29" ht="25.5">
      <c r="A6256" s="8" t="s">
        <v>2101</v>
      </c>
      <c r="B6256" s="17" t="s">
        <v>7748</v>
      </c>
      <c r="C6256" s="13">
        <v>39056</v>
      </c>
      <c r="D6256" s="13" t="s">
        <v>8465</v>
      </c>
      <c r="E6256" s="10" t="s">
        <v>72</v>
      </c>
      <c r="F6256" s="10" t="s">
        <v>72</v>
      </c>
      <c r="G6256" s="11" t="s">
        <v>113</v>
      </c>
      <c r="H6256" s="2" t="s">
        <v>151</v>
      </c>
      <c r="L6256" s="18">
        <v>0</v>
      </c>
      <c r="Q6256" s="18">
        <v>1</v>
      </c>
      <c r="T6256" s="22">
        <v>0.8</v>
      </c>
      <c r="U6256" s="22">
        <v>0.85</v>
      </c>
      <c r="V6256" s="22">
        <f>3.91/5</f>
        <v>0.78200000000000003</v>
      </c>
      <c r="AB6256" s="18">
        <f t="shared" si="194"/>
        <v>2006</v>
      </c>
      <c r="AC6256" s="22">
        <f t="shared" si="195"/>
        <v>0.81066666666666665</v>
      </c>
    </row>
    <row r="6257" spans="1:29" ht="25.5">
      <c r="A6257" s="8" t="s">
        <v>947</v>
      </c>
      <c r="B6257" s="17" t="s">
        <v>7741</v>
      </c>
      <c r="C6257" s="13">
        <v>39040</v>
      </c>
      <c r="D6257" s="13" t="s">
        <v>8465</v>
      </c>
      <c r="E6257" s="10" t="s">
        <v>86</v>
      </c>
      <c r="F6257" s="10" t="s">
        <v>87</v>
      </c>
      <c r="G6257" s="11" t="s">
        <v>85</v>
      </c>
      <c r="H6257" s="2" t="s">
        <v>80</v>
      </c>
      <c r="L6257" s="18">
        <v>1</v>
      </c>
      <c r="M6257" s="14" t="s">
        <v>8462</v>
      </c>
      <c r="N6257" s="13">
        <v>43318</v>
      </c>
      <c r="O6257" s="29">
        <v>10</v>
      </c>
      <c r="P6257" s="18" t="s">
        <v>14</v>
      </c>
      <c r="Q6257" s="18">
        <v>1</v>
      </c>
      <c r="T6257" s="22">
        <v>0.9</v>
      </c>
      <c r="U6257" s="22">
        <v>0.95</v>
      </c>
      <c r="V6257" s="22">
        <f>4.35/5</f>
        <v>0.86999999999999988</v>
      </c>
      <c r="AB6257" s="18">
        <f t="shared" si="194"/>
        <v>2006</v>
      </c>
      <c r="AC6257" s="22">
        <f t="shared" si="195"/>
        <v>0.90666666666666662</v>
      </c>
    </row>
    <row r="6258" spans="1:29">
      <c r="A6258" s="8" t="s">
        <v>969</v>
      </c>
      <c r="B6258" s="17" t="s">
        <v>7741</v>
      </c>
      <c r="C6258" s="13">
        <v>39040</v>
      </c>
      <c r="D6258" s="13" t="s">
        <v>8465</v>
      </c>
      <c r="E6258" s="10" t="s">
        <v>86</v>
      </c>
      <c r="F6258" s="10" t="s">
        <v>1517</v>
      </c>
      <c r="G6258" s="11" t="s">
        <v>138</v>
      </c>
      <c r="H6258" s="2" t="s">
        <v>150</v>
      </c>
      <c r="L6258" s="18">
        <v>1</v>
      </c>
      <c r="M6258" s="14" t="s">
        <v>8462</v>
      </c>
      <c r="N6258" s="13">
        <v>43569</v>
      </c>
      <c r="P6258" s="18" t="s">
        <v>14</v>
      </c>
      <c r="Q6258" s="18">
        <v>1</v>
      </c>
      <c r="T6258" s="22">
        <v>0.8</v>
      </c>
      <c r="U6258" s="22">
        <v>0.75</v>
      </c>
      <c r="V6258" s="22">
        <f>3.72/5</f>
        <v>0.74399999999999999</v>
      </c>
      <c r="AB6258" s="18">
        <f t="shared" si="194"/>
        <v>2006</v>
      </c>
      <c r="AC6258" s="22">
        <f t="shared" si="195"/>
        <v>0.76466666666666672</v>
      </c>
    </row>
    <row r="6259" spans="1:29">
      <c r="A6259" s="8" t="s">
        <v>966</v>
      </c>
      <c r="B6259" s="17" t="s">
        <v>7741</v>
      </c>
      <c r="C6259" s="13">
        <v>39040</v>
      </c>
      <c r="D6259" s="13" t="s">
        <v>8465</v>
      </c>
      <c r="E6259" s="10" t="s">
        <v>86</v>
      </c>
      <c r="F6259" s="10" t="s">
        <v>87</v>
      </c>
      <c r="G6259" s="11" t="s">
        <v>966</v>
      </c>
      <c r="H6259" s="2" t="s">
        <v>255</v>
      </c>
      <c r="L6259" s="18">
        <v>1</v>
      </c>
      <c r="M6259" s="14" t="s">
        <v>8462</v>
      </c>
      <c r="N6259" s="13">
        <v>43569</v>
      </c>
      <c r="P6259" s="18" t="s">
        <v>14</v>
      </c>
      <c r="Q6259" s="18">
        <v>1</v>
      </c>
      <c r="T6259" s="22">
        <v>0.7</v>
      </c>
      <c r="U6259" s="22">
        <v>0.76</v>
      </c>
      <c r="V6259" s="22">
        <f>3.62/5</f>
        <v>0.72399999999999998</v>
      </c>
      <c r="AB6259" s="18">
        <f t="shared" si="194"/>
        <v>2006</v>
      </c>
      <c r="AC6259" s="22">
        <f t="shared" si="195"/>
        <v>0.72800000000000009</v>
      </c>
    </row>
    <row r="6260" spans="1:29" ht="25.5">
      <c r="A6260" s="8" t="s">
        <v>970</v>
      </c>
      <c r="B6260" s="17" t="s">
        <v>7741</v>
      </c>
      <c r="C6260" s="13">
        <v>39040</v>
      </c>
      <c r="D6260" s="13" t="s">
        <v>8465</v>
      </c>
      <c r="E6260" s="10" t="s">
        <v>1047</v>
      </c>
      <c r="F6260" s="10" t="s">
        <v>1147</v>
      </c>
      <c r="G6260" s="11" t="s">
        <v>1477</v>
      </c>
      <c r="H6260" s="2" t="s">
        <v>1142</v>
      </c>
      <c r="L6260" s="18">
        <v>0</v>
      </c>
      <c r="Q6260" s="18">
        <v>1</v>
      </c>
      <c r="T6260" s="22">
        <v>0.7</v>
      </c>
      <c r="U6260" s="22">
        <v>0.77</v>
      </c>
      <c r="V6260" s="22">
        <f>3.41/5</f>
        <v>0.68200000000000005</v>
      </c>
      <c r="AB6260" s="18">
        <f t="shared" si="194"/>
        <v>2006</v>
      </c>
      <c r="AC6260" s="22">
        <f t="shared" si="195"/>
        <v>0.71733333333333338</v>
      </c>
    </row>
    <row r="6261" spans="1:29" ht="30">
      <c r="A6261" s="8" t="s">
        <v>6007</v>
      </c>
      <c r="B6261" s="17" t="s">
        <v>7759</v>
      </c>
      <c r="C6261" s="13">
        <v>39035</v>
      </c>
      <c r="D6261" s="13" t="s">
        <v>8465</v>
      </c>
      <c r="E6261" s="10" t="s">
        <v>2908</v>
      </c>
      <c r="F6261" s="10" t="s">
        <v>3039</v>
      </c>
      <c r="G6261" s="11" t="s">
        <v>6005</v>
      </c>
      <c r="H6261" s="2" t="s">
        <v>1050</v>
      </c>
      <c r="L6261" s="18">
        <v>1</v>
      </c>
      <c r="M6261" s="14" t="s">
        <v>8462</v>
      </c>
      <c r="P6261" s="18" t="s">
        <v>14</v>
      </c>
      <c r="Q6261" s="18">
        <v>1</v>
      </c>
      <c r="R6261" s="13">
        <v>43523</v>
      </c>
      <c r="T6261" s="22">
        <v>0.7</v>
      </c>
      <c r="U6261" s="22">
        <v>0.87</v>
      </c>
      <c r="V6261" s="22">
        <f>3.84/5</f>
        <v>0.76800000000000002</v>
      </c>
      <c r="AB6261" s="18">
        <f t="shared" si="194"/>
        <v>2006</v>
      </c>
      <c r="AC6261" s="22">
        <f t="shared" si="195"/>
        <v>0.77933333333333332</v>
      </c>
    </row>
    <row r="6262" spans="1:29">
      <c r="A6262" s="8" t="s">
        <v>296</v>
      </c>
      <c r="B6262" s="17" t="s">
        <v>7748</v>
      </c>
      <c r="C6262" s="13">
        <v>39035</v>
      </c>
      <c r="D6262" s="13" t="s">
        <v>8465</v>
      </c>
      <c r="E6262" s="10" t="s">
        <v>1082</v>
      </c>
      <c r="F6262" s="10" t="s">
        <v>1083</v>
      </c>
      <c r="G6262" s="11" t="s">
        <v>126</v>
      </c>
      <c r="H6262" s="2" t="s">
        <v>149</v>
      </c>
      <c r="L6262" s="18">
        <v>0</v>
      </c>
      <c r="Q6262" s="18">
        <v>1</v>
      </c>
      <c r="R6262" s="13">
        <v>43883</v>
      </c>
      <c r="S6262" s="21">
        <f>29+29/60+9/3600</f>
        <v>29.485833333333336</v>
      </c>
      <c r="T6262" s="22">
        <v>0.75</v>
      </c>
      <c r="U6262" s="22">
        <v>0.78</v>
      </c>
      <c r="V6262" s="22">
        <f>3.75/5</f>
        <v>0.75</v>
      </c>
      <c r="AB6262" s="18">
        <f t="shared" si="194"/>
        <v>2006</v>
      </c>
      <c r="AC6262" s="22">
        <f t="shared" si="195"/>
        <v>0.76000000000000012</v>
      </c>
    </row>
    <row r="6263" spans="1:29" ht="30">
      <c r="A6263" s="8" t="s">
        <v>957</v>
      </c>
      <c r="B6263" s="17" t="s">
        <v>7741</v>
      </c>
      <c r="C6263" s="13">
        <v>39035</v>
      </c>
      <c r="D6263" s="13" t="s">
        <v>8465</v>
      </c>
      <c r="E6263" s="10" t="s">
        <v>1273</v>
      </c>
      <c r="F6263" s="10" t="s">
        <v>1511</v>
      </c>
      <c r="G6263" s="11" t="s">
        <v>957</v>
      </c>
      <c r="H6263" s="2" t="s">
        <v>153</v>
      </c>
      <c r="L6263" s="18">
        <v>0</v>
      </c>
      <c r="Q6263" s="18">
        <v>1</v>
      </c>
      <c r="T6263" s="22">
        <v>0.7</v>
      </c>
      <c r="U6263" s="22">
        <v>0.74</v>
      </c>
      <c r="V6263" s="22">
        <f>3.81/5</f>
        <v>0.76200000000000001</v>
      </c>
      <c r="AB6263" s="18">
        <f t="shared" si="194"/>
        <v>2006</v>
      </c>
      <c r="AC6263" s="22">
        <f t="shared" si="195"/>
        <v>0.73399999999999999</v>
      </c>
    </row>
    <row r="6264" spans="1:29">
      <c r="A6264" s="8" t="s">
        <v>2114</v>
      </c>
      <c r="B6264" s="17" t="s">
        <v>7748</v>
      </c>
      <c r="C6264" s="13">
        <v>39034</v>
      </c>
      <c r="D6264" s="13" t="s">
        <v>8465</v>
      </c>
      <c r="E6264" s="10" t="s">
        <v>86</v>
      </c>
      <c r="F6264" s="10" t="s">
        <v>2135</v>
      </c>
      <c r="G6264" s="11" t="s">
        <v>1173</v>
      </c>
      <c r="H6264" s="2" t="s">
        <v>64</v>
      </c>
      <c r="L6264" s="18">
        <v>0</v>
      </c>
      <c r="Q6264" s="18">
        <v>1</v>
      </c>
      <c r="T6264" s="22">
        <v>0.8</v>
      </c>
      <c r="U6264" s="22">
        <v>0.81</v>
      </c>
      <c r="V6264" s="22">
        <f>3.66/5</f>
        <v>0.73199999999999998</v>
      </c>
      <c r="AB6264" s="18">
        <f t="shared" si="194"/>
        <v>2006</v>
      </c>
      <c r="AC6264" s="22">
        <f t="shared" si="195"/>
        <v>0.78066666666666673</v>
      </c>
    </row>
    <row r="6265" spans="1:29">
      <c r="A6265" s="8" t="s">
        <v>6303</v>
      </c>
      <c r="B6265" s="17" t="s">
        <v>7765</v>
      </c>
      <c r="C6265" s="13">
        <v>39028</v>
      </c>
      <c r="D6265" s="13" t="s">
        <v>8465</v>
      </c>
      <c r="E6265" s="10" t="s">
        <v>3740</v>
      </c>
      <c r="F6265" s="10" t="s">
        <v>6304</v>
      </c>
      <c r="G6265" s="11" t="s">
        <v>6303</v>
      </c>
      <c r="H6265" s="2" t="s">
        <v>1168</v>
      </c>
      <c r="L6265" s="18">
        <v>1</v>
      </c>
      <c r="M6265" s="14" t="s">
        <v>8462</v>
      </c>
      <c r="N6265" s="13">
        <v>43380</v>
      </c>
      <c r="O6265" s="29">
        <v>6.99</v>
      </c>
      <c r="P6265" s="18" t="s">
        <v>14</v>
      </c>
      <c r="Q6265" s="18">
        <v>1</v>
      </c>
      <c r="R6265" s="13">
        <v>41623</v>
      </c>
      <c r="T6265" s="22">
        <v>0.8</v>
      </c>
      <c r="U6265" s="22">
        <v>0.94</v>
      </c>
      <c r="V6265" s="22">
        <f>4.06/5</f>
        <v>0.81199999999999994</v>
      </c>
      <c r="W6265" s="14" t="s">
        <v>8464</v>
      </c>
      <c r="AB6265" s="18">
        <f t="shared" si="194"/>
        <v>2006</v>
      </c>
      <c r="AC6265" s="22">
        <f t="shared" si="195"/>
        <v>0.85066666666666668</v>
      </c>
    </row>
    <row r="6266" spans="1:29">
      <c r="A6266" s="8" t="s">
        <v>6356</v>
      </c>
      <c r="B6266" s="17" t="s">
        <v>7765</v>
      </c>
      <c r="C6266" s="13">
        <v>39028</v>
      </c>
      <c r="D6266" s="13" t="s">
        <v>8465</v>
      </c>
      <c r="E6266" s="10" t="s">
        <v>1273</v>
      </c>
      <c r="F6266" s="10" t="s">
        <v>1508</v>
      </c>
      <c r="G6266" s="11" t="s">
        <v>3401</v>
      </c>
      <c r="H6266" s="2" t="s">
        <v>1050</v>
      </c>
      <c r="L6266" s="18">
        <v>0</v>
      </c>
      <c r="Q6266" s="18">
        <v>1</v>
      </c>
      <c r="R6266" s="13">
        <v>40719</v>
      </c>
      <c r="T6266" s="22">
        <v>0.6</v>
      </c>
      <c r="U6266" s="22">
        <v>0.82</v>
      </c>
      <c r="V6266" s="22">
        <f>3.46/5</f>
        <v>0.69199999999999995</v>
      </c>
      <c r="AB6266" s="18">
        <f t="shared" si="194"/>
        <v>2006</v>
      </c>
      <c r="AC6266" s="22">
        <f t="shared" si="195"/>
        <v>0.70400000000000007</v>
      </c>
    </row>
    <row r="6267" spans="1:29">
      <c r="A6267" s="8" t="s">
        <v>2106</v>
      </c>
      <c r="B6267" s="17" t="s">
        <v>7748</v>
      </c>
      <c r="C6267" s="13">
        <v>39027</v>
      </c>
      <c r="D6267" s="13" t="s">
        <v>8465</v>
      </c>
      <c r="E6267" s="10" t="s">
        <v>86</v>
      </c>
      <c r="F6267" s="10" t="s">
        <v>2132</v>
      </c>
      <c r="G6267" s="11" t="s">
        <v>2133</v>
      </c>
      <c r="H6267" s="2" t="s">
        <v>1220</v>
      </c>
      <c r="L6267" s="18">
        <v>0</v>
      </c>
      <c r="Q6267" s="18">
        <v>1</v>
      </c>
      <c r="T6267" s="22">
        <v>0.9</v>
      </c>
      <c r="U6267" s="22">
        <v>0.88</v>
      </c>
      <c r="V6267" s="22">
        <f>4.15/5</f>
        <v>0.83000000000000007</v>
      </c>
      <c r="AB6267" s="18">
        <f t="shared" si="194"/>
        <v>2006</v>
      </c>
      <c r="AC6267" s="22">
        <f t="shared" si="195"/>
        <v>0.87000000000000011</v>
      </c>
    </row>
    <row r="6268" spans="1:29" ht="30">
      <c r="A6268" s="8" t="s">
        <v>2050</v>
      </c>
      <c r="B6268" s="17" t="s">
        <v>7747</v>
      </c>
      <c r="C6268" s="13">
        <v>39027</v>
      </c>
      <c r="D6268" s="13" t="s">
        <v>8465</v>
      </c>
      <c r="E6268" s="10" t="s">
        <v>86</v>
      </c>
      <c r="F6268" s="10" t="s">
        <v>58</v>
      </c>
      <c r="G6268" s="11" t="s">
        <v>126</v>
      </c>
      <c r="H6268" s="2" t="s">
        <v>149</v>
      </c>
      <c r="L6268" s="18">
        <v>1</v>
      </c>
      <c r="M6268" s="14" t="s">
        <v>10622</v>
      </c>
      <c r="N6268" s="13">
        <v>43864</v>
      </c>
      <c r="O6268" s="29">
        <v>32.54</v>
      </c>
      <c r="P6268" s="18" t="s">
        <v>14</v>
      </c>
      <c r="Q6268" s="18">
        <v>1</v>
      </c>
      <c r="R6268" s="13">
        <v>43895</v>
      </c>
      <c r="S6268" s="21">
        <f>31+37/60</f>
        <v>31.616666666666667</v>
      </c>
      <c r="T6268" s="22">
        <v>0.8</v>
      </c>
      <c r="U6268" s="22">
        <v>0.82</v>
      </c>
      <c r="V6268" s="22">
        <f>4.14/5</f>
        <v>0.82799999999999996</v>
      </c>
      <c r="AB6268" s="18">
        <f t="shared" si="194"/>
        <v>2006</v>
      </c>
      <c r="AC6268" s="22">
        <f t="shared" si="195"/>
        <v>0.81599999999999995</v>
      </c>
    </row>
    <row r="6269" spans="1:29" ht="30">
      <c r="A6269" s="8" t="s">
        <v>2030</v>
      </c>
      <c r="B6269" s="17" t="s">
        <v>7747</v>
      </c>
      <c r="C6269" s="13">
        <v>39021</v>
      </c>
      <c r="D6269" s="13" t="s">
        <v>8465</v>
      </c>
      <c r="E6269" s="10" t="s">
        <v>1972</v>
      </c>
      <c r="F6269" s="10" t="s">
        <v>1973</v>
      </c>
      <c r="H6269" s="2" t="s">
        <v>80</v>
      </c>
      <c r="L6269" s="18">
        <v>0</v>
      </c>
      <c r="Q6269" s="18">
        <v>1</v>
      </c>
      <c r="R6269" s="13">
        <v>45100</v>
      </c>
      <c r="S6269" s="21">
        <v>12</v>
      </c>
      <c r="T6269" s="22">
        <v>0.4</v>
      </c>
      <c r="U6269" s="22">
        <v>0.76</v>
      </c>
      <c r="V6269" s="22">
        <f>3.71/5</f>
        <v>0.74199999999999999</v>
      </c>
      <c r="AB6269" s="18">
        <f t="shared" si="194"/>
        <v>2006</v>
      </c>
      <c r="AC6269" s="22">
        <f t="shared" si="195"/>
        <v>0.63400000000000001</v>
      </c>
    </row>
    <row r="6270" spans="1:29">
      <c r="A6270" s="8" t="s">
        <v>6316</v>
      </c>
      <c r="B6270" s="17" t="s">
        <v>7765</v>
      </c>
      <c r="C6270" s="13">
        <v>39001</v>
      </c>
      <c r="D6270" s="13" t="s">
        <v>8465</v>
      </c>
      <c r="E6270" s="10" t="s">
        <v>311</v>
      </c>
      <c r="F6270" s="10" t="s">
        <v>158</v>
      </c>
      <c r="G6270" s="11" t="s">
        <v>6316</v>
      </c>
      <c r="H6270" s="2" t="s">
        <v>6317</v>
      </c>
      <c r="L6270" s="18">
        <v>1</v>
      </c>
      <c r="P6270" s="18" t="s">
        <v>1107</v>
      </c>
      <c r="Q6270" s="18">
        <v>1</v>
      </c>
      <c r="R6270" s="13">
        <v>40269</v>
      </c>
      <c r="T6270" s="22">
        <v>0.5</v>
      </c>
      <c r="U6270" s="22">
        <v>0.65</v>
      </c>
      <c r="V6270" s="22">
        <f>3.84/5</f>
        <v>0.76800000000000002</v>
      </c>
      <c r="AB6270" s="18">
        <f t="shared" si="194"/>
        <v>2006</v>
      </c>
      <c r="AC6270" s="22">
        <f t="shared" si="195"/>
        <v>0.63933333333333331</v>
      </c>
    </row>
    <row r="6271" spans="1:29">
      <c r="A6271" s="8" t="s">
        <v>1890</v>
      </c>
      <c r="B6271" s="17" t="s">
        <v>7765</v>
      </c>
      <c r="C6271" s="13">
        <v>38987</v>
      </c>
      <c r="D6271" s="13" t="s">
        <v>8465</v>
      </c>
      <c r="E6271" s="10" t="s">
        <v>1273</v>
      </c>
      <c r="F6271" s="10" t="s">
        <v>1889</v>
      </c>
      <c r="G6271" s="11" t="s">
        <v>1890</v>
      </c>
      <c r="H6271" s="2" t="s">
        <v>1050</v>
      </c>
      <c r="L6271" s="18">
        <v>1</v>
      </c>
      <c r="P6271" s="18" t="s">
        <v>1107</v>
      </c>
      <c r="Q6271" s="18">
        <v>1</v>
      </c>
      <c r="T6271" s="22">
        <v>0.7</v>
      </c>
      <c r="U6271" s="22">
        <v>0.8</v>
      </c>
      <c r="V6271" s="22">
        <f>4.12/5</f>
        <v>0.82400000000000007</v>
      </c>
      <c r="AB6271" s="18">
        <f t="shared" si="194"/>
        <v>2006</v>
      </c>
      <c r="AC6271" s="22">
        <f t="shared" si="195"/>
        <v>0.77466666666666661</v>
      </c>
    </row>
    <row r="6272" spans="1:29" ht="38.25">
      <c r="A6272" s="8" t="s">
        <v>2111</v>
      </c>
      <c r="B6272" s="17" t="s">
        <v>7748</v>
      </c>
      <c r="C6272" s="13">
        <v>38978</v>
      </c>
      <c r="D6272" s="13" t="s">
        <v>8465</v>
      </c>
      <c r="E6272" s="10" t="s">
        <v>86</v>
      </c>
      <c r="F6272" s="10" t="s">
        <v>164</v>
      </c>
      <c r="G6272" s="11" t="s">
        <v>1984</v>
      </c>
      <c r="H6272" s="2" t="s">
        <v>1377</v>
      </c>
      <c r="L6272" s="18">
        <v>0</v>
      </c>
      <c r="Q6272" s="18">
        <v>1</v>
      </c>
      <c r="T6272" s="22">
        <v>0.9</v>
      </c>
      <c r="U6272" s="22">
        <v>0.64</v>
      </c>
      <c r="V6272" s="22">
        <f>3.87/5</f>
        <v>0.77400000000000002</v>
      </c>
      <c r="AB6272" s="18">
        <f t="shared" si="194"/>
        <v>2006</v>
      </c>
      <c r="AC6272" s="22">
        <f t="shared" si="195"/>
        <v>0.77133333333333332</v>
      </c>
    </row>
    <row r="6273" spans="1:29">
      <c r="A6273" s="8" t="s">
        <v>2097</v>
      </c>
      <c r="B6273" s="17" t="s">
        <v>7748</v>
      </c>
      <c r="C6273" s="13">
        <v>38957</v>
      </c>
      <c r="D6273" s="13" t="s">
        <v>8465</v>
      </c>
      <c r="E6273" s="10" t="s">
        <v>86</v>
      </c>
      <c r="F6273" s="10" t="s">
        <v>2127</v>
      </c>
      <c r="G6273" s="11" t="s">
        <v>578</v>
      </c>
      <c r="H6273" s="2" t="s">
        <v>61</v>
      </c>
      <c r="L6273" s="18">
        <v>0</v>
      </c>
      <c r="Q6273" s="18">
        <v>1</v>
      </c>
      <c r="T6273" s="22">
        <v>0.6</v>
      </c>
      <c r="U6273" s="22">
        <v>0.76</v>
      </c>
      <c r="V6273" s="22">
        <f>3.32/5</f>
        <v>0.66399999999999992</v>
      </c>
      <c r="AB6273" s="18">
        <f t="shared" ref="AB6273:AB6336" si="196">IFERROR(YEAR(C6273), "Early Access")</f>
        <v>2006</v>
      </c>
      <c r="AC6273" s="22">
        <f t="shared" ref="AC6273:AC6336" si="197">AVERAGE(T6273, U6273, V6273, IF(ISBLANK(X6273), X6273, X6273/5))</f>
        <v>0.67466666666666664</v>
      </c>
    </row>
    <row r="6274" spans="1:29" ht="25.5">
      <c r="A6274" s="8" t="s">
        <v>5802</v>
      </c>
      <c r="B6274" s="17" t="s">
        <v>7758</v>
      </c>
      <c r="C6274" s="13">
        <v>38944</v>
      </c>
      <c r="D6274" s="13" t="s">
        <v>8465</v>
      </c>
      <c r="E6274" s="10" t="s">
        <v>1082</v>
      </c>
      <c r="F6274" s="10" t="s">
        <v>1082</v>
      </c>
      <c r="G6274" s="11" t="s">
        <v>126</v>
      </c>
      <c r="H6274" s="2" t="s">
        <v>1168</v>
      </c>
      <c r="L6274" s="18">
        <v>0</v>
      </c>
      <c r="Q6274" s="18">
        <v>1</v>
      </c>
      <c r="R6274" s="13">
        <v>44371</v>
      </c>
      <c r="S6274" s="21">
        <f>8+49/60+44/3600</f>
        <v>8.8288888888888888</v>
      </c>
      <c r="T6274" s="22">
        <v>0.6</v>
      </c>
      <c r="U6274" s="22">
        <v>0.6</v>
      </c>
      <c r="V6274" s="22">
        <f>3.5/5</f>
        <v>0.7</v>
      </c>
      <c r="AB6274" s="18">
        <f t="shared" si="196"/>
        <v>2006</v>
      </c>
      <c r="AC6274" s="22">
        <f t="shared" si="197"/>
        <v>0.6333333333333333</v>
      </c>
    </row>
    <row r="6275" spans="1:29" ht="30">
      <c r="A6275" s="8" t="s">
        <v>1925</v>
      </c>
      <c r="B6275" s="17" t="s">
        <v>7747</v>
      </c>
      <c r="C6275" s="13">
        <v>38924</v>
      </c>
      <c r="D6275" s="13" t="s">
        <v>8465</v>
      </c>
      <c r="E6275" s="10" t="s">
        <v>228</v>
      </c>
      <c r="F6275" s="10" t="s">
        <v>1897</v>
      </c>
      <c r="G6275" s="11" t="s">
        <v>1898</v>
      </c>
      <c r="H6275" s="2" t="s">
        <v>171</v>
      </c>
      <c r="L6275" s="18">
        <v>0</v>
      </c>
      <c r="Q6275" s="18">
        <v>1</v>
      </c>
      <c r="T6275" s="22">
        <v>0.8</v>
      </c>
      <c r="U6275" s="22">
        <v>0.76</v>
      </c>
      <c r="V6275" s="22">
        <f>4.06/5</f>
        <v>0.81199999999999994</v>
      </c>
      <c r="AB6275" s="18">
        <f t="shared" si="196"/>
        <v>2006</v>
      </c>
      <c r="AC6275" s="22">
        <f t="shared" si="197"/>
        <v>0.79066666666666663</v>
      </c>
    </row>
    <row r="6276" spans="1:29">
      <c r="A6276" s="8" t="s">
        <v>6320</v>
      </c>
      <c r="B6276" s="17" t="s">
        <v>7765</v>
      </c>
      <c r="C6276" s="13">
        <v>38924</v>
      </c>
      <c r="D6276" s="13" t="s">
        <v>8465</v>
      </c>
      <c r="E6276" s="10" t="s">
        <v>485</v>
      </c>
      <c r="F6276" s="10" t="s">
        <v>158</v>
      </c>
      <c r="G6276" s="11" t="s">
        <v>6320</v>
      </c>
      <c r="H6276" s="2" t="s">
        <v>2138</v>
      </c>
      <c r="L6276" s="18">
        <v>1</v>
      </c>
      <c r="P6276" s="18" t="s">
        <v>1107</v>
      </c>
      <c r="Q6276" s="18">
        <v>1</v>
      </c>
      <c r="R6276" s="13">
        <v>40076</v>
      </c>
      <c r="T6276" s="22">
        <v>0.8</v>
      </c>
      <c r="U6276" s="22">
        <v>0.67</v>
      </c>
      <c r="V6276" s="22">
        <f>3.95/5</f>
        <v>0.79</v>
      </c>
      <c r="AB6276" s="18">
        <f t="shared" si="196"/>
        <v>2006</v>
      </c>
      <c r="AC6276" s="22">
        <f t="shared" si="197"/>
        <v>0.75333333333333341</v>
      </c>
    </row>
    <row r="6277" spans="1:29">
      <c r="A6277" s="8" t="s">
        <v>2107</v>
      </c>
      <c r="B6277" s="17" t="s">
        <v>7748</v>
      </c>
      <c r="C6277" s="13">
        <v>38852</v>
      </c>
      <c r="D6277" s="13" t="s">
        <v>8465</v>
      </c>
      <c r="E6277" s="10" t="s">
        <v>86</v>
      </c>
      <c r="F6277" s="10" t="s">
        <v>87</v>
      </c>
      <c r="G6277" s="11" t="s">
        <v>137</v>
      </c>
      <c r="H6277" s="2" t="s">
        <v>64</v>
      </c>
      <c r="L6277" s="18">
        <v>0</v>
      </c>
      <c r="Q6277" s="18">
        <v>1</v>
      </c>
      <c r="T6277" s="22">
        <v>0.9</v>
      </c>
      <c r="U6277" s="22">
        <v>0.89</v>
      </c>
      <c r="V6277" s="22">
        <f>4.03/5</f>
        <v>0.80600000000000005</v>
      </c>
      <c r="AB6277" s="18">
        <f t="shared" si="196"/>
        <v>2006</v>
      </c>
      <c r="AC6277" s="22">
        <f t="shared" si="197"/>
        <v>0.8653333333333334</v>
      </c>
    </row>
    <row r="6278" spans="1:29" ht="30">
      <c r="A6278" s="8" t="s">
        <v>1914</v>
      </c>
      <c r="B6278" s="17" t="s">
        <v>7747</v>
      </c>
      <c r="C6278" s="13">
        <v>38827</v>
      </c>
      <c r="D6278" s="13" t="s">
        <v>8463</v>
      </c>
      <c r="E6278" s="10" t="s">
        <v>86</v>
      </c>
      <c r="F6278" s="10" t="s">
        <v>30</v>
      </c>
      <c r="G6278" s="11" t="s">
        <v>99</v>
      </c>
      <c r="H6278" s="2" t="s">
        <v>149</v>
      </c>
      <c r="K6278" s="18">
        <v>2</v>
      </c>
      <c r="L6278" s="18">
        <v>0</v>
      </c>
      <c r="Q6278" s="18">
        <v>1</v>
      </c>
      <c r="T6278" s="22">
        <v>0.9</v>
      </c>
      <c r="U6278" s="22">
        <v>0.84</v>
      </c>
      <c r="V6278" s="22">
        <f>4.47/5</f>
        <v>0.89399999999999991</v>
      </c>
      <c r="AB6278" s="18">
        <f t="shared" si="196"/>
        <v>2006</v>
      </c>
      <c r="AC6278" s="22">
        <f t="shared" si="197"/>
        <v>0.878</v>
      </c>
    </row>
    <row r="6279" spans="1:29" ht="25.5">
      <c r="A6279" s="8" t="s">
        <v>2112</v>
      </c>
      <c r="B6279" s="17" t="s">
        <v>7748</v>
      </c>
      <c r="C6279" s="13">
        <v>38823</v>
      </c>
      <c r="D6279" s="13" t="s">
        <v>8465</v>
      </c>
      <c r="E6279" s="10" t="s">
        <v>86</v>
      </c>
      <c r="F6279" s="10" t="s">
        <v>1515</v>
      </c>
      <c r="G6279" s="11" t="s">
        <v>2134</v>
      </c>
      <c r="H6279" s="2" t="s">
        <v>1334</v>
      </c>
      <c r="L6279" s="18">
        <v>0</v>
      </c>
      <c r="Q6279" s="18">
        <v>1</v>
      </c>
      <c r="T6279" s="22">
        <v>0.7</v>
      </c>
      <c r="U6279" s="22">
        <v>0.78</v>
      </c>
      <c r="V6279" s="22">
        <f>3.45/5</f>
        <v>0.69000000000000006</v>
      </c>
      <c r="AB6279" s="18">
        <f t="shared" si="196"/>
        <v>2006</v>
      </c>
      <c r="AC6279" s="22">
        <f t="shared" si="197"/>
        <v>0.72333333333333327</v>
      </c>
    </row>
    <row r="6280" spans="1:29" ht="25.5">
      <c r="A6280" s="8" t="s">
        <v>3486</v>
      </c>
      <c r="B6280" s="17" t="s">
        <v>7800</v>
      </c>
      <c r="C6280" s="13">
        <v>38818</v>
      </c>
      <c r="D6280" s="13" t="s">
        <v>8465</v>
      </c>
      <c r="E6280" s="10" t="s">
        <v>455</v>
      </c>
      <c r="F6280" s="10" t="s">
        <v>3487</v>
      </c>
      <c r="G6280" s="11" t="s">
        <v>3488</v>
      </c>
      <c r="H6280" s="2" t="s">
        <v>1061</v>
      </c>
      <c r="L6280" s="18">
        <v>1</v>
      </c>
      <c r="N6280" s="13">
        <v>41796</v>
      </c>
      <c r="O6280" s="29">
        <v>3.64</v>
      </c>
      <c r="P6280" s="18" t="s">
        <v>1107</v>
      </c>
      <c r="Q6280" s="18">
        <v>1</v>
      </c>
      <c r="R6280" s="13">
        <v>44393</v>
      </c>
      <c r="S6280" s="21">
        <f>5+22/60</f>
        <v>5.3666666666666663</v>
      </c>
      <c r="T6280" s="22">
        <v>0.6</v>
      </c>
      <c r="U6280" s="22">
        <v>0.79</v>
      </c>
      <c r="V6280" s="22">
        <f>3.69/5</f>
        <v>0.73799999999999999</v>
      </c>
      <c r="W6280" s="14" t="s">
        <v>7777</v>
      </c>
      <c r="AB6280" s="18">
        <f t="shared" si="196"/>
        <v>2006</v>
      </c>
      <c r="AC6280" s="22">
        <f t="shared" si="197"/>
        <v>0.70933333333333337</v>
      </c>
    </row>
    <row r="6281" spans="1:29" ht="25.5">
      <c r="A6281" s="8" t="s">
        <v>5304</v>
      </c>
      <c r="B6281" s="17" t="s">
        <v>7765</v>
      </c>
      <c r="C6281" s="13">
        <v>38796</v>
      </c>
      <c r="D6281" s="13" t="s">
        <v>8465</v>
      </c>
      <c r="E6281" s="10" t="s">
        <v>3310</v>
      </c>
      <c r="F6281" s="10" t="s">
        <v>1690</v>
      </c>
      <c r="G6281" s="11" t="s">
        <v>1207</v>
      </c>
      <c r="H6281" s="2" t="s">
        <v>171</v>
      </c>
      <c r="L6281" s="18">
        <v>0</v>
      </c>
      <c r="Q6281" s="18">
        <v>1</v>
      </c>
      <c r="R6281" s="13">
        <v>40354</v>
      </c>
      <c r="T6281" s="22">
        <v>1</v>
      </c>
      <c r="U6281" s="22">
        <v>0.94</v>
      </c>
      <c r="V6281" s="22">
        <f>4.34/5</f>
        <v>0.86799999999999999</v>
      </c>
      <c r="AB6281" s="18">
        <f t="shared" si="196"/>
        <v>2006</v>
      </c>
      <c r="AC6281" s="22">
        <f t="shared" si="197"/>
        <v>0.93599999999999994</v>
      </c>
    </row>
    <row r="6282" spans="1:29">
      <c r="A6282" s="8" t="s">
        <v>2095</v>
      </c>
      <c r="B6282" s="17" t="s">
        <v>7748</v>
      </c>
      <c r="C6282" s="13">
        <v>38796</v>
      </c>
      <c r="D6282" s="13" t="s">
        <v>8465</v>
      </c>
      <c r="E6282" s="10" t="s">
        <v>86</v>
      </c>
      <c r="F6282" s="10" t="s">
        <v>86</v>
      </c>
      <c r="G6282" s="11" t="s">
        <v>109</v>
      </c>
      <c r="H6282" s="2" t="s">
        <v>1050</v>
      </c>
      <c r="L6282" s="18">
        <v>0</v>
      </c>
      <c r="Q6282" s="18">
        <v>1</v>
      </c>
      <c r="T6282" s="22">
        <v>0.6</v>
      </c>
      <c r="U6282" s="22">
        <v>0.84</v>
      </c>
      <c r="V6282" s="22">
        <f>3.63/5</f>
        <v>0.72599999999999998</v>
      </c>
      <c r="AB6282" s="18">
        <f t="shared" si="196"/>
        <v>2006</v>
      </c>
      <c r="AC6282" s="22">
        <f t="shared" si="197"/>
        <v>0.72199999999999998</v>
      </c>
    </row>
    <row r="6283" spans="1:29">
      <c r="A6283" s="8" t="s">
        <v>312</v>
      </c>
      <c r="B6283" s="17" t="s">
        <v>6317</v>
      </c>
      <c r="C6283" s="13">
        <v>38772</v>
      </c>
      <c r="D6283" s="13" t="s">
        <v>8463</v>
      </c>
      <c r="E6283" s="10" t="s">
        <v>170</v>
      </c>
      <c r="F6283" s="10" t="s">
        <v>170</v>
      </c>
      <c r="G6283" s="11" t="s">
        <v>450</v>
      </c>
      <c r="H6283" s="2" t="s">
        <v>147</v>
      </c>
      <c r="K6283" s="18">
        <v>0</v>
      </c>
      <c r="L6283" s="18">
        <v>0</v>
      </c>
      <c r="Q6283" s="18">
        <v>1</v>
      </c>
      <c r="T6283" s="22">
        <v>0.8</v>
      </c>
      <c r="V6283" s="22">
        <f>4/5</f>
        <v>0.8</v>
      </c>
      <c r="AB6283" s="18">
        <f t="shared" si="196"/>
        <v>2006</v>
      </c>
      <c r="AC6283" s="22">
        <f t="shared" si="197"/>
        <v>0.8</v>
      </c>
    </row>
    <row r="6284" spans="1:29" ht="30">
      <c r="A6284" s="8" t="s">
        <v>915</v>
      </c>
      <c r="B6284" s="17" t="s">
        <v>7740</v>
      </c>
      <c r="C6284" s="13">
        <v>38769</v>
      </c>
      <c r="D6284" s="13" t="s">
        <v>8465</v>
      </c>
      <c r="E6284" s="10" t="s">
        <v>455</v>
      </c>
      <c r="F6284" s="10" t="s">
        <v>1492</v>
      </c>
      <c r="G6284" s="11" t="s">
        <v>1688</v>
      </c>
      <c r="H6284" s="2" t="s">
        <v>150</v>
      </c>
      <c r="L6284" s="18">
        <v>0</v>
      </c>
      <c r="Q6284" s="18">
        <v>1</v>
      </c>
      <c r="T6284" s="22">
        <v>0.7</v>
      </c>
      <c r="U6284" s="22">
        <v>0.63</v>
      </c>
      <c r="V6284" s="22">
        <f>3.4/5</f>
        <v>0.67999999999999994</v>
      </c>
      <c r="AB6284" s="18">
        <f t="shared" si="196"/>
        <v>2006</v>
      </c>
      <c r="AC6284" s="22">
        <f t="shared" si="197"/>
        <v>0.66999999999999993</v>
      </c>
    </row>
    <row r="6285" spans="1:29" ht="30">
      <c r="A6285" s="8" t="s">
        <v>1921</v>
      </c>
      <c r="B6285" s="17" t="s">
        <v>7747</v>
      </c>
      <c r="C6285" s="13">
        <v>38754</v>
      </c>
      <c r="D6285" s="13" t="s">
        <v>8465</v>
      </c>
      <c r="E6285" s="10" t="s">
        <v>86</v>
      </c>
      <c r="F6285" s="10" t="s">
        <v>1354</v>
      </c>
      <c r="H6285" s="2" t="s">
        <v>56</v>
      </c>
      <c r="L6285" s="18">
        <v>0</v>
      </c>
      <c r="Q6285" s="18">
        <v>1</v>
      </c>
      <c r="T6285" s="22">
        <v>0.7</v>
      </c>
      <c r="U6285" s="22">
        <v>0.82</v>
      </c>
      <c r="V6285" s="22">
        <f>3.96/5</f>
        <v>0.79200000000000004</v>
      </c>
      <c r="AB6285" s="18">
        <f t="shared" si="196"/>
        <v>2006</v>
      </c>
      <c r="AC6285" s="22">
        <f t="shared" si="197"/>
        <v>0.77066666666666672</v>
      </c>
    </row>
    <row r="6286" spans="1:29">
      <c r="A6286" s="8" t="s">
        <v>2804</v>
      </c>
      <c r="B6286" s="17" t="s">
        <v>7781</v>
      </c>
      <c r="C6286" s="13">
        <v>38718</v>
      </c>
      <c r="D6286" s="13" t="s">
        <v>8465</v>
      </c>
      <c r="E6286" s="10" t="s">
        <v>1625</v>
      </c>
      <c r="F6286" s="10" t="s">
        <v>2815</v>
      </c>
      <c r="G6286" s="11" t="s">
        <v>2804</v>
      </c>
      <c r="H6286" s="2" t="s">
        <v>67</v>
      </c>
      <c r="L6286" s="18">
        <v>0</v>
      </c>
      <c r="Q6286" s="18">
        <v>1</v>
      </c>
      <c r="T6286" s="22">
        <v>0.7</v>
      </c>
      <c r="V6286" s="22">
        <f>3.51/5</f>
        <v>0.70199999999999996</v>
      </c>
      <c r="AB6286" s="18">
        <f t="shared" si="196"/>
        <v>2006</v>
      </c>
      <c r="AC6286" s="22">
        <f t="shared" si="197"/>
        <v>0.70099999999999996</v>
      </c>
    </row>
    <row r="6287" spans="1:29" ht="25.5">
      <c r="A6287" s="8" t="s">
        <v>5743</v>
      </c>
      <c r="B6287" s="17" t="s">
        <v>7758</v>
      </c>
      <c r="C6287" s="13">
        <v>38715</v>
      </c>
      <c r="D6287" s="13" t="s">
        <v>8463</v>
      </c>
      <c r="E6287" s="10" t="s">
        <v>1082</v>
      </c>
      <c r="F6287" s="10" t="s">
        <v>1082</v>
      </c>
      <c r="G6287" s="11" t="s">
        <v>812</v>
      </c>
      <c r="H6287" s="2" t="s">
        <v>75</v>
      </c>
      <c r="K6287" s="18">
        <v>2</v>
      </c>
      <c r="L6287" s="18">
        <v>0</v>
      </c>
      <c r="Q6287" s="18">
        <v>0</v>
      </c>
      <c r="V6287" s="22">
        <f>4.25/5</f>
        <v>0.85</v>
      </c>
      <c r="X6287" s="3">
        <v>3</v>
      </c>
      <c r="Z6287" s="23">
        <v>32.5</v>
      </c>
      <c r="AB6287" s="18">
        <f t="shared" si="196"/>
        <v>2005</v>
      </c>
      <c r="AC6287" s="22">
        <f t="shared" si="197"/>
        <v>0.72499999999999998</v>
      </c>
    </row>
    <row r="6288" spans="1:29">
      <c r="A6288" s="8" t="s">
        <v>11074</v>
      </c>
      <c r="B6288" s="17" t="s">
        <v>7765</v>
      </c>
      <c r="C6288" s="13">
        <v>38715</v>
      </c>
      <c r="D6288" s="13" t="s">
        <v>8465</v>
      </c>
      <c r="E6288" s="10" t="s">
        <v>76</v>
      </c>
      <c r="F6288" s="10" t="s">
        <v>1136</v>
      </c>
      <c r="G6288" s="11" t="s">
        <v>10281</v>
      </c>
      <c r="H6288" s="2" t="s">
        <v>459</v>
      </c>
      <c r="L6288" s="18">
        <v>1</v>
      </c>
      <c r="N6288" s="13">
        <v>44698</v>
      </c>
      <c r="O6288" s="29">
        <v>14.99</v>
      </c>
      <c r="P6288" s="18" t="s">
        <v>1107</v>
      </c>
      <c r="Q6288" s="18">
        <v>0</v>
      </c>
      <c r="U6288" s="22">
        <v>0.85</v>
      </c>
      <c r="V6288" s="22">
        <f>3.77/5</f>
        <v>0.754</v>
      </c>
      <c r="X6288" s="3">
        <v>2</v>
      </c>
      <c r="Z6288" s="23">
        <v>4</v>
      </c>
      <c r="AB6288" s="18">
        <f t="shared" si="196"/>
        <v>2005</v>
      </c>
      <c r="AC6288" s="22">
        <f t="shared" si="197"/>
        <v>0.66800000000000004</v>
      </c>
    </row>
    <row r="6289" spans="1:29" ht="30">
      <c r="A6289" s="8" t="s">
        <v>9063</v>
      </c>
      <c r="B6289" s="17" t="s">
        <v>7762</v>
      </c>
      <c r="C6289" s="13">
        <v>38706</v>
      </c>
      <c r="D6289" s="13" t="s">
        <v>8463</v>
      </c>
      <c r="E6289" s="10" t="s">
        <v>228</v>
      </c>
      <c r="F6289" s="10" t="s">
        <v>228</v>
      </c>
      <c r="G6289" s="11" t="s">
        <v>1171</v>
      </c>
      <c r="H6289" s="2" t="s">
        <v>149</v>
      </c>
      <c r="K6289" s="18">
        <v>1</v>
      </c>
      <c r="L6289" s="18">
        <v>0</v>
      </c>
      <c r="Q6289" s="18">
        <v>0</v>
      </c>
      <c r="V6289" s="22">
        <f>3.56/5</f>
        <v>0.71199999999999997</v>
      </c>
      <c r="X6289" s="3">
        <v>4</v>
      </c>
      <c r="Z6289" s="23">
        <v>29</v>
      </c>
      <c r="AB6289" s="18">
        <f t="shared" si="196"/>
        <v>2005</v>
      </c>
      <c r="AC6289" s="22">
        <f t="shared" si="197"/>
        <v>0.75600000000000001</v>
      </c>
    </row>
    <row r="6290" spans="1:29" ht="30">
      <c r="A6290" s="8" t="s">
        <v>6633</v>
      </c>
      <c r="B6290" s="17" t="s">
        <v>7740</v>
      </c>
      <c r="C6290" s="13">
        <v>38706</v>
      </c>
      <c r="D6290" s="13" t="s">
        <v>8465</v>
      </c>
      <c r="E6290" s="10" t="s">
        <v>6500</v>
      </c>
      <c r="F6290" s="10" t="s">
        <v>6634</v>
      </c>
      <c r="G6290" s="11" t="s">
        <v>6633</v>
      </c>
      <c r="H6290" s="2" t="s">
        <v>21</v>
      </c>
      <c r="L6290" s="18">
        <v>0</v>
      </c>
      <c r="Q6290" s="18">
        <v>0</v>
      </c>
      <c r="U6290" s="22">
        <v>0.62</v>
      </c>
      <c r="V6290" s="22">
        <f>3.46/5</f>
        <v>0.69199999999999995</v>
      </c>
      <c r="X6290" s="3">
        <v>2</v>
      </c>
      <c r="AB6290" s="18">
        <f t="shared" si="196"/>
        <v>2005</v>
      </c>
      <c r="AC6290" s="22">
        <f t="shared" si="197"/>
        <v>0.57066666666666654</v>
      </c>
    </row>
    <row r="6291" spans="1:29" ht="30">
      <c r="A6291" s="8" t="s">
        <v>7670</v>
      </c>
      <c r="B6291" s="17" t="s">
        <v>7762</v>
      </c>
      <c r="C6291" s="13">
        <v>38701</v>
      </c>
      <c r="D6291" s="13" t="s">
        <v>8465</v>
      </c>
      <c r="E6291" s="10" t="s">
        <v>3017</v>
      </c>
      <c r="F6291" s="10" t="s">
        <v>1580</v>
      </c>
      <c r="G6291" s="11" t="s">
        <v>5915</v>
      </c>
      <c r="H6291" s="2" t="s">
        <v>1168</v>
      </c>
      <c r="L6291" s="18">
        <v>0</v>
      </c>
      <c r="Q6291" s="18">
        <v>0</v>
      </c>
      <c r="U6291" s="22">
        <v>0.69</v>
      </c>
      <c r="V6291" s="22">
        <f>3.54/5</f>
        <v>0.70799999999999996</v>
      </c>
      <c r="X6291" s="3">
        <v>2</v>
      </c>
      <c r="Z6291" s="23">
        <v>3</v>
      </c>
      <c r="AB6291" s="18">
        <f t="shared" si="196"/>
        <v>2005</v>
      </c>
      <c r="AC6291" s="22">
        <f t="shared" si="197"/>
        <v>0.59933333333333338</v>
      </c>
    </row>
    <row r="6292" spans="1:29" ht="25.5">
      <c r="A6292" s="8" t="s">
        <v>11974</v>
      </c>
      <c r="B6292" s="17" t="s">
        <v>7800</v>
      </c>
      <c r="C6292" s="13">
        <v>38701</v>
      </c>
      <c r="D6292" s="13" t="s">
        <v>8467</v>
      </c>
      <c r="E6292" s="10" t="s">
        <v>1285</v>
      </c>
      <c r="F6292" s="10" t="s">
        <v>1285</v>
      </c>
      <c r="G6292" s="11" t="s">
        <v>11970</v>
      </c>
      <c r="H6292" s="2" t="s">
        <v>1040</v>
      </c>
      <c r="L6292" s="18">
        <v>0</v>
      </c>
      <c r="Q6292" s="18">
        <v>0</v>
      </c>
      <c r="V6292" s="22">
        <f>3.17/5</f>
        <v>0.63400000000000001</v>
      </c>
      <c r="W6292" s="14" t="s">
        <v>7778</v>
      </c>
      <c r="X6292" s="3">
        <v>2</v>
      </c>
      <c r="Y6292" s="18">
        <v>1</v>
      </c>
      <c r="Z6292" s="23">
        <v>3.5</v>
      </c>
      <c r="AB6292" s="18">
        <f t="shared" si="196"/>
        <v>2005</v>
      </c>
      <c r="AC6292" s="22">
        <f t="shared" si="197"/>
        <v>0.51700000000000002</v>
      </c>
    </row>
    <row r="6293" spans="1:29" ht="30">
      <c r="A6293" s="8" t="s">
        <v>2048</v>
      </c>
      <c r="B6293" s="17" t="s">
        <v>7747</v>
      </c>
      <c r="C6293" s="13">
        <v>38698</v>
      </c>
      <c r="D6293" s="13" t="s">
        <v>8465</v>
      </c>
      <c r="E6293" s="10" t="s">
        <v>86</v>
      </c>
      <c r="F6293" s="10" t="s">
        <v>58</v>
      </c>
      <c r="G6293" s="11" t="s">
        <v>126</v>
      </c>
      <c r="H6293" s="2" t="s">
        <v>149</v>
      </c>
      <c r="L6293" s="18">
        <v>0</v>
      </c>
      <c r="Q6293" s="18">
        <v>0</v>
      </c>
      <c r="U6293" s="22">
        <v>0.83</v>
      </c>
      <c r="V6293" s="22">
        <f>4.12/5</f>
        <v>0.82400000000000007</v>
      </c>
      <c r="X6293" s="3">
        <v>3</v>
      </c>
      <c r="Z6293" s="23">
        <v>26</v>
      </c>
      <c r="AB6293" s="18">
        <f t="shared" si="196"/>
        <v>2005</v>
      </c>
      <c r="AC6293" s="22">
        <f t="shared" si="197"/>
        <v>0.7513333333333333</v>
      </c>
    </row>
    <row r="6294" spans="1:29" ht="30">
      <c r="A6294" s="8" t="s">
        <v>15944</v>
      </c>
      <c r="B6294" s="17" t="s">
        <v>7758</v>
      </c>
      <c r="C6294" s="13">
        <v>38698</v>
      </c>
      <c r="D6294" s="13" t="s">
        <v>8465</v>
      </c>
      <c r="E6294" s="10" t="s">
        <v>1466</v>
      </c>
      <c r="F6294" s="10" t="s">
        <v>15945</v>
      </c>
      <c r="G6294" s="11" t="s">
        <v>3967</v>
      </c>
      <c r="H6294" s="2" t="s">
        <v>1377</v>
      </c>
      <c r="L6294" s="18">
        <v>0</v>
      </c>
      <c r="Q6294" s="18">
        <v>0</v>
      </c>
      <c r="U6294" s="22">
        <v>0.59</v>
      </c>
      <c r="V6294" s="22">
        <f>3.13/5</f>
        <v>0.626</v>
      </c>
      <c r="X6294" s="3">
        <v>2</v>
      </c>
      <c r="Z6294" s="23">
        <v>4.5</v>
      </c>
      <c r="AB6294" s="18">
        <f t="shared" si="196"/>
        <v>2005</v>
      </c>
      <c r="AC6294" s="22">
        <f t="shared" si="197"/>
        <v>0.53866666666666674</v>
      </c>
    </row>
    <row r="6295" spans="1:29" ht="38.25">
      <c r="A6295" s="8" t="s">
        <v>8703</v>
      </c>
      <c r="B6295" s="17" t="s">
        <v>7747</v>
      </c>
      <c r="C6295" s="13">
        <v>38694</v>
      </c>
      <c r="D6295" s="13" t="s">
        <v>8463</v>
      </c>
      <c r="E6295" s="10" t="s">
        <v>470</v>
      </c>
      <c r="F6295" s="10" t="s">
        <v>1897</v>
      </c>
      <c r="G6295" s="11" t="s">
        <v>1898</v>
      </c>
      <c r="H6295" s="2" t="s">
        <v>171</v>
      </c>
      <c r="K6295" s="18">
        <v>1</v>
      </c>
      <c r="L6295" s="18">
        <v>0</v>
      </c>
      <c r="Q6295" s="18">
        <v>0</v>
      </c>
      <c r="V6295" s="22">
        <f>4.19/5</f>
        <v>0.83800000000000008</v>
      </c>
      <c r="X6295" s="3">
        <v>3</v>
      </c>
      <c r="AB6295" s="18">
        <f t="shared" si="196"/>
        <v>2005</v>
      </c>
      <c r="AC6295" s="22">
        <f t="shared" si="197"/>
        <v>0.71900000000000008</v>
      </c>
    </row>
    <row r="6296" spans="1:29" ht="30">
      <c r="A6296" s="8" t="s">
        <v>11300</v>
      </c>
      <c r="B6296" s="17" t="s">
        <v>7762</v>
      </c>
      <c r="C6296" s="13">
        <v>38692</v>
      </c>
      <c r="D6296" s="13" t="s">
        <v>8465</v>
      </c>
      <c r="E6296" s="10" t="s">
        <v>3017</v>
      </c>
      <c r="F6296" s="10" t="s">
        <v>6265</v>
      </c>
      <c r="G6296" s="11" t="s">
        <v>11300</v>
      </c>
      <c r="H6296" s="2" t="s">
        <v>149</v>
      </c>
      <c r="L6296" s="18">
        <v>0</v>
      </c>
      <c r="Q6296" s="18">
        <v>0</v>
      </c>
      <c r="U6296" s="22">
        <v>0.68</v>
      </c>
      <c r="V6296" s="22">
        <f>3.7/5</f>
        <v>0.74</v>
      </c>
      <c r="X6296" s="3">
        <v>3</v>
      </c>
      <c r="Z6296" s="23">
        <v>25</v>
      </c>
      <c r="AB6296" s="18">
        <f t="shared" si="196"/>
        <v>2005</v>
      </c>
      <c r="AC6296" s="22">
        <f t="shared" si="197"/>
        <v>0.67333333333333334</v>
      </c>
    </row>
    <row r="6297" spans="1:29" ht="25.5">
      <c r="A6297" s="8" t="s">
        <v>13304</v>
      </c>
      <c r="B6297" s="17" t="s">
        <v>7748</v>
      </c>
      <c r="C6297" s="13">
        <v>38692</v>
      </c>
      <c r="D6297" s="13" t="s">
        <v>8465</v>
      </c>
      <c r="E6297" s="10" t="s">
        <v>1047</v>
      </c>
      <c r="F6297" s="10" t="s">
        <v>1048</v>
      </c>
      <c r="G6297" s="11" t="s">
        <v>677</v>
      </c>
      <c r="H6297" s="2" t="s">
        <v>3411</v>
      </c>
      <c r="L6297" s="18">
        <v>0</v>
      </c>
      <c r="Q6297" s="18">
        <v>0</v>
      </c>
      <c r="U6297" s="22">
        <v>0.64</v>
      </c>
      <c r="V6297" s="22">
        <f>3.14/5</f>
        <v>0.628</v>
      </c>
      <c r="X6297" s="3">
        <v>2</v>
      </c>
      <c r="Z6297" s="23">
        <v>8</v>
      </c>
      <c r="AB6297" s="18">
        <f t="shared" si="196"/>
        <v>2005</v>
      </c>
      <c r="AC6297" s="22">
        <f t="shared" si="197"/>
        <v>0.55600000000000005</v>
      </c>
    </row>
    <row r="6298" spans="1:29" ht="30">
      <c r="A6298" s="8" t="s">
        <v>2024</v>
      </c>
      <c r="B6298" s="17" t="s">
        <v>7747</v>
      </c>
      <c r="C6298" s="13">
        <v>38691</v>
      </c>
      <c r="D6298" s="13" t="s">
        <v>8465</v>
      </c>
      <c r="E6298" s="10" t="s">
        <v>86</v>
      </c>
      <c r="F6298" s="10" t="s">
        <v>1160</v>
      </c>
      <c r="G6298" s="11" t="s">
        <v>1874</v>
      </c>
      <c r="H6298" s="2" t="s">
        <v>255</v>
      </c>
      <c r="L6298" s="18">
        <v>0</v>
      </c>
      <c r="Q6298" s="18">
        <v>0</v>
      </c>
      <c r="U6298" s="22">
        <v>0.81</v>
      </c>
      <c r="V6298" s="22">
        <f>3.88/5</f>
        <v>0.77600000000000002</v>
      </c>
      <c r="X6298" s="3">
        <v>3</v>
      </c>
      <c r="Z6298" s="23">
        <v>8</v>
      </c>
      <c r="AB6298" s="18">
        <f t="shared" si="196"/>
        <v>2005</v>
      </c>
      <c r="AC6298" s="22">
        <f t="shared" si="197"/>
        <v>0.72866666666666668</v>
      </c>
    </row>
    <row r="6299" spans="1:29" ht="30">
      <c r="A6299" s="8" t="s">
        <v>6660</v>
      </c>
      <c r="B6299" s="17" t="s">
        <v>7740</v>
      </c>
      <c r="C6299" s="13">
        <v>38691</v>
      </c>
      <c r="D6299" s="13" t="s">
        <v>8465</v>
      </c>
      <c r="E6299" s="10" t="s">
        <v>86</v>
      </c>
      <c r="F6299" s="10" t="s">
        <v>1535</v>
      </c>
      <c r="G6299" s="11" t="s">
        <v>1556</v>
      </c>
      <c r="H6299" s="2" t="s">
        <v>255</v>
      </c>
      <c r="L6299" s="18">
        <v>0</v>
      </c>
      <c r="Q6299" s="18">
        <v>0</v>
      </c>
      <c r="U6299" s="22">
        <v>0.76</v>
      </c>
      <c r="V6299" s="22">
        <f>3.75/5</f>
        <v>0.75</v>
      </c>
      <c r="X6299" s="3">
        <v>3</v>
      </c>
      <c r="Z6299" s="23">
        <v>5.5</v>
      </c>
      <c r="AB6299" s="18">
        <f t="shared" si="196"/>
        <v>2005</v>
      </c>
      <c r="AC6299" s="22">
        <f t="shared" si="197"/>
        <v>0.70333333333333325</v>
      </c>
    </row>
    <row r="6300" spans="1:29" ht="25.5">
      <c r="A6300" s="8" t="s">
        <v>6969</v>
      </c>
      <c r="B6300" s="17" t="s">
        <v>7800</v>
      </c>
      <c r="C6300" s="13">
        <v>38687</v>
      </c>
      <c r="D6300" s="13" t="s">
        <v>8465</v>
      </c>
      <c r="E6300" s="10" t="s">
        <v>1047</v>
      </c>
      <c r="F6300" s="10" t="s">
        <v>1048</v>
      </c>
      <c r="G6300" s="11" t="s">
        <v>677</v>
      </c>
      <c r="H6300" s="2" t="s">
        <v>80</v>
      </c>
      <c r="L6300" s="18">
        <v>1</v>
      </c>
      <c r="N6300" s="13">
        <v>42105</v>
      </c>
      <c r="O6300" s="29">
        <v>2.4900000000000002</v>
      </c>
      <c r="P6300" s="18" t="s">
        <v>1107</v>
      </c>
      <c r="Q6300" s="18">
        <v>0</v>
      </c>
      <c r="U6300" s="22">
        <v>0.83</v>
      </c>
      <c r="V6300" s="22">
        <f>3.65/5</f>
        <v>0.73</v>
      </c>
      <c r="W6300" s="14" t="s">
        <v>7778</v>
      </c>
      <c r="X6300" s="3">
        <v>3</v>
      </c>
      <c r="Z6300" s="23">
        <v>10</v>
      </c>
      <c r="AB6300" s="18">
        <f t="shared" si="196"/>
        <v>2005</v>
      </c>
      <c r="AC6300" s="22">
        <f t="shared" si="197"/>
        <v>0.72000000000000008</v>
      </c>
    </row>
    <row r="6301" spans="1:29" ht="25.5">
      <c r="A6301" s="8" t="s">
        <v>12321</v>
      </c>
      <c r="B6301" s="17" t="s">
        <v>7748</v>
      </c>
      <c r="C6301" s="13">
        <v>38687</v>
      </c>
      <c r="D6301" s="13" t="s">
        <v>8463</v>
      </c>
      <c r="E6301" s="10" t="s">
        <v>11805</v>
      </c>
      <c r="F6301" s="10" t="s">
        <v>11805</v>
      </c>
      <c r="G6301" s="11" t="s">
        <v>8399</v>
      </c>
      <c r="H6301" s="2" t="s">
        <v>149</v>
      </c>
      <c r="K6301" s="18">
        <v>2</v>
      </c>
      <c r="L6301" s="18">
        <v>0</v>
      </c>
      <c r="Q6301" s="18">
        <v>0</v>
      </c>
      <c r="V6301" s="22">
        <f>4.05/5</f>
        <v>0.80999999999999994</v>
      </c>
      <c r="X6301" s="3">
        <v>2</v>
      </c>
      <c r="AB6301" s="18">
        <f t="shared" si="196"/>
        <v>2005</v>
      </c>
      <c r="AC6301" s="22">
        <f t="shared" si="197"/>
        <v>0.60499999999999998</v>
      </c>
    </row>
    <row r="6302" spans="1:29" ht="30">
      <c r="A6302" s="8" t="s">
        <v>14320</v>
      </c>
      <c r="B6302" s="17" t="s">
        <v>7793</v>
      </c>
      <c r="C6302" s="13">
        <v>38684</v>
      </c>
      <c r="D6302" s="13" t="s">
        <v>8465</v>
      </c>
      <c r="E6302" s="10" t="s">
        <v>9636</v>
      </c>
      <c r="F6302" s="10" t="s">
        <v>1970</v>
      </c>
      <c r="G6302" s="11" t="s">
        <v>14321</v>
      </c>
      <c r="H6302" s="2" t="s">
        <v>75</v>
      </c>
      <c r="L6302" s="18">
        <v>0</v>
      </c>
      <c r="Q6302" s="18">
        <v>0</v>
      </c>
      <c r="V6302" s="22">
        <f>3.88/5</f>
        <v>0.77600000000000002</v>
      </c>
      <c r="X6302" s="3">
        <v>2</v>
      </c>
      <c r="AB6302" s="18">
        <f t="shared" si="196"/>
        <v>2005</v>
      </c>
      <c r="AC6302" s="22">
        <f t="shared" si="197"/>
        <v>0.58800000000000008</v>
      </c>
    </row>
    <row r="6303" spans="1:29">
      <c r="A6303" s="8" t="s">
        <v>429</v>
      </c>
      <c r="B6303" s="17" t="s">
        <v>6317</v>
      </c>
      <c r="C6303" s="13">
        <v>38681</v>
      </c>
      <c r="D6303" s="13" t="s">
        <v>8463</v>
      </c>
      <c r="E6303" s="10" t="s">
        <v>472</v>
      </c>
      <c r="F6303" s="10" t="s">
        <v>467</v>
      </c>
      <c r="G6303" s="11" t="s">
        <v>428</v>
      </c>
      <c r="H6303" s="2" t="s">
        <v>21</v>
      </c>
      <c r="K6303" s="18">
        <v>0</v>
      </c>
      <c r="L6303" s="18">
        <v>0</v>
      </c>
      <c r="Q6303" s="18">
        <v>0</v>
      </c>
      <c r="V6303" s="22">
        <f>3.69/5</f>
        <v>0.73799999999999999</v>
      </c>
      <c r="X6303" s="3">
        <v>3</v>
      </c>
      <c r="Z6303" s="23">
        <v>0.52</v>
      </c>
      <c r="AB6303" s="18">
        <f t="shared" si="196"/>
        <v>2005</v>
      </c>
      <c r="AC6303" s="22">
        <f t="shared" si="197"/>
        <v>0.66900000000000004</v>
      </c>
    </row>
    <row r="6304" spans="1:29">
      <c r="A6304" s="8" t="s">
        <v>11621</v>
      </c>
      <c r="B6304" s="17" t="s">
        <v>7758</v>
      </c>
      <c r="C6304" s="13">
        <v>38680</v>
      </c>
      <c r="D6304" s="13" t="s">
        <v>8463</v>
      </c>
      <c r="E6304" s="10" t="s">
        <v>455</v>
      </c>
      <c r="F6304" s="10" t="s">
        <v>1492</v>
      </c>
      <c r="G6304" s="11" t="s">
        <v>1211</v>
      </c>
      <c r="H6304" s="2" t="s">
        <v>78</v>
      </c>
      <c r="K6304" s="18">
        <v>1</v>
      </c>
      <c r="L6304" s="18">
        <v>0</v>
      </c>
      <c r="Q6304" s="18">
        <v>0</v>
      </c>
      <c r="V6304" s="22">
        <f>4.03/5</f>
        <v>0.80600000000000005</v>
      </c>
      <c r="X6304" s="3">
        <v>2</v>
      </c>
      <c r="Z6304" s="23">
        <v>6.5</v>
      </c>
      <c r="AB6304" s="18">
        <f t="shared" si="196"/>
        <v>2005</v>
      </c>
      <c r="AC6304" s="22">
        <f t="shared" si="197"/>
        <v>0.60299999999999998</v>
      </c>
    </row>
    <row r="6305" spans="1:29">
      <c r="A6305" s="8" t="s">
        <v>8044</v>
      </c>
      <c r="B6305" s="17" t="s">
        <v>7765</v>
      </c>
      <c r="C6305" s="13">
        <v>38678</v>
      </c>
      <c r="D6305" s="13" t="s">
        <v>8465</v>
      </c>
      <c r="E6305" s="10" t="s">
        <v>158</v>
      </c>
      <c r="F6305" s="10" t="s">
        <v>158</v>
      </c>
      <c r="G6305" s="11" t="s">
        <v>8037</v>
      </c>
      <c r="H6305" s="2" t="s">
        <v>150</v>
      </c>
      <c r="L6305" s="18">
        <v>0</v>
      </c>
      <c r="Q6305" s="18">
        <v>0</v>
      </c>
      <c r="U6305" s="22">
        <v>0.75639999999999996</v>
      </c>
      <c r="V6305" s="22">
        <f>3.55/5</f>
        <v>0.71</v>
      </c>
      <c r="X6305" s="3">
        <v>3</v>
      </c>
      <c r="Y6305" s="18">
        <v>1</v>
      </c>
      <c r="Z6305" s="23">
        <v>8</v>
      </c>
      <c r="AB6305" s="18">
        <f t="shared" si="196"/>
        <v>2005</v>
      </c>
      <c r="AC6305" s="22">
        <f t="shared" si="197"/>
        <v>0.68879999999999997</v>
      </c>
    </row>
    <row r="6306" spans="1:29" ht="38.25">
      <c r="A6306" s="8" t="s">
        <v>6722</v>
      </c>
      <c r="B6306" s="17" t="s">
        <v>7765</v>
      </c>
      <c r="C6306" s="13">
        <v>38678</v>
      </c>
      <c r="D6306" s="13" t="s">
        <v>8465</v>
      </c>
      <c r="E6306" s="10" t="s">
        <v>1047</v>
      </c>
      <c r="F6306" s="10" t="s">
        <v>1147</v>
      </c>
      <c r="G6306" s="11" t="s">
        <v>6723</v>
      </c>
      <c r="H6306" s="2" t="s">
        <v>80</v>
      </c>
      <c r="L6306" s="18">
        <v>0</v>
      </c>
      <c r="Q6306" s="18">
        <v>0</v>
      </c>
      <c r="U6306" s="22">
        <v>0.8</v>
      </c>
      <c r="V6306" s="22">
        <f>3.23/5</f>
        <v>0.64600000000000002</v>
      </c>
      <c r="X6306" s="3">
        <v>3</v>
      </c>
      <c r="Y6306" s="18">
        <v>1</v>
      </c>
      <c r="Z6306" s="23">
        <v>6.5</v>
      </c>
      <c r="AB6306" s="18">
        <f t="shared" si="196"/>
        <v>2005</v>
      </c>
      <c r="AC6306" s="22">
        <f t="shared" si="197"/>
        <v>0.68200000000000005</v>
      </c>
    </row>
    <row r="6307" spans="1:29" ht="25.5">
      <c r="A6307" s="8" t="s">
        <v>11484</v>
      </c>
      <c r="B6307" s="17" t="s">
        <v>7765</v>
      </c>
      <c r="C6307" s="13">
        <v>38678</v>
      </c>
      <c r="D6307" s="13" t="s">
        <v>8465</v>
      </c>
      <c r="E6307" s="10" t="s">
        <v>3740</v>
      </c>
      <c r="F6307" s="10" t="s">
        <v>1052</v>
      </c>
      <c r="G6307" s="11" t="s">
        <v>11482</v>
      </c>
      <c r="H6307" s="2" t="s">
        <v>150</v>
      </c>
      <c r="L6307" s="18">
        <v>0</v>
      </c>
      <c r="Q6307" s="18">
        <v>0</v>
      </c>
      <c r="U6307" s="22">
        <v>0.88</v>
      </c>
      <c r="V6307" s="22">
        <f>3.64/5</f>
        <v>0.72799999999999998</v>
      </c>
      <c r="X6307" s="3">
        <v>2</v>
      </c>
      <c r="Y6307" s="18">
        <v>1</v>
      </c>
      <c r="Z6307" s="23">
        <v>8</v>
      </c>
      <c r="AB6307" s="18">
        <f t="shared" si="196"/>
        <v>2005</v>
      </c>
      <c r="AC6307" s="22">
        <f t="shared" si="197"/>
        <v>0.66933333333333334</v>
      </c>
    </row>
    <row r="6308" spans="1:29">
      <c r="A6308" s="8" t="s">
        <v>14608</v>
      </c>
      <c r="B6308" s="17" t="s">
        <v>7765</v>
      </c>
      <c r="C6308" s="13">
        <v>38678</v>
      </c>
      <c r="D6308" s="13" t="s">
        <v>8465</v>
      </c>
      <c r="E6308" s="10" t="s">
        <v>3288</v>
      </c>
      <c r="F6308" s="10" t="s">
        <v>6339</v>
      </c>
      <c r="G6308" s="11" t="s">
        <v>6338</v>
      </c>
      <c r="H6308" s="2" t="s">
        <v>78</v>
      </c>
      <c r="L6308" s="18">
        <v>1</v>
      </c>
      <c r="P6308" s="18" t="s">
        <v>1107</v>
      </c>
      <c r="Q6308" s="18">
        <v>0</v>
      </c>
      <c r="U6308" s="22">
        <v>0.77</v>
      </c>
      <c r="V6308" s="22">
        <f>3.5/5</f>
        <v>0.7</v>
      </c>
      <c r="X6308" s="3">
        <v>2</v>
      </c>
      <c r="Z6308" s="23">
        <v>5</v>
      </c>
      <c r="AB6308" s="18">
        <f t="shared" si="196"/>
        <v>2005</v>
      </c>
      <c r="AC6308" s="22">
        <f t="shared" si="197"/>
        <v>0.62333333333333341</v>
      </c>
    </row>
    <row r="6309" spans="1:29">
      <c r="A6309" s="8" t="s">
        <v>11654</v>
      </c>
      <c r="B6309" s="17" t="s">
        <v>7765</v>
      </c>
      <c r="C6309" s="13">
        <v>38678</v>
      </c>
      <c r="D6309" s="13" t="s">
        <v>8465</v>
      </c>
      <c r="E6309" s="10" t="s">
        <v>3740</v>
      </c>
      <c r="F6309" s="10" t="s">
        <v>6504</v>
      </c>
      <c r="H6309" s="2" t="s">
        <v>1334</v>
      </c>
      <c r="L6309" s="18">
        <v>1</v>
      </c>
      <c r="N6309" s="13">
        <v>44666</v>
      </c>
      <c r="O6309" s="29">
        <v>0</v>
      </c>
      <c r="P6309" s="18" t="s">
        <v>1107</v>
      </c>
      <c r="Q6309" s="18">
        <v>0</v>
      </c>
      <c r="U6309" s="22">
        <v>0.77</v>
      </c>
      <c r="V6309" s="22">
        <f>3.36/5</f>
        <v>0.67199999999999993</v>
      </c>
      <c r="W6309" s="14" t="s">
        <v>11393</v>
      </c>
      <c r="X6309" s="3">
        <v>2</v>
      </c>
      <c r="Z6309" s="23">
        <v>7</v>
      </c>
      <c r="AB6309" s="18">
        <f t="shared" si="196"/>
        <v>2005</v>
      </c>
      <c r="AC6309" s="22">
        <f t="shared" si="197"/>
        <v>0.61399999999999999</v>
      </c>
    </row>
    <row r="6310" spans="1:29">
      <c r="A6310" s="8" t="s">
        <v>11490</v>
      </c>
      <c r="B6310" s="17" t="s">
        <v>7765</v>
      </c>
      <c r="C6310" s="13">
        <v>38678</v>
      </c>
      <c r="D6310" s="13" t="s">
        <v>8465</v>
      </c>
      <c r="E6310" s="10" t="s">
        <v>6147</v>
      </c>
      <c r="F6310" s="10" t="s">
        <v>11487</v>
      </c>
      <c r="G6310" s="11" t="s">
        <v>11488</v>
      </c>
      <c r="H6310" s="2" t="s">
        <v>255</v>
      </c>
      <c r="L6310" s="18">
        <v>0</v>
      </c>
      <c r="Q6310" s="18">
        <v>0</v>
      </c>
      <c r="U6310" s="22">
        <v>0.72</v>
      </c>
      <c r="V6310" s="22">
        <f>3.39/5</f>
        <v>0.67800000000000005</v>
      </c>
      <c r="X6310" s="3">
        <v>2</v>
      </c>
      <c r="Y6310" s="18">
        <v>1</v>
      </c>
      <c r="Z6310" s="23">
        <v>6.5</v>
      </c>
      <c r="AB6310" s="18">
        <f t="shared" si="196"/>
        <v>2005</v>
      </c>
      <c r="AC6310" s="22">
        <f t="shared" si="197"/>
        <v>0.59933333333333338</v>
      </c>
    </row>
    <row r="6311" spans="1:29">
      <c r="A6311" s="8" t="s">
        <v>11604</v>
      </c>
      <c r="B6311" s="17" t="s">
        <v>7758</v>
      </c>
      <c r="C6311" s="13">
        <v>38674</v>
      </c>
      <c r="D6311" s="13" t="s">
        <v>8467</v>
      </c>
      <c r="E6311" s="10" t="s">
        <v>10155</v>
      </c>
      <c r="F6311" s="10" t="s">
        <v>7413</v>
      </c>
      <c r="H6311" s="2" t="s">
        <v>7245</v>
      </c>
      <c r="L6311" s="18">
        <v>0</v>
      </c>
      <c r="Q6311" s="18">
        <v>0</v>
      </c>
      <c r="V6311" s="22">
        <f>2.78/5</f>
        <v>0.55599999999999994</v>
      </c>
      <c r="X6311" s="3">
        <v>2</v>
      </c>
      <c r="Z6311" s="23">
        <f>46/60</f>
        <v>0.76666666666666672</v>
      </c>
      <c r="AB6311" s="18">
        <f t="shared" si="196"/>
        <v>2005</v>
      </c>
      <c r="AC6311" s="22">
        <f t="shared" si="197"/>
        <v>0.47799999999999998</v>
      </c>
    </row>
    <row r="6312" spans="1:29" ht="30">
      <c r="A6312" s="8" t="s">
        <v>8146</v>
      </c>
      <c r="B6312" s="17" t="s">
        <v>7758</v>
      </c>
      <c r="C6312" s="13">
        <v>38673</v>
      </c>
      <c r="D6312" s="13" t="s">
        <v>8465</v>
      </c>
      <c r="E6312" s="10" t="s">
        <v>3848</v>
      </c>
      <c r="F6312" s="10" t="s">
        <v>8147</v>
      </c>
      <c r="G6312" s="11" t="s">
        <v>6073</v>
      </c>
      <c r="H6312" s="2" t="s">
        <v>1168</v>
      </c>
      <c r="L6312" s="18">
        <v>0</v>
      </c>
      <c r="Q6312" s="18">
        <v>0</v>
      </c>
      <c r="U6312" s="22">
        <v>0.4738</v>
      </c>
      <c r="V6312" s="22">
        <f>2.78/5</f>
        <v>0.55599999999999994</v>
      </c>
      <c r="X6312" s="3">
        <v>3</v>
      </c>
      <c r="Z6312" s="23">
        <v>4</v>
      </c>
      <c r="AB6312" s="18">
        <f t="shared" si="196"/>
        <v>2005</v>
      </c>
      <c r="AC6312" s="22">
        <f t="shared" si="197"/>
        <v>0.54326666666666668</v>
      </c>
    </row>
    <row r="6313" spans="1:29" ht="25.5">
      <c r="A6313" s="8" t="s">
        <v>11818</v>
      </c>
      <c r="B6313" s="17" t="s">
        <v>7758</v>
      </c>
      <c r="C6313" s="13">
        <v>38672</v>
      </c>
      <c r="D6313" s="13" t="s">
        <v>8467</v>
      </c>
      <c r="E6313" s="10" t="s">
        <v>10155</v>
      </c>
      <c r="F6313" s="10" t="s">
        <v>11819</v>
      </c>
      <c r="H6313" s="2" t="s">
        <v>255</v>
      </c>
      <c r="L6313" s="18">
        <v>0</v>
      </c>
      <c r="Q6313" s="18">
        <v>0</v>
      </c>
      <c r="V6313" s="22">
        <f>3.65/5</f>
        <v>0.73</v>
      </c>
      <c r="X6313" s="3">
        <v>2</v>
      </c>
      <c r="AB6313" s="18">
        <f t="shared" si="196"/>
        <v>2005</v>
      </c>
      <c r="AC6313" s="22">
        <f t="shared" si="197"/>
        <v>0.56499999999999995</v>
      </c>
    </row>
    <row r="6314" spans="1:29" ht="30">
      <c r="A6314" s="8" t="s">
        <v>14698</v>
      </c>
      <c r="B6314" s="17" t="s">
        <v>7758</v>
      </c>
      <c r="C6314" s="13">
        <v>38672</v>
      </c>
      <c r="D6314" s="13" t="s">
        <v>8465</v>
      </c>
      <c r="E6314" s="10" t="s">
        <v>2908</v>
      </c>
      <c r="F6314" s="10" t="s">
        <v>14699</v>
      </c>
      <c r="G6314" s="11" t="s">
        <v>14700</v>
      </c>
      <c r="H6314" s="2" t="s">
        <v>80</v>
      </c>
      <c r="L6314" s="18">
        <v>0</v>
      </c>
      <c r="Q6314" s="18">
        <v>0</v>
      </c>
      <c r="U6314" s="22">
        <v>0.61</v>
      </c>
      <c r="V6314" s="22">
        <f>3.5/5</f>
        <v>0.7</v>
      </c>
      <c r="X6314" s="3">
        <v>2</v>
      </c>
      <c r="Z6314" s="23">
        <v>24.5</v>
      </c>
      <c r="AB6314" s="18">
        <f t="shared" si="196"/>
        <v>2005</v>
      </c>
      <c r="AC6314" s="22">
        <f t="shared" si="197"/>
        <v>0.56999999999999995</v>
      </c>
    </row>
    <row r="6315" spans="1:29">
      <c r="A6315" s="8" t="s">
        <v>10154</v>
      </c>
      <c r="B6315" s="17" t="s">
        <v>7758</v>
      </c>
      <c r="C6315" s="13">
        <v>38672</v>
      </c>
      <c r="D6315" s="13" t="s">
        <v>8467</v>
      </c>
      <c r="E6315" s="10" t="s">
        <v>10155</v>
      </c>
      <c r="F6315" s="10" t="s">
        <v>9576</v>
      </c>
      <c r="H6315" s="2" t="s">
        <v>153</v>
      </c>
      <c r="L6315" s="18">
        <v>0</v>
      </c>
      <c r="Q6315" s="18">
        <v>0</v>
      </c>
      <c r="V6315" s="22">
        <f>3.15/5</f>
        <v>0.63</v>
      </c>
      <c r="X6315" s="3">
        <v>2</v>
      </c>
      <c r="Z6315" s="23">
        <v>1</v>
      </c>
      <c r="AB6315" s="18">
        <f t="shared" si="196"/>
        <v>2005</v>
      </c>
      <c r="AC6315" s="22">
        <f t="shared" si="197"/>
        <v>0.51500000000000001</v>
      </c>
    </row>
    <row r="6316" spans="1:29" ht="38.25">
      <c r="A6316" s="8" t="s">
        <v>5806</v>
      </c>
      <c r="B6316" s="17" t="s">
        <v>7758</v>
      </c>
      <c r="C6316" s="13">
        <v>38671</v>
      </c>
      <c r="D6316" s="13" t="s">
        <v>8465</v>
      </c>
      <c r="E6316" s="10" t="s">
        <v>1082</v>
      </c>
      <c r="F6316" s="10" t="s">
        <v>2129</v>
      </c>
      <c r="G6316" s="11" t="s">
        <v>140</v>
      </c>
      <c r="H6316" s="2" t="s">
        <v>149</v>
      </c>
      <c r="L6316" s="18">
        <v>0</v>
      </c>
      <c r="Q6316" s="18">
        <v>0</v>
      </c>
      <c r="U6316" s="22">
        <v>0.9</v>
      </c>
      <c r="V6316" s="22">
        <f>4.29/5</f>
        <v>0.85799999999999998</v>
      </c>
      <c r="X6316" s="3">
        <v>4</v>
      </c>
      <c r="Z6316" s="23">
        <v>63.5</v>
      </c>
      <c r="AB6316" s="18">
        <f t="shared" si="196"/>
        <v>2005</v>
      </c>
      <c r="AC6316" s="22">
        <f t="shared" si="197"/>
        <v>0.85266666666666657</v>
      </c>
    </row>
    <row r="6317" spans="1:29">
      <c r="A6317" s="8" t="s">
        <v>2267</v>
      </c>
      <c r="B6317" s="17" t="s">
        <v>7748</v>
      </c>
      <c r="C6317" s="13">
        <v>38671</v>
      </c>
      <c r="D6317" s="13" t="s">
        <v>8465</v>
      </c>
      <c r="E6317" s="10" t="s">
        <v>455</v>
      </c>
      <c r="F6317" s="10" t="s">
        <v>1492</v>
      </c>
      <c r="G6317" s="11" t="s">
        <v>1688</v>
      </c>
      <c r="H6317" s="2" t="s">
        <v>64</v>
      </c>
      <c r="L6317" s="18">
        <v>0</v>
      </c>
      <c r="Q6317" s="18">
        <v>0</v>
      </c>
      <c r="U6317" s="22">
        <v>0.83</v>
      </c>
      <c r="V6317" s="22">
        <f>3.71/5</f>
        <v>0.74199999999999999</v>
      </c>
      <c r="X6317" s="3">
        <v>4</v>
      </c>
      <c r="Z6317" s="23">
        <v>5</v>
      </c>
      <c r="AB6317" s="18">
        <f t="shared" si="196"/>
        <v>2005</v>
      </c>
      <c r="AC6317" s="22">
        <f t="shared" si="197"/>
        <v>0.79066666666666663</v>
      </c>
    </row>
    <row r="6318" spans="1:29" ht="25.5">
      <c r="A6318" s="8" t="s">
        <v>7184</v>
      </c>
      <c r="B6318" s="17" t="s">
        <v>7800</v>
      </c>
      <c r="C6318" s="13">
        <v>38671</v>
      </c>
      <c r="D6318" s="13" t="s">
        <v>8465</v>
      </c>
      <c r="E6318" s="10" t="s">
        <v>7243</v>
      </c>
      <c r="F6318" s="10" t="s">
        <v>7244</v>
      </c>
      <c r="H6318" s="2" t="s">
        <v>7245</v>
      </c>
      <c r="L6318" s="18">
        <v>1</v>
      </c>
      <c r="N6318" s="13">
        <v>44350</v>
      </c>
      <c r="O6318" s="29">
        <v>0</v>
      </c>
      <c r="P6318" s="18" t="s">
        <v>1107</v>
      </c>
      <c r="Q6318" s="18">
        <v>0</v>
      </c>
      <c r="U6318" s="22">
        <v>0.71</v>
      </c>
      <c r="V6318" s="22">
        <f>3.52/5</f>
        <v>0.70399999999999996</v>
      </c>
      <c r="W6318" s="14" t="s">
        <v>7777</v>
      </c>
      <c r="X6318" s="3">
        <v>4</v>
      </c>
      <c r="Z6318" s="23">
        <v>7.5</v>
      </c>
      <c r="AB6318" s="18">
        <f t="shared" si="196"/>
        <v>2005</v>
      </c>
      <c r="AC6318" s="22">
        <f t="shared" si="197"/>
        <v>0.73799999999999999</v>
      </c>
    </row>
    <row r="6319" spans="1:29" ht="25.5">
      <c r="A6319" s="8" t="s">
        <v>10885</v>
      </c>
      <c r="B6319" s="17" t="s">
        <v>7758</v>
      </c>
      <c r="C6319" s="13">
        <v>38671</v>
      </c>
      <c r="D6319" s="13" t="s">
        <v>8465</v>
      </c>
      <c r="E6319" s="10" t="s">
        <v>3017</v>
      </c>
      <c r="F6319" s="10" t="s">
        <v>6092</v>
      </c>
      <c r="G6319" s="11" t="s">
        <v>3003</v>
      </c>
      <c r="H6319" s="2" t="s">
        <v>149</v>
      </c>
      <c r="L6319" s="18">
        <v>0</v>
      </c>
      <c r="Q6319" s="18">
        <v>0</v>
      </c>
      <c r="U6319" s="22">
        <v>0.73</v>
      </c>
      <c r="V6319" s="22">
        <f>4.05/5</f>
        <v>0.80999999999999994</v>
      </c>
      <c r="X6319" s="3">
        <v>3</v>
      </c>
      <c r="Z6319" s="23">
        <v>40</v>
      </c>
      <c r="AB6319" s="18">
        <f t="shared" si="196"/>
        <v>2005</v>
      </c>
      <c r="AC6319" s="22">
        <f t="shared" si="197"/>
        <v>0.71333333333333337</v>
      </c>
    </row>
    <row r="6320" spans="1:29" ht="30">
      <c r="A6320" s="8" t="s">
        <v>10804</v>
      </c>
      <c r="B6320" s="17" t="s">
        <v>7740</v>
      </c>
      <c r="C6320" s="13">
        <v>38671</v>
      </c>
      <c r="D6320" s="13" t="s">
        <v>8465</v>
      </c>
      <c r="E6320" s="10" t="s">
        <v>231</v>
      </c>
      <c r="F6320" s="10" t="s">
        <v>3593</v>
      </c>
      <c r="G6320" s="11" t="s">
        <v>1482</v>
      </c>
      <c r="H6320" s="2" t="s">
        <v>1168</v>
      </c>
      <c r="L6320" s="18">
        <v>0</v>
      </c>
      <c r="Q6320" s="18">
        <v>0</v>
      </c>
      <c r="U6320" s="22">
        <v>0.7</v>
      </c>
      <c r="V6320" s="22">
        <f>3.78/5</f>
        <v>0.75600000000000001</v>
      </c>
      <c r="X6320" s="3">
        <v>3</v>
      </c>
      <c r="Z6320" s="23">
        <v>6.5</v>
      </c>
      <c r="AB6320" s="18">
        <f t="shared" si="196"/>
        <v>2005</v>
      </c>
      <c r="AC6320" s="22">
        <f t="shared" si="197"/>
        <v>0.68533333333333335</v>
      </c>
    </row>
    <row r="6321" spans="1:29" ht="30">
      <c r="A6321" s="8" t="s">
        <v>7520</v>
      </c>
      <c r="B6321" s="17" t="s">
        <v>7762</v>
      </c>
      <c r="C6321" s="13">
        <v>38671</v>
      </c>
      <c r="D6321" s="13" t="s">
        <v>8465</v>
      </c>
      <c r="E6321" s="10" t="s">
        <v>2908</v>
      </c>
      <c r="F6321" s="10" t="s">
        <v>1387</v>
      </c>
      <c r="G6321" s="11" t="s">
        <v>7521</v>
      </c>
      <c r="H6321" s="2" t="s">
        <v>171</v>
      </c>
      <c r="L6321" s="18">
        <v>1</v>
      </c>
      <c r="M6321" s="14" t="s">
        <v>10622</v>
      </c>
      <c r="N6321" s="13">
        <v>43700</v>
      </c>
      <c r="P6321" s="18" t="s">
        <v>14</v>
      </c>
      <c r="Q6321" s="18">
        <v>0</v>
      </c>
      <c r="U6321" s="22">
        <v>0.72</v>
      </c>
      <c r="V6321" s="22">
        <f>3.58/5</f>
        <v>0.71599999999999997</v>
      </c>
      <c r="X6321" s="3">
        <v>3</v>
      </c>
      <c r="Z6321" s="23">
        <v>22</v>
      </c>
      <c r="AB6321" s="18">
        <f t="shared" si="196"/>
        <v>2005</v>
      </c>
      <c r="AC6321" s="22">
        <f t="shared" si="197"/>
        <v>0.67866666666666664</v>
      </c>
    </row>
    <row r="6322" spans="1:29" ht="30">
      <c r="A6322" s="8" t="s">
        <v>6226</v>
      </c>
      <c r="B6322" s="17" t="s">
        <v>7762</v>
      </c>
      <c r="C6322" s="13">
        <v>38671</v>
      </c>
      <c r="D6322" s="13" t="s">
        <v>8465</v>
      </c>
      <c r="E6322" s="10" t="s">
        <v>157</v>
      </c>
      <c r="F6322" s="10" t="s">
        <v>1245</v>
      </c>
      <c r="G6322" s="11" t="s">
        <v>2892</v>
      </c>
      <c r="H6322" s="2" t="s">
        <v>149</v>
      </c>
      <c r="L6322" s="18">
        <v>0</v>
      </c>
      <c r="Q6322" s="18">
        <v>0</v>
      </c>
      <c r="U6322" s="22">
        <v>0.69</v>
      </c>
      <c r="V6322" s="22">
        <f>3.69/5</f>
        <v>0.73799999999999999</v>
      </c>
      <c r="X6322" s="3">
        <v>3</v>
      </c>
      <c r="Z6322" s="23">
        <v>24.5</v>
      </c>
      <c r="AB6322" s="18">
        <f t="shared" si="196"/>
        <v>2005</v>
      </c>
      <c r="AC6322" s="22">
        <f t="shared" si="197"/>
        <v>0.67600000000000005</v>
      </c>
    </row>
    <row r="6323" spans="1:29" ht="30">
      <c r="A6323" s="8" t="s">
        <v>12355</v>
      </c>
      <c r="B6323" s="17" t="s">
        <v>7740</v>
      </c>
      <c r="C6323" s="13">
        <v>38671</v>
      </c>
      <c r="D6323" s="13" t="s">
        <v>8465</v>
      </c>
      <c r="E6323" s="10" t="s">
        <v>158</v>
      </c>
      <c r="F6323" s="10" t="s">
        <v>5048</v>
      </c>
      <c r="G6323" s="11" t="s">
        <v>4639</v>
      </c>
      <c r="H6323" s="2" t="s">
        <v>1040</v>
      </c>
      <c r="L6323" s="18">
        <v>0</v>
      </c>
      <c r="Q6323" s="18">
        <v>0</v>
      </c>
      <c r="U6323" s="22">
        <v>0.66</v>
      </c>
      <c r="V6323" s="22">
        <f>3.67/5</f>
        <v>0.73399999999999999</v>
      </c>
      <c r="X6323" s="3">
        <v>3</v>
      </c>
      <c r="Z6323" s="23">
        <v>7.5</v>
      </c>
      <c r="AB6323" s="18">
        <f t="shared" si="196"/>
        <v>2005</v>
      </c>
      <c r="AC6323" s="22">
        <f t="shared" si="197"/>
        <v>0.66466666666666674</v>
      </c>
    </row>
    <row r="6324" spans="1:29" ht="25.5">
      <c r="A6324" s="8" t="s">
        <v>8441</v>
      </c>
      <c r="B6324" s="17" t="s">
        <v>7758</v>
      </c>
      <c r="C6324" s="13">
        <v>38671</v>
      </c>
      <c r="D6324" s="13" t="s">
        <v>8465</v>
      </c>
      <c r="E6324" s="10" t="s">
        <v>228</v>
      </c>
      <c r="F6324" s="10" t="s">
        <v>8442</v>
      </c>
      <c r="G6324" s="11" t="s">
        <v>8443</v>
      </c>
      <c r="H6324" s="2" t="s">
        <v>149</v>
      </c>
      <c r="L6324" s="18">
        <v>0</v>
      </c>
      <c r="Q6324" s="18">
        <v>0</v>
      </c>
      <c r="U6324" s="22">
        <v>0.66</v>
      </c>
      <c r="V6324" s="22">
        <f>3.2/5</f>
        <v>0.64</v>
      </c>
      <c r="X6324" s="3">
        <v>3</v>
      </c>
      <c r="Z6324" s="23">
        <v>41.5</v>
      </c>
      <c r="AB6324" s="18">
        <f t="shared" si="196"/>
        <v>2005</v>
      </c>
      <c r="AC6324" s="22">
        <f t="shared" si="197"/>
        <v>0.6333333333333333</v>
      </c>
    </row>
    <row r="6325" spans="1:29" ht="25.5">
      <c r="A6325" s="8" t="s">
        <v>7484</v>
      </c>
      <c r="B6325" s="17" t="s">
        <v>7758</v>
      </c>
      <c r="C6325" s="13">
        <v>38671</v>
      </c>
      <c r="D6325" s="13" t="s">
        <v>8465</v>
      </c>
      <c r="E6325" s="10" t="s">
        <v>231</v>
      </c>
      <c r="F6325" s="10" t="s">
        <v>6023</v>
      </c>
      <c r="G6325" s="11" t="s">
        <v>4518</v>
      </c>
      <c r="H6325" s="2" t="s">
        <v>150</v>
      </c>
      <c r="L6325" s="18">
        <v>0</v>
      </c>
      <c r="Q6325" s="18">
        <v>0</v>
      </c>
      <c r="U6325" s="22">
        <v>0.82</v>
      </c>
      <c r="V6325" s="22">
        <f>4.15/5</f>
        <v>0.83000000000000007</v>
      </c>
      <c r="X6325" s="3">
        <v>2</v>
      </c>
      <c r="Z6325" s="23">
        <v>20.5</v>
      </c>
      <c r="AB6325" s="18">
        <f t="shared" si="196"/>
        <v>2005</v>
      </c>
      <c r="AC6325" s="22">
        <f t="shared" si="197"/>
        <v>0.68333333333333324</v>
      </c>
    </row>
    <row r="6326" spans="1:29" ht="30">
      <c r="A6326" s="8" t="s">
        <v>6658</v>
      </c>
      <c r="B6326" s="17" t="s">
        <v>7740</v>
      </c>
      <c r="C6326" s="13">
        <v>38671</v>
      </c>
      <c r="D6326" s="13" t="s">
        <v>8465</v>
      </c>
      <c r="E6326" s="10" t="s">
        <v>455</v>
      </c>
      <c r="F6326" s="10" t="s">
        <v>6659</v>
      </c>
      <c r="G6326" s="11" t="s">
        <v>1688</v>
      </c>
      <c r="H6326" s="2" t="s">
        <v>1168</v>
      </c>
      <c r="L6326" s="18">
        <v>0</v>
      </c>
      <c r="Q6326" s="18">
        <v>0</v>
      </c>
      <c r="U6326" s="22">
        <v>0.53</v>
      </c>
      <c r="V6326" s="22">
        <f>3.19/5</f>
        <v>0.63800000000000001</v>
      </c>
      <c r="X6326" s="3">
        <v>3</v>
      </c>
      <c r="Z6326" s="23">
        <v>5.5</v>
      </c>
      <c r="AB6326" s="18">
        <f t="shared" si="196"/>
        <v>2005</v>
      </c>
      <c r="AC6326" s="22">
        <f t="shared" si="197"/>
        <v>0.58933333333333338</v>
      </c>
    </row>
    <row r="6327" spans="1:29" ht="30">
      <c r="A6327" s="8" t="s">
        <v>10540</v>
      </c>
      <c r="B6327" s="17" t="s">
        <v>7762</v>
      </c>
      <c r="C6327" s="13">
        <v>38671</v>
      </c>
      <c r="D6327" s="13" t="s">
        <v>8465</v>
      </c>
      <c r="E6327" s="10" t="s">
        <v>1551</v>
      </c>
      <c r="F6327" s="10" t="s">
        <v>6947</v>
      </c>
      <c r="H6327" s="2" t="s">
        <v>1168</v>
      </c>
      <c r="L6327" s="18">
        <v>0</v>
      </c>
      <c r="Q6327" s="18">
        <v>0</v>
      </c>
      <c r="U6327" s="22">
        <v>0.74</v>
      </c>
      <c r="V6327" s="22">
        <f>3.35/5</f>
        <v>0.67</v>
      </c>
      <c r="X6327" s="3">
        <v>2</v>
      </c>
      <c r="Z6327" s="23">
        <v>6</v>
      </c>
      <c r="AB6327" s="18">
        <f t="shared" si="196"/>
        <v>2005</v>
      </c>
      <c r="AC6327" s="22">
        <f t="shared" si="197"/>
        <v>0.60333333333333339</v>
      </c>
    </row>
    <row r="6328" spans="1:29" ht="25.5">
      <c r="A6328" s="8" t="s">
        <v>11443</v>
      </c>
      <c r="B6328" s="17" t="s">
        <v>7758</v>
      </c>
      <c r="C6328" s="13">
        <v>38671</v>
      </c>
      <c r="D6328" s="13" t="s">
        <v>8465</v>
      </c>
      <c r="E6328" s="10" t="s">
        <v>68</v>
      </c>
      <c r="F6328" s="10" t="s">
        <v>1471</v>
      </c>
      <c r="G6328" s="11" t="s">
        <v>7935</v>
      </c>
      <c r="H6328" s="2" t="s">
        <v>1059</v>
      </c>
      <c r="L6328" s="18">
        <v>0</v>
      </c>
      <c r="Q6328" s="18">
        <v>0</v>
      </c>
      <c r="U6328" s="22">
        <v>0.56999999999999995</v>
      </c>
      <c r="V6328" s="22">
        <f>3.94/5</f>
        <v>0.78800000000000003</v>
      </c>
      <c r="X6328" s="3">
        <v>2</v>
      </c>
      <c r="Z6328" s="23">
        <v>9.5</v>
      </c>
      <c r="AB6328" s="18">
        <f t="shared" si="196"/>
        <v>2005</v>
      </c>
      <c r="AC6328" s="22">
        <f t="shared" si="197"/>
        <v>0.58599999999999997</v>
      </c>
    </row>
    <row r="6329" spans="1:29" ht="51">
      <c r="A6329" s="8" t="s">
        <v>14869</v>
      </c>
      <c r="B6329" s="17" t="s">
        <v>7740</v>
      </c>
      <c r="C6329" s="13">
        <v>38670</v>
      </c>
      <c r="D6329" s="13" t="s">
        <v>8465</v>
      </c>
      <c r="E6329" s="10" t="s">
        <v>6262</v>
      </c>
      <c r="F6329" s="10" t="s">
        <v>1309</v>
      </c>
      <c r="G6329" s="11" t="s">
        <v>14868</v>
      </c>
      <c r="H6329" s="2" t="s">
        <v>80</v>
      </c>
      <c r="L6329" s="18">
        <v>0</v>
      </c>
      <c r="Q6329" s="18">
        <v>0</v>
      </c>
      <c r="U6329" s="22">
        <v>0.71</v>
      </c>
      <c r="V6329" s="22">
        <f>3.35/5</f>
        <v>0.67</v>
      </c>
      <c r="X6329" s="3">
        <v>2</v>
      </c>
      <c r="Z6329" s="23">
        <v>4</v>
      </c>
      <c r="AB6329" s="18">
        <f t="shared" si="196"/>
        <v>2005</v>
      </c>
      <c r="AC6329" s="22">
        <f t="shared" si="197"/>
        <v>0.59333333333333327</v>
      </c>
    </row>
    <row r="6330" spans="1:29">
      <c r="A6330" s="8" t="s">
        <v>5591</v>
      </c>
      <c r="B6330" s="17" t="s">
        <v>7800</v>
      </c>
      <c r="C6330" s="13">
        <v>38666</v>
      </c>
      <c r="D6330" s="13" t="s">
        <v>8465</v>
      </c>
      <c r="E6330" s="10" t="s">
        <v>5590</v>
      </c>
      <c r="F6330" s="10" t="s">
        <v>5587</v>
      </c>
      <c r="G6330" s="11" t="s">
        <v>5588</v>
      </c>
      <c r="H6330" s="2" t="s">
        <v>1334</v>
      </c>
      <c r="L6330" s="18">
        <v>1</v>
      </c>
      <c r="N6330" s="13">
        <v>41536</v>
      </c>
      <c r="P6330" s="18" t="s">
        <v>1107</v>
      </c>
      <c r="Q6330" s="18">
        <v>0</v>
      </c>
      <c r="U6330" s="22">
        <v>0.74</v>
      </c>
      <c r="V6330" s="22">
        <f>3.83/5</f>
        <v>0.76600000000000001</v>
      </c>
      <c r="W6330" s="14" t="s">
        <v>7777</v>
      </c>
      <c r="X6330" s="3">
        <v>2</v>
      </c>
      <c r="Z6330" s="23">
        <v>23</v>
      </c>
      <c r="AB6330" s="18">
        <f t="shared" si="196"/>
        <v>2005</v>
      </c>
      <c r="AC6330" s="22">
        <f t="shared" si="197"/>
        <v>0.63533333333333342</v>
      </c>
    </row>
    <row r="6331" spans="1:29" ht="25.5">
      <c r="A6331" s="8" t="s">
        <v>5808</v>
      </c>
      <c r="B6331" s="17" t="s">
        <v>7758</v>
      </c>
      <c r="C6331" s="13">
        <v>38664</v>
      </c>
      <c r="D6331" s="13" t="s">
        <v>8465</v>
      </c>
      <c r="E6331" s="10" t="s">
        <v>76</v>
      </c>
      <c r="F6331" s="10" t="s">
        <v>76</v>
      </c>
      <c r="G6331" s="11" t="s">
        <v>1550</v>
      </c>
      <c r="H6331" s="2" t="s">
        <v>1061</v>
      </c>
      <c r="L6331" s="18">
        <v>0</v>
      </c>
      <c r="Q6331" s="18">
        <v>0</v>
      </c>
      <c r="U6331" s="22">
        <v>0.79</v>
      </c>
      <c r="V6331" s="22">
        <f>4.19/5</f>
        <v>0.83800000000000008</v>
      </c>
      <c r="X6331" s="3">
        <v>4</v>
      </c>
      <c r="Z6331" s="23">
        <v>15</v>
      </c>
      <c r="AB6331" s="18">
        <f t="shared" si="196"/>
        <v>2005</v>
      </c>
      <c r="AC6331" s="22">
        <f t="shared" si="197"/>
        <v>0.80933333333333335</v>
      </c>
    </row>
    <row r="6332" spans="1:29" ht="30">
      <c r="A6332" s="8" t="s">
        <v>6640</v>
      </c>
      <c r="B6332" s="17" t="s">
        <v>7740</v>
      </c>
      <c r="C6332" s="13">
        <v>38664</v>
      </c>
      <c r="D6332" s="13" t="s">
        <v>8465</v>
      </c>
      <c r="E6332" s="10" t="s">
        <v>1273</v>
      </c>
      <c r="F6332" s="10" t="s">
        <v>6604</v>
      </c>
      <c r="H6332" s="2" t="s">
        <v>1168</v>
      </c>
      <c r="L6332" s="18">
        <v>0</v>
      </c>
      <c r="Q6332" s="18">
        <v>0</v>
      </c>
      <c r="U6332" s="22">
        <v>0.8</v>
      </c>
      <c r="V6332" s="22">
        <f>3.72/5</f>
        <v>0.74399999999999999</v>
      </c>
      <c r="X6332" s="3">
        <v>3</v>
      </c>
      <c r="Z6332" s="23">
        <v>6.5</v>
      </c>
      <c r="AB6332" s="18">
        <f t="shared" si="196"/>
        <v>2005</v>
      </c>
      <c r="AC6332" s="22">
        <f t="shared" si="197"/>
        <v>0.71466666666666667</v>
      </c>
    </row>
    <row r="6333" spans="1:29" ht="25.5">
      <c r="A6333" s="8" t="s">
        <v>2228</v>
      </c>
      <c r="B6333" s="17" t="s">
        <v>7748</v>
      </c>
      <c r="C6333" s="13">
        <v>38664</v>
      </c>
      <c r="D6333" s="13" t="s">
        <v>8465</v>
      </c>
      <c r="E6333" s="10" t="s">
        <v>73</v>
      </c>
      <c r="F6333" s="10" t="s">
        <v>1504</v>
      </c>
      <c r="G6333" s="11" t="s">
        <v>948</v>
      </c>
      <c r="H6333" s="2" t="s">
        <v>153</v>
      </c>
      <c r="L6333" s="18">
        <v>0</v>
      </c>
      <c r="Q6333" s="18">
        <v>0</v>
      </c>
      <c r="U6333" s="22">
        <v>0.76</v>
      </c>
      <c r="V6333" s="22">
        <f>3.3/5</f>
        <v>0.65999999999999992</v>
      </c>
      <c r="X6333" s="3">
        <v>3</v>
      </c>
      <c r="Z6333" s="23">
        <v>5</v>
      </c>
      <c r="AB6333" s="18">
        <f t="shared" si="196"/>
        <v>2005</v>
      </c>
      <c r="AC6333" s="22">
        <f t="shared" si="197"/>
        <v>0.67333333333333334</v>
      </c>
    </row>
    <row r="6334" spans="1:29">
      <c r="A6334" s="8" t="s">
        <v>5776</v>
      </c>
      <c r="B6334" s="17" t="s">
        <v>7758</v>
      </c>
      <c r="C6334" s="13">
        <v>38664</v>
      </c>
      <c r="D6334" s="13" t="s">
        <v>8465</v>
      </c>
      <c r="E6334" s="10" t="s">
        <v>72</v>
      </c>
      <c r="F6334" s="10" t="s">
        <v>72</v>
      </c>
      <c r="G6334" s="11" t="s">
        <v>2318</v>
      </c>
      <c r="H6334" s="2" t="s">
        <v>75</v>
      </c>
      <c r="L6334" s="18">
        <v>0</v>
      </c>
      <c r="Q6334" s="18">
        <v>0</v>
      </c>
      <c r="U6334" s="22">
        <v>0.69</v>
      </c>
      <c r="V6334" s="22">
        <f>3.58/5</f>
        <v>0.71599999999999997</v>
      </c>
      <c r="X6334" s="3">
        <v>3</v>
      </c>
      <c r="Z6334" s="23">
        <v>33.5</v>
      </c>
      <c r="AB6334" s="18">
        <f t="shared" si="196"/>
        <v>2005</v>
      </c>
      <c r="AC6334" s="22">
        <f t="shared" si="197"/>
        <v>0.66866666666666663</v>
      </c>
    </row>
    <row r="6335" spans="1:29" ht="30">
      <c r="A6335" s="8" t="s">
        <v>9084</v>
      </c>
      <c r="B6335" s="17" t="s">
        <v>7762</v>
      </c>
      <c r="C6335" s="13">
        <v>38664</v>
      </c>
      <c r="D6335" s="13" t="s">
        <v>8465</v>
      </c>
      <c r="E6335" s="10" t="s">
        <v>231</v>
      </c>
      <c r="F6335" s="10" t="s">
        <v>6683</v>
      </c>
      <c r="G6335" s="11" t="s">
        <v>4445</v>
      </c>
      <c r="H6335" s="2" t="s">
        <v>75</v>
      </c>
      <c r="L6335" s="18">
        <v>0</v>
      </c>
      <c r="Q6335" s="18">
        <v>0</v>
      </c>
      <c r="U6335" s="22">
        <v>0.64</v>
      </c>
      <c r="V6335" s="22">
        <f>3.28/5</f>
        <v>0.65599999999999992</v>
      </c>
      <c r="X6335" s="3">
        <v>3</v>
      </c>
      <c r="Z6335" s="23">
        <v>5</v>
      </c>
      <c r="AB6335" s="18">
        <f t="shared" si="196"/>
        <v>2005</v>
      </c>
      <c r="AC6335" s="22">
        <f t="shared" si="197"/>
        <v>0.63200000000000001</v>
      </c>
    </row>
    <row r="6336" spans="1:29" ht="30">
      <c r="A6336" s="8" t="s">
        <v>6746</v>
      </c>
      <c r="B6336" s="17" t="s">
        <v>7740</v>
      </c>
      <c r="C6336" s="13">
        <v>38664</v>
      </c>
      <c r="D6336" s="13" t="s">
        <v>8465</v>
      </c>
      <c r="E6336" s="10" t="s">
        <v>73</v>
      </c>
      <c r="F6336" s="10" t="s">
        <v>1504</v>
      </c>
      <c r="G6336" s="11" t="s">
        <v>948</v>
      </c>
      <c r="H6336" s="2" t="s">
        <v>153</v>
      </c>
      <c r="L6336" s="18">
        <v>0</v>
      </c>
      <c r="Q6336" s="18">
        <v>0</v>
      </c>
      <c r="U6336" s="22">
        <v>0.64</v>
      </c>
      <c r="V6336" s="22">
        <f>3.14/5</f>
        <v>0.628</v>
      </c>
      <c r="X6336" s="3">
        <v>3</v>
      </c>
      <c r="Z6336" s="23">
        <v>5</v>
      </c>
      <c r="AB6336" s="18">
        <f t="shared" si="196"/>
        <v>2005</v>
      </c>
      <c r="AC6336" s="22">
        <f t="shared" si="197"/>
        <v>0.62266666666666659</v>
      </c>
    </row>
    <row r="6337" spans="1:29" ht="30">
      <c r="A6337" s="8" t="s">
        <v>11936</v>
      </c>
      <c r="B6337" s="17" t="s">
        <v>7762</v>
      </c>
      <c r="C6337" s="13">
        <v>38664</v>
      </c>
      <c r="D6337" s="13" t="s">
        <v>8465</v>
      </c>
      <c r="E6337" s="10" t="s">
        <v>2908</v>
      </c>
      <c r="F6337" s="10" t="s">
        <v>7550</v>
      </c>
      <c r="G6337" s="11" t="s">
        <v>11933</v>
      </c>
      <c r="H6337" s="2" t="s">
        <v>7448</v>
      </c>
      <c r="L6337" s="18">
        <v>0</v>
      </c>
      <c r="Q6337" s="18">
        <v>0</v>
      </c>
      <c r="U6337" s="22">
        <v>0.82</v>
      </c>
      <c r="V6337" s="22">
        <f>3.77/5</f>
        <v>0.754</v>
      </c>
      <c r="X6337" s="3">
        <v>2</v>
      </c>
      <c r="Z6337" s="23">
        <v>7</v>
      </c>
      <c r="AB6337" s="18">
        <f t="shared" ref="AB6337:AB6400" si="198">IFERROR(YEAR(C6337), "Early Access")</f>
        <v>2005</v>
      </c>
      <c r="AC6337" s="22">
        <f t="shared" ref="AC6337:AC6400" si="199">AVERAGE(T6337, U6337, V6337, IF(ISBLANK(X6337), X6337, X6337/5))</f>
        <v>0.65799999999999992</v>
      </c>
    </row>
    <row r="6338" spans="1:29" ht="30">
      <c r="A6338" s="8" t="s">
        <v>13452</v>
      </c>
      <c r="B6338" s="17" t="s">
        <v>7740</v>
      </c>
      <c r="C6338" s="13">
        <v>38664</v>
      </c>
      <c r="D6338" s="13" t="s">
        <v>8465</v>
      </c>
      <c r="E6338" s="10" t="s">
        <v>231</v>
      </c>
      <c r="F6338" s="10" t="s">
        <v>231</v>
      </c>
      <c r="G6338" s="11" t="s">
        <v>13449</v>
      </c>
      <c r="H6338" s="2" t="s">
        <v>80</v>
      </c>
      <c r="L6338" s="18">
        <v>0</v>
      </c>
      <c r="Q6338" s="18">
        <v>0</v>
      </c>
      <c r="U6338" s="22">
        <v>0.69</v>
      </c>
      <c r="V6338" s="22">
        <f>3/5</f>
        <v>0.6</v>
      </c>
      <c r="X6338" s="3">
        <v>2</v>
      </c>
      <c r="Z6338" s="23">
        <v>7</v>
      </c>
      <c r="AB6338" s="18">
        <f t="shared" si="198"/>
        <v>2005</v>
      </c>
      <c r="AC6338" s="22">
        <f t="shared" si="199"/>
        <v>0.56333333333333335</v>
      </c>
    </row>
    <row r="6339" spans="1:29" ht="25.5">
      <c r="A6339" s="8" t="s">
        <v>10830</v>
      </c>
      <c r="B6339" s="17" t="s">
        <v>7758</v>
      </c>
      <c r="C6339" s="13">
        <v>38663</v>
      </c>
      <c r="D6339" s="13" t="s">
        <v>8465</v>
      </c>
      <c r="E6339" s="10" t="s">
        <v>311</v>
      </c>
      <c r="F6339" s="10" t="s">
        <v>1332</v>
      </c>
      <c r="G6339" s="11" t="s">
        <v>8136</v>
      </c>
      <c r="H6339" s="2" t="s">
        <v>80</v>
      </c>
      <c r="L6339" s="18">
        <v>0</v>
      </c>
      <c r="Q6339" s="18">
        <v>0</v>
      </c>
      <c r="U6339" s="22">
        <v>0.69</v>
      </c>
      <c r="V6339" s="22">
        <f>3.45/5</f>
        <v>0.69000000000000006</v>
      </c>
      <c r="X6339" s="3">
        <v>3</v>
      </c>
      <c r="Z6339" s="23">
        <v>9</v>
      </c>
      <c r="AB6339" s="18">
        <f t="shared" si="198"/>
        <v>2005</v>
      </c>
      <c r="AC6339" s="22">
        <f t="shared" si="199"/>
        <v>0.66</v>
      </c>
    </row>
    <row r="6340" spans="1:29" ht="25.5">
      <c r="A6340" s="8" t="s">
        <v>15253</v>
      </c>
      <c r="B6340" s="17" t="s">
        <v>7782</v>
      </c>
      <c r="C6340" s="13">
        <v>38658</v>
      </c>
      <c r="D6340" s="13" t="s">
        <v>8465</v>
      </c>
      <c r="E6340" s="10" t="s">
        <v>15254</v>
      </c>
      <c r="F6340" s="10" t="s">
        <v>15255</v>
      </c>
      <c r="G6340" s="11" t="s">
        <v>5853</v>
      </c>
      <c r="H6340" s="2" t="s">
        <v>56</v>
      </c>
      <c r="L6340" s="18">
        <v>0</v>
      </c>
      <c r="Q6340" s="18">
        <v>0</v>
      </c>
      <c r="V6340" s="22">
        <f>3.65/5</f>
        <v>0.73</v>
      </c>
      <c r="X6340" s="3">
        <v>2</v>
      </c>
      <c r="Z6340" s="23">
        <f>57/60</f>
        <v>0.95</v>
      </c>
      <c r="AB6340" s="18">
        <f t="shared" si="198"/>
        <v>2005</v>
      </c>
      <c r="AC6340" s="22">
        <f t="shared" si="199"/>
        <v>0.56499999999999995</v>
      </c>
    </row>
    <row r="6341" spans="1:29">
      <c r="A6341" s="8" t="s">
        <v>5108</v>
      </c>
      <c r="B6341" s="17" t="s">
        <v>7800</v>
      </c>
      <c r="C6341" s="13">
        <v>38657</v>
      </c>
      <c r="D6341" s="13" t="s">
        <v>8465</v>
      </c>
      <c r="E6341" s="10" t="s">
        <v>1284</v>
      </c>
      <c r="F6341" s="10" t="s">
        <v>5109</v>
      </c>
      <c r="G6341" s="11" t="s">
        <v>5110</v>
      </c>
      <c r="H6341" s="2" t="s">
        <v>1168</v>
      </c>
      <c r="L6341" s="18">
        <v>1</v>
      </c>
      <c r="N6341" s="13">
        <v>41237</v>
      </c>
      <c r="P6341" s="18" t="s">
        <v>1107</v>
      </c>
      <c r="Q6341" s="18">
        <v>0</v>
      </c>
      <c r="U6341" s="22">
        <v>0.75</v>
      </c>
      <c r="V6341" s="22">
        <f>4.14/5</f>
        <v>0.82799999999999996</v>
      </c>
      <c r="W6341" s="14" t="s">
        <v>7777</v>
      </c>
      <c r="X6341" s="3">
        <v>3</v>
      </c>
      <c r="Z6341" s="23">
        <v>6</v>
      </c>
      <c r="AB6341" s="18">
        <f t="shared" si="198"/>
        <v>2005</v>
      </c>
      <c r="AC6341" s="22">
        <f t="shared" si="199"/>
        <v>0.72599999999999998</v>
      </c>
    </row>
    <row r="6342" spans="1:29" ht="25.5">
      <c r="A6342" s="8" t="s">
        <v>5737</v>
      </c>
      <c r="B6342" s="17" t="s">
        <v>7758</v>
      </c>
      <c r="C6342" s="13">
        <v>38657</v>
      </c>
      <c r="D6342" s="13" t="s">
        <v>8465</v>
      </c>
      <c r="E6342" s="10" t="s">
        <v>72</v>
      </c>
      <c r="F6342" s="10" t="s">
        <v>72</v>
      </c>
      <c r="G6342" s="11" t="s">
        <v>113</v>
      </c>
      <c r="H6342" s="2" t="s">
        <v>1059</v>
      </c>
      <c r="L6342" s="18">
        <v>0</v>
      </c>
      <c r="Q6342" s="18">
        <v>0</v>
      </c>
      <c r="U6342" s="22">
        <v>0.7</v>
      </c>
      <c r="V6342" s="22">
        <f>3.86/5</f>
        <v>0.77200000000000002</v>
      </c>
      <c r="X6342" s="3">
        <v>3</v>
      </c>
      <c r="Z6342" s="23">
        <v>13.5</v>
      </c>
      <c r="AB6342" s="18">
        <f t="shared" si="198"/>
        <v>2005</v>
      </c>
      <c r="AC6342" s="22">
        <f t="shared" si="199"/>
        <v>0.69066666666666665</v>
      </c>
    </row>
    <row r="6343" spans="1:29">
      <c r="A6343" s="8" t="s">
        <v>3770</v>
      </c>
      <c r="B6343" s="17" t="s">
        <v>7800</v>
      </c>
      <c r="C6343" s="13">
        <v>38657</v>
      </c>
      <c r="D6343" s="13" t="s">
        <v>8465</v>
      </c>
      <c r="E6343" s="10" t="s">
        <v>1466</v>
      </c>
      <c r="F6343" s="10" t="s">
        <v>3771</v>
      </c>
      <c r="G6343" s="11" t="s">
        <v>3772</v>
      </c>
      <c r="H6343" s="2" t="s">
        <v>1143</v>
      </c>
      <c r="L6343" s="18">
        <v>1</v>
      </c>
      <c r="N6343" s="13">
        <v>41243</v>
      </c>
      <c r="P6343" s="18" t="s">
        <v>1107</v>
      </c>
      <c r="Q6343" s="18">
        <v>0</v>
      </c>
      <c r="U6343" s="22">
        <v>0.73</v>
      </c>
      <c r="V6343" s="22">
        <f>3.39/5</f>
        <v>0.67800000000000005</v>
      </c>
      <c r="W6343" s="14" t="s">
        <v>7777</v>
      </c>
      <c r="X6343" s="3">
        <v>2</v>
      </c>
      <c r="Z6343" s="23">
        <v>8.5</v>
      </c>
      <c r="AB6343" s="18">
        <f t="shared" si="198"/>
        <v>2005</v>
      </c>
      <c r="AC6343" s="22">
        <f t="shared" si="199"/>
        <v>0.60266666666666657</v>
      </c>
    </row>
    <row r="6344" spans="1:29">
      <c r="A6344" s="8" t="s">
        <v>11338</v>
      </c>
      <c r="B6344" s="17" t="s">
        <v>7758</v>
      </c>
      <c r="C6344" s="13">
        <v>38657</v>
      </c>
      <c r="D6344" s="13" t="s">
        <v>8465</v>
      </c>
      <c r="E6344" s="10" t="s">
        <v>76</v>
      </c>
      <c r="F6344" s="10" t="s">
        <v>76</v>
      </c>
      <c r="G6344" s="11" t="s">
        <v>11335</v>
      </c>
      <c r="H6344" s="2" t="s">
        <v>75</v>
      </c>
      <c r="L6344" s="18">
        <v>0</v>
      </c>
      <c r="Q6344" s="18">
        <v>0</v>
      </c>
      <c r="U6344" s="22">
        <v>0.6</v>
      </c>
      <c r="V6344" s="22">
        <f>3.69/5</f>
        <v>0.73799999999999999</v>
      </c>
      <c r="X6344" s="3">
        <v>2</v>
      </c>
      <c r="Z6344" s="23">
        <v>4.5</v>
      </c>
      <c r="AB6344" s="18">
        <f t="shared" si="198"/>
        <v>2005</v>
      </c>
      <c r="AC6344" s="22">
        <f t="shared" si="199"/>
        <v>0.57933333333333337</v>
      </c>
    </row>
    <row r="6345" spans="1:29">
      <c r="A6345" s="8" t="s">
        <v>11950</v>
      </c>
      <c r="B6345" s="17" t="s">
        <v>7758</v>
      </c>
      <c r="C6345" s="13">
        <v>38657</v>
      </c>
      <c r="D6345" s="13" t="s">
        <v>8465</v>
      </c>
      <c r="E6345" s="10" t="s">
        <v>73</v>
      </c>
      <c r="F6345" s="10" t="s">
        <v>11951</v>
      </c>
      <c r="H6345" s="2" t="s">
        <v>1168</v>
      </c>
      <c r="L6345" s="18">
        <v>0</v>
      </c>
      <c r="Q6345" s="18">
        <v>0</v>
      </c>
      <c r="U6345" s="22">
        <v>0.45</v>
      </c>
      <c r="V6345" s="22">
        <f>3.26/5</f>
        <v>0.65199999999999991</v>
      </c>
      <c r="X6345" s="3">
        <v>2</v>
      </c>
      <c r="AB6345" s="18">
        <f t="shared" si="198"/>
        <v>2005</v>
      </c>
      <c r="AC6345" s="22">
        <f t="shared" si="199"/>
        <v>0.50066666666666659</v>
      </c>
    </row>
    <row r="6346" spans="1:29" ht="25.5">
      <c r="A6346" s="8" t="s">
        <v>6680</v>
      </c>
      <c r="B6346" s="17" t="s">
        <v>7758</v>
      </c>
      <c r="C6346" s="13">
        <v>38657</v>
      </c>
      <c r="D6346" s="13" t="s">
        <v>8465</v>
      </c>
      <c r="E6346" s="10" t="s">
        <v>1273</v>
      </c>
      <c r="F6346" s="10" t="s">
        <v>1508</v>
      </c>
      <c r="G6346" s="11" t="s">
        <v>3401</v>
      </c>
      <c r="H6346" s="2" t="s">
        <v>1050</v>
      </c>
      <c r="L6346" s="18">
        <v>0</v>
      </c>
      <c r="Q6346" s="18">
        <v>0</v>
      </c>
      <c r="U6346" s="22">
        <v>0.8</v>
      </c>
      <c r="V6346" s="22">
        <f>3.79/5</f>
        <v>0.75800000000000001</v>
      </c>
      <c r="X6346" s="3">
        <v>2</v>
      </c>
      <c r="Z6346" s="23">
        <v>7</v>
      </c>
      <c r="AB6346" s="18">
        <f t="shared" si="198"/>
        <v>2005</v>
      </c>
      <c r="AC6346" s="22">
        <f t="shared" si="199"/>
        <v>0.65266666666666673</v>
      </c>
    </row>
    <row r="6347" spans="1:29" ht="25.5">
      <c r="A6347" s="8" t="s">
        <v>5836</v>
      </c>
      <c r="B6347" s="17" t="s">
        <v>7758</v>
      </c>
      <c r="C6347" s="13">
        <v>38655</v>
      </c>
      <c r="D6347" s="13" t="s">
        <v>8465</v>
      </c>
      <c r="E6347" s="10" t="s">
        <v>228</v>
      </c>
      <c r="F6347" s="10" t="s">
        <v>228</v>
      </c>
      <c r="G6347" s="11" t="s">
        <v>1171</v>
      </c>
      <c r="H6347" s="2" t="s">
        <v>149</v>
      </c>
      <c r="L6347" s="18">
        <v>0</v>
      </c>
      <c r="Q6347" s="18">
        <v>0</v>
      </c>
      <c r="U6347" s="22">
        <v>0.83</v>
      </c>
      <c r="V6347" s="22">
        <f>4.15/5</f>
        <v>0.83000000000000007</v>
      </c>
      <c r="X6347" s="3">
        <v>4</v>
      </c>
      <c r="Z6347" s="23">
        <v>34.5</v>
      </c>
      <c r="AB6347" s="18">
        <f t="shared" si="198"/>
        <v>2005</v>
      </c>
      <c r="AC6347" s="22">
        <f t="shared" si="199"/>
        <v>0.82</v>
      </c>
    </row>
    <row r="6348" spans="1:29">
      <c r="A6348" s="8" t="s">
        <v>13951</v>
      </c>
      <c r="B6348" s="17" t="s">
        <v>7793</v>
      </c>
      <c r="C6348" s="13">
        <v>38653</v>
      </c>
      <c r="D6348" s="13" t="s">
        <v>8465</v>
      </c>
      <c r="E6348" s="10" t="s">
        <v>9636</v>
      </c>
      <c r="F6348" s="10" t="s">
        <v>5467</v>
      </c>
      <c r="H6348" s="2" t="s">
        <v>75</v>
      </c>
      <c r="L6348" s="18">
        <v>0</v>
      </c>
      <c r="Q6348" s="18">
        <v>0</v>
      </c>
      <c r="V6348" s="22">
        <f>4.36/5</f>
        <v>0.87200000000000011</v>
      </c>
      <c r="X6348" s="3">
        <v>2</v>
      </c>
      <c r="Z6348" s="23">
        <v>27</v>
      </c>
      <c r="AB6348" s="18">
        <f t="shared" si="198"/>
        <v>2005</v>
      </c>
      <c r="AC6348" s="22">
        <f t="shared" si="199"/>
        <v>0.63600000000000012</v>
      </c>
    </row>
    <row r="6349" spans="1:29">
      <c r="A6349" s="8" t="s">
        <v>4074</v>
      </c>
      <c r="B6349" s="17" t="s">
        <v>7800</v>
      </c>
      <c r="C6349" s="13">
        <v>38652</v>
      </c>
      <c r="D6349" s="13" t="s">
        <v>8465</v>
      </c>
      <c r="E6349" s="10" t="s">
        <v>4070</v>
      </c>
      <c r="F6349" s="10" t="s">
        <v>4070</v>
      </c>
      <c r="G6349" s="11" t="s">
        <v>4069</v>
      </c>
      <c r="H6349" s="2" t="s">
        <v>1050</v>
      </c>
      <c r="L6349" s="18">
        <v>1</v>
      </c>
      <c r="N6349" s="13">
        <v>42002</v>
      </c>
      <c r="O6349" s="29">
        <v>2.86</v>
      </c>
      <c r="P6349" s="18" t="s">
        <v>1107</v>
      </c>
      <c r="Q6349" s="18">
        <v>0</v>
      </c>
      <c r="V6349" s="22">
        <f>3.36/5</f>
        <v>0.67199999999999993</v>
      </c>
      <c r="W6349" s="14" t="s">
        <v>7777</v>
      </c>
      <c r="X6349" s="3">
        <v>2</v>
      </c>
      <c r="Z6349" s="23">
        <v>0.38</v>
      </c>
      <c r="AB6349" s="18">
        <f t="shared" si="198"/>
        <v>2005</v>
      </c>
      <c r="AC6349" s="22">
        <f t="shared" si="199"/>
        <v>0.53600000000000003</v>
      </c>
    </row>
    <row r="6350" spans="1:29" ht="38.25">
      <c r="A6350" s="8" t="s">
        <v>9110</v>
      </c>
      <c r="B6350" s="17" t="s">
        <v>7758</v>
      </c>
      <c r="C6350" s="13">
        <v>38652</v>
      </c>
      <c r="D6350" s="13" t="s">
        <v>8463</v>
      </c>
      <c r="E6350" s="10" t="s">
        <v>1566</v>
      </c>
      <c r="F6350" s="10" t="s">
        <v>1566</v>
      </c>
      <c r="G6350" s="11" t="s">
        <v>1567</v>
      </c>
      <c r="H6350" s="2" t="s">
        <v>149</v>
      </c>
      <c r="K6350" s="18">
        <v>2</v>
      </c>
      <c r="L6350" s="18">
        <v>0</v>
      </c>
      <c r="Q6350" s="18">
        <v>0</v>
      </c>
      <c r="V6350" s="22">
        <f>3.22/5</f>
        <v>0.64400000000000002</v>
      </c>
      <c r="X6350" s="3">
        <v>3</v>
      </c>
      <c r="AB6350" s="18">
        <f t="shared" si="198"/>
        <v>2005</v>
      </c>
      <c r="AC6350" s="22">
        <f t="shared" si="199"/>
        <v>0.622</v>
      </c>
    </row>
    <row r="6351" spans="1:29" ht="30">
      <c r="A6351" s="8" t="s">
        <v>8010</v>
      </c>
      <c r="B6351" s="17" t="s">
        <v>7762</v>
      </c>
      <c r="C6351" s="13">
        <v>38651</v>
      </c>
      <c r="D6351" s="13" t="s">
        <v>8465</v>
      </c>
      <c r="E6351" s="10" t="s">
        <v>157</v>
      </c>
      <c r="F6351" s="10" t="s">
        <v>6265</v>
      </c>
      <c r="G6351" s="11" t="s">
        <v>8008</v>
      </c>
      <c r="H6351" s="2" t="s">
        <v>1168</v>
      </c>
      <c r="L6351" s="18">
        <v>0</v>
      </c>
      <c r="Q6351" s="18">
        <v>0</v>
      </c>
      <c r="U6351" s="22">
        <v>0.62270000000000003</v>
      </c>
      <c r="V6351" s="22">
        <f>3.37/5</f>
        <v>0.67400000000000004</v>
      </c>
      <c r="X6351" s="3">
        <v>3</v>
      </c>
      <c r="Z6351" s="23">
        <v>10</v>
      </c>
      <c r="AB6351" s="18">
        <f t="shared" si="198"/>
        <v>2005</v>
      </c>
      <c r="AC6351" s="22">
        <f t="shared" si="199"/>
        <v>0.63223333333333331</v>
      </c>
    </row>
    <row r="6352" spans="1:29">
      <c r="A6352" s="8" t="s">
        <v>5829</v>
      </c>
      <c r="B6352" s="17" t="s">
        <v>7758</v>
      </c>
      <c r="C6352" s="13">
        <v>38650</v>
      </c>
      <c r="D6352" s="13" t="s">
        <v>8465</v>
      </c>
      <c r="E6352" s="10" t="s">
        <v>1290</v>
      </c>
      <c r="F6352" s="10" t="s">
        <v>3039</v>
      </c>
      <c r="G6352" s="11" t="s">
        <v>5853</v>
      </c>
      <c r="H6352" s="2" t="s">
        <v>1040</v>
      </c>
      <c r="L6352" s="18">
        <v>0</v>
      </c>
      <c r="Q6352" s="18">
        <v>0</v>
      </c>
      <c r="U6352" s="22">
        <v>0.83</v>
      </c>
      <c r="V6352" s="22">
        <f>4.02/5</f>
        <v>0.80399999999999994</v>
      </c>
      <c r="X6352" s="3">
        <v>4</v>
      </c>
      <c r="Z6352" s="23">
        <v>8</v>
      </c>
      <c r="AB6352" s="18">
        <f t="shared" si="198"/>
        <v>2005</v>
      </c>
      <c r="AC6352" s="22">
        <f t="shared" si="199"/>
        <v>0.81133333333333335</v>
      </c>
    </row>
    <row r="6353" spans="1:29" ht="25.5">
      <c r="A6353" s="8" t="s">
        <v>4992</v>
      </c>
      <c r="B6353" s="17" t="s">
        <v>7800</v>
      </c>
      <c r="C6353" s="13">
        <v>38650</v>
      </c>
      <c r="D6353" s="13" t="s">
        <v>8465</v>
      </c>
      <c r="E6353" s="10" t="s">
        <v>3310</v>
      </c>
      <c r="F6353" s="10" t="s">
        <v>4993</v>
      </c>
      <c r="G6353" s="11" t="s">
        <v>4994</v>
      </c>
      <c r="H6353" s="2" t="s">
        <v>3123</v>
      </c>
      <c r="L6353" s="18">
        <v>1</v>
      </c>
      <c r="N6353" s="13">
        <v>41341</v>
      </c>
      <c r="O6353" s="29">
        <v>0</v>
      </c>
      <c r="P6353" s="18" t="s">
        <v>1107</v>
      </c>
      <c r="Q6353" s="18">
        <v>0</v>
      </c>
      <c r="U6353" s="22">
        <v>0.93</v>
      </c>
      <c r="V6353" s="22">
        <f>4.16/5</f>
        <v>0.83200000000000007</v>
      </c>
      <c r="W6353" s="14" t="s">
        <v>7777</v>
      </c>
      <c r="X6353" s="3">
        <v>3</v>
      </c>
      <c r="Z6353" s="23">
        <v>11.5</v>
      </c>
      <c r="AB6353" s="18">
        <f t="shared" si="198"/>
        <v>2005</v>
      </c>
      <c r="AC6353" s="22">
        <f t="shared" si="199"/>
        <v>0.78733333333333333</v>
      </c>
    </row>
    <row r="6354" spans="1:29">
      <c r="A6354" s="8" t="s">
        <v>6728</v>
      </c>
      <c r="B6354" s="17" t="s">
        <v>7758</v>
      </c>
      <c r="C6354" s="13">
        <v>38650</v>
      </c>
      <c r="D6354" s="13" t="s">
        <v>8465</v>
      </c>
      <c r="E6354" s="10" t="s">
        <v>158</v>
      </c>
      <c r="F6354" s="10" t="s">
        <v>6724</v>
      </c>
      <c r="G6354" s="11" t="s">
        <v>6161</v>
      </c>
      <c r="H6354" s="2" t="s">
        <v>459</v>
      </c>
      <c r="L6354" s="18">
        <v>0</v>
      </c>
      <c r="Q6354" s="18">
        <v>0</v>
      </c>
      <c r="U6354" s="22">
        <v>0.86</v>
      </c>
      <c r="V6354" s="22">
        <f>4.01/5</f>
        <v>0.80199999999999994</v>
      </c>
      <c r="X6354" s="3">
        <v>3</v>
      </c>
      <c r="Z6354" s="23">
        <v>3</v>
      </c>
      <c r="AB6354" s="18">
        <f t="shared" si="198"/>
        <v>2005</v>
      </c>
      <c r="AC6354" s="22">
        <f t="shared" si="199"/>
        <v>0.754</v>
      </c>
    </row>
    <row r="6355" spans="1:29" ht="30">
      <c r="A6355" s="8" t="s">
        <v>6244</v>
      </c>
      <c r="B6355" s="17" t="s">
        <v>7762</v>
      </c>
      <c r="C6355" s="13">
        <v>38649</v>
      </c>
      <c r="D6355" s="13" t="s">
        <v>8465</v>
      </c>
      <c r="E6355" s="10" t="s">
        <v>1618</v>
      </c>
      <c r="F6355" s="10" t="s">
        <v>2305</v>
      </c>
      <c r="G6355" s="11" t="s">
        <v>2306</v>
      </c>
      <c r="H6355" s="2" t="s">
        <v>1168</v>
      </c>
      <c r="L6355" s="18">
        <v>0</v>
      </c>
      <c r="Q6355" s="18">
        <v>0</v>
      </c>
      <c r="U6355" s="22">
        <v>0.87</v>
      </c>
      <c r="V6355" s="22">
        <f>3.97/5</f>
        <v>0.79400000000000004</v>
      </c>
      <c r="X6355" s="3">
        <v>4</v>
      </c>
      <c r="Z6355" s="23">
        <v>14.5</v>
      </c>
      <c r="AB6355" s="18">
        <f t="shared" si="198"/>
        <v>2005</v>
      </c>
      <c r="AC6355" s="22">
        <f t="shared" si="199"/>
        <v>0.82133333333333347</v>
      </c>
    </row>
    <row r="6356" spans="1:29">
      <c r="A6356" s="8" t="s">
        <v>2151</v>
      </c>
      <c r="B6356" s="17" t="s">
        <v>7748</v>
      </c>
      <c r="C6356" s="13">
        <v>38649</v>
      </c>
      <c r="D6356" s="13" t="s">
        <v>8465</v>
      </c>
      <c r="E6356" s="10" t="s">
        <v>86</v>
      </c>
      <c r="F6356" s="10" t="s">
        <v>2292</v>
      </c>
      <c r="G6356" s="11" t="s">
        <v>109</v>
      </c>
      <c r="H6356" s="2" t="s">
        <v>1383</v>
      </c>
      <c r="L6356" s="18">
        <v>0</v>
      </c>
      <c r="Q6356" s="18">
        <v>0</v>
      </c>
      <c r="U6356" s="22">
        <v>0.8</v>
      </c>
      <c r="V6356" s="22">
        <f>3.51/5</f>
        <v>0.70199999999999996</v>
      </c>
      <c r="X6356" s="3">
        <v>3</v>
      </c>
      <c r="Z6356" s="23">
        <v>2.5</v>
      </c>
      <c r="AB6356" s="18">
        <f t="shared" si="198"/>
        <v>2005</v>
      </c>
      <c r="AC6356" s="22">
        <f t="shared" si="199"/>
        <v>0.70066666666666666</v>
      </c>
    </row>
    <row r="6357" spans="1:29" ht="30">
      <c r="A6357" s="8" t="s">
        <v>10342</v>
      </c>
      <c r="B6357" s="17" t="s">
        <v>7740</v>
      </c>
      <c r="C6357" s="13">
        <v>38649</v>
      </c>
      <c r="D6357" s="13" t="s">
        <v>8465</v>
      </c>
      <c r="E6357" s="10" t="s">
        <v>86</v>
      </c>
      <c r="F6357" s="10" t="s">
        <v>72</v>
      </c>
      <c r="G6357" s="11" t="s">
        <v>1874</v>
      </c>
      <c r="H6357" s="2" t="s">
        <v>1220</v>
      </c>
      <c r="L6357" s="18">
        <v>0</v>
      </c>
      <c r="Q6357" s="18">
        <v>0</v>
      </c>
      <c r="U6357" s="22">
        <v>0.69</v>
      </c>
      <c r="V6357" s="22">
        <f>3.6/5</f>
        <v>0.72</v>
      </c>
      <c r="X6357" s="3">
        <v>3</v>
      </c>
      <c r="Z6357" s="23">
        <v>2</v>
      </c>
      <c r="AB6357" s="18">
        <f t="shared" si="198"/>
        <v>2005</v>
      </c>
      <c r="AC6357" s="22">
        <f t="shared" si="199"/>
        <v>0.66999999999999993</v>
      </c>
    </row>
    <row r="6358" spans="1:29">
      <c r="A6358" s="8" t="s">
        <v>7417</v>
      </c>
      <c r="B6358" s="17" t="s">
        <v>7758</v>
      </c>
      <c r="C6358" s="13">
        <v>38646</v>
      </c>
      <c r="D6358" s="13" t="s">
        <v>8467</v>
      </c>
      <c r="E6358" s="10" t="s">
        <v>1571</v>
      </c>
      <c r="F6358" s="10" t="s">
        <v>7413</v>
      </c>
      <c r="G6358" s="11" t="s">
        <v>7414</v>
      </c>
      <c r="H6358" s="2" t="s">
        <v>1059</v>
      </c>
      <c r="L6358" s="18">
        <v>0</v>
      </c>
      <c r="Q6358" s="18">
        <v>0</v>
      </c>
      <c r="V6358" s="22">
        <f>3.22/5</f>
        <v>0.64400000000000002</v>
      </c>
      <c r="X6358" s="3">
        <v>3</v>
      </c>
      <c r="Z6358" s="23">
        <v>4.5</v>
      </c>
      <c r="AB6358" s="18">
        <f t="shared" si="198"/>
        <v>2005</v>
      </c>
      <c r="AC6358" s="22">
        <f t="shared" si="199"/>
        <v>0.622</v>
      </c>
    </row>
    <row r="6359" spans="1:29">
      <c r="A6359" s="8" t="s">
        <v>8181</v>
      </c>
      <c r="B6359" s="17" t="s">
        <v>7758</v>
      </c>
      <c r="C6359" s="13">
        <v>38645</v>
      </c>
      <c r="D6359" s="13" t="s">
        <v>8465</v>
      </c>
      <c r="E6359" s="10" t="s">
        <v>455</v>
      </c>
      <c r="F6359" s="10" t="s">
        <v>1269</v>
      </c>
      <c r="G6359" s="11" t="s">
        <v>1661</v>
      </c>
      <c r="H6359" s="2" t="s">
        <v>171</v>
      </c>
      <c r="L6359" s="18">
        <v>0</v>
      </c>
      <c r="Q6359" s="18">
        <v>0</v>
      </c>
      <c r="U6359" s="22">
        <v>0.67569999999999997</v>
      </c>
      <c r="V6359" s="22">
        <f>3.43/5</f>
        <v>0.68600000000000005</v>
      </c>
      <c r="X6359" s="3">
        <v>3</v>
      </c>
      <c r="Z6359" s="23">
        <v>45</v>
      </c>
      <c r="AB6359" s="18">
        <f t="shared" si="198"/>
        <v>2005</v>
      </c>
      <c r="AC6359" s="22">
        <f t="shared" si="199"/>
        <v>0.65390000000000004</v>
      </c>
    </row>
    <row r="6360" spans="1:29" ht="30">
      <c r="A6360" s="8" t="s">
        <v>5906</v>
      </c>
      <c r="B6360" s="17" t="s">
        <v>7758</v>
      </c>
      <c r="C6360" s="13">
        <v>38644</v>
      </c>
      <c r="D6360" s="13" t="s">
        <v>8465</v>
      </c>
      <c r="E6360" s="10" t="s">
        <v>3848</v>
      </c>
      <c r="F6360" s="10" t="s">
        <v>1501</v>
      </c>
      <c r="G6360" s="11" t="s">
        <v>1576</v>
      </c>
      <c r="H6360" s="2" t="s">
        <v>150</v>
      </c>
      <c r="L6360" s="18">
        <v>0</v>
      </c>
      <c r="Q6360" s="18">
        <v>0</v>
      </c>
      <c r="U6360" s="22">
        <v>0.68</v>
      </c>
      <c r="V6360" s="22">
        <f>3.43/5</f>
        <v>0.68600000000000005</v>
      </c>
      <c r="X6360" s="3">
        <v>2</v>
      </c>
      <c r="Z6360" s="23">
        <v>7</v>
      </c>
      <c r="AB6360" s="18">
        <f t="shared" si="198"/>
        <v>2005</v>
      </c>
      <c r="AC6360" s="22">
        <f t="shared" si="199"/>
        <v>0.58866666666666667</v>
      </c>
    </row>
    <row r="6361" spans="1:29">
      <c r="A6361" s="8" t="s">
        <v>13289</v>
      </c>
      <c r="B6361" s="17" t="s">
        <v>7748</v>
      </c>
      <c r="C6361" s="13">
        <v>38644</v>
      </c>
      <c r="D6361" s="13" t="s">
        <v>8465</v>
      </c>
      <c r="E6361" s="10" t="s">
        <v>158</v>
      </c>
      <c r="F6361" s="10" t="s">
        <v>10183</v>
      </c>
      <c r="G6361" s="11" t="s">
        <v>6316</v>
      </c>
      <c r="H6361" s="2" t="s">
        <v>143</v>
      </c>
      <c r="L6361" s="18">
        <v>0</v>
      </c>
      <c r="Q6361" s="18">
        <v>0</v>
      </c>
      <c r="U6361" s="22">
        <v>0.65</v>
      </c>
      <c r="V6361" s="22">
        <f>3.38/5</f>
        <v>0.67599999999999993</v>
      </c>
      <c r="X6361" s="3">
        <v>2</v>
      </c>
      <c r="Z6361" s="23">
        <v>2</v>
      </c>
      <c r="AB6361" s="18">
        <f t="shared" si="198"/>
        <v>2005</v>
      </c>
      <c r="AC6361" s="22">
        <f t="shared" si="199"/>
        <v>0.57533333333333336</v>
      </c>
    </row>
    <row r="6362" spans="1:29" ht="30">
      <c r="A6362" s="8" t="s">
        <v>3847</v>
      </c>
      <c r="B6362" s="17" t="s">
        <v>7800</v>
      </c>
      <c r="C6362" s="13">
        <v>38643</v>
      </c>
      <c r="D6362" s="13" t="s">
        <v>8465</v>
      </c>
      <c r="E6362" s="10" t="s">
        <v>3848</v>
      </c>
      <c r="F6362" s="10" t="s">
        <v>3487</v>
      </c>
      <c r="G6362" s="11" t="s">
        <v>3847</v>
      </c>
      <c r="H6362" s="2" t="s">
        <v>1061</v>
      </c>
      <c r="L6362" s="18">
        <v>1</v>
      </c>
      <c r="N6362" s="13">
        <v>41591</v>
      </c>
      <c r="P6362" s="18" t="s">
        <v>1107</v>
      </c>
      <c r="Q6362" s="18">
        <v>0</v>
      </c>
      <c r="U6362" s="22">
        <v>0.89</v>
      </c>
      <c r="V6362" s="22">
        <f>4.02/5</f>
        <v>0.80399999999999994</v>
      </c>
      <c r="W6362" s="14" t="s">
        <v>7777</v>
      </c>
      <c r="X6362" s="3">
        <v>4</v>
      </c>
      <c r="Z6362" s="23">
        <v>8.5</v>
      </c>
      <c r="AB6362" s="18">
        <f t="shared" si="198"/>
        <v>2005</v>
      </c>
      <c r="AC6362" s="22">
        <f t="shared" si="199"/>
        <v>0.83133333333333326</v>
      </c>
    </row>
    <row r="6363" spans="1:29" ht="25.5">
      <c r="A6363" s="8" t="s">
        <v>5858</v>
      </c>
      <c r="B6363" s="17" t="s">
        <v>7758</v>
      </c>
      <c r="C6363" s="13">
        <v>38643</v>
      </c>
      <c r="D6363" s="13" t="s">
        <v>8465</v>
      </c>
      <c r="E6363" s="10" t="s">
        <v>1290</v>
      </c>
      <c r="F6363" s="10" t="s">
        <v>5890</v>
      </c>
      <c r="G6363" s="11" t="s">
        <v>5858</v>
      </c>
      <c r="H6363" s="2" t="s">
        <v>80</v>
      </c>
      <c r="L6363" s="18">
        <v>0</v>
      </c>
      <c r="Q6363" s="18">
        <v>0</v>
      </c>
      <c r="U6363" s="22">
        <v>0.91</v>
      </c>
      <c r="V6363" s="22">
        <f>4.5/5</f>
        <v>0.9</v>
      </c>
      <c r="X6363" s="3">
        <v>3</v>
      </c>
      <c r="Z6363" s="23">
        <v>9.5</v>
      </c>
      <c r="AB6363" s="18">
        <f t="shared" si="198"/>
        <v>2005</v>
      </c>
      <c r="AC6363" s="22">
        <f t="shared" si="199"/>
        <v>0.80333333333333334</v>
      </c>
    </row>
    <row r="6364" spans="1:29" ht="30">
      <c r="A6364" s="8" t="s">
        <v>8145</v>
      </c>
      <c r="B6364" s="17" t="s">
        <v>7758</v>
      </c>
      <c r="C6364" s="13">
        <v>38643</v>
      </c>
      <c r="D6364" s="13" t="s">
        <v>8465</v>
      </c>
      <c r="E6364" s="10" t="s">
        <v>2908</v>
      </c>
      <c r="F6364" s="10" t="s">
        <v>2646</v>
      </c>
      <c r="G6364" s="11" t="s">
        <v>5880</v>
      </c>
      <c r="H6364" s="2" t="s">
        <v>1204</v>
      </c>
      <c r="L6364" s="18">
        <v>0</v>
      </c>
      <c r="Q6364" s="18">
        <v>0</v>
      </c>
      <c r="U6364" s="22">
        <v>0.77010000000000001</v>
      </c>
      <c r="V6364" s="22">
        <f>3.9/5</f>
        <v>0.78</v>
      </c>
      <c r="X6364" s="3">
        <v>3</v>
      </c>
      <c r="Z6364" s="23">
        <v>9.5</v>
      </c>
      <c r="AB6364" s="18">
        <f t="shared" si="198"/>
        <v>2005</v>
      </c>
      <c r="AC6364" s="22">
        <f t="shared" si="199"/>
        <v>0.7167</v>
      </c>
    </row>
    <row r="6365" spans="1:29" ht="30">
      <c r="A6365" s="8" t="s">
        <v>5047</v>
      </c>
      <c r="B6365" s="17" t="s">
        <v>7800</v>
      </c>
      <c r="C6365" s="13">
        <v>38643</v>
      </c>
      <c r="D6365" s="13" t="s">
        <v>8465</v>
      </c>
      <c r="E6365" s="10" t="s">
        <v>5048</v>
      </c>
      <c r="F6365" s="10" t="s">
        <v>3152</v>
      </c>
      <c r="G6365" s="11" t="s">
        <v>5047</v>
      </c>
      <c r="H6365" s="2" t="s">
        <v>245</v>
      </c>
      <c r="L6365" s="18">
        <v>1</v>
      </c>
      <c r="N6365" s="13">
        <v>43424</v>
      </c>
      <c r="P6365" s="18" t="s">
        <v>1107</v>
      </c>
      <c r="Q6365" s="18">
        <v>0</v>
      </c>
      <c r="U6365" s="22">
        <v>0.73</v>
      </c>
      <c r="V6365" s="22">
        <f>3.45/5</f>
        <v>0.69000000000000006</v>
      </c>
      <c r="W6365" s="14" t="s">
        <v>7777</v>
      </c>
      <c r="X6365" s="3">
        <v>3</v>
      </c>
      <c r="Z6365" s="23">
        <v>13.5</v>
      </c>
      <c r="AB6365" s="18">
        <f t="shared" si="198"/>
        <v>2005</v>
      </c>
      <c r="AC6365" s="22">
        <f t="shared" si="199"/>
        <v>0.67333333333333334</v>
      </c>
    </row>
    <row r="6366" spans="1:29" ht="30">
      <c r="A6366" s="8" t="s">
        <v>15262</v>
      </c>
      <c r="B6366" s="17" t="s">
        <v>7762</v>
      </c>
      <c r="C6366" s="13">
        <v>38643</v>
      </c>
      <c r="D6366" s="13" t="s">
        <v>8465</v>
      </c>
      <c r="E6366" s="10" t="s">
        <v>2908</v>
      </c>
      <c r="F6366" s="10" t="s">
        <v>2303</v>
      </c>
      <c r="H6366" s="2" t="s">
        <v>459</v>
      </c>
      <c r="L6366" s="18">
        <v>0</v>
      </c>
      <c r="Q6366" s="18">
        <v>0</v>
      </c>
      <c r="U6366" s="22">
        <v>0.63</v>
      </c>
      <c r="V6366" s="22">
        <f>3.31/5</f>
        <v>0.66200000000000003</v>
      </c>
      <c r="X6366" s="3">
        <v>2</v>
      </c>
      <c r="AB6366" s="18">
        <f t="shared" si="198"/>
        <v>2005</v>
      </c>
      <c r="AC6366" s="22">
        <f t="shared" si="199"/>
        <v>0.56400000000000006</v>
      </c>
    </row>
    <row r="6367" spans="1:29" ht="30">
      <c r="A6367" s="8" t="s">
        <v>6696</v>
      </c>
      <c r="B6367" s="17" t="s">
        <v>7748</v>
      </c>
      <c r="C6367" s="13">
        <v>38643</v>
      </c>
      <c r="D6367" s="13" t="s">
        <v>8465</v>
      </c>
      <c r="E6367" s="10" t="s">
        <v>3848</v>
      </c>
      <c r="F6367" s="10" t="s">
        <v>6683</v>
      </c>
      <c r="G6367" s="11" t="s">
        <v>1975</v>
      </c>
      <c r="H6367" s="2" t="s">
        <v>171</v>
      </c>
      <c r="L6367" s="18">
        <v>0</v>
      </c>
      <c r="Q6367" s="18">
        <v>0</v>
      </c>
      <c r="U6367" s="22">
        <v>0.53</v>
      </c>
      <c r="V6367" s="22">
        <f>2.95/5</f>
        <v>0.59000000000000008</v>
      </c>
      <c r="X6367" s="3">
        <v>2</v>
      </c>
      <c r="Z6367" s="23">
        <v>3.5</v>
      </c>
      <c r="AB6367" s="18">
        <f t="shared" si="198"/>
        <v>2005</v>
      </c>
      <c r="AC6367" s="22">
        <f t="shared" si="199"/>
        <v>0.50666666666666671</v>
      </c>
    </row>
    <row r="6368" spans="1:29">
      <c r="A6368" s="8" t="s">
        <v>15596</v>
      </c>
      <c r="B6368" s="17" t="s">
        <v>7800</v>
      </c>
      <c r="C6368" s="13">
        <v>38643</v>
      </c>
      <c r="D6368" s="13" t="s">
        <v>8465</v>
      </c>
      <c r="E6368" s="10" t="s">
        <v>1273</v>
      </c>
      <c r="F6368" s="10" t="s">
        <v>5017</v>
      </c>
      <c r="G6368" s="11" t="s">
        <v>6588</v>
      </c>
      <c r="H6368" s="2" t="s">
        <v>1050</v>
      </c>
      <c r="L6368" s="18">
        <v>1</v>
      </c>
      <c r="N6368" s="13">
        <v>45162</v>
      </c>
      <c r="O6368" s="29">
        <v>0</v>
      </c>
      <c r="P6368" s="18" t="s">
        <v>1107</v>
      </c>
      <c r="Q6368" s="18">
        <v>0</v>
      </c>
      <c r="U6368" s="22">
        <v>0.81</v>
      </c>
      <c r="V6368" s="22">
        <f>3.66/5</f>
        <v>0.73199999999999998</v>
      </c>
      <c r="W6368" s="14" t="s">
        <v>7778</v>
      </c>
      <c r="X6368" s="3">
        <v>3</v>
      </c>
      <c r="Z6368" s="23">
        <v>8</v>
      </c>
      <c r="AB6368" s="18">
        <f t="shared" si="198"/>
        <v>2005</v>
      </c>
      <c r="AC6368" s="22">
        <f t="shared" si="199"/>
        <v>0.71399999999999997</v>
      </c>
    </row>
    <row r="6369" spans="1:29" ht="30">
      <c r="A6369" s="8" t="s">
        <v>951</v>
      </c>
      <c r="B6369" s="17" t="s">
        <v>7740</v>
      </c>
      <c r="C6369" s="13">
        <v>38642</v>
      </c>
      <c r="D6369" s="13" t="s">
        <v>8465</v>
      </c>
      <c r="E6369" s="10" t="s">
        <v>86</v>
      </c>
      <c r="F6369" s="10" t="s">
        <v>1069</v>
      </c>
      <c r="G6369" s="11" t="s">
        <v>305</v>
      </c>
      <c r="H6369" s="2" t="s">
        <v>75</v>
      </c>
      <c r="L6369" s="18">
        <v>0</v>
      </c>
      <c r="Q6369" s="18">
        <v>0</v>
      </c>
      <c r="U6369" s="22">
        <v>0.86</v>
      </c>
      <c r="V6369" s="22">
        <f>4.27/5</f>
        <v>0.85399999999999987</v>
      </c>
      <c r="X6369" s="3">
        <v>4</v>
      </c>
      <c r="Z6369" s="23">
        <v>32.5</v>
      </c>
      <c r="AB6369" s="18">
        <f t="shared" si="198"/>
        <v>2005</v>
      </c>
      <c r="AC6369" s="22">
        <f t="shared" si="199"/>
        <v>0.83800000000000008</v>
      </c>
    </row>
    <row r="6370" spans="1:29">
      <c r="A6370" s="8" t="s">
        <v>11676</v>
      </c>
      <c r="B6370" s="17" t="s">
        <v>7758</v>
      </c>
      <c r="C6370" s="13">
        <v>38642</v>
      </c>
      <c r="D6370" s="13" t="s">
        <v>8465</v>
      </c>
      <c r="E6370" s="10" t="s">
        <v>1618</v>
      </c>
      <c r="F6370" s="10" t="s">
        <v>11677</v>
      </c>
      <c r="G6370" s="11" t="s">
        <v>11676</v>
      </c>
      <c r="H6370" s="2" t="s">
        <v>153</v>
      </c>
      <c r="L6370" s="18">
        <v>0</v>
      </c>
      <c r="Q6370" s="18">
        <v>0</v>
      </c>
      <c r="U6370" s="22">
        <v>0.84</v>
      </c>
      <c r="V6370" s="22">
        <f>4.13/5</f>
        <v>0.82599999999999996</v>
      </c>
      <c r="X6370" s="3">
        <v>3</v>
      </c>
      <c r="Z6370" s="23">
        <v>11</v>
      </c>
      <c r="AB6370" s="18">
        <f t="shared" si="198"/>
        <v>2005</v>
      </c>
      <c r="AC6370" s="22">
        <f t="shared" si="199"/>
        <v>0.7553333333333333</v>
      </c>
    </row>
    <row r="6371" spans="1:29" ht="38.25">
      <c r="A6371" s="8" t="s">
        <v>10870</v>
      </c>
      <c r="B6371" s="17" t="s">
        <v>7758</v>
      </c>
      <c r="C6371" s="13">
        <v>38638</v>
      </c>
      <c r="D6371" s="13" t="s">
        <v>8463</v>
      </c>
      <c r="E6371" s="10" t="s">
        <v>1082</v>
      </c>
      <c r="F6371" s="10" t="s">
        <v>10871</v>
      </c>
      <c r="H6371" s="2" t="s">
        <v>171</v>
      </c>
      <c r="K6371" s="18">
        <v>0</v>
      </c>
      <c r="L6371" s="18">
        <v>0</v>
      </c>
      <c r="Q6371" s="18">
        <v>0</v>
      </c>
      <c r="V6371" s="22">
        <f>3.5/5</f>
        <v>0.7</v>
      </c>
      <c r="X6371" s="3">
        <v>3</v>
      </c>
      <c r="AB6371" s="18">
        <f t="shared" si="198"/>
        <v>2005</v>
      </c>
      <c r="AC6371" s="22">
        <f t="shared" si="199"/>
        <v>0.64999999999999991</v>
      </c>
    </row>
    <row r="6372" spans="1:29" ht="25.5">
      <c r="A6372" s="8" t="s">
        <v>2278</v>
      </c>
      <c r="B6372" s="17" t="s">
        <v>7748</v>
      </c>
      <c r="C6372" s="13">
        <v>38637</v>
      </c>
      <c r="D6372" s="13" t="s">
        <v>8465</v>
      </c>
      <c r="E6372" s="10" t="s">
        <v>73</v>
      </c>
      <c r="F6372" s="10" t="s">
        <v>73</v>
      </c>
      <c r="G6372" s="11" t="s">
        <v>2323</v>
      </c>
      <c r="H6372" s="2" t="s">
        <v>67</v>
      </c>
      <c r="L6372" s="18">
        <v>0</v>
      </c>
      <c r="Q6372" s="18">
        <v>0</v>
      </c>
      <c r="U6372" s="22">
        <v>0.82</v>
      </c>
      <c r="V6372" s="22">
        <f>4.32/5</f>
        <v>0.8640000000000001</v>
      </c>
      <c r="X6372" s="3">
        <v>4</v>
      </c>
      <c r="Z6372" s="23">
        <v>17</v>
      </c>
      <c r="AB6372" s="18">
        <f t="shared" si="198"/>
        <v>2005</v>
      </c>
      <c r="AC6372" s="22">
        <f t="shared" si="199"/>
        <v>0.82799999999999996</v>
      </c>
    </row>
    <row r="6373" spans="1:29">
      <c r="A6373" s="8" t="s">
        <v>8132</v>
      </c>
      <c r="B6373" s="17" t="s">
        <v>7758</v>
      </c>
      <c r="C6373" s="13">
        <v>38637</v>
      </c>
      <c r="D6373" s="13" t="s">
        <v>8465</v>
      </c>
      <c r="E6373" s="10" t="s">
        <v>73</v>
      </c>
      <c r="F6373" s="10" t="s">
        <v>73</v>
      </c>
      <c r="G6373" s="11" t="s">
        <v>8133</v>
      </c>
      <c r="H6373" s="2" t="s">
        <v>1059</v>
      </c>
      <c r="L6373" s="18">
        <v>0</v>
      </c>
      <c r="Q6373" s="18">
        <v>0</v>
      </c>
      <c r="U6373" s="22">
        <v>0.65090000000000003</v>
      </c>
      <c r="V6373" s="22">
        <f>3.65/5</f>
        <v>0.73</v>
      </c>
      <c r="X6373" s="3">
        <v>2</v>
      </c>
      <c r="Z6373" s="23">
        <v>3.5</v>
      </c>
      <c r="AB6373" s="18">
        <f t="shared" si="198"/>
        <v>2005</v>
      </c>
      <c r="AC6373" s="22">
        <f t="shared" si="199"/>
        <v>0.59363333333333335</v>
      </c>
    </row>
    <row r="6374" spans="1:29">
      <c r="A6374" s="8" t="s">
        <v>4941</v>
      </c>
      <c r="B6374" s="17" t="s">
        <v>7800</v>
      </c>
      <c r="C6374" s="13">
        <v>38636</v>
      </c>
      <c r="D6374" s="13" t="s">
        <v>8465</v>
      </c>
      <c r="E6374" s="10" t="s">
        <v>3063</v>
      </c>
      <c r="F6374" s="10" t="s">
        <v>4942</v>
      </c>
      <c r="G6374" s="11" t="s">
        <v>4943</v>
      </c>
      <c r="H6374" s="2" t="s">
        <v>1050</v>
      </c>
      <c r="L6374" s="18">
        <v>1</v>
      </c>
      <c r="N6374" s="13">
        <v>41090</v>
      </c>
      <c r="P6374" s="18" t="s">
        <v>1107</v>
      </c>
      <c r="Q6374" s="18">
        <v>0</v>
      </c>
      <c r="U6374" s="22">
        <v>0.75</v>
      </c>
      <c r="V6374" s="22">
        <f>3.32/5</f>
        <v>0.66399999999999992</v>
      </c>
      <c r="W6374" s="14" t="s">
        <v>7777</v>
      </c>
      <c r="X6374" s="3">
        <v>3</v>
      </c>
      <c r="Z6374" s="23">
        <v>10</v>
      </c>
      <c r="AB6374" s="18">
        <f t="shared" si="198"/>
        <v>2005</v>
      </c>
      <c r="AC6374" s="22">
        <f t="shared" si="199"/>
        <v>0.67133333333333323</v>
      </c>
    </row>
    <row r="6375" spans="1:29" ht="30">
      <c r="A6375" s="8" t="s">
        <v>6734</v>
      </c>
      <c r="B6375" s="17" t="s">
        <v>7740</v>
      </c>
      <c r="C6375" s="13">
        <v>38636</v>
      </c>
      <c r="D6375" s="13" t="s">
        <v>8465</v>
      </c>
      <c r="E6375" s="10" t="s">
        <v>6732</v>
      </c>
      <c r="F6375" s="10" t="s">
        <v>6023</v>
      </c>
      <c r="G6375" s="11" t="s">
        <v>6021</v>
      </c>
      <c r="H6375" s="2" t="s">
        <v>255</v>
      </c>
      <c r="L6375" s="18">
        <v>0</v>
      </c>
      <c r="Q6375" s="18">
        <v>0</v>
      </c>
      <c r="U6375" s="22">
        <v>0.82</v>
      </c>
      <c r="V6375" s="22">
        <f>3.63/5</f>
        <v>0.72599999999999998</v>
      </c>
      <c r="X6375" s="3">
        <v>3</v>
      </c>
      <c r="AB6375" s="18">
        <f t="shared" si="198"/>
        <v>2005</v>
      </c>
      <c r="AC6375" s="22">
        <f t="shared" si="199"/>
        <v>0.71533333333333327</v>
      </c>
    </row>
    <row r="6376" spans="1:29">
      <c r="A6376" s="8" t="s">
        <v>794</v>
      </c>
      <c r="B6376" s="17" t="s">
        <v>7758</v>
      </c>
      <c r="C6376" s="13">
        <v>38636</v>
      </c>
      <c r="D6376" s="13" t="s">
        <v>8465</v>
      </c>
      <c r="E6376" s="10" t="s">
        <v>1082</v>
      </c>
      <c r="F6376" s="10" t="s">
        <v>1082</v>
      </c>
      <c r="G6376" s="11" t="s">
        <v>9517</v>
      </c>
      <c r="H6376" s="2" t="s">
        <v>149</v>
      </c>
      <c r="L6376" s="18">
        <v>0</v>
      </c>
      <c r="Q6376" s="18">
        <v>0</v>
      </c>
      <c r="U6376" s="22">
        <v>0.57999999999999996</v>
      </c>
      <c r="V6376" s="22">
        <f>3.77/5</f>
        <v>0.754</v>
      </c>
      <c r="X6376" s="3">
        <v>3</v>
      </c>
      <c r="Z6376" s="23">
        <v>29.5</v>
      </c>
      <c r="AB6376" s="18">
        <f t="shared" si="198"/>
        <v>2005</v>
      </c>
      <c r="AC6376" s="22">
        <f t="shared" si="199"/>
        <v>0.64466666666666672</v>
      </c>
    </row>
    <row r="6377" spans="1:29" ht="30">
      <c r="A6377" s="8" t="s">
        <v>11935</v>
      </c>
      <c r="B6377" s="17" t="s">
        <v>7758</v>
      </c>
      <c r="C6377" s="13">
        <v>38636</v>
      </c>
      <c r="D6377" s="13" t="s">
        <v>8465</v>
      </c>
      <c r="E6377" s="10" t="s">
        <v>2908</v>
      </c>
      <c r="F6377" s="10" t="s">
        <v>7550</v>
      </c>
      <c r="G6377" s="11" t="s">
        <v>11933</v>
      </c>
      <c r="H6377" s="2" t="s">
        <v>7448</v>
      </c>
      <c r="L6377" s="18">
        <v>0</v>
      </c>
      <c r="Q6377" s="18">
        <v>0</v>
      </c>
      <c r="U6377" s="22">
        <v>0.82</v>
      </c>
      <c r="V6377" s="22">
        <f>3.83/5</f>
        <v>0.76600000000000001</v>
      </c>
      <c r="X6377" s="3">
        <v>2</v>
      </c>
      <c r="Z6377" s="23">
        <v>7.5</v>
      </c>
      <c r="AB6377" s="18">
        <f t="shared" si="198"/>
        <v>2005</v>
      </c>
      <c r="AC6377" s="22">
        <f t="shared" si="199"/>
        <v>0.66199999999999992</v>
      </c>
    </row>
    <row r="6378" spans="1:29" ht="38.25">
      <c r="A6378" s="8" t="s">
        <v>12495</v>
      </c>
      <c r="B6378" s="17" t="s">
        <v>7740</v>
      </c>
      <c r="C6378" s="13">
        <v>38636</v>
      </c>
      <c r="D6378" s="13" t="s">
        <v>8465</v>
      </c>
      <c r="E6378" s="10" t="s">
        <v>1273</v>
      </c>
      <c r="F6378" s="10" t="s">
        <v>3331</v>
      </c>
      <c r="G6378" s="11" t="s">
        <v>10746</v>
      </c>
      <c r="H6378" s="2" t="s">
        <v>1040</v>
      </c>
      <c r="L6378" s="18">
        <v>0</v>
      </c>
      <c r="Q6378" s="18">
        <v>0</v>
      </c>
      <c r="U6378" s="22">
        <v>0.68</v>
      </c>
      <c r="V6378" s="22">
        <f>3.83/5</f>
        <v>0.76600000000000001</v>
      </c>
      <c r="X6378" s="3">
        <v>2</v>
      </c>
      <c r="Z6378" s="23">
        <v>7</v>
      </c>
      <c r="AB6378" s="18">
        <f t="shared" si="198"/>
        <v>2005</v>
      </c>
      <c r="AC6378" s="22">
        <f t="shared" si="199"/>
        <v>0.6153333333333334</v>
      </c>
    </row>
    <row r="6379" spans="1:29" ht="30">
      <c r="A6379" s="8" t="s">
        <v>15920</v>
      </c>
      <c r="B6379" s="17" t="s">
        <v>7747</v>
      </c>
      <c r="C6379" s="13">
        <v>38636</v>
      </c>
      <c r="D6379" s="13" t="s">
        <v>8465</v>
      </c>
      <c r="E6379" s="10" t="s">
        <v>1551</v>
      </c>
      <c r="F6379" s="10" t="s">
        <v>13854</v>
      </c>
      <c r="G6379" s="11" t="s">
        <v>15920</v>
      </c>
      <c r="H6379" s="2" t="s">
        <v>153</v>
      </c>
      <c r="L6379" s="18">
        <v>0</v>
      </c>
      <c r="Q6379" s="18">
        <v>0</v>
      </c>
      <c r="U6379" s="22">
        <v>0.61</v>
      </c>
      <c r="V6379" s="22">
        <f>3.22/5</f>
        <v>0.64400000000000002</v>
      </c>
      <c r="X6379" s="3">
        <v>2</v>
      </c>
      <c r="Z6379" s="23">
        <v>4.5</v>
      </c>
      <c r="AB6379" s="18">
        <f t="shared" si="198"/>
        <v>2005</v>
      </c>
      <c r="AC6379" s="22">
        <f t="shared" si="199"/>
        <v>0.55133333333333334</v>
      </c>
    </row>
    <row r="6380" spans="1:29" ht="38.25">
      <c r="A6380" s="8" t="s">
        <v>15150</v>
      </c>
      <c r="B6380" s="17" t="s">
        <v>7747</v>
      </c>
      <c r="C6380" s="13">
        <v>38635</v>
      </c>
      <c r="D6380" s="13" t="s">
        <v>8465</v>
      </c>
      <c r="E6380" s="10" t="s">
        <v>6262</v>
      </c>
      <c r="F6380" s="10" t="s">
        <v>7406</v>
      </c>
      <c r="G6380" s="11" t="s">
        <v>11062</v>
      </c>
      <c r="H6380" s="2" t="s">
        <v>151</v>
      </c>
      <c r="L6380" s="18">
        <v>0</v>
      </c>
      <c r="Q6380" s="18">
        <v>0</v>
      </c>
      <c r="U6380" s="22">
        <v>0.71</v>
      </c>
      <c r="V6380" s="22">
        <f>3.4/5</f>
        <v>0.67999999999999994</v>
      </c>
      <c r="X6380" s="3">
        <v>2</v>
      </c>
      <c r="Z6380" s="23">
        <v>6</v>
      </c>
      <c r="AB6380" s="18">
        <f t="shared" si="198"/>
        <v>2005</v>
      </c>
      <c r="AC6380" s="22">
        <f t="shared" si="199"/>
        <v>0.59666666666666668</v>
      </c>
    </row>
    <row r="6381" spans="1:29" ht="38.25">
      <c r="A6381" s="8" t="s">
        <v>11061</v>
      </c>
      <c r="B6381" s="17" t="s">
        <v>7758</v>
      </c>
      <c r="C6381" s="13">
        <v>38635</v>
      </c>
      <c r="D6381" s="13" t="s">
        <v>8465</v>
      </c>
      <c r="E6381" s="10" t="s">
        <v>6262</v>
      </c>
      <c r="F6381" s="10" t="s">
        <v>73</v>
      </c>
      <c r="G6381" s="11" t="s">
        <v>11062</v>
      </c>
      <c r="H6381" s="2" t="s">
        <v>1059</v>
      </c>
      <c r="L6381" s="18">
        <v>0</v>
      </c>
      <c r="Q6381" s="18">
        <v>0</v>
      </c>
      <c r="U6381" s="22">
        <v>0.65</v>
      </c>
      <c r="V6381" s="22">
        <f>3.58/5</f>
        <v>0.71599999999999997</v>
      </c>
      <c r="X6381" s="3">
        <v>2</v>
      </c>
      <c r="Z6381" s="23">
        <v>10</v>
      </c>
      <c r="AB6381" s="18">
        <f t="shared" si="198"/>
        <v>2005</v>
      </c>
      <c r="AC6381" s="22">
        <f t="shared" si="199"/>
        <v>0.58866666666666667</v>
      </c>
    </row>
    <row r="6382" spans="1:29" ht="25.5">
      <c r="A6382" s="8" t="s">
        <v>11538</v>
      </c>
      <c r="B6382" s="17" t="s">
        <v>7800</v>
      </c>
      <c r="C6382" s="13">
        <v>38631</v>
      </c>
      <c r="D6382" s="13" t="s">
        <v>8465</v>
      </c>
      <c r="E6382" s="10" t="s">
        <v>1047</v>
      </c>
      <c r="F6382" s="10" t="s">
        <v>3154</v>
      </c>
      <c r="G6382" s="11" t="s">
        <v>3379</v>
      </c>
      <c r="H6382" s="2" t="s">
        <v>1050</v>
      </c>
      <c r="L6382" s="18">
        <v>0</v>
      </c>
      <c r="Q6382" s="18">
        <v>0</v>
      </c>
      <c r="U6382" s="22">
        <v>0.84</v>
      </c>
      <c r="V6382" s="22">
        <f>3.47/5</f>
        <v>0.69400000000000006</v>
      </c>
      <c r="W6382" s="14" t="s">
        <v>13076</v>
      </c>
      <c r="X6382" s="3">
        <v>3</v>
      </c>
      <c r="Z6382" s="23">
        <v>7</v>
      </c>
      <c r="AB6382" s="18">
        <f t="shared" si="198"/>
        <v>2005</v>
      </c>
      <c r="AC6382" s="22">
        <f t="shared" si="199"/>
        <v>0.71133333333333326</v>
      </c>
    </row>
    <row r="6383" spans="1:29">
      <c r="A6383" s="8" t="s">
        <v>9684</v>
      </c>
      <c r="B6383" s="17" t="s">
        <v>7758</v>
      </c>
      <c r="C6383" s="13">
        <v>38631</v>
      </c>
      <c r="D6383" s="13" t="s">
        <v>8467</v>
      </c>
      <c r="E6383" s="10" t="s">
        <v>8140</v>
      </c>
      <c r="F6383" s="10" t="s">
        <v>9685</v>
      </c>
      <c r="H6383" s="2" t="s">
        <v>1168</v>
      </c>
      <c r="L6383" s="18">
        <v>0</v>
      </c>
      <c r="Q6383" s="18">
        <v>0</v>
      </c>
      <c r="V6383" s="22">
        <f>3.11/5</f>
        <v>0.622</v>
      </c>
      <c r="X6383" s="3">
        <v>3</v>
      </c>
      <c r="Z6383" s="23">
        <v>4.5</v>
      </c>
      <c r="AB6383" s="18">
        <f t="shared" si="198"/>
        <v>2005</v>
      </c>
      <c r="AC6383" s="22">
        <f t="shared" si="199"/>
        <v>0.61099999999999999</v>
      </c>
    </row>
    <row r="6384" spans="1:29" ht="30">
      <c r="A6384" s="8" t="s">
        <v>2058</v>
      </c>
      <c r="B6384" s="17" t="s">
        <v>7747</v>
      </c>
      <c r="C6384" s="13">
        <v>38629</v>
      </c>
      <c r="D6384" s="13" t="s">
        <v>8465</v>
      </c>
      <c r="E6384" s="10" t="s">
        <v>73</v>
      </c>
      <c r="F6384" s="10" t="s">
        <v>1070</v>
      </c>
      <c r="G6384" s="11" t="s">
        <v>1983</v>
      </c>
      <c r="H6384" s="2" t="s">
        <v>56</v>
      </c>
      <c r="L6384" s="18">
        <v>0</v>
      </c>
      <c r="Q6384" s="18">
        <v>0</v>
      </c>
      <c r="U6384" s="22">
        <v>0.77</v>
      </c>
      <c r="V6384" s="22">
        <f>4.11/5</f>
        <v>0.82200000000000006</v>
      </c>
      <c r="X6384" s="3">
        <v>4</v>
      </c>
      <c r="Z6384" s="23">
        <v>2.5</v>
      </c>
      <c r="AB6384" s="18">
        <f t="shared" si="198"/>
        <v>2005</v>
      </c>
      <c r="AC6384" s="22">
        <f t="shared" si="199"/>
        <v>0.79733333333333345</v>
      </c>
    </row>
    <row r="6385" spans="1:29" ht="25.5">
      <c r="A6385" s="8" t="s">
        <v>2226</v>
      </c>
      <c r="B6385" s="17" t="s">
        <v>7748</v>
      </c>
      <c r="C6385" s="13">
        <v>38629</v>
      </c>
      <c r="D6385" s="13" t="s">
        <v>8465</v>
      </c>
      <c r="E6385" s="10" t="s">
        <v>228</v>
      </c>
      <c r="F6385" s="10" t="s">
        <v>228</v>
      </c>
      <c r="G6385" s="11" t="s">
        <v>1542</v>
      </c>
      <c r="H6385" s="2" t="s">
        <v>1334</v>
      </c>
      <c r="L6385" s="18">
        <v>0</v>
      </c>
      <c r="Q6385" s="18">
        <v>0</v>
      </c>
      <c r="U6385" s="22">
        <v>0.8</v>
      </c>
      <c r="V6385" s="22">
        <f>3.84/5</f>
        <v>0.76800000000000002</v>
      </c>
      <c r="X6385" s="3">
        <v>3</v>
      </c>
      <c r="Z6385" s="23">
        <v>8</v>
      </c>
      <c r="AB6385" s="18">
        <f t="shared" si="198"/>
        <v>2005</v>
      </c>
      <c r="AC6385" s="22">
        <f t="shared" si="199"/>
        <v>0.72266666666666668</v>
      </c>
    </row>
    <row r="6386" spans="1:29" ht="30">
      <c r="A6386" s="8" t="s">
        <v>928</v>
      </c>
      <c r="B6386" s="17" t="s">
        <v>7740</v>
      </c>
      <c r="C6386" s="13">
        <v>38628</v>
      </c>
      <c r="D6386" s="13" t="s">
        <v>8465</v>
      </c>
      <c r="E6386" s="10" t="s">
        <v>86</v>
      </c>
      <c r="F6386" s="10" t="s">
        <v>1490</v>
      </c>
      <c r="G6386" s="11" t="s">
        <v>1470</v>
      </c>
      <c r="H6386" s="2" t="s">
        <v>149</v>
      </c>
      <c r="L6386" s="18">
        <v>0</v>
      </c>
      <c r="Q6386" s="18">
        <v>0</v>
      </c>
      <c r="U6386" s="22">
        <v>0.67</v>
      </c>
      <c r="V6386" s="22">
        <f>3.97/5</f>
        <v>0.79400000000000004</v>
      </c>
      <c r="X6386" s="3">
        <v>3</v>
      </c>
      <c r="Z6386" s="23">
        <v>26.5</v>
      </c>
      <c r="AB6386" s="18">
        <f t="shared" si="198"/>
        <v>2005</v>
      </c>
      <c r="AC6386" s="22">
        <f t="shared" si="199"/>
        <v>0.68800000000000006</v>
      </c>
    </row>
    <row r="6387" spans="1:29" ht="25.5">
      <c r="A6387" s="8" t="s">
        <v>6963</v>
      </c>
      <c r="B6387" s="17" t="s">
        <v>7800</v>
      </c>
      <c r="C6387" s="13">
        <v>38627</v>
      </c>
      <c r="D6387" s="13" t="s">
        <v>8465</v>
      </c>
      <c r="E6387" s="10" t="s">
        <v>311</v>
      </c>
      <c r="F6387" s="10" t="s">
        <v>1161</v>
      </c>
      <c r="G6387" s="11" t="s">
        <v>4533</v>
      </c>
      <c r="H6387" s="2" t="s">
        <v>1720</v>
      </c>
      <c r="L6387" s="18">
        <v>1</v>
      </c>
      <c r="N6387" s="13">
        <v>41803</v>
      </c>
      <c r="O6387" s="29">
        <v>0</v>
      </c>
      <c r="P6387" s="18" t="s">
        <v>1107</v>
      </c>
      <c r="Q6387" s="18">
        <v>0</v>
      </c>
      <c r="U6387" s="22">
        <v>0.7</v>
      </c>
      <c r="V6387" s="22">
        <f>3.6/5</f>
        <v>0.72</v>
      </c>
      <c r="W6387" s="14" t="s">
        <v>7778</v>
      </c>
      <c r="X6387" s="3">
        <v>4</v>
      </c>
      <c r="Z6387" s="23">
        <v>5.5</v>
      </c>
      <c r="AB6387" s="18">
        <f t="shared" si="198"/>
        <v>2005</v>
      </c>
      <c r="AC6387" s="22">
        <f t="shared" si="199"/>
        <v>0.73999999999999988</v>
      </c>
    </row>
    <row r="6388" spans="1:29">
      <c r="A6388" s="8" t="s">
        <v>7134</v>
      </c>
      <c r="B6388" s="17" t="s">
        <v>7800</v>
      </c>
      <c r="C6388" s="13">
        <v>38627</v>
      </c>
      <c r="D6388" s="13" t="s">
        <v>8465</v>
      </c>
      <c r="E6388" s="10" t="s">
        <v>7219</v>
      </c>
      <c r="F6388" s="10" t="s">
        <v>7219</v>
      </c>
      <c r="H6388" s="2" t="s">
        <v>1143</v>
      </c>
      <c r="L6388" s="18">
        <v>1</v>
      </c>
      <c r="N6388" s="13">
        <v>45023</v>
      </c>
      <c r="O6388" s="29">
        <v>0</v>
      </c>
      <c r="P6388" s="18" t="s">
        <v>1107</v>
      </c>
      <c r="Q6388" s="18">
        <v>0</v>
      </c>
      <c r="U6388" s="22">
        <v>0.88</v>
      </c>
      <c r="V6388" s="22">
        <f>4.09/5</f>
        <v>0.81799999999999995</v>
      </c>
      <c r="W6388" s="14" t="s">
        <v>7777</v>
      </c>
      <c r="X6388" s="3">
        <v>2</v>
      </c>
      <c r="Z6388" s="23">
        <v>24</v>
      </c>
      <c r="AB6388" s="18">
        <f t="shared" si="198"/>
        <v>2005</v>
      </c>
      <c r="AC6388" s="22">
        <f t="shared" si="199"/>
        <v>0.69933333333333325</v>
      </c>
    </row>
    <row r="6389" spans="1:29">
      <c r="A6389" s="8" t="s">
        <v>14564</v>
      </c>
      <c r="B6389" s="17" t="s">
        <v>6317</v>
      </c>
      <c r="C6389" s="12">
        <v>38626</v>
      </c>
      <c r="D6389" s="13" t="s">
        <v>8465</v>
      </c>
      <c r="E6389" s="10" t="s">
        <v>158</v>
      </c>
      <c r="F6389" s="10" t="s">
        <v>158</v>
      </c>
      <c r="G6389" s="11" t="s">
        <v>1135</v>
      </c>
      <c r="H6389" s="2" t="s">
        <v>150</v>
      </c>
      <c r="L6389" s="18">
        <v>0</v>
      </c>
      <c r="Q6389" s="18">
        <v>0</v>
      </c>
      <c r="V6389" s="22">
        <f>3.62/5</f>
        <v>0.72399999999999998</v>
      </c>
      <c r="X6389" s="3">
        <v>2</v>
      </c>
      <c r="Z6389" s="23">
        <v>2</v>
      </c>
      <c r="AB6389" s="18">
        <f t="shared" si="198"/>
        <v>2005</v>
      </c>
      <c r="AC6389" s="22">
        <f t="shared" si="199"/>
        <v>0.56200000000000006</v>
      </c>
    </row>
    <row r="6390" spans="1:29" ht="30">
      <c r="A6390" s="8" t="s">
        <v>5822</v>
      </c>
      <c r="B6390" s="17" t="s">
        <v>7758</v>
      </c>
      <c r="C6390" s="13">
        <v>38624</v>
      </c>
      <c r="D6390" s="13" t="s">
        <v>8467</v>
      </c>
      <c r="E6390" s="10" t="s">
        <v>1571</v>
      </c>
      <c r="F6390" s="10" t="s">
        <v>1505</v>
      </c>
      <c r="H6390" s="2" t="s">
        <v>1061</v>
      </c>
      <c r="L6390" s="18">
        <v>0</v>
      </c>
      <c r="Q6390" s="18">
        <v>0</v>
      </c>
      <c r="V6390" s="22">
        <f>3.22/5</f>
        <v>0.64400000000000002</v>
      </c>
      <c r="X6390" s="3">
        <v>4</v>
      </c>
      <c r="Z6390" s="23">
        <v>4.5</v>
      </c>
      <c r="AB6390" s="18">
        <f t="shared" si="198"/>
        <v>2005</v>
      </c>
      <c r="AC6390" s="22">
        <f t="shared" si="199"/>
        <v>0.72199999999999998</v>
      </c>
    </row>
    <row r="6391" spans="1:29" ht="30">
      <c r="A6391" s="8" t="s">
        <v>12256</v>
      </c>
      <c r="B6391" s="17" t="s">
        <v>7758</v>
      </c>
      <c r="C6391" s="13">
        <v>38624</v>
      </c>
      <c r="D6391" s="13" t="s">
        <v>10067</v>
      </c>
      <c r="E6391" s="10" t="s">
        <v>12257</v>
      </c>
      <c r="F6391" s="10" t="s">
        <v>12258</v>
      </c>
      <c r="H6391" s="2" t="s">
        <v>1061</v>
      </c>
      <c r="K6391" s="18">
        <v>2</v>
      </c>
      <c r="L6391" s="18">
        <v>0</v>
      </c>
      <c r="Q6391" s="18">
        <v>0</v>
      </c>
      <c r="V6391" s="22">
        <f>3.9/5</f>
        <v>0.78</v>
      </c>
      <c r="X6391" s="3">
        <v>3</v>
      </c>
      <c r="Z6391" s="23">
        <v>11</v>
      </c>
      <c r="AB6391" s="18">
        <f t="shared" si="198"/>
        <v>2005</v>
      </c>
      <c r="AC6391" s="22">
        <f t="shared" si="199"/>
        <v>0.69</v>
      </c>
    </row>
    <row r="6392" spans="1:29">
      <c r="A6392" s="8" t="s">
        <v>2276</v>
      </c>
      <c r="B6392" s="17" t="s">
        <v>7748</v>
      </c>
      <c r="C6392" s="13">
        <v>38622</v>
      </c>
      <c r="D6392" s="13" t="s">
        <v>8465</v>
      </c>
      <c r="E6392" s="10" t="s">
        <v>86</v>
      </c>
      <c r="F6392" s="10" t="s">
        <v>1525</v>
      </c>
      <c r="G6392" s="11" t="s">
        <v>1526</v>
      </c>
      <c r="H6392" s="2" t="s">
        <v>67</v>
      </c>
      <c r="L6392" s="18">
        <v>0</v>
      </c>
      <c r="Q6392" s="18">
        <v>0</v>
      </c>
      <c r="U6392" s="22">
        <v>0.72</v>
      </c>
      <c r="V6392" s="22">
        <f>3.7/5</f>
        <v>0.74</v>
      </c>
      <c r="X6392" s="3">
        <v>4</v>
      </c>
      <c r="Z6392" s="23">
        <v>5</v>
      </c>
      <c r="AB6392" s="18">
        <f t="shared" si="198"/>
        <v>2005</v>
      </c>
      <c r="AC6392" s="22">
        <f t="shared" si="199"/>
        <v>0.7533333333333333</v>
      </c>
    </row>
    <row r="6393" spans="1:29">
      <c r="A6393" s="8" t="s">
        <v>2197</v>
      </c>
      <c r="B6393" s="17" t="s">
        <v>7748</v>
      </c>
      <c r="C6393" s="13">
        <v>38622</v>
      </c>
      <c r="D6393" s="13" t="s">
        <v>8465</v>
      </c>
      <c r="E6393" s="10" t="s">
        <v>1047</v>
      </c>
      <c r="F6393" s="10" t="s">
        <v>1345</v>
      </c>
      <c r="G6393" s="11" t="s">
        <v>1960</v>
      </c>
      <c r="H6393" s="2" t="s">
        <v>149</v>
      </c>
      <c r="L6393" s="18">
        <v>0</v>
      </c>
      <c r="Q6393" s="18">
        <v>0</v>
      </c>
      <c r="U6393" s="22">
        <v>0.57999999999999996</v>
      </c>
      <c r="V6393" s="22">
        <f>2.56/5</f>
        <v>0.51200000000000001</v>
      </c>
      <c r="X6393" s="3">
        <v>3</v>
      </c>
      <c r="Z6393" s="23">
        <v>20</v>
      </c>
      <c r="AB6393" s="18">
        <f t="shared" si="198"/>
        <v>2005</v>
      </c>
      <c r="AC6393" s="22">
        <f t="shared" si="199"/>
        <v>0.56400000000000006</v>
      </c>
    </row>
    <row r="6394" spans="1:29">
      <c r="A6394" s="8" t="s">
        <v>7409</v>
      </c>
      <c r="B6394" s="17" t="s">
        <v>7748</v>
      </c>
      <c r="C6394" s="13">
        <v>38622</v>
      </c>
      <c r="D6394" s="13" t="s">
        <v>8465</v>
      </c>
      <c r="E6394" s="10" t="s">
        <v>72</v>
      </c>
      <c r="F6394" s="10" t="s">
        <v>72</v>
      </c>
      <c r="G6394" s="11" t="s">
        <v>7409</v>
      </c>
      <c r="H6394" s="2" t="s">
        <v>1334</v>
      </c>
      <c r="L6394" s="18">
        <v>0</v>
      </c>
      <c r="Q6394" s="18">
        <v>0</v>
      </c>
      <c r="U6394" s="22">
        <v>0.72</v>
      </c>
      <c r="V6394" s="22">
        <f>3.44/5</f>
        <v>0.68799999999999994</v>
      </c>
      <c r="X6394" s="3">
        <v>2</v>
      </c>
      <c r="Z6394" s="23">
        <v>10.5</v>
      </c>
      <c r="AB6394" s="18">
        <f t="shared" si="198"/>
        <v>2005</v>
      </c>
      <c r="AC6394" s="22">
        <f t="shared" si="199"/>
        <v>0.60266666666666657</v>
      </c>
    </row>
    <row r="6395" spans="1:29">
      <c r="A6395" s="8" t="s">
        <v>9262</v>
      </c>
      <c r="B6395" s="17" t="s">
        <v>7764</v>
      </c>
      <c r="C6395" s="13">
        <v>38622</v>
      </c>
      <c r="D6395" s="13" t="s">
        <v>8465</v>
      </c>
      <c r="E6395" s="10" t="s">
        <v>1047</v>
      </c>
      <c r="F6395" s="10" t="s">
        <v>1048</v>
      </c>
      <c r="G6395" s="11" t="s">
        <v>1049</v>
      </c>
      <c r="H6395" s="2" t="s">
        <v>1050</v>
      </c>
      <c r="L6395" s="18">
        <v>0</v>
      </c>
      <c r="Q6395" s="18">
        <v>0</v>
      </c>
      <c r="U6395" s="22">
        <v>0.85</v>
      </c>
      <c r="V6395" s="22">
        <f>3.92/5</f>
        <v>0.78400000000000003</v>
      </c>
      <c r="X6395" s="3">
        <v>2</v>
      </c>
      <c r="Y6395" s="18">
        <v>1</v>
      </c>
      <c r="Z6395" s="23">
        <v>12</v>
      </c>
      <c r="AB6395" s="18">
        <f t="shared" si="198"/>
        <v>2005</v>
      </c>
      <c r="AC6395" s="22">
        <f t="shared" si="199"/>
        <v>0.67799999999999994</v>
      </c>
    </row>
    <row r="6396" spans="1:29" ht="25.5">
      <c r="A6396" s="8" t="s">
        <v>5842</v>
      </c>
      <c r="B6396" s="17" t="s">
        <v>7758</v>
      </c>
      <c r="C6396" s="13">
        <v>38621</v>
      </c>
      <c r="D6396" s="13" t="s">
        <v>8465</v>
      </c>
      <c r="E6396" s="10" t="s">
        <v>1290</v>
      </c>
      <c r="F6396" s="10" t="s">
        <v>1478</v>
      </c>
      <c r="G6396" s="11" t="s">
        <v>5886</v>
      </c>
      <c r="H6396" s="2" t="s">
        <v>1040</v>
      </c>
      <c r="L6396" s="18">
        <v>0</v>
      </c>
      <c r="Q6396" s="18">
        <v>0</v>
      </c>
      <c r="U6396" s="22">
        <v>0.84</v>
      </c>
      <c r="V6396" s="22">
        <f>4.12/5</f>
        <v>0.82400000000000007</v>
      </c>
      <c r="X6396" s="3">
        <v>4</v>
      </c>
      <c r="Z6396" s="23">
        <v>12.5</v>
      </c>
      <c r="AB6396" s="18">
        <f t="shared" si="198"/>
        <v>2005</v>
      </c>
      <c r="AC6396" s="22">
        <f t="shared" si="199"/>
        <v>0.82133333333333347</v>
      </c>
    </row>
    <row r="6397" spans="1:29" ht="25.5">
      <c r="A6397" s="8" t="s">
        <v>5781</v>
      </c>
      <c r="B6397" s="17" t="s">
        <v>7758</v>
      </c>
      <c r="C6397" s="13">
        <v>38621</v>
      </c>
      <c r="D6397" s="13" t="s">
        <v>8465</v>
      </c>
      <c r="E6397" s="10" t="s">
        <v>1466</v>
      </c>
      <c r="F6397" s="10" t="s">
        <v>5877</v>
      </c>
      <c r="G6397" s="11" t="s">
        <v>5845</v>
      </c>
      <c r="H6397" s="2" t="s">
        <v>1061</v>
      </c>
      <c r="L6397" s="18">
        <v>0</v>
      </c>
      <c r="Q6397" s="18">
        <v>0</v>
      </c>
      <c r="U6397" s="22">
        <v>0.76</v>
      </c>
      <c r="V6397" s="22">
        <f>3.49/5</f>
        <v>0.69800000000000006</v>
      </c>
      <c r="X6397" s="3">
        <v>3</v>
      </c>
      <c r="Z6397" s="23">
        <v>8</v>
      </c>
      <c r="AB6397" s="18">
        <f t="shared" si="198"/>
        <v>2005</v>
      </c>
      <c r="AC6397" s="22">
        <f t="shared" si="199"/>
        <v>0.68600000000000005</v>
      </c>
    </row>
    <row r="6398" spans="1:29" ht="30">
      <c r="A6398" s="8" t="s">
        <v>2110</v>
      </c>
      <c r="B6398" s="17" t="s">
        <v>7740</v>
      </c>
      <c r="C6398" s="13">
        <v>38617</v>
      </c>
      <c r="D6398" s="13" t="s">
        <v>8465</v>
      </c>
      <c r="E6398" s="10" t="s">
        <v>1273</v>
      </c>
      <c r="F6398" s="10" t="s">
        <v>1508</v>
      </c>
      <c r="G6398" s="11" t="s">
        <v>1264</v>
      </c>
      <c r="H6398" s="2" t="s">
        <v>80</v>
      </c>
      <c r="L6398" s="18">
        <v>0</v>
      </c>
      <c r="Q6398" s="18">
        <v>0</v>
      </c>
      <c r="U6398" s="22">
        <v>0.76</v>
      </c>
      <c r="V6398" s="22">
        <f>3.89/5</f>
        <v>0.77800000000000002</v>
      </c>
      <c r="X6398" s="3">
        <v>3</v>
      </c>
      <c r="Z6398" s="23">
        <v>5</v>
      </c>
      <c r="AB6398" s="18">
        <f t="shared" si="198"/>
        <v>2005</v>
      </c>
      <c r="AC6398" s="22">
        <f t="shared" si="199"/>
        <v>0.71266666666666667</v>
      </c>
    </row>
    <row r="6399" spans="1:29" ht="25.5">
      <c r="A6399" s="8" t="s">
        <v>6937</v>
      </c>
      <c r="B6399" s="17" t="s">
        <v>7800</v>
      </c>
      <c r="C6399" s="13">
        <v>38616</v>
      </c>
      <c r="D6399" s="13" t="s">
        <v>8465</v>
      </c>
      <c r="E6399" s="10" t="s">
        <v>311</v>
      </c>
      <c r="F6399" s="10" t="s">
        <v>4227</v>
      </c>
      <c r="G6399" s="11" t="s">
        <v>445</v>
      </c>
      <c r="H6399" s="2" t="s">
        <v>1143</v>
      </c>
      <c r="L6399" s="18">
        <v>1</v>
      </c>
      <c r="N6399" s="13">
        <v>41803</v>
      </c>
      <c r="O6399" s="29">
        <v>1.99</v>
      </c>
      <c r="P6399" s="18" t="s">
        <v>1107</v>
      </c>
      <c r="Q6399" s="18">
        <v>0</v>
      </c>
      <c r="U6399" s="22">
        <v>0.79</v>
      </c>
      <c r="V6399" s="22">
        <f>3.29/5</f>
        <v>0.65800000000000003</v>
      </c>
      <c r="W6399" s="14" t="s">
        <v>7778</v>
      </c>
      <c r="X6399" s="3">
        <v>3</v>
      </c>
      <c r="Z6399" s="23">
        <v>17</v>
      </c>
      <c r="AB6399" s="18">
        <f t="shared" si="198"/>
        <v>2005</v>
      </c>
      <c r="AC6399" s="22">
        <f t="shared" si="199"/>
        <v>0.68266666666666664</v>
      </c>
    </row>
    <row r="6400" spans="1:29" ht="25.5">
      <c r="A6400" s="8" t="s">
        <v>9702</v>
      </c>
      <c r="B6400" s="17" t="s">
        <v>7758</v>
      </c>
      <c r="C6400" s="13">
        <v>38616</v>
      </c>
      <c r="D6400" s="13" t="s">
        <v>8465</v>
      </c>
      <c r="E6400" s="10" t="s">
        <v>72</v>
      </c>
      <c r="F6400" s="10" t="s">
        <v>1355</v>
      </c>
      <c r="G6400" s="11" t="s">
        <v>14657</v>
      </c>
      <c r="H6400" s="2" t="s">
        <v>1204</v>
      </c>
      <c r="L6400" s="18">
        <v>0</v>
      </c>
      <c r="Q6400" s="18">
        <v>0</v>
      </c>
      <c r="U6400" s="22">
        <v>0.66</v>
      </c>
      <c r="V6400" s="22">
        <f>3.7/5</f>
        <v>0.74</v>
      </c>
      <c r="X6400" s="3">
        <v>2</v>
      </c>
      <c r="Z6400" s="23">
        <v>32.5</v>
      </c>
      <c r="AB6400" s="18">
        <f t="shared" si="198"/>
        <v>2005</v>
      </c>
      <c r="AC6400" s="22">
        <f t="shared" si="199"/>
        <v>0.6</v>
      </c>
    </row>
    <row r="6401" spans="1:29">
      <c r="A6401" s="8" t="s">
        <v>6298</v>
      </c>
      <c r="B6401" s="17" t="s">
        <v>7764</v>
      </c>
      <c r="C6401" s="13">
        <v>38615</v>
      </c>
      <c r="D6401" s="13" t="s">
        <v>8465</v>
      </c>
      <c r="E6401" s="10" t="s">
        <v>76</v>
      </c>
      <c r="F6401" s="10" t="s">
        <v>1136</v>
      </c>
      <c r="G6401" s="11" t="s">
        <v>139</v>
      </c>
      <c r="H6401" s="2" t="s">
        <v>1059</v>
      </c>
      <c r="L6401" s="18">
        <v>1</v>
      </c>
      <c r="M6401" s="14" t="s">
        <v>8462</v>
      </c>
      <c r="N6401" s="13">
        <v>43590</v>
      </c>
      <c r="O6401" s="29">
        <v>17</v>
      </c>
      <c r="P6401" s="18" t="s">
        <v>14</v>
      </c>
      <c r="Q6401" s="18">
        <v>0</v>
      </c>
      <c r="U6401" s="22">
        <v>0.95</v>
      </c>
      <c r="V6401" s="22">
        <f>4.33/5</f>
        <v>0.86599999999999999</v>
      </c>
      <c r="X6401" s="3">
        <v>4</v>
      </c>
      <c r="Z6401" s="23">
        <v>15</v>
      </c>
      <c r="AB6401" s="18">
        <f t="shared" ref="AB6401:AB6464" si="200">IFERROR(YEAR(C6401), "Early Access")</f>
        <v>2005</v>
      </c>
      <c r="AC6401" s="22">
        <f t="shared" ref="AC6401:AC6464" si="201">AVERAGE(T6401, U6401, V6401, IF(ISBLANK(X6401), X6401, X6401/5))</f>
        <v>0.87199999999999989</v>
      </c>
    </row>
    <row r="6402" spans="1:29" ht="30">
      <c r="A6402" s="8" t="s">
        <v>6748</v>
      </c>
      <c r="B6402" s="17" t="s">
        <v>7740</v>
      </c>
      <c r="C6402" s="13">
        <v>38615</v>
      </c>
      <c r="D6402" s="13" t="s">
        <v>8465</v>
      </c>
      <c r="E6402" s="10" t="s">
        <v>1273</v>
      </c>
      <c r="F6402" s="10" t="s">
        <v>5017</v>
      </c>
      <c r="G6402" s="11" t="s">
        <v>6747</v>
      </c>
      <c r="H6402" s="2" t="s">
        <v>171</v>
      </c>
      <c r="L6402" s="18">
        <v>0</v>
      </c>
      <c r="Q6402" s="18">
        <v>0</v>
      </c>
      <c r="U6402" s="22">
        <v>0.81</v>
      </c>
      <c r="V6402" s="22">
        <f>4.05/5</f>
        <v>0.80999999999999994</v>
      </c>
      <c r="X6402" s="3">
        <v>4</v>
      </c>
      <c r="Z6402" s="23">
        <v>22</v>
      </c>
      <c r="AB6402" s="18">
        <f t="shared" si="200"/>
        <v>2005</v>
      </c>
      <c r="AC6402" s="22">
        <f t="shared" si="201"/>
        <v>0.80666666666666664</v>
      </c>
    </row>
    <row r="6403" spans="1:29" ht="25.5">
      <c r="A6403" s="8" t="s">
        <v>3855</v>
      </c>
      <c r="B6403" s="17" t="s">
        <v>7800</v>
      </c>
      <c r="C6403" s="13">
        <v>38615</v>
      </c>
      <c r="D6403" s="13" t="s">
        <v>8465</v>
      </c>
      <c r="E6403" s="10" t="s">
        <v>3740</v>
      </c>
      <c r="F6403" s="10" t="s">
        <v>3856</v>
      </c>
      <c r="G6403" s="11" t="s">
        <v>3857</v>
      </c>
      <c r="H6403" s="2" t="s">
        <v>171</v>
      </c>
      <c r="L6403" s="18">
        <v>1</v>
      </c>
      <c r="N6403" s="13">
        <v>41413</v>
      </c>
      <c r="O6403" s="29">
        <v>0</v>
      </c>
      <c r="P6403" s="18" t="s">
        <v>1107</v>
      </c>
      <c r="Q6403" s="18">
        <v>0</v>
      </c>
      <c r="U6403" s="22">
        <v>0.83</v>
      </c>
      <c r="V6403" s="22">
        <f>4.06/5</f>
        <v>0.81199999999999994</v>
      </c>
      <c r="W6403" s="14" t="s">
        <v>7777</v>
      </c>
      <c r="X6403" s="3">
        <v>3</v>
      </c>
      <c r="Z6403" s="23">
        <v>15</v>
      </c>
      <c r="AB6403" s="18">
        <f t="shared" si="200"/>
        <v>2005</v>
      </c>
      <c r="AC6403" s="22">
        <f t="shared" si="201"/>
        <v>0.74733333333333329</v>
      </c>
    </row>
    <row r="6404" spans="1:29" ht="30">
      <c r="A6404" s="8" t="s">
        <v>9697</v>
      </c>
      <c r="B6404" s="17" t="s">
        <v>7758</v>
      </c>
      <c r="C6404" s="13">
        <v>38615</v>
      </c>
      <c r="D6404" s="13" t="s">
        <v>8465</v>
      </c>
      <c r="E6404" s="10" t="s">
        <v>2908</v>
      </c>
      <c r="F6404" s="10" t="s">
        <v>6259</v>
      </c>
      <c r="G6404" s="11" t="s">
        <v>9714</v>
      </c>
      <c r="H6404" s="2" t="s">
        <v>1059</v>
      </c>
      <c r="L6404" s="18">
        <v>0</v>
      </c>
      <c r="Q6404" s="18">
        <v>0</v>
      </c>
      <c r="U6404" s="22">
        <v>0.74</v>
      </c>
      <c r="V6404" s="22">
        <f>3.8/5</f>
        <v>0.76</v>
      </c>
      <c r="X6404" s="3">
        <v>3</v>
      </c>
      <c r="Z6404" s="23">
        <v>7</v>
      </c>
      <c r="AB6404" s="18">
        <f t="shared" si="200"/>
        <v>2005</v>
      </c>
      <c r="AC6404" s="22">
        <f t="shared" si="201"/>
        <v>0.70000000000000007</v>
      </c>
    </row>
    <row r="6405" spans="1:29" ht="30">
      <c r="A6405" s="8" t="s">
        <v>12840</v>
      </c>
      <c r="B6405" s="17" t="s">
        <v>7740</v>
      </c>
      <c r="C6405" s="13">
        <v>38615</v>
      </c>
      <c r="D6405" s="13" t="s">
        <v>8465</v>
      </c>
      <c r="E6405" s="10" t="s">
        <v>231</v>
      </c>
      <c r="F6405" s="10" t="s">
        <v>12841</v>
      </c>
      <c r="G6405" s="11" t="s">
        <v>1308</v>
      </c>
      <c r="H6405" s="2" t="s">
        <v>459</v>
      </c>
      <c r="L6405" s="18">
        <v>0</v>
      </c>
      <c r="Q6405" s="18">
        <v>0</v>
      </c>
      <c r="U6405" s="22">
        <v>0.54</v>
      </c>
      <c r="V6405" s="22">
        <f>3.68/5</f>
        <v>0.73599999999999999</v>
      </c>
      <c r="X6405" s="3">
        <v>2</v>
      </c>
      <c r="Z6405" s="23">
        <v>4</v>
      </c>
      <c r="AB6405" s="18">
        <f t="shared" si="200"/>
        <v>2005</v>
      </c>
      <c r="AC6405" s="22">
        <f t="shared" si="201"/>
        <v>0.55866666666666676</v>
      </c>
    </row>
    <row r="6406" spans="1:29" ht="30">
      <c r="A6406" s="8" t="s">
        <v>936</v>
      </c>
      <c r="B6406" s="17" t="s">
        <v>7740</v>
      </c>
      <c r="C6406" s="13">
        <v>38614</v>
      </c>
      <c r="D6406" s="13" t="s">
        <v>8465</v>
      </c>
      <c r="E6406" s="10" t="s">
        <v>86</v>
      </c>
      <c r="F6406" s="10" t="s">
        <v>1491</v>
      </c>
      <c r="G6406" s="11" t="s">
        <v>301</v>
      </c>
      <c r="H6406" s="2" t="s">
        <v>75</v>
      </c>
      <c r="L6406" s="18">
        <v>0</v>
      </c>
      <c r="Q6406" s="18">
        <v>0</v>
      </c>
      <c r="U6406" s="22">
        <v>0.77</v>
      </c>
      <c r="V6406" s="22">
        <f>3.74/5</f>
        <v>0.748</v>
      </c>
      <c r="X6406" s="3">
        <v>4</v>
      </c>
      <c r="Z6406" s="23">
        <v>6.5</v>
      </c>
      <c r="AB6406" s="18">
        <f t="shared" si="200"/>
        <v>2005</v>
      </c>
      <c r="AC6406" s="22">
        <f t="shared" si="201"/>
        <v>0.77266666666666672</v>
      </c>
    </row>
    <row r="6407" spans="1:29" ht="30">
      <c r="A6407" s="8" t="s">
        <v>2005</v>
      </c>
      <c r="B6407" s="17" t="s">
        <v>7747</v>
      </c>
      <c r="C6407" s="13">
        <v>38614</v>
      </c>
      <c r="D6407" s="13" t="s">
        <v>8465</v>
      </c>
      <c r="E6407" s="10" t="s">
        <v>86</v>
      </c>
      <c r="F6407" s="10" t="s">
        <v>1545</v>
      </c>
      <c r="G6407" s="11" t="s">
        <v>1254</v>
      </c>
      <c r="H6407" s="2" t="s">
        <v>78</v>
      </c>
      <c r="L6407" s="18">
        <v>0</v>
      </c>
      <c r="Q6407" s="18">
        <v>0</v>
      </c>
      <c r="U6407" s="22">
        <v>0.72</v>
      </c>
      <c r="V6407" s="22">
        <f>3.58/5</f>
        <v>0.71599999999999997</v>
      </c>
      <c r="X6407" s="3">
        <v>3</v>
      </c>
      <c r="Z6407" s="23">
        <v>5</v>
      </c>
      <c r="AB6407" s="18">
        <f t="shared" si="200"/>
        <v>2005</v>
      </c>
      <c r="AC6407" s="22">
        <f t="shared" si="201"/>
        <v>0.67866666666666664</v>
      </c>
    </row>
    <row r="6408" spans="1:29" ht="30">
      <c r="A6408" s="8" t="s">
        <v>11988</v>
      </c>
      <c r="B6408" s="17" t="s">
        <v>7740</v>
      </c>
      <c r="C6408" s="13">
        <v>38614</v>
      </c>
      <c r="D6408" s="13" t="s">
        <v>8465</v>
      </c>
      <c r="E6408" s="10" t="s">
        <v>1342</v>
      </c>
      <c r="F6408" s="10" t="s">
        <v>11989</v>
      </c>
      <c r="G6408" s="11" t="s">
        <v>11990</v>
      </c>
      <c r="H6408" s="2" t="s">
        <v>1040</v>
      </c>
      <c r="L6408" s="18">
        <v>0</v>
      </c>
      <c r="Q6408" s="18">
        <v>0</v>
      </c>
      <c r="U6408" s="22">
        <v>0.75</v>
      </c>
      <c r="V6408" s="22">
        <f>3.57/5</f>
        <v>0.71399999999999997</v>
      </c>
      <c r="X6408" s="3">
        <v>2</v>
      </c>
      <c r="Z6408" s="23">
        <v>3.5</v>
      </c>
      <c r="AB6408" s="18">
        <f t="shared" si="200"/>
        <v>2005</v>
      </c>
      <c r="AC6408" s="22">
        <f t="shared" si="201"/>
        <v>0.62133333333333329</v>
      </c>
    </row>
    <row r="6409" spans="1:29">
      <c r="A6409" s="8" t="s">
        <v>15407</v>
      </c>
      <c r="B6409" s="17" t="s">
        <v>7800</v>
      </c>
      <c r="C6409" s="13">
        <v>38614</v>
      </c>
      <c r="D6409" s="13" t="s">
        <v>8465</v>
      </c>
      <c r="E6409" s="10" t="s">
        <v>1047</v>
      </c>
      <c r="F6409" s="10" t="s">
        <v>6967</v>
      </c>
      <c r="G6409" s="11" t="s">
        <v>15400</v>
      </c>
      <c r="H6409" s="2" t="s">
        <v>67</v>
      </c>
      <c r="L6409" s="18">
        <v>1</v>
      </c>
      <c r="N6409" s="13">
        <v>45128</v>
      </c>
      <c r="O6409" s="29">
        <v>0</v>
      </c>
      <c r="P6409" s="18" t="s">
        <v>1107</v>
      </c>
      <c r="Q6409" s="18">
        <v>0</v>
      </c>
      <c r="U6409" s="22">
        <v>0.8</v>
      </c>
      <c r="V6409" s="22">
        <f>3.74/5</f>
        <v>0.748</v>
      </c>
      <c r="W6409" s="14" t="s">
        <v>7777</v>
      </c>
      <c r="X6409" s="3">
        <v>3</v>
      </c>
      <c r="Z6409" s="23">
        <v>8.5</v>
      </c>
      <c r="AB6409" s="18">
        <f t="shared" si="200"/>
        <v>2005</v>
      </c>
      <c r="AC6409" s="22">
        <f t="shared" si="201"/>
        <v>0.71600000000000008</v>
      </c>
    </row>
    <row r="6410" spans="1:29" ht="30">
      <c r="A6410" s="8" t="s">
        <v>15009</v>
      </c>
      <c r="B6410" s="17" t="s">
        <v>7747</v>
      </c>
      <c r="C6410" s="13">
        <v>38613</v>
      </c>
      <c r="D6410" s="13" t="s">
        <v>8465</v>
      </c>
      <c r="E6410" s="10" t="s">
        <v>1342</v>
      </c>
      <c r="F6410" s="10" t="s">
        <v>14860</v>
      </c>
      <c r="G6410" s="11" t="s">
        <v>15004</v>
      </c>
      <c r="H6410" s="2" t="s">
        <v>149</v>
      </c>
      <c r="L6410" s="18">
        <v>0</v>
      </c>
      <c r="Q6410" s="18">
        <v>0</v>
      </c>
      <c r="V6410" s="22">
        <f>3.43/5</f>
        <v>0.68600000000000005</v>
      </c>
      <c r="X6410" s="3">
        <v>3</v>
      </c>
      <c r="Z6410" s="23">
        <v>18</v>
      </c>
      <c r="AB6410" s="18">
        <f t="shared" si="200"/>
        <v>2005</v>
      </c>
      <c r="AC6410" s="22">
        <f t="shared" si="201"/>
        <v>0.64300000000000002</v>
      </c>
    </row>
    <row r="6411" spans="1:29" ht="25.5">
      <c r="A6411" s="8" t="s">
        <v>6720</v>
      </c>
      <c r="B6411" s="17" t="s">
        <v>7758</v>
      </c>
      <c r="C6411" s="13">
        <v>38611</v>
      </c>
      <c r="D6411" s="13" t="s">
        <v>8465</v>
      </c>
      <c r="E6411" s="10" t="s">
        <v>1466</v>
      </c>
      <c r="F6411" s="10" t="s">
        <v>1466</v>
      </c>
      <c r="G6411" s="11" t="s">
        <v>17</v>
      </c>
      <c r="H6411" s="2" t="s">
        <v>80</v>
      </c>
      <c r="L6411" s="18">
        <v>0</v>
      </c>
      <c r="Q6411" s="18">
        <v>0</v>
      </c>
      <c r="U6411" s="22">
        <v>0.79</v>
      </c>
      <c r="V6411" s="22">
        <f>3.87/5</f>
        <v>0.77400000000000002</v>
      </c>
      <c r="X6411" s="3">
        <v>3</v>
      </c>
      <c r="Z6411" s="23">
        <v>6</v>
      </c>
      <c r="AB6411" s="18">
        <f t="shared" si="200"/>
        <v>2005</v>
      </c>
      <c r="AC6411" s="22">
        <f t="shared" si="201"/>
        <v>0.72133333333333338</v>
      </c>
    </row>
    <row r="6412" spans="1:29" ht="30">
      <c r="A6412" s="8" t="s">
        <v>2043</v>
      </c>
      <c r="B6412" s="17" t="s">
        <v>7747</v>
      </c>
      <c r="C6412" s="13">
        <v>38610</v>
      </c>
      <c r="D6412" s="13" t="s">
        <v>8463</v>
      </c>
      <c r="E6412" s="10" t="s">
        <v>470</v>
      </c>
      <c r="F6412" s="10" t="s">
        <v>470</v>
      </c>
      <c r="G6412" s="11" t="s">
        <v>299</v>
      </c>
      <c r="H6412" s="2" t="s">
        <v>75</v>
      </c>
      <c r="K6412" s="18">
        <v>2</v>
      </c>
      <c r="L6412" s="18">
        <v>0</v>
      </c>
      <c r="Q6412" s="18">
        <v>0</v>
      </c>
      <c r="V6412" s="22">
        <f>4.1/5</f>
        <v>0.82</v>
      </c>
      <c r="X6412" s="3">
        <v>3</v>
      </c>
      <c r="Z6412" s="23">
        <v>40</v>
      </c>
      <c r="AB6412" s="18">
        <f t="shared" si="200"/>
        <v>2005</v>
      </c>
      <c r="AC6412" s="22">
        <f t="shared" si="201"/>
        <v>0.71</v>
      </c>
    </row>
    <row r="6413" spans="1:29">
      <c r="A6413" s="8" t="s">
        <v>7567</v>
      </c>
      <c r="B6413" s="17" t="s">
        <v>7782</v>
      </c>
      <c r="C6413" s="13">
        <v>38608</v>
      </c>
      <c r="D6413" s="13" t="s">
        <v>8465</v>
      </c>
      <c r="E6413" s="10" t="s">
        <v>7568</v>
      </c>
      <c r="F6413" s="10" t="s">
        <v>1889</v>
      </c>
      <c r="G6413" s="11" t="s">
        <v>1890</v>
      </c>
      <c r="H6413" s="2" t="s">
        <v>149</v>
      </c>
      <c r="L6413" s="18">
        <v>0</v>
      </c>
      <c r="Q6413" s="18">
        <v>0</v>
      </c>
      <c r="U6413" s="22">
        <v>0.87</v>
      </c>
      <c r="V6413" s="22">
        <f>4.12/5</f>
        <v>0.82400000000000007</v>
      </c>
      <c r="X6413" s="3">
        <v>4</v>
      </c>
      <c r="Z6413" s="23">
        <v>4.5</v>
      </c>
      <c r="AB6413" s="18">
        <f t="shared" si="200"/>
        <v>2005</v>
      </c>
      <c r="AC6413" s="22">
        <f t="shared" si="201"/>
        <v>0.83133333333333326</v>
      </c>
    </row>
    <row r="6414" spans="1:29">
      <c r="A6414" s="8" t="s">
        <v>6688</v>
      </c>
      <c r="B6414" s="17" t="s">
        <v>7758</v>
      </c>
      <c r="C6414" s="13">
        <v>38608</v>
      </c>
      <c r="D6414" s="13" t="s">
        <v>8465</v>
      </c>
      <c r="E6414" s="10" t="s">
        <v>231</v>
      </c>
      <c r="F6414" s="10" t="s">
        <v>3393</v>
      </c>
      <c r="G6414" s="11" t="s">
        <v>3394</v>
      </c>
      <c r="H6414" s="2" t="s">
        <v>150</v>
      </c>
      <c r="L6414" s="18">
        <v>0</v>
      </c>
      <c r="Q6414" s="18">
        <v>0</v>
      </c>
      <c r="U6414" s="22">
        <v>0.9</v>
      </c>
      <c r="V6414" s="22">
        <f>4.07/5</f>
        <v>0.81400000000000006</v>
      </c>
      <c r="X6414" s="3">
        <v>3</v>
      </c>
      <c r="Z6414" s="23">
        <v>18</v>
      </c>
      <c r="AB6414" s="18">
        <f t="shared" si="200"/>
        <v>2005</v>
      </c>
      <c r="AC6414" s="22">
        <f t="shared" si="201"/>
        <v>0.77133333333333332</v>
      </c>
    </row>
    <row r="6415" spans="1:29" ht="30">
      <c r="A6415" s="8" t="s">
        <v>6691</v>
      </c>
      <c r="B6415" s="17" t="s">
        <v>7762</v>
      </c>
      <c r="C6415" s="13">
        <v>38608</v>
      </c>
      <c r="D6415" s="13" t="s">
        <v>8465</v>
      </c>
      <c r="E6415" s="10" t="s">
        <v>231</v>
      </c>
      <c r="F6415" s="10" t="s">
        <v>3393</v>
      </c>
      <c r="G6415" s="11" t="s">
        <v>3394</v>
      </c>
      <c r="H6415" s="2" t="s">
        <v>150</v>
      </c>
      <c r="L6415" s="18">
        <v>0</v>
      </c>
      <c r="Q6415" s="18">
        <v>0</v>
      </c>
      <c r="U6415" s="22">
        <v>0.88</v>
      </c>
      <c r="V6415" s="22">
        <f>4.04/5</f>
        <v>0.80800000000000005</v>
      </c>
      <c r="X6415" s="3">
        <v>2</v>
      </c>
      <c r="Z6415" s="23">
        <v>7</v>
      </c>
      <c r="AB6415" s="18">
        <f t="shared" si="200"/>
        <v>2005</v>
      </c>
      <c r="AC6415" s="22">
        <f t="shared" si="201"/>
        <v>0.69600000000000006</v>
      </c>
    </row>
    <row r="6416" spans="1:29" ht="25.5">
      <c r="A6416" s="8" t="s">
        <v>7655</v>
      </c>
      <c r="B6416" s="17" t="s">
        <v>7758</v>
      </c>
      <c r="C6416" s="13">
        <v>38608</v>
      </c>
      <c r="D6416" s="13" t="s">
        <v>8465</v>
      </c>
      <c r="E6416" s="10" t="s">
        <v>3017</v>
      </c>
      <c r="F6416" s="10" t="s">
        <v>1580</v>
      </c>
      <c r="G6416" s="11" t="s">
        <v>5915</v>
      </c>
      <c r="H6416" s="2" t="s">
        <v>1168</v>
      </c>
      <c r="L6416" s="18">
        <v>0</v>
      </c>
      <c r="Q6416" s="18">
        <v>0</v>
      </c>
      <c r="U6416" s="22">
        <v>0.57999999999999996</v>
      </c>
      <c r="V6416" s="22">
        <f>3.51/5</f>
        <v>0.70199999999999996</v>
      </c>
      <c r="X6416" s="3">
        <v>3</v>
      </c>
      <c r="Z6416" s="23">
        <v>6.5</v>
      </c>
      <c r="AB6416" s="18">
        <f t="shared" si="200"/>
        <v>2005</v>
      </c>
      <c r="AC6416" s="22">
        <f t="shared" si="201"/>
        <v>0.62733333333333341</v>
      </c>
    </row>
    <row r="6417" spans="1:29" ht="30">
      <c r="A6417" s="8" t="s">
        <v>7995</v>
      </c>
      <c r="B6417" s="17" t="s">
        <v>7762</v>
      </c>
      <c r="C6417" s="13">
        <v>38608</v>
      </c>
      <c r="D6417" s="13" t="s">
        <v>8465</v>
      </c>
      <c r="E6417" s="10" t="s">
        <v>2908</v>
      </c>
      <c r="F6417" s="10" t="s">
        <v>7993</v>
      </c>
      <c r="G6417" s="11" t="s">
        <v>7991</v>
      </c>
      <c r="H6417" s="2" t="s">
        <v>80</v>
      </c>
      <c r="L6417" s="18">
        <v>0</v>
      </c>
      <c r="Q6417" s="18">
        <v>0</v>
      </c>
      <c r="U6417" s="22">
        <v>0.68959999999999999</v>
      </c>
      <c r="V6417" s="22">
        <f>3.68/5</f>
        <v>0.73599999999999999</v>
      </c>
      <c r="X6417" s="3">
        <v>2</v>
      </c>
      <c r="Z6417" s="23">
        <v>9.5</v>
      </c>
      <c r="AB6417" s="18">
        <f t="shared" si="200"/>
        <v>2005</v>
      </c>
      <c r="AC6417" s="22">
        <f t="shared" si="201"/>
        <v>0.60853333333333337</v>
      </c>
    </row>
    <row r="6418" spans="1:29">
      <c r="A6418" s="8" t="s">
        <v>8090</v>
      </c>
      <c r="B6418" s="17" t="s">
        <v>7758</v>
      </c>
      <c r="C6418" s="13">
        <v>38608</v>
      </c>
      <c r="D6418" s="13" t="s">
        <v>8465</v>
      </c>
      <c r="E6418" s="10" t="s">
        <v>158</v>
      </c>
      <c r="F6418" s="10" t="s">
        <v>158</v>
      </c>
      <c r="H6418" s="2" t="s">
        <v>153</v>
      </c>
      <c r="L6418" s="18">
        <v>0</v>
      </c>
      <c r="Q6418" s="18">
        <v>0</v>
      </c>
      <c r="U6418" s="22">
        <v>0.626</v>
      </c>
      <c r="V6418" s="22">
        <f>3.91/5</f>
        <v>0.78200000000000003</v>
      </c>
      <c r="X6418" s="3">
        <v>2</v>
      </c>
      <c r="Z6418" s="23">
        <v>8</v>
      </c>
      <c r="AB6418" s="18">
        <f t="shared" si="200"/>
        <v>2005</v>
      </c>
      <c r="AC6418" s="22">
        <f t="shared" si="201"/>
        <v>0.60266666666666657</v>
      </c>
    </row>
    <row r="6419" spans="1:29" ht="25.5">
      <c r="A6419" s="8" t="s">
        <v>10688</v>
      </c>
      <c r="B6419" s="17" t="s">
        <v>7758</v>
      </c>
      <c r="C6419" s="13">
        <v>38608</v>
      </c>
      <c r="D6419" s="13" t="s">
        <v>8465</v>
      </c>
      <c r="E6419" s="10" t="s">
        <v>1342</v>
      </c>
      <c r="F6419" s="10" t="s">
        <v>6656</v>
      </c>
      <c r="G6419" s="11" t="s">
        <v>10685</v>
      </c>
      <c r="H6419" s="2" t="s">
        <v>1059</v>
      </c>
      <c r="L6419" s="18">
        <v>0</v>
      </c>
      <c r="Q6419" s="18">
        <v>0</v>
      </c>
      <c r="U6419" s="22">
        <v>0.68</v>
      </c>
      <c r="V6419" s="22">
        <f>3.55/5</f>
        <v>0.71</v>
      </c>
      <c r="X6419" s="3">
        <v>2</v>
      </c>
      <c r="Z6419" s="23">
        <v>6</v>
      </c>
      <c r="AB6419" s="18">
        <f t="shared" si="200"/>
        <v>2005</v>
      </c>
      <c r="AC6419" s="22">
        <f t="shared" si="201"/>
        <v>0.59666666666666668</v>
      </c>
    </row>
    <row r="6420" spans="1:29">
      <c r="A6420" s="8" t="s">
        <v>7148</v>
      </c>
      <c r="B6420" s="17" t="s">
        <v>7800</v>
      </c>
      <c r="C6420" s="13">
        <v>38604</v>
      </c>
      <c r="D6420" s="13" t="s">
        <v>8465</v>
      </c>
      <c r="E6420" s="10" t="s">
        <v>7211</v>
      </c>
      <c r="F6420" s="10" t="s">
        <v>7211</v>
      </c>
      <c r="H6420" s="2" t="s">
        <v>171</v>
      </c>
      <c r="L6420" s="18">
        <v>0</v>
      </c>
      <c r="Q6420" s="18">
        <v>0</v>
      </c>
      <c r="W6420" s="14" t="s">
        <v>5674</v>
      </c>
      <c r="X6420" s="3">
        <v>3</v>
      </c>
      <c r="AB6420" s="18">
        <f t="shared" si="200"/>
        <v>2005</v>
      </c>
      <c r="AC6420" s="22">
        <f t="shared" si="201"/>
        <v>0.6</v>
      </c>
    </row>
    <row r="6421" spans="1:29">
      <c r="A6421" s="8" t="s">
        <v>5826</v>
      </c>
      <c r="B6421" s="17" t="s">
        <v>7758</v>
      </c>
      <c r="C6421" s="13">
        <v>38601</v>
      </c>
      <c r="D6421" s="13" t="s">
        <v>8465</v>
      </c>
      <c r="E6421" s="10" t="s">
        <v>1082</v>
      </c>
      <c r="F6421" s="10" t="s">
        <v>1423</v>
      </c>
      <c r="H6421" s="2" t="s">
        <v>171</v>
      </c>
      <c r="L6421" s="18">
        <v>0</v>
      </c>
      <c r="Q6421" s="18">
        <v>0</v>
      </c>
      <c r="U6421" s="22">
        <v>0.76</v>
      </c>
      <c r="V6421" s="22">
        <f>3.93/5</f>
        <v>0.78600000000000003</v>
      </c>
      <c r="X6421" s="3">
        <v>4</v>
      </c>
      <c r="Z6421" s="23">
        <v>32</v>
      </c>
      <c r="AB6421" s="18">
        <f t="shared" si="200"/>
        <v>2005</v>
      </c>
      <c r="AC6421" s="22">
        <f t="shared" si="201"/>
        <v>0.78200000000000003</v>
      </c>
    </row>
    <row r="6422" spans="1:29" ht="30">
      <c r="A6422" s="8" t="s">
        <v>2062</v>
      </c>
      <c r="B6422" s="17" t="s">
        <v>7747</v>
      </c>
      <c r="C6422" s="13">
        <v>38601</v>
      </c>
      <c r="D6422" s="13" t="s">
        <v>8465</v>
      </c>
      <c r="E6422" s="10" t="s">
        <v>86</v>
      </c>
      <c r="F6422" s="10" t="s">
        <v>1985</v>
      </c>
      <c r="G6422" s="11" t="s">
        <v>1986</v>
      </c>
      <c r="H6422" s="2" t="s">
        <v>75</v>
      </c>
      <c r="L6422" s="18">
        <v>0</v>
      </c>
      <c r="Q6422" s="18">
        <v>0</v>
      </c>
      <c r="U6422" s="22">
        <v>0.78</v>
      </c>
      <c r="V6422" s="22">
        <f>3.65/5</f>
        <v>0.73</v>
      </c>
      <c r="X6422" s="3">
        <v>4</v>
      </c>
      <c r="Z6422" s="23">
        <v>23.5</v>
      </c>
      <c r="AB6422" s="18">
        <f t="shared" si="200"/>
        <v>2005</v>
      </c>
      <c r="AC6422" s="22">
        <f t="shared" si="201"/>
        <v>0.77</v>
      </c>
    </row>
    <row r="6423" spans="1:29" ht="30">
      <c r="A6423" s="8" t="s">
        <v>7445</v>
      </c>
      <c r="B6423" s="17" t="s">
        <v>7758</v>
      </c>
      <c r="C6423" s="13">
        <v>38601</v>
      </c>
      <c r="D6423" s="13" t="s">
        <v>8465</v>
      </c>
      <c r="E6423" s="10" t="s">
        <v>1047</v>
      </c>
      <c r="F6423" s="10" t="s">
        <v>6607</v>
      </c>
      <c r="G6423" s="11" t="s">
        <v>6608</v>
      </c>
      <c r="H6423" s="2" t="s">
        <v>1050</v>
      </c>
      <c r="L6423" s="18">
        <v>0</v>
      </c>
      <c r="Q6423" s="18">
        <v>0</v>
      </c>
      <c r="U6423" s="22">
        <v>0.69</v>
      </c>
      <c r="V6423" s="22">
        <f>3.47/5</f>
        <v>0.69400000000000006</v>
      </c>
      <c r="X6423" s="3">
        <v>2</v>
      </c>
      <c r="Z6423" s="23">
        <v>8.5</v>
      </c>
      <c r="AB6423" s="18">
        <f t="shared" si="200"/>
        <v>2005</v>
      </c>
      <c r="AC6423" s="22">
        <f t="shared" si="201"/>
        <v>0.59466666666666657</v>
      </c>
    </row>
    <row r="6424" spans="1:29">
      <c r="A6424" s="8" t="s">
        <v>14687</v>
      </c>
      <c r="B6424" s="17" t="s">
        <v>7758</v>
      </c>
      <c r="C6424" s="13">
        <v>38596</v>
      </c>
      <c r="D6424" s="13" t="s">
        <v>8463</v>
      </c>
      <c r="E6424" s="10" t="s">
        <v>1082</v>
      </c>
      <c r="F6424" s="10" t="s">
        <v>6092</v>
      </c>
      <c r="H6424" s="2" t="s">
        <v>459</v>
      </c>
      <c r="K6424" s="18">
        <v>0</v>
      </c>
      <c r="L6424" s="18">
        <v>0</v>
      </c>
      <c r="Q6424" s="18">
        <v>0</v>
      </c>
      <c r="V6424" s="22">
        <f>4/5</f>
        <v>0.8</v>
      </c>
      <c r="X6424" s="3">
        <v>2</v>
      </c>
      <c r="AB6424" s="18">
        <f t="shared" si="200"/>
        <v>2005</v>
      </c>
      <c r="AC6424" s="22">
        <f t="shared" si="201"/>
        <v>0.60000000000000009</v>
      </c>
    </row>
    <row r="6425" spans="1:29" ht="30">
      <c r="A6425" s="8" t="s">
        <v>15845</v>
      </c>
      <c r="B6425" s="17" t="s">
        <v>7782</v>
      </c>
      <c r="C6425" s="12">
        <v>38596</v>
      </c>
      <c r="D6425" s="13" t="s">
        <v>8465</v>
      </c>
      <c r="E6425" s="10" t="s">
        <v>6505</v>
      </c>
      <c r="F6425" s="10" t="s">
        <v>7933</v>
      </c>
      <c r="G6425" s="11" t="s">
        <v>3723</v>
      </c>
      <c r="H6425" s="2" t="s">
        <v>21</v>
      </c>
      <c r="L6425" s="18">
        <v>0</v>
      </c>
      <c r="Q6425" s="18">
        <v>0</v>
      </c>
      <c r="U6425" s="22">
        <v>0.77500000000000002</v>
      </c>
      <c r="V6425" s="22">
        <f>2.63/5</f>
        <v>0.52600000000000002</v>
      </c>
      <c r="X6425" s="3">
        <v>2</v>
      </c>
      <c r="AB6425" s="18">
        <f t="shared" si="200"/>
        <v>2005</v>
      </c>
      <c r="AC6425" s="22">
        <f t="shared" si="201"/>
        <v>0.56700000000000006</v>
      </c>
    </row>
    <row r="6426" spans="1:29">
      <c r="A6426" s="8" t="s">
        <v>9635</v>
      </c>
      <c r="B6426" s="17" t="s">
        <v>7793</v>
      </c>
      <c r="C6426" s="12">
        <v>38596</v>
      </c>
      <c r="D6426" s="13" t="s">
        <v>8465</v>
      </c>
      <c r="E6426" s="10" t="s">
        <v>9636</v>
      </c>
      <c r="F6426" s="10" t="s">
        <v>9637</v>
      </c>
      <c r="G6426" s="11" t="s">
        <v>9635</v>
      </c>
      <c r="H6426" s="2" t="s">
        <v>150</v>
      </c>
      <c r="L6426" s="18">
        <v>0</v>
      </c>
      <c r="Q6426" s="18">
        <v>0</v>
      </c>
      <c r="V6426" s="22">
        <f>3.13/5</f>
        <v>0.626</v>
      </c>
      <c r="X6426" s="3">
        <v>2</v>
      </c>
      <c r="AB6426" s="18">
        <f t="shared" si="200"/>
        <v>2005</v>
      </c>
      <c r="AC6426" s="22">
        <f t="shared" si="201"/>
        <v>0.51300000000000001</v>
      </c>
    </row>
    <row r="6427" spans="1:29" ht="30">
      <c r="A6427" s="8" t="s">
        <v>15267</v>
      </c>
      <c r="B6427" s="17" t="s">
        <v>7762</v>
      </c>
      <c r="C6427" s="13">
        <v>38596</v>
      </c>
      <c r="D6427" s="13" t="s">
        <v>8467</v>
      </c>
      <c r="E6427" s="10" t="s">
        <v>2908</v>
      </c>
      <c r="F6427" s="10" t="s">
        <v>9691</v>
      </c>
      <c r="H6427" s="2" t="s">
        <v>1204</v>
      </c>
      <c r="L6427" s="18">
        <v>0</v>
      </c>
      <c r="Q6427" s="18">
        <v>0</v>
      </c>
      <c r="V6427" s="22">
        <f>2.66/5</f>
        <v>0.53200000000000003</v>
      </c>
      <c r="X6427" s="3">
        <v>2</v>
      </c>
      <c r="AB6427" s="18">
        <f t="shared" si="200"/>
        <v>2005</v>
      </c>
      <c r="AC6427" s="22">
        <f t="shared" si="201"/>
        <v>0.46600000000000003</v>
      </c>
    </row>
    <row r="6428" spans="1:29" ht="30">
      <c r="A6428" s="8" t="s">
        <v>7366</v>
      </c>
      <c r="B6428" s="17" t="s">
        <v>7740</v>
      </c>
      <c r="C6428" s="13">
        <v>38593</v>
      </c>
      <c r="D6428" s="13" t="s">
        <v>8465</v>
      </c>
      <c r="E6428" s="10" t="s">
        <v>86</v>
      </c>
      <c r="F6428" s="10" t="s">
        <v>158</v>
      </c>
      <c r="G6428" s="11" t="s">
        <v>7371</v>
      </c>
      <c r="H6428" s="2" t="s">
        <v>255</v>
      </c>
      <c r="L6428" s="18">
        <v>0</v>
      </c>
      <c r="Q6428" s="18">
        <v>0</v>
      </c>
      <c r="U6428" s="22">
        <v>0.77</v>
      </c>
      <c r="V6428" s="22">
        <f>3.78/5</f>
        <v>0.75600000000000001</v>
      </c>
      <c r="X6428" s="3">
        <v>3</v>
      </c>
      <c r="Z6428" s="23">
        <v>3.5</v>
      </c>
      <c r="AB6428" s="18">
        <f t="shared" si="200"/>
        <v>2005</v>
      </c>
      <c r="AC6428" s="22">
        <f t="shared" si="201"/>
        <v>0.70866666666666667</v>
      </c>
    </row>
    <row r="6429" spans="1:29" ht="30">
      <c r="A6429" s="8" t="s">
        <v>7943</v>
      </c>
      <c r="B6429" s="17" t="s">
        <v>7747</v>
      </c>
      <c r="C6429" s="13">
        <v>38593</v>
      </c>
      <c r="D6429" s="13" t="s">
        <v>8465</v>
      </c>
      <c r="E6429" s="10" t="s">
        <v>68</v>
      </c>
      <c r="F6429" s="10" t="s">
        <v>1471</v>
      </c>
      <c r="G6429" s="11" t="s">
        <v>7935</v>
      </c>
      <c r="H6429" s="2" t="s">
        <v>1059</v>
      </c>
      <c r="L6429" s="18">
        <v>0</v>
      </c>
      <c r="Q6429" s="18">
        <v>0</v>
      </c>
      <c r="U6429" s="22">
        <v>0.54830000000000001</v>
      </c>
      <c r="V6429" s="22">
        <f>3.24/5</f>
        <v>0.64800000000000002</v>
      </c>
      <c r="X6429" s="3">
        <v>2</v>
      </c>
      <c r="Z6429" s="23">
        <v>8</v>
      </c>
      <c r="AB6429" s="18">
        <f t="shared" si="200"/>
        <v>2005</v>
      </c>
      <c r="AC6429" s="22">
        <f t="shared" si="201"/>
        <v>0.53209999999999991</v>
      </c>
    </row>
    <row r="6430" spans="1:29" ht="25.5">
      <c r="A6430" s="8" t="s">
        <v>6614</v>
      </c>
      <c r="B6430" s="17" t="s">
        <v>7758</v>
      </c>
      <c r="C6430" s="13">
        <v>38589</v>
      </c>
      <c r="D6430" s="13" t="s">
        <v>8465</v>
      </c>
      <c r="E6430" s="10" t="s">
        <v>157</v>
      </c>
      <c r="F6430" s="10" t="s">
        <v>470</v>
      </c>
      <c r="G6430" s="11" t="s">
        <v>6609</v>
      </c>
      <c r="H6430" s="2" t="s">
        <v>153</v>
      </c>
      <c r="L6430" s="18">
        <v>0</v>
      </c>
      <c r="Q6430" s="18">
        <v>0</v>
      </c>
      <c r="V6430" s="22">
        <f>3.53/5</f>
        <v>0.70599999999999996</v>
      </c>
      <c r="X6430" s="3">
        <v>3</v>
      </c>
      <c r="Z6430" s="23">
        <v>7</v>
      </c>
      <c r="AB6430" s="18">
        <f t="shared" si="200"/>
        <v>2005</v>
      </c>
      <c r="AC6430" s="22">
        <f t="shared" si="201"/>
        <v>0.65300000000000002</v>
      </c>
    </row>
    <row r="6431" spans="1:29" ht="30">
      <c r="A6431" s="8" t="s">
        <v>946</v>
      </c>
      <c r="B6431" s="17" t="s">
        <v>7740</v>
      </c>
      <c r="C6431" s="13">
        <v>38587</v>
      </c>
      <c r="D6431" s="13" t="s">
        <v>8465</v>
      </c>
      <c r="E6431" s="10" t="s">
        <v>1496</v>
      </c>
      <c r="F6431" s="10" t="s">
        <v>1501</v>
      </c>
      <c r="G6431" s="11" t="s">
        <v>1502</v>
      </c>
      <c r="H6431" s="2" t="s">
        <v>80</v>
      </c>
      <c r="L6431" s="18">
        <v>0</v>
      </c>
      <c r="Q6431" s="18">
        <v>0</v>
      </c>
      <c r="U6431" s="22">
        <v>0.84</v>
      </c>
      <c r="V6431" s="22">
        <f>4.15/5</f>
        <v>0.83000000000000007</v>
      </c>
      <c r="X6431" s="3">
        <v>4</v>
      </c>
      <c r="Z6431" s="23">
        <v>9.5</v>
      </c>
      <c r="AB6431" s="18">
        <f t="shared" si="200"/>
        <v>2005</v>
      </c>
      <c r="AC6431" s="22">
        <f t="shared" si="201"/>
        <v>0.82333333333333325</v>
      </c>
    </row>
    <row r="6432" spans="1:29" ht="25.5">
      <c r="A6432" s="8" t="s">
        <v>9221</v>
      </c>
      <c r="B6432" s="17" t="s">
        <v>7758</v>
      </c>
      <c r="C6432" s="13">
        <v>38587</v>
      </c>
      <c r="D6432" s="13" t="s">
        <v>8465</v>
      </c>
      <c r="E6432" s="10" t="s">
        <v>73</v>
      </c>
      <c r="F6432" s="10" t="s">
        <v>5866</v>
      </c>
      <c r="H6432" s="2" t="s">
        <v>153</v>
      </c>
      <c r="L6432" s="18">
        <v>0</v>
      </c>
      <c r="Q6432" s="18">
        <v>0</v>
      </c>
      <c r="U6432" s="22">
        <v>0.48</v>
      </c>
      <c r="V6432" s="22">
        <f>3.36/5</f>
        <v>0.67199999999999993</v>
      </c>
      <c r="X6432" s="3">
        <v>2</v>
      </c>
      <c r="Z6432" s="23">
        <v>10</v>
      </c>
      <c r="AB6432" s="18">
        <f t="shared" si="200"/>
        <v>2005</v>
      </c>
      <c r="AC6432" s="22">
        <f t="shared" si="201"/>
        <v>0.51733333333333331</v>
      </c>
    </row>
    <row r="6433" spans="1:29" ht="25.5">
      <c r="A6433" s="8" t="s">
        <v>2277</v>
      </c>
      <c r="B6433" s="17" t="s">
        <v>7748</v>
      </c>
      <c r="C6433" s="13">
        <v>38586</v>
      </c>
      <c r="D6433" s="13" t="s">
        <v>8465</v>
      </c>
      <c r="E6433" s="10" t="s">
        <v>86</v>
      </c>
      <c r="F6433" s="10" t="s">
        <v>1069</v>
      </c>
      <c r="G6433" s="11" t="s">
        <v>301</v>
      </c>
      <c r="H6433" s="2" t="s">
        <v>75</v>
      </c>
      <c r="L6433" s="18">
        <v>0</v>
      </c>
      <c r="Q6433" s="18">
        <v>0</v>
      </c>
      <c r="U6433" s="22">
        <v>0.9</v>
      </c>
      <c r="V6433" s="22">
        <f>4.11/5</f>
        <v>0.82200000000000006</v>
      </c>
      <c r="X6433" s="3">
        <v>4</v>
      </c>
      <c r="Z6433" s="23">
        <v>24</v>
      </c>
      <c r="AB6433" s="18">
        <f t="shared" si="200"/>
        <v>2005</v>
      </c>
      <c r="AC6433" s="22">
        <f t="shared" si="201"/>
        <v>0.84066666666666678</v>
      </c>
    </row>
    <row r="6434" spans="1:29">
      <c r="A6434" s="8" t="s">
        <v>9646</v>
      </c>
      <c r="B6434" s="17" t="s">
        <v>7800</v>
      </c>
      <c r="C6434" s="13">
        <v>38583</v>
      </c>
      <c r="D6434" s="13" t="s">
        <v>8465</v>
      </c>
      <c r="E6434" s="10" t="s">
        <v>1163</v>
      </c>
      <c r="F6434" s="10" t="s">
        <v>9647</v>
      </c>
      <c r="H6434" s="2" t="s">
        <v>171</v>
      </c>
      <c r="L6434" s="18">
        <v>0</v>
      </c>
      <c r="Q6434" s="18">
        <v>0</v>
      </c>
      <c r="V6434" s="22">
        <f>3.15/5</f>
        <v>0.63</v>
      </c>
      <c r="X6434" s="3">
        <v>2</v>
      </c>
      <c r="AB6434" s="18">
        <f t="shared" si="200"/>
        <v>2005</v>
      </c>
      <c r="AC6434" s="22">
        <f t="shared" si="201"/>
        <v>0.51500000000000001</v>
      </c>
    </row>
    <row r="6435" spans="1:29" ht="30">
      <c r="A6435" s="8" t="s">
        <v>2064</v>
      </c>
      <c r="B6435" s="17" t="s">
        <v>7747</v>
      </c>
      <c r="C6435" s="13">
        <v>38580</v>
      </c>
      <c r="D6435" s="13" t="s">
        <v>8465</v>
      </c>
      <c r="E6435" s="10" t="s">
        <v>158</v>
      </c>
      <c r="F6435" s="10" t="s">
        <v>1084</v>
      </c>
      <c r="H6435" s="2" t="s">
        <v>6563</v>
      </c>
      <c r="L6435" s="18">
        <v>0</v>
      </c>
      <c r="Q6435" s="18">
        <v>0</v>
      </c>
      <c r="U6435" s="22">
        <v>0.67</v>
      </c>
      <c r="V6435" s="22">
        <f>3.62/5</f>
        <v>0.72399999999999998</v>
      </c>
      <c r="X6435" s="3">
        <v>4</v>
      </c>
      <c r="Z6435" s="23">
        <v>13</v>
      </c>
      <c r="AB6435" s="18">
        <f t="shared" si="200"/>
        <v>2005</v>
      </c>
      <c r="AC6435" s="22">
        <f t="shared" si="201"/>
        <v>0.73133333333333328</v>
      </c>
    </row>
    <row r="6436" spans="1:29">
      <c r="A6436" s="8" t="s">
        <v>3739</v>
      </c>
      <c r="B6436" s="17" t="s">
        <v>7800</v>
      </c>
      <c r="C6436" s="13">
        <v>38580</v>
      </c>
      <c r="D6436" s="13" t="s">
        <v>8465</v>
      </c>
      <c r="E6436" s="10" t="s">
        <v>3740</v>
      </c>
      <c r="F6436" s="10" t="s">
        <v>3738</v>
      </c>
      <c r="G6436" s="11" t="s">
        <v>3736</v>
      </c>
      <c r="H6436" s="2" t="s">
        <v>171</v>
      </c>
      <c r="L6436" s="18">
        <v>1</v>
      </c>
      <c r="N6436" s="13">
        <v>43285</v>
      </c>
      <c r="O6436" s="29">
        <v>0.99</v>
      </c>
      <c r="P6436" s="18" t="s">
        <v>1107</v>
      </c>
      <c r="Q6436" s="18">
        <v>0</v>
      </c>
      <c r="U6436" s="22">
        <v>0.81</v>
      </c>
      <c r="V6436" s="22">
        <f>3.72/5</f>
        <v>0.74399999999999999</v>
      </c>
      <c r="W6436" s="14" t="s">
        <v>7777</v>
      </c>
      <c r="X6436" s="3">
        <v>3</v>
      </c>
      <c r="Z6436" s="23">
        <v>29.5</v>
      </c>
      <c r="AB6436" s="18">
        <f t="shared" si="200"/>
        <v>2005</v>
      </c>
      <c r="AC6436" s="22">
        <f t="shared" si="201"/>
        <v>0.71799999999999997</v>
      </c>
    </row>
    <row r="6437" spans="1:29">
      <c r="A6437" s="8" t="s">
        <v>12358</v>
      </c>
      <c r="B6437" s="17" t="s">
        <v>7748</v>
      </c>
      <c r="C6437" s="13">
        <v>38580</v>
      </c>
      <c r="D6437" s="13" t="s">
        <v>8465</v>
      </c>
      <c r="E6437" s="10" t="s">
        <v>158</v>
      </c>
      <c r="F6437" s="10" t="s">
        <v>158</v>
      </c>
      <c r="G6437" s="11" t="s">
        <v>4639</v>
      </c>
      <c r="H6437" s="2" t="s">
        <v>64</v>
      </c>
      <c r="L6437" s="18">
        <v>0</v>
      </c>
      <c r="Q6437" s="18">
        <v>0</v>
      </c>
      <c r="U6437" s="22">
        <v>0.72</v>
      </c>
      <c r="V6437" s="22">
        <f>3.52/5</f>
        <v>0.70399999999999996</v>
      </c>
      <c r="X6437" s="3">
        <v>3</v>
      </c>
      <c r="Z6437" s="23">
        <v>2</v>
      </c>
      <c r="AB6437" s="18">
        <f t="shared" si="200"/>
        <v>2005</v>
      </c>
      <c r="AC6437" s="22">
        <f t="shared" si="201"/>
        <v>0.67466666666666664</v>
      </c>
    </row>
    <row r="6438" spans="1:29" ht="30">
      <c r="A6438" s="8" t="s">
        <v>10457</v>
      </c>
      <c r="B6438" s="17" t="s">
        <v>7762</v>
      </c>
      <c r="C6438" s="13">
        <v>38580</v>
      </c>
      <c r="D6438" s="13" t="s">
        <v>8465</v>
      </c>
      <c r="E6438" s="10" t="s">
        <v>72</v>
      </c>
      <c r="F6438" s="10" t="s">
        <v>1970</v>
      </c>
      <c r="G6438" s="11" t="s">
        <v>10457</v>
      </c>
      <c r="H6438" s="2" t="s">
        <v>1059</v>
      </c>
      <c r="L6438" s="18">
        <v>0</v>
      </c>
      <c r="Q6438" s="18">
        <v>0</v>
      </c>
      <c r="U6438" s="22">
        <v>0.61</v>
      </c>
      <c r="V6438" s="22">
        <f>3.28/5</f>
        <v>0.65599999999999992</v>
      </c>
      <c r="X6438" s="3">
        <v>3</v>
      </c>
      <c r="Z6438" s="23">
        <v>3.5</v>
      </c>
      <c r="AB6438" s="18">
        <f t="shared" si="200"/>
        <v>2005</v>
      </c>
      <c r="AC6438" s="22">
        <f t="shared" si="201"/>
        <v>0.622</v>
      </c>
    </row>
    <row r="6439" spans="1:29" ht="30">
      <c r="A6439" s="8" t="s">
        <v>7369</v>
      </c>
      <c r="B6439" s="17" t="s">
        <v>7740</v>
      </c>
      <c r="C6439" s="13">
        <v>38580</v>
      </c>
      <c r="D6439" s="13" t="s">
        <v>8465</v>
      </c>
      <c r="E6439" s="10" t="s">
        <v>455</v>
      </c>
      <c r="F6439" s="10" t="s">
        <v>1492</v>
      </c>
      <c r="G6439" s="11" t="s">
        <v>1688</v>
      </c>
      <c r="H6439" s="2" t="s">
        <v>64</v>
      </c>
      <c r="L6439" s="18">
        <v>0</v>
      </c>
      <c r="Q6439" s="18">
        <v>0</v>
      </c>
      <c r="U6439" s="22">
        <v>0.67</v>
      </c>
      <c r="V6439" s="22">
        <f>3.84/5</f>
        <v>0.76800000000000002</v>
      </c>
      <c r="X6439" s="3">
        <v>2</v>
      </c>
      <c r="Z6439" s="23">
        <v>45.5</v>
      </c>
      <c r="AB6439" s="18">
        <f t="shared" si="200"/>
        <v>2005</v>
      </c>
      <c r="AC6439" s="22">
        <f t="shared" si="201"/>
        <v>0.61266666666666669</v>
      </c>
    </row>
    <row r="6440" spans="1:29">
      <c r="A6440" s="8" t="s">
        <v>5799</v>
      </c>
      <c r="B6440" s="17" t="s">
        <v>7758</v>
      </c>
      <c r="C6440" s="13">
        <v>38580</v>
      </c>
      <c r="D6440" s="13" t="s">
        <v>8465</v>
      </c>
      <c r="E6440" s="10" t="s">
        <v>73</v>
      </c>
      <c r="F6440" s="10" t="s">
        <v>5879</v>
      </c>
      <c r="H6440" s="2" t="s">
        <v>1050</v>
      </c>
      <c r="L6440" s="18">
        <v>0</v>
      </c>
      <c r="Q6440" s="18">
        <v>0</v>
      </c>
      <c r="U6440" s="22">
        <v>0.76</v>
      </c>
      <c r="V6440" s="22">
        <f>3.63/5</f>
        <v>0.72599999999999998</v>
      </c>
      <c r="X6440" s="3">
        <v>4</v>
      </c>
      <c r="Z6440" s="23">
        <v>6</v>
      </c>
      <c r="AB6440" s="18">
        <f t="shared" si="200"/>
        <v>2005</v>
      </c>
      <c r="AC6440" s="22">
        <f t="shared" si="201"/>
        <v>0.76200000000000001</v>
      </c>
    </row>
    <row r="6441" spans="1:29" ht="30">
      <c r="A6441" s="8" t="s">
        <v>940</v>
      </c>
      <c r="B6441" s="17" t="s">
        <v>7740</v>
      </c>
      <c r="C6441" s="13">
        <v>38579</v>
      </c>
      <c r="D6441" s="13" t="s">
        <v>8465</v>
      </c>
      <c r="E6441" s="10" t="s">
        <v>86</v>
      </c>
      <c r="F6441" s="10" t="s">
        <v>1495</v>
      </c>
      <c r="H6441" s="2" t="s">
        <v>245</v>
      </c>
      <c r="L6441" s="18">
        <v>0</v>
      </c>
      <c r="Q6441" s="18">
        <v>0</v>
      </c>
      <c r="U6441" s="22">
        <v>0.69</v>
      </c>
      <c r="V6441" s="22">
        <f>3.45/5</f>
        <v>0.69000000000000006</v>
      </c>
      <c r="X6441" s="3">
        <v>4</v>
      </c>
      <c r="Z6441" s="23">
        <v>9</v>
      </c>
      <c r="AB6441" s="18">
        <f t="shared" si="200"/>
        <v>2005</v>
      </c>
      <c r="AC6441" s="22">
        <f t="shared" si="201"/>
        <v>0.72666666666666657</v>
      </c>
    </row>
    <row r="6442" spans="1:29" ht="30">
      <c r="A6442" s="8" t="s">
        <v>11150</v>
      </c>
      <c r="B6442" s="17" t="s">
        <v>7747</v>
      </c>
      <c r="C6442" s="13">
        <v>38573</v>
      </c>
      <c r="D6442" s="13" t="s">
        <v>8465</v>
      </c>
      <c r="E6442" s="10" t="s">
        <v>311</v>
      </c>
      <c r="F6442" s="10" t="s">
        <v>2466</v>
      </c>
      <c r="G6442" s="11" t="s">
        <v>11042</v>
      </c>
      <c r="H6442" s="2" t="s">
        <v>153</v>
      </c>
      <c r="L6442" s="18">
        <v>0</v>
      </c>
      <c r="Q6442" s="18">
        <v>0</v>
      </c>
      <c r="U6442" s="22">
        <v>0.69</v>
      </c>
      <c r="V6442" s="22">
        <f>3.1/5</f>
        <v>0.62</v>
      </c>
      <c r="X6442" s="3">
        <v>2</v>
      </c>
      <c r="Z6442" s="23">
        <v>2</v>
      </c>
      <c r="AB6442" s="18">
        <f t="shared" si="200"/>
        <v>2005</v>
      </c>
      <c r="AC6442" s="22">
        <f t="shared" si="201"/>
        <v>0.56999999999999995</v>
      </c>
    </row>
    <row r="6443" spans="1:29">
      <c r="A6443" s="8" t="s">
        <v>2355</v>
      </c>
      <c r="B6443" s="17" t="s">
        <v>7748</v>
      </c>
      <c r="C6443" s="13">
        <v>38572</v>
      </c>
      <c r="D6443" s="13" t="s">
        <v>8463</v>
      </c>
      <c r="E6443" s="10" t="s">
        <v>86</v>
      </c>
      <c r="F6443" s="10" t="s">
        <v>1546</v>
      </c>
      <c r="G6443" s="11" t="s">
        <v>2326</v>
      </c>
      <c r="H6443" s="2" t="s">
        <v>459</v>
      </c>
      <c r="K6443" s="18">
        <v>1</v>
      </c>
      <c r="L6443" s="18">
        <v>0</v>
      </c>
      <c r="Q6443" s="18">
        <v>0</v>
      </c>
      <c r="U6443" s="22">
        <v>0.85</v>
      </c>
      <c r="V6443" s="22">
        <f>3.96/5</f>
        <v>0.79200000000000004</v>
      </c>
      <c r="X6443" s="3">
        <v>4</v>
      </c>
      <c r="Z6443" s="23">
        <v>13</v>
      </c>
      <c r="AB6443" s="18">
        <f t="shared" si="200"/>
        <v>2005</v>
      </c>
      <c r="AC6443" s="22">
        <f t="shared" si="201"/>
        <v>0.81400000000000006</v>
      </c>
    </row>
    <row r="6444" spans="1:29">
      <c r="A6444" s="8" t="s">
        <v>13162</v>
      </c>
      <c r="B6444" s="17" t="s">
        <v>7758</v>
      </c>
      <c r="C6444" s="13">
        <v>38568</v>
      </c>
      <c r="D6444" s="13" t="s">
        <v>8463</v>
      </c>
      <c r="E6444" s="10" t="s">
        <v>62</v>
      </c>
      <c r="F6444" s="10" t="s">
        <v>8379</v>
      </c>
      <c r="G6444" s="11" t="s">
        <v>7674</v>
      </c>
      <c r="H6444" s="2" t="s">
        <v>31</v>
      </c>
      <c r="K6444" s="18">
        <v>0</v>
      </c>
      <c r="L6444" s="18">
        <v>0</v>
      </c>
      <c r="Q6444" s="18">
        <v>0</v>
      </c>
      <c r="V6444" s="22">
        <f>4.13/5</f>
        <v>0.82599999999999996</v>
      </c>
      <c r="X6444" s="3">
        <v>2</v>
      </c>
      <c r="AB6444" s="18">
        <f t="shared" si="200"/>
        <v>2005</v>
      </c>
      <c r="AC6444" s="22">
        <f t="shared" si="201"/>
        <v>0.61299999999999999</v>
      </c>
    </row>
    <row r="6445" spans="1:29" ht="30">
      <c r="A6445" s="8" t="s">
        <v>7452</v>
      </c>
      <c r="B6445" s="17" t="s">
        <v>7764</v>
      </c>
      <c r="C6445" s="13">
        <v>38567</v>
      </c>
      <c r="D6445" s="13" t="s">
        <v>8465</v>
      </c>
      <c r="E6445" s="10" t="s">
        <v>1047</v>
      </c>
      <c r="F6445" s="10" t="s">
        <v>6607</v>
      </c>
      <c r="G6445" s="11" t="s">
        <v>2474</v>
      </c>
      <c r="H6445" s="2" t="s">
        <v>7448</v>
      </c>
      <c r="L6445" s="18">
        <v>0</v>
      </c>
      <c r="Q6445" s="18">
        <v>0</v>
      </c>
      <c r="U6445" s="22">
        <v>0.83</v>
      </c>
      <c r="V6445" s="22">
        <f>3.84/5</f>
        <v>0.76800000000000002</v>
      </c>
      <c r="X6445" s="3">
        <v>2</v>
      </c>
      <c r="Y6445" s="18">
        <v>1</v>
      </c>
      <c r="Z6445" s="23">
        <v>8</v>
      </c>
      <c r="AB6445" s="18">
        <f t="shared" si="200"/>
        <v>2005</v>
      </c>
      <c r="AC6445" s="22">
        <f t="shared" si="201"/>
        <v>0.66599999999999993</v>
      </c>
    </row>
    <row r="6446" spans="1:29" ht="30">
      <c r="A6446" s="8" t="s">
        <v>12242</v>
      </c>
      <c r="B6446" s="17" t="s">
        <v>7747</v>
      </c>
      <c r="C6446" s="13">
        <v>38566</v>
      </c>
      <c r="D6446" s="13" t="s">
        <v>8465</v>
      </c>
      <c r="E6446" s="10" t="s">
        <v>72</v>
      </c>
      <c r="F6446" s="10" t="s">
        <v>72</v>
      </c>
      <c r="G6446" s="11" t="s">
        <v>12239</v>
      </c>
      <c r="H6446" s="2" t="s">
        <v>171</v>
      </c>
      <c r="L6446" s="18">
        <v>0</v>
      </c>
      <c r="Q6446" s="18">
        <v>0</v>
      </c>
      <c r="U6446" s="22">
        <v>0.72</v>
      </c>
      <c r="V6446" s="22">
        <f>3.67/5</f>
        <v>0.73399999999999999</v>
      </c>
      <c r="X6446" s="3">
        <v>2</v>
      </c>
      <c r="Z6446" s="23">
        <v>4</v>
      </c>
      <c r="AB6446" s="18">
        <f t="shared" si="200"/>
        <v>2005</v>
      </c>
      <c r="AC6446" s="22">
        <f t="shared" si="201"/>
        <v>0.61799999999999999</v>
      </c>
    </row>
    <row r="6447" spans="1:29">
      <c r="A6447" s="8" t="s">
        <v>6927</v>
      </c>
      <c r="B6447" s="17" t="s">
        <v>7800</v>
      </c>
      <c r="C6447" s="13">
        <v>38566</v>
      </c>
      <c r="D6447" s="13" t="s">
        <v>8465</v>
      </c>
      <c r="E6447" s="10" t="s">
        <v>1551</v>
      </c>
      <c r="F6447" s="10" t="s">
        <v>1536</v>
      </c>
      <c r="G6447" s="11" t="s">
        <v>3353</v>
      </c>
      <c r="H6447" s="2" t="s">
        <v>1168</v>
      </c>
      <c r="L6447" s="18">
        <v>1</v>
      </c>
      <c r="N6447" s="13">
        <v>41875</v>
      </c>
      <c r="O6447" s="29">
        <v>0</v>
      </c>
      <c r="P6447" s="18" t="s">
        <v>1107</v>
      </c>
      <c r="Q6447" s="18">
        <v>0</v>
      </c>
      <c r="U6447" s="22">
        <v>0.7</v>
      </c>
      <c r="V6447" s="22">
        <f>3.28/5</f>
        <v>0.65599999999999992</v>
      </c>
      <c r="W6447" s="14" t="s">
        <v>7778</v>
      </c>
      <c r="X6447" s="3">
        <v>2</v>
      </c>
      <c r="Z6447" s="23">
        <v>9</v>
      </c>
      <c r="AB6447" s="18">
        <f t="shared" si="200"/>
        <v>2005</v>
      </c>
      <c r="AC6447" s="22">
        <f t="shared" si="201"/>
        <v>0.58533333333333326</v>
      </c>
    </row>
    <row r="6448" spans="1:29">
      <c r="A6448" s="8" t="s">
        <v>2257</v>
      </c>
      <c r="B6448" s="17" t="s">
        <v>7748</v>
      </c>
      <c r="C6448" s="13">
        <v>38561</v>
      </c>
      <c r="D6448" s="13" t="s">
        <v>8463</v>
      </c>
      <c r="E6448" s="10" t="s">
        <v>86</v>
      </c>
      <c r="F6448" s="10" t="s">
        <v>2132</v>
      </c>
      <c r="G6448" s="11" t="s">
        <v>2257</v>
      </c>
      <c r="H6448" s="2" t="s">
        <v>1220</v>
      </c>
      <c r="K6448" s="18">
        <v>1</v>
      </c>
      <c r="L6448" s="18">
        <v>0</v>
      </c>
      <c r="Q6448" s="18">
        <v>0</v>
      </c>
      <c r="U6448" s="22">
        <v>0.88</v>
      </c>
      <c r="V6448" s="22">
        <f>4.24/5</f>
        <v>0.84800000000000009</v>
      </c>
      <c r="X6448" s="3">
        <v>4</v>
      </c>
      <c r="Z6448" s="23">
        <v>4</v>
      </c>
      <c r="AB6448" s="18">
        <f t="shared" si="200"/>
        <v>2005</v>
      </c>
      <c r="AC6448" s="22">
        <f t="shared" si="201"/>
        <v>0.84266666666666679</v>
      </c>
    </row>
    <row r="6449" spans="1:29" ht="30">
      <c r="A6449" s="8" t="s">
        <v>1993</v>
      </c>
      <c r="B6449" s="17" t="s">
        <v>7747</v>
      </c>
      <c r="C6449" s="13">
        <v>38561</v>
      </c>
      <c r="D6449" s="13" t="s">
        <v>8463</v>
      </c>
      <c r="E6449" s="10" t="s">
        <v>72</v>
      </c>
      <c r="F6449" s="10" t="s">
        <v>1940</v>
      </c>
      <c r="G6449" s="11" t="s">
        <v>1941</v>
      </c>
      <c r="H6449" s="2" t="s">
        <v>80</v>
      </c>
      <c r="K6449" s="18">
        <v>1</v>
      </c>
      <c r="L6449" s="18">
        <v>0</v>
      </c>
      <c r="Q6449" s="18">
        <v>0</v>
      </c>
      <c r="V6449" s="22">
        <f>4.2/5</f>
        <v>0.84000000000000008</v>
      </c>
      <c r="X6449" s="3">
        <v>3</v>
      </c>
      <c r="Z6449" s="23">
        <v>11</v>
      </c>
      <c r="AB6449" s="18">
        <f t="shared" si="200"/>
        <v>2005</v>
      </c>
      <c r="AC6449" s="22">
        <f t="shared" si="201"/>
        <v>0.72</v>
      </c>
    </row>
    <row r="6450" spans="1:29">
      <c r="A6450" s="8" t="s">
        <v>9093</v>
      </c>
      <c r="B6450" s="17" t="s">
        <v>7758</v>
      </c>
      <c r="C6450" s="13">
        <v>38561</v>
      </c>
      <c r="D6450" s="13" t="s">
        <v>8465</v>
      </c>
      <c r="E6450" s="10" t="s">
        <v>8139</v>
      </c>
      <c r="F6450" s="10" t="s">
        <v>8140</v>
      </c>
      <c r="G6450" s="11" t="s">
        <v>8141</v>
      </c>
      <c r="H6450" s="2" t="s">
        <v>171</v>
      </c>
      <c r="L6450" s="18">
        <v>0</v>
      </c>
      <c r="Q6450" s="18">
        <v>0</v>
      </c>
      <c r="U6450" s="22">
        <v>0.71499999999999997</v>
      </c>
      <c r="V6450" s="22">
        <f>3.94/5</f>
        <v>0.78800000000000003</v>
      </c>
      <c r="X6450" s="3">
        <v>3</v>
      </c>
      <c r="Z6450" s="23">
        <v>5.5</v>
      </c>
      <c r="AB6450" s="18">
        <f t="shared" si="200"/>
        <v>2005</v>
      </c>
      <c r="AC6450" s="22">
        <f t="shared" si="201"/>
        <v>0.70100000000000007</v>
      </c>
    </row>
    <row r="6451" spans="1:29" ht="25.5">
      <c r="A6451" s="8" t="s">
        <v>5782</v>
      </c>
      <c r="B6451" s="17" t="s">
        <v>7758</v>
      </c>
      <c r="C6451" s="13">
        <v>38561</v>
      </c>
      <c r="D6451" s="13" t="s">
        <v>8463</v>
      </c>
      <c r="E6451" s="10" t="s">
        <v>170</v>
      </c>
      <c r="F6451" s="10" t="s">
        <v>63</v>
      </c>
      <c r="G6451" s="11" t="s">
        <v>541</v>
      </c>
      <c r="H6451" s="2" t="s">
        <v>21</v>
      </c>
      <c r="K6451" s="18">
        <v>0</v>
      </c>
      <c r="L6451" s="18">
        <v>0</v>
      </c>
      <c r="Q6451" s="18">
        <v>0</v>
      </c>
      <c r="V6451" s="22">
        <f>3.7/5</f>
        <v>0.74</v>
      </c>
      <c r="X6451" s="3">
        <v>3</v>
      </c>
      <c r="Z6451" s="23">
        <v>0.68</v>
      </c>
      <c r="AB6451" s="18">
        <f t="shared" si="200"/>
        <v>2005</v>
      </c>
      <c r="AC6451" s="22">
        <f t="shared" si="201"/>
        <v>0.66999999999999993</v>
      </c>
    </row>
    <row r="6452" spans="1:29" ht="38.25">
      <c r="A6452" s="8" t="s">
        <v>5755</v>
      </c>
      <c r="B6452" s="17" t="s">
        <v>7758</v>
      </c>
      <c r="C6452" s="13">
        <v>38559</v>
      </c>
      <c r="D6452" s="13" t="s">
        <v>8465</v>
      </c>
      <c r="E6452" s="10" t="s">
        <v>1062</v>
      </c>
      <c r="F6452" s="10" t="s">
        <v>2285</v>
      </c>
      <c r="H6452" s="2" t="s">
        <v>75</v>
      </c>
      <c r="L6452" s="18">
        <v>0</v>
      </c>
      <c r="Q6452" s="18">
        <v>0</v>
      </c>
      <c r="U6452" s="22">
        <v>0.78</v>
      </c>
      <c r="V6452" s="22">
        <f>3.92/5</f>
        <v>0.78400000000000003</v>
      </c>
      <c r="X6452" s="3">
        <v>3</v>
      </c>
      <c r="Z6452" s="23">
        <v>25</v>
      </c>
      <c r="AB6452" s="18">
        <f t="shared" si="200"/>
        <v>2005</v>
      </c>
      <c r="AC6452" s="22">
        <f t="shared" si="201"/>
        <v>0.72133333333333338</v>
      </c>
    </row>
    <row r="6453" spans="1:29" ht="30">
      <c r="A6453" s="8" t="s">
        <v>6643</v>
      </c>
      <c r="B6453" s="17" t="s">
        <v>7740</v>
      </c>
      <c r="C6453" s="13">
        <v>38559</v>
      </c>
      <c r="D6453" s="13" t="s">
        <v>8465</v>
      </c>
      <c r="E6453" s="10" t="s">
        <v>66</v>
      </c>
      <c r="F6453" s="10" t="s">
        <v>58</v>
      </c>
      <c r="G6453" s="11" t="s">
        <v>710</v>
      </c>
      <c r="H6453" s="2" t="s">
        <v>1334</v>
      </c>
      <c r="L6453" s="18">
        <v>0</v>
      </c>
      <c r="Q6453" s="18">
        <v>0</v>
      </c>
      <c r="U6453" s="22">
        <v>0.72</v>
      </c>
      <c r="V6453" s="22">
        <f>3.95/5</f>
        <v>0.79</v>
      </c>
      <c r="X6453" s="3">
        <v>2</v>
      </c>
      <c r="Z6453" s="23">
        <v>20</v>
      </c>
      <c r="AB6453" s="18">
        <f t="shared" si="200"/>
        <v>2005</v>
      </c>
      <c r="AC6453" s="22">
        <f t="shared" si="201"/>
        <v>0.63666666666666671</v>
      </c>
    </row>
    <row r="6454" spans="1:29" ht="30">
      <c r="A6454" s="8" t="s">
        <v>9315</v>
      </c>
      <c r="B6454" s="17" t="s">
        <v>7758</v>
      </c>
      <c r="C6454" s="13">
        <v>38553</v>
      </c>
      <c r="D6454" s="13" t="s">
        <v>8465</v>
      </c>
      <c r="E6454" s="10" t="s">
        <v>68</v>
      </c>
      <c r="F6454" s="10" t="s">
        <v>9316</v>
      </c>
      <c r="G6454" s="11" t="s">
        <v>9315</v>
      </c>
      <c r="H6454" s="2" t="s">
        <v>171</v>
      </c>
      <c r="L6454" s="18">
        <v>0</v>
      </c>
      <c r="Q6454" s="18">
        <v>0</v>
      </c>
      <c r="U6454" s="22">
        <v>0.56000000000000005</v>
      </c>
      <c r="V6454" s="22">
        <f>3.72/5</f>
        <v>0.74399999999999999</v>
      </c>
      <c r="X6454" s="3">
        <v>2</v>
      </c>
      <c r="Z6454" s="23">
        <v>21</v>
      </c>
      <c r="AB6454" s="18">
        <f t="shared" si="200"/>
        <v>2005</v>
      </c>
      <c r="AC6454" s="22">
        <f t="shared" si="201"/>
        <v>0.56800000000000006</v>
      </c>
    </row>
    <row r="6455" spans="1:29">
      <c r="A6455" s="8" t="s">
        <v>2204</v>
      </c>
      <c r="B6455" s="17" t="s">
        <v>7748</v>
      </c>
      <c r="C6455" s="13">
        <v>38552</v>
      </c>
      <c r="D6455" s="13" t="s">
        <v>8465</v>
      </c>
      <c r="E6455" s="10" t="s">
        <v>1551</v>
      </c>
      <c r="F6455" s="10" t="s">
        <v>1733</v>
      </c>
      <c r="G6455" s="11" t="s">
        <v>2204</v>
      </c>
      <c r="H6455" s="2" t="s">
        <v>21</v>
      </c>
      <c r="L6455" s="18">
        <v>0</v>
      </c>
      <c r="Q6455" s="18">
        <v>0</v>
      </c>
      <c r="U6455" s="22">
        <v>0.72</v>
      </c>
      <c r="V6455" s="22">
        <f>3.48/5</f>
        <v>0.69599999999999995</v>
      </c>
      <c r="X6455" s="3">
        <v>3</v>
      </c>
      <c r="Z6455" s="23">
        <v>1.5</v>
      </c>
      <c r="AB6455" s="18">
        <f t="shared" si="200"/>
        <v>2005</v>
      </c>
      <c r="AC6455" s="22">
        <f t="shared" si="201"/>
        <v>0.67200000000000004</v>
      </c>
    </row>
    <row r="6456" spans="1:29" ht="30">
      <c r="A6456" s="8" t="s">
        <v>15372</v>
      </c>
      <c r="B6456" s="17" t="s">
        <v>7800</v>
      </c>
      <c r="C6456" s="13">
        <v>38548</v>
      </c>
      <c r="D6456" s="13" t="s">
        <v>8465</v>
      </c>
      <c r="E6456" s="10" t="s">
        <v>3377</v>
      </c>
      <c r="F6456" s="10" t="s">
        <v>15370</v>
      </c>
      <c r="H6456" s="2" t="s">
        <v>67</v>
      </c>
      <c r="L6456" s="18">
        <v>0</v>
      </c>
      <c r="Q6456" s="18">
        <v>0</v>
      </c>
      <c r="X6456" s="3">
        <v>2</v>
      </c>
      <c r="AB6456" s="18">
        <f t="shared" si="200"/>
        <v>2005</v>
      </c>
      <c r="AC6456" s="22">
        <f t="shared" si="201"/>
        <v>0.4</v>
      </c>
    </row>
    <row r="6457" spans="1:29" ht="38.25">
      <c r="A6457" s="8" t="s">
        <v>9092</v>
      </c>
      <c r="B6457" s="17" t="s">
        <v>7758</v>
      </c>
      <c r="C6457" s="13">
        <v>38545</v>
      </c>
      <c r="D6457" s="13" t="s">
        <v>8465</v>
      </c>
      <c r="E6457" s="10" t="s">
        <v>1082</v>
      </c>
      <c r="F6457" s="10" t="s">
        <v>8379</v>
      </c>
      <c r="G6457" s="11" t="s">
        <v>9091</v>
      </c>
      <c r="H6457" s="2" t="s">
        <v>171</v>
      </c>
      <c r="L6457" s="18">
        <v>0</v>
      </c>
      <c r="Q6457" s="18">
        <v>0</v>
      </c>
      <c r="U6457" s="22">
        <v>0.67</v>
      </c>
      <c r="V6457" s="22">
        <f>3.63/5</f>
        <v>0.72599999999999998</v>
      </c>
      <c r="X6457" s="3">
        <v>2</v>
      </c>
      <c r="Z6457" s="23">
        <v>8</v>
      </c>
      <c r="AB6457" s="18">
        <f t="shared" si="200"/>
        <v>2005</v>
      </c>
      <c r="AC6457" s="22">
        <f t="shared" si="201"/>
        <v>0.59866666666666657</v>
      </c>
    </row>
    <row r="6458" spans="1:29" ht="30">
      <c r="A6458" s="8" t="s">
        <v>952</v>
      </c>
      <c r="B6458" s="17" t="s">
        <v>7740</v>
      </c>
      <c r="C6458" s="13">
        <v>38540</v>
      </c>
      <c r="D6458" s="13" t="s">
        <v>8465</v>
      </c>
      <c r="E6458" s="10" t="s">
        <v>73</v>
      </c>
      <c r="F6458" s="10" t="s">
        <v>1505</v>
      </c>
      <c r="G6458" s="11" t="s">
        <v>952</v>
      </c>
      <c r="H6458" s="2" t="s">
        <v>80</v>
      </c>
      <c r="L6458" s="18">
        <v>0</v>
      </c>
      <c r="Q6458" s="18">
        <v>0</v>
      </c>
      <c r="U6458" s="22">
        <v>0.77</v>
      </c>
      <c r="V6458" s="22">
        <f>3.95/5</f>
        <v>0.79</v>
      </c>
      <c r="X6458" s="3">
        <v>4</v>
      </c>
      <c r="Z6458" s="23">
        <v>12.5</v>
      </c>
      <c r="AB6458" s="18">
        <f t="shared" si="200"/>
        <v>2005</v>
      </c>
      <c r="AC6458" s="22">
        <f t="shared" si="201"/>
        <v>0.78666666666666674</v>
      </c>
    </row>
    <row r="6459" spans="1:29" ht="30">
      <c r="A6459" s="8" t="s">
        <v>9149</v>
      </c>
      <c r="B6459" s="17" t="s">
        <v>7758</v>
      </c>
      <c r="C6459" s="13">
        <v>38540</v>
      </c>
      <c r="D6459" s="13" t="s">
        <v>8465</v>
      </c>
      <c r="E6459" s="10" t="s">
        <v>1082</v>
      </c>
      <c r="F6459" s="10" t="s">
        <v>9150</v>
      </c>
      <c r="G6459" s="11" t="s">
        <v>3018</v>
      </c>
      <c r="H6459" s="2" t="s">
        <v>171</v>
      </c>
      <c r="L6459" s="18">
        <v>0</v>
      </c>
      <c r="Q6459" s="18">
        <v>0</v>
      </c>
      <c r="U6459" s="22">
        <v>0.64</v>
      </c>
      <c r="V6459" s="22">
        <f>3.55/5</f>
        <v>0.71</v>
      </c>
      <c r="X6459" s="3">
        <v>2</v>
      </c>
      <c r="Z6459" s="23">
        <v>14.5</v>
      </c>
      <c r="AB6459" s="18">
        <f t="shared" si="200"/>
        <v>2005</v>
      </c>
      <c r="AC6459" s="22">
        <f t="shared" si="201"/>
        <v>0.58333333333333337</v>
      </c>
    </row>
    <row r="6460" spans="1:29" ht="30">
      <c r="A6460" s="8" t="s">
        <v>11546</v>
      </c>
      <c r="B6460" s="17" t="s">
        <v>7762</v>
      </c>
      <c r="C6460" s="13">
        <v>38539</v>
      </c>
      <c r="D6460" s="13" t="s">
        <v>8465</v>
      </c>
      <c r="E6460" s="10" t="s">
        <v>72</v>
      </c>
      <c r="F6460" s="10" t="s">
        <v>72</v>
      </c>
      <c r="G6460" s="11" t="s">
        <v>11546</v>
      </c>
      <c r="H6460" s="2" t="s">
        <v>1050</v>
      </c>
      <c r="L6460" s="18">
        <v>0</v>
      </c>
      <c r="Q6460" s="18">
        <v>0</v>
      </c>
      <c r="U6460" s="22">
        <v>0.59</v>
      </c>
      <c r="V6460" s="22">
        <f>3.64/5</f>
        <v>0.72799999999999998</v>
      </c>
      <c r="X6460" s="3">
        <v>3</v>
      </c>
      <c r="Z6460" s="23">
        <v>6</v>
      </c>
      <c r="AB6460" s="18">
        <f t="shared" si="200"/>
        <v>2005</v>
      </c>
      <c r="AC6460" s="22">
        <f t="shared" si="201"/>
        <v>0.63933333333333342</v>
      </c>
    </row>
    <row r="6461" spans="1:29">
      <c r="A6461" s="8" t="s">
        <v>14710</v>
      </c>
      <c r="B6461" s="17" t="s">
        <v>7758</v>
      </c>
      <c r="C6461" s="13">
        <v>38534</v>
      </c>
      <c r="D6461" s="13" t="s">
        <v>8467</v>
      </c>
      <c r="E6461" s="10" t="s">
        <v>1047</v>
      </c>
      <c r="F6461" s="10" t="s">
        <v>62</v>
      </c>
      <c r="G6461" s="11" t="s">
        <v>7674</v>
      </c>
      <c r="H6461" s="2" t="s">
        <v>1142</v>
      </c>
      <c r="L6461" s="18">
        <v>0</v>
      </c>
      <c r="Q6461" s="18">
        <v>0</v>
      </c>
      <c r="V6461" s="22">
        <f>3.65/5</f>
        <v>0.73</v>
      </c>
      <c r="X6461" s="3">
        <v>2</v>
      </c>
      <c r="AB6461" s="18">
        <f t="shared" si="200"/>
        <v>2005</v>
      </c>
      <c r="AC6461" s="22">
        <f t="shared" si="201"/>
        <v>0.56499999999999995</v>
      </c>
    </row>
    <row r="6462" spans="1:29" ht="30">
      <c r="A6462" s="8" t="s">
        <v>12322</v>
      </c>
      <c r="B6462" s="17" t="s">
        <v>7762</v>
      </c>
      <c r="C6462" s="13">
        <v>38533</v>
      </c>
      <c r="D6462" s="13" t="s">
        <v>8463</v>
      </c>
      <c r="E6462" s="10" t="s">
        <v>1580</v>
      </c>
      <c r="F6462" s="10" t="s">
        <v>1580</v>
      </c>
      <c r="G6462" s="11" t="s">
        <v>2928</v>
      </c>
      <c r="H6462" s="2" t="s">
        <v>1057</v>
      </c>
      <c r="K6462" s="18">
        <v>2</v>
      </c>
      <c r="L6462" s="18">
        <v>0</v>
      </c>
      <c r="Q6462" s="18">
        <v>0</v>
      </c>
      <c r="W6462" s="14" t="s">
        <v>12323</v>
      </c>
      <c r="X6462" s="3">
        <v>3</v>
      </c>
      <c r="AB6462" s="18">
        <f t="shared" si="200"/>
        <v>2005</v>
      </c>
      <c r="AC6462" s="22">
        <f t="shared" si="201"/>
        <v>0.6</v>
      </c>
    </row>
    <row r="6463" spans="1:29" ht="38.25">
      <c r="A6463" s="8" t="s">
        <v>11592</v>
      </c>
      <c r="B6463" s="17" t="s">
        <v>7758</v>
      </c>
      <c r="C6463" s="13">
        <v>38532</v>
      </c>
      <c r="D6463" s="13" t="s">
        <v>8465</v>
      </c>
      <c r="E6463" s="10" t="s">
        <v>157</v>
      </c>
      <c r="F6463" s="10" t="s">
        <v>73</v>
      </c>
      <c r="G6463" s="11" t="s">
        <v>1395</v>
      </c>
      <c r="H6463" s="2" t="s">
        <v>1204</v>
      </c>
      <c r="L6463" s="18">
        <v>0</v>
      </c>
      <c r="Q6463" s="18">
        <v>0</v>
      </c>
      <c r="U6463" s="22">
        <v>0.56999999999999995</v>
      </c>
      <c r="V6463" s="22">
        <f>4.03/5</f>
        <v>0.80600000000000005</v>
      </c>
      <c r="X6463" s="3">
        <v>2</v>
      </c>
      <c r="AB6463" s="18">
        <f t="shared" si="200"/>
        <v>2005</v>
      </c>
      <c r="AC6463" s="22">
        <f t="shared" si="201"/>
        <v>0.59199999999999997</v>
      </c>
    </row>
    <row r="6464" spans="1:29" ht="30">
      <c r="A6464" s="8" t="s">
        <v>2063</v>
      </c>
      <c r="B6464" s="17" t="s">
        <v>7747</v>
      </c>
      <c r="C6464" s="13">
        <v>38531</v>
      </c>
      <c r="D6464" s="13" t="s">
        <v>8465</v>
      </c>
      <c r="E6464" s="10" t="s">
        <v>228</v>
      </c>
      <c r="F6464" s="10" t="s">
        <v>1416</v>
      </c>
      <c r="G6464" s="11" t="s">
        <v>1987</v>
      </c>
      <c r="H6464" s="2" t="s">
        <v>149</v>
      </c>
      <c r="L6464" s="18">
        <v>0</v>
      </c>
      <c r="Q6464" s="18">
        <v>0</v>
      </c>
      <c r="U6464" s="22">
        <v>0.8</v>
      </c>
      <c r="V6464" s="22">
        <f>4.01/5</f>
        <v>0.80199999999999994</v>
      </c>
      <c r="X6464" s="3">
        <v>4</v>
      </c>
      <c r="Z6464" s="23">
        <v>24</v>
      </c>
      <c r="AB6464" s="18">
        <f t="shared" si="200"/>
        <v>2005</v>
      </c>
      <c r="AC6464" s="22">
        <f t="shared" si="201"/>
        <v>0.80066666666666675</v>
      </c>
    </row>
    <row r="6465" spans="1:29" ht="25.5">
      <c r="A6465" s="8" t="s">
        <v>5794</v>
      </c>
      <c r="B6465" s="17" t="s">
        <v>7758</v>
      </c>
      <c r="C6465" s="13">
        <v>38531</v>
      </c>
      <c r="D6465" s="13" t="s">
        <v>8465</v>
      </c>
      <c r="E6465" s="10" t="s">
        <v>1062</v>
      </c>
      <c r="F6465" s="10" t="s">
        <v>2286</v>
      </c>
      <c r="G6465" s="11" t="s">
        <v>1567</v>
      </c>
      <c r="H6465" s="2" t="s">
        <v>149</v>
      </c>
      <c r="L6465" s="18">
        <v>0</v>
      </c>
      <c r="Q6465" s="18">
        <v>0</v>
      </c>
      <c r="U6465" s="22">
        <v>0.78</v>
      </c>
      <c r="V6465" s="22">
        <f>3.82/5</f>
        <v>0.76400000000000001</v>
      </c>
      <c r="X6465" s="3">
        <v>4</v>
      </c>
      <c r="Z6465" s="23">
        <v>28.5</v>
      </c>
      <c r="AB6465" s="18">
        <f t="shared" ref="AB6465:AB6528" si="202">IFERROR(YEAR(C6465), "Early Access")</f>
        <v>2005</v>
      </c>
      <c r="AC6465" s="22">
        <f t="shared" ref="AC6465:AC6528" si="203">AVERAGE(T6465, U6465, V6465, IF(ISBLANK(X6465), X6465, X6465/5))</f>
        <v>0.78133333333333344</v>
      </c>
    </row>
    <row r="6466" spans="1:29" ht="30">
      <c r="A6466" s="8" t="s">
        <v>11560</v>
      </c>
      <c r="B6466" s="17" t="s">
        <v>7762</v>
      </c>
      <c r="C6466" s="13">
        <v>38531</v>
      </c>
      <c r="D6466" s="13" t="s">
        <v>8465</v>
      </c>
      <c r="E6466" s="10" t="s">
        <v>158</v>
      </c>
      <c r="F6466" s="10" t="s">
        <v>3152</v>
      </c>
      <c r="G6466" s="11" t="s">
        <v>11555</v>
      </c>
      <c r="H6466" s="2" t="s">
        <v>1168</v>
      </c>
      <c r="L6466" s="18">
        <v>0</v>
      </c>
      <c r="Q6466" s="18">
        <v>0</v>
      </c>
      <c r="U6466" s="22">
        <v>0.54</v>
      </c>
      <c r="V6466" s="22">
        <f>3.21/5</f>
        <v>0.64200000000000002</v>
      </c>
      <c r="X6466" s="3">
        <v>2</v>
      </c>
      <c r="Z6466" s="23">
        <v>2</v>
      </c>
      <c r="AB6466" s="18">
        <f t="shared" si="202"/>
        <v>2005</v>
      </c>
      <c r="AC6466" s="22">
        <f t="shared" si="203"/>
        <v>0.52733333333333332</v>
      </c>
    </row>
    <row r="6467" spans="1:29">
      <c r="A6467" s="8" t="s">
        <v>5274</v>
      </c>
      <c r="B6467" s="17" t="s">
        <v>7800</v>
      </c>
      <c r="C6467" s="13">
        <v>38530</v>
      </c>
      <c r="D6467" s="13" t="s">
        <v>8465</v>
      </c>
      <c r="E6467" s="10" t="s">
        <v>5275</v>
      </c>
      <c r="F6467" s="10" t="s">
        <v>5275</v>
      </c>
      <c r="G6467" s="11" t="s">
        <v>5274</v>
      </c>
      <c r="H6467" s="2" t="s">
        <v>171</v>
      </c>
      <c r="L6467" s="18">
        <v>1</v>
      </c>
      <c r="N6467" s="13">
        <v>41632</v>
      </c>
      <c r="P6467" s="18" t="s">
        <v>1107</v>
      </c>
      <c r="Q6467" s="18">
        <v>0</v>
      </c>
      <c r="U6467" s="22">
        <v>0.68</v>
      </c>
      <c r="V6467" s="22">
        <f>3.64/5</f>
        <v>0.72799999999999998</v>
      </c>
      <c r="W6467" s="14" t="s">
        <v>7777</v>
      </c>
      <c r="X6467" s="3">
        <v>3</v>
      </c>
      <c r="Z6467" s="23">
        <v>14</v>
      </c>
      <c r="AB6467" s="18">
        <f t="shared" si="202"/>
        <v>2005</v>
      </c>
      <c r="AC6467" s="22">
        <f t="shared" si="203"/>
        <v>0.66933333333333334</v>
      </c>
    </row>
    <row r="6468" spans="1:29">
      <c r="A6468" s="8" t="s">
        <v>7202</v>
      </c>
      <c r="B6468" s="17" t="s">
        <v>7800</v>
      </c>
      <c r="C6468" s="13">
        <v>38527</v>
      </c>
      <c r="D6468" s="13" t="s">
        <v>8465</v>
      </c>
      <c r="E6468" s="10" t="s">
        <v>7201</v>
      </c>
      <c r="F6468" s="10" t="s">
        <v>7201</v>
      </c>
      <c r="G6468" s="11" t="s">
        <v>7202</v>
      </c>
      <c r="H6468" s="2" t="s">
        <v>64</v>
      </c>
      <c r="L6468" s="18">
        <v>1</v>
      </c>
      <c r="P6468" s="18" t="s">
        <v>1107</v>
      </c>
      <c r="Q6468" s="18">
        <v>0</v>
      </c>
      <c r="W6468" s="14" t="s">
        <v>7777</v>
      </c>
      <c r="X6468" s="3">
        <v>2</v>
      </c>
      <c r="AB6468" s="18">
        <f t="shared" si="202"/>
        <v>2005</v>
      </c>
      <c r="AC6468" s="22">
        <f t="shared" si="203"/>
        <v>0.4</v>
      </c>
    </row>
    <row r="6469" spans="1:29">
      <c r="A6469" s="8" t="s">
        <v>13563</v>
      </c>
      <c r="B6469" s="17" t="s">
        <v>7758</v>
      </c>
      <c r="C6469" s="13">
        <v>38526</v>
      </c>
      <c r="D6469" s="13" t="s">
        <v>8463</v>
      </c>
      <c r="E6469" s="10" t="s">
        <v>68</v>
      </c>
      <c r="F6469" s="10" t="s">
        <v>68</v>
      </c>
      <c r="G6469" s="11" t="s">
        <v>10241</v>
      </c>
      <c r="H6469" s="2" t="s">
        <v>149</v>
      </c>
      <c r="K6469" s="18">
        <v>2</v>
      </c>
      <c r="L6469" s="18">
        <v>0</v>
      </c>
      <c r="Q6469" s="18">
        <v>0</v>
      </c>
      <c r="V6469" s="22">
        <f>3.76/5</f>
        <v>0.752</v>
      </c>
      <c r="X6469" s="3">
        <v>2</v>
      </c>
      <c r="AB6469" s="18">
        <f t="shared" si="202"/>
        <v>2005</v>
      </c>
      <c r="AC6469" s="22">
        <f t="shared" si="203"/>
        <v>0.57600000000000007</v>
      </c>
    </row>
    <row r="6470" spans="1:29" ht="38.25">
      <c r="A6470" s="8" t="s">
        <v>2089</v>
      </c>
      <c r="B6470" s="17" t="s">
        <v>7747</v>
      </c>
      <c r="C6470" s="13">
        <v>38524</v>
      </c>
      <c r="D6470" s="13" t="s">
        <v>8465</v>
      </c>
      <c r="E6470" s="10" t="s">
        <v>73</v>
      </c>
      <c r="F6470" s="10" t="s">
        <v>73</v>
      </c>
      <c r="G6470" s="11" t="s">
        <v>1904</v>
      </c>
      <c r="H6470" s="2" t="s">
        <v>75</v>
      </c>
      <c r="L6470" s="18">
        <v>0</v>
      </c>
      <c r="Q6470" s="18">
        <v>0</v>
      </c>
      <c r="U6470" s="22">
        <v>0.68</v>
      </c>
      <c r="V6470" s="22">
        <f>4.01/5</f>
        <v>0.80199999999999994</v>
      </c>
      <c r="X6470" s="3">
        <v>4</v>
      </c>
      <c r="Z6470" s="23">
        <v>24</v>
      </c>
      <c r="AB6470" s="18">
        <f t="shared" si="202"/>
        <v>2005</v>
      </c>
      <c r="AC6470" s="22">
        <f t="shared" si="203"/>
        <v>0.76066666666666671</v>
      </c>
    </row>
    <row r="6471" spans="1:29" ht="25.5">
      <c r="A6471" s="8" t="s">
        <v>9325</v>
      </c>
      <c r="B6471" s="17" t="s">
        <v>7764</v>
      </c>
      <c r="C6471" s="13">
        <v>38524</v>
      </c>
      <c r="D6471" s="13" t="s">
        <v>8465</v>
      </c>
      <c r="E6471" s="10" t="s">
        <v>3740</v>
      </c>
      <c r="F6471" s="10" t="s">
        <v>163</v>
      </c>
      <c r="G6471" s="11" t="s">
        <v>1483</v>
      </c>
      <c r="H6471" s="2" t="s">
        <v>1040</v>
      </c>
      <c r="L6471" s="18">
        <v>0</v>
      </c>
      <c r="Q6471" s="18">
        <v>0</v>
      </c>
      <c r="U6471" s="22">
        <v>0.78</v>
      </c>
      <c r="V6471" s="22">
        <f>3.96/5</f>
        <v>0.79200000000000004</v>
      </c>
      <c r="X6471" s="3">
        <v>3</v>
      </c>
      <c r="Y6471" s="18">
        <v>1</v>
      </c>
      <c r="Z6471" s="23">
        <v>11.5</v>
      </c>
      <c r="AB6471" s="18">
        <f t="shared" si="202"/>
        <v>2005</v>
      </c>
      <c r="AC6471" s="22">
        <f t="shared" si="203"/>
        <v>0.72400000000000009</v>
      </c>
    </row>
    <row r="6472" spans="1:29">
      <c r="A6472" s="8" t="s">
        <v>8127</v>
      </c>
      <c r="B6472" s="17" t="s">
        <v>7758</v>
      </c>
      <c r="C6472" s="13">
        <v>38524</v>
      </c>
      <c r="D6472" s="13" t="s">
        <v>8465</v>
      </c>
      <c r="E6472" s="10" t="s">
        <v>1342</v>
      </c>
      <c r="F6472" s="10" t="s">
        <v>5109</v>
      </c>
      <c r="G6472" s="11" t="s">
        <v>8127</v>
      </c>
      <c r="H6472" s="2" t="s">
        <v>80</v>
      </c>
      <c r="L6472" s="18">
        <v>0</v>
      </c>
      <c r="Q6472" s="18">
        <v>0</v>
      </c>
      <c r="U6472" s="22">
        <v>0.76039999999999996</v>
      </c>
      <c r="V6472" s="22">
        <f>3.64/5</f>
        <v>0.72799999999999998</v>
      </c>
      <c r="X6472" s="3">
        <v>3</v>
      </c>
      <c r="Z6472" s="23">
        <v>10</v>
      </c>
      <c r="AB6472" s="18">
        <f t="shared" si="202"/>
        <v>2005</v>
      </c>
      <c r="AC6472" s="22">
        <f t="shared" si="203"/>
        <v>0.69613333333333338</v>
      </c>
    </row>
    <row r="6473" spans="1:29" ht="30">
      <c r="A6473" s="8" t="s">
        <v>14479</v>
      </c>
      <c r="B6473" s="17" t="s">
        <v>7758</v>
      </c>
      <c r="C6473" s="13">
        <v>38524</v>
      </c>
      <c r="D6473" s="13" t="s">
        <v>8465</v>
      </c>
      <c r="E6473" s="10" t="s">
        <v>68</v>
      </c>
      <c r="F6473" s="10" t="s">
        <v>68</v>
      </c>
      <c r="G6473" s="11" t="s">
        <v>40</v>
      </c>
      <c r="H6473" s="2" t="s">
        <v>69</v>
      </c>
      <c r="L6473" s="18">
        <v>0</v>
      </c>
      <c r="Q6473" s="18">
        <v>0</v>
      </c>
      <c r="U6473" s="22">
        <v>0.71</v>
      </c>
      <c r="V6473" s="22">
        <f>4.07/5</f>
        <v>0.81400000000000006</v>
      </c>
      <c r="X6473" s="3">
        <v>2</v>
      </c>
      <c r="Z6473" s="23">
        <v>15</v>
      </c>
      <c r="AB6473" s="18">
        <f t="shared" si="202"/>
        <v>2005</v>
      </c>
      <c r="AC6473" s="22">
        <f t="shared" si="203"/>
        <v>0.64133333333333331</v>
      </c>
    </row>
    <row r="6474" spans="1:29">
      <c r="A6474" s="8" t="s">
        <v>7674</v>
      </c>
      <c r="B6474" s="17" t="s">
        <v>7748</v>
      </c>
      <c r="C6474" s="13">
        <v>38524</v>
      </c>
      <c r="D6474" s="13" t="s">
        <v>8465</v>
      </c>
      <c r="E6474" s="10" t="s">
        <v>1047</v>
      </c>
      <c r="F6474" s="10" t="s">
        <v>8379</v>
      </c>
      <c r="G6474" s="11" t="s">
        <v>7674</v>
      </c>
      <c r="H6474" s="2" t="s">
        <v>143</v>
      </c>
      <c r="L6474" s="18">
        <v>0</v>
      </c>
      <c r="Q6474" s="18">
        <v>0</v>
      </c>
      <c r="U6474" s="22">
        <v>0.75</v>
      </c>
      <c r="V6474" s="22">
        <f>3.51/5</f>
        <v>0.70199999999999996</v>
      </c>
      <c r="X6474" s="3">
        <v>2</v>
      </c>
      <c r="Z6474" s="23">
        <v>4.5</v>
      </c>
      <c r="AB6474" s="18">
        <f t="shared" si="202"/>
        <v>2005</v>
      </c>
      <c r="AC6474" s="22">
        <f t="shared" si="203"/>
        <v>0.61733333333333329</v>
      </c>
    </row>
    <row r="6475" spans="1:29" ht="25.5">
      <c r="A6475" s="8" t="s">
        <v>5721</v>
      </c>
      <c r="B6475" s="17" t="s">
        <v>7758</v>
      </c>
      <c r="C6475" s="13">
        <v>38517</v>
      </c>
      <c r="D6475" s="13" t="s">
        <v>8465</v>
      </c>
      <c r="E6475" s="10" t="s">
        <v>158</v>
      </c>
      <c r="F6475" s="10" t="s">
        <v>1087</v>
      </c>
      <c r="G6475" s="11" t="s">
        <v>2921</v>
      </c>
      <c r="H6475" s="2" t="s">
        <v>171</v>
      </c>
      <c r="L6475" s="18">
        <v>0</v>
      </c>
      <c r="Q6475" s="18">
        <v>0</v>
      </c>
      <c r="U6475" s="22">
        <v>0.57999999999999996</v>
      </c>
      <c r="V6475" s="22">
        <f>2.94/5</f>
        <v>0.58799999999999997</v>
      </c>
      <c r="X6475" s="3">
        <v>3</v>
      </c>
      <c r="Z6475" s="23">
        <v>15</v>
      </c>
      <c r="AB6475" s="18">
        <f t="shared" si="202"/>
        <v>2005</v>
      </c>
      <c r="AC6475" s="22">
        <f t="shared" si="203"/>
        <v>0.58933333333333326</v>
      </c>
    </row>
    <row r="6476" spans="1:29">
      <c r="A6476" s="8" t="s">
        <v>2189</v>
      </c>
      <c r="B6476" s="17" t="s">
        <v>7748</v>
      </c>
      <c r="C6476" s="13">
        <v>38516</v>
      </c>
      <c r="D6476" s="13" t="s">
        <v>8465</v>
      </c>
      <c r="E6476" s="10" t="s">
        <v>86</v>
      </c>
      <c r="F6476" s="10" t="s">
        <v>30</v>
      </c>
      <c r="G6476" s="11" t="s">
        <v>223</v>
      </c>
      <c r="H6476" s="2" t="s">
        <v>64</v>
      </c>
      <c r="L6476" s="18">
        <v>0</v>
      </c>
      <c r="Q6476" s="18">
        <v>0</v>
      </c>
      <c r="U6476" s="22">
        <v>0.87</v>
      </c>
      <c r="V6476" s="22">
        <f>3.76/5</f>
        <v>0.752</v>
      </c>
      <c r="X6476" s="3">
        <v>4</v>
      </c>
      <c r="Z6476" s="23">
        <v>4.5</v>
      </c>
      <c r="AB6476" s="18">
        <f t="shared" si="202"/>
        <v>2005</v>
      </c>
      <c r="AC6476" s="22">
        <f t="shared" si="203"/>
        <v>0.80733333333333324</v>
      </c>
    </row>
    <row r="6477" spans="1:29" ht="38.25">
      <c r="A6477" s="8" t="s">
        <v>9720</v>
      </c>
      <c r="B6477" s="17" t="s">
        <v>7747</v>
      </c>
      <c r="C6477" s="13">
        <v>38511</v>
      </c>
      <c r="D6477" s="13" t="s">
        <v>8465</v>
      </c>
      <c r="E6477" s="10" t="s">
        <v>1342</v>
      </c>
      <c r="F6477" s="10" t="s">
        <v>1511</v>
      </c>
      <c r="H6477" s="2" t="s">
        <v>80</v>
      </c>
      <c r="L6477" s="18">
        <v>1</v>
      </c>
      <c r="M6477" s="14" t="s">
        <v>10622</v>
      </c>
      <c r="N6477" s="13">
        <v>44220</v>
      </c>
      <c r="O6477" s="29">
        <v>7.58</v>
      </c>
      <c r="P6477" s="18" t="s">
        <v>14</v>
      </c>
      <c r="Q6477" s="18">
        <v>0</v>
      </c>
      <c r="V6477" s="22">
        <f>3.42/5</f>
        <v>0.68399999999999994</v>
      </c>
      <c r="X6477" s="3">
        <v>1</v>
      </c>
      <c r="Z6477" s="23">
        <f>3.5+3</f>
        <v>6.5</v>
      </c>
      <c r="AB6477" s="18">
        <f t="shared" si="202"/>
        <v>2005</v>
      </c>
      <c r="AC6477" s="22">
        <f t="shared" si="203"/>
        <v>0.44199999999999995</v>
      </c>
    </row>
    <row r="6478" spans="1:29" ht="25.5">
      <c r="A6478" s="8" t="s">
        <v>4022</v>
      </c>
      <c r="B6478" s="17" t="s">
        <v>7800</v>
      </c>
      <c r="C6478" s="13">
        <v>38510</v>
      </c>
      <c r="D6478" s="13" t="s">
        <v>8465</v>
      </c>
      <c r="E6478" s="10" t="s">
        <v>1618</v>
      </c>
      <c r="F6478" s="10" t="s">
        <v>4019</v>
      </c>
      <c r="G6478" s="11" t="s">
        <v>2306</v>
      </c>
      <c r="H6478" s="2" t="s">
        <v>80</v>
      </c>
      <c r="L6478" s="18">
        <v>1</v>
      </c>
      <c r="N6478" s="13">
        <v>41107</v>
      </c>
      <c r="O6478" s="29">
        <v>2.08</v>
      </c>
      <c r="P6478" s="18" t="s">
        <v>1107</v>
      </c>
      <c r="Q6478" s="18">
        <v>0</v>
      </c>
      <c r="U6478" s="22">
        <v>0.92</v>
      </c>
      <c r="V6478" s="22">
        <f>4.32/5</f>
        <v>0.8640000000000001</v>
      </c>
      <c r="W6478" s="14" t="s">
        <v>7777</v>
      </c>
      <c r="X6478" s="3">
        <v>4</v>
      </c>
      <c r="Z6478" s="23">
        <v>32</v>
      </c>
      <c r="AB6478" s="18">
        <f t="shared" si="202"/>
        <v>2005</v>
      </c>
      <c r="AC6478" s="22">
        <f t="shared" si="203"/>
        <v>0.86133333333333351</v>
      </c>
    </row>
    <row r="6479" spans="1:29">
      <c r="A6479" s="8" t="s">
        <v>8179</v>
      </c>
      <c r="B6479" s="17" t="s">
        <v>7758</v>
      </c>
      <c r="C6479" s="13">
        <v>38510</v>
      </c>
      <c r="D6479" s="13" t="s">
        <v>8465</v>
      </c>
      <c r="E6479" s="10" t="s">
        <v>228</v>
      </c>
      <c r="F6479" s="10" t="s">
        <v>3029</v>
      </c>
      <c r="G6479" s="11" t="s">
        <v>9197</v>
      </c>
      <c r="H6479" s="2" t="s">
        <v>80</v>
      </c>
      <c r="L6479" s="18">
        <v>0</v>
      </c>
      <c r="Q6479" s="18">
        <v>0</v>
      </c>
      <c r="U6479" s="22">
        <v>0.58099999999999996</v>
      </c>
      <c r="V6479" s="22">
        <f>3.54/5</f>
        <v>0.70799999999999996</v>
      </c>
      <c r="X6479" s="3">
        <v>2</v>
      </c>
      <c r="Z6479" s="23">
        <v>4.5</v>
      </c>
      <c r="AB6479" s="18">
        <f t="shared" si="202"/>
        <v>2005</v>
      </c>
      <c r="AC6479" s="22">
        <f t="shared" si="203"/>
        <v>0.56300000000000006</v>
      </c>
    </row>
    <row r="6480" spans="1:29" ht="25.5">
      <c r="A6480" s="8" t="s">
        <v>6707</v>
      </c>
      <c r="B6480" s="17" t="s">
        <v>7758</v>
      </c>
      <c r="C6480" s="13">
        <v>38510</v>
      </c>
      <c r="D6480" s="13" t="s">
        <v>8465</v>
      </c>
      <c r="E6480" s="10" t="s">
        <v>231</v>
      </c>
      <c r="F6480" s="10" t="s">
        <v>1039</v>
      </c>
      <c r="G6480" s="11" t="s">
        <v>2944</v>
      </c>
      <c r="H6480" s="2" t="s">
        <v>1050</v>
      </c>
      <c r="L6480" s="18">
        <v>0</v>
      </c>
      <c r="Q6480" s="18">
        <v>0</v>
      </c>
      <c r="U6480" s="22">
        <v>0.73</v>
      </c>
      <c r="V6480" s="22">
        <f>3.68/5</f>
        <v>0.73599999999999999</v>
      </c>
      <c r="X6480" s="3">
        <v>3</v>
      </c>
      <c r="Z6480" s="23">
        <v>6</v>
      </c>
      <c r="AB6480" s="18">
        <f t="shared" si="202"/>
        <v>2005</v>
      </c>
      <c r="AC6480" s="22">
        <f t="shared" si="203"/>
        <v>0.68866666666666665</v>
      </c>
    </row>
    <row r="6481" spans="1:29">
      <c r="A6481" s="8" t="s">
        <v>10399</v>
      </c>
      <c r="B6481" s="17" t="s">
        <v>7758</v>
      </c>
      <c r="C6481" s="13">
        <v>38504</v>
      </c>
      <c r="D6481" s="13" t="s">
        <v>8467</v>
      </c>
      <c r="E6481" s="10" t="s">
        <v>10155</v>
      </c>
      <c r="F6481" s="10" t="s">
        <v>473</v>
      </c>
      <c r="G6481" s="11" t="s">
        <v>6100</v>
      </c>
      <c r="H6481" s="2" t="s">
        <v>143</v>
      </c>
      <c r="L6481" s="18">
        <v>0</v>
      </c>
      <c r="Q6481" s="18">
        <v>0</v>
      </c>
      <c r="V6481" s="22">
        <f>3.44/5</f>
        <v>0.68799999999999994</v>
      </c>
      <c r="X6481" s="3">
        <v>2</v>
      </c>
      <c r="AB6481" s="18">
        <f t="shared" si="202"/>
        <v>2005</v>
      </c>
      <c r="AC6481" s="22">
        <f t="shared" si="203"/>
        <v>0.54400000000000004</v>
      </c>
    </row>
    <row r="6482" spans="1:29" ht="30">
      <c r="A6482" s="8" t="s">
        <v>8881</v>
      </c>
      <c r="B6482" s="17" t="s">
        <v>7740</v>
      </c>
      <c r="C6482" s="13">
        <v>38504</v>
      </c>
      <c r="D6482" s="13" t="s">
        <v>8465</v>
      </c>
      <c r="E6482" s="10" t="s">
        <v>157</v>
      </c>
      <c r="F6482" s="10" t="s">
        <v>1366</v>
      </c>
      <c r="G6482" s="11" t="s">
        <v>8877</v>
      </c>
      <c r="H6482" s="2" t="s">
        <v>149</v>
      </c>
      <c r="L6482" s="18">
        <v>0</v>
      </c>
      <c r="Q6482" s="18">
        <v>0</v>
      </c>
      <c r="U6482" s="22">
        <v>0.55000000000000004</v>
      </c>
      <c r="V6482" s="22">
        <f>3.6/5</f>
        <v>0.72</v>
      </c>
      <c r="X6482" s="3">
        <v>2</v>
      </c>
      <c r="Z6482" s="23">
        <v>18.5</v>
      </c>
      <c r="AB6482" s="18">
        <f t="shared" si="202"/>
        <v>2005</v>
      </c>
      <c r="AC6482" s="22">
        <f t="shared" si="203"/>
        <v>0.55666666666666664</v>
      </c>
    </row>
    <row r="6483" spans="1:29">
      <c r="A6483" s="8" t="s">
        <v>3104</v>
      </c>
      <c r="B6483" s="17" t="s">
        <v>7800</v>
      </c>
      <c r="C6483" s="13">
        <v>38503</v>
      </c>
      <c r="D6483" s="13" t="s">
        <v>8465</v>
      </c>
      <c r="E6483" s="10" t="s">
        <v>1551</v>
      </c>
      <c r="F6483" s="10" t="s">
        <v>3105</v>
      </c>
      <c r="H6483" s="2" t="s">
        <v>80</v>
      </c>
      <c r="L6483" s="18">
        <v>1</v>
      </c>
      <c r="N6483" s="13">
        <v>42100</v>
      </c>
      <c r="O6483" s="29">
        <v>1.99</v>
      </c>
      <c r="P6483" s="18" t="s">
        <v>1107</v>
      </c>
      <c r="Q6483" s="18">
        <v>0</v>
      </c>
      <c r="U6483" s="22">
        <v>0.74</v>
      </c>
      <c r="V6483" s="22">
        <f>3.33/5</f>
        <v>0.66600000000000004</v>
      </c>
      <c r="W6483" s="14" t="s">
        <v>7777</v>
      </c>
      <c r="X6483" s="3">
        <v>4</v>
      </c>
      <c r="Z6483" s="23">
        <v>8</v>
      </c>
      <c r="AB6483" s="18">
        <f t="shared" si="202"/>
        <v>2005</v>
      </c>
      <c r="AC6483" s="22">
        <f t="shared" si="203"/>
        <v>0.73533333333333351</v>
      </c>
    </row>
    <row r="6484" spans="1:29">
      <c r="A6484" s="8" t="s">
        <v>3973</v>
      </c>
      <c r="B6484" s="17" t="s">
        <v>7800</v>
      </c>
      <c r="C6484" s="13">
        <v>38502</v>
      </c>
      <c r="D6484" s="13" t="s">
        <v>8465</v>
      </c>
      <c r="E6484" s="10" t="s">
        <v>3234</v>
      </c>
      <c r="F6484" s="10" t="s">
        <v>3234</v>
      </c>
      <c r="G6484" s="11" t="s">
        <v>3971</v>
      </c>
      <c r="H6484" s="2" t="s">
        <v>1720</v>
      </c>
      <c r="L6484" s="18">
        <v>1</v>
      </c>
      <c r="N6484" s="13">
        <v>41114</v>
      </c>
      <c r="P6484" s="18" t="s">
        <v>1107</v>
      </c>
      <c r="Q6484" s="18">
        <v>0</v>
      </c>
      <c r="U6484" s="22">
        <v>0.75</v>
      </c>
      <c r="V6484" s="22">
        <f>3.62/5</f>
        <v>0.72399999999999998</v>
      </c>
      <c r="W6484" s="14" t="s">
        <v>7777</v>
      </c>
      <c r="X6484" s="3">
        <v>2</v>
      </c>
      <c r="Z6484" s="23">
        <v>6.5</v>
      </c>
      <c r="AB6484" s="18">
        <f t="shared" si="202"/>
        <v>2005</v>
      </c>
      <c r="AC6484" s="22">
        <f t="shared" si="203"/>
        <v>0.6246666666666667</v>
      </c>
    </row>
    <row r="6485" spans="1:29">
      <c r="A6485" s="8" t="s">
        <v>5823</v>
      </c>
      <c r="B6485" s="17" t="s">
        <v>7758</v>
      </c>
      <c r="C6485" s="13">
        <v>38498</v>
      </c>
      <c r="D6485" s="13" t="s">
        <v>8463</v>
      </c>
      <c r="E6485" s="10" t="s">
        <v>158</v>
      </c>
      <c r="F6485" s="10" t="s">
        <v>1145</v>
      </c>
      <c r="H6485" s="2" t="s">
        <v>75</v>
      </c>
      <c r="K6485" s="18">
        <v>2</v>
      </c>
      <c r="L6485" s="18">
        <v>0</v>
      </c>
      <c r="Q6485" s="18">
        <v>0</v>
      </c>
      <c r="V6485" s="22">
        <f>4/5</f>
        <v>0.8</v>
      </c>
      <c r="X6485" s="3">
        <v>4</v>
      </c>
      <c r="Z6485" s="23">
        <v>84.5</v>
      </c>
      <c r="AB6485" s="18">
        <f t="shared" si="202"/>
        <v>2005</v>
      </c>
      <c r="AC6485" s="22">
        <f t="shared" si="203"/>
        <v>0.8</v>
      </c>
    </row>
    <row r="6486" spans="1:29" ht="25.5">
      <c r="A6486" s="8" t="s">
        <v>8373</v>
      </c>
      <c r="B6486" s="17" t="s">
        <v>7758</v>
      </c>
      <c r="C6486" s="13">
        <v>38498</v>
      </c>
      <c r="D6486" s="13" t="s">
        <v>8463</v>
      </c>
      <c r="E6486" s="10" t="s">
        <v>3041</v>
      </c>
      <c r="F6486" s="10" t="s">
        <v>3042</v>
      </c>
      <c r="G6486" s="11" t="s">
        <v>2997</v>
      </c>
      <c r="H6486" s="2" t="s">
        <v>75</v>
      </c>
      <c r="K6486" s="18">
        <v>2</v>
      </c>
      <c r="L6486" s="18">
        <v>0</v>
      </c>
      <c r="Q6486" s="18">
        <v>0</v>
      </c>
      <c r="V6486" s="22">
        <f>4.22/5</f>
        <v>0.84399999999999997</v>
      </c>
      <c r="X6486" s="3">
        <v>3</v>
      </c>
      <c r="Z6486" s="23">
        <v>48.5</v>
      </c>
      <c r="AB6486" s="18">
        <f t="shared" si="202"/>
        <v>2005</v>
      </c>
      <c r="AC6486" s="22">
        <f t="shared" si="203"/>
        <v>0.72199999999999998</v>
      </c>
    </row>
    <row r="6487" spans="1:29">
      <c r="A6487" s="8" t="s">
        <v>4049</v>
      </c>
      <c r="B6487" s="17" t="s">
        <v>7800</v>
      </c>
      <c r="C6487" s="13">
        <v>38496</v>
      </c>
      <c r="D6487" s="13" t="s">
        <v>8465</v>
      </c>
      <c r="E6487" s="10" t="s">
        <v>4050</v>
      </c>
      <c r="F6487" s="10" t="s">
        <v>4051</v>
      </c>
      <c r="H6487" s="2" t="s">
        <v>1204</v>
      </c>
      <c r="L6487" s="18">
        <v>1</v>
      </c>
      <c r="N6487" s="13">
        <v>41981</v>
      </c>
      <c r="P6487" s="18" t="s">
        <v>1107</v>
      </c>
      <c r="Q6487" s="18">
        <v>0</v>
      </c>
      <c r="V6487" s="22">
        <f>3.31/5</f>
        <v>0.66200000000000003</v>
      </c>
      <c r="W6487" s="14" t="s">
        <v>7777</v>
      </c>
      <c r="X6487" s="3">
        <v>3</v>
      </c>
      <c r="Z6487" s="23">
        <v>2.5</v>
      </c>
      <c r="AB6487" s="18">
        <f t="shared" si="202"/>
        <v>2005</v>
      </c>
      <c r="AC6487" s="22">
        <f t="shared" si="203"/>
        <v>0.63100000000000001</v>
      </c>
    </row>
    <row r="6488" spans="1:29" ht="25.5">
      <c r="A6488" s="8" t="s">
        <v>14663</v>
      </c>
      <c r="B6488" s="17" t="s">
        <v>7764</v>
      </c>
      <c r="C6488" s="13">
        <v>38496</v>
      </c>
      <c r="D6488" s="13" t="s">
        <v>8465</v>
      </c>
      <c r="E6488" s="10" t="s">
        <v>14664</v>
      </c>
      <c r="F6488" s="10" t="s">
        <v>1956</v>
      </c>
      <c r="H6488" s="2" t="s">
        <v>1050</v>
      </c>
      <c r="L6488" s="18">
        <v>0</v>
      </c>
      <c r="Q6488" s="18">
        <v>0</v>
      </c>
      <c r="U6488" s="22">
        <v>0.41</v>
      </c>
      <c r="V6488" s="22">
        <f>2.79/5</f>
        <v>0.55800000000000005</v>
      </c>
      <c r="X6488" s="3">
        <v>2</v>
      </c>
      <c r="Z6488" s="23">
        <v>3</v>
      </c>
      <c r="AB6488" s="18">
        <f t="shared" si="202"/>
        <v>2005</v>
      </c>
      <c r="AC6488" s="22">
        <f t="shared" si="203"/>
        <v>0.45599999999999996</v>
      </c>
    </row>
    <row r="6489" spans="1:29">
      <c r="A6489" s="8" t="s">
        <v>3875</v>
      </c>
      <c r="B6489" s="17" t="s">
        <v>7800</v>
      </c>
      <c r="C6489" s="13">
        <v>38490</v>
      </c>
      <c r="D6489" s="13" t="s">
        <v>8465</v>
      </c>
      <c r="E6489" s="10" t="s">
        <v>4370</v>
      </c>
      <c r="F6489" s="10" t="s">
        <v>4370</v>
      </c>
      <c r="G6489" s="11" t="s">
        <v>3875</v>
      </c>
      <c r="H6489" s="2" t="s">
        <v>171</v>
      </c>
      <c r="L6489" s="18">
        <v>1</v>
      </c>
      <c r="N6489" s="13">
        <v>44071</v>
      </c>
      <c r="O6489" s="29">
        <v>0.65</v>
      </c>
      <c r="P6489" s="18" t="s">
        <v>1107</v>
      </c>
      <c r="Q6489" s="18">
        <v>0</v>
      </c>
      <c r="U6489" s="22">
        <v>0.8</v>
      </c>
      <c r="V6489" s="22">
        <f>3.79/5</f>
        <v>0.75800000000000001</v>
      </c>
      <c r="W6489" s="14" t="s">
        <v>7777</v>
      </c>
      <c r="X6489" s="3">
        <v>3</v>
      </c>
      <c r="Z6489" s="23">
        <v>9</v>
      </c>
      <c r="AB6489" s="18">
        <f t="shared" si="202"/>
        <v>2005</v>
      </c>
      <c r="AC6489" s="22">
        <f t="shared" si="203"/>
        <v>0.71933333333333327</v>
      </c>
    </row>
    <row r="6490" spans="1:29" ht="30">
      <c r="A6490" s="8" t="s">
        <v>9710</v>
      </c>
      <c r="B6490" s="17" t="s">
        <v>7758</v>
      </c>
      <c r="C6490" s="13">
        <v>38483</v>
      </c>
      <c r="D6490" s="13" t="s">
        <v>8465</v>
      </c>
      <c r="E6490" s="10" t="s">
        <v>3848</v>
      </c>
      <c r="F6490" s="10" t="s">
        <v>5909</v>
      </c>
      <c r="H6490" s="2" t="s">
        <v>1050</v>
      </c>
      <c r="L6490" s="18">
        <v>0</v>
      </c>
      <c r="Q6490" s="18">
        <v>0</v>
      </c>
      <c r="U6490" s="22">
        <v>0.73</v>
      </c>
      <c r="V6490" s="22">
        <f>3.49/5</f>
        <v>0.69800000000000006</v>
      </c>
      <c r="X6490" s="3">
        <v>3</v>
      </c>
      <c r="Z6490" s="23">
        <v>7</v>
      </c>
      <c r="AB6490" s="18">
        <f t="shared" si="202"/>
        <v>2005</v>
      </c>
      <c r="AC6490" s="22">
        <f t="shared" si="203"/>
        <v>0.67600000000000005</v>
      </c>
    </row>
    <row r="6491" spans="1:29">
      <c r="A6491" s="8" t="s">
        <v>5726</v>
      </c>
      <c r="B6491" s="17" t="s">
        <v>7758</v>
      </c>
      <c r="C6491" s="13">
        <v>38482</v>
      </c>
      <c r="D6491" s="13" t="s">
        <v>8465</v>
      </c>
      <c r="E6491" s="10" t="s">
        <v>73</v>
      </c>
      <c r="F6491" s="10" t="s">
        <v>73</v>
      </c>
      <c r="H6491" s="2" t="s">
        <v>1061</v>
      </c>
      <c r="L6491" s="18">
        <v>0</v>
      </c>
      <c r="Q6491" s="18">
        <v>0</v>
      </c>
      <c r="U6491" s="22">
        <v>0.73</v>
      </c>
      <c r="V6491" s="22">
        <f>3.68/5</f>
        <v>0.73599999999999999</v>
      </c>
      <c r="X6491" s="3">
        <v>3</v>
      </c>
      <c r="Z6491" s="23">
        <v>8</v>
      </c>
      <c r="AB6491" s="18">
        <f t="shared" si="202"/>
        <v>2005</v>
      </c>
      <c r="AC6491" s="22">
        <f t="shared" si="203"/>
        <v>0.68866666666666665</v>
      </c>
    </row>
    <row r="6492" spans="1:29" ht="30">
      <c r="A6492" s="8" t="s">
        <v>6629</v>
      </c>
      <c r="B6492" s="17" t="s">
        <v>7740</v>
      </c>
      <c r="C6492" s="13">
        <v>38481</v>
      </c>
      <c r="D6492" s="13" t="s">
        <v>8465</v>
      </c>
      <c r="E6492" s="10" t="s">
        <v>86</v>
      </c>
      <c r="F6492" s="10" t="s">
        <v>158</v>
      </c>
      <c r="G6492" s="11" t="s">
        <v>1254</v>
      </c>
      <c r="H6492" s="2" t="s">
        <v>1220</v>
      </c>
      <c r="L6492" s="18">
        <v>0</v>
      </c>
      <c r="Q6492" s="18">
        <v>0</v>
      </c>
      <c r="U6492" s="22">
        <v>0.71</v>
      </c>
      <c r="V6492" s="22">
        <f>3.45/5</f>
        <v>0.69000000000000006</v>
      </c>
      <c r="X6492" s="3">
        <v>3</v>
      </c>
      <c r="Z6492" s="23">
        <v>6.5</v>
      </c>
      <c r="AB6492" s="18">
        <f t="shared" si="202"/>
        <v>2005</v>
      </c>
      <c r="AC6492" s="22">
        <f t="shared" si="203"/>
        <v>0.66666666666666663</v>
      </c>
    </row>
    <row r="6493" spans="1:29">
      <c r="A6493" s="8" t="s">
        <v>10647</v>
      </c>
      <c r="B6493" s="17" t="s">
        <v>7764</v>
      </c>
      <c r="C6493" s="13">
        <v>38475</v>
      </c>
      <c r="D6493" s="13" t="s">
        <v>8465</v>
      </c>
      <c r="E6493" s="10" t="s">
        <v>3740</v>
      </c>
      <c r="F6493" s="10" t="s">
        <v>10651</v>
      </c>
      <c r="G6493" s="11" t="s">
        <v>10642</v>
      </c>
      <c r="H6493" s="2" t="s">
        <v>150</v>
      </c>
      <c r="L6493" s="18">
        <v>0</v>
      </c>
      <c r="Q6493" s="18">
        <v>0</v>
      </c>
      <c r="U6493" s="22">
        <v>0.92</v>
      </c>
      <c r="V6493" s="22">
        <f>4.05/5</f>
        <v>0.80999999999999994</v>
      </c>
      <c r="X6493" s="3">
        <v>2</v>
      </c>
      <c r="Y6493" s="18">
        <v>1</v>
      </c>
      <c r="Z6493" s="23">
        <v>67.5</v>
      </c>
      <c r="AB6493" s="18">
        <f t="shared" si="202"/>
        <v>2005</v>
      </c>
      <c r="AC6493" s="22">
        <f t="shared" si="203"/>
        <v>0.71</v>
      </c>
    </row>
    <row r="6494" spans="1:29" ht="30">
      <c r="A6494" s="8" t="s">
        <v>11034</v>
      </c>
      <c r="B6494" s="17" t="s">
        <v>7762</v>
      </c>
      <c r="C6494" s="13">
        <v>38475</v>
      </c>
      <c r="D6494" s="13" t="s">
        <v>8465</v>
      </c>
      <c r="E6494" s="10" t="s">
        <v>2908</v>
      </c>
      <c r="F6494" s="10" t="s">
        <v>10091</v>
      </c>
      <c r="G6494" s="11" t="s">
        <v>11029</v>
      </c>
      <c r="H6494" s="2" t="s">
        <v>255</v>
      </c>
      <c r="L6494" s="18">
        <v>0</v>
      </c>
      <c r="Q6494" s="18">
        <v>0</v>
      </c>
      <c r="U6494" s="22">
        <v>0.81</v>
      </c>
      <c r="V6494" s="22">
        <f>3.99/5</f>
        <v>0.79800000000000004</v>
      </c>
      <c r="X6494" s="3">
        <v>2</v>
      </c>
      <c r="AB6494" s="18">
        <f t="shared" si="202"/>
        <v>2005</v>
      </c>
      <c r="AC6494" s="22">
        <f t="shared" si="203"/>
        <v>0.66933333333333334</v>
      </c>
    </row>
    <row r="6495" spans="1:29" ht="30">
      <c r="A6495" s="8" t="s">
        <v>12357</v>
      </c>
      <c r="B6495" s="17" t="s">
        <v>7747</v>
      </c>
      <c r="C6495" s="13">
        <v>38474</v>
      </c>
      <c r="D6495" s="13" t="s">
        <v>8465</v>
      </c>
      <c r="E6495" s="10" t="s">
        <v>158</v>
      </c>
      <c r="F6495" s="10" t="s">
        <v>11040</v>
      </c>
      <c r="G6495" s="11" t="s">
        <v>4639</v>
      </c>
      <c r="H6495" s="2" t="s">
        <v>1383</v>
      </c>
      <c r="L6495" s="18">
        <v>0</v>
      </c>
      <c r="Q6495" s="18">
        <v>0</v>
      </c>
      <c r="U6495" s="22">
        <v>0.52</v>
      </c>
      <c r="V6495" s="22">
        <f>2.67/5</f>
        <v>0.53400000000000003</v>
      </c>
      <c r="X6495" s="3">
        <v>2</v>
      </c>
      <c r="AB6495" s="18">
        <f t="shared" si="202"/>
        <v>2005</v>
      </c>
      <c r="AC6495" s="22">
        <f t="shared" si="203"/>
        <v>0.48466666666666675</v>
      </c>
    </row>
    <row r="6496" spans="1:29" ht="30">
      <c r="A6496" s="8" t="s">
        <v>13153</v>
      </c>
      <c r="B6496" s="17" t="s">
        <v>7740</v>
      </c>
      <c r="C6496" s="13">
        <v>38471</v>
      </c>
      <c r="D6496" s="13" t="s">
        <v>8463</v>
      </c>
      <c r="E6496" s="10" t="s">
        <v>164</v>
      </c>
      <c r="F6496" s="10" t="s">
        <v>164</v>
      </c>
      <c r="H6496" s="2" t="s">
        <v>149</v>
      </c>
      <c r="K6496" s="18">
        <v>1</v>
      </c>
      <c r="L6496" s="18">
        <v>0</v>
      </c>
      <c r="Q6496" s="18">
        <v>0</v>
      </c>
      <c r="V6496" s="22">
        <f>4.05/5</f>
        <v>0.80999999999999994</v>
      </c>
      <c r="X6496" s="3">
        <v>2</v>
      </c>
      <c r="AB6496" s="18">
        <f t="shared" si="202"/>
        <v>2005</v>
      </c>
      <c r="AC6496" s="22">
        <f t="shared" si="203"/>
        <v>0.60499999999999998</v>
      </c>
    </row>
    <row r="6497" spans="1:29">
      <c r="A6497" s="8" t="s">
        <v>10081</v>
      </c>
      <c r="B6497" s="17" t="s">
        <v>7800</v>
      </c>
      <c r="C6497" s="13">
        <v>38470</v>
      </c>
      <c r="D6497" s="13" t="s">
        <v>8463</v>
      </c>
      <c r="E6497" s="10" t="s">
        <v>8708</v>
      </c>
      <c r="F6497" s="10" t="s">
        <v>10082</v>
      </c>
      <c r="G6497" s="11" t="s">
        <v>10081</v>
      </c>
      <c r="H6497" s="2" t="s">
        <v>1057</v>
      </c>
      <c r="K6497" s="18">
        <v>2</v>
      </c>
      <c r="L6497" s="18">
        <v>0</v>
      </c>
      <c r="Q6497" s="18">
        <v>0</v>
      </c>
      <c r="V6497" s="22">
        <f>3.69/5</f>
        <v>0.73799999999999999</v>
      </c>
      <c r="X6497" s="3">
        <v>3</v>
      </c>
      <c r="AB6497" s="18">
        <f t="shared" si="202"/>
        <v>2005</v>
      </c>
      <c r="AC6497" s="22">
        <f t="shared" si="203"/>
        <v>0.66900000000000004</v>
      </c>
    </row>
    <row r="6498" spans="1:29" ht="25.5">
      <c r="A6498" s="8" t="s">
        <v>5773</v>
      </c>
      <c r="B6498" s="17" t="s">
        <v>7758</v>
      </c>
      <c r="C6498" s="13">
        <v>38468</v>
      </c>
      <c r="D6498" s="13" t="s">
        <v>8465</v>
      </c>
      <c r="E6498" s="10" t="s">
        <v>228</v>
      </c>
      <c r="F6498" s="10" t="s">
        <v>5876</v>
      </c>
      <c r="H6498" s="2" t="s">
        <v>75</v>
      </c>
      <c r="L6498" s="18">
        <v>0</v>
      </c>
      <c r="Q6498" s="18">
        <v>0</v>
      </c>
      <c r="U6498" s="22">
        <v>0.75</v>
      </c>
      <c r="V6498" s="22">
        <f>3.55/5</f>
        <v>0.71</v>
      </c>
      <c r="X6498" s="3">
        <v>3</v>
      </c>
      <c r="Z6498" s="23">
        <v>41</v>
      </c>
      <c r="AB6498" s="18">
        <f t="shared" si="202"/>
        <v>2005</v>
      </c>
      <c r="AC6498" s="22">
        <f t="shared" si="203"/>
        <v>0.68666666666666665</v>
      </c>
    </row>
    <row r="6499" spans="1:29">
      <c r="A6499" s="8" t="s">
        <v>12356</v>
      </c>
      <c r="B6499" s="17" t="s">
        <v>7748</v>
      </c>
      <c r="C6499" s="13">
        <v>38468</v>
      </c>
      <c r="D6499" s="13" t="s">
        <v>8465</v>
      </c>
      <c r="E6499" s="10" t="s">
        <v>158</v>
      </c>
      <c r="F6499" s="10" t="s">
        <v>158</v>
      </c>
      <c r="G6499" s="11" t="s">
        <v>4639</v>
      </c>
      <c r="H6499" s="2" t="s">
        <v>78</v>
      </c>
      <c r="L6499" s="18">
        <v>0</v>
      </c>
      <c r="Q6499" s="18">
        <v>0</v>
      </c>
      <c r="U6499" s="22">
        <v>0.71</v>
      </c>
      <c r="V6499" s="22">
        <f>3.25/5</f>
        <v>0.65</v>
      </c>
      <c r="X6499" s="3">
        <v>3</v>
      </c>
      <c r="Z6499" s="23">
        <v>4.5</v>
      </c>
      <c r="AB6499" s="18">
        <f t="shared" si="202"/>
        <v>2005</v>
      </c>
      <c r="AC6499" s="22">
        <f t="shared" si="203"/>
        <v>0.65333333333333332</v>
      </c>
    </row>
    <row r="6500" spans="1:29" ht="30">
      <c r="A6500" s="8" t="s">
        <v>9656</v>
      </c>
      <c r="B6500" s="17" t="s">
        <v>7758</v>
      </c>
      <c r="C6500" s="13">
        <v>38468</v>
      </c>
      <c r="D6500" s="13" t="s">
        <v>8465</v>
      </c>
      <c r="E6500" s="10" t="s">
        <v>3848</v>
      </c>
      <c r="F6500" s="10" t="s">
        <v>241</v>
      </c>
      <c r="G6500" s="11" t="s">
        <v>9657</v>
      </c>
      <c r="H6500" s="2" t="s">
        <v>153</v>
      </c>
      <c r="L6500" s="18">
        <v>0</v>
      </c>
      <c r="Q6500" s="18">
        <v>0</v>
      </c>
      <c r="U6500" s="22">
        <v>0.47</v>
      </c>
      <c r="V6500" s="22">
        <f>3.54/5</f>
        <v>0.70799999999999996</v>
      </c>
      <c r="X6500" s="3">
        <v>2</v>
      </c>
      <c r="Z6500" s="23">
        <v>11</v>
      </c>
      <c r="AB6500" s="18">
        <f t="shared" si="202"/>
        <v>2005</v>
      </c>
      <c r="AC6500" s="22">
        <f t="shared" si="203"/>
        <v>0.52599999999999991</v>
      </c>
    </row>
    <row r="6501" spans="1:29" ht="30">
      <c r="A6501" s="8" t="s">
        <v>14624</v>
      </c>
      <c r="B6501" s="17" t="s">
        <v>7762</v>
      </c>
      <c r="C6501" s="13">
        <v>38468</v>
      </c>
      <c r="D6501" s="13" t="s">
        <v>8465</v>
      </c>
      <c r="E6501" s="10" t="s">
        <v>72</v>
      </c>
      <c r="F6501" s="10" t="s">
        <v>1269</v>
      </c>
      <c r="G6501" s="11" t="s">
        <v>11618</v>
      </c>
      <c r="H6501" s="2" t="s">
        <v>80</v>
      </c>
      <c r="L6501" s="18">
        <v>0</v>
      </c>
      <c r="Q6501" s="18">
        <v>0</v>
      </c>
      <c r="U6501" s="22">
        <v>0.43</v>
      </c>
      <c r="V6501" s="22">
        <f>2.97/5</f>
        <v>0.59400000000000008</v>
      </c>
      <c r="X6501" s="3">
        <v>2</v>
      </c>
      <c r="Z6501" s="23">
        <v>4</v>
      </c>
      <c r="AB6501" s="18">
        <f t="shared" si="202"/>
        <v>2005</v>
      </c>
      <c r="AC6501" s="22">
        <f t="shared" si="203"/>
        <v>0.47466666666666663</v>
      </c>
    </row>
    <row r="6502" spans="1:29">
      <c r="A6502" s="8" t="s">
        <v>12936</v>
      </c>
      <c r="B6502" s="17" t="s">
        <v>7758</v>
      </c>
      <c r="C6502" s="13">
        <v>38467</v>
      </c>
      <c r="D6502" s="13" t="s">
        <v>8465</v>
      </c>
      <c r="E6502" s="10" t="s">
        <v>485</v>
      </c>
      <c r="F6502" s="10" t="s">
        <v>12939</v>
      </c>
      <c r="G6502" s="11" t="s">
        <v>12936</v>
      </c>
      <c r="H6502" s="2" t="s">
        <v>1050</v>
      </c>
      <c r="L6502" s="18">
        <v>0</v>
      </c>
      <c r="Q6502" s="18">
        <v>0</v>
      </c>
      <c r="U6502" s="22">
        <v>0.75</v>
      </c>
      <c r="V6502" s="22">
        <f>3.63/5</f>
        <v>0.72599999999999998</v>
      </c>
      <c r="X6502" s="3">
        <v>2</v>
      </c>
      <c r="Z6502" s="23">
        <v>7</v>
      </c>
      <c r="AB6502" s="18">
        <f t="shared" si="202"/>
        <v>2005</v>
      </c>
      <c r="AC6502" s="22">
        <f t="shared" si="203"/>
        <v>0.6253333333333333</v>
      </c>
    </row>
    <row r="6503" spans="1:29" ht="30">
      <c r="A6503" s="8" t="s">
        <v>14668</v>
      </c>
      <c r="B6503" s="17" t="s">
        <v>7764</v>
      </c>
      <c r="C6503" s="13">
        <v>38463</v>
      </c>
      <c r="D6503" s="13" t="s">
        <v>8465</v>
      </c>
      <c r="E6503" s="10" t="s">
        <v>1551</v>
      </c>
      <c r="F6503" s="10" t="s">
        <v>14669</v>
      </c>
      <c r="H6503" s="2" t="s">
        <v>1168</v>
      </c>
      <c r="L6503" s="18">
        <v>0</v>
      </c>
      <c r="Q6503" s="18">
        <v>0</v>
      </c>
      <c r="U6503" s="22">
        <v>0.71</v>
      </c>
      <c r="V6503" s="22">
        <f>3.3/5</f>
        <v>0.65999999999999992</v>
      </c>
      <c r="X6503" s="3">
        <v>2</v>
      </c>
      <c r="Z6503" s="23">
        <v>7.5</v>
      </c>
      <c r="AB6503" s="18">
        <f t="shared" si="202"/>
        <v>2005</v>
      </c>
      <c r="AC6503" s="22">
        <f t="shared" si="203"/>
        <v>0.59</v>
      </c>
    </row>
    <row r="6504" spans="1:29">
      <c r="A6504" s="8" t="s">
        <v>9631</v>
      </c>
      <c r="B6504" s="17" t="s">
        <v>7758</v>
      </c>
      <c r="C6504" s="13">
        <v>38463</v>
      </c>
      <c r="D6504" s="13" t="s">
        <v>8465</v>
      </c>
      <c r="E6504" s="10" t="s">
        <v>9632</v>
      </c>
      <c r="F6504" s="10" t="s">
        <v>9633</v>
      </c>
      <c r="H6504" s="2" t="s">
        <v>245</v>
      </c>
      <c r="L6504" s="18">
        <v>0</v>
      </c>
      <c r="Q6504" s="18">
        <v>0</v>
      </c>
      <c r="U6504" s="22">
        <v>0.51</v>
      </c>
      <c r="V6504" s="22">
        <f>3.04/5</f>
        <v>0.60799999999999998</v>
      </c>
      <c r="X6504" s="3">
        <v>2</v>
      </c>
      <c r="Z6504" s="23">
        <v>8</v>
      </c>
      <c r="AB6504" s="18">
        <f t="shared" si="202"/>
        <v>2005</v>
      </c>
      <c r="AC6504" s="22">
        <f t="shared" si="203"/>
        <v>0.50599999999999989</v>
      </c>
    </row>
    <row r="6505" spans="1:29">
      <c r="A6505" s="8" t="s">
        <v>14936</v>
      </c>
      <c r="B6505" s="17" t="s">
        <v>7748</v>
      </c>
      <c r="C6505" s="13">
        <v>38460</v>
      </c>
      <c r="D6505" s="13" t="s">
        <v>8465</v>
      </c>
      <c r="E6505" s="10" t="s">
        <v>86</v>
      </c>
      <c r="F6505" s="10" t="s">
        <v>9652</v>
      </c>
      <c r="H6505" s="2" t="s">
        <v>78</v>
      </c>
      <c r="L6505" s="18">
        <v>0</v>
      </c>
      <c r="Q6505" s="18">
        <v>0</v>
      </c>
      <c r="U6505" s="22">
        <v>0.73</v>
      </c>
      <c r="V6505" s="22">
        <f>3.22/5</f>
        <v>0.64400000000000002</v>
      </c>
      <c r="X6505" s="3">
        <v>3</v>
      </c>
      <c r="Z6505" s="23">
        <v>5.5</v>
      </c>
      <c r="AB6505" s="18">
        <f t="shared" si="202"/>
        <v>2005</v>
      </c>
      <c r="AC6505" s="22">
        <f t="shared" si="203"/>
        <v>0.65800000000000003</v>
      </c>
    </row>
    <row r="6506" spans="1:29">
      <c r="A6506" s="8" t="s">
        <v>5168</v>
      </c>
      <c r="B6506" s="17" t="s">
        <v>7800</v>
      </c>
      <c r="C6506" s="13">
        <v>38460</v>
      </c>
      <c r="D6506" s="13" t="s">
        <v>8465</v>
      </c>
      <c r="E6506" s="10" t="s">
        <v>3310</v>
      </c>
      <c r="F6506" s="10" t="s">
        <v>5167</v>
      </c>
      <c r="G6506" s="11" t="s">
        <v>5166</v>
      </c>
      <c r="H6506" s="2" t="s">
        <v>1143</v>
      </c>
      <c r="L6506" s="18">
        <v>1</v>
      </c>
      <c r="N6506" s="13">
        <v>41349</v>
      </c>
      <c r="O6506" s="29">
        <v>0</v>
      </c>
      <c r="P6506" s="18" t="s">
        <v>1107</v>
      </c>
      <c r="Q6506" s="18">
        <v>0</v>
      </c>
      <c r="U6506" s="22">
        <v>0.65</v>
      </c>
      <c r="V6506" s="22">
        <f>3.66/5</f>
        <v>0.73199999999999998</v>
      </c>
      <c r="W6506" s="14" t="s">
        <v>7777</v>
      </c>
      <c r="X6506" s="3">
        <v>2</v>
      </c>
      <c r="Z6506" s="23">
        <v>16</v>
      </c>
      <c r="AB6506" s="18">
        <f t="shared" si="202"/>
        <v>2005</v>
      </c>
      <c r="AC6506" s="22">
        <f t="shared" si="203"/>
        <v>0.59399999999999997</v>
      </c>
    </row>
    <row r="6507" spans="1:29" ht="25.5">
      <c r="A6507" s="8" t="s">
        <v>6674</v>
      </c>
      <c r="B6507" s="17" t="s">
        <v>7758</v>
      </c>
      <c r="C6507" s="13">
        <v>38457</v>
      </c>
      <c r="D6507" s="13" t="s">
        <v>8465</v>
      </c>
      <c r="E6507" s="10" t="s">
        <v>170</v>
      </c>
      <c r="F6507" s="10" t="s">
        <v>170</v>
      </c>
      <c r="G6507" s="11" t="s">
        <v>6671</v>
      </c>
      <c r="H6507" s="2" t="s">
        <v>459</v>
      </c>
      <c r="L6507" s="18">
        <v>0</v>
      </c>
      <c r="Q6507" s="18">
        <v>0</v>
      </c>
      <c r="U6507" s="22">
        <v>0.64</v>
      </c>
      <c r="V6507" s="22">
        <f>3.62/5</f>
        <v>0.72399999999999998</v>
      </c>
      <c r="X6507" s="3">
        <v>3</v>
      </c>
      <c r="Z6507" s="23">
        <v>3.5</v>
      </c>
      <c r="AB6507" s="18">
        <f t="shared" si="202"/>
        <v>2005</v>
      </c>
      <c r="AC6507" s="22">
        <f t="shared" si="203"/>
        <v>0.65466666666666662</v>
      </c>
    </row>
    <row r="6508" spans="1:29" ht="30">
      <c r="A6508" s="8" t="s">
        <v>4735</v>
      </c>
      <c r="B6508" s="17" t="s">
        <v>7800</v>
      </c>
      <c r="C6508" s="13">
        <v>38457</v>
      </c>
      <c r="D6508" s="13" t="s">
        <v>8465</v>
      </c>
      <c r="E6508" s="10" t="s">
        <v>3377</v>
      </c>
      <c r="F6508" s="10" t="s">
        <v>1598</v>
      </c>
      <c r="G6508" s="11" t="s">
        <v>4735</v>
      </c>
      <c r="H6508" s="2" t="s">
        <v>67</v>
      </c>
      <c r="L6508" s="18">
        <v>1</v>
      </c>
      <c r="N6508" s="13">
        <v>41436</v>
      </c>
      <c r="P6508" s="18" t="s">
        <v>1107</v>
      </c>
      <c r="Q6508" s="18">
        <v>0</v>
      </c>
      <c r="U6508" s="22">
        <v>0.76</v>
      </c>
      <c r="V6508" s="22">
        <f>3.71/5</f>
        <v>0.74199999999999999</v>
      </c>
      <c r="W6508" s="14" t="s">
        <v>7777</v>
      </c>
      <c r="X6508" s="3">
        <v>2</v>
      </c>
      <c r="Z6508" s="23">
        <v>7.5</v>
      </c>
      <c r="AB6508" s="18">
        <f t="shared" si="202"/>
        <v>2005</v>
      </c>
      <c r="AC6508" s="22">
        <f t="shared" si="203"/>
        <v>0.63400000000000001</v>
      </c>
    </row>
    <row r="6509" spans="1:29">
      <c r="A6509" s="8" t="s">
        <v>11556</v>
      </c>
      <c r="B6509" s="17" t="s">
        <v>7758</v>
      </c>
      <c r="C6509" s="13">
        <v>38454</v>
      </c>
      <c r="D6509" s="13" t="s">
        <v>8465</v>
      </c>
      <c r="E6509" s="10" t="s">
        <v>158</v>
      </c>
      <c r="F6509" s="10" t="s">
        <v>11557</v>
      </c>
      <c r="G6509" s="11" t="s">
        <v>11555</v>
      </c>
      <c r="H6509" s="2" t="s">
        <v>1168</v>
      </c>
      <c r="L6509" s="18">
        <v>0</v>
      </c>
      <c r="Q6509" s="18">
        <v>0</v>
      </c>
      <c r="U6509" s="22">
        <v>0.51</v>
      </c>
      <c r="V6509" s="22">
        <f>3.42/5</f>
        <v>0.68399999999999994</v>
      </c>
      <c r="X6509" s="3">
        <v>2</v>
      </c>
      <c r="Z6509" s="23">
        <v>7</v>
      </c>
      <c r="AB6509" s="18">
        <f t="shared" si="202"/>
        <v>2005</v>
      </c>
      <c r="AC6509" s="22">
        <f t="shared" si="203"/>
        <v>0.53133333333333332</v>
      </c>
    </row>
    <row r="6510" spans="1:29" ht="25.5">
      <c r="A6510" s="8" t="s">
        <v>8200</v>
      </c>
      <c r="B6510" s="17" t="s">
        <v>7758</v>
      </c>
      <c r="C6510" s="13">
        <v>38453</v>
      </c>
      <c r="D6510" s="13" t="s">
        <v>8465</v>
      </c>
      <c r="E6510" s="10" t="s">
        <v>1618</v>
      </c>
      <c r="F6510" s="10" t="s">
        <v>5883</v>
      </c>
      <c r="G6510" s="11" t="s">
        <v>8198</v>
      </c>
      <c r="H6510" s="2" t="s">
        <v>150</v>
      </c>
      <c r="L6510" s="18">
        <v>0</v>
      </c>
      <c r="Q6510" s="18">
        <v>0</v>
      </c>
      <c r="U6510" s="22">
        <v>0.86209999999999998</v>
      </c>
      <c r="V6510" s="22">
        <f>3.95/5</f>
        <v>0.79</v>
      </c>
      <c r="X6510" s="3">
        <v>3</v>
      </c>
      <c r="Z6510" s="23">
        <v>20</v>
      </c>
      <c r="AB6510" s="18">
        <f t="shared" si="202"/>
        <v>2005</v>
      </c>
      <c r="AC6510" s="22">
        <f t="shared" si="203"/>
        <v>0.75070000000000003</v>
      </c>
    </row>
    <row r="6511" spans="1:29">
      <c r="A6511" s="8" t="s">
        <v>11009</v>
      </c>
      <c r="B6511" s="17" t="s">
        <v>7755</v>
      </c>
      <c r="C6511" s="13">
        <v>38449</v>
      </c>
      <c r="D6511" s="13" t="s">
        <v>8463</v>
      </c>
      <c r="E6511" s="10" t="s">
        <v>11010</v>
      </c>
      <c r="F6511" s="10" t="s">
        <v>11010</v>
      </c>
      <c r="H6511" s="2" t="s">
        <v>21</v>
      </c>
      <c r="K6511" s="18">
        <v>2</v>
      </c>
      <c r="L6511" s="18">
        <v>0</v>
      </c>
      <c r="Q6511" s="18">
        <v>0</v>
      </c>
      <c r="V6511" s="22">
        <f>3.41/5</f>
        <v>0.68200000000000005</v>
      </c>
      <c r="X6511" s="3">
        <v>3</v>
      </c>
      <c r="AB6511" s="18">
        <f t="shared" si="202"/>
        <v>2005</v>
      </c>
      <c r="AC6511" s="22">
        <f t="shared" si="203"/>
        <v>0.64100000000000001</v>
      </c>
    </row>
    <row r="6512" spans="1:29" ht="30">
      <c r="A6512" s="8" t="s">
        <v>4561</v>
      </c>
      <c r="B6512" s="17" t="s">
        <v>7758</v>
      </c>
      <c r="C6512" s="13">
        <v>38448</v>
      </c>
      <c r="D6512" s="13" t="s">
        <v>8465</v>
      </c>
      <c r="E6512" s="10" t="s">
        <v>4562</v>
      </c>
      <c r="F6512" s="10" t="s">
        <v>4563</v>
      </c>
      <c r="G6512" s="11" t="s">
        <v>4561</v>
      </c>
      <c r="H6512" s="2" t="s">
        <v>1061</v>
      </c>
      <c r="L6512" s="18">
        <v>0</v>
      </c>
      <c r="Q6512" s="18">
        <v>0</v>
      </c>
      <c r="U6512" s="22">
        <v>0.67</v>
      </c>
      <c r="V6512" s="22">
        <f>3.6/5</f>
        <v>0.72</v>
      </c>
      <c r="X6512" s="3">
        <v>3</v>
      </c>
      <c r="Z6512" s="23">
        <v>6</v>
      </c>
      <c r="AB6512" s="18">
        <f t="shared" si="202"/>
        <v>2005</v>
      </c>
      <c r="AC6512" s="22">
        <f t="shared" si="203"/>
        <v>0.66333333333333344</v>
      </c>
    </row>
    <row r="6513" spans="1:29" ht="30">
      <c r="A6513" s="8" t="s">
        <v>4561</v>
      </c>
      <c r="B6513" s="17" t="s">
        <v>7800</v>
      </c>
      <c r="C6513" s="13">
        <v>38448</v>
      </c>
      <c r="D6513" s="13" t="s">
        <v>8465</v>
      </c>
      <c r="E6513" s="10" t="s">
        <v>4562</v>
      </c>
      <c r="F6513" s="10" t="s">
        <v>4563</v>
      </c>
      <c r="G6513" s="11" t="s">
        <v>4561</v>
      </c>
      <c r="H6513" s="2" t="s">
        <v>1061</v>
      </c>
      <c r="L6513" s="18">
        <v>1</v>
      </c>
      <c r="N6513" s="13">
        <v>43381</v>
      </c>
      <c r="O6513" s="29">
        <v>3.74</v>
      </c>
      <c r="P6513" s="18" t="s">
        <v>1107</v>
      </c>
      <c r="Q6513" s="18">
        <v>0</v>
      </c>
      <c r="U6513" s="22">
        <v>0.67</v>
      </c>
      <c r="V6513" s="22">
        <f>3.47/5</f>
        <v>0.69400000000000006</v>
      </c>
      <c r="W6513" s="14" t="s">
        <v>7777</v>
      </c>
      <c r="X6513" s="3">
        <v>3</v>
      </c>
      <c r="Z6513" s="23">
        <v>6</v>
      </c>
      <c r="AB6513" s="18">
        <f t="shared" si="202"/>
        <v>2005</v>
      </c>
      <c r="AC6513" s="22">
        <f t="shared" si="203"/>
        <v>0.65466666666666662</v>
      </c>
    </row>
    <row r="6514" spans="1:29" ht="30">
      <c r="A6514" s="8" t="s">
        <v>7424</v>
      </c>
      <c r="B6514" s="17" t="s">
        <v>7762</v>
      </c>
      <c r="C6514" s="13">
        <v>38448</v>
      </c>
      <c r="D6514" s="13" t="s">
        <v>8465</v>
      </c>
      <c r="E6514" s="10" t="s">
        <v>1527</v>
      </c>
      <c r="F6514" s="10" t="s">
        <v>7425</v>
      </c>
      <c r="G6514" s="11" t="s">
        <v>7412</v>
      </c>
      <c r="H6514" s="2" t="s">
        <v>27</v>
      </c>
      <c r="L6514" s="18">
        <v>0</v>
      </c>
      <c r="Q6514" s="18">
        <v>0</v>
      </c>
      <c r="U6514" s="22">
        <v>0.76</v>
      </c>
      <c r="V6514" s="22">
        <f>3.45/5</f>
        <v>0.69000000000000006</v>
      </c>
      <c r="X6514" s="3">
        <v>2</v>
      </c>
      <c r="Z6514" s="23">
        <v>6.5</v>
      </c>
      <c r="AB6514" s="18">
        <f t="shared" si="202"/>
        <v>2005</v>
      </c>
      <c r="AC6514" s="22">
        <f t="shared" si="203"/>
        <v>0.6166666666666667</v>
      </c>
    </row>
    <row r="6515" spans="1:29" ht="25.5">
      <c r="A6515" s="8" t="s">
        <v>5835</v>
      </c>
      <c r="B6515" s="17" t="s">
        <v>7758</v>
      </c>
      <c r="C6515" s="13">
        <v>38447</v>
      </c>
      <c r="D6515" s="13" t="s">
        <v>8465</v>
      </c>
      <c r="E6515" s="10" t="s">
        <v>228</v>
      </c>
      <c r="F6515" s="10" t="s">
        <v>228</v>
      </c>
      <c r="G6515" s="11" t="s">
        <v>1171</v>
      </c>
      <c r="H6515" s="2" t="s">
        <v>149</v>
      </c>
      <c r="L6515" s="18">
        <v>0</v>
      </c>
      <c r="Q6515" s="18">
        <v>0</v>
      </c>
      <c r="U6515" s="22">
        <v>0.8</v>
      </c>
      <c r="V6515" s="22">
        <f>4.15/5</f>
        <v>0.83000000000000007</v>
      </c>
      <c r="X6515" s="3">
        <v>4</v>
      </c>
      <c r="Z6515" s="23">
        <v>33.5</v>
      </c>
      <c r="AB6515" s="18">
        <f t="shared" si="202"/>
        <v>2005</v>
      </c>
      <c r="AC6515" s="22">
        <f t="shared" si="203"/>
        <v>0.81</v>
      </c>
    </row>
    <row r="6516" spans="1:29" ht="30">
      <c r="A6516" s="8" t="s">
        <v>9333</v>
      </c>
      <c r="B6516" s="17" t="s">
        <v>7758</v>
      </c>
      <c r="C6516" s="13">
        <v>38447</v>
      </c>
      <c r="D6516" s="13" t="s">
        <v>8465</v>
      </c>
      <c r="E6516" s="10" t="s">
        <v>2908</v>
      </c>
      <c r="F6516" s="10" t="s">
        <v>9334</v>
      </c>
      <c r="G6516" s="11" t="s">
        <v>8193</v>
      </c>
      <c r="H6516" s="2" t="s">
        <v>80</v>
      </c>
      <c r="L6516" s="18">
        <v>0</v>
      </c>
      <c r="Q6516" s="18">
        <v>0</v>
      </c>
      <c r="U6516" s="22">
        <v>0.68</v>
      </c>
      <c r="V6516" s="22">
        <f>3.21/5</f>
        <v>0.64200000000000002</v>
      </c>
      <c r="X6516" s="3">
        <v>3</v>
      </c>
      <c r="Z6516" s="23">
        <v>9</v>
      </c>
      <c r="AB6516" s="18">
        <f t="shared" si="202"/>
        <v>2005</v>
      </c>
      <c r="AC6516" s="22">
        <f t="shared" si="203"/>
        <v>0.64066666666666672</v>
      </c>
    </row>
    <row r="6517" spans="1:29">
      <c r="A6517" s="8" t="s">
        <v>14932</v>
      </c>
      <c r="B6517" s="17" t="s">
        <v>6317</v>
      </c>
      <c r="C6517" s="12">
        <v>38443</v>
      </c>
      <c r="D6517" s="13" t="s">
        <v>8465</v>
      </c>
      <c r="E6517" s="10" t="s">
        <v>72</v>
      </c>
      <c r="F6517" s="10" t="s">
        <v>2348</v>
      </c>
      <c r="G6517" s="11" t="s">
        <v>14930</v>
      </c>
      <c r="H6517" s="2" t="s">
        <v>1170</v>
      </c>
      <c r="L6517" s="18">
        <v>0</v>
      </c>
      <c r="Q6517" s="18">
        <v>0</v>
      </c>
      <c r="V6517" s="22">
        <f>3/5</f>
        <v>0.6</v>
      </c>
      <c r="X6517" s="3">
        <v>2</v>
      </c>
      <c r="AB6517" s="18">
        <f t="shared" si="202"/>
        <v>2005</v>
      </c>
      <c r="AC6517" s="22">
        <f t="shared" si="203"/>
        <v>0.5</v>
      </c>
    </row>
    <row r="6518" spans="1:29" ht="25.5">
      <c r="A6518" s="8" t="s">
        <v>12622</v>
      </c>
      <c r="B6518" s="17" t="s">
        <v>7800</v>
      </c>
      <c r="C6518" s="12">
        <v>38443</v>
      </c>
      <c r="D6518" s="13" t="s">
        <v>8465</v>
      </c>
      <c r="E6518" s="10" t="s">
        <v>3310</v>
      </c>
      <c r="F6518" s="10" t="s">
        <v>5167</v>
      </c>
      <c r="G6518" s="11" t="s">
        <v>5166</v>
      </c>
      <c r="H6518" s="2" t="s">
        <v>1143</v>
      </c>
      <c r="L6518" s="18">
        <v>1</v>
      </c>
      <c r="P6518" s="18" t="s">
        <v>1107</v>
      </c>
      <c r="Q6518" s="18">
        <v>0</v>
      </c>
      <c r="U6518" s="22">
        <v>0.45</v>
      </c>
      <c r="V6518" s="22">
        <f>3.53/5</f>
        <v>0.70599999999999996</v>
      </c>
      <c r="W6518" s="14" t="s">
        <v>7777</v>
      </c>
      <c r="X6518" s="3">
        <v>2</v>
      </c>
      <c r="Z6518" s="23">
        <v>41</v>
      </c>
      <c r="AB6518" s="18">
        <f t="shared" si="202"/>
        <v>2005</v>
      </c>
      <c r="AC6518" s="22">
        <f t="shared" si="203"/>
        <v>0.51866666666666672</v>
      </c>
    </row>
    <row r="6519" spans="1:29">
      <c r="A6519" s="8" t="s">
        <v>7137</v>
      </c>
      <c r="B6519" s="17" t="s">
        <v>7800</v>
      </c>
      <c r="C6519" s="13">
        <v>38442</v>
      </c>
      <c r="D6519" s="13" t="s">
        <v>8465</v>
      </c>
      <c r="E6519" s="10" t="s">
        <v>7222</v>
      </c>
      <c r="F6519" s="10" t="s">
        <v>7222</v>
      </c>
      <c r="H6519" s="2" t="s">
        <v>67</v>
      </c>
      <c r="L6519" s="18">
        <v>0</v>
      </c>
      <c r="Q6519" s="18">
        <v>0</v>
      </c>
      <c r="V6519" s="22">
        <f>3.58/5</f>
        <v>0.71599999999999997</v>
      </c>
      <c r="W6519" s="14" t="s">
        <v>5674</v>
      </c>
      <c r="X6519" s="3">
        <v>3</v>
      </c>
      <c r="Z6519" s="23">
        <v>1.5</v>
      </c>
      <c r="AB6519" s="18">
        <f t="shared" si="202"/>
        <v>2005</v>
      </c>
      <c r="AC6519" s="22">
        <f t="shared" si="203"/>
        <v>0.65799999999999992</v>
      </c>
    </row>
    <row r="6520" spans="1:29">
      <c r="A6520" s="8" t="s">
        <v>7940</v>
      </c>
      <c r="B6520" s="17" t="s">
        <v>7758</v>
      </c>
      <c r="C6520" s="13">
        <v>38440</v>
      </c>
      <c r="D6520" s="13" t="s">
        <v>8465</v>
      </c>
      <c r="E6520" s="10" t="s">
        <v>68</v>
      </c>
      <c r="F6520" s="10" t="s">
        <v>1471</v>
      </c>
      <c r="G6520" s="11" t="s">
        <v>7935</v>
      </c>
      <c r="H6520" s="2" t="s">
        <v>1059</v>
      </c>
      <c r="L6520" s="18">
        <v>0</v>
      </c>
      <c r="Q6520" s="18">
        <v>0</v>
      </c>
      <c r="U6520" s="22">
        <v>0.70179999999999998</v>
      </c>
      <c r="V6520" s="22">
        <f>4.06/5</f>
        <v>0.81199999999999994</v>
      </c>
      <c r="X6520" s="3">
        <v>2</v>
      </c>
      <c r="Z6520" s="23">
        <v>25</v>
      </c>
      <c r="AB6520" s="18">
        <f t="shared" si="202"/>
        <v>2005</v>
      </c>
      <c r="AC6520" s="22">
        <f t="shared" si="203"/>
        <v>0.63793333333333324</v>
      </c>
    </row>
    <row r="6521" spans="1:29">
      <c r="A6521" s="8" t="s">
        <v>14676</v>
      </c>
      <c r="B6521" s="17" t="s">
        <v>7764</v>
      </c>
      <c r="C6521" s="13">
        <v>38440</v>
      </c>
      <c r="D6521" s="13" t="s">
        <v>8465</v>
      </c>
      <c r="E6521" s="10" t="s">
        <v>455</v>
      </c>
      <c r="F6521" s="10" t="s">
        <v>1232</v>
      </c>
      <c r="G6521" s="11" t="s">
        <v>14674</v>
      </c>
      <c r="H6521" s="2" t="s">
        <v>153</v>
      </c>
      <c r="L6521" s="18">
        <v>0</v>
      </c>
      <c r="Q6521" s="18">
        <v>0</v>
      </c>
      <c r="U6521" s="22">
        <v>0.54</v>
      </c>
      <c r="V6521" s="22">
        <f>3.61/5</f>
        <v>0.72199999999999998</v>
      </c>
      <c r="X6521" s="3">
        <v>2</v>
      </c>
      <c r="AB6521" s="18">
        <f t="shared" si="202"/>
        <v>2005</v>
      </c>
      <c r="AC6521" s="22">
        <f t="shared" si="203"/>
        <v>0.55399999999999994</v>
      </c>
    </row>
    <row r="6522" spans="1:29" ht="25.5">
      <c r="A6522" s="8" t="s">
        <v>7460</v>
      </c>
      <c r="B6522" s="17" t="s">
        <v>7758</v>
      </c>
      <c r="C6522" s="13">
        <v>38439</v>
      </c>
      <c r="D6522" s="13" t="s">
        <v>8465</v>
      </c>
      <c r="E6522" s="10" t="s">
        <v>1047</v>
      </c>
      <c r="F6522" s="10" t="s">
        <v>1048</v>
      </c>
      <c r="G6522" s="11" t="s">
        <v>5430</v>
      </c>
      <c r="H6522" s="2" t="s">
        <v>245</v>
      </c>
      <c r="L6522" s="18">
        <v>0</v>
      </c>
      <c r="Q6522" s="18">
        <v>0</v>
      </c>
      <c r="U6522" s="22">
        <v>0.89</v>
      </c>
      <c r="V6522" s="22">
        <f>3.95/5</f>
        <v>0.79</v>
      </c>
      <c r="X6522" s="3">
        <v>3</v>
      </c>
      <c r="Z6522" s="23">
        <v>13</v>
      </c>
      <c r="AB6522" s="18">
        <f t="shared" si="202"/>
        <v>2005</v>
      </c>
      <c r="AC6522" s="22">
        <f t="shared" si="203"/>
        <v>0.76000000000000012</v>
      </c>
    </row>
    <row r="6523" spans="1:29" ht="30">
      <c r="A6523" s="8" t="s">
        <v>7832</v>
      </c>
      <c r="B6523" s="17" t="s">
        <v>7762</v>
      </c>
      <c r="C6523" s="13">
        <v>38435</v>
      </c>
      <c r="D6523" s="13" t="s">
        <v>8465</v>
      </c>
      <c r="E6523" s="10" t="s">
        <v>2908</v>
      </c>
      <c r="F6523" s="10" t="s">
        <v>7831</v>
      </c>
      <c r="G6523" s="11" t="s">
        <v>6050</v>
      </c>
      <c r="H6523" s="2" t="s">
        <v>150</v>
      </c>
      <c r="L6523" s="18">
        <v>0</v>
      </c>
      <c r="Q6523" s="18">
        <v>0</v>
      </c>
      <c r="U6523" s="22">
        <v>0.88260000000000005</v>
      </c>
      <c r="V6523" s="22">
        <f>3.83/5</f>
        <v>0.76600000000000001</v>
      </c>
      <c r="X6523" s="3">
        <v>3</v>
      </c>
      <c r="Z6523" s="23">
        <v>7</v>
      </c>
      <c r="AB6523" s="18">
        <f t="shared" si="202"/>
        <v>2005</v>
      </c>
      <c r="AC6523" s="22">
        <f t="shared" si="203"/>
        <v>0.74953333333333338</v>
      </c>
    </row>
    <row r="6524" spans="1:29" ht="30">
      <c r="A6524" s="8" t="s">
        <v>7475</v>
      </c>
      <c r="B6524" s="17" t="s">
        <v>7762</v>
      </c>
      <c r="C6524" s="13">
        <v>38435</v>
      </c>
      <c r="D6524" s="13" t="s">
        <v>8465</v>
      </c>
      <c r="E6524" s="10" t="s">
        <v>2908</v>
      </c>
      <c r="F6524" s="10" t="s">
        <v>7469</v>
      </c>
      <c r="G6524" s="11" t="s">
        <v>6067</v>
      </c>
      <c r="H6524" s="2" t="s">
        <v>1204</v>
      </c>
      <c r="L6524" s="18">
        <v>0</v>
      </c>
      <c r="Q6524" s="18">
        <v>0</v>
      </c>
      <c r="U6524" s="22">
        <v>0.79</v>
      </c>
      <c r="V6524" s="22">
        <f>3.73/5</f>
        <v>0.746</v>
      </c>
      <c r="X6524" s="3">
        <v>3</v>
      </c>
      <c r="Z6524" s="23">
        <v>3</v>
      </c>
      <c r="AB6524" s="18">
        <f t="shared" si="202"/>
        <v>2005</v>
      </c>
      <c r="AC6524" s="22">
        <f t="shared" si="203"/>
        <v>0.71200000000000008</v>
      </c>
    </row>
    <row r="6525" spans="1:29">
      <c r="A6525" s="8" t="s">
        <v>7669</v>
      </c>
      <c r="B6525" s="17" t="s">
        <v>7758</v>
      </c>
      <c r="C6525" s="13">
        <v>38435</v>
      </c>
      <c r="D6525" s="13" t="s">
        <v>8465</v>
      </c>
      <c r="E6525" s="10" t="s">
        <v>54</v>
      </c>
      <c r="F6525" s="10" t="s">
        <v>475</v>
      </c>
      <c r="G6525" s="11" t="s">
        <v>313</v>
      </c>
      <c r="H6525" s="2" t="s">
        <v>21</v>
      </c>
      <c r="L6525" s="18">
        <v>0</v>
      </c>
      <c r="Q6525" s="18">
        <v>0</v>
      </c>
      <c r="V6525" s="22">
        <f>3.42/5</f>
        <v>0.68399999999999994</v>
      </c>
      <c r="X6525" s="3">
        <v>3</v>
      </c>
      <c r="Z6525" s="23">
        <v>0.48</v>
      </c>
      <c r="AB6525" s="18">
        <f t="shared" si="202"/>
        <v>2005</v>
      </c>
      <c r="AC6525" s="22">
        <f t="shared" si="203"/>
        <v>0.6419999999999999</v>
      </c>
    </row>
    <row r="6526" spans="1:29" ht="38.25">
      <c r="A6526" s="8" t="s">
        <v>11581</v>
      </c>
      <c r="B6526" s="17" t="s">
        <v>7762</v>
      </c>
      <c r="C6526" s="13">
        <v>38435</v>
      </c>
      <c r="D6526" s="13" t="s">
        <v>8465</v>
      </c>
      <c r="E6526" s="10" t="s">
        <v>73</v>
      </c>
      <c r="F6526" s="10" t="s">
        <v>11582</v>
      </c>
      <c r="G6526" s="11" t="s">
        <v>444</v>
      </c>
      <c r="H6526" s="2" t="s">
        <v>459</v>
      </c>
      <c r="L6526" s="18">
        <v>0</v>
      </c>
      <c r="Q6526" s="18">
        <v>0</v>
      </c>
      <c r="U6526" s="22">
        <v>0.74</v>
      </c>
      <c r="V6526" s="22">
        <f>3.83/5</f>
        <v>0.76600000000000001</v>
      </c>
      <c r="X6526" s="3">
        <v>2</v>
      </c>
      <c r="Z6526" s="23">
        <v>1.5</v>
      </c>
      <c r="AB6526" s="18">
        <f t="shared" si="202"/>
        <v>2005</v>
      </c>
      <c r="AC6526" s="22">
        <f t="shared" si="203"/>
        <v>0.63533333333333342</v>
      </c>
    </row>
    <row r="6527" spans="1:29" ht="30">
      <c r="A6527" s="8" t="s">
        <v>8037</v>
      </c>
      <c r="B6527" s="17" t="s">
        <v>7762</v>
      </c>
      <c r="C6527" s="13">
        <v>38433</v>
      </c>
      <c r="D6527" s="13" t="s">
        <v>8465</v>
      </c>
      <c r="E6527" s="10" t="s">
        <v>158</v>
      </c>
      <c r="F6527" s="10" t="s">
        <v>158</v>
      </c>
      <c r="G6527" s="11" t="s">
        <v>8037</v>
      </c>
      <c r="H6527" s="2" t="s">
        <v>150</v>
      </c>
      <c r="L6527" s="18">
        <v>0</v>
      </c>
      <c r="Q6527" s="18">
        <v>0</v>
      </c>
      <c r="U6527" s="22">
        <v>0.88619999999999999</v>
      </c>
      <c r="V6527" s="22">
        <f>4.05/5</f>
        <v>0.80999999999999994</v>
      </c>
      <c r="X6527" s="3">
        <v>3</v>
      </c>
      <c r="Z6527" s="23">
        <v>6.5</v>
      </c>
      <c r="AB6527" s="18">
        <f t="shared" si="202"/>
        <v>2005</v>
      </c>
      <c r="AC6527" s="22">
        <f t="shared" si="203"/>
        <v>0.76539999999999997</v>
      </c>
    </row>
    <row r="6528" spans="1:29" ht="30">
      <c r="A6528" s="8" t="s">
        <v>6219</v>
      </c>
      <c r="B6528" s="17" t="s">
        <v>7762</v>
      </c>
      <c r="C6528" s="13">
        <v>38433</v>
      </c>
      <c r="D6528" s="13" t="s">
        <v>8465</v>
      </c>
      <c r="E6528" s="10" t="s">
        <v>72</v>
      </c>
      <c r="F6528" s="10" t="s">
        <v>72</v>
      </c>
      <c r="G6528" s="11" t="s">
        <v>220</v>
      </c>
      <c r="H6528" s="2" t="s">
        <v>245</v>
      </c>
      <c r="L6528" s="18">
        <v>0</v>
      </c>
      <c r="Q6528" s="18">
        <v>0</v>
      </c>
      <c r="U6528" s="22">
        <v>0.77</v>
      </c>
      <c r="V6528" s="22">
        <f>3.63/5</f>
        <v>0.72599999999999998</v>
      </c>
      <c r="X6528" s="3">
        <v>3</v>
      </c>
      <c r="Z6528" s="23">
        <v>20.5</v>
      </c>
      <c r="AB6528" s="18">
        <f t="shared" si="202"/>
        <v>2005</v>
      </c>
      <c r="AC6528" s="22">
        <f t="shared" si="203"/>
        <v>0.69866666666666666</v>
      </c>
    </row>
    <row r="6529" spans="1:29" ht="38.25">
      <c r="A6529" s="8" t="s">
        <v>12817</v>
      </c>
      <c r="B6529" s="17" t="s">
        <v>7762</v>
      </c>
      <c r="C6529" s="13">
        <v>38433</v>
      </c>
      <c r="D6529" s="13" t="s">
        <v>8465</v>
      </c>
      <c r="E6529" s="10" t="s">
        <v>8952</v>
      </c>
      <c r="F6529" s="10" t="s">
        <v>8952</v>
      </c>
      <c r="G6529" s="11" t="s">
        <v>12816</v>
      </c>
      <c r="H6529" s="2" t="s">
        <v>171</v>
      </c>
      <c r="L6529" s="18">
        <v>0</v>
      </c>
      <c r="Q6529" s="18">
        <v>0</v>
      </c>
      <c r="U6529" s="22">
        <v>0.68</v>
      </c>
      <c r="V6529" s="22">
        <f>3.41/5</f>
        <v>0.68200000000000005</v>
      </c>
      <c r="X6529" s="3">
        <v>2</v>
      </c>
      <c r="Z6529" s="23">
        <v>8.5</v>
      </c>
      <c r="AB6529" s="18">
        <f t="shared" ref="AB6529:AB6592" si="204">IFERROR(YEAR(C6529), "Early Access")</f>
        <v>2005</v>
      </c>
      <c r="AC6529" s="22">
        <f t="shared" ref="AC6529:AC6592" si="205">AVERAGE(T6529, U6529, V6529, IF(ISBLANK(X6529), X6529, X6529/5))</f>
        <v>0.58733333333333337</v>
      </c>
    </row>
    <row r="6530" spans="1:29">
      <c r="A6530" s="8" t="s">
        <v>8182</v>
      </c>
      <c r="B6530" s="17" t="s">
        <v>7758</v>
      </c>
      <c r="C6530" s="13">
        <v>38433</v>
      </c>
      <c r="D6530" s="13" t="s">
        <v>8465</v>
      </c>
      <c r="E6530" s="10" t="s">
        <v>455</v>
      </c>
      <c r="F6530" s="10" t="s">
        <v>1974</v>
      </c>
      <c r="G6530" s="11" t="s">
        <v>1661</v>
      </c>
      <c r="H6530" s="2" t="s">
        <v>171</v>
      </c>
      <c r="L6530" s="18">
        <v>0</v>
      </c>
      <c r="Q6530" s="18">
        <v>0</v>
      </c>
      <c r="U6530" s="22">
        <v>0.58009999999999995</v>
      </c>
      <c r="V6530" s="22">
        <f>3.44/5</f>
        <v>0.68799999999999994</v>
      </c>
      <c r="X6530" s="3">
        <v>2</v>
      </c>
      <c r="Z6530" s="23">
        <v>15</v>
      </c>
      <c r="AB6530" s="18">
        <f t="shared" si="204"/>
        <v>2005</v>
      </c>
      <c r="AC6530" s="22">
        <f t="shared" si="205"/>
        <v>0.55603333333333327</v>
      </c>
    </row>
    <row r="6531" spans="1:29" ht="25.5">
      <c r="A6531" s="8" t="s">
        <v>5848</v>
      </c>
      <c r="B6531" s="17" t="s">
        <v>7758</v>
      </c>
      <c r="C6531" s="13">
        <v>38432</v>
      </c>
      <c r="D6531" s="13" t="s">
        <v>8465</v>
      </c>
      <c r="E6531" s="10" t="s">
        <v>1870</v>
      </c>
      <c r="F6531" s="10" t="s">
        <v>5888</v>
      </c>
      <c r="G6531" s="11" t="s">
        <v>5889</v>
      </c>
      <c r="H6531" s="2" t="s">
        <v>1050</v>
      </c>
      <c r="L6531" s="18">
        <v>0</v>
      </c>
      <c r="Q6531" s="18">
        <v>0</v>
      </c>
      <c r="U6531" s="22">
        <v>0.86</v>
      </c>
      <c r="V6531" s="22">
        <f>4.21/5</f>
        <v>0.84199999999999997</v>
      </c>
      <c r="X6531" s="3">
        <v>4</v>
      </c>
      <c r="Z6531" s="23">
        <v>8.5</v>
      </c>
      <c r="AB6531" s="18">
        <f t="shared" si="204"/>
        <v>2005</v>
      </c>
      <c r="AC6531" s="22">
        <f t="shared" si="205"/>
        <v>0.83399999999999996</v>
      </c>
    </row>
    <row r="6532" spans="1:29" ht="30">
      <c r="A6532" s="8" t="s">
        <v>6635</v>
      </c>
      <c r="B6532" s="17" t="s">
        <v>7740</v>
      </c>
      <c r="C6532" s="13">
        <v>38428</v>
      </c>
      <c r="D6532" s="13" t="s">
        <v>8463</v>
      </c>
      <c r="E6532" s="10" t="s">
        <v>86</v>
      </c>
      <c r="F6532" s="10" t="s">
        <v>158</v>
      </c>
      <c r="G6532" s="11" t="s">
        <v>1254</v>
      </c>
      <c r="H6532" s="2" t="s">
        <v>1220</v>
      </c>
      <c r="K6532" s="18">
        <v>0</v>
      </c>
      <c r="L6532" s="18">
        <v>0</v>
      </c>
      <c r="Q6532" s="18">
        <v>0</v>
      </c>
      <c r="V6532" s="22">
        <f>3.46/5</f>
        <v>0.69199999999999995</v>
      </c>
      <c r="X6532" s="3">
        <v>2</v>
      </c>
      <c r="Z6532" s="23">
        <v>6</v>
      </c>
      <c r="AB6532" s="18">
        <f t="shared" si="204"/>
        <v>2005</v>
      </c>
      <c r="AC6532" s="22">
        <f t="shared" si="205"/>
        <v>0.54600000000000004</v>
      </c>
    </row>
    <row r="6533" spans="1:29" ht="30">
      <c r="A6533" s="8" t="s">
        <v>7935</v>
      </c>
      <c r="B6533" s="17" t="s">
        <v>7762</v>
      </c>
      <c r="C6533" s="13">
        <v>38427</v>
      </c>
      <c r="D6533" s="13" t="s">
        <v>8465</v>
      </c>
      <c r="E6533" s="10" t="s">
        <v>68</v>
      </c>
      <c r="F6533" s="10" t="s">
        <v>1471</v>
      </c>
      <c r="G6533" s="11" t="s">
        <v>7935</v>
      </c>
      <c r="H6533" s="2" t="s">
        <v>1059</v>
      </c>
      <c r="L6533" s="18">
        <v>0</v>
      </c>
      <c r="Q6533" s="18">
        <v>0</v>
      </c>
      <c r="U6533" s="22">
        <v>0.63800000000000001</v>
      </c>
      <c r="V6533" s="22">
        <f>3.24/5</f>
        <v>0.64800000000000002</v>
      </c>
      <c r="X6533" s="3">
        <v>2</v>
      </c>
      <c r="Z6533" s="23">
        <v>8.5</v>
      </c>
      <c r="AB6533" s="18">
        <f t="shared" si="204"/>
        <v>2005</v>
      </c>
      <c r="AC6533" s="22">
        <f t="shared" si="205"/>
        <v>0.56199999999999994</v>
      </c>
    </row>
    <row r="6534" spans="1:29">
      <c r="A6534" s="8" t="s">
        <v>5796</v>
      </c>
      <c r="B6534" s="17" t="s">
        <v>7758</v>
      </c>
      <c r="C6534" s="13">
        <v>38426</v>
      </c>
      <c r="D6534" s="13" t="s">
        <v>8465</v>
      </c>
      <c r="E6534" s="10" t="s">
        <v>1047</v>
      </c>
      <c r="F6534" s="10" t="s">
        <v>5878</v>
      </c>
      <c r="H6534" s="2" t="s">
        <v>1061</v>
      </c>
      <c r="L6534" s="18">
        <v>0</v>
      </c>
      <c r="Q6534" s="18">
        <v>0</v>
      </c>
      <c r="U6534" s="22">
        <v>0.7</v>
      </c>
      <c r="V6534" s="22">
        <f>3.5/5</f>
        <v>0.7</v>
      </c>
      <c r="X6534" s="3">
        <v>4</v>
      </c>
      <c r="Z6534" s="23">
        <v>7</v>
      </c>
      <c r="AB6534" s="18">
        <f t="shared" si="204"/>
        <v>2005</v>
      </c>
      <c r="AC6534" s="22">
        <f t="shared" si="205"/>
        <v>0.73333333333333339</v>
      </c>
    </row>
    <row r="6535" spans="1:29" ht="25.5">
      <c r="A6535" s="8" t="s">
        <v>6742</v>
      </c>
      <c r="B6535" s="17" t="s">
        <v>7758</v>
      </c>
      <c r="C6535" s="13">
        <v>38426</v>
      </c>
      <c r="D6535" s="13" t="s">
        <v>8465</v>
      </c>
      <c r="E6535" s="10" t="s">
        <v>455</v>
      </c>
      <c r="F6535" s="10" t="s">
        <v>455</v>
      </c>
      <c r="G6535" s="11" t="s">
        <v>1065</v>
      </c>
      <c r="H6535" s="2" t="s">
        <v>1040</v>
      </c>
      <c r="L6535" s="18">
        <v>0</v>
      </c>
      <c r="Q6535" s="18">
        <v>0</v>
      </c>
      <c r="U6535" s="22">
        <v>0.78</v>
      </c>
      <c r="V6535" s="22">
        <f>3.55/5</f>
        <v>0.71</v>
      </c>
      <c r="X6535" s="3">
        <v>3</v>
      </c>
      <c r="Z6535" s="23">
        <v>5</v>
      </c>
      <c r="AB6535" s="18">
        <f t="shared" si="204"/>
        <v>2005</v>
      </c>
      <c r="AC6535" s="22">
        <f t="shared" si="205"/>
        <v>0.69666666666666666</v>
      </c>
    </row>
    <row r="6536" spans="1:29" ht="30">
      <c r="A6536" s="8" t="s">
        <v>2085</v>
      </c>
      <c r="B6536" s="17" t="s">
        <v>7747</v>
      </c>
      <c r="C6536" s="13">
        <v>38426</v>
      </c>
      <c r="D6536" s="13" t="s">
        <v>8465</v>
      </c>
      <c r="E6536" s="10" t="s">
        <v>1047</v>
      </c>
      <c r="F6536" s="10" t="s">
        <v>1970</v>
      </c>
      <c r="G6536" s="11" t="s">
        <v>1477</v>
      </c>
      <c r="H6536" s="2" t="s">
        <v>64</v>
      </c>
      <c r="L6536" s="18">
        <v>0</v>
      </c>
      <c r="Q6536" s="18">
        <v>0</v>
      </c>
      <c r="U6536" s="22">
        <v>0.59</v>
      </c>
      <c r="V6536" s="22">
        <f>3.12/5</f>
        <v>0.624</v>
      </c>
      <c r="X6536" s="3">
        <v>3</v>
      </c>
      <c r="Z6536" s="23">
        <v>2.5</v>
      </c>
      <c r="AB6536" s="18">
        <f t="shared" si="204"/>
        <v>2005</v>
      </c>
      <c r="AC6536" s="22">
        <f t="shared" si="205"/>
        <v>0.60466666666666669</v>
      </c>
    </row>
    <row r="6537" spans="1:29" ht="30">
      <c r="A6537" s="8" t="s">
        <v>992</v>
      </c>
      <c r="B6537" s="17" t="s">
        <v>7740</v>
      </c>
      <c r="C6537" s="13">
        <v>38425</v>
      </c>
      <c r="D6537" s="13" t="s">
        <v>8465</v>
      </c>
      <c r="E6537" s="10" t="s">
        <v>86</v>
      </c>
      <c r="F6537" s="10" t="s">
        <v>87</v>
      </c>
      <c r="G6537" s="11" t="s">
        <v>1254</v>
      </c>
      <c r="H6537" s="2" t="s">
        <v>64</v>
      </c>
      <c r="L6537" s="18">
        <v>0</v>
      </c>
      <c r="Q6537" s="18">
        <v>0</v>
      </c>
      <c r="U6537" s="22">
        <v>0.82</v>
      </c>
      <c r="V6537" s="22">
        <f>3.79/5</f>
        <v>0.75800000000000001</v>
      </c>
      <c r="X6537" s="3">
        <v>4</v>
      </c>
      <c r="Z6537" s="23">
        <v>5</v>
      </c>
      <c r="AB6537" s="18">
        <f t="shared" si="204"/>
        <v>2005</v>
      </c>
      <c r="AC6537" s="22">
        <f t="shared" si="205"/>
        <v>0.79266666666666674</v>
      </c>
    </row>
    <row r="6538" spans="1:29">
      <c r="A6538" s="8" t="s">
        <v>7709</v>
      </c>
      <c r="B6538" s="17" t="s">
        <v>7748</v>
      </c>
      <c r="C6538" s="13">
        <v>38424</v>
      </c>
      <c r="D6538" s="13" t="s">
        <v>8465</v>
      </c>
      <c r="E6538" s="10" t="s">
        <v>86</v>
      </c>
      <c r="F6538" s="10" t="s">
        <v>7701</v>
      </c>
      <c r="G6538" s="11" t="s">
        <v>1470</v>
      </c>
      <c r="H6538" s="2" t="s">
        <v>150</v>
      </c>
      <c r="L6538" s="18">
        <v>0</v>
      </c>
      <c r="Q6538" s="18">
        <v>0</v>
      </c>
      <c r="U6538" s="22">
        <v>0.49</v>
      </c>
      <c r="V6538" s="22">
        <f>2.65/5</f>
        <v>0.53</v>
      </c>
      <c r="X6538" s="3">
        <v>2</v>
      </c>
      <c r="Z6538" s="23">
        <v>1.5</v>
      </c>
      <c r="AB6538" s="18">
        <f t="shared" si="204"/>
        <v>2005</v>
      </c>
      <c r="AC6538" s="22">
        <f t="shared" si="205"/>
        <v>0.47333333333333333</v>
      </c>
    </row>
    <row r="6539" spans="1:29" ht="25.5">
      <c r="A6539" s="8" t="s">
        <v>11537</v>
      </c>
      <c r="B6539" s="17" t="s">
        <v>7800</v>
      </c>
      <c r="C6539" s="13">
        <v>38419</v>
      </c>
      <c r="D6539" s="13" t="s">
        <v>8465</v>
      </c>
      <c r="E6539" s="10" t="s">
        <v>1047</v>
      </c>
      <c r="F6539" s="10" t="s">
        <v>3154</v>
      </c>
      <c r="G6539" s="11" t="s">
        <v>3379</v>
      </c>
      <c r="H6539" s="2" t="s">
        <v>1050</v>
      </c>
      <c r="L6539" s="18">
        <v>0</v>
      </c>
      <c r="Q6539" s="18">
        <v>0</v>
      </c>
      <c r="U6539" s="22">
        <v>0.87</v>
      </c>
      <c r="V6539" s="22">
        <f>3.5/5</f>
        <v>0.7</v>
      </c>
      <c r="X6539" s="3">
        <v>3</v>
      </c>
      <c r="Z6539" s="23">
        <v>8</v>
      </c>
      <c r="AB6539" s="18">
        <f t="shared" si="204"/>
        <v>2005</v>
      </c>
      <c r="AC6539" s="22">
        <f t="shared" si="205"/>
        <v>0.72333333333333327</v>
      </c>
    </row>
    <row r="6540" spans="1:29" ht="30">
      <c r="A6540" s="8" t="s">
        <v>11056</v>
      </c>
      <c r="B6540" s="17" t="s">
        <v>7800</v>
      </c>
      <c r="C6540" s="13">
        <v>38419</v>
      </c>
      <c r="D6540" s="13" t="s">
        <v>8465</v>
      </c>
      <c r="E6540" s="10" t="s">
        <v>9994</v>
      </c>
      <c r="F6540" s="10" t="s">
        <v>11057</v>
      </c>
      <c r="H6540" s="2" t="s">
        <v>1050</v>
      </c>
      <c r="L6540" s="18">
        <v>0</v>
      </c>
      <c r="Q6540" s="18">
        <v>0</v>
      </c>
      <c r="U6540" s="22">
        <v>0.4</v>
      </c>
      <c r="V6540" s="22">
        <f>1.57/5</f>
        <v>0.314</v>
      </c>
      <c r="X6540" s="3">
        <v>2</v>
      </c>
      <c r="Z6540" s="23">
        <v>12</v>
      </c>
      <c r="AB6540" s="18">
        <f t="shared" si="204"/>
        <v>2005</v>
      </c>
      <c r="AC6540" s="22">
        <f t="shared" si="205"/>
        <v>0.37133333333333329</v>
      </c>
    </row>
    <row r="6541" spans="1:29" ht="25.5">
      <c r="A6541" s="8" t="s">
        <v>3932</v>
      </c>
      <c r="B6541" s="17" t="s">
        <v>7800</v>
      </c>
      <c r="C6541" s="13">
        <v>38419</v>
      </c>
      <c r="D6541" s="13" t="s">
        <v>8465</v>
      </c>
      <c r="E6541" s="10" t="s">
        <v>3315</v>
      </c>
      <c r="F6541" s="10" t="s">
        <v>3315</v>
      </c>
      <c r="G6541" s="11" t="s">
        <v>3931</v>
      </c>
      <c r="H6541" s="2" t="s">
        <v>3279</v>
      </c>
      <c r="L6541" s="18">
        <v>1</v>
      </c>
      <c r="N6541" s="13">
        <v>43413</v>
      </c>
      <c r="O6541" s="29">
        <v>0.93</v>
      </c>
      <c r="P6541" s="18" t="s">
        <v>1107</v>
      </c>
      <c r="Q6541" s="18">
        <v>0</v>
      </c>
      <c r="U6541" s="22">
        <v>0.86</v>
      </c>
      <c r="V6541" s="22">
        <f>3.87/5</f>
        <v>0.77400000000000002</v>
      </c>
      <c r="W6541" s="14" t="s">
        <v>7777</v>
      </c>
      <c r="X6541" s="3">
        <v>4</v>
      </c>
      <c r="Z6541" s="23">
        <v>10.5</v>
      </c>
      <c r="AB6541" s="18">
        <f t="shared" si="204"/>
        <v>2005</v>
      </c>
      <c r="AC6541" s="22">
        <f t="shared" si="205"/>
        <v>0.81133333333333335</v>
      </c>
    </row>
    <row r="6542" spans="1:29" ht="30">
      <c r="A6542" s="8" t="s">
        <v>4209</v>
      </c>
      <c r="B6542" s="17" t="s">
        <v>7800</v>
      </c>
      <c r="C6542" s="13">
        <v>38414</v>
      </c>
      <c r="D6542" s="13" t="s">
        <v>8465</v>
      </c>
      <c r="E6542" s="10" t="s">
        <v>4210</v>
      </c>
      <c r="F6542" s="10" t="s">
        <v>3152</v>
      </c>
      <c r="G6542" s="11" t="s">
        <v>4211</v>
      </c>
      <c r="H6542" s="2" t="s">
        <v>1050</v>
      </c>
      <c r="L6542" s="18">
        <v>1</v>
      </c>
      <c r="N6542" s="13">
        <v>42005</v>
      </c>
      <c r="O6542" s="29">
        <v>1.19</v>
      </c>
      <c r="P6542" s="18" t="s">
        <v>1107</v>
      </c>
      <c r="Q6542" s="18">
        <v>0</v>
      </c>
      <c r="U6542" s="22">
        <v>0.65</v>
      </c>
      <c r="V6542" s="22">
        <f>3.17/5</f>
        <v>0.63400000000000001</v>
      </c>
      <c r="W6542" s="14" t="s">
        <v>7777</v>
      </c>
      <c r="X6542" s="3">
        <v>3</v>
      </c>
      <c r="Z6542" s="23">
        <v>4</v>
      </c>
      <c r="AB6542" s="18">
        <f t="shared" si="204"/>
        <v>2005</v>
      </c>
      <c r="AC6542" s="22">
        <f t="shared" si="205"/>
        <v>0.628</v>
      </c>
    </row>
    <row r="6543" spans="1:29" ht="25.5">
      <c r="A6543" s="8" t="s">
        <v>5801</v>
      </c>
      <c r="B6543" s="17" t="s">
        <v>7758</v>
      </c>
      <c r="C6543" s="13">
        <v>38412</v>
      </c>
      <c r="D6543" s="13" t="s">
        <v>8465</v>
      </c>
      <c r="E6543" s="10" t="s">
        <v>73</v>
      </c>
      <c r="F6543" s="10" t="s">
        <v>73</v>
      </c>
      <c r="G6543" s="11" t="s">
        <v>3655</v>
      </c>
      <c r="H6543" s="2" t="s">
        <v>1059</v>
      </c>
      <c r="L6543" s="18">
        <v>0</v>
      </c>
      <c r="Q6543" s="18">
        <v>0</v>
      </c>
      <c r="U6543" s="22">
        <v>0.84</v>
      </c>
      <c r="V6543" s="22">
        <f>4.23/5</f>
        <v>0.84600000000000009</v>
      </c>
      <c r="X6543" s="3">
        <v>4</v>
      </c>
      <c r="Z6543" s="23">
        <v>12</v>
      </c>
      <c r="AB6543" s="18">
        <f t="shared" si="204"/>
        <v>2005</v>
      </c>
      <c r="AC6543" s="22">
        <f t="shared" si="205"/>
        <v>0.82866666666666655</v>
      </c>
    </row>
    <row r="6544" spans="1:29" ht="25.5">
      <c r="A6544" s="8" t="s">
        <v>5124</v>
      </c>
      <c r="B6544" s="17" t="s">
        <v>7800</v>
      </c>
      <c r="C6544" s="13">
        <v>38412</v>
      </c>
      <c r="D6544" s="13" t="s">
        <v>8465</v>
      </c>
      <c r="E6544" s="10" t="s">
        <v>1284</v>
      </c>
      <c r="F6544" s="10" t="s">
        <v>1284</v>
      </c>
      <c r="G6544" s="11" t="s">
        <v>1481</v>
      </c>
      <c r="H6544" s="2" t="s">
        <v>1050</v>
      </c>
      <c r="L6544" s="18">
        <v>1</v>
      </c>
      <c r="N6544" s="13">
        <v>42038</v>
      </c>
      <c r="P6544" s="18" t="s">
        <v>1107</v>
      </c>
      <c r="Q6544" s="18">
        <v>0</v>
      </c>
      <c r="U6544" s="22">
        <v>0.79</v>
      </c>
      <c r="V6544" s="22">
        <f>3.87/5</f>
        <v>0.77400000000000002</v>
      </c>
      <c r="W6544" s="14" t="s">
        <v>7777</v>
      </c>
      <c r="X6544" s="3">
        <v>4</v>
      </c>
      <c r="Z6544" s="23">
        <v>9</v>
      </c>
      <c r="AB6544" s="18">
        <f t="shared" si="204"/>
        <v>2005</v>
      </c>
      <c r="AC6544" s="22">
        <f t="shared" si="205"/>
        <v>0.78799999999999992</v>
      </c>
    </row>
    <row r="6545" spans="1:29" ht="30">
      <c r="A6545" s="8" t="s">
        <v>13217</v>
      </c>
      <c r="B6545" s="17" t="s">
        <v>7747</v>
      </c>
      <c r="C6545" s="13">
        <v>38411</v>
      </c>
      <c r="D6545" s="13" t="s">
        <v>8465</v>
      </c>
      <c r="E6545" s="10" t="s">
        <v>7830</v>
      </c>
      <c r="F6545" s="10" t="s">
        <v>1956</v>
      </c>
      <c r="H6545" s="2" t="s">
        <v>1050</v>
      </c>
      <c r="L6545" s="18">
        <v>0</v>
      </c>
      <c r="Q6545" s="18">
        <v>0</v>
      </c>
      <c r="V6545" s="22">
        <f>2.38/5</f>
        <v>0.47599999999999998</v>
      </c>
      <c r="X6545" s="3">
        <v>2</v>
      </c>
      <c r="Z6545" s="23">
        <v>2</v>
      </c>
      <c r="AB6545" s="18">
        <f t="shared" si="204"/>
        <v>2005</v>
      </c>
      <c r="AC6545" s="22">
        <f t="shared" si="205"/>
        <v>0.438</v>
      </c>
    </row>
    <row r="6546" spans="1:29" ht="25.5">
      <c r="A6546" s="8" t="s">
        <v>14603</v>
      </c>
      <c r="B6546" s="17" t="s">
        <v>7764</v>
      </c>
      <c r="C6546" s="13">
        <v>38411</v>
      </c>
      <c r="D6546" s="13" t="s">
        <v>8465</v>
      </c>
      <c r="E6546" s="10" t="s">
        <v>14604</v>
      </c>
      <c r="F6546" s="10" t="s">
        <v>2456</v>
      </c>
      <c r="H6546" s="2" t="s">
        <v>80</v>
      </c>
      <c r="L6546" s="18">
        <v>0</v>
      </c>
      <c r="Q6546" s="18">
        <v>0</v>
      </c>
      <c r="U6546" s="22">
        <v>0.73</v>
      </c>
      <c r="V6546" s="22">
        <f>3.51/5</f>
        <v>0.70199999999999996</v>
      </c>
      <c r="X6546" s="3">
        <v>2</v>
      </c>
      <c r="Z6546" s="23">
        <v>14</v>
      </c>
      <c r="AB6546" s="18">
        <f t="shared" si="204"/>
        <v>2005</v>
      </c>
      <c r="AC6546" s="22">
        <f t="shared" si="205"/>
        <v>0.61066666666666658</v>
      </c>
    </row>
    <row r="6547" spans="1:29">
      <c r="A6547" s="8" t="s">
        <v>1938</v>
      </c>
      <c r="B6547" s="17" t="s">
        <v>7758</v>
      </c>
      <c r="C6547" s="13">
        <v>38408</v>
      </c>
      <c r="D6547" s="13" t="s">
        <v>8467</v>
      </c>
      <c r="E6547" s="10" t="s">
        <v>455</v>
      </c>
      <c r="F6547" s="10" t="s">
        <v>455</v>
      </c>
      <c r="G6547" s="11" t="s">
        <v>1938</v>
      </c>
      <c r="H6547" s="2" t="s">
        <v>153</v>
      </c>
      <c r="L6547" s="18">
        <v>0</v>
      </c>
      <c r="Q6547" s="18">
        <v>0</v>
      </c>
      <c r="U6547" s="22">
        <v>0.50170000000000003</v>
      </c>
      <c r="V6547" s="22">
        <f>3.66/5</f>
        <v>0.73199999999999998</v>
      </c>
      <c r="X6547" s="3">
        <v>2</v>
      </c>
      <c r="Z6547" s="23">
        <v>11</v>
      </c>
      <c r="AB6547" s="18">
        <f t="shared" si="204"/>
        <v>2005</v>
      </c>
      <c r="AC6547" s="22">
        <f t="shared" si="205"/>
        <v>0.54456666666666675</v>
      </c>
    </row>
    <row r="6548" spans="1:29">
      <c r="A6548" s="8" t="s">
        <v>8080</v>
      </c>
      <c r="B6548" s="17" t="s">
        <v>7758</v>
      </c>
      <c r="C6548" s="13">
        <v>38407</v>
      </c>
      <c r="D6548" s="13" t="s">
        <v>8465</v>
      </c>
      <c r="E6548" s="10" t="s">
        <v>158</v>
      </c>
      <c r="F6548" s="10" t="s">
        <v>158</v>
      </c>
      <c r="G6548" s="11" t="s">
        <v>8076</v>
      </c>
      <c r="H6548" s="2" t="s">
        <v>459</v>
      </c>
      <c r="L6548" s="18">
        <v>0</v>
      </c>
      <c r="Q6548" s="18">
        <v>0</v>
      </c>
      <c r="U6548" s="22">
        <v>0.89200000000000002</v>
      </c>
      <c r="V6548" s="22">
        <f>4.14/5</f>
        <v>0.82799999999999996</v>
      </c>
      <c r="X6548" s="3">
        <v>2</v>
      </c>
      <c r="Z6548" s="23">
        <v>2.5</v>
      </c>
      <c r="AB6548" s="18">
        <f t="shared" si="204"/>
        <v>2005</v>
      </c>
      <c r="AC6548" s="22">
        <f t="shared" si="205"/>
        <v>0.70666666666666667</v>
      </c>
    </row>
    <row r="6549" spans="1:29" ht="30">
      <c r="A6549" s="8" t="s">
        <v>2013</v>
      </c>
      <c r="B6549" s="17" t="s">
        <v>7747</v>
      </c>
      <c r="C6549" s="13">
        <v>38406</v>
      </c>
      <c r="D6549" s="13" t="s">
        <v>8465</v>
      </c>
      <c r="E6549" s="10" t="s">
        <v>158</v>
      </c>
      <c r="F6549" s="10" t="s">
        <v>63</v>
      </c>
      <c r="G6549" s="11" t="s">
        <v>1003</v>
      </c>
      <c r="H6549" s="2" t="s">
        <v>64</v>
      </c>
      <c r="L6549" s="18">
        <v>0</v>
      </c>
      <c r="Q6549" s="18">
        <v>0</v>
      </c>
      <c r="U6549" s="22">
        <v>0.78</v>
      </c>
      <c r="V6549" s="22">
        <f>3.84/5</f>
        <v>0.76800000000000002</v>
      </c>
      <c r="X6549" s="3">
        <v>3</v>
      </c>
      <c r="Z6549" s="23">
        <v>7.5</v>
      </c>
      <c r="AB6549" s="18">
        <f t="shared" si="204"/>
        <v>2005</v>
      </c>
      <c r="AC6549" s="22">
        <f t="shared" si="205"/>
        <v>0.71600000000000008</v>
      </c>
    </row>
    <row r="6550" spans="1:29" ht="30">
      <c r="A6550" s="8" t="s">
        <v>8021</v>
      </c>
      <c r="B6550" s="17" t="s">
        <v>7758</v>
      </c>
      <c r="C6550" s="13">
        <v>38405</v>
      </c>
      <c r="D6550" s="13" t="s">
        <v>8465</v>
      </c>
      <c r="E6550" s="10" t="s">
        <v>2908</v>
      </c>
      <c r="F6550" s="10" t="s">
        <v>8019</v>
      </c>
      <c r="G6550" s="11" t="s">
        <v>8016</v>
      </c>
      <c r="H6550" s="2" t="s">
        <v>150</v>
      </c>
      <c r="L6550" s="18">
        <v>0</v>
      </c>
      <c r="Q6550" s="18">
        <v>0</v>
      </c>
      <c r="U6550" s="22">
        <v>0.89529999999999998</v>
      </c>
      <c r="V6550" s="22">
        <f>4.25/5</f>
        <v>0.85</v>
      </c>
      <c r="X6550" s="3">
        <v>3</v>
      </c>
      <c r="Z6550" s="23">
        <v>77</v>
      </c>
      <c r="AB6550" s="18">
        <f t="shared" si="204"/>
        <v>2005</v>
      </c>
      <c r="AC6550" s="22">
        <f t="shared" si="205"/>
        <v>0.78176666666666661</v>
      </c>
    </row>
    <row r="6551" spans="1:29">
      <c r="A6551" s="8" t="s">
        <v>9679</v>
      </c>
      <c r="B6551" s="17" t="s">
        <v>7758</v>
      </c>
      <c r="C6551" s="13">
        <v>38405</v>
      </c>
      <c r="D6551" s="13" t="s">
        <v>8465</v>
      </c>
      <c r="E6551" s="10" t="s">
        <v>68</v>
      </c>
      <c r="F6551" s="10" t="s">
        <v>68</v>
      </c>
      <c r="G6551" s="11" t="s">
        <v>9677</v>
      </c>
      <c r="H6551" s="2" t="s">
        <v>3279</v>
      </c>
      <c r="L6551" s="18">
        <v>0</v>
      </c>
      <c r="Q6551" s="18">
        <v>0</v>
      </c>
      <c r="U6551" s="22">
        <v>0.73</v>
      </c>
      <c r="V6551" s="22">
        <f>3.99/5</f>
        <v>0.79800000000000004</v>
      </c>
      <c r="X6551" s="3">
        <v>3</v>
      </c>
      <c r="Z6551" s="23">
        <v>30</v>
      </c>
      <c r="AB6551" s="18">
        <f t="shared" si="204"/>
        <v>2005</v>
      </c>
      <c r="AC6551" s="22">
        <f t="shared" si="205"/>
        <v>0.70933333333333337</v>
      </c>
    </row>
    <row r="6552" spans="1:29" ht="25.5">
      <c r="A6552" s="8" t="s">
        <v>5791</v>
      </c>
      <c r="B6552" s="17" t="s">
        <v>7758</v>
      </c>
      <c r="C6552" s="13">
        <v>38405</v>
      </c>
      <c r="D6552" s="13" t="s">
        <v>8465</v>
      </c>
      <c r="E6552" s="10" t="s">
        <v>72</v>
      </c>
      <c r="F6552" s="10" t="s">
        <v>72</v>
      </c>
      <c r="G6552" s="11" t="s">
        <v>304</v>
      </c>
      <c r="H6552" s="2" t="s">
        <v>171</v>
      </c>
      <c r="L6552" s="18">
        <v>0</v>
      </c>
      <c r="Q6552" s="18">
        <v>0</v>
      </c>
      <c r="U6552" s="22">
        <v>0.75</v>
      </c>
      <c r="V6552" s="22">
        <f>3.75/5</f>
        <v>0.75</v>
      </c>
      <c r="X6552" s="3">
        <v>3</v>
      </c>
      <c r="Z6552" s="23">
        <v>13</v>
      </c>
      <c r="AB6552" s="18">
        <f t="shared" si="204"/>
        <v>2005</v>
      </c>
      <c r="AC6552" s="22">
        <f t="shared" si="205"/>
        <v>0.70000000000000007</v>
      </c>
    </row>
    <row r="6553" spans="1:29" ht="30">
      <c r="A6553" s="8" t="s">
        <v>7912</v>
      </c>
      <c r="B6553" s="17" t="s">
        <v>7747</v>
      </c>
      <c r="C6553" s="13">
        <v>38405</v>
      </c>
      <c r="D6553" s="13" t="s">
        <v>8465</v>
      </c>
      <c r="E6553" s="10" t="s">
        <v>158</v>
      </c>
      <c r="F6553" s="10" t="s">
        <v>7913</v>
      </c>
      <c r="G6553" s="11" t="s">
        <v>3101</v>
      </c>
      <c r="H6553" s="2" t="s">
        <v>7594</v>
      </c>
      <c r="L6553" s="18">
        <v>0</v>
      </c>
      <c r="Q6553" s="18">
        <v>0</v>
      </c>
      <c r="U6553" s="22">
        <v>0.51119999999999999</v>
      </c>
      <c r="V6553" s="22">
        <f>2.84/5</f>
        <v>0.56799999999999995</v>
      </c>
      <c r="X6553" s="3">
        <v>2</v>
      </c>
      <c r="Z6553" s="23">
        <v>3</v>
      </c>
      <c r="AB6553" s="18">
        <f t="shared" si="204"/>
        <v>2005</v>
      </c>
      <c r="AC6553" s="22">
        <f t="shared" si="205"/>
        <v>0.49306666666666671</v>
      </c>
    </row>
    <row r="6554" spans="1:29">
      <c r="A6554" s="8" t="s">
        <v>9622</v>
      </c>
      <c r="B6554" s="17" t="s">
        <v>7758</v>
      </c>
      <c r="C6554" s="13">
        <v>38405</v>
      </c>
      <c r="D6554" s="13" t="s">
        <v>8465</v>
      </c>
      <c r="E6554" s="10" t="s">
        <v>1870</v>
      </c>
      <c r="F6554" s="10" t="s">
        <v>1198</v>
      </c>
      <c r="H6554" s="2" t="s">
        <v>1050</v>
      </c>
      <c r="L6554" s="18">
        <v>0</v>
      </c>
      <c r="Q6554" s="18">
        <v>0</v>
      </c>
      <c r="U6554" s="22">
        <v>0.78</v>
      </c>
      <c r="V6554" s="22">
        <f>3.58/5</f>
        <v>0.71599999999999997</v>
      </c>
      <c r="X6554" s="3">
        <v>3</v>
      </c>
      <c r="Z6554" s="23">
        <v>6</v>
      </c>
      <c r="AB6554" s="18">
        <f t="shared" si="204"/>
        <v>2005</v>
      </c>
      <c r="AC6554" s="22">
        <f t="shared" si="205"/>
        <v>0.69866666666666666</v>
      </c>
    </row>
    <row r="6555" spans="1:29">
      <c r="A6555" s="8" t="s">
        <v>6657</v>
      </c>
      <c r="B6555" s="17" t="s">
        <v>7800</v>
      </c>
      <c r="C6555" s="13">
        <v>38401</v>
      </c>
      <c r="D6555" s="13" t="s">
        <v>8465</v>
      </c>
      <c r="E6555" s="10" t="s">
        <v>1513</v>
      </c>
      <c r="F6555" s="10" t="s">
        <v>5888</v>
      </c>
      <c r="H6555" s="2" t="s">
        <v>245</v>
      </c>
      <c r="L6555" s="18">
        <v>0</v>
      </c>
      <c r="Q6555" s="18">
        <v>0</v>
      </c>
      <c r="U6555" s="22">
        <v>0.7</v>
      </c>
      <c r="V6555" s="22">
        <f>3.5/5</f>
        <v>0.7</v>
      </c>
      <c r="X6555" s="3">
        <v>3</v>
      </c>
      <c r="Z6555" s="23">
        <v>9.5</v>
      </c>
      <c r="AB6555" s="18">
        <f t="shared" si="204"/>
        <v>2005</v>
      </c>
      <c r="AC6555" s="22">
        <f t="shared" si="205"/>
        <v>0.66666666666666663</v>
      </c>
    </row>
    <row r="6556" spans="1:29" ht="38.25">
      <c r="A6556" s="8" t="s">
        <v>5787</v>
      </c>
      <c r="B6556" s="17" t="s">
        <v>7758</v>
      </c>
      <c r="C6556" s="13">
        <v>38398</v>
      </c>
      <c r="D6556" s="13" t="s">
        <v>8465</v>
      </c>
      <c r="E6556" s="10" t="s">
        <v>158</v>
      </c>
      <c r="F6556" s="10" t="s">
        <v>1145</v>
      </c>
      <c r="G6556" s="11" t="s">
        <v>1146</v>
      </c>
      <c r="H6556" s="2" t="s">
        <v>149</v>
      </c>
      <c r="L6556" s="18">
        <v>0</v>
      </c>
      <c r="Q6556" s="18">
        <v>0</v>
      </c>
      <c r="U6556" s="22">
        <v>0.74</v>
      </c>
      <c r="V6556" s="22">
        <f>3.68/5</f>
        <v>0.73599999999999999</v>
      </c>
      <c r="X6556" s="3">
        <v>4</v>
      </c>
      <c r="Z6556" s="23">
        <v>29</v>
      </c>
      <c r="AB6556" s="18">
        <f t="shared" si="204"/>
        <v>2005</v>
      </c>
      <c r="AC6556" s="22">
        <f t="shared" si="205"/>
        <v>0.7586666666666666</v>
      </c>
    </row>
    <row r="6557" spans="1:29">
      <c r="A6557" s="8" t="s">
        <v>7431</v>
      </c>
      <c r="B6557" s="17" t="s">
        <v>7758</v>
      </c>
      <c r="C6557" s="13">
        <v>38398</v>
      </c>
      <c r="D6557" s="13" t="s">
        <v>8465</v>
      </c>
      <c r="E6557" s="10" t="s">
        <v>455</v>
      </c>
      <c r="F6557" s="10" t="s">
        <v>1246</v>
      </c>
      <c r="G6557" s="11" t="s">
        <v>3030</v>
      </c>
      <c r="H6557" s="2" t="s">
        <v>80</v>
      </c>
      <c r="L6557" s="18">
        <v>0</v>
      </c>
      <c r="Q6557" s="18">
        <v>0</v>
      </c>
      <c r="U6557" s="22">
        <v>0.61</v>
      </c>
      <c r="V6557" s="22">
        <f>3.85/5</f>
        <v>0.77</v>
      </c>
      <c r="X6557" s="3">
        <v>3</v>
      </c>
      <c r="Z6557" s="23">
        <v>5</v>
      </c>
      <c r="AB6557" s="18">
        <f t="shared" si="204"/>
        <v>2005</v>
      </c>
      <c r="AC6557" s="22">
        <f t="shared" si="205"/>
        <v>0.66</v>
      </c>
    </row>
    <row r="6558" spans="1:29">
      <c r="A6558" s="8" t="s">
        <v>10192</v>
      </c>
      <c r="B6558" s="17" t="s">
        <v>7758</v>
      </c>
      <c r="C6558" s="13">
        <v>38398</v>
      </c>
      <c r="D6558" s="13" t="s">
        <v>8465</v>
      </c>
      <c r="E6558" s="10" t="s">
        <v>72</v>
      </c>
      <c r="F6558" s="10" t="s">
        <v>72</v>
      </c>
      <c r="H6558" s="2" t="s">
        <v>1059</v>
      </c>
      <c r="L6558" s="18">
        <v>0</v>
      </c>
      <c r="Q6558" s="18">
        <v>0</v>
      </c>
      <c r="U6558" s="22">
        <v>0.51</v>
      </c>
      <c r="V6558" s="22">
        <f>3.32/5</f>
        <v>0.66399999999999992</v>
      </c>
      <c r="X6558" s="3">
        <v>2</v>
      </c>
      <c r="Z6558" s="23">
        <v>6</v>
      </c>
      <c r="AB6558" s="18">
        <f t="shared" si="204"/>
        <v>2005</v>
      </c>
      <c r="AC6558" s="22">
        <f t="shared" si="205"/>
        <v>0.52466666666666661</v>
      </c>
    </row>
    <row r="6559" spans="1:29">
      <c r="A6559" s="8" t="s">
        <v>2231</v>
      </c>
      <c r="B6559" s="17" t="s">
        <v>7748</v>
      </c>
      <c r="C6559" s="13">
        <v>38397</v>
      </c>
      <c r="D6559" s="13" t="s">
        <v>8465</v>
      </c>
      <c r="E6559" s="10" t="s">
        <v>86</v>
      </c>
      <c r="F6559" s="10" t="s">
        <v>1515</v>
      </c>
      <c r="G6559" s="11" t="s">
        <v>1516</v>
      </c>
      <c r="H6559" s="2" t="s">
        <v>1142</v>
      </c>
      <c r="L6559" s="18">
        <v>0</v>
      </c>
      <c r="Q6559" s="18">
        <v>0</v>
      </c>
      <c r="U6559" s="22">
        <v>0.82</v>
      </c>
      <c r="V6559" s="22">
        <f>3.91/5</f>
        <v>0.78200000000000003</v>
      </c>
      <c r="X6559" s="3">
        <v>3</v>
      </c>
      <c r="Z6559" s="23">
        <v>2</v>
      </c>
      <c r="AB6559" s="18">
        <f t="shared" si="204"/>
        <v>2005</v>
      </c>
      <c r="AC6559" s="22">
        <f t="shared" si="205"/>
        <v>0.73399999999999999</v>
      </c>
    </row>
    <row r="6560" spans="1:29" ht="38.25">
      <c r="A6560" s="8" t="s">
        <v>5121</v>
      </c>
      <c r="B6560" s="17" t="s">
        <v>7800</v>
      </c>
      <c r="C6560" s="13">
        <v>38391</v>
      </c>
      <c r="D6560" s="13" t="s">
        <v>8465</v>
      </c>
      <c r="E6560" s="10" t="s">
        <v>1284</v>
      </c>
      <c r="F6560" s="10" t="s">
        <v>3166</v>
      </c>
      <c r="G6560" s="11" t="s">
        <v>5120</v>
      </c>
      <c r="H6560" s="2" t="s">
        <v>171</v>
      </c>
      <c r="L6560" s="18">
        <v>1</v>
      </c>
      <c r="N6560" s="13">
        <v>41470</v>
      </c>
      <c r="O6560" s="29">
        <v>2.91</v>
      </c>
      <c r="P6560" s="18" t="s">
        <v>1107</v>
      </c>
      <c r="Q6560" s="18">
        <v>0</v>
      </c>
      <c r="U6560" s="22">
        <v>0.86</v>
      </c>
      <c r="V6560" s="22">
        <f>4.15/5</f>
        <v>0.83000000000000007</v>
      </c>
      <c r="W6560" s="14" t="s">
        <v>7777</v>
      </c>
      <c r="X6560" s="3">
        <v>4</v>
      </c>
      <c r="Z6560" s="23">
        <v>30.5</v>
      </c>
      <c r="AB6560" s="18">
        <f t="shared" si="204"/>
        <v>2005</v>
      </c>
      <c r="AC6560" s="22">
        <f t="shared" si="205"/>
        <v>0.83000000000000007</v>
      </c>
    </row>
    <row r="6561" spans="1:29" ht="30">
      <c r="A6561" s="8" t="s">
        <v>9213</v>
      </c>
      <c r="B6561" s="17" t="s">
        <v>7758</v>
      </c>
      <c r="C6561" s="13">
        <v>38391</v>
      </c>
      <c r="D6561" s="13" t="s">
        <v>8465</v>
      </c>
      <c r="E6561" s="10" t="s">
        <v>73</v>
      </c>
      <c r="F6561" s="10" t="s">
        <v>8165</v>
      </c>
      <c r="H6561" s="2" t="s">
        <v>1059</v>
      </c>
      <c r="L6561" s="18">
        <v>0</v>
      </c>
      <c r="Q6561" s="18">
        <v>0</v>
      </c>
      <c r="U6561" s="22">
        <v>0.75</v>
      </c>
      <c r="V6561" s="22">
        <f>3.98/5</f>
        <v>0.79600000000000004</v>
      </c>
      <c r="X6561" s="3">
        <v>3</v>
      </c>
      <c r="Z6561" s="23">
        <v>17.5</v>
      </c>
      <c r="AB6561" s="18">
        <f t="shared" si="204"/>
        <v>2005</v>
      </c>
      <c r="AC6561" s="22">
        <f t="shared" si="205"/>
        <v>0.71533333333333327</v>
      </c>
    </row>
    <row r="6562" spans="1:29" ht="38.25">
      <c r="A6562" s="8" t="s">
        <v>12240</v>
      </c>
      <c r="B6562" s="17" t="s">
        <v>7747</v>
      </c>
      <c r="C6562" s="13">
        <v>38391</v>
      </c>
      <c r="D6562" s="13" t="s">
        <v>8465</v>
      </c>
      <c r="E6562" s="10" t="s">
        <v>72</v>
      </c>
      <c r="F6562" s="10" t="s">
        <v>72</v>
      </c>
      <c r="G6562" s="11" t="s">
        <v>12239</v>
      </c>
      <c r="H6562" s="2" t="s">
        <v>149</v>
      </c>
      <c r="L6562" s="18">
        <v>0</v>
      </c>
      <c r="Q6562" s="18">
        <v>0</v>
      </c>
      <c r="U6562" s="22">
        <v>0.59</v>
      </c>
      <c r="V6562" s="22">
        <f>3.06/5</f>
        <v>0.61199999999999999</v>
      </c>
      <c r="X6562" s="3">
        <v>2</v>
      </c>
      <c r="Z6562" s="23">
        <v>8</v>
      </c>
      <c r="AB6562" s="18">
        <f t="shared" si="204"/>
        <v>2005</v>
      </c>
      <c r="AC6562" s="22">
        <f t="shared" si="205"/>
        <v>0.53399999999999992</v>
      </c>
    </row>
    <row r="6563" spans="1:29" ht="38.25">
      <c r="A6563" s="8" t="s">
        <v>8086</v>
      </c>
      <c r="B6563" s="17" t="s">
        <v>7758</v>
      </c>
      <c r="C6563" s="13">
        <v>38391</v>
      </c>
      <c r="D6563" s="13" t="s">
        <v>8465</v>
      </c>
      <c r="E6563" s="10" t="s">
        <v>158</v>
      </c>
      <c r="F6563" s="10" t="s">
        <v>158</v>
      </c>
      <c r="G6563" s="11" t="s">
        <v>8076</v>
      </c>
      <c r="H6563" s="2" t="s">
        <v>80</v>
      </c>
      <c r="L6563" s="18">
        <v>0</v>
      </c>
      <c r="Q6563" s="18">
        <v>0</v>
      </c>
      <c r="U6563" s="22">
        <v>0.52200000000000002</v>
      </c>
      <c r="V6563" s="22">
        <f>3.13/5</f>
        <v>0.626</v>
      </c>
      <c r="X6563" s="3">
        <v>2</v>
      </c>
      <c r="Z6563" s="23">
        <v>15</v>
      </c>
      <c r="AB6563" s="18">
        <f t="shared" si="204"/>
        <v>2005</v>
      </c>
      <c r="AC6563" s="22">
        <f t="shared" si="205"/>
        <v>0.51600000000000001</v>
      </c>
    </row>
    <row r="6564" spans="1:29" ht="30">
      <c r="A6564" s="8" t="s">
        <v>8954</v>
      </c>
      <c r="B6564" s="17" t="s">
        <v>7758</v>
      </c>
      <c r="C6564" s="13">
        <v>38390</v>
      </c>
      <c r="D6564" s="13" t="s">
        <v>8465</v>
      </c>
      <c r="E6564" s="10" t="s">
        <v>8952</v>
      </c>
      <c r="F6564" s="10" t="s">
        <v>5342</v>
      </c>
      <c r="G6564" s="11" t="s">
        <v>8953</v>
      </c>
      <c r="H6564" s="2" t="s">
        <v>171</v>
      </c>
      <c r="L6564" s="18">
        <v>0</v>
      </c>
      <c r="Q6564" s="18">
        <v>0</v>
      </c>
      <c r="U6564" s="22">
        <v>0.77</v>
      </c>
      <c r="V6564" s="22">
        <f>3.91/5</f>
        <v>0.78200000000000003</v>
      </c>
      <c r="X6564" s="3">
        <v>3</v>
      </c>
      <c r="Z6564" s="23">
        <v>17</v>
      </c>
      <c r="AB6564" s="18">
        <f t="shared" si="204"/>
        <v>2005</v>
      </c>
      <c r="AC6564" s="22">
        <f t="shared" si="205"/>
        <v>0.71733333333333338</v>
      </c>
    </row>
    <row r="6565" spans="1:29" ht="30">
      <c r="A6565" s="8" t="s">
        <v>10874</v>
      </c>
      <c r="B6565" s="17" t="s">
        <v>7758</v>
      </c>
      <c r="C6565" s="13">
        <v>38379</v>
      </c>
      <c r="D6565" s="13" t="s">
        <v>8463</v>
      </c>
      <c r="E6565" s="10" t="s">
        <v>470</v>
      </c>
      <c r="F6565" s="10" t="s">
        <v>1580</v>
      </c>
      <c r="G6565" s="11" t="s">
        <v>10874</v>
      </c>
      <c r="H6565" s="2" t="s">
        <v>1204</v>
      </c>
      <c r="K6565" s="18">
        <v>0</v>
      </c>
      <c r="L6565" s="18">
        <v>0</v>
      </c>
      <c r="Q6565" s="18">
        <v>0</v>
      </c>
      <c r="V6565" s="22">
        <f>3.79/5</f>
        <v>0.75800000000000001</v>
      </c>
      <c r="X6565" s="3">
        <v>3</v>
      </c>
      <c r="AB6565" s="18">
        <f t="shared" si="204"/>
        <v>2005</v>
      </c>
      <c r="AC6565" s="22">
        <f t="shared" si="205"/>
        <v>0.67900000000000005</v>
      </c>
    </row>
    <row r="6566" spans="1:29" ht="38.25">
      <c r="A6566" s="8" t="s">
        <v>8892</v>
      </c>
      <c r="B6566" s="17" t="s">
        <v>7762</v>
      </c>
      <c r="C6566" s="13">
        <v>38372</v>
      </c>
      <c r="D6566" s="13" t="s">
        <v>8463</v>
      </c>
      <c r="E6566" s="10" t="s">
        <v>8893</v>
      </c>
      <c r="F6566" s="10" t="s">
        <v>8894</v>
      </c>
      <c r="G6566" s="11" t="s">
        <v>8895</v>
      </c>
      <c r="H6566" s="2" t="s">
        <v>1057</v>
      </c>
      <c r="K6566" s="18">
        <v>2</v>
      </c>
      <c r="L6566" s="18">
        <v>0</v>
      </c>
      <c r="Q6566" s="18">
        <v>0</v>
      </c>
      <c r="V6566" s="22">
        <f>3.27/5</f>
        <v>0.65400000000000003</v>
      </c>
      <c r="X6566" s="3">
        <v>3</v>
      </c>
      <c r="Z6566" s="23">
        <v>3</v>
      </c>
      <c r="AB6566" s="18">
        <f t="shared" si="204"/>
        <v>2005</v>
      </c>
      <c r="AC6566" s="22">
        <f t="shared" si="205"/>
        <v>0.627</v>
      </c>
    </row>
    <row r="6567" spans="1:29" ht="30">
      <c r="A6567" s="8" t="s">
        <v>9345</v>
      </c>
      <c r="B6567" s="17" t="s">
        <v>7740</v>
      </c>
      <c r="C6567" s="13">
        <v>38371</v>
      </c>
      <c r="D6567" s="13" t="s">
        <v>8465</v>
      </c>
      <c r="E6567" s="10" t="s">
        <v>455</v>
      </c>
      <c r="F6567" s="10" t="s">
        <v>58</v>
      </c>
      <c r="G6567" s="11" t="s">
        <v>9346</v>
      </c>
      <c r="H6567" s="2" t="s">
        <v>80</v>
      </c>
      <c r="L6567" s="18">
        <v>0</v>
      </c>
      <c r="Q6567" s="18">
        <v>0</v>
      </c>
      <c r="U6567" s="22">
        <v>0.55000000000000004</v>
      </c>
      <c r="V6567" s="22">
        <f>3.49/5</f>
        <v>0.69800000000000006</v>
      </c>
      <c r="X6567" s="3">
        <v>2</v>
      </c>
      <c r="Z6567" s="23">
        <v>7.5</v>
      </c>
      <c r="AB6567" s="18">
        <f t="shared" si="204"/>
        <v>2005</v>
      </c>
      <c r="AC6567" s="22">
        <f t="shared" si="205"/>
        <v>0.54933333333333334</v>
      </c>
    </row>
    <row r="6568" spans="1:29" ht="25.5">
      <c r="A6568" s="8" t="s">
        <v>9090</v>
      </c>
      <c r="B6568" s="17" t="s">
        <v>7758</v>
      </c>
      <c r="C6568" s="13">
        <v>38370</v>
      </c>
      <c r="D6568" s="13" t="s">
        <v>8465</v>
      </c>
      <c r="E6568" s="10" t="s">
        <v>1082</v>
      </c>
      <c r="F6568" s="10" t="s">
        <v>8379</v>
      </c>
      <c r="G6568" s="11" t="s">
        <v>9091</v>
      </c>
      <c r="H6568" s="2" t="s">
        <v>171</v>
      </c>
      <c r="L6568" s="18">
        <v>0</v>
      </c>
      <c r="Q6568" s="18">
        <v>0</v>
      </c>
      <c r="U6568" s="22">
        <v>0.56000000000000005</v>
      </c>
      <c r="V6568" s="22">
        <f>3.45/5</f>
        <v>0.69000000000000006</v>
      </c>
      <c r="X6568" s="3">
        <v>2</v>
      </c>
      <c r="Z6568" s="23">
        <v>11.5</v>
      </c>
      <c r="AB6568" s="18">
        <f t="shared" si="204"/>
        <v>2005</v>
      </c>
      <c r="AC6568" s="22">
        <f t="shared" si="205"/>
        <v>0.54999999999999993</v>
      </c>
    </row>
    <row r="6569" spans="1:29">
      <c r="A6569" s="8" t="s">
        <v>420</v>
      </c>
      <c r="B6569" s="17" t="s">
        <v>7758</v>
      </c>
      <c r="C6569" s="13">
        <v>38368</v>
      </c>
      <c r="D6569" s="13" t="s">
        <v>8465</v>
      </c>
      <c r="E6569" s="10" t="s">
        <v>1342</v>
      </c>
      <c r="F6569" s="10" t="s">
        <v>1655</v>
      </c>
      <c r="G6569" s="11" t="s">
        <v>420</v>
      </c>
      <c r="H6569" s="2" t="s">
        <v>1168</v>
      </c>
      <c r="L6569" s="18">
        <v>0</v>
      </c>
      <c r="Q6569" s="18">
        <v>0</v>
      </c>
      <c r="U6569" s="22">
        <v>0.68</v>
      </c>
      <c r="V6569" s="22">
        <f>3.82/5</f>
        <v>0.76400000000000001</v>
      </c>
      <c r="X6569" s="3">
        <v>2</v>
      </c>
      <c r="Z6569" s="23">
        <v>10</v>
      </c>
      <c r="AB6569" s="18">
        <f t="shared" si="204"/>
        <v>2005</v>
      </c>
      <c r="AC6569" s="22">
        <f t="shared" si="205"/>
        <v>0.61466666666666658</v>
      </c>
    </row>
    <row r="6570" spans="1:29" ht="38.25">
      <c r="A6570" s="8" t="s">
        <v>14720</v>
      </c>
      <c r="B6570" s="17" t="s">
        <v>7758</v>
      </c>
      <c r="C6570" s="13">
        <v>38365</v>
      </c>
      <c r="D6570" s="13" t="s">
        <v>8463</v>
      </c>
      <c r="E6570" s="10" t="s">
        <v>1580</v>
      </c>
      <c r="F6570" s="10" t="s">
        <v>1580</v>
      </c>
      <c r="H6570" s="2" t="s">
        <v>1059</v>
      </c>
      <c r="K6570" s="18">
        <v>0</v>
      </c>
      <c r="L6570" s="18">
        <v>0</v>
      </c>
      <c r="Q6570" s="18">
        <v>0</v>
      </c>
      <c r="V6570" s="22">
        <f>3.75/5</f>
        <v>0.75</v>
      </c>
      <c r="X6570" s="3">
        <v>2</v>
      </c>
      <c r="AB6570" s="18">
        <f t="shared" si="204"/>
        <v>2005</v>
      </c>
      <c r="AC6570" s="22">
        <f t="shared" si="205"/>
        <v>0.57499999999999996</v>
      </c>
    </row>
    <row r="6571" spans="1:29" ht="30">
      <c r="A6571" s="8" t="s">
        <v>2091</v>
      </c>
      <c r="B6571" s="17" t="s">
        <v>7747</v>
      </c>
      <c r="C6571" s="13">
        <v>38364</v>
      </c>
      <c r="D6571" s="13" t="s">
        <v>8465</v>
      </c>
      <c r="E6571" s="10" t="s">
        <v>1342</v>
      </c>
      <c r="F6571" s="10" t="s">
        <v>163</v>
      </c>
      <c r="G6571" s="11" t="s">
        <v>852</v>
      </c>
      <c r="H6571" s="2" t="s">
        <v>150</v>
      </c>
      <c r="L6571" s="18">
        <v>0</v>
      </c>
      <c r="Q6571" s="18">
        <v>0</v>
      </c>
      <c r="U6571" s="22">
        <v>0.67</v>
      </c>
      <c r="V6571" s="22">
        <f>3.19/5</f>
        <v>0.63800000000000001</v>
      </c>
      <c r="X6571" s="3">
        <v>2</v>
      </c>
      <c r="Z6571" s="23">
        <v>3</v>
      </c>
      <c r="AB6571" s="18">
        <f t="shared" si="204"/>
        <v>2005</v>
      </c>
      <c r="AC6571" s="22">
        <f t="shared" si="205"/>
        <v>0.56933333333333336</v>
      </c>
    </row>
    <row r="6572" spans="1:29">
      <c r="A6572" s="8" t="s">
        <v>14397</v>
      </c>
      <c r="B6572" s="17" t="s">
        <v>7764</v>
      </c>
      <c r="C6572" s="13">
        <v>38364</v>
      </c>
      <c r="D6572" s="13" t="s">
        <v>8465</v>
      </c>
      <c r="E6572" s="10" t="s">
        <v>1047</v>
      </c>
      <c r="F6572" s="10" t="s">
        <v>14398</v>
      </c>
      <c r="H6572" s="2" t="s">
        <v>1040</v>
      </c>
      <c r="L6572" s="18">
        <v>0</v>
      </c>
      <c r="Q6572" s="18">
        <v>0</v>
      </c>
      <c r="U6572" s="22">
        <v>0.62</v>
      </c>
      <c r="V6572" s="22">
        <f>3.13/5</f>
        <v>0.626</v>
      </c>
      <c r="X6572" s="3">
        <v>2</v>
      </c>
      <c r="Z6572" s="23">
        <v>10</v>
      </c>
      <c r="AB6572" s="18">
        <f t="shared" si="204"/>
        <v>2005</v>
      </c>
      <c r="AC6572" s="22">
        <f t="shared" si="205"/>
        <v>0.54866666666666664</v>
      </c>
    </row>
    <row r="6573" spans="1:29" ht="38.25">
      <c r="A6573" s="8" t="s">
        <v>8195</v>
      </c>
      <c r="B6573" s="17" t="s">
        <v>7758</v>
      </c>
      <c r="C6573" s="13">
        <v>38363</v>
      </c>
      <c r="D6573" s="13" t="s">
        <v>8465</v>
      </c>
      <c r="E6573" s="10" t="s">
        <v>1284</v>
      </c>
      <c r="F6573" s="10" t="s">
        <v>5109</v>
      </c>
      <c r="G6573" s="11" t="s">
        <v>5973</v>
      </c>
      <c r="H6573" s="2" t="s">
        <v>80</v>
      </c>
      <c r="L6573" s="18">
        <v>0</v>
      </c>
      <c r="Q6573" s="18">
        <v>0</v>
      </c>
      <c r="U6573" s="22">
        <v>0.84350000000000003</v>
      </c>
      <c r="V6573" s="22">
        <f>3.94/5</f>
        <v>0.78800000000000003</v>
      </c>
      <c r="X6573" s="3">
        <v>3</v>
      </c>
      <c r="Z6573" s="23">
        <v>20.5</v>
      </c>
      <c r="AB6573" s="18">
        <f t="shared" si="204"/>
        <v>2005</v>
      </c>
      <c r="AC6573" s="22">
        <f t="shared" si="205"/>
        <v>0.74383333333333335</v>
      </c>
    </row>
    <row r="6574" spans="1:29">
      <c r="A6574" s="8" t="s">
        <v>5775</v>
      </c>
      <c r="B6574" s="17" t="s">
        <v>7758</v>
      </c>
      <c r="C6574" s="13">
        <v>38363</v>
      </c>
      <c r="D6574" s="13" t="s">
        <v>8465</v>
      </c>
      <c r="E6574" s="10" t="s">
        <v>72</v>
      </c>
      <c r="F6574" s="10" t="s">
        <v>72</v>
      </c>
      <c r="G6574" s="11" t="s">
        <v>2318</v>
      </c>
      <c r="H6574" s="2" t="s">
        <v>149</v>
      </c>
      <c r="L6574" s="18">
        <v>0</v>
      </c>
      <c r="Q6574" s="18">
        <v>0</v>
      </c>
      <c r="U6574" s="22">
        <v>0.67</v>
      </c>
      <c r="V6574" s="22">
        <f>3.57/5</f>
        <v>0.71399999999999997</v>
      </c>
      <c r="X6574" s="3">
        <v>3</v>
      </c>
      <c r="Z6574" s="23">
        <v>27</v>
      </c>
      <c r="AB6574" s="18">
        <f t="shared" si="204"/>
        <v>2005</v>
      </c>
      <c r="AC6574" s="22">
        <f t="shared" si="205"/>
        <v>0.66133333333333333</v>
      </c>
    </row>
    <row r="6575" spans="1:29" ht="30">
      <c r="A6575" s="8" t="s">
        <v>9690</v>
      </c>
      <c r="B6575" s="17" t="s">
        <v>7758</v>
      </c>
      <c r="C6575" s="13">
        <v>38363</v>
      </c>
      <c r="D6575" s="13" t="s">
        <v>8465</v>
      </c>
      <c r="E6575" s="10" t="s">
        <v>2908</v>
      </c>
      <c r="F6575" s="10" t="s">
        <v>9691</v>
      </c>
      <c r="G6575" s="11" t="s">
        <v>9688</v>
      </c>
      <c r="H6575" s="2" t="s">
        <v>80</v>
      </c>
      <c r="L6575" s="18">
        <v>0</v>
      </c>
      <c r="Q6575" s="18">
        <v>0</v>
      </c>
      <c r="U6575" s="22">
        <v>0.56999999999999995</v>
      </c>
      <c r="V6575" s="22">
        <f>3.4/5</f>
        <v>0.67999999999999994</v>
      </c>
      <c r="X6575" s="3">
        <v>2</v>
      </c>
      <c r="Z6575" s="23">
        <v>8</v>
      </c>
      <c r="AB6575" s="18">
        <f t="shared" si="204"/>
        <v>2005</v>
      </c>
      <c r="AC6575" s="22">
        <f t="shared" si="205"/>
        <v>0.54999999999999993</v>
      </c>
    </row>
    <row r="6576" spans="1:29" ht="30">
      <c r="A6576" s="8" t="s">
        <v>12009</v>
      </c>
      <c r="B6576" s="17" t="s">
        <v>7747</v>
      </c>
      <c r="C6576" s="13">
        <v>38358</v>
      </c>
      <c r="D6576" s="13" t="s">
        <v>8463</v>
      </c>
      <c r="E6576" s="10" t="s">
        <v>158</v>
      </c>
      <c r="F6576" s="10" t="s">
        <v>1375</v>
      </c>
      <c r="G6576" s="11" t="s">
        <v>1422</v>
      </c>
      <c r="H6576" s="2" t="s">
        <v>75</v>
      </c>
      <c r="K6576" s="18">
        <v>1</v>
      </c>
      <c r="L6576" s="18">
        <v>0</v>
      </c>
      <c r="Q6576" s="18">
        <v>0</v>
      </c>
      <c r="V6576" s="22">
        <f>3.86/5</f>
        <v>0.77200000000000002</v>
      </c>
      <c r="X6576" s="3">
        <v>2</v>
      </c>
      <c r="AB6576" s="18">
        <f t="shared" si="204"/>
        <v>2005</v>
      </c>
      <c r="AC6576" s="22">
        <f t="shared" si="205"/>
        <v>0.58600000000000008</v>
      </c>
    </row>
    <row r="6577" spans="1:29" ht="30">
      <c r="A6577" s="8" t="s">
        <v>8446</v>
      </c>
      <c r="B6577" s="17" t="s">
        <v>7800</v>
      </c>
      <c r="C6577" s="24">
        <v>38353</v>
      </c>
      <c r="D6577" s="13" t="s">
        <v>8465</v>
      </c>
      <c r="E6577" s="10" t="s">
        <v>8447</v>
      </c>
      <c r="F6577" s="10" t="s">
        <v>8447</v>
      </c>
      <c r="H6577" s="2" t="s">
        <v>149</v>
      </c>
      <c r="L6577" s="18">
        <v>0</v>
      </c>
      <c r="Q6577" s="18">
        <v>0</v>
      </c>
      <c r="W6577" s="14" t="s">
        <v>5674</v>
      </c>
      <c r="X6577" s="3">
        <v>3</v>
      </c>
      <c r="AB6577" s="18">
        <f t="shared" si="204"/>
        <v>2005</v>
      </c>
      <c r="AC6577" s="22">
        <f t="shared" si="205"/>
        <v>0.6</v>
      </c>
    </row>
    <row r="6578" spans="1:29" ht="25.5">
      <c r="A6578" s="8" t="s">
        <v>14324</v>
      </c>
      <c r="B6578" s="17" t="s">
        <v>7793</v>
      </c>
      <c r="C6578" s="24">
        <v>38353</v>
      </c>
      <c r="D6578" s="13" t="s">
        <v>8465</v>
      </c>
      <c r="E6578" s="10" t="s">
        <v>9636</v>
      </c>
      <c r="F6578" s="10" t="s">
        <v>14323</v>
      </c>
      <c r="G6578" s="11" t="s">
        <v>14322</v>
      </c>
      <c r="H6578" s="2" t="s">
        <v>3937</v>
      </c>
      <c r="L6578" s="18">
        <v>0</v>
      </c>
      <c r="Q6578" s="18">
        <v>0</v>
      </c>
      <c r="V6578" s="22">
        <f>3.88/5</f>
        <v>0.77600000000000002</v>
      </c>
      <c r="X6578" s="3">
        <v>2</v>
      </c>
      <c r="AB6578" s="18">
        <f t="shared" si="204"/>
        <v>2005</v>
      </c>
      <c r="AC6578" s="22">
        <f t="shared" si="205"/>
        <v>0.58800000000000008</v>
      </c>
    </row>
    <row r="6579" spans="1:29">
      <c r="A6579" s="8" t="s">
        <v>4365</v>
      </c>
      <c r="B6579" s="17" t="s">
        <v>7800</v>
      </c>
      <c r="C6579" s="13">
        <v>38353</v>
      </c>
      <c r="D6579" s="13" t="s">
        <v>8465</v>
      </c>
      <c r="E6579" s="10" t="s">
        <v>4366</v>
      </c>
      <c r="F6579" s="10" t="s">
        <v>4366</v>
      </c>
      <c r="G6579" s="11" t="s">
        <v>4367</v>
      </c>
      <c r="H6579" s="2" t="s">
        <v>143</v>
      </c>
      <c r="L6579" s="18">
        <v>1</v>
      </c>
      <c r="N6579" s="13">
        <v>40534</v>
      </c>
      <c r="P6579" s="18" t="s">
        <v>1107</v>
      </c>
      <c r="Q6579" s="18">
        <v>0</v>
      </c>
      <c r="U6579" s="22">
        <v>0.83</v>
      </c>
      <c r="V6579" s="22">
        <f>3.03/5</f>
        <v>0.60599999999999998</v>
      </c>
      <c r="W6579" s="14" t="s">
        <v>7777</v>
      </c>
      <c r="X6579" s="3">
        <v>2</v>
      </c>
      <c r="Z6579" s="23">
        <v>2</v>
      </c>
      <c r="AB6579" s="18">
        <f t="shared" si="204"/>
        <v>2005</v>
      </c>
      <c r="AC6579" s="22">
        <f t="shared" si="205"/>
        <v>0.61199999999999999</v>
      </c>
    </row>
    <row r="6580" spans="1:29" ht="30">
      <c r="A6580" s="8" t="s">
        <v>8057</v>
      </c>
      <c r="B6580" s="17" t="s">
        <v>7747</v>
      </c>
      <c r="C6580" s="12">
        <v>38353</v>
      </c>
      <c r="D6580" s="13" t="s">
        <v>8465</v>
      </c>
      <c r="E6580" s="10" t="s">
        <v>8058</v>
      </c>
      <c r="F6580" s="10" t="s">
        <v>1474</v>
      </c>
      <c r="G6580" s="11" t="s">
        <v>203</v>
      </c>
      <c r="H6580" s="2" t="s">
        <v>153</v>
      </c>
      <c r="L6580" s="18">
        <v>0</v>
      </c>
      <c r="Q6580" s="18">
        <v>0</v>
      </c>
      <c r="V6580" s="22">
        <f>3.5/5</f>
        <v>0.7</v>
      </c>
      <c r="X6580" s="3">
        <v>2</v>
      </c>
      <c r="Z6580" s="23">
        <v>4.5</v>
      </c>
      <c r="AB6580" s="18">
        <f t="shared" si="204"/>
        <v>2005</v>
      </c>
      <c r="AC6580" s="22">
        <f t="shared" si="205"/>
        <v>0.55000000000000004</v>
      </c>
    </row>
    <row r="6581" spans="1:29">
      <c r="A6581" s="8" t="s">
        <v>15122</v>
      </c>
      <c r="B6581" s="17" t="s">
        <v>7782</v>
      </c>
      <c r="C6581" s="24">
        <v>38353</v>
      </c>
      <c r="D6581" s="13" t="s">
        <v>8465</v>
      </c>
      <c r="E6581" s="10" t="s">
        <v>15123</v>
      </c>
      <c r="F6581" s="10" t="s">
        <v>15123</v>
      </c>
      <c r="G6581" s="11" t="s">
        <v>15122</v>
      </c>
      <c r="H6581" s="2" t="s">
        <v>1061</v>
      </c>
      <c r="L6581" s="18">
        <v>0</v>
      </c>
      <c r="Q6581" s="18">
        <v>0</v>
      </c>
      <c r="X6581" s="3">
        <v>2</v>
      </c>
      <c r="AB6581" s="18">
        <f t="shared" si="204"/>
        <v>2005</v>
      </c>
      <c r="AC6581" s="22">
        <f t="shared" si="205"/>
        <v>0.4</v>
      </c>
    </row>
    <row r="6582" spans="1:29" ht="25.5">
      <c r="A6582" s="8" t="s">
        <v>2094</v>
      </c>
      <c r="B6582" s="17" t="s">
        <v>7748</v>
      </c>
      <c r="C6582" s="13">
        <v>38691</v>
      </c>
      <c r="D6582" s="13" t="s">
        <v>8465</v>
      </c>
      <c r="E6582" s="10" t="s">
        <v>86</v>
      </c>
      <c r="F6582" s="10" t="s">
        <v>87</v>
      </c>
      <c r="G6582" s="11" t="s">
        <v>901</v>
      </c>
      <c r="H6582" s="2" t="s">
        <v>1334</v>
      </c>
      <c r="L6582" s="18">
        <v>0</v>
      </c>
      <c r="Q6582" s="18">
        <v>1</v>
      </c>
      <c r="T6582" s="22">
        <v>0.9</v>
      </c>
      <c r="U6582" s="22">
        <v>0.86</v>
      </c>
      <c r="V6582" s="22">
        <f>4.01/5</f>
        <v>0.80199999999999994</v>
      </c>
      <c r="Y6582" s="18">
        <v>1</v>
      </c>
      <c r="AB6582" s="18">
        <f t="shared" si="204"/>
        <v>2005</v>
      </c>
      <c r="AC6582" s="22">
        <f t="shared" si="205"/>
        <v>0.85399999999999998</v>
      </c>
    </row>
    <row r="6583" spans="1:29" ht="25.5">
      <c r="A6583" s="8" t="s">
        <v>2102</v>
      </c>
      <c r="B6583" s="17" t="s">
        <v>7748</v>
      </c>
      <c r="C6583" s="13">
        <v>38684</v>
      </c>
      <c r="D6583" s="13" t="s">
        <v>8465</v>
      </c>
      <c r="E6583" s="10" t="s">
        <v>86</v>
      </c>
      <c r="F6583" s="10" t="s">
        <v>1892</v>
      </c>
      <c r="G6583" s="11" t="s">
        <v>1893</v>
      </c>
      <c r="H6583" s="2" t="s">
        <v>149</v>
      </c>
      <c r="L6583" s="18">
        <v>0</v>
      </c>
      <c r="Q6583" s="18">
        <v>1</v>
      </c>
      <c r="T6583" s="22">
        <v>0.8</v>
      </c>
      <c r="U6583" s="22">
        <v>0.85</v>
      </c>
      <c r="V6583" s="22">
        <f>3.86/5</f>
        <v>0.77200000000000002</v>
      </c>
      <c r="AB6583" s="18">
        <f t="shared" si="204"/>
        <v>2005</v>
      </c>
      <c r="AC6583" s="22">
        <f t="shared" si="205"/>
        <v>0.80733333333333324</v>
      </c>
    </row>
    <row r="6584" spans="1:29" ht="25.5">
      <c r="A6584" s="8" t="s">
        <v>6321</v>
      </c>
      <c r="B6584" s="17" t="s">
        <v>7765</v>
      </c>
      <c r="C6584" s="13">
        <v>38678</v>
      </c>
      <c r="D6584" s="13" t="s">
        <v>8465</v>
      </c>
      <c r="E6584" s="10" t="s">
        <v>3740</v>
      </c>
      <c r="F6584" s="10" t="s">
        <v>1052</v>
      </c>
      <c r="G6584" s="11" t="s">
        <v>1053</v>
      </c>
      <c r="H6584" s="2" t="s">
        <v>1054</v>
      </c>
      <c r="L6584" s="18">
        <v>1</v>
      </c>
      <c r="P6584" s="18" t="s">
        <v>1107</v>
      </c>
      <c r="Q6584" s="18">
        <v>1</v>
      </c>
      <c r="T6584" s="22">
        <v>0.9</v>
      </c>
      <c r="U6584" s="22">
        <v>0.88</v>
      </c>
      <c r="V6584" s="22">
        <f>3.86/5</f>
        <v>0.77200000000000002</v>
      </c>
      <c r="AB6584" s="18">
        <f t="shared" si="204"/>
        <v>2005</v>
      </c>
      <c r="AC6584" s="22">
        <f t="shared" si="205"/>
        <v>0.85066666666666668</v>
      </c>
    </row>
    <row r="6585" spans="1:29">
      <c r="A6585" s="8" t="s">
        <v>6354</v>
      </c>
      <c r="B6585" s="17" t="s">
        <v>7765</v>
      </c>
      <c r="C6585" s="13">
        <v>38678</v>
      </c>
      <c r="D6585" s="13" t="s">
        <v>8465</v>
      </c>
      <c r="E6585" s="10" t="s">
        <v>1273</v>
      </c>
      <c r="F6585" s="10" t="s">
        <v>3400</v>
      </c>
      <c r="G6585" s="11" t="s">
        <v>3401</v>
      </c>
      <c r="H6585" s="2" t="s">
        <v>1050</v>
      </c>
      <c r="L6585" s="18">
        <v>0</v>
      </c>
      <c r="Q6585" s="18">
        <v>1</v>
      </c>
      <c r="R6585" s="13">
        <v>40448</v>
      </c>
      <c r="T6585" s="22">
        <v>0.7</v>
      </c>
      <c r="U6585" s="22">
        <v>0.9</v>
      </c>
      <c r="V6585" s="22">
        <f>3.87/5</f>
        <v>0.77400000000000002</v>
      </c>
      <c r="AB6585" s="18">
        <f t="shared" si="204"/>
        <v>2005</v>
      </c>
      <c r="AC6585" s="22">
        <f t="shared" si="205"/>
        <v>0.79133333333333333</v>
      </c>
    </row>
    <row r="6586" spans="1:29">
      <c r="A6586" s="8" t="s">
        <v>2108</v>
      </c>
      <c r="B6586" s="17" t="s">
        <v>7748</v>
      </c>
      <c r="C6586" s="13">
        <v>38670</v>
      </c>
      <c r="D6586" s="13" t="s">
        <v>8465</v>
      </c>
      <c r="E6586" s="10" t="s">
        <v>86</v>
      </c>
      <c r="F6586" s="10" t="s">
        <v>87</v>
      </c>
      <c r="G6586" s="11" t="s">
        <v>1135</v>
      </c>
      <c r="H6586" s="2" t="s">
        <v>150</v>
      </c>
      <c r="L6586" s="18">
        <v>0</v>
      </c>
      <c r="Q6586" s="18">
        <v>1</v>
      </c>
      <c r="T6586" s="22">
        <v>0.9</v>
      </c>
      <c r="U6586" s="22">
        <v>0.91</v>
      </c>
      <c r="V6586" s="22">
        <f>4.11/5</f>
        <v>0.82200000000000006</v>
      </c>
      <c r="AB6586" s="18">
        <f t="shared" si="204"/>
        <v>2005</v>
      </c>
      <c r="AC6586" s="22">
        <f t="shared" si="205"/>
        <v>0.87733333333333341</v>
      </c>
    </row>
    <row r="6587" spans="1:29" ht="30">
      <c r="A6587" s="8" t="s">
        <v>914</v>
      </c>
      <c r="B6587" s="17" t="s">
        <v>7740</v>
      </c>
      <c r="C6587" s="13">
        <v>38663</v>
      </c>
      <c r="D6587" s="13" t="s">
        <v>8465</v>
      </c>
      <c r="E6587" s="10" t="s">
        <v>86</v>
      </c>
      <c r="F6587" s="10" t="s">
        <v>62</v>
      </c>
      <c r="G6587" s="11" t="s">
        <v>860</v>
      </c>
      <c r="H6587" s="2" t="s">
        <v>1469</v>
      </c>
      <c r="L6587" s="18">
        <v>0</v>
      </c>
      <c r="Q6587" s="18">
        <v>1</v>
      </c>
      <c r="T6587" s="22">
        <v>0.7</v>
      </c>
      <c r="U6587" s="22">
        <v>0.65</v>
      </c>
      <c r="V6587" s="22">
        <f>3.69/5</f>
        <v>0.73799999999999999</v>
      </c>
      <c r="AB6587" s="18">
        <f t="shared" si="204"/>
        <v>2005</v>
      </c>
      <c r="AC6587" s="22">
        <f t="shared" si="205"/>
        <v>0.69600000000000006</v>
      </c>
    </row>
    <row r="6588" spans="1:29" ht="30">
      <c r="A6588" s="8" t="s">
        <v>1908</v>
      </c>
      <c r="B6588" s="17" t="s">
        <v>7747</v>
      </c>
      <c r="C6588" s="13">
        <v>38650</v>
      </c>
      <c r="D6588" s="13" t="s">
        <v>8465</v>
      </c>
      <c r="E6588" s="10" t="s">
        <v>455</v>
      </c>
      <c r="F6588" s="10" t="s">
        <v>1474</v>
      </c>
      <c r="G6588" s="11" t="s">
        <v>1891</v>
      </c>
      <c r="H6588" s="2" t="s">
        <v>147</v>
      </c>
      <c r="L6588" s="18">
        <v>0</v>
      </c>
      <c r="Q6588" s="18">
        <v>1</v>
      </c>
      <c r="T6588" s="22">
        <v>0.8</v>
      </c>
      <c r="U6588" s="22">
        <v>0.83</v>
      </c>
      <c r="V6588" s="22">
        <f>3.63/5</f>
        <v>0.72599999999999998</v>
      </c>
      <c r="Y6588" s="18">
        <v>1</v>
      </c>
      <c r="AB6588" s="18">
        <f t="shared" si="204"/>
        <v>2005</v>
      </c>
      <c r="AC6588" s="22">
        <f t="shared" si="205"/>
        <v>0.78533333333333333</v>
      </c>
    </row>
    <row r="6589" spans="1:29" ht="25.5">
      <c r="A6589" s="8" t="s">
        <v>2100</v>
      </c>
      <c r="B6589" s="17" t="s">
        <v>7748</v>
      </c>
      <c r="C6589" s="13">
        <v>38629</v>
      </c>
      <c r="D6589" s="13" t="s">
        <v>8465</v>
      </c>
      <c r="E6589" s="10" t="s">
        <v>72</v>
      </c>
      <c r="F6589" s="10" t="s">
        <v>72</v>
      </c>
      <c r="G6589" s="11" t="s">
        <v>113</v>
      </c>
      <c r="H6589" s="2" t="s">
        <v>151</v>
      </c>
      <c r="L6589" s="18">
        <v>0</v>
      </c>
      <c r="Q6589" s="18">
        <v>1</v>
      </c>
      <c r="T6589" s="22">
        <v>0.9</v>
      </c>
      <c r="U6589" s="22">
        <v>0.9</v>
      </c>
      <c r="V6589" s="22">
        <f>4.02/5</f>
        <v>0.80399999999999994</v>
      </c>
      <c r="Y6589" s="18">
        <v>1</v>
      </c>
      <c r="AB6589" s="18">
        <f t="shared" si="204"/>
        <v>2005</v>
      </c>
      <c r="AC6589" s="22">
        <f t="shared" si="205"/>
        <v>0.86799999999999999</v>
      </c>
    </row>
    <row r="6590" spans="1:29">
      <c r="A6590" s="8" t="s">
        <v>2110</v>
      </c>
      <c r="B6590" s="17" t="s">
        <v>7748</v>
      </c>
      <c r="C6590" s="13">
        <v>38614</v>
      </c>
      <c r="D6590" s="13" t="s">
        <v>8465</v>
      </c>
      <c r="E6590" s="10" t="s">
        <v>1273</v>
      </c>
      <c r="F6590" s="10" t="s">
        <v>1511</v>
      </c>
      <c r="G6590" s="11" t="s">
        <v>1264</v>
      </c>
      <c r="H6590" s="2" t="s">
        <v>153</v>
      </c>
      <c r="L6590" s="18">
        <v>0</v>
      </c>
      <c r="Q6590" s="18">
        <v>1</v>
      </c>
      <c r="T6590" s="22">
        <v>0.8</v>
      </c>
      <c r="U6590" s="22">
        <v>0.75</v>
      </c>
      <c r="V6590" s="22">
        <f>3.64/5</f>
        <v>0.72799999999999998</v>
      </c>
      <c r="AB6590" s="18">
        <f t="shared" si="204"/>
        <v>2005</v>
      </c>
      <c r="AC6590" s="22">
        <f t="shared" si="205"/>
        <v>0.7593333333333333</v>
      </c>
    </row>
    <row r="6591" spans="1:29">
      <c r="A6591" s="8" t="s">
        <v>2119</v>
      </c>
      <c r="B6591" s="17" t="s">
        <v>7748</v>
      </c>
      <c r="C6591" s="13">
        <v>38530</v>
      </c>
      <c r="D6591" s="13" t="s">
        <v>8465</v>
      </c>
      <c r="E6591" s="10" t="s">
        <v>157</v>
      </c>
      <c r="F6591" s="10" t="s">
        <v>2139</v>
      </c>
      <c r="G6591" s="11" t="s">
        <v>2119</v>
      </c>
      <c r="H6591" s="2" t="s">
        <v>78</v>
      </c>
      <c r="L6591" s="18">
        <v>0</v>
      </c>
      <c r="Q6591" s="18">
        <v>1</v>
      </c>
      <c r="S6591" s="21">
        <v>0.45</v>
      </c>
      <c r="T6591" s="22">
        <v>0.7</v>
      </c>
      <c r="U6591" s="22">
        <v>0.88</v>
      </c>
      <c r="V6591" s="22">
        <f>4.06/5</f>
        <v>0.81199999999999994</v>
      </c>
      <c r="AB6591" s="18">
        <f t="shared" si="204"/>
        <v>2005</v>
      </c>
      <c r="AC6591" s="22">
        <f t="shared" si="205"/>
        <v>0.79733333333333334</v>
      </c>
    </row>
    <row r="6592" spans="1:29" ht="30">
      <c r="A6592" s="8" t="s">
        <v>1912</v>
      </c>
      <c r="B6592" s="17" t="s">
        <v>7747</v>
      </c>
      <c r="C6592" s="13">
        <v>38495</v>
      </c>
      <c r="D6592" s="13" t="s">
        <v>8465</v>
      </c>
      <c r="E6592" s="10" t="s">
        <v>86</v>
      </c>
      <c r="F6592" s="10" t="s">
        <v>1069</v>
      </c>
      <c r="G6592" s="11" t="s">
        <v>305</v>
      </c>
      <c r="H6592" s="2" t="s">
        <v>75</v>
      </c>
      <c r="L6592" s="18">
        <v>0</v>
      </c>
      <c r="Q6592" s="18">
        <v>1</v>
      </c>
      <c r="T6592" s="22">
        <v>0.9</v>
      </c>
      <c r="U6592" s="22">
        <v>0.85</v>
      </c>
      <c r="V6592" s="22">
        <f>4.11/5</f>
        <v>0.82200000000000006</v>
      </c>
      <c r="Y6592" s="18">
        <v>1</v>
      </c>
      <c r="AB6592" s="18">
        <f t="shared" si="204"/>
        <v>2005</v>
      </c>
      <c r="AC6592" s="22">
        <f t="shared" si="205"/>
        <v>0.85733333333333339</v>
      </c>
    </row>
    <row r="6593" spans="1:29" ht="30">
      <c r="A6593" s="8" t="s">
        <v>1918</v>
      </c>
      <c r="B6593" s="17" t="s">
        <v>7747</v>
      </c>
      <c r="C6593" s="13">
        <v>38495</v>
      </c>
      <c r="D6593" s="13" t="s">
        <v>8465</v>
      </c>
      <c r="E6593" s="10" t="s">
        <v>86</v>
      </c>
      <c r="F6593" s="10" t="s">
        <v>1515</v>
      </c>
      <c r="G6593" s="11" t="s">
        <v>1516</v>
      </c>
      <c r="H6593" s="2" t="s">
        <v>1142</v>
      </c>
      <c r="L6593" s="18">
        <v>0</v>
      </c>
      <c r="Q6593" s="18">
        <v>1</v>
      </c>
      <c r="T6593" s="22">
        <v>0.8</v>
      </c>
      <c r="U6593" s="22">
        <v>0.87</v>
      </c>
      <c r="V6593" s="22">
        <f>4.1/5</f>
        <v>0.82</v>
      </c>
      <c r="AB6593" s="18">
        <f t="shared" ref="AB6593:AB6656" si="206">IFERROR(YEAR(C6593), "Early Access")</f>
        <v>2005</v>
      </c>
      <c r="AC6593" s="22">
        <f t="shared" ref="AC6593:AC6656" si="207">AVERAGE(T6593, U6593, V6593, IF(ISBLANK(X6593), X6593, X6593/5))</f>
        <v>0.83</v>
      </c>
    </row>
    <row r="6594" spans="1:29" ht="30">
      <c r="A6594" s="8" t="s">
        <v>1915</v>
      </c>
      <c r="B6594" s="17" t="s">
        <v>7747</v>
      </c>
      <c r="C6594" s="13">
        <v>38473</v>
      </c>
      <c r="D6594" s="13" t="s">
        <v>8465</v>
      </c>
      <c r="E6594" s="10" t="s">
        <v>86</v>
      </c>
      <c r="F6594" s="10" t="s">
        <v>1354</v>
      </c>
      <c r="G6594" s="11" t="s">
        <v>1470</v>
      </c>
      <c r="H6594" s="2" t="s">
        <v>149</v>
      </c>
      <c r="L6594" s="18">
        <v>0</v>
      </c>
      <c r="Q6594" s="18">
        <v>1</v>
      </c>
      <c r="T6594" s="22">
        <v>0.8</v>
      </c>
      <c r="U6594" s="22">
        <v>0.77</v>
      </c>
      <c r="V6594" s="22">
        <f>4.28/5</f>
        <v>0.85600000000000009</v>
      </c>
      <c r="AB6594" s="18">
        <f t="shared" si="206"/>
        <v>2005</v>
      </c>
      <c r="AC6594" s="22">
        <f t="shared" si="207"/>
        <v>0.80866666666666676</v>
      </c>
    </row>
    <row r="6595" spans="1:29" ht="30">
      <c r="A6595" s="8" t="s">
        <v>4754</v>
      </c>
      <c r="B6595" s="17" t="s">
        <v>7800</v>
      </c>
      <c r="C6595" s="13">
        <v>38461</v>
      </c>
      <c r="D6595" s="13" t="s">
        <v>8465</v>
      </c>
      <c r="E6595" s="10" t="s">
        <v>1551</v>
      </c>
      <c r="F6595" s="10" t="s">
        <v>3370</v>
      </c>
      <c r="G6595" s="11" t="s">
        <v>4754</v>
      </c>
      <c r="H6595" s="2" t="s">
        <v>1040</v>
      </c>
      <c r="L6595" s="18">
        <v>1</v>
      </c>
      <c r="N6595" s="13">
        <v>41060</v>
      </c>
      <c r="P6595" s="18" t="s">
        <v>1107</v>
      </c>
      <c r="Q6595" s="18">
        <v>1</v>
      </c>
      <c r="R6595" s="13">
        <v>44839</v>
      </c>
      <c r="S6595" s="21">
        <f>566/60</f>
        <v>9.4333333333333336</v>
      </c>
      <c r="T6595" s="22">
        <v>0.6</v>
      </c>
      <c r="U6595" s="22">
        <v>0.88</v>
      </c>
      <c r="V6595" s="22">
        <f>4.17/5</f>
        <v>0.83399999999999996</v>
      </c>
      <c r="W6595" s="14" t="s">
        <v>7777</v>
      </c>
      <c r="AB6595" s="18">
        <f t="shared" si="206"/>
        <v>2005</v>
      </c>
      <c r="AC6595" s="22">
        <f t="shared" si="207"/>
        <v>0.77133333333333332</v>
      </c>
    </row>
    <row r="6596" spans="1:29" ht="30">
      <c r="A6596" s="8" t="s">
        <v>1920</v>
      </c>
      <c r="B6596" s="17" t="s">
        <v>7747</v>
      </c>
      <c r="C6596" s="13">
        <v>38435</v>
      </c>
      <c r="D6596" s="13" t="s">
        <v>8465</v>
      </c>
      <c r="E6596" s="10" t="s">
        <v>455</v>
      </c>
      <c r="F6596" s="10" t="s">
        <v>1492</v>
      </c>
      <c r="G6596" s="11" t="s">
        <v>1211</v>
      </c>
      <c r="H6596" s="2" t="s">
        <v>78</v>
      </c>
      <c r="L6596" s="18">
        <v>0</v>
      </c>
      <c r="Q6596" s="18">
        <v>1</v>
      </c>
      <c r="T6596" s="22">
        <v>0.7</v>
      </c>
      <c r="V6596" s="22">
        <f>3.69/5</f>
        <v>0.73799999999999999</v>
      </c>
      <c r="AB6596" s="18">
        <f t="shared" si="206"/>
        <v>2005</v>
      </c>
      <c r="AC6596" s="22">
        <f t="shared" si="207"/>
        <v>0.71899999999999997</v>
      </c>
    </row>
    <row r="6597" spans="1:29" ht="30">
      <c r="A6597" s="8" t="s">
        <v>5718</v>
      </c>
      <c r="B6597" s="17" t="s">
        <v>7758</v>
      </c>
      <c r="C6597" s="13">
        <v>38433</v>
      </c>
      <c r="D6597" s="13" t="s">
        <v>8465</v>
      </c>
      <c r="E6597" s="10" t="s">
        <v>2908</v>
      </c>
      <c r="F6597" s="10" t="s">
        <v>5719</v>
      </c>
      <c r="G6597" s="11" t="s">
        <v>5718</v>
      </c>
      <c r="H6597" s="2" t="s">
        <v>1059</v>
      </c>
      <c r="L6597" s="18">
        <v>1</v>
      </c>
      <c r="M6597" s="14" t="s">
        <v>8462</v>
      </c>
      <c r="N6597" s="13">
        <v>43575</v>
      </c>
      <c r="P6597" s="18" t="s">
        <v>14</v>
      </c>
      <c r="Q6597" s="18">
        <v>1</v>
      </c>
      <c r="R6597" s="13">
        <v>44986</v>
      </c>
      <c r="S6597" s="21">
        <f>7+17/60+9/3600</f>
        <v>7.2858333333333336</v>
      </c>
      <c r="T6597" s="22">
        <v>0.75</v>
      </c>
      <c r="U6597" s="22">
        <v>0.94</v>
      </c>
      <c r="V6597" s="22">
        <f>4.22/5</f>
        <v>0.84399999999999997</v>
      </c>
      <c r="AB6597" s="18">
        <f t="shared" si="206"/>
        <v>2005</v>
      </c>
      <c r="AC6597" s="22">
        <f t="shared" si="207"/>
        <v>0.84466666666666657</v>
      </c>
    </row>
    <row r="6598" spans="1:29">
      <c r="A6598" s="8" t="s">
        <v>2113</v>
      </c>
      <c r="B6598" s="17" t="s">
        <v>7748</v>
      </c>
      <c r="C6598" s="13">
        <v>38425</v>
      </c>
      <c r="D6598" s="13" t="s">
        <v>8465</v>
      </c>
      <c r="E6598" s="10" t="s">
        <v>86</v>
      </c>
      <c r="F6598" s="10" t="s">
        <v>87</v>
      </c>
      <c r="G6598" s="11" t="s">
        <v>1173</v>
      </c>
      <c r="H6598" s="2" t="s">
        <v>64</v>
      </c>
      <c r="L6598" s="18">
        <v>0</v>
      </c>
      <c r="Q6598" s="18">
        <v>1</v>
      </c>
      <c r="T6598" s="22">
        <v>0.5</v>
      </c>
      <c r="U6598" s="22">
        <v>0.75</v>
      </c>
      <c r="V6598" s="22">
        <f>3.01/5</f>
        <v>0.60199999999999998</v>
      </c>
      <c r="AB6598" s="18">
        <f t="shared" si="206"/>
        <v>2005</v>
      </c>
      <c r="AC6598" s="22">
        <f t="shared" si="207"/>
        <v>0.61733333333333329</v>
      </c>
    </row>
    <row r="6599" spans="1:29" ht="30">
      <c r="A6599" s="8" t="s">
        <v>920</v>
      </c>
      <c r="B6599" s="17" t="s">
        <v>7740</v>
      </c>
      <c r="C6599" s="13">
        <v>38363</v>
      </c>
      <c r="D6599" s="13" t="s">
        <v>8465</v>
      </c>
      <c r="E6599" s="10" t="s">
        <v>73</v>
      </c>
      <c r="F6599" s="10" t="s">
        <v>73</v>
      </c>
      <c r="G6599" s="11" t="s">
        <v>943</v>
      </c>
      <c r="H6599" s="2" t="s">
        <v>1168</v>
      </c>
      <c r="L6599" s="18">
        <v>0</v>
      </c>
      <c r="Q6599" s="18">
        <v>1</v>
      </c>
      <c r="T6599" s="22">
        <v>1</v>
      </c>
      <c r="U6599" s="22">
        <v>0.96</v>
      </c>
      <c r="V6599" s="22">
        <f>4.55/5</f>
        <v>0.90999999999999992</v>
      </c>
      <c r="Y6599" s="18">
        <v>1</v>
      </c>
      <c r="AB6599" s="18">
        <f t="shared" si="206"/>
        <v>2005</v>
      </c>
      <c r="AC6599" s="22">
        <f t="shared" si="207"/>
        <v>0.95666666666666667</v>
      </c>
    </row>
    <row r="6600" spans="1:29" ht="45">
      <c r="A6600" s="8" t="s">
        <v>1909</v>
      </c>
      <c r="B6600" s="17" t="s">
        <v>7747</v>
      </c>
      <c r="C6600" s="13">
        <v>38362</v>
      </c>
      <c r="D6600" s="13" t="s">
        <v>8465</v>
      </c>
      <c r="E6600" s="10" t="s">
        <v>86</v>
      </c>
      <c r="F6600" s="10" t="s">
        <v>73</v>
      </c>
      <c r="G6600" s="11" t="s">
        <v>85</v>
      </c>
      <c r="H6600" s="2" t="s">
        <v>80</v>
      </c>
      <c r="L6600" s="18">
        <v>1</v>
      </c>
      <c r="M6600" s="14" t="s">
        <v>10622</v>
      </c>
      <c r="N6600" s="13">
        <v>43499</v>
      </c>
      <c r="O6600" s="29">
        <v>29.99</v>
      </c>
      <c r="P6600" s="18" t="s">
        <v>14</v>
      </c>
      <c r="Q6600" s="18">
        <v>1</v>
      </c>
      <c r="T6600" s="22">
        <v>0.8</v>
      </c>
      <c r="U6600" s="22">
        <v>0.9</v>
      </c>
      <c r="V6600" s="22">
        <f>4.19/5</f>
        <v>0.83800000000000008</v>
      </c>
      <c r="W6600" s="14" t="s">
        <v>8471</v>
      </c>
      <c r="AB6600" s="18">
        <f t="shared" si="206"/>
        <v>2005</v>
      </c>
      <c r="AC6600" s="22">
        <f t="shared" si="207"/>
        <v>0.84600000000000009</v>
      </c>
    </row>
    <row r="6601" spans="1:29" ht="25.5">
      <c r="A6601" s="8" t="s">
        <v>7548</v>
      </c>
      <c r="B6601" s="17" t="s">
        <v>7764</v>
      </c>
      <c r="C6601" s="13">
        <v>38349</v>
      </c>
      <c r="D6601" s="13" t="s">
        <v>8465</v>
      </c>
      <c r="E6601" s="10" t="s">
        <v>3740</v>
      </c>
      <c r="F6601" s="10" t="s">
        <v>3851</v>
      </c>
      <c r="G6601" s="11" t="s">
        <v>1433</v>
      </c>
      <c r="H6601" s="2" t="s">
        <v>1204</v>
      </c>
      <c r="L6601" s="18">
        <v>0</v>
      </c>
      <c r="Q6601" s="18">
        <v>0</v>
      </c>
      <c r="U6601" s="22">
        <v>0.81</v>
      </c>
      <c r="V6601" s="22">
        <f>3.65/5</f>
        <v>0.73</v>
      </c>
      <c r="X6601" s="3">
        <v>3</v>
      </c>
      <c r="Y6601" s="18">
        <v>1</v>
      </c>
      <c r="Z6601" s="23">
        <v>6.5</v>
      </c>
      <c r="AB6601" s="18">
        <f t="shared" si="206"/>
        <v>2004</v>
      </c>
      <c r="AC6601" s="22">
        <f t="shared" si="207"/>
        <v>0.71333333333333337</v>
      </c>
    </row>
    <row r="6602" spans="1:29" ht="25.5">
      <c r="A6602" s="8" t="s">
        <v>11189</v>
      </c>
      <c r="B6602" s="17" t="s">
        <v>7758</v>
      </c>
      <c r="C6602" s="13">
        <v>38349</v>
      </c>
      <c r="D6602" s="13" t="s">
        <v>8463</v>
      </c>
      <c r="E6602" s="10" t="s">
        <v>170</v>
      </c>
      <c r="F6602" s="10" t="s">
        <v>170</v>
      </c>
      <c r="G6602" s="11" t="s">
        <v>567</v>
      </c>
      <c r="H6602" s="2" t="s">
        <v>459</v>
      </c>
      <c r="K6602" s="18">
        <v>0</v>
      </c>
      <c r="L6602" s="18">
        <v>0</v>
      </c>
      <c r="Q6602" s="18">
        <v>0</v>
      </c>
      <c r="V6602" s="22">
        <f>3.57/5</f>
        <v>0.71399999999999997</v>
      </c>
      <c r="X6602" s="3">
        <v>2</v>
      </c>
      <c r="Z6602" s="23">
        <f>45/60</f>
        <v>0.75</v>
      </c>
      <c r="AB6602" s="18">
        <f t="shared" si="206"/>
        <v>2004</v>
      </c>
      <c r="AC6602" s="22">
        <f t="shared" si="207"/>
        <v>0.55699999999999994</v>
      </c>
    </row>
    <row r="6603" spans="1:29">
      <c r="A6603" s="8" t="s">
        <v>6301</v>
      </c>
      <c r="B6603" s="17" t="s">
        <v>7764</v>
      </c>
      <c r="C6603" s="13">
        <v>38343</v>
      </c>
      <c r="D6603" s="13" t="s">
        <v>8463</v>
      </c>
      <c r="E6603" s="10" t="s">
        <v>3116</v>
      </c>
      <c r="F6603" s="10" t="s">
        <v>1580</v>
      </c>
      <c r="G6603" s="11" t="s">
        <v>6301</v>
      </c>
      <c r="H6603" s="2" t="s">
        <v>1168</v>
      </c>
      <c r="K6603" s="18">
        <v>2</v>
      </c>
      <c r="L6603" s="18">
        <v>0</v>
      </c>
      <c r="Q6603" s="18">
        <v>0</v>
      </c>
      <c r="V6603" s="22">
        <f>4.22/5</f>
        <v>0.84399999999999997</v>
      </c>
      <c r="X6603" s="3">
        <v>4</v>
      </c>
      <c r="Y6603" s="18">
        <v>1</v>
      </c>
      <c r="Z6603" s="23">
        <v>6.5</v>
      </c>
      <c r="AB6603" s="18">
        <f t="shared" si="206"/>
        <v>2004</v>
      </c>
      <c r="AC6603" s="22">
        <f t="shared" si="207"/>
        <v>0.82200000000000006</v>
      </c>
    </row>
    <row r="6604" spans="1:29" ht="38.25">
      <c r="A6604" s="8" t="s">
        <v>10970</v>
      </c>
      <c r="B6604" s="17" t="s">
        <v>7758</v>
      </c>
      <c r="C6604" s="13">
        <v>38343</v>
      </c>
      <c r="D6604" s="13" t="s">
        <v>8463</v>
      </c>
      <c r="E6604" s="10" t="s">
        <v>1082</v>
      </c>
      <c r="F6604" s="10" t="s">
        <v>1082</v>
      </c>
      <c r="G6604" s="11" t="s">
        <v>7407</v>
      </c>
      <c r="H6604" s="2" t="s">
        <v>1469</v>
      </c>
      <c r="K6604" s="18">
        <v>2</v>
      </c>
      <c r="L6604" s="18">
        <v>0</v>
      </c>
      <c r="Q6604" s="18">
        <v>0</v>
      </c>
      <c r="V6604" s="22">
        <f>3.88/5</f>
        <v>0.77600000000000002</v>
      </c>
      <c r="X6604" s="3">
        <v>2</v>
      </c>
      <c r="AB6604" s="18">
        <f t="shared" si="206"/>
        <v>2004</v>
      </c>
      <c r="AC6604" s="22">
        <f t="shared" si="207"/>
        <v>0.58800000000000008</v>
      </c>
    </row>
    <row r="6605" spans="1:29">
      <c r="A6605" s="8" t="s">
        <v>12108</v>
      </c>
      <c r="B6605" s="17" t="s">
        <v>7800</v>
      </c>
      <c r="C6605" s="13">
        <v>38343</v>
      </c>
      <c r="D6605" s="13" t="s">
        <v>8465</v>
      </c>
      <c r="E6605" s="10" t="s">
        <v>4050</v>
      </c>
      <c r="F6605" s="10" t="s">
        <v>12109</v>
      </c>
      <c r="H6605" s="2" t="s">
        <v>3937</v>
      </c>
      <c r="L6605" s="18">
        <v>0</v>
      </c>
      <c r="Q6605" s="18">
        <v>0</v>
      </c>
      <c r="V6605" s="22">
        <f>2.83/5</f>
        <v>0.56600000000000006</v>
      </c>
      <c r="X6605" s="3">
        <v>2</v>
      </c>
      <c r="AB6605" s="18">
        <f t="shared" si="206"/>
        <v>2004</v>
      </c>
      <c r="AC6605" s="22">
        <f t="shared" si="207"/>
        <v>0.48300000000000004</v>
      </c>
    </row>
    <row r="6606" spans="1:29">
      <c r="A6606" s="8" t="s">
        <v>5780</v>
      </c>
      <c r="B6606" s="17" t="s">
        <v>7758</v>
      </c>
      <c r="C6606" s="13">
        <v>38337</v>
      </c>
      <c r="D6606" s="13" t="s">
        <v>8463</v>
      </c>
      <c r="E6606" s="10" t="s">
        <v>158</v>
      </c>
      <c r="F6606" s="10" t="s">
        <v>1500</v>
      </c>
      <c r="G6606" s="11" t="s">
        <v>1422</v>
      </c>
      <c r="H6606" s="2" t="s">
        <v>149</v>
      </c>
      <c r="K6606" s="18">
        <v>0</v>
      </c>
      <c r="L6606" s="18">
        <v>0</v>
      </c>
      <c r="Q6606" s="18">
        <v>0</v>
      </c>
      <c r="U6606" s="22">
        <v>0.92</v>
      </c>
      <c r="V6606" s="22">
        <f>4.26/5</f>
        <v>0.85199999999999998</v>
      </c>
      <c r="X6606" s="3">
        <v>3</v>
      </c>
      <c r="Z6606" s="23">
        <v>40</v>
      </c>
      <c r="AB6606" s="18">
        <f t="shared" si="206"/>
        <v>2004</v>
      </c>
      <c r="AC6606" s="22">
        <f t="shared" si="207"/>
        <v>0.79066666666666663</v>
      </c>
    </row>
    <row r="6607" spans="1:29" ht="30">
      <c r="A6607" s="8" t="s">
        <v>10321</v>
      </c>
      <c r="B6607" s="17" t="s">
        <v>7740</v>
      </c>
      <c r="C6607" s="13">
        <v>38337</v>
      </c>
      <c r="D6607" s="13" t="s">
        <v>8463</v>
      </c>
      <c r="E6607" s="10" t="s">
        <v>470</v>
      </c>
      <c r="F6607" s="10" t="s">
        <v>1402</v>
      </c>
      <c r="G6607" s="11" t="s">
        <v>299</v>
      </c>
      <c r="H6607" s="2" t="s">
        <v>75</v>
      </c>
      <c r="K6607" s="18">
        <v>2</v>
      </c>
      <c r="L6607" s="18">
        <v>0</v>
      </c>
      <c r="Q6607" s="18">
        <v>0</v>
      </c>
      <c r="V6607" s="22">
        <f>4.13/5</f>
        <v>0.82599999999999996</v>
      </c>
      <c r="X6607" s="3">
        <v>3</v>
      </c>
      <c r="AB6607" s="18">
        <f t="shared" si="206"/>
        <v>2004</v>
      </c>
      <c r="AC6607" s="22">
        <f t="shared" si="207"/>
        <v>0.71299999999999997</v>
      </c>
    </row>
    <row r="6608" spans="1:29" ht="25.5">
      <c r="A6608" s="8" t="s">
        <v>14375</v>
      </c>
      <c r="B6608" s="17" t="s">
        <v>14376</v>
      </c>
      <c r="C6608" s="13">
        <v>38337</v>
      </c>
      <c r="D6608" s="13" t="s">
        <v>11862</v>
      </c>
      <c r="E6608" s="10" t="s">
        <v>14377</v>
      </c>
      <c r="F6608" s="10" t="s">
        <v>14378</v>
      </c>
      <c r="H6608" s="2" t="s">
        <v>171</v>
      </c>
      <c r="K6608" s="18">
        <v>2</v>
      </c>
      <c r="L6608" s="18">
        <v>0</v>
      </c>
      <c r="Q6608" s="18">
        <v>0</v>
      </c>
      <c r="V6608" s="22">
        <f>3.25/5</f>
        <v>0.65</v>
      </c>
      <c r="X6608" s="3">
        <v>2</v>
      </c>
      <c r="AB6608" s="18">
        <f t="shared" si="206"/>
        <v>2004</v>
      </c>
      <c r="AC6608" s="22">
        <f t="shared" si="207"/>
        <v>0.52500000000000002</v>
      </c>
    </row>
    <row r="6609" spans="1:29" ht="25.5">
      <c r="A6609" s="8" t="s">
        <v>14569</v>
      </c>
      <c r="B6609" s="17" t="s">
        <v>7764</v>
      </c>
      <c r="C6609" s="13">
        <v>38335</v>
      </c>
      <c r="D6609" s="13" t="s">
        <v>8465</v>
      </c>
      <c r="E6609" s="10" t="s">
        <v>76</v>
      </c>
      <c r="F6609" s="10" t="s">
        <v>1512</v>
      </c>
      <c r="G6609" s="11" t="s">
        <v>11208</v>
      </c>
      <c r="H6609" s="2" t="s">
        <v>1204</v>
      </c>
      <c r="L6609" s="18">
        <v>0</v>
      </c>
      <c r="Q6609" s="18">
        <v>0</v>
      </c>
      <c r="U6609" s="22">
        <v>0.55000000000000004</v>
      </c>
      <c r="V6609" s="22">
        <f>3.24/5</f>
        <v>0.64800000000000002</v>
      </c>
      <c r="X6609" s="3">
        <v>2</v>
      </c>
      <c r="Z6609" s="23">
        <v>2</v>
      </c>
      <c r="AB6609" s="18">
        <f t="shared" si="206"/>
        <v>2004</v>
      </c>
      <c r="AC6609" s="22">
        <f t="shared" si="207"/>
        <v>0.53266666666666662</v>
      </c>
    </row>
    <row r="6610" spans="1:29">
      <c r="A6610" s="8" t="s">
        <v>3247</v>
      </c>
      <c r="B6610" s="17" t="s">
        <v>7800</v>
      </c>
      <c r="C6610" s="13">
        <v>38331</v>
      </c>
      <c r="D6610" s="13" t="s">
        <v>8465</v>
      </c>
      <c r="E6610" s="10" t="s">
        <v>154</v>
      </c>
      <c r="F6610" s="10" t="s">
        <v>3248</v>
      </c>
      <c r="H6610" s="2" t="s">
        <v>67</v>
      </c>
      <c r="L6610" s="18">
        <v>1</v>
      </c>
      <c r="N6610" s="13">
        <v>41941</v>
      </c>
      <c r="P6610" s="18" t="s">
        <v>1107</v>
      </c>
      <c r="Q6610" s="18">
        <v>0</v>
      </c>
      <c r="U6610" s="22">
        <v>0.81</v>
      </c>
      <c r="V6610" s="22">
        <f>3.91/5</f>
        <v>0.78200000000000003</v>
      </c>
      <c r="W6610" s="14" t="s">
        <v>7777</v>
      </c>
      <c r="X6610" s="3">
        <v>3</v>
      </c>
      <c r="Z6610" s="23">
        <v>3.5</v>
      </c>
      <c r="AB6610" s="18">
        <f t="shared" si="206"/>
        <v>2004</v>
      </c>
      <c r="AC6610" s="22">
        <f t="shared" si="207"/>
        <v>0.73066666666666669</v>
      </c>
    </row>
    <row r="6611" spans="1:29" ht="25.5">
      <c r="A6611" s="8" t="s">
        <v>5747</v>
      </c>
      <c r="B6611" s="17" t="s">
        <v>7758</v>
      </c>
      <c r="C6611" s="13">
        <v>38328</v>
      </c>
      <c r="D6611" s="13" t="s">
        <v>8465</v>
      </c>
      <c r="E6611" s="10" t="s">
        <v>2701</v>
      </c>
      <c r="F6611" s="10" t="s">
        <v>2660</v>
      </c>
      <c r="G6611" s="11" t="s">
        <v>5868</v>
      </c>
      <c r="H6611" s="2" t="s">
        <v>75</v>
      </c>
      <c r="L6611" s="18">
        <v>0</v>
      </c>
      <c r="Q6611" s="18">
        <v>0</v>
      </c>
      <c r="U6611" s="22">
        <v>0.8</v>
      </c>
      <c r="V6611" s="22">
        <f>4.05/5</f>
        <v>0.80999999999999994</v>
      </c>
      <c r="X6611" s="3">
        <v>3</v>
      </c>
      <c r="AB6611" s="18">
        <f t="shared" si="206"/>
        <v>2004</v>
      </c>
      <c r="AC6611" s="22">
        <f t="shared" si="207"/>
        <v>0.73666666666666669</v>
      </c>
    </row>
    <row r="6612" spans="1:29" ht="30">
      <c r="A6612" s="8" t="s">
        <v>2012</v>
      </c>
      <c r="B6612" s="17" t="s">
        <v>7747</v>
      </c>
      <c r="C6612" s="13">
        <v>38328</v>
      </c>
      <c r="D6612" s="13" t="s">
        <v>8465</v>
      </c>
      <c r="E6612" s="10" t="s">
        <v>1082</v>
      </c>
      <c r="F6612" s="10" t="s">
        <v>1794</v>
      </c>
      <c r="G6612" s="11" t="s">
        <v>1957</v>
      </c>
      <c r="H6612" s="2" t="s">
        <v>171</v>
      </c>
      <c r="L6612" s="18">
        <v>0</v>
      </c>
      <c r="Q6612" s="18">
        <v>0</v>
      </c>
      <c r="U6612" s="22">
        <v>0.78</v>
      </c>
      <c r="V6612" s="22">
        <f>3.7/5</f>
        <v>0.74</v>
      </c>
      <c r="X6612" s="3">
        <v>3</v>
      </c>
      <c r="Z6612" s="23">
        <v>19</v>
      </c>
      <c r="AB6612" s="18">
        <f t="shared" si="206"/>
        <v>2004</v>
      </c>
      <c r="AC6612" s="22">
        <f t="shared" si="207"/>
        <v>0.70666666666666667</v>
      </c>
    </row>
    <row r="6613" spans="1:29">
      <c r="A6613" s="8" t="s">
        <v>5760</v>
      </c>
      <c r="B6613" s="17" t="s">
        <v>7758</v>
      </c>
      <c r="C6613" s="13">
        <v>38328</v>
      </c>
      <c r="D6613" s="13" t="s">
        <v>8465</v>
      </c>
      <c r="E6613" s="10" t="s">
        <v>73</v>
      </c>
      <c r="F6613" s="10" t="s">
        <v>73</v>
      </c>
      <c r="G6613" s="11" t="s">
        <v>601</v>
      </c>
      <c r="H6613" s="2" t="s">
        <v>56</v>
      </c>
      <c r="L6613" s="18">
        <v>0</v>
      </c>
      <c r="Q6613" s="18">
        <v>0</v>
      </c>
      <c r="U6613" s="22">
        <v>0.69</v>
      </c>
      <c r="V6613" s="22">
        <f>3.92/5</f>
        <v>0.78400000000000003</v>
      </c>
      <c r="X6613" s="3">
        <v>3</v>
      </c>
      <c r="Z6613" s="23">
        <v>4.5</v>
      </c>
      <c r="AB6613" s="18">
        <f t="shared" si="206"/>
        <v>2004</v>
      </c>
      <c r="AC6613" s="22">
        <f t="shared" si="207"/>
        <v>0.69133333333333324</v>
      </c>
    </row>
    <row r="6614" spans="1:29">
      <c r="A6614" s="8" t="s">
        <v>5728</v>
      </c>
      <c r="B6614" s="17" t="s">
        <v>7758</v>
      </c>
      <c r="C6614" s="13">
        <v>38328</v>
      </c>
      <c r="D6614" s="13" t="s">
        <v>8465</v>
      </c>
      <c r="E6614" s="10" t="s">
        <v>3017</v>
      </c>
      <c r="F6614" s="10" t="s">
        <v>1580</v>
      </c>
      <c r="H6614" s="2" t="s">
        <v>1061</v>
      </c>
      <c r="L6614" s="18">
        <v>0</v>
      </c>
      <c r="Q6614" s="18">
        <v>0</v>
      </c>
      <c r="U6614" s="22">
        <v>0.59</v>
      </c>
      <c r="V6614" s="22">
        <f>3.78/5</f>
        <v>0.75600000000000001</v>
      </c>
      <c r="X6614" s="3">
        <v>3</v>
      </c>
      <c r="Z6614" s="23">
        <v>8.5</v>
      </c>
      <c r="AB6614" s="18">
        <f t="shared" si="206"/>
        <v>2004</v>
      </c>
      <c r="AC6614" s="22">
        <f t="shared" si="207"/>
        <v>0.64866666666666672</v>
      </c>
    </row>
    <row r="6615" spans="1:29" ht="30">
      <c r="A6615" s="8" t="s">
        <v>8049</v>
      </c>
      <c r="B6615" s="17" t="s">
        <v>7748</v>
      </c>
      <c r="C6615" s="13">
        <v>38328</v>
      </c>
      <c r="D6615" s="13" t="s">
        <v>8465</v>
      </c>
      <c r="E6615" s="10" t="s">
        <v>86</v>
      </c>
      <c r="F6615" s="10" t="s">
        <v>1506</v>
      </c>
      <c r="G6615" s="11" t="s">
        <v>8037</v>
      </c>
      <c r="H6615" s="2" t="s">
        <v>150</v>
      </c>
      <c r="L6615" s="18">
        <v>0</v>
      </c>
      <c r="Q6615" s="18">
        <v>0</v>
      </c>
      <c r="U6615" s="22">
        <v>0.64190000000000003</v>
      </c>
      <c r="V6615" s="22">
        <f>3.33/5</f>
        <v>0.66600000000000004</v>
      </c>
      <c r="X6615" s="3">
        <v>2</v>
      </c>
      <c r="Z6615" s="23">
        <v>2</v>
      </c>
      <c r="AB6615" s="18">
        <f t="shared" si="206"/>
        <v>2004</v>
      </c>
      <c r="AC6615" s="22">
        <f t="shared" si="207"/>
        <v>0.56930000000000003</v>
      </c>
    </row>
    <row r="6616" spans="1:29" ht="38.25">
      <c r="A6616" s="8" t="s">
        <v>11600</v>
      </c>
      <c r="B6616" s="17" t="s">
        <v>7758</v>
      </c>
      <c r="C6616" s="13">
        <v>38328</v>
      </c>
      <c r="D6616" s="13" t="s">
        <v>8465</v>
      </c>
      <c r="E6616" s="10" t="s">
        <v>157</v>
      </c>
      <c r="F6616" s="10" t="s">
        <v>66</v>
      </c>
      <c r="G6616" s="11" t="s">
        <v>1395</v>
      </c>
      <c r="H6616" s="2" t="s">
        <v>459</v>
      </c>
      <c r="L6616" s="18">
        <v>0</v>
      </c>
      <c r="Q6616" s="18">
        <v>0</v>
      </c>
      <c r="U6616" s="22">
        <v>0.48</v>
      </c>
      <c r="V6616" s="22">
        <f>3.46/5</f>
        <v>0.69199999999999995</v>
      </c>
      <c r="X6616" s="3">
        <v>2</v>
      </c>
      <c r="AB6616" s="18">
        <f t="shared" si="206"/>
        <v>2004</v>
      </c>
      <c r="AC6616" s="22">
        <f t="shared" si="207"/>
        <v>0.52400000000000002</v>
      </c>
    </row>
    <row r="6617" spans="1:29" ht="38.25">
      <c r="A6617" s="8" t="s">
        <v>13077</v>
      </c>
      <c r="B6617" s="17" t="s">
        <v>7800</v>
      </c>
      <c r="C6617" s="13">
        <v>38327</v>
      </c>
      <c r="D6617" s="13" t="s">
        <v>8465</v>
      </c>
      <c r="E6617" s="10" t="s">
        <v>5010</v>
      </c>
      <c r="F6617" s="10" t="s">
        <v>1039</v>
      </c>
      <c r="G6617" s="11" t="s">
        <v>4445</v>
      </c>
      <c r="H6617" s="2" t="s">
        <v>1143</v>
      </c>
      <c r="L6617" s="18">
        <v>0</v>
      </c>
      <c r="Q6617" s="18">
        <v>0</v>
      </c>
      <c r="U6617" s="22">
        <v>0.82</v>
      </c>
      <c r="V6617" s="22">
        <f>3.92/5</f>
        <v>0.78400000000000003</v>
      </c>
      <c r="W6617" s="14" t="s">
        <v>13076</v>
      </c>
      <c r="X6617" s="3">
        <v>3</v>
      </c>
      <c r="Z6617" s="23">
        <v>26.5</v>
      </c>
      <c r="AB6617" s="18">
        <f t="shared" si="206"/>
        <v>2004</v>
      </c>
      <c r="AC6617" s="22">
        <f t="shared" si="207"/>
        <v>0.73466666666666669</v>
      </c>
    </row>
    <row r="6618" spans="1:29" ht="30">
      <c r="A6618" s="8" t="s">
        <v>11555</v>
      </c>
      <c r="B6618" s="17" t="s">
        <v>7747</v>
      </c>
      <c r="C6618" s="13">
        <v>38324</v>
      </c>
      <c r="D6618" s="13" t="s">
        <v>8465</v>
      </c>
      <c r="E6618" s="10" t="s">
        <v>158</v>
      </c>
      <c r="F6618" s="10" t="s">
        <v>1956</v>
      </c>
      <c r="G6618" s="11" t="s">
        <v>11555</v>
      </c>
      <c r="H6618" s="2" t="s">
        <v>1168</v>
      </c>
      <c r="L6618" s="18">
        <v>0</v>
      </c>
      <c r="Q6618" s="18">
        <v>0</v>
      </c>
      <c r="U6618" s="22">
        <v>0.4</v>
      </c>
      <c r="V6618" s="22">
        <f>2.25/5</f>
        <v>0.45</v>
      </c>
      <c r="X6618" s="3">
        <v>2</v>
      </c>
      <c r="Z6618" s="23">
        <v>8</v>
      </c>
      <c r="AB6618" s="18">
        <f t="shared" si="206"/>
        <v>2004</v>
      </c>
      <c r="AC6618" s="22">
        <f t="shared" si="207"/>
        <v>0.41666666666666669</v>
      </c>
    </row>
    <row r="6619" spans="1:29" ht="30">
      <c r="A6619" s="8" t="s">
        <v>13281</v>
      </c>
      <c r="B6619" s="17" t="s">
        <v>7748</v>
      </c>
      <c r="C6619" s="13">
        <v>38323</v>
      </c>
      <c r="D6619" s="13" t="s">
        <v>8463</v>
      </c>
      <c r="E6619" s="10" t="s">
        <v>86</v>
      </c>
      <c r="F6619" s="10" t="s">
        <v>1432</v>
      </c>
      <c r="G6619" s="11" t="s">
        <v>13281</v>
      </c>
      <c r="H6619" s="2" t="s">
        <v>1220</v>
      </c>
      <c r="K6619" s="18">
        <v>0</v>
      </c>
      <c r="L6619" s="18">
        <v>0</v>
      </c>
      <c r="Q6619" s="18">
        <v>0</v>
      </c>
      <c r="V6619" s="22">
        <f>4/5</f>
        <v>0.8</v>
      </c>
      <c r="X6619" s="3">
        <v>3</v>
      </c>
      <c r="Z6619" s="23">
        <v>12.5</v>
      </c>
      <c r="AB6619" s="18">
        <f t="shared" si="206"/>
        <v>2004</v>
      </c>
      <c r="AC6619" s="22">
        <f t="shared" si="207"/>
        <v>0.7</v>
      </c>
    </row>
    <row r="6620" spans="1:29" ht="25.5">
      <c r="A6620" s="8" t="s">
        <v>6970</v>
      </c>
      <c r="B6620" s="17" t="s">
        <v>7800</v>
      </c>
      <c r="C6620" s="13">
        <v>38321</v>
      </c>
      <c r="D6620" s="13" t="s">
        <v>8465</v>
      </c>
      <c r="E6620" s="10" t="s">
        <v>1047</v>
      </c>
      <c r="F6620" s="10" t="s">
        <v>1048</v>
      </c>
      <c r="G6620" s="11" t="s">
        <v>677</v>
      </c>
      <c r="H6620" s="2" t="s">
        <v>80</v>
      </c>
      <c r="L6620" s="18">
        <v>1</v>
      </c>
      <c r="N6620" s="13">
        <v>42105</v>
      </c>
      <c r="O6620" s="29">
        <v>2.4900000000000002</v>
      </c>
      <c r="P6620" s="18" t="s">
        <v>1107</v>
      </c>
      <c r="Q6620" s="18">
        <v>0</v>
      </c>
      <c r="U6620" s="22">
        <v>0.81</v>
      </c>
      <c r="V6620" s="22">
        <f>4/5</f>
        <v>0.8</v>
      </c>
      <c r="W6620" s="14" t="s">
        <v>7778</v>
      </c>
      <c r="X6620" s="3">
        <v>3</v>
      </c>
      <c r="Z6620" s="23">
        <v>12</v>
      </c>
      <c r="AB6620" s="18">
        <f t="shared" si="206"/>
        <v>2004</v>
      </c>
      <c r="AC6620" s="22">
        <f t="shared" si="207"/>
        <v>0.73666666666666669</v>
      </c>
    </row>
    <row r="6621" spans="1:29" ht="30">
      <c r="A6621" s="8" t="s">
        <v>7451</v>
      </c>
      <c r="B6621" s="17" t="s">
        <v>7758</v>
      </c>
      <c r="C6621" s="13">
        <v>38321</v>
      </c>
      <c r="D6621" s="13" t="s">
        <v>8465</v>
      </c>
      <c r="E6621" s="10" t="s">
        <v>1047</v>
      </c>
      <c r="F6621" s="10" t="s">
        <v>6607</v>
      </c>
      <c r="G6621" s="11" t="s">
        <v>2474</v>
      </c>
      <c r="H6621" s="2" t="s">
        <v>7448</v>
      </c>
      <c r="L6621" s="18">
        <v>0</v>
      </c>
      <c r="Q6621" s="18">
        <v>0</v>
      </c>
      <c r="U6621" s="22">
        <v>0.63</v>
      </c>
      <c r="V6621" s="22">
        <f>3.23/5</f>
        <v>0.64600000000000002</v>
      </c>
      <c r="X6621" s="3">
        <v>3</v>
      </c>
      <c r="Z6621" s="23">
        <v>9</v>
      </c>
      <c r="AB6621" s="18">
        <f t="shared" si="206"/>
        <v>2004</v>
      </c>
      <c r="AC6621" s="22">
        <f t="shared" si="207"/>
        <v>0.6253333333333333</v>
      </c>
    </row>
    <row r="6622" spans="1:29">
      <c r="A6622" s="8" t="s">
        <v>12374</v>
      </c>
      <c r="B6622" s="17" t="s">
        <v>7748</v>
      </c>
      <c r="C6622" s="13">
        <v>38321</v>
      </c>
      <c r="D6622" s="13" t="s">
        <v>8465</v>
      </c>
      <c r="E6622" s="10" t="s">
        <v>158</v>
      </c>
      <c r="F6622" s="10" t="s">
        <v>158</v>
      </c>
      <c r="G6622" s="11" t="s">
        <v>7502</v>
      </c>
      <c r="H6622" s="2" t="s">
        <v>78</v>
      </c>
      <c r="L6622" s="18">
        <v>0</v>
      </c>
      <c r="Q6622" s="18">
        <v>0</v>
      </c>
      <c r="U6622" s="22">
        <v>0.7</v>
      </c>
      <c r="V6622" s="22">
        <f>3.5/5</f>
        <v>0.7</v>
      </c>
      <c r="X6622" s="3">
        <v>2</v>
      </c>
      <c r="Z6622" s="23">
        <v>10</v>
      </c>
      <c r="AB6622" s="18">
        <f t="shared" si="206"/>
        <v>2004</v>
      </c>
      <c r="AC6622" s="22">
        <f t="shared" si="207"/>
        <v>0.6</v>
      </c>
    </row>
    <row r="6623" spans="1:29" ht="30">
      <c r="A6623" s="8" t="s">
        <v>2047</v>
      </c>
      <c r="B6623" s="17" t="s">
        <v>7747</v>
      </c>
      <c r="C6623" s="13">
        <v>38320</v>
      </c>
      <c r="D6623" s="13" t="s">
        <v>8465</v>
      </c>
      <c r="E6623" s="10" t="s">
        <v>86</v>
      </c>
      <c r="F6623" s="10" t="s">
        <v>58</v>
      </c>
      <c r="G6623" s="11" t="s">
        <v>126</v>
      </c>
      <c r="H6623" s="2" t="s">
        <v>149</v>
      </c>
      <c r="L6623" s="18">
        <v>0</v>
      </c>
      <c r="Q6623" s="18">
        <v>0</v>
      </c>
      <c r="U6623" s="22">
        <v>0.8</v>
      </c>
      <c r="V6623" s="22">
        <f>3.91/5</f>
        <v>0.78200000000000003</v>
      </c>
      <c r="X6623" s="3">
        <v>3</v>
      </c>
      <c r="Y6623" s="18">
        <v>1</v>
      </c>
      <c r="Z6623" s="23">
        <v>27</v>
      </c>
      <c r="AB6623" s="18">
        <f t="shared" si="206"/>
        <v>2004</v>
      </c>
      <c r="AC6623" s="22">
        <f t="shared" si="207"/>
        <v>0.72733333333333328</v>
      </c>
    </row>
    <row r="6624" spans="1:29">
      <c r="A6624" s="8" t="s">
        <v>14322</v>
      </c>
      <c r="B6624" s="17" t="s">
        <v>7793</v>
      </c>
      <c r="C6624" s="13">
        <v>38315</v>
      </c>
      <c r="D6624" s="13" t="s">
        <v>8465</v>
      </c>
      <c r="E6624" s="10" t="s">
        <v>9636</v>
      </c>
      <c r="F6624" s="10" t="s">
        <v>14323</v>
      </c>
      <c r="G6624" s="11" t="s">
        <v>14322</v>
      </c>
      <c r="H6624" s="2" t="s">
        <v>3937</v>
      </c>
      <c r="L6624" s="18">
        <v>0</v>
      </c>
      <c r="Q6624" s="18">
        <v>0</v>
      </c>
      <c r="V6624" s="22">
        <f>4.37/5</f>
        <v>0.874</v>
      </c>
      <c r="X6624" s="3">
        <v>2</v>
      </c>
      <c r="AB6624" s="18">
        <f t="shared" si="206"/>
        <v>2004</v>
      </c>
      <c r="AC6624" s="22">
        <f t="shared" si="207"/>
        <v>0.63700000000000001</v>
      </c>
    </row>
    <row r="6625" spans="1:29" ht="30">
      <c r="A6625" s="8" t="s">
        <v>6512</v>
      </c>
      <c r="B6625" s="17" t="s">
        <v>7740</v>
      </c>
      <c r="C6625" s="13">
        <v>38314</v>
      </c>
      <c r="D6625" s="13" t="s">
        <v>8465</v>
      </c>
      <c r="E6625" s="10" t="s">
        <v>6500</v>
      </c>
      <c r="F6625" s="10" t="s">
        <v>3275</v>
      </c>
      <c r="G6625" s="11" t="s">
        <v>6512</v>
      </c>
      <c r="H6625" s="2" t="s">
        <v>147</v>
      </c>
      <c r="L6625" s="18">
        <v>0</v>
      </c>
      <c r="Q6625" s="18">
        <v>0</v>
      </c>
      <c r="U6625" s="22">
        <v>0.82</v>
      </c>
      <c r="V6625" s="22">
        <f>3.65/5</f>
        <v>0.73</v>
      </c>
      <c r="X6625" s="3">
        <v>3</v>
      </c>
      <c r="Z6625" s="23">
        <v>2.5</v>
      </c>
      <c r="AB6625" s="18">
        <f t="shared" si="206"/>
        <v>2004</v>
      </c>
      <c r="AC6625" s="22">
        <f t="shared" si="207"/>
        <v>0.71666666666666667</v>
      </c>
    </row>
    <row r="6626" spans="1:29" ht="30">
      <c r="A6626" s="8" t="s">
        <v>10803</v>
      </c>
      <c r="B6626" s="17" t="s">
        <v>7740</v>
      </c>
      <c r="C6626" s="13">
        <v>38313</v>
      </c>
      <c r="D6626" s="13" t="s">
        <v>8465</v>
      </c>
      <c r="E6626" s="10" t="s">
        <v>5010</v>
      </c>
      <c r="F6626" s="10" t="s">
        <v>1039</v>
      </c>
      <c r="G6626" s="11" t="s">
        <v>1482</v>
      </c>
      <c r="H6626" s="2" t="s">
        <v>1050</v>
      </c>
      <c r="L6626" s="18">
        <v>0</v>
      </c>
      <c r="Q6626" s="18">
        <v>0</v>
      </c>
      <c r="U6626" s="22">
        <v>0.6</v>
      </c>
      <c r="V6626" s="22">
        <f>3.15/5</f>
        <v>0.63</v>
      </c>
      <c r="X6626" s="3">
        <v>3</v>
      </c>
      <c r="Z6626" s="23">
        <v>5</v>
      </c>
      <c r="AB6626" s="18">
        <f t="shared" si="206"/>
        <v>2004</v>
      </c>
      <c r="AC6626" s="22">
        <f t="shared" si="207"/>
        <v>0.61</v>
      </c>
    </row>
    <row r="6627" spans="1:29">
      <c r="A6627" s="8" t="s">
        <v>14318</v>
      </c>
      <c r="B6627" s="17" t="s">
        <v>7793</v>
      </c>
      <c r="C6627" s="13">
        <v>38313</v>
      </c>
      <c r="D6627" s="13" t="s">
        <v>8465</v>
      </c>
      <c r="E6627" s="10" t="s">
        <v>9636</v>
      </c>
      <c r="F6627" s="10" t="s">
        <v>14319</v>
      </c>
      <c r="H6627" s="2" t="s">
        <v>171</v>
      </c>
      <c r="L6627" s="18">
        <v>0</v>
      </c>
      <c r="Q6627" s="18">
        <v>0</v>
      </c>
      <c r="V6627" s="22">
        <f>2.63/5</f>
        <v>0.52600000000000002</v>
      </c>
      <c r="X6627" s="3">
        <v>2</v>
      </c>
      <c r="AB6627" s="18">
        <f t="shared" si="206"/>
        <v>2004</v>
      </c>
      <c r="AC6627" s="22">
        <f t="shared" si="207"/>
        <v>0.46300000000000002</v>
      </c>
    </row>
    <row r="6628" spans="1:29">
      <c r="A6628" s="8" t="s">
        <v>2271</v>
      </c>
      <c r="B6628" s="17" t="s">
        <v>7748</v>
      </c>
      <c r="C6628" s="13">
        <v>38312</v>
      </c>
      <c r="D6628" s="13" t="s">
        <v>8465</v>
      </c>
      <c r="E6628" s="10" t="s">
        <v>86</v>
      </c>
      <c r="F6628" s="10" t="s">
        <v>87</v>
      </c>
      <c r="G6628" s="11" t="s">
        <v>137</v>
      </c>
      <c r="H6628" s="2" t="s">
        <v>1040</v>
      </c>
      <c r="L6628" s="18">
        <v>0</v>
      </c>
      <c r="Q6628" s="18">
        <v>0</v>
      </c>
      <c r="U6628" s="22">
        <v>0.86</v>
      </c>
      <c r="V6628" s="22">
        <f>4.04/5</f>
        <v>0.80800000000000005</v>
      </c>
      <c r="X6628" s="3">
        <v>4</v>
      </c>
      <c r="Z6628" s="23">
        <v>14.5</v>
      </c>
      <c r="AB6628" s="18">
        <f t="shared" si="206"/>
        <v>2004</v>
      </c>
      <c r="AC6628" s="22">
        <f t="shared" si="207"/>
        <v>0.82266666666666666</v>
      </c>
    </row>
    <row r="6629" spans="1:29" ht="30">
      <c r="A6629" s="8" t="s">
        <v>949</v>
      </c>
      <c r="B6629" s="17" t="s">
        <v>7740</v>
      </c>
      <c r="C6629" s="13">
        <v>38309</v>
      </c>
      <c r="D6629" s="13" t="s">
        <v>8465</v>
      </c>
      <c r="E6629" s="10" t="s">
        <v>73</v>
      </c>
      <c r="F6629" s="10" t="s">
        <v>1504</v>
      </c>
      <c r="G6629" s="11" t="s">
        <v>948</v>
      </c>
      <c r="H6629" s="2" t="s">
        <v>153</v>
      </c>
      <c r="L6629" s="18">
        <v>0</v>
      </c>
      <c r="Q6629" s="18">
        <v>0</v>
      </c>
      <c r="U6629" s="22">
        <v>0.86</v>
      </c>
      <c r="V6629" s="22">
        <f>3.77/5</f>
        <v>0.754</v>
      </c>
      <c r="X6629" s="3">
        <v>4</v>
      </c>
      <c r="Z6629" s="23">
        <v>8</v>
      </c>
      <c r="AB6629" s="18">
        <f t="shared" si="206"/>
        <v>2004</v>
      </c>
      <c r="AC6629" s="22">
        <f t="shared" si="207"/>
        <v>0.80466666666666653</v>
      </c>
    </row>
    <row r="6630" spans="1:29" ht="30">
      <c r="A6630" s="8" t="s">
        <v>13418</v>
      </c>
      <c r="B6630" s="17" t="s">
        <v>7747</v>
      </c>
      <c r="C6630" s="13">
        <v>38309</v>
      </c>
      <c r="D6630" s="13" t="s">
        <v>8465</v>
      </c>
      <c r="E6630" s="10" t="s">
        <v>311</v>
      </c>
      <c r="F6630" s="10" t="s">
        <v>13419</v>
      </c>
      <c r="G6630" s="11" t="s">
        <v>11120</v>
      </c>
      <c r="H6630" s="2" t="s">
        <v>75</v>
      </c>
      <c r="L6630" s="18">
        <v>0</v>
      </c>
      <c r="Q6630" s="18">
        <v>0</v>
      </c>
      <c r="V6630" s="22">
        <f>3.25/5</f>
        <v>0.65</v>
      </c>
      <c r="X6630" s="3">
        <v>2</v>
      </c>
      <c r="Z6630" s="23">
        <v>12</v>
      </c>
      <c r="AB6630" s="18">
        <f t="shared" si="206"/>
        <v>2004</v>
      </c>
      <c r="AC6630" s="22">
        <f t="shared" si="207"/>
        <v>0.52500000000000002</v>
      </c>
    </row>
    <row r="6631" spans="1:29" ht="25.5">
      <c r="A6631" s="8" t="s">
        <v>5852</v>
      </c>
      <c r="B6631" s="17" t="s">
        <v>7758</v>
      </c>
      <c r="C6631" s="13">
        <v>38308</v>
      </c>
      <c r="D6631" s="13" t="s">
        <v>8465</v>
      </c>
      <c r="E6631" s="10" t="s">
        <v>72</v>
      </c>
      <c r="F6631" s="10" t="s">
        <v>72</v>
      </c>
      <c r="G6631" s="11" t="s">
        <v>220</v>
      </c>
      <c r="H6631" s="2" t="s">
        <v>245</v>
      </c>
      <c r="L6631" s="18">
        <v>0</v>
      </c>
      <c r="Q6631" s="18">
        <v>0</v>
      </c>
      <c r="U6631" s="22">
        <v>0.92</v>
      </c>
      <c r="V6631" s="22">
        <f>4.54/5</f>
        <v>0.90800000000000003</v>
      </c>
      <c r="X6631" s="3">
        <v>4</v>
      </c>
      <c r="Z6631" s="23">
        <v>16</v>
      </c>
      <c r="AB6631" s="18">
        <f t="shared" si="206"/>
        <v>2004</v>
      </c>
      <c r="AC6631" s="22">
        <f t="shared" si="207"/>
        <v>0.876</v>
      </c>
    </row>
    <row r="6632" spans="1:29">
      <c r="A6632" s="8" t="s">
        <v>5736</v>
      </c>
      <c r="B6632" s="17" t="s">
        <v>7758</v>
      </c>
      <c r="C6632" s="13">
        <v>38308</v>
      </c>
      <c r="D6632" s="13" t="s">
        <v>8465</v>
      </c>
      <c r="E6632" s="10" t="s">
        <v>5865</v>
      </c>
      <c r="F6632" s="10" t="s">
        <v>1375</v>
      </c>
      <c r="G6632" s="11" t="s">
        <v>1520</v>
      </c>
      <c r="H6632" s="2" t="s">
        <v>21</v>
      </c>
      <c r="L6632" s="18">
        <v>0</v>
      </c>
      <c r="Q6632" s="18">
        <v>0</v>
      </c>
      <c r="U6632" s="22">
        <v>0.69</v>
      </c>
      <c r="V6632" s="22">
        <f>3.49/5</f>
        <v>0.69800000000000006</v>
      </c>
      <c r="X6632" s="3">
        <v>3</v>
      </c>
      <c r="Z6632" s="23">
        <v>1.5</v>
      </c>
      <c r="AB6632" s="18">
        <f t="shared" si="206"/>
        <v>2004</v>
      </c>
      <c r="AC6632" s="22">
        <f t="shared" si="207"/>
        <v>0.66266666666666663</v>
      </c>
    </row>
    <row r="6633" spans="1:29" ht="30">
      <c r="A6633" s="8" t="s">
        <v>14967</v>
      </c>
      <c r="B6633" s="17" t="s">
        <v>7740</v>
      </c>
      <c r="C6633" s="13">
        <v>38308</v>
      </c>
      <c r="D6633" s="13" t="s">
        <v>8465</v>
      </c>
      <c r="E6633" s="10" t="s">
        <v>14664</v>
      </c>
      <c r="F6633" s="10" t="s">
        <v>14968</v>
      </c>
      <c r="H6633" s="2" t="s">
        <v>1040</v>
      </c>
      <c r="L6633" s="18">
        <v>0</v>
      </c>
      <c r="Q6633" s="18">
        <v>0</v>
      </c>
      <c r="U6633" s="22">
        <v>0.69</v>
      </c>
      <c r="V6633" s="22">
        <f>3.28/5</f>
        <v>0.65599999999999992</v>
      </c>
      <c r="X6633" s="3">
        <v>2</v>
      </c>
      <c r="Z6633" s="23">
        <v>7</v>
      </c>
      <c r="AB6633" s="18">
        <f t="shared" si="206"/>
        <v>2004</v>
      </c>
      <c r="AC6633" s="22">
        <f t="shared" si="207"/>
        <v>0.58199999999999996</v>
      </c>
    </row>
    <row r="6634" spans="1:29">
      <c r="A6634" s="8" t="s">
        <v>11090</v>
      </c>
      <c r="B6634" s="17" t="s">
        <v>7748</v>
      </c>
      <c r="C6634" s="13">
        <v>38308</v>
      </c>
      <c r="D6634" s="13" t="s">
        <v>8465</v>
      </c>
      <c r="E6634" s="10" t="s">
        <v>7461</v>
      </c>
      <c r="F6634" s="10" t="s">
        <v>7461</v>
      </c>
      <c r="G6634" s="11" t="s">
        <v>11086</v>
      </c>
      <c r="H6634" s="2" t="s">
        <v>150</v>
      </c>
      <c r="L6634" s="18">
        <v>0</v>
      </c>
      <c r="Q6634" s="18">
        <v>0</v>
      </c>
      <c r="U6634" s="22">
        <v>0.6</v>
      </c>
      <c r="V6634" s="22">
        <f>3.32/5</f>
        <v>0.66399999999999992</v>
      </c>
      <c r="X6634" s="3">
        <v>2</v>
      </c>
      <c r="Z6634" s="23">
        <v>5.5</v>
      </c>
      <c r="AB6634" s="18">
        <f t="shared" si="206"/>
        <v>2004</v>
      </c>
      <c r="AC6634" s="22">
        <f t="shared" si="207"/>
        <v>0.55466666666666653</v>
      </c>
    </row>
    <row r="6635" spans="1:29">
      <c r="A6635" s="8" t="s">
        <v>4071</v>
      </c>
      <c r="B6635" s="17" t="s">
        <v>7800</v>
      </c>
      <c r="C6635" s="13">
        <v>38307</v>
      </c>
      <c r="D6635" s="13" t="s">
        <v>8465</v>
      </c>
      <c r="E6635" s="10" t="s">
        <v>4070</v>
      </c>
      <c r="F6635" s="10" t="s">
        <v>4070</v>
      </c>
      <c r="G6635" s="11" t="s">
        <v>4069</v>
      </c>
      <c r="H6635" s="2" t="s">
        <v>1050</v>
      </c>
      <c r="L6635" s="18">
        <v>1</v>
      </c>
      <c r="N6635" s="13">
        <v>42002</v>
      </c>
      <c r="O6635" s="29">
        <v>2.86</v>
      </c>
      <c r="P6635" s="18" t="s">
        <v>1107</v>
      </c>
      <c r="Q6635" s="18">
        <v>0</v>
      </c>
      <c r="U6635" s="22">
        <v>0.95</v>
      </c>
      <c r="V6635" s="22">
        <f>4.37/5</f>
        <v>0.874</v>
      </c>
      <c r="W6635" s="14" t="s">
        <v>7777</v>
      </c>
      <c r="X6635" s="3">
        <v>3</v>
      </c>
      <c r="Z6635" s="23">
        <v>13</v>
      </c>
      <c r="AB6635" s="18">
        <f t="shared" si="206"/>
        <v>2004</v>
      </c>
      <c r="AC6635" s="22">
        <f t="shared" si="207"/>
        <v>0.80799999999999994</v>
      </c>
    </row>
    <row r="6636" spans="1:29" ht="38.25">
      <c r="A6636" s="8" t="s">
        <v>5495</v>
      </c>
      <c r="B6636" s="17" t="s">
        <v>7800</v>
      </c>
      <c r="C6636" s="13">
        <v>38307</v>
      </c>
      <c r="D6636" s="13" t="s">
        <v>8465</v>
      </c>
      <c r="E6636" s="10" t="s">
        <v>1273</v>
      </c>
      <c r="F6636" s="10" t="s">
        <v>5496</v>
      </c>
      <c r="G6636" s="11" t="s">
        <v>5497</v>
      </c>
      <c r="H6636" s="2" t="s">
        <v>171</v>
      </c>
      <c r="L6636" s="18">
        <v>1</v>
      </c>
      <c r="N6636" s="13">
        <v>41751</v>
      </c>
      <c r="O6636" s="29">
        <v>4.34</v>
      </c>
      <c r="P6636" s="18" t="s">
        <v>1107</v>
      </c>
      <c r="Q6636" s="18">
        <v>0</v>
      </c>
      <c r="U6636" s="22">
        <v>0.81</v>
      </c>
      <c r="V6636" s="22">
        <f>4.22/5</f>
        <v>0.84399999999999997</v>
      </c>
      <c r="W6636" s="14" t="s">
        <v>7777</v>
      </c>
      <c r="X6636" s="3">
        <v>4</v>
      </c>
      <c r="Z6636" s="23">
        <v>23</v>
      </c>
      <c r="AB6636" s="18">
        <f t="shared" si="206"/>
        <v>2004</v>
      </c>
      <c r="AC6636" s="22">
        <f t="shared" si="207"/>
        <v>0.81799999999999995</v>
      </c>
    </row>
    <row r="6637" spans="1:29" ht="38.25">
      <c r="A6637" s="8" t="s">
        <v>935</v>
      </c>
      <c r="B6637" s="17" t="s">
        <v>7740</v>
      </c>
      <c r="C6637" s="13">
        <v>38307</v>
      </c>
      <c r="D6637" s="13" t="s">
        <v>8465</v>
      </c>
      <c r="E6637" s="10" t="s">
        <v>158</v>
      </c>
      <c r="F6637" s="10" t="s">
        <v>1145</v>
      </c>
      <c r="G6637" s="11" t="s">
        <v>8673</v>
      </c>
      <c r="H6637" s="2" t="s">
        <v>149</v>
      </c>
      <c r="L6637" s="18">
        <v>0</v>
      </c>
      <c r="Q6637" s="18">
        <v>0</v>
      </c>
      <c r="U6637" s="22">
        <v>0.81</v>
      </c>
      <c r="V6637" s="22">
        <f>4.06/5</f>
        <v>0.81199999999999994</v>
      </c>
      <c r="X6637" s="3">
        <v>4</v>
      </c>
      <c r="Z6637" s="23">
        <v>54.5</v>
      </c>
      <c r="AB6637" s="18">
        <f t="shared" si="206"/>
        <v>2004</v>
      </c>
      <c r="AC6637" s="22">
        <f t="shared" si="207"/>
        <v>0.80733333333333324</v>
      </c>
    </row>
    <row r="6638" spans="1:29" ht="25.5">
      <c r="A6638" s="8" t="s">
        <v>9261</v>
      </c>
      <c r="B6638" s="17" t="s">
        <v>7764</v>
      </c>
      <c r="C6638" s="13">
        <v>38307</v>
      </c>
      <c r="D6638" s="13" t="s">
        <v>8465</v>
      </c>
      <c r="E6638" s="10" t="s">
        <v>3740</v>
      </c>
      <c r="F6638" s="10" t="s">
        <v>2135</v>
      </c>
      <c r="G6638" s="11" t="s">
        <v>9260</v>
      </c>
      <c r="H6638" s="2" t="s">
        <v>1040</v>
      </c>
      <c r="L6638" s="18">
        <v>0</v>
      </c>
      <c r="Q6638" s="18">
        <v>0</v>
      </c>
      <c r="U6638" s="22">
        <v>0.68</v>
      </c>
      <c r="V6638" s="22">
        <f>3.52/5</f>
        <v>0.70399999999999996</v>
      </c>
      <c r="X6638" s="3">
        <v>3</v>
      </c>
      <c r="Y6638" s="18">
        <v>1</v>
      </c>
      <c r="Z6638" s="23">
        <v>3.5</v>
      </c>
      <c r="AB6638" s="18">
        <f t="shared" si="206"/>
        <v>2004</v>
      </c>
      <c r="AC6638" s="22">
        <f t="shared" si="207"/>
        <v>0.66133333333333333</v>
      </c>
    </row>
    <row r="6639" spans="1:29" ht="25.5">
      <c r="A6639" s="8" t="s">
        <v>6941</v>
      </c>
      <c r="B6639" s="17" t="s">
        <v>7800</v>
      </c>
      <c r="C6639" s="13">
        <v>38307</v>
      </c>
      <c r="D6639" s="13" t="s">
        <v>8465</v>
      </c>
      <c r="E6639" s="10" t="s">
        <v>311</v>
      </c>
      <c r="F6639" s="10" t="s">
        <v>6652</v>
      </c>
      <c r="G6639" s="11" t="s">
        <v>445</v>
      </c>
      <c r="H6639" s="2" t="s">
        <v>171</v>
      </c>
      <c r="L6639" s="18">
        <v>1</v>
      </c>
      <c r="N6639" s="13">
        <v>41803</v>
      </c>
      <c r="O6639" s="29">
        <v>1.99</v>
      </c>
      <c r="P6639" s="18" t="s">
        <v>1107</v>
      </c>
      <c r="Q6639" s="18">
        <v>0</v>
      </c>
      <c r="U6639" s="22">
        <v>0.68</v>
      </c>
      <c r="V6639" s="22">
        <f>3/5</f>
        <v>0.6</v>
      </c>
      <c r="W6639" s="14" t="s">
        <v>7778</v>
      </c>
      <c r="X6639" s="3">
        <v>3</v>
      </c>
      <c r="Z6639" s="23">
        <v>7.5</v>
      </c>
      <c r="AB6639" s="18">
        <f t="shared" si="206"/>
        <v>2004</v>
      </c>
      <c r="AC6639" s="22">
        <f t="shared" si="207"/>
        <v>0.62666666666666659</v>
      </c>
    </row>
    <row r="6640" spans="1:29">
      <c r="A6640" s="8" t="s">
        <v>13293</v>
      </c>
      <c r="B6640" s="17" t="s">
        <v>7748</v>
      </c>
      <c r="C6640" s="13">
        <v>38307</v>
      </c>
      <c r="D6640" s="13" t="s">
        <v>8465</v>
      </c>
      <c r="E6640" s="10" t="s">
        <v>455</v>
      </c>
      <c r="F6640" s="10" t="s">
        <v>1492</v>
      </c>
      <c r="G6640" s="11" t="s">
        <v>13293</v>
      </c>
      <c r="H6640" s="2" t="s">
        <v>1142</v>
      </c>
      <c r="L6640" s="18">
        <v>0</v>
      </c>
      <c r="Q6640" s="18">
        <v>0</v>
      </c>
      <c r="U6640" s="22">
        <v>0.75</v>
      </c>
      <c r="V6640" s="22">
        <f>3.45/5</f>
        <v>0.69000000000000006</v>
      </c>
      <c r="X6640" s="3">
        <v>2</v>
      </c>
      <c r="Z6640" s="23">
        <v>3</v>
      </c>
      <c r="AB6640" s="18">
        <f t="shared" si="206"/>
        <v>2004</v>
      </c>
      <c r="AC6640" s="22">
        <f t="shared" si="207"/>
        <v>0.61333333333333329</v>
      </c>
    </row>
    <row r="6641" spans="1:29" ht="30">
      <c r="A6641" s="8" t="s">
        <v>12265</v>
      </c>
      <c r="B6641" s="17" t="s">
        <v>7758</v>
      </c>
      <c r="C6641" s="13">
        <v>38307</v>
      </c>
      <c r="D6641" s="13" t="s">
        <v>8465</v>
      </c>
      <c r="E6641" s="10" t="s">
        <v>73</v>
      </c>
      <c r="F6641" s="10" t="s">
        <v>8165</v>
      </c>
      <c r="H6641" s="2" t="s">
        <v>459</v>
      </c>
      <c r="L6641" s="18">
        <v>0</v>
      </c>
      <c r="Q6641" s="18">
        <v>0</v>
      </c>
      <c r="U6641" s="22">
        <v>0.56999999999999995</v>
      </c>
      <c r="V6641" s="22">
        <f>3.08/5</f>
        <v>0.61599999999999999</v>
      </c>
      <c r="X6641" s="3">
        <v>2</v>
      </c>
      <c r="Z6641" s="23">
        <v>2.5</v>
      </c>
      <c r="AB6641" s="18">
        <f t="shared" si="206"/>
        <v>2004</v>
      </c>
      <c r="AC6641" s="22">
        <f t="shared" si="207"/>
        <v>0.52866666666666662</v>
      </c>
    </row>
    <row r="6642" spans="1:29" ht="25.5">
      <c r="A6642" s="8" t="s">
        <v>6679</v>
      </c>
      <c r="B6642" s="17" t="s">
        <v>7758</v>
      </c>
      <c r="C6642" s="13">
        <v>38307</v>
      </c>
      <c r="D6642" s="13" t="s">
        <v>8465</v>
      </c>
      <c r="E6642" s="10" t="s">
        <v>1273</v>
      </c>
      <c r="F6642" s="10" t="s">
        <v>4292</v>
      </c>
      <c r="G6642" s="11" t="s">
        <v>3401</v>
      </c>
      <c r="H6642" s="2" t="s">
        <v>1050</v>
      </c>
      <c r="L6642" s="18">
        <v>0</v>
      </c>
      <c r="Q6642" s="18">
        <v>0</v>
      </c>
      <c r="U6642" s="22">
        <v>0.77</v>
      </c>
      <c r="V6642" s="22">
        <f>3.57/5</f>
        <v>0.71399999999999997</v>
      </c>
      <c r="X6642" s="3">
        <v>2</v>
      </c>
      <c r="Z6642" s="23">
        <v>7</v>
      </c>
      <c r="AB6642" s="18">
        <f t="shared" si="206"/>
        <v>2004</v>
      </c>
      <c r="AC6642" s="22">
        <f t="shared" si="207"/>
        <v>0.628</v>
      </c>
    </row>
    <row r="6643" spans="1:29" ht="25.5">
      <c r="A6643" s="8" t="s">
        <v>7483</v>
      </c>
      <c r="B6643" s="17" t="s">
        <v>7758</v>
      </c>
      <c r="C6643" s="13">
        <v>38306</v>
      </c>
      <c r="D6643" s="13" t="s">
        <v>8465</v>
      </c>
      <c r="E6643" s="10" t="s">
        <v>231</v>
      </c>
      <c r="F6643" s="10" t="s">
        <v>6015</v>
      </c>
      <c r="G6643" s="11" t="s">
        <v>4518</v>
      </c>
      <c r="H6643" s="2" t="s">
        <v>150</v>
      </c>
      <c r="L6643" s="18">
        <v>0</v>
      </c>
      <c r="Q6643" s="18">
        <v>0</v>
      </c>
      <c r="U6643" s="22">
        <v>0.81</v>
      </c>
      <c r="V6643" s="22">
        <f>4.03/5</f>
        <v>0.80600000000000005</v>
      </c>
      <c r="X6643" s="3">
        <v>2</v>
      </c>
      <c r="Z6643" s="23">
        <v>19.5</v>
      </c>
      <c r="AB6643" s="18">
        <f t="shared" si="206"/>
        <v>2004</v>
      </c>
      <c r="AC6643" s="22">
        <f t="shared" si="207"/>
        <v>0.67200000000000004</v>
      </c>
    </row>
    <row r="6644" spans="1:29">
      <c r="A6644" s="8" t="s">
        <v>4260</v>
      </c>
      <c r="B6644" s="17" t="s">
        <v>7800</v>
      </c>
      <c r="C6644" s="13">
        <v>38302</v>
      </c>
      <c r="D6644" s="13" t="s">
        <v>8465</v>
      </c>
      <c r="E6644" s="10" t="s">
        <v>4261</v>
      </c>
      <c r="F6644" s="10" t="s">
        <v>4262</v>
      </c>
      <c r="G6644" s="11" t="s">
        <v>4263</v>
      </c>
      <c r="H6644" s="2" t="s">
        <v>171</v>
      </c>
      <c r="L6644" s="18">
        <v>1</v>
      </c>
      <c r="N6644" s="13">
        <v>43285</v>
      </c>
      <c r="O6644" s="29">
        <v>0.99</v>
      </c>
      <c r="P6644" s="18" t="s">
        <v>1107</v>
      </c>
      <c r="Q6644" s="18">
        <v>0</v>
      </c>
      <c r="U6644" s="22">
        <v>0.73</v>
      </c>
      <c r="V6644" s="22">
        <f>3.18/5</f>
        <v>0.63600000000000001</v>
      </c>
      <c r="W6644" s="14" t="s">
        <v>7777</v>
      </c>
      <c r="X6644" s="3">
        <v>3</v>
      </c>
      <c r="Z6644" s="23">
        <v>19.5</v>
      </c>
      <c r="AB6644" s="18">
        <f t="shared" si="206"/>
        <v>2004</v>
      </c>
      <c r="AC6644" s="22">
        <f t="shared" si="207"/>
        <v>0.65533333333333343</v>
      </c>
    </row>
    <row r="6645" spans="1:29" ht="25.5">
      <c r="A6645" s="8" t="s">
        <v>1205</v>
      </c>
      <c r="B6645" s="17" t="s">
        <v>7793</v>
      </c>
      <c r="C6645" s="13">
        <v>38302</v>
      </c>
      <c r="D6645" s="13" t="s">
        <v>8465</v>
      </c>
      <c r="E6645" s="10" t="s">
        <v>1206</v>
      </c>
      <c r="F6645" s="10" t="s">
        <v>1206</v>
      </c>
      <c r="G6645" s="11" t="s">
        <v>1207</v>
      </c>
      <c r="H6645" s="2" t="s">
        <v>171</v>
      </c>
      <c r="L6645" s="18">
        <v>0</v>
      </c>
      <c r="Q6645" s="18">
        <v>0</v>
      </c>
      <c r="U6645" s="22">
        <v>0.56000000000000005</v>
      </c>
      <c r="V6645" s="22">
        <f>3.37/5</f>
        <v>0.67400000000000004</v>
      </c>
      <c r="X6645" s="3">
        <v>3</v>
      </c>
      <c r="Y6645" s="18">
        <v>1</v>
      </c>
      <c r="AB6645" s="18">
        <f t="shared" si="206"/>
        <v>2004</v>
      </c>
      <c r="AC6645" s="22">
        <f t="shared" si="207"/>
        <v>0.6113333333333334</v>
      </c>
    </row>
    <row r="6646" spans="1:29">
      <c r="A6646" s="8" t="s">
        <v>5814</v>
      </c>
      <c r="B6646" s="17" t="s">
        <v>7758</v>
      </c>
      <c r="C6646" s="13">
        <v>38300</v>
      </c>
      <c r="D6646" s="13" t="s">
        <v>8465</v>
      </c>
      <c r="E6646" s="10" t="s">
        <v>1290</v>
      </c>
      <c r="F6646" s="10" t="s">
        <v>2646</v>
      </c>
      <c r="G6646" s="11" t="s">
        <v>5880</v>
      </c>
      <c r="H6646" s="2" t="s">
        <v>1040</v>
      </c>
      <c r="L6646" s="18">
        <v>0</v>
      </c>
      <c r="Q6646" s="18">
        <v>0</v>
      </c>
      <c r="U6646" s="22">
        <v>0.85</v>
      </c>
      <c r="V6646" s="22">
        <f>4.16/5</f>
        <v>0.83200000000000007</v>
      </c>
      <c r="X6646" s="3">
        <v>4</v>
      </c>
      <c r="Z6646" s="23">
        <v>13</v>
      </c>
      <c r="AB6646" s="18">
        <f t="shared" si="206"/>
        <v>2004</v>
      </c>
      <c r="AC6646" s="22">
        <f t="shared" si="207"/>
        <v>0.82733333333333337</v>
      </c>
    </row>
    <row r="6647" spans="1:29" ht="30">
      <c r="A6647" s="8" t="s">
        <v>6699</v>
      </c>
      <c r="B6647" s="17" t="s">
        <v>7758</v>
      </c>
      <c r="C6647" s="13">
        <v>38300</v>
      </c>
      <c r="D6647" s="13" t="s">
        <v>8465</v>
      </c>
      <c r="E6647" s="10" t="s">
        <v>3848</v>
      </c>
      <c r="F6647" s="10" t="s">
        <v>241</v>
      </c>
      <c r="G6647" s="11" t="s">
        <v>1975</v>
      </c>
      <c r="H6647" s="2" t="s">
        <v>1040</v>
      </c>
      <c r="L6647" s="18">
        <v>0</v>
      </c>
      <c r="Q6647" s="18">
        <v>0</v>
      </c>
      <c r="U6647" s="22">
        <v>0.65</v>
      </c>
      <c r="V6647" s="22">
        <f>3.56/5</f>
        <v>0.71199999999999997</v>
      </c>
      <c r="X6647" s="3">
        <v>3</v>
      </c>
      <c r="Z6647" s="23">
        <v>9</v>
      </c>
      <c r="AB6647" s="18">
        <f t="shared" si="206"/>
        <v>2004</v>
      </c>
      <c r="AC6647" s="22">
        <f t="shared" si="207"/>
        <v>0.65400000000000003</v>
      </c>
    </row>
    <row r="6648" spans="1:29" ht="30">
      <c r="A6648" s="8" t="s">
        <v>12241</v>
      </c>
      <c r="B6648" s="17" t="s">
        <v>7747</v>
      </c>
      <c r="C6648" s="13">
        <v>38300</v>
      </c>
      <c r="D6648" s="13" t="s">
        <v>8465</v>
      </c>
      <c r="E6648" s="10" t="s">
        <v>72</v>
      </c>
      <c r="F6648" s="10" t="s">
        <v>72</v>
      </c>
      <c r="G6648" s="11" t="s">
        <v>12239</v>
      </c>
      <c r="H6648" s="2" t="s">
        <v>151</v>
      </c>
      <c r="L6648" s="18">
        <v>0</v>
      </c>
      <c r="Q6648" s="18">
        <v>0</v>
      </c>
      <c r="V6648" s="22">
        <f>3.52/5</f>
        <v>0.70399999999999996</v>
      </c>
      <c r="X6648" s="3">
        <v>2</v>
      </c>
      <c r="Z6648" s="23">
        <v>8</v>
      </c>
      <c r="AB6648" s="18">
        <f t="shared" si="206"/>
        <v>2004</v>
      </c>
      <c r="AC6648" s="22">
        <f t="shared" si="207"/>
        <v>0.55200000000000005</v>
      </c>
    </row>
    <row r="6649" spans="1:29" ht="25.5">
      <c r="A6649" s="8" t="s">
        <v>12243</v>
      </c>
      <c r="B6649" s="17" t="s">
        <v>7758</v>
      </c>
      <c r="C6649" s="13">
        <v>38300</v>
      </c>
      <c r="D6649" s="13" t="s">
        <v>8465</v>
      </c>
      <c r="E6649" s="10" t="s">
        <v>72</v>
      </c>
      <c r="F6649" s="10" t="s">
        <v>12244</v>
      </c>
      <c r="G6649" s="11" t="s">
        <v>12239</v>
      </c>
      <c r="H6649" s="2" t="s">
        <v>80</v>
      </c>
      <c r="L6649" s="18">
        <v>0</v>
      </c>
      <c r="Q6649" s="18">
        <v>0</v>
      </c>
      <c r="U6649" s="22">
        <v>0.54</v>
      </c>
      <c r="V6649" s="22">
        <f>3.32/5</f>
        <v>0.66399999999999992</v>
      </c>
      <c r="X6649" s="3">
        <v>2</v>
      </c>
      <c r="Z6649" s="23">
        <v>9</v>
      </c>
      <c r="AB6649" s="18">
        <f t="shared" si="206"/>
        <v>2004</v>
      </c>
      <c r="AC6649" s="22">
        <f t="shared" si="207"/>
        <v>0.53466666666666673</v>
      </c>
    </row>
    <row r="6650" spans="1:29" ht="30">
      <c r="A6650" s="8" t="s">
        <v>1883</v>
      </c>
      <c r="B6650" s="17" t="s">
        <v>7740</v>
      </c>
      <c r="C6650" s="13">
        <v>38299</v>
      </c>
      <c r="D6650" s="13" t="s">
        <v>8465</v>
      </c>
      <c r="E6650" s="10" t="s">
        <v>86</v>
      </c>
      <c r="F6650" s="10" t="s">
        <v>1160</v>
      </c>
      <c r="G6650" s="11" t="s">
        <v>877</v>
      </c>
      <c r="H6650" s="2" t="s">
        <v>255</v>
      </c>
      <c r="L6650" s="18">
        <v>0</v>
      </c>
      <c r="Q6650" s="18">
        <v>0</v>
      </c>
      <c r="U6650" s="22">
        <v>0.81</v>
      </c>
      <c r="V6650" s="22">
        <f>3.89/5</f>
        <v>0.77800000000000002</v>
      </c>
      <c r="X6650" s="3">
        <v>4</v>
      </c>
      <c r="Z6650" s="23">
        <v>4</v>
      </c>
      <c r="AB6650" s="18">
        <f t="shared" si="206"/>
        <v>2004</v>
      </c>
      <c r="AC6650" s="22">
        <f t="shared" si="207"/>
        <v>0.79599999999999993</v>
      </c>
    </row>
    <row r="6651" spans="1:29" ht="25.5">
      <c r="A6651" s="8" t="s">
        <v>8010</v>
      </c>
      <c r="B6651" s="17" t="s">
        <v>7758</v>
      </c>
      <c r="C6651" s="13">
        <v>38299</v>
      </c>
      <c r="D6651" s="13" t="s">
        <v>8465</v>
      </c>
      <c r="E6651" s="10" t="s">
        <v>157</v>
      </c>
      <c r="F6651" s="10" t="s">
        <v>5866</v>
      </c>
      <c r="G6651" s="11" t="s">
        <v>8008</v>
      </c>
      <c r="H6651" s="2" t="s">
        <v>1168</v>
      </c>
      <c r="L6651" s="18">
        <v>0</v>
      </c>
      <c r="Q6651" s="18">
        <v>0</v>
      </c>
      <c r="U6651" s="22">
        <v>0.6512</v>
      </c>
      <c r="V6651" s="22">
        <f>3.59/5</f>
        <v>0.71799999999999997</v>
      </c>
      <c r="X6651" s="3">
        <v>3</v>
      </c>
      <c r="Z6651" s="23">
        <v>7.5</v>
      </c>
      <c r="AB6651" s="18">
        <f t="shared" si="206"/>
        <v>2004</v>
      </c>
      <c r="AC6651" s="22">
        <f t="shared" si="207"/>
        <v>0.65639999999999998</v>
      </c>
    </row>
    <row r="6652" spans="1:29" ht="38.25">
      <c r="A6652" s="8" t="s">
        <v>9066</v>
      </c>
      <c r="B6652" s="17" t="s">
        <v>7747</v>
      </c>
      <c r="C6652" s="13">
        <v>38295</v>
      </c>
      <c r="D6652" s="13" t="s">
        <v>8463</v>
      </c>
      <c r="E6652" s="10" t="s">
        <v>228</v>
      </c>
      <c r="F6652" s="10" t="s">
        <v>7817</v>
      </c>
      <c r="G6652" s="11" t="s">
        <v>1171</v>
      </c>
      <c r="H6652" s="2" t="s">
        <v>1143</v>
      </c>
      <c r="K6652" s="18">
        <v>0</v>
      </c>
      <c r="L6652" s="18">
        <v>0</v>
      </c>
      <c r="Q6652" s="18">
        <v>0</v>
      </c>
      <c r="V6652" s="22">
        <f>1.4/5</f>
        <v>0.27999999999999997</v>
      </c>
      <c r="X6652" s="3">
        <v>2</v>
      </c>
      <c r="AB6652" s="18">
        <f t="shared" si="206"/>
        <v>2004</v>
      </c>
      <c r="AC6652" s="22">
        <f t="shared" si="207"/>
        <v>0.33999999999999997</v>
      </c>
    </row>
    <row r="6653" spans="1:29" ht="25.5">
      <c r="A6653" s="8" t="s">
        <v>5828</v>
      </c>
      <c r="B6653" s="17" t="s">
        <v>7758</v>
      </c>
      <c r="C6653" s="13">
        <v>38294</v>
      </c>
      <c r="D6653" s="13" t="s">
        <v>8465</v>
      </c>
      <c r="E6653" s="10" t="s">
        <v>1290</v>
      </c>
      <c r="F6653" s="10" t="s">
        <v>3039</v>
      </c>
      <c r="G6653" s="11" t="s">
        <v>5853</v>
      </c>
      <c r="H6653" s="2" t="s">
        <v>1040</v>
      </c>
      <c r="L6653" s="18">
        <v>0</v>
      </c>
      <c r="Q6653" s="18">
        <v>0</v>
      </c>
      <c r="U6653" s="22">
        <v>0.92</v>
      </c>
      <c r="V6653" s="22">
        <f>4.38/5</f>
        <v>0.876</v>
      </c>
      <c r="X6653" s="3">
        <v>4</v>
      </c>
      <c r="Z6653" s="23">
        <v>12</v>
      </c>
      <c r="AB6653" s="18">
        <f t="shared" si="206"/>
        <v>2004</v>
      </c>
      <c r="AC6653" s="22">
        <f t="shared" si="207"/>
        <v>0.8653333333333334</v>
      </c>
    </row>
    <row r="6654" spans="1:29">
      <c r="A6654" s="8" t="s">
        <v>12155</v>
      </c>
      <c r="B6654" s="17" t="s">
        <v>7758</v>
      </c>
      <c r="C6654" s="13">
        <v>38294</v>
      </c>
      <c r="D6654" s="13" t="s">
        <v>8465</v>
      </c>
      <c r="E6654" s="10" t="s">
        <v>455</v>
      </c>
      <c r="F6654" s="10" t="s">
        <v>1492</v>
      </c>
      <c r="G6654" s="11" t="s">
        <v>12155</v>
      </c>
      <c r="H6654" s="2" t="s">
        <v>255</v>
      </c>
      <c r="L6654" s="18">
        <v>0</v>
      </c>
      <c r="Q6654" s="18">
        <v>0</v>
      </c>
      <c r="U6654" s="22">
        <v>0.72</v>
      </c>
      <c r="V6654" s="22">
        <f>3.25/5</f>
        <v>0.65</v>
      </c>
      <c r="X6654" s="3">
        <v>2</v>
      </c>
      <c r="Z6654" s="23">
        <v>2</v>
      </c>
      <c r="AB6654" s="18">
        <f t="shared" si="206"/>
        <v>2004</v>
      </c>
      <c r="AC6654" s="22">
        <f t="shared" si="207"/>
        <v>0.59</v>
      </c>
    </row>
    <row r="6655" spans="1:29" ht="30">
      <c r="A6655" s="8" t="s">
        <v>6650</v>
      </c>
      <c r="B6655" s="17" t="s">
        <v>7740</v>
      </c>
      <c r="C6655" s="13">
        <v>38293</v>
      </c>
      <c r="D6655" s="13" t="s">
        <v>8465</v>
      </c>
      <c r="E6655" s="10" t="s">
        <v>5010</v>
      </c>
      <c r="F6655" s="10" t="s">
        <v>3593</v>
      </c>
      <c r="G6655" s="11" t="s">
        <v>4445</v>
      </c>
      <c r="H6655" s="2" t="s">
        <v>149</v>
      </c>
      <c r="L6655" s="18">
        <v>0</v>
      </c>
      <c r="Q6655" s="18">
        <v>0</v>
      </c>
      <c r="U6655" s="22">
        <v>0.76</v>
      </c>
      <c r="V6655" s="22">
        <f>3.79/5</f>
        <v>0.75800000000000001</v>
      </c>
      <c r="X6655" s="3">
        <v>4</v>
      </c>
      <c r="Z6655" s="23">
        <v>22</v>
      </c>
      <c r="AB6655" s="18">
        <f t="shared" si="206"/>
        <v>2004</v>
      </c>
      <c r="AC6655" s="22">
        <f t="shared" si="207"/>
        <v>0.77266666666666672</v>
      </c>
    </row>
    <row r="6656" spans="1:29" ht="25.5">
      <c r="A6656" s="8" t="s">
        <v>14691</v>
      </c>
      <c r="B6656" s="17" t="s">
        <v>7758</v>
      </c>
      <c r="C6656" s="13">
        <v>38293</v>
      </c>
      <c r="D6656" s="13" t="s">
        <v>8465</v>
      </c>
      <c r="E6656" s="10" t="s">
        <v>157</v>
      </c>
      <c r="F6656" s="10" t="s">
        <v>1252</v>
      </c>
      <c r="G6656" s="11" t="s">
        <v>8423</v>
      </c>
      <c r="H6656" s="2" t="s">
        <v>149</v>
      </c>
      <c r="L6656" s="18">
        <v>0</v>
      </c>
      <c r="Q6656" s="18">
        <v>0</v>
      </c>
      <c r="U6656" s="22">
        <v>0.51</v>
      </c>
      <c r="V6656" s="22">
        <f>3.47/5</f>
        <v>0.69400000000000006</v>
      </c>
      <c r="X6656" s="3">
        <v>2</v>
      </c>
      <c r="Z6656" s="23">
        <v>16.5</v>
      </c>
      <c r="AB6656" s="18">
        <f t="shared" si="206"/>
        <v>2004</v>
      </c>
      <c r="AC6656" s="22">
        <f t="shared" si="207"/>
        <v>0.53466666666666673</v>
      </c>
    </row>
    <row r="6657" spans="1:29">
      <c r="A6657" s="8" t="s">
        <v>5820</v>
      </c>
      <c r="B6657" s="17" t="s">
        <v>7758</v>
      </c>
      <c r="C6657" s="13">
        <v>38293</v>
      </c>
      <c r="D6657" s="13" t="s">
        <v>8465</v>
      </c>
      <c r="E6657" s="10" t="s">
        <v>1290</v>
      </c>
      <c r="F6657" s="10" t="s">
        <v>5882</v>
      </c>
      <c r="G6657" s="11" t="s">
        <v>5820</v>
      </c>
      <c r="H6657" s="2" t="s">
        <v>1050</v>
      </c>
      <c r="L6657" s="18">
        <v>0</v>
      </c>
      <c r="Q6657" s="18">
        <v>0</v>
      </c>
      <c r="U6657" s="22">
        <v>0.74</v>
      </c>
      <c r="V6657" s="22">
        <f>3.63/5</f>
        <v>0.72599999999999998</v>
      </c>
      <c r="X6657" s="3">
        <v>4</v>
      </c>
      <c r="Z6657" s="23">
        <v>10</v>
      </c>
      <c r="AB6657" s="18">
        <f t="shared" ref="AB6657:AB6720" si="208">IFERROR(YEAR(C6657), "Early Access")</f>
        <v>2004</v>
      </c>
      <c r="AC6657" s="22">
        <f t="shared" ref="AC6657:AC6720" si="209">AVERAGE(T6657, U6657, V6657, IF(ISBLANK(X6657), X6657, X6657/5))</f>
        <v>0.7553333333333333</v>
      </c>
    </row>
    <row r="6658" spans="1:29" ht="30">
      <c r="A6658" s="8" t="s">
        <v>13380</v>
      </c>
      <c r="B6658" s="17" t="s">
        <v>7747</v>
      </c>
      <c r="C6658" s="12">
        <v>38292</v>
      </c>
      <c r="D6658" s="13" t="s">
        <v>8465</v>
      </c>
      <c r="E6658" s="10" t="s">
        <v>1342</v>
      </c>
      <c r="F6658" s="10" t="s">
        <v>163</v>
      </c>
      <c r="H6658" s="2" t="s">
        <v>78</v>
      </c>
      <c r="L6658" s="18">
        <v>0</v>
      </c>
      <c r="Q6658" s="18">
        <v>0</v>
      </c>
      <c r="U6658" s="22">
        <v>0.73</v>
      </c>
      <c r="V6658" s="22">
        <f>3.31/5</f>
        <v>0.66200000000000003</v>
      </c>
      <c r="X6658" s="3">
        <v>3</v>
      </c>
      <c r="AB6658" s="18">
        <f t="shared" si="208"/>
        <v>2004</v>
      </c>
      <c r="AC6658" s="22">
        <f t="shared" si="209"/>
        <v>0.66400000000000003</v>
      </c>
    </row>
    <row r="6659" spans="1:29" ht="30">
      <c r="A6659" s="8" t="s">
        <v>13273</v>
      </c>
      <c r="B6659" s="17" t="s">
        <v>7747</v>
      </c>
      <c r="C6659" s="13">
        <v>38289</v>
      </c>
      <c r="D6659" s="13" t="s">
        <v>8467</v>
      </c>
      <c r="E6659" s="10" t="s">
        <v>86</v>
      </c>
      <c r="F6659" s="10" t="s">
        <v>1892</v>
      </c>
      <c r="G6659" s="11" t="s">
        <v>13271</v>
      </c>
      <c r="H6659" s="2" t="s">
        <v>67</v>
      </c>
      <c r="L6659" s="18">
        <v>0</v>
      </c>
      <c r="Q6659" s="18">
        <v>0</v>
      </c>
      <c r="V6659" s="22">
        <f>3.91/5</f>
        <v>0.78200000000000003</v>
      </c>
      <c r="X6659" s="3">
        <v>3</v>
      </c>
      <c r="Z6659" s="23">
        <v>6.5</v>
      </c>
      <c r="AB6659" s="18">
        <f t="shared" si="208"/>
        <v>2004</v>
      </c>
      <c r="AC6659" s="22">
        <f t="shared" si="209"/>
        <v>0.69100000000000006</v>
      </c>
    </row>
    <row r="6660" spans="1:29" ht="38.25">
      <c r="A6660" s="8" t="s">
        <v>9596</v>
      </c>
      <c r="B6660" s="17" t="s">
        <v>7758</v>
      </c>
      <c r="C6660" s="13">
        <v>38287</v>
      </c>
      <c r="D6660" s="13" t="s">
        <v>8465</v>
      </c>
      <c r="E6660" s="10" t="s">
        <v>158</v>
      </c>
      <c r="F6660" s="10" t="s">
        <v>164</v>
      </c>
      <c r="G6660" s="11" t="s">
        <v>5861</v>
      </c>
      <c r="H6660" s="2" t="s">
        <v>1377</v>
      </c>
      <c r="L6660" s="18">
        <v>0</v>
      </c>
      <c r="Q6660" s="18">
        <v>0</v>
      </c>
      <c r="U6660" s="22">
        <v>0.55000000000000004</v>
      </c>
      <c r="V6660" s="22">
        <f>3.55/5</f>
        <v>0.71</v>
      </c>
      <c r="X6660" s="3">
        <v>3</v>
      </c>
      <c r="Z6660" s="23">
        <v>21</v>
      </c>
      <c r="AB6660" s="18">
        <f t="shared" si="208"/>
        <v>2004</v>
      </c>
      <c r="AC6660" s="22">
        <f t="shared" si="209"/>
        <v>0.62</v>
      </c>
    </row>
    <row r="6661" spans="1:29" ht="25.5">
      <c r="A6661" s="8" t="s">
        <v>7909</v>
      </c>
      <c r="B6661" s="17" t="s">
        <v>7758</v>
      </c>
      <c r="C6661" s="13">
        <v>38285</v>
      </c>
      <c r="D6661" s="13" t="s">
        <v>8465</v>
      </c>
      <c r="E6661" s="10" t="s">
        <v>158</v>
      </c>
      <c r="F6661" s="10" t="s">
        <v>3100</v>
      </c>
      <c r="G6661" s="11" t="s">
        <v>3101</v>
      </c>
      <c r="H6661" s="2" t="s">
        <v>7594</v>
      </c>
      <c r="L6661" s="18">
        <v>0</v>
      </c>
      <c r="Q6661" s="18">
        <v>0</v>
      </c>
      <c r="U6661" s="22">
        <v>0.84809999999999997</v>
      </c>
      <c r="V6661" s="22">
        <f>4.27/5</f>
        <v>0.85399999999999987</v>
      </c>
      <c r="X6661" s="3">
        <v>2</v>
      </c>
      <c r="Z6661" s="23">
        <v>7</v>
      </c>
      <c r="AB6661" s="18">
        <f t="shared" si="208"/>
        <v>2004</v>
      </c>
      <c r="AC6661" s="22">
        <f t="shared" si="209"/>
        <v>0.70069999999999988</v>
      </c>
    </row>
    <row r="6662" spans="1:29">
      <c r="A6662" s="8" t="s">
        <v>13756</v>
      </c>
      <c r="B6662" s="17" t="s">
        <v>7764</v>
      </c>
      <c r="C6662" s="13">
        <v>38285</v>
      </c>
      <c r="D6662" s="13" t="s">
        <v>8465</v>
      </c>
      <c r="E6662" s="10" t="s">
        <v>3740</v>
      </c>
      <c r="F6662" s="10" t="s">
        <v>1687</v>
      </c>
      <c r="G6662" s="11" t="s">
        <v>13741</v>
      </c>
      <c r="H6662" s="2" t="s">
        <v>150</v>
      </c>
      <c r="L6662" s="18">
        <v>0</v>
      </c>
      <c r="Q6662" s="18">
        <v>0</v>
      </c>
      <c r="V6662" s="22">
        <f>4.25/5</f>
        <v>0.85</v>
      </c>
      <c r="X6662" s="3">
        <v>2</v>
      </c>
      <c r="Z6662" s="23">
        <f>25/60</f>
        <v>0.41666666666666669</v>
      </c>
      <c r="AB6662" s="18">
        <f t="shared" si="208"/>
        <v>2004</v>
      </c>
      <c r="AC6662" s="22">
        <f t="shared" si="209"/>
        <v>0.625</v>
      </c>
    </row>
    <row r="6663" spans="1:29" ht="38.25">
      <c r="A6663" s="8" t="s">
        <v>12885</v>
      </c>
      <c r="B6663" s="17" t="s">
        <v>7747</v>
      </c>
      <c r="C6663" s="13">
        <v>38285</v>
      </c>
      <c r="D6663" s="13" t="s">
        <v>8465</v>
      </c>
      <c r="E6663" s="10" t="s">
        <v>86</v>
      </c>
      <c r="F6663" s="10" t="s">
        <v>87</v>
      </c>
      <c r="G6663" s="11" t="s">
        <v>85</v>
      </c>
      <c r="H6663" s="2" t="s">
        <v>80</v>
      </c>
      <c r="L6663" s="18">
        <v>1</v>
      </c>
      <c r="M6663" s="14" t="s">
        <v>10622</v>
      </c>
      <c r="N6663" s="13">
        <v>43322</v>
      </c>
      <c r="O6663" s="29">
        <f>14.79+9.5</f>
        <v>24.29</v>
      </c>
      <c r="P6663" s="18" t="s">
        <v>14</v>
      </c>
      <c r="Q6663" s="18">
        <v>0</v>
      </c>
      <c r="U6663" s="22">
        <v>0.69</v>
      </c>
      <c r="V6663" s="22">
        <f>3.55/5</f>
        <v>0.71</v>
      </c>
      <c r="W6663" s="14" t="s">
        <v>8464</v>
      </c>
      <c r="X6663" s="3">
        <v>2</v>
      </c>
      <c r="Z6663" s="23">
        <v>11.47</v>
      </c>
      <c r="AB6663" s="18">
        <f t="shared" si="208"/>
        <v>2004</v>
      </c>
      <c r="AC6663" s="22">
        <f t="shared" si="209"/>
        <v>0.6</v>
      </c>
    </row>
    <row r="6664" spans="1:29" ht="30">
      <c r="A6664" s="8" t="s">
        <v>14922</v>
      </c>
      <c r="B6664" s="17" t="s">
        <v>7747</v>
      </c>
      <c r="C6664" s="13">
        <v>38281</v>
      </c>
      <c r="D6664" s="13" t="s">
        <v>8463</v>
      </c>
      <c r="E6664" s="10" t="s">
        <v>86</v>
      </c>
      <c r="F6664" s="10" t="s">
        <v>2322</v>
      </c>
      <c r="G6664" s="11" t="s">
        <v>707</v>
      </c>
      <c r="H6664" s="2" t="s">
        <v>150</v>
      </c>
      <c r="K6664" s="18">
        <v>2</v>
      </c>
      <c r="L6664" s="18">
        <v>0</v>
      </c>
      <c r="Q6664" s="18">
        <v>0</v>
      </c>
      <c r="V6664" s="22">
        <f>4.13/5</f>
        <v>0.82599999999999996</v>
      </c>
      <c r="X6664" s="3">
        <v>3</v>
      </c>
      <c r="Z6664" s="23">
        <v>1.5</v>
      </c>
      <c r="AB6664" s="18">
        <f t="shared" si="208"/>
        <v>2004</v>
      </c>
      <c r="AC6664" s="22">
        <f t="shared" si="209"/>
        <v>0.71299999999999997</v>
      </c>
    </row>
    <row r="6665" spans="1:29" ht="25.5">
      <c r="A6665" s="8" t="s">
        <v>7924</v>
      </c>
      <c r="B6665" s="17" t="s">
        <v>7764</v>
      </c>
      <c r="C6665" s="13">
        <v>38281</v>
      </c>
      <c r="D6665" s="13" t="s">
        <v>8465</v>
      </c>
      <c r="E6665" s="10" t="s">
        <v>455</v>
      </c>
      <c r="F6665" s="10" t="s">
        <v>1580</v>
      </c>
      <c r="G6665" s="11" t="s">
        <v>7922</v>
      </c>
      <c r="H6665" s="2" t="s">
        <v>1059</v>
      </c>
      <c r="L6665" s="18">
        <v>0</v>
      </c>
      <c r="Q6665" s="18">
        <v>0</v>
      </c>
      <c r="U6665" s="22">
        <v>0.81420000000000003</v>
      </c>
      <c r="V6665" s="22">
        <f>3.61/5</f>
        <v>0.72199999999999998</v>
      </c>
      <c r="X6665" s="3">
        <v>3</v>
      </c>
      <c r="Y6665" s="18">
        <v>1</v>
      </c>
      <c r="Z6665" s="23">
        <v>9</v>
      </c>
      <c r="AB6665" s="18">
        <f t="shared" si="208"/>
        <v>2004</v>
      </c>
      <c r="AC6665" s="22">
        <f t="shared" si="209"/>
        <v>0.71206666666666674</v>
      </c>
    </row>
    <row r="6666" spans="1:29" ht="25.5">
      <c r="A6666" s="8" t="s">
        <v>14707</v>
      </c>
      <c r="B6666" s="17" t="s">
        <v>7758</v>
      </c>
      <c r="C6666" s="13">
        <v>38280</v>
      </c>
      <c r="D6666" s="13" t="s">
        <v>8465</v>
      </c>
      <c r="E6666" s="10" t="s">
        <v>1047</v>
      </c>
      <c r="F6666" s="10" t="s">
        <v>6034</v>
      </c>
      <c r="G6666" s="11" t="s">
        <v>2968</v>
      </c>
      <c r="H6666" s="2" t="s">
        <v>1142</v>
      </c>
      <c r="L6666" s="18">
        <v>0</v>
      </c>
      <c r="Q6666" s="18">
        <v>0</v>
      </c>
      <c r="U6666" s="22">
        <v>0.61</v>
      </c>
      <c r="V6666" s="22">
        <f>3.69/5</f>
        <v>0.73799999999999999</v>
      </c>
      <c r="X6666" s="3">
        <v>2</v>
      </c>
      <c r="Z6666" s="23">
        <v>5</v>
      </c>
      <c r="AB6666" s="18">
        <f t="shared" si="208"/>
        <v>2004</v>
      </c>
      <c r="AC6666" s="22">
        <f t="shared" si="209"/>
        <v>0.58266666666666656</v>
      </c>
    </row>
    <row r="6667" spans="1:29" ht="30">
      <c r="A6667" s="8" t="s">
        <v>1996</v>
      </c>
      <c r="B6667" s="17" t="s">
        <v>7747</v>
      </c>
      <c r="C6667" s="13">
        <v>38279</v>
      </c>
      <c r="D6667" s="13" t="s">
        <v>8465</v>
      </c>
      <c r="E6667" s="10" t="s">
        <v>72</v>
      </c>
      <c r="F6667" s="10" t="s">
        <v>72</v>
      </c>
      <c r="G6667" s="11" t="s">
        <v>1941</v>
      </c>
      <c r="H6667" s="2" t="s">
        <v>171</v>
      </c>
      <c r="L6667" s="18">
        <v>0</v>
      </c>
      <c r="Q6667" s="18">
        <v>0</v>
      </c>
      <c r="U6667" s="22">
        <v>0.77</v>
      </c>
      <c r="V6667" s="22">
        <f>4.07/5</f>
        <v>0.81400000000000006</v>
      </c>
      <c r="X6667" s="3">
        <v>3</v>
      </c>
      <c r="Z6667" s="23">
        <v>12.5</v>
      </c>
      <c r="AB6667" s="18">
        <f t="shared" si="208"/>
        <v>2004</v>
      </c>
      <c r="AC6667" s="22">
        <f t="shared" si="209"/>
        <v>0.72800000000000009</v>
      </c>
    </row>
    <row r="6668" spans="1:29">
      <c r="A6668" s="8" t="s">
        <v>5763</v>
      </c>
      <c r="B6668" s="17" t="s">
        <v>7758</v>
      </c>
      <c r="C6668" s="13">
        <v>38279</v>
      </c>
      <c r="D6668" s="13" t="s">
        <v>8465</v>
      </c>
      <c r="E6668" s="10" t="s">
        <v>72</v>
      </c>
      <c r="F6668" s="10" t="s">
        <v>72</v>
      </c>
      <c r="G6668" s="11" t="s">
        <v>97</v>
      </c>
      <c r="H6668" s="2" t="s">
        <v>147</v>
      </c>
      <c r="L6668" s="18">
        <v>0</v>
      </c>
      <c r="Q6668" s="18">
        <v>0</v>
      </c>
      <c r="U6668" s="22">
        <v>0.68</v>
      </c>
      <c r="V6668" s="22">
        <f>3.61/5</f>
        <v>0.72199999999999998</v>
      </c>
      <c r="X6668" s="3">
        <v>3</v>
      </c>
      <c r="Z6668" s="23">
        <v>1.5</v>
      </c>
      <c r="AB6668" s="18">
        <f t="shared" si="208"/>
        <v>2004</v>
      </c>
      <c r="AC6668" s="22">
        <f t="shared" si="209"/>
        <v>0.66733333333333344</v>
      </c>
    </row>
    <row r="6669" spans="1:29" ht="30">
      <c r="A6669" s="8" t="s">
        <v>12933</v>
      </c>
      <c r="B6669" s="17" t="s">
        <v>7758</v>
      </c>
      <c r="C6669" s="13">
        <v>38279</v>
      </c>
      <c r="D6669" s="13" t="s">
        <v>8465</v>
      </c>
      <c r="E6669" s="10" t="s">
        <v>2908</v>
      </c>
      <c r="F6669" s="10" t="s">
        <v>7406</v>
      </c>
      <c r="G6669" s="11" t="s">
        <v>10629</v>
      </c>
      <c r="H6669" s="2" t="s">
        <v>1170</v>
      </c>
      <c r="L6669" s="18">
        <v>0</v>
      </c>
      <c r="Q6669" s="18">
        <v>0</v>
      </c>
      <c r="U6669" s="22">
        <v>0.66</v>
      </c>
      <c r="V6669" s="22">
        <f>3.76/5</f>
        <v>0.752</v>
      </c>
      <c r="X6669" s="3">
        <v>2</v>
      </c>
      <c r="Z6669" s="23">
        <f>36/60</f>
        <v>0.6</v>
      </c>
      <c r="AB6669" s="18">
        <f t="shared" si="208"/>
        <v>2004</v>
      </c>
      <c r="AC6669" s="22">
        <f t="shared" si="209"/>
        <v>0.60399999999999998</v>
      </c>
    </row>
    <row r="6670" spans="1:29" ht="25.5">
      <c r="A6670" s="8" t="s">
        <v>5837</v>
      </c>
      <c r="B6670" s="17" t="s">
        <v>7758</v>
      </c>
      <c r="C6670" s="13">
        <v>38272</v>
      </c>
      <c r="D6670" s="13" t="s">
        <v>8465</v>
      </c>
      <c r="E6670" s="10" t="s">
        <v>228</v>
      </c>
      <c r="F6670" s="10" t="s">
        <v>228</v>
      </c>
      <c r="G6670" s="11" t="s">
        <v>1171</v>
      </c>
      <c r="H6670" s="2" t="s">
        <v>149</v>
      </c>
      <c r="L6670" s="18">
        <v>0</v>
      </c>
      <c r="Q6670" s="18">
        <v>0</v>
      </c>
      <c r="U6670" s="22">
        <v>0.84</v>
      </c>
      <c r="V6670" s="22">
        <f>4.36/5</f>
        <v>0.87200000000000011</v>
      </c>
      <c r="X6670" s="3">
        <v>4</v>
      </c>
      <c r="Z6670" s="23">
        <v>53.5</v>
      </c>
      <c r="AB6670" s="18">
        <f t="shared" si="208"/>
        <v>2004</v>
      </c>
      <c r="AC6670" s="22">
        <f t="shared" si="209"/>
        <v>0.83733333333333348</v>
      </c>
    </row>
    <row r="6671" spans="1:29">
      <c r="A6671" s="8" t="s">
        <v>546</v>
      </c>
      <c r="B6671" s="17" t="s">
        <v>6317</v>
      </c>
      <c r="C6671" s="13">
        <v>38272</v>
      </c>
      <c r="D6671" s="13" t="s">
        <v>8463</v>
      </c>
      <c r="E6671" s="10" t="s">
        <v>472</v>
      </c>
      <c r="F6671" s="10" t="s">
        <v>467</v>
      </c>
      <c r="G6671" s="11" t="s">
        <v>546</v>
      </c>
      <c r="H6671" s="2" t="s">
        <v>21</v>
      </c>
      <c r="K6671" s="18">
        <v>0</v>
      </c>
      <c r="L6671" s="18">
        <v>0</v>
      </c>
      <c r="Q6671" s="18">
        <v>0</v>
      </c>
      <c r="V6671" s="22">
        <f>3.84/5</f>
        <v>0.76800000000000002</v>
      </c>
      <c r="X6671" s="3">
        <v>3</v>
      </c>
      <c r="Z6671" s="23">
        <v>1</v>
      </c>
      <c r="AB6671" s="18">
        <f t="shared" si="208"/>
        <v>2004</v>
      </c>
      <c r="AC6671" s="22">
        <f t="shared" si="209"/>
        <v>0.68399999999999994</v>
      </c>
    </row>
    <row r="6672" spans="1:29" ht="30">
      <c r="A6672" s="8" t="s">
        <v>12494</v>
      </c>
      <c r="B6672" s="17" t="s">
        <v>7740</v>
      </c>
      <c r="C6672" s="13">
        <v>38272</v>
      </c>
      <c r="D6672" s="13" t="s">
        <v>8465</v>
      </c>
      <c r="E6672" s="10" t="s">
        <v>5010</v>
      </c>
      <c r="F6672" s="10" t="s">
        <v>3331</v>
      </c>
      <c r="G6672" s="11" t="s">
        <v>10746</v>
      </c>
      <c r="H6672" s="2" t="s">
        <v>1040</v>
      </c>
      <c r="L6672" s="18">
        <v>0</v>
      </c>
      <c r="Q6672" s="18">
        <v>0</v>
      </c>
      <c r="U6672" s="22">
        <v>0.7</v>
      </c>
      <c r="V6672" s="22">
        <f>3.77/5</f>
        <v>0.754</v>
      </c>
      <c r="X6672" s="3">
        <v>2</v>
      </c>
      <c r="Z6672" s="23">
        <v>8.5</v>
      </c>
      <c r="AB6672" s="18">
        <f t="shared" si="208"/>
        <v>2004</v>
      </c>
      <c r="AC6672" s="22">
        <f t="shared" si="209"/>
        <v>0.61799999999999999</v>
      </c>
    </row>
    <row r="6673" spans="1:29" ht="30">
      <c r="A6673" s="8" t="s">
        <v>9216</v>
      </c>
      <c r="B6673" s="17" t="s">
        <v>7758</v>
      </c>
      <c r="C6673" s="13">
        <v>38272</v>
      </c>
      <c r="D6673" s="13" t="s">
        <v>8465</v>
      </c>
      <c r="E6673" s="10" t="s">
        <v>73</v>
      </c>
      <c r="F6673" s="10" t="s">
        <v>1060</v>
      </c>
      <c r="H6673" s="2" t="s">
        <v>80</v>
      </c>
      <c r="L6673" s="18">
        <v>0</v>
      </c>
      <c r="Q6673" s="18">
        <v>0</v>
      </c>
      <c r="U6673" s="22">
        <v>0.55000000000000004</v>
      </c>
      <c r="V6673" s="22">
        <f>3.46/5</f>
        <v>0.69199999999999995</v>
      </c>
      <c r="X6673" s="3">
        <v>2</v>
      </c>
      <c r="Z6673" s="23">
        <v>4</v>
      </c>
      <c r="AB6673" s="18">
        <f t="shared" si="208"/>
        <v>2004</v>
      </c>
      <c r="AC6673" s="22">
        <f t="shared" si="209"/>
        <v>0.54733333333333334</v>
      </c>
    </row>
    <row r="6674" spans="1:29" ht="30">
      <c r="A6674" s="8" t="s">
        <v>11992</v>
      </c>
      <c r="B6674" s="17" t="s">
        <v>7740</v>
      </c>
      <c r="C6674" s="13">
        <v>38271</v>
      </c>
      <c r="D6674" s="13" t="s">
        <v>8465</v>
      </c>
      <c r="E6674" s="10" t="s">
        <v>1342</v>
      </c>
      <c r="F6674" s="10" t="s">
        <v>11989</v>
      </c>
      <c r="G6674" s="11" t="s">
        <v>11990</v>
      </c>
      <c r="H6674" s="2" t="s">
        <v>1040</v>
      </c>
      <c r="L6674" s="18">
        <v>0</v>
      </c>
      <c r="Q6674" s="18">
        <v>0</v>
      </c>
      <c r="U6674" s="22">
        <v>0.75</v>
      </c>
      <c r="V6674" s="22">
        <f>3.55/5</f>
        <v>0.71</v>
      </c>
      <c r="X6674" s="3">
        <v>2</v>
      </c>
      <c r="Z6674" s="23">
        <v>7.5</v>
      </c>
      <c r="AB6674" s="18">
        <f t="shared" si="208"/>
        <v>2004</v>
      </c>
      <c r="AC6674" s="22">
        <f t="shared" si="209"/>
        <v>0.62</v>
      </c>
    </row>
    <row r="6675" spans="1:29" ht="30">
      <c r="A6675" s="8" t="s">
        <v>11590</v>
      </c>
      <c r="B6675" s="17" t="s">
        <v>7747</v>
      </c>
      <c r="C6675" s="13">
        <v>38270</v>
      </c>
      <c r="D6675" s="13" t="s">
        <v>8465</v>
      </c>
      <c r="E6675" s="10" t="s">
        <v>157</v>
      </c>
      <c r="F6675" s="10" t="s">
        <v>2350</v>
      </c>
      <c r="G6675" s="11" t="s">
        <v>1395</v>
      </c>
      <c r="H6675" s="2" t="s">
        <v>153</v>
      </c>
      <c r="L6675" s="18">
        <v>0</v>
      </c>
      <c r="Q6675" s="18">
        <v>0</v>
      </c>
      <c r="V6675" s="22">
        <f>3.15/5</f>
        <v>0.63</v>
      </c>
      <c r="X6675" s="3">
        <v>2</v>
      </c>
      <c r="Z6675" s="23">
        <v>3</v>
      </c>
      <c r="AB6675" s="18">
        <f t="shared" si="208"/>
        <v>2004</v>
      </c>
      <c r="AC6675" s="22">
        <f t="shared" si="209"/>
        <v>0.51500000000000001</v>
      </c>
    </row>
    <row r="6676" spans="1:29" ht="38.25">
      <c r="A6676" s="8" t="s">
        <v>7984</v>
      </c>
      <c r="B6676" s="17" t="s">
        <v>7758</v>
      </c>
      <c r="C6676" s="13">
        <v>38267</v>
      </c>
      <c r="D6676" s="13" t="s">
        <v>8463</v>
      </c>
      <c r="E6676" s="10" t="s">
        <v>7916</v>
      </c>
      <c r="F6676" s="10" t="s">
        <v>7985</v>
      </c>
      <c r="G6676" s="11" t="s">
        <v>7967</v>
      </c>
      <c r="H6676" s="2" t="s">
        <v>80</v>
      </c>
      <c r="K6676" s="18">
        <v>2</v>
      </c>
      <c r="L6676" s="18">
        <v>0</v>
      </c>
      <c r="Q6676" s="18">
        <v>0</v>
      </c>
      <c r="V6676" s="22">
        <f>3.92/5</f>
        <v>0.78400000000000003</v>
      </c>
      <c r="X6676" s="3">
        <v>2</v>
      </c>
      <c r="Z6676" s="23">
        <v>10.5</v>
      </c>
      <c r="AB6676" s="18">
        <f t="shared" si="208"/>
        <v>2004</v>
      </c>
      <c r="AC6676" s="22">
        <f t="shared" si="209"/>
        <v>0.59200000000000008</v>
      </c>
    </row>
    <row r="6677" spans="1:29" ht="25.5">
      <c r="A6677" s="8" t="s">
        <v>11187</v>
      </c>
      <c r="B6677" s="17" t="s">
        <v>7758</v>
      </c>
      <c r="C6677" s="13">
        <v>38267</v>
      </c>
      <c r="D6677" s="13" t="s">
        <v>8465</v>
      </c>
      <c r="E6677" s="10" t="s">
        <v>11188</v>
      </c>
      <c r="F6677" s="10" t="s">
        <v>474</v>
      </c>
      <c r="G6677" s="11" t="s">
        <v>567</v>
      </c>
      <c r="H6677" s="2" t="s">
        <v>459</v>
      </c>
      <c r="L6677" s="18">
        <v>0</v>
      </c>
      <c r="Q6677" s="18">
        <v>0</v>
      </c>
      <c r="U6677" s="22">
        <v>0.64</v>
      </c>
      <c r="V6677" s="22">
        <f>3.43/5</f>
        <v>0.68600000000000005</v>
      </c>
      <c r="X6677" s="3">
        <v>2</v>
      </c>
      <c r="Z6677" s="23">
        <v>5.5</v>
      </c>
      <c r="AB6677" s="18">
        <f t="shared" si="208"/>
        <v>2004</v>
      </c>
      <c r="AC6677" s="22">
        <f t="shared" si="209"/>
        <v>0.57533333333333336</v>
      </c>
    </row>
    <row r="6678" spans="1:29" ht="30">
      <c r="A6678" s="8" t="s">
        <v>2057</v>
      </c>
      <c r="B6678" s="17" t="s">
        <v>7747</v>
      </c>
      <c r="C6678" s="13">
        <v>38265</v>
      </c>
      <c r="D6678" s="13" t="s">
        <v>8465</v>
      </c>
      <c r="E6678" s="10" t="s">
        <v>73</v>
      </c>
      <c r="F6678" s="10" t="s">
        <v>1070</v>
      </c>
      <c r="G6678" s="11" t="s">
        <v>1983</v>
      </c>
      <c r="H6678" s="2" t="s">
        <v>56</v>
      </c>
      <c r="L6678" s="18">
        <v>0</v>
      </c>
      <c r="Q6678" s="18">
        <v>0</v>
      </c>
      <c r="U6678" s="22">
        <v>0.78</v>
      </c>
      <c r="V6678" s="22">
        <f>4.21/5</f>
        <v>0.84199999999999997</v>
      </c>
      <c r="X6678" s="3">
        <v>4</v>
      </c>
      <c r="Z6678" s="23">
        <v>2.5</v>
      </c>
      <c r="AB6678" s="18">
        <f t="shared" si="208"/>
        <v>2004</v>
      </c>
      <c r="AC6678" s="22">
        <f t="shared" si="209"/>
        <v>0.80733333333333324</v>
      </c>
    </row>
    <row r="6679" spans="1:29" ht="30">
      <c r="A6679" s="8" t="s">
        <v>12152</v>
      </c>
      <c r="B6679" s="17" t="s">
        <v>7800</v>
      </c>
      <c r="C6679" s="13">
        <v>38265</v>
      </c>
      <c r="D6679" s="13" t="s">
        <v>8465</v>
      </c>
      <c r="E6679" s="10" t="s">
        <v>3848</v>
      </c>
      <c r="F6679" s="10" t="s">
        <v>3315</v>
      </c>
      <c r="G6679" s="11" t="s">
        <v>12153</v>
      </c>
      <c r="H6679" s="2" t="s">
        <v>1050</v>
      </c>
      <c r="L6679" s="18">
        <v>0</v>
      </c>
      <c r="Q6679" s="18">
        <v>0</v>
      </c>
      <c r="U6679" s="22">
        <v>0.83</v>
      </c>
      <c r="V6679" s="22">
        <f>3.48/5</f>
        <v>0.69599999999999995</v>
      </c>
      <c r="X6679" s="3">
        <v>3</v>
      </c>
      <c r="Z6679" s="23">
        <v>9.5</v>
      </c>
      <c r="AB6679" s="18">
        <f t="shared" si="208"/>
        <v>2004</v>
      </c>
      <c r="AC6679" s="22">
        <f t="shared" si="209"/>
        <v>0.70866666666666667</v>
      </c>
    </row>
    <row r="6680" spans="1:29" ht="25.5">
      <c r="A6680" s="8" t="s">
        <v>6718</v>
      </c>
      <c r="B6680" s="17" t="s">
        <v>7758</v>
      </c>
      <c r="C6680" s="13">
        <v>38264</v>
      </c>
      <c r="D6680" s="13" t="s">
        <v>8465</v>
      </c>
      <c r="E6680" s="10" t="s">
        <v>1466</v>
      </c>
      <c r="F6680" s="10" t="s">
        <v>1466</v>
      </c>
      <c r="G6680" s="11" t="s">
        <v>17</v>
      </c>
      <c r="H6680" s="2" t="s">
        <v>459</v>
      </c>
      <c r="L6680" s="18">
        <v>0</v>
      </c>
      <c r="Q6680" s="18">
        <v>0</v>
      </c>
      <c r="U6680" s="22">
        <v>0.82</v>
      </c>
      <c r="V6680" s="22">
        <f>3.85/5</f>
        <v>0.77</v>
      </c>
      <c r="X6680" s="3">
        <v>3</v>
      </c>
      <c r="Z6680" s="23">
        <v>6</v>
      </c>
      <c r="AB6680" s="18">
        <f t="shared" si="208"/>
        <v>2004</v>
      </c>
      <c r="AC6680" s="22">
        <f t="shared" si="209"/>
        <v>0.73</v>
      </c>
    </row>
    <row r="6681" spans="1:29" ht="30">
      <c r="A6681" s="8" t="s">
        <v>15008</v>
      </c>
      <c r="B6681" s="17" t="s">
        <v>7747</v>
      </c>
      <c r="C6681" s="13">
        <v>38264</v>
      </c>
      <c r="D6681" s="13" t="s">
        <v>8465</v>
      </c>
      <c r="E6681" s="10" t="s">
        <v>1342</v>
      </c>
      <c r="F6681" s="10" t="s">
        <v>14860</v>
      </c>
      <c r="G6681" s="11" t="s">
        <v>4305</v>
      </c>
      <c r="H6681" s="2" t="s">
        <v>80</v>
      </c>
      <c r="L6681" s="18">
        <v>0</v>
      </c>
      <c r="Q6681" s="18">
        <v>0</v>
      </c>
      <c r="U6681" s="22">
        <v>0.62</v>
      </c>
      <c r="V6681" s="22">
        <f>2.79/5</f>
        <v>0.55800000000000005</v>
      </c>
      <c r="X6681" s="3">
        <v>2</v>
      </c>
      <c r="Z6681" s="23">
        <v>3</v>
      </c>
      <c r="AB6681" s="18">
        <f t="shared" si="208"/>
        <v>2004</v>
      </c>
      <c r="AC6681" s="22">
        <f t="shared" si="209"/>
        <v>0.52599999999999991</v>
      </c>
    </row>
    <row r="6682" spans="1:29">
      <c r="A6682" s="8" t="s">
        <v>14317</v>
      </c>
      <c r="B6682" s="17" t="s">
        <v>7793</v>
      </c>
      <c r="C6682" s="13">
        <v>38260</v>
      </c>
      <c r="D6682" s="13" t="s">
        <v>8465</v>
      </c>
      <c r="E6682" s="10" t="s">
        <v>9636</v>
      </c>
      <c r="F6682" s="10" t="s">
        <v>1956</v>
      </c>
      <c r="H6682" s="2" t="s">
        <v>1168</v>
      </c>
      <c r="L6682" s="18">
        <v>0</v>
      </c>
      <c r="Q6682" s="18">
        <v>0</v>
      </c>
      <c r="V6682" s="22">
        <f>4.48/5</f>
        <v>0.89600000000000013</v>
      </c>
      <c r="X6682" s="3">
        <v>2</v>
      </c>
      <c r="Z6682" s="23">
        <v>2</v>
      </c>
      <c r="AB6682" s="18">
        <f t="shared" si="208"/>
        <v>2004</v>
      </c>
      <c r="AC6682" s="22">
        <f t="shared" si="209"/>
        <v>0.64800000000000013</v>
      </c>
    </row>
    <row r="6683" spans="1:29" ht="30">
      <c r="A6683" s="8" t="s">
        <v>13353</v>
      </c>
      <c r="B6683" s="17" t="s">
        <v>7740</v>
      </c>
      <c r="C6683" s="13">
        <v>38260</v>
      </c>
      <c r="D6683" s="13" t="s">
        <v>8463</v>
      </c>
      <c r="E6683" s="10" t="s">
        <v>11805</v>
      </c>
      <c r="F6683" s="10" t="s">
        <v>11805</v>
      </c>
      <c r="G6683" s="11" t="s">
        <v>8399</v>
      </c>
      <c r="H6683" s="2" t="s">
        <v>459</v>
      </c>
      <c r="K6683" s="18">
        <v>2</v>
      </c>
      <c r="L6683" s="18">
        <v>0</v>
      </c>
      <c r="Q6683" s="18">
        <v>0</v>
      </c>
      <c r="V6683" s="22">
        <f>3.88/5</f>
        <v>0.77600000000000002</v>
      </c>
      <c r="X6683" s="3">
        <v>2</v>
      </c>
      <c r="AB6683" s="18">
        <f t="shared" si="208"/>
        <v>2004</v>
      </c>
      <c r="AC6683" s="22">
        <f t="shared" si="209"/>
        <v>0.58800000000000008</v>
      </c>
    </row>
    <row r="6684" spans="1:29">
      <c r="A6684" s="8" t="s">
        <v>7654</v>
      </c>
      <c r="B6684" s="17" t="s">
        <v>7758</v>
      </c>
      <c r="C6684" s="13">
        <v>38258</v>
      </c>
      <c r="D6684" s="13" t="s">
        <v>8465</v>
      </c>
      <c r="E6684" s="10" t="s">
        <v>3017</v>
      </c>
      <c r="F6684" s="10" t="s">
        <v>1580</v>
      </c>
      <c r="G6684" s="11" t="s">
        <v>5915</v>
      </c>
      <c r="H6684" s="2" t="s">
        <v>1168</v>
      </c>
      <c r="L6684" s="18">
        <v>0</v>
      </c>
      <c r="Q6684" s="18">
        <v>0</v>
      </c>
      <c r="U6684" s="22">
        <v>0.72</v>
      </c>
      <c r="V6684" s="22">
        <f>3.81/5</f>
        <v>0.76200000000000001</v>
      </c>
      <c r="X6684" s="3">
        <v>3</v>
      </c>
      <c r="Z6684" s="23">
        <v>8</v>
      </c>
      <c r="AB6684" s="18">
        <f t="shared" si="208"/>
        <v>2004</v>
      </c>
      <c r="AC6684" s="22">
        <f t="shared" si="209"/>
        <v>0.69399999999999995</v>
      </c>
    </row>
    <row r="6685" spans="1:29" ht="30">
      <c r="A6685" s="8" t="s">
        <v>1998</v>
      </c>
      <c r="B6685" s="17" t="s">
        <v>7747</v>
      </c>
      <c r="C6685" s="13">
        <v>38258</v>
      </c>
      <c r="D6685" s="13" t="s">
        <v>8465</v>
      </c>
      <c r="E6685" s="10" t="s">
        <v>1943</v>
      </c>
      <c r="F6685" s="10" t="s">
        <v>54</v>
      </c>
      <c r="G6685" s="11" t="s">
        <v>51</v>
      </c>
      <c r="H6685" s="2" t="s">
        <v>27</v>
      </c>
      <c r="L6685" s="18">
        <v>0</v>
      </c>
      <c r="Q6685" s="18">
        <v>0</v>
      </c>
      <c r="U6685" s="22">
        <v>0.69</v>
      </c>
      <c r="V6685" s="22">
        <f>3.61/5</f>
        <v>0.72199999999999998</v>
      </c>
      <c r="X6685" s="3">
        <v>3</v>
      </c>
      <c r="Z6685" s="23">
        <v>3</v>
      </c>
      <c r="AB6685" s="18">
        <f t="shared" si="208"/>
        <v>2004</v>
      </c>
      <c r="AC6685" s="22">
        <f t="shared" si="209"/>
        <v>0.67066666666666663</v>
      </c>
    </row>
    <row r="6686" spans="1:29" ht="30">
      <c r="A6686" s="8" t="s">
        <v>5902</v>
      </c>
      <c r="B6686" s="17" t="s">
        <v>7758</v>
      </c>
      <c r="C6686" s="13">
        <v>38258</v>
      </c>
      <c r="D6686" s="13" t="s">
        <v>8465</v>
      </c>
      <c r="E6686" s="10" t="s">
        <v>3848</v>
      </c>
      <c r="F6686" s="10" t="s">
        <v>1309</v>
      </c>
      <c r="G6686" s="11" t="s">
        <v>1576</v>
      </c>
      <c r="H6686" s="2" t="s">
        <v>1040</v>
      </c>
      <c r="L6686" s="18">
        <v>0</v>
      </c>
      <c r="Q6686" s="18">
        <v>0</v>
      </c>
      <c r="U6686" s="22">
        <v>0.66</v>
      </c>
      <c r="V6686" s="22">
        <f>3.73/5</f>
        <v>0.746</v>
      </c>
      <c r="X6686" s="3">
        <v>3</v>
      </c>
      <c r="Z6686" s="23">
        <v>5</v>
      </c>
      <c r="AB6686" s="18">
        <f t="shared" si="208"/>
        <v>2004</v>
      </c>
      <c r="AC6686" s="22">
        <f t="shared" si="209"/>
        <v>0.66866666666666674</v>
      </c>
    </row>
    <row r="6687" spans="1:29" ht="30">
      <c r="A6687" s="8" t="s">
        <v>3515</v>
      </c>
      <c r="B6687" s="17" t="s">
        <v>7800</v>
      </c>
      <c r="C6687" s="13">
        <v>38258</v>
      </c>
      <c r="D6687" s="13" t="s">
        <v>8465</v>
      </c>
      <c r="E6687" s="10" t="s">
        <v>3453</v>
      </c>
      <c r="F6687" s="10" t="s">
        <v>3516</v>
      </c>
      <c r="G6687" s="11" t="s">
        <v>3515</v>
      </c>
      <c r="H6687" s="2" t="s">
        <v>1271</v>
      </c>
      <c r="L6687" s="18">
        <v>1</v>
      </c>
      <c r="N6687" s="13">
        <v>41446</v>
      </c>
      <c r="P6687" s="18" t="s">
        <v>1107</v>
      </c>
      <c r="Q6687" s="18">
        <v>0</v>
      </c>
      <c r="U6687" s="22">
        <v>0.75</v>
      </c>
      <c r="V6687" s="22">
        <f>3.51/5</f>
        <v>0.70199999999999996</v>
      </c>
      <c r="W6687" s="14" t="s">
        <v>7777</v>
      </c>
      <c r="X6687" s="3">
        <v>2</v>
      </c>
      <c r="Z6687" s="23">
        <v>8.5</v>
      </c>
      <c r="AB6687" s="18">
        <f t="shared" si="208"/>
        <v>2004</v>
      </c>
      <c r="AC6687" s="22">
        <f t="shared" si="209"/>
        <v>0.61733333333333329</v>
      </c>
    </row>
    <row r="6688" spans="1:29" ht="25.5">
      <c r="A6688" s="8" t="s">
        <v>5769</v>
      </c>
      <c r="B6688" s="17" t="s">
        <v>7758</v>
      </c>
      <c r="C6688" s="13">
        <v>38257</v>
      </c>
      <c r="D6688" s="13" t="s">
        <v>8465</v>
      </c>
      <c r="E6688" s="10" t="s">
        <v>1466</v>
      </c>
      <c r="F6688" s="10" t="s">
        <v>5875</v>
      </c>
      <c r="G6688" s="11" t="s">
        <v>5832</v>
      </c>
      <c r="H6688" s="2" t="s">
        <v>149</v>
      </c>
      <c r="L6688" s="18">
        <v>0</v>
      </c>
      <c r="Q6688" s="18">
        <v>0</v>
      </c>
      <c r="U6688" s="22">
        <v>0.86</v>
      </c>
      <c r="V6688" s="22">
        <f>4.03/5</f>
        <v>0.80600000000000005</v>
      </c>
      <c r="X6688" s="3">
        <v>3</v>
      </c>
      <c r="Z6688" s="23">
        <v>42</v>
      </c>
      <c r="AB6688" s="18">
        <f t="shared" si="208"/>
        <v>2004</v>
      </c>
      <c r="AC6688" s="22">
        <f t="shared" si="209"/>
        <v>0.7553333333333333</v>
      </c>
    </row>
    <row r="6689" spans="1:29" ht="30">
      <c r="A6689" s="8" t="s">
        <v>6628</v>
      </c>
      <c r="B6689" s="17" t="s">
        <v>7740</v>
      </c>
      <c r="C6689" s="13">
        <v>38257</v>
      </c>
      <c r="D6689" s="13" t="s">
        <v>8465</v>
      </c>
      <c r="E6689" s="10" t="s">
        <v>86</v>
      </c>
      <c r="F6689" s="10" t="s">
        <v>158</v>
      </c>
      <c r="G6689" s="11" t="s">
        <v>1254</v>
      </c>
      <c r="H6689" s="2" t="s">
        <v>1220</v>
      </c>
      <c r="L6689" s="18">
        <v>0</v>
      </c>
      <c r="Q6689" s="18">
        <v>0</v>
      </c>
      <c r="U6689" s="22">
        <v>0.78</v>
      </c>
      <c r="V6689" s="22">
        <f>3.46/5</f>
        <v>0.69199999999999995</v>
      </c>
      <c r="X6689" s="3">
        <v>3</v>
      </c>
      <c r="Z6689" s="23">
        <v>15</v>
      </c>
      <c r="AB6689" s="18">
        <f t="shared" si="208"/>
        <v>2004</v>
      </c>
      <c r="AC6689" s="22">
        <f t="shared" si="209"/>
        <v>0.69066666666666665</v>
      </c>
    </row>
    <row r="6690" spans="1:29">
      <c r="A6690" s="8" t="s">
        <v>4870</v>
      </c>
      <c r="B6690" s="17" t="s">
        <v>7800</v>
      </c>
      <c r="C6690" s="13">
        <v>38252</v>
      </c>
      <c r="D6690" s="13" t="s">
        <v>8465</v>
      </c>
      <c r="E6690" s="10" t="s">
        <v>1273</v>
      </c>
      <c r="F6690" s="10" t="s">
        <v>3151</v>
      </c>
      <c r="G6690" s="11" t="s">
        <v>3794</v>
      </c>
      <c r="H6690" s="2" t="s">
        <v>3279</v>
      </c>
      <c r="L6690" s="18">
        <v>1</v>
      </c>
      <c r="N6690" s="13">
        <v>41436</v>
      </c>
      <c r="O6690" s="29">
        <v>1</v>
      </c>
      <c r="P6690" s="18" t="s">
        <v>1107</v>
      </c>
      <c r="Q6690" s="18">
        <v>0</v>
      </c>
      <c r="U6690" s="22">
        <v>0.92</v>
      </c>
      <c r="V6690" s="22">
        <f>4.24/5</f>
        <v>0.84800000000000009</v>
      </c>
      <c r="W6690" s="14" t="s">
        <v>7777</v>
      </c>
      <c r="X6690" s="3">
        <v>2</v>
      </c>
      <c r="Z6690" s="23">
        <v>35</v>
      </c>
      <c r="AB6690" s="18">
        <f t="shared" si="208"/>
        <v>2004</v>
      </c>
      <c r="AC6690" s="22">
        <f t="shared" si="209"/>
        <v>0.72266666666666668</v>
      </c>
    </row>
    <row r="6691" spans="1:29" ht="25.5">
      <c r="A6691" s="8" t="s">
        <v>14384</v>
      </c>
      <c r="B6691" s="17" t="s">
        <v>7800</v>
      </c>
      <c r="C6691" s="13">
        <v>38251</v>
      </c>
      <c r="D6691" s="13" t="s">
        <v>8465</v>
      </c>
      <c r="E6691" s="10" t="s">
        <v>311</v>
      </c>
      <c r="F6691" s="10" t="s">
        <v>9288</v>
      </c>
      <c r="H6691" s="2" t="s">
        <v>1050</v>
      </c>
      <c r="L6691" s="18">
        <v>1</v>
      </c>
      <c r="P6691" s="18" t="s">
        <v>1107</v>
      </c>
      <c r="Q6691" s="18">
        <v>0</v>
      </c>
      <c r="U6691" s="22">
        <v>0.61</v>
      </c>
      <c r="V6691" s="22">
        <f>3.08/5</f>
        <v>0.61599999999999999</v>
      </c>
      <c r="W6691" s="14" t="s">
        <v>7777</v>
      </c>
      <c r="X6691" s="3">
        <v>2</v>
      </c>
      <c r="Z6691" s="23">
        <v>6</v>
      </c>
      <c r="AB6691" s="18">
        <f t="shared" si="208"/>
        <v>2004</v>
      </c>
      <c r="AC6691" s="22">
        <f t="shared" si="209"/>
        <v>0.54199999999999993</v>
      </c>
    </row>
    <row r="6692" spans="1:29">
      <c r="A6692" s="8" t="s">
        <v>5818</v>
      </c>
      <c r="B6692" s="17" t="s">
        <v>7758</v>
      </c>
      <c r="C6692" s="13">
        <v>38251</v>
      </c>
      <c r="D6692" s="13" t="s">
        <v>8465</v>
      </c>
      <c r="E6692" s="10" t="s">
        <v>158</v>
      </c>
      <c r="F6692" s="10" t="s">
        <v>63</v>
      </c>
      <c r="G6692" s="11" t="s">
        <v>1615</v>
      </c>
      <c r="H6692" s="2" t="s">
        <v>143</v>
      </c>
      <c r="L6692" s="18">
        <v>0</v>
      </c>
      <c r="Q6692" s="18">
        <v>0</v>
      </c>
      <c r="U6692" s="22">
        <v>0.86</v>
      </c>
      <c r="V6692" s="22">
        <f>4.21/5</f>
        <v>0.84199999999999997</v>
      </c>
      <c r="X6692" s="3">
        <v>4</v>
      </c>
      <c r="Z6692" s="23">
        <v>6</v>
      </c>
      <c r="AB6692" s="18">
        <f t="shared" si="208"/>
        <v>2004</v>
      </c>
      <c r="AC6692" s="22">
        <f t="shared" si="209"/>
        <v>0.83399999999999996</v>
      </c>
    </row>
    <row r="6693" spans="1:29">
      <c r="A6693" s="8" t="s">
        <v>5110</v>
      </c>
      <c r="B6693" s="17" t="s">
        <v>7758</v>
      </c>
      <c r="C6693" s="13">
        <v>38251</v>
      </c>
      <c r="D6693" s="13" t="s">
        <v>8465</v>
      </c>
      <c r="E6693" s="10" t="s">
        <v>1284</v>
      </c>
      <c r="F6693" s="10" t="s">
        <v>5109</v>
      </c>
      <c r="G6693" s="11" t="s">
        <v>1481</v>
      </c>
      <c r="H6693" s="2" t="s">
        <v>1168</v>
      </c>
      <c r="L6693" s="18">
        <v>0</v>
      </c>
      <c r="Q6693" s="18">
        <v>0</v>
      </c>
      <c r="U6693" s="22">
        <v>0.83</v>
      </c>
      <c r="V6693" s="22">
        <f>3.95/5</f>
        <v>0.79</v>
      </c>
      <c r="X6693" s="3">
        <v>4</v>
      </c>
      <c r="Z6693" s="23">
        <v>8</v>
      </c>
      <c r="AB6693" s="18">
        <f t="shared" si="208"/>
        <v>2004</v>
      </c>
      <c r="AC6693" s="22">
        <f t="shared" si="209"/>
        <v>0.80666666666666664</v>
      </c>
    </row>
    <row r="6694" spans="1:29" ht="30">
      <c r="A6694" s="8" t="s">
        <v>6747</v>
      </c>
      <c r="B6694" s="17" t="s">
        <v>7740</v>
      </c>
      <c r="C6694" s="13">
        <v>38251</v>
      </c>
      <c r="D6694" s="13" t="s">
        <v>8465</v>
      </c>
      <c r="E6694" s="10" t="s">
        <v>1273</v>
      </c>
      <c r="F6694" s="10" t="s">
        <v>5017</v>
      </c>
      <c r="G6694" s="11" t="s">
        <v>6747</v>
      </c>
      <c r="H6694" s="2" t="s">
        <v>171</v>
      </c>
      <c r="L6694" s="18">
        <v>0</v>
      </c>
      <c r="Q6694" s="18">
        <v>0</v>
      </c>
      <c r="U6694" s="22">
        <v>0.82</v>
      </c>
      <c r="V6694" s="22">
        <f>3.82/5</f>
        <v>0.76400000000000001</v>
      </c>
      <c r="X6694" s="3">
        <v>4</v>
      </c>
      <c r="Z6694" s="23">
        <v>19</v>
      </c>
      <c r="AB6694" s="18">
        <f t="shared" si="208"/>
        <v>2004</v>
      </c>
      <c r="AC6694" s="22">
        <f t="shared" si="209"/>
        <v>0.79466666666666674</v>
      </c>
    </row>
    <row r="6695" spans="1:29" ht="30">
      <c r="A6695" s="8" t="s">
        <v>925</v>
      </c>
      <c r="B6695" s="17" t="s">
        <v>7740</v>
      </c>
      <c r="C6695" s="13">
        <v>38251</v>
      </c>
      <c r="D6695" s="13" t="s">
        <v>8465</v>
      </c>
      <c r="E6695" s="10" t="s">
        <v>73</v>
      </c>
      <c r="F6695" s="10" t="s">
        <v>73</v>
      </c>
      <c r="G6695" s="11" t="s">
        <v>601</v>
      </c>
      <c r="H6695" s="2" t="s">
        <v>149</v>
      </c>
      <c r="L6695" s="18">
        <v>0</v>
      </c>
      <c r="Q6695" s="18">
        <v>0</v>
      </c>
      <c r="U6695" s="22">
        <v>0.68</v>
      </c>
      <c r="V6695" s="22">
        <f>4/5</f>
        <v>0.8</v>
      </c>
      <c r="X6695" s="3">
        <v>4</v>
      </c>
      <c r="Z6695" s="23">
        <v>19</v>
      </c>
      <c r="AB6695" s="18">
        <f t="shared" si="208"/>
        <v>2004</v>
      </c>
      <c r="AC6695" s="22">
        <f t="shared" si="209"/>
        <v>0.76000000000000012</v>
      </c>
    </row>
    <row r="6696" spans="1:29">
      <c r="A6696" s="8" t="s">
        <v>8123</v>
      </c>
      <c r="B6696" s="17" t="s">
        <v>7758</v>
      </c>
      <c r="C6696" s="13">
        <v>38251</v>
      </c>
      <c r="D6696" s="13" t="s">
        <v>8465</v>
      </c>
      <c r="E6696" s="10" t="s">
        <v>5010</v>
      </c>
      <c r="F6696" s="10" t="s">
        <v>8124</v>
      </c>
      <c r="G6696" s="11" t="s">
        <v>8125</v>
      </c>
      <c r="H6696" s="2" t="s">
        <v>459</v>
      </c>
      <c r="L6696" s="18">
        <v>0</v>
      </c>
      <c r="Q6696" s="18">
        <v>0</v>
      </c>
      <c r="U6696" s="22">
        <v>0.83830000000000005</v>
      </c>
      <c r="V6696" s="22">
        <f>3.94/5</f>
        <v>0.78800000000000003</v>
      </c>
      <c r="X6696" s="3">
        <v>3</v>
      </c>
      <c r="Z6696" s="23">
        <v>6</v>
      </c>
      <c r="AB6696" s="18">
        <f t="shared" si="208"/>
        <v>2004</v>
      </c>
      <c r="AC6696" s="22">
        <f t="shared" si="209"/>
        <v>0.74210000000000009</v>
      </c>
    </row>
    <row r="6697" spans="1:29" ht="30">
      <c r="A6697" s="8" t="s">
        <v>6657</v>
      </c>
      <c r="B6697" s="17" t="s">
        <v>7740</v>
      </c>
      <c r="C6697" s="13">
        <v>38251</v>
      </c>
      <c r="D6697" s="13" t="s">
        <v>8465</v>
      </c>
      <c r="E6697" s="10" t="s">
        <v>1513</v>
      </c>
      <c r="F6697" s="10" t="s">
        <v>5888</v>
      </c>
      <c r="H6697" s="2" t="s">
        <v>80</v>
      </c>
      <c r="L6697" s="18">
        <v>0</v>
      </c>
      <c r="Q6697" s="18">
        <v>0</v>
      </c>
      <c r="U6697" s="22">
        <v>0.81</v>
      </c>
      <c r="V6697" s="22">
        <f>3.82/5</f>
        <v>0.76400000000000001</v>
      </c>
      <c r="X6697" s="3">
        <v>3</v>
      </c>
      <c r="Z6697" s="23">
        <v>9.5</v>
      </c>
      <c r="AB6697" s="18">
        <f t="shared" si="208"/>
        <v>2004</v>
      </c>
      <c r="AC6697" s="22">
        <f t="shared" si="209"/>
        <v>0.72466666666666668</v>
      </c>
    </row>
    <row r="6698" spans="1:29">
      <c r="A6698" s="8" t="s">
        <v>1141</v>
      </c>
      <c r="B6698" s="17" t="s">
        <v>7758</v>
      </c>
      <c r="C6698" s="13">
        <v>38251</v>
      </c>
      <c r="D6698" s="13" t="s">
        <v>8465</v>
      </c>
      <c r="E6698" s="10" t="s">
        <v>73</v>
      </c>
      <c r="F6698" s="10" t="s">
        <v>73</v>
      </c>
      <c r="G6698" s="11" t="s">
        <v>1141</v>
      </c>
      <c r="H6698" s="2" t="s">
        <v>171</v>
      </c>
      <c r="L6698" s="18">
        <v>0</v>
      </c>
      <c r="Q6698" s="18">
        <v>0</v>
      </c>
      <c r="U6698" s="22">
        <v>0.69</v>
      </c>
      <c r="V6698" s="22">
        <f>4.08/5</f>
        <v>0.81600000000000006</v>
      </c>
      <c r="X6698" s="3">
        <v>3</v>
      </c>
      <c r="Z6698" s="23">
        <v>49.5</v>
      </c>
      <c r="AB6698" s="18">
        <f t="shared" si="208"/>
        <v>2004</v>
      </c>
      <c r="AC6698" s="22">
        <f t="shared" si="209"/>
        <v>0.70199999999999996</v>
      </c>
    </row>
    <row r="6699" spans="1:29" ht="38.25">
      <c r="A6699" s="8" t="s">
        <v>9143</v>
      </c>
      <c r="B6699" s="17" t="s">
        <v>7758</v>
      </c>
      <c r="C6699" s="13">
        <v>38251</v>
      </c>
      <c r="D6699" s="13" t="s">
        <v>8465</v>
      </c>
      <c r="E6699" s="10" t="s">
        <v>455</v>
      </c>
      <c r="F6699" s="10" t="s">
        <v>9144</v>
      </c>
      <c r="H6699" s="2" t="s">
        <v>80</v>
      </c>
      <c r="L6699" s="18">
        <v>0</v>
      </c>
      <c r="Q6699" s="18">
        <v>0</v>
      </c>
      <c r="U6699" s="22">
        <v>0.67</v>
      </c>
      <c r="V6699" s="22">
        <f>3.84/5</f>
        <v>0.76800000000000002</v>
      </c>
      <c r="X6699" s="3">
        <v>3</v>
      </c>
      <c r="Z6699" s="23">
        <v>14</v>
      </c>
      <c r="AB6699" s="18">
        <f t="shared" si="208"/>
        <v>2004</v>
      </c>
      <c r="AC6699" s="22">
        <f t="shared" si="209"/>
        <v>0.67933333333333346</v>
      </c>
    </row>
    <row r="6700" spans="1:29" ht="25.5">
      <c r="A6700" s="8" t="s">
        <v>9708</v>
      </c>
      <c r="B6700" s="17" t="s">
        <v>7758</v>
      </c>
      <c r="C6700" s="13">
        <v>38251</v>
      </c>
      <c r="D6700" s="13" t="s">
        <v>8465</v>
      </c>
      <c r="E6700" s="10" t="s">
        <v>455</v>
      </c>
      <c r="F6700" s="10" t="s">
        <v>9707</v>
      </c>
      <c r="G6700" s="11" t="s">
        <v>9706</v>
      </c>
      <c r="H6700" s="2" t="s">
        <v>1168</v>
      </c>
      <c r="L6700" s="18">
        <v>0</v>
      </c>
      <c r="Q6700" s="18">
        <v>0</v>
      </c>
      <c r="U6700" s="22">
        <v>0.62</v>
      </c>
      <c r="V6700" s="22">
        <f>3.15/5</f>
        <v>0.63</v>
      </c>
      <c r="X6700" s="3">
        <v>3</v>
      </c>
      <c r="Z6700" s="23">
        <v>13.5</v>
      </c>
      <c r="AB6700" s="18">
        <f t="shared" si="208"/>
        <v>2004</v>
      </c>
      <c r="AC6700" s="22">
        <f t="shared" si="209"/>
        <v>0.6166666666666667</v>
      </c>
    </row>
    <row r="6701" spans="1:29" ht="25.5">
      <c r="A6701" s="8" t="s">
        <v>5533</v>
      </c>
      <c r="B6701" s="17" t="s">
        <v>7800</v>
      </c>
      <c r="C6701" s="13">
        <v>38250</v>
      </c>
      <c r="D6701" s="13" t="s">
        <v>8465</v>
      </c>
      <c r="E6701" s="10" t="s">
        <v>1342</v>
      </c>
      <c r="F6701" s="10" t="s">
        <v>3480</v>
      </c>
      <c r="G6701" s="11" t="s">
        <v>5534</v>
      </c>
      <c r="H6701" s="2" t="s">
        <v>1143</v>
      </c>
      <c r="L6701" s="18">
        <v>1</v>
      </c>
      <c r="N6701" s="13">
        <v>41254</v>
      </c>
      <c r="P6701" s="18" t="s">
        <v>1107</v>
      </c>
      <c r="Q6701" s="18">
        <v>0</v>
      </c>
      <c r="U6701" s="22">
        <v>0.87</v>
      </c>
      <c r="V6701" s="22">
        <f>3.96/5</f>
        <v>0.79200000000000004</v>
      </c>
      <c r="W6701" s="14" t="s">
        <v>7777</v>
      </c>
      <c r="X6701" s="3">
        <v>3</v>
      </c>
      <c r="Z6701" s="23">
        <v>12.5</v>
      </c>
      <c r="AB6701" s="18">
        <f t="shared" si="208"/>
        <v>2004</v>
      </c>
      <c r="AC6701" s="22">
        <f t="shared" si="209"/>
        <v>0.754</v>
      </c>
    </row>
    <row r="6702" spans="1:29" ht="30">
      <c r="A6702" s="8" t="s">
        <v>14921</v>
      </c>
      <c r="B6702" s="17" t="s">
        <v>7747</v>
      </c>
      <c r="C6702" s="13">
        <v>38250</v>
      </c>
      <c r="D6702" s="13" t="s">
        <v>8465</v>
      </c>
      <c r="E6702" s="10" t="s">
        <v>86</v>
      </c>
      <c r="F6702" s="10" t="s">
        <v>2322</v>
      </c>
      <c r="G6702" s="11" t="s">
        <v>707</v>
      </c>
      <c r="H6702" s="2" t="s">
        <v>150</v>
      </c>
      <c r="L6702" s="18">
        <v>0</v>
      </c>
      <c r="Q6702" s="18">
        <v>0</v>
      </c>
      <c r="U6702" s="22">
        <v>0.77</v>
      </c>
      <c r="V6702" s="22">
        <f>3.76/5</f>
        <v>0.752</v>
      </c>
      <c r="X6702" s="3">
        <v>3</v>
      </c>
      <c r="Z6702" s="23">
        <v>5</v>
      </c>
      <c r="AB6702" s="18">
        <f t="shared" si="208"/>
        <v>2004</v>
      </c>
      <c r="AC6702" s="22">
        <f t="shared" si="209"/>
        <v>0.70733333333333326</v>
      </c>
    </row>
    <row r="6703" spans="1:29" ht="30">
      <c r="A6703" s="8" t="s">
        <v>8684</v>
      </c>
      <c r="B6703" s="17" t="s">
        <v>7740</v>
      </c>
      <c r="C6703" s="13">
        <v>38245</v>
      </c>
      <c r="D6703" s="13" t="s">
        <v>8465</v>
      </c>
      <c r="E6703" s="10" t="s">
        <v>455</v>
      </c>
      <c r="F6703" s="10" t="s">
        <v>1492</v>
      </c>
      <c r="G6703" s="11" t="s">
        <v>1936</v>
      </c>
      <c r="H6703" s="2" t="s">
        <v>171</v>
      </c>
      <c r="L6703" s="18">
        <v>0</v>
      </c>
      <c r="Q6703" s="18">
        <v>0</v>
      </c>
      <c r="U6703" s="22">
        <v>0.85</v>
      </c>
      <c r="V6703" s="22">
        <f>4.2/5</f>
        <v>0.84000000000000008</v>
      </c>
      <c r="X6703" s="3">
        <v>3</v>
      </c>
      <c r="Z6703" s="23">
        <v>61.5</v>
      </c>
      <c r="AB6703" s="18">
        <f t="shared" si="208"/>
        <v>2004</v>
      </c>
      <c r="AC6703" s="22">
        <f t="shared" si="209"/>
        <v>0.76333333333333331</v>
      </c>
    </row>
    <row r="6704" spans="1:29" ht="30">
      <c r="A6704" s="8" t="s">
        <v>8397</v>
      </c>
      <c r="B6704" s="17" t="s">
        <v>7747</v>
      </c>
      <c r="C6704" s="13">
        <v>38245</v>
      </c>
      <c r="D6704" s="13" t="s">
        <v>8465</v>
      </c>
      <c r="E6704" s="10" t="s">
        <v>311</v>
      </c>
      <c r="F6704" s="10" t="s">
        <v>8398</v>
      </c>
      <c r="G6704" s="11" t="s">
        <v>8399</v>
      </c>
      <c r="H6704" s="2" t="s">
        <v>149</v>
      </c>
      <c r="L6704" s="18">
        <v>0</v>
      </c>
      <c r="Q6704" s="18">
        <v>0</v>
      </c>
      <c r="V6704" s="22">
        <f>3.94/5</f>
        <v>0.78800000000000003</v>
      </c>
      <c r="X6704" s="3">
        <v>3</v>
      </c>
      <c r="Z6704" s="23">
        <v>22.5</v>
      </c>
      <c r="AB6704" s="18">
        <f t="shared" si="208"/>
        <v>2004</v>
      </c>
      <c r="AC6704" s="22">
        <f t="shared" si="209"/>
        <v>0.69399999999999995</v>
      </c>
    </row>
    <row r="6705" spans="1:29">
      <c r="A6705" s="8" t="s">
        <v>9187</v>
      </c>
      <c r="B6705" s="17" t="s">
        <v>7758</v>
      </c>
      <c r="C6705" s="13">
        <v>38245</v>
      </c>
      <c r="D6705" s="13" t="s">
        <v>8465</v>
      </c>
      <c r="E6705" s="10" t="s">
        <v>2327</v>
      </c>
      <c r="F6705" s="10" t="s">
        <v>9188</v>
      </c>
      <c r="G6705" s="11" t="s">
        <v>5749</v>
      </c>
      <c r="H6705" s="2" t="s">
        <v>1168</v>
      </c>
      <c r="L6705" s="18">
        <v>0</v>
      </c>
      <c r="Q6705" s="18">
        <v>0</v>
      </c>
      <c r="U6705" s="22">
        <v>0.68</v>
      </c>
      <c r="V6705" s="22">
        <f>3.56/5</f>
        <v>0.71199999999999997</v>
      </c>
      <c r="X6705" s="3">
        <v>2</v>
      </c>
      <c r="Z6705" s="23">
        <v>5.5</v>
      </c>
      <c r="AB6705" s="18">
        <f t="shared" si="208"/>
        <v>2004</v>
      </c>
      <c r="AC6705" s="22">
        <f t="shared" si="209"/>
        <v>0.59733333333333327</v>
      </c>
    </row>
    <row r="6706" spans="1:29">
      <c r="A6706" s="8" t="s">
        <v>5841</v>
      </c>
      <c r="B6706" s="17" t="s">
        <v>7758</v>
      </c>
      <c r="C6706" s="13">
        <v>38244</v>
      </c>
      <c r="D6706" s="13" t="s">
        <v>8465</v>
      </c>
      <c r="E6706" s="10" t="s">
        <v>1290</v>
      </c>
      <c r="F6706" s="10" t="s">
        <v>1478</v>
      </c>
      <c r="G6706" s="11" t="s">
        <v>5886</v>
      </c>
      <c r="H6706" s="2" t="s">
        <v>1040</v>
      </c>
      <c r="L6706" s="18">
        <v>0</v>
      </c>
      <c r="Q6706" s="18">
        <v>0</v>
      </c>
      <c r="U6706" s="22">
        <v>0.88</v>
      </c>
      <c r="V6706" s="22">
        <f>4.22/5</f>
        <v>0.84399999999999997</v>
      </c>
      <c r="X6706" s="3">
        <v>4</v>
      </c>
      <c r="Z6706" s="23">
        <v>15</v>
      </c>
      <c r="AB6706" s="18">
        <f t="shared" si="208"/>
        <v>2004</v>
      </c>
      <c r="AC6706" s="22">
        <f t="shared" si="209"/>
        <v>0.84133333333333338</v>
      </c>
    </row>
    <row r="6707" spans="1:29">
      <c r="A6707" s="8" t="s">
        <v>8055</v>
      </c>
      <c r="B6707" s="17" t="s">
        <v>7758</v>
      </c>
      <c r="C6707" s="13">
        <v>38244</v>
      </c>
      <c r="D6707" s="13" t="s">
        <v>8465</v>
      </c>
      <c r="E6707" s="10" t="s">
        <v>72</v>
      </c>
      <c r="F6707" s="10" t="s">
        <v>1474</v>
      </c>
      <c r="G6707" s="11" t="s">
        <v>123</v>
      </c>
      <c r="H6707" s="2" t="s">
        <v>21</v>
      </c>
      <c r="L6707" s="18">
        <v>0</v>
      </c>
      <c r="Q6707" s="18">
        <v>0</v>
      </c>
      <c r="U6707" s="22">
        <v>0.82820000000000005</v>
      </c>
      <c r="V6707" s="22">
        <f>4.26/5</f>
        <v>0.85199999999999998</v>
      </c>
      <c r="X6707" s="3">
        <v>3</v>
      </c>
      <c r="Z6707" s="23">
        <v>11</v>
      </c>
      <c r="AB6707" s="18">
        <f t="shared" si="208"/>
        <v>2004</v>
      </c>
      <c r="AC6707" s="22">
        <f t="shared" si="209"/>
        <v>0.76006666666666678</v>
      </c>
    </row>
    <row r="6708" spans="1:29" ht="30">
      <c r="A6708" s="8" t="s">
        <v>1995</v>
      </c>
      <c r="B6708" s="17" t="s">
        <v>7747</v>
      </c>
      <c r="C6708" s="13">
        <v>38244</v>
      </c>
      <c r="D6708" s="13" t="s">
        <v>8465</v>
      </c>
      <c r="E6708" s="10" t="s">
        <v>1047</v>
      </c>
      <c r="F6708" s="10" t="s">
        <v>1474</v>
      </c>
      <c r="G6708" s="11" t="s">
        <v>1942</v>
      </c>
      <c r="H6708" s="2" t="s">
        <v>153</v>
      </c>
      <c r="L6708" s="18">
        <v>0</v>
      </c>
      <c r="Q6708" s="18">
        <v>0</v>
      </c>
      <c r="U6708" s="22">
        <v>0.65</v>
      </c>
      <c r="V6708" s="22">
        <f>3.49/5</f>
        <v>0.69800000000000006</v>
      </c>
      <c r="X6708" s="3">
        <v>3</v>
      </c>
      <c r="Z6708" s="23">
        <v>3</v>
      </c>
      <c r="AB6708" s="18">
        <f t="shared" si="208"/>
        <v>2004</v>
      </c>
      <c r="AC6708" s="22">
        <f t="shared" si="209"/>
        <v>0.64933333333333332</v>
      </c>
    </row>
    <row r="6709" spans="1:29" ht="30">
      <c r="A6709" s="8" t="s">
        <v>11147</v>
      </c>
      <c r="B6709" s="17" t="s">
        <v>7747</v>
      </c>
      <c r="C6709" s="13">
        <v>38244</v>
      </c>
      <c r="D6709" s="13" t="s">
        <v>8465</v>
      </c>
      <c r="E6709" s="10" t="s">
        <v>311</v>
      </c>
      <c r="F6709" s="10" t="s">
        <v>2466</v>
      </c>
      <c r="G6709" s="11" t="s">
        <v>11042</v>
      </c>
      <c r="H6709" s="2" t="s">
        <v>171</v>
      </c>
      <c r="L6709" s="18">
        <v>0</v>
      </c>
      <c r="Q6709" s="18">
        <v>0</v>
      </c>
      <c r="U6709" s="22">
        <v>0.62</v>
      </c>
      <c r="V6709" s="22">
        <f>3.94/5</f>
        <v>0.78800000000000003</v>
      </c>
      <c r="X6709" s="3">
        <v>2</v>
      </c>
      <c r="Z6709" s="23">
        <v>11</v>
      </c>
      <c r="AB6709" s="18">
        <f t="shared" si="208"/>
        <v>2004</v>
      </c>
      <c r="AC6709" s="22">
        <f t="shared" si="209"/>
        <v>0.60266666666666657</v>
      </c>
    </row>
    <row r="6710" spans="1:29">
      <c r="A6710" s="8" t="s">
        <v>15410</v>
      </c>
      <c r="B6710" s="17" t="s">
        <v>7800</v>
      </c>
      <c r="C6710" s="13">
        <v>38240</v>
      </c>
      <c r="D6710" s="13" t="s">
        <v>8465</v>
      </c>
      <c r="E6710" s="10" t="s">
        <v>1047</v>
      </c>
      <c r="F6710" s="10" t="s">
        <v>1048</v>
      </c>
      <c r="G6710" s="11" t="s">
        <v>15400</v>
      </c>
      <c r="H6710" s="2" t="s">
        <v>67</v>
      </c>
      <c r="L6710" s="18">
        <v>1</v>
      </c>
      <c r="N6710" s="13">
        <v>45128</v>
      </c>
      <c r="O6710" s="29">
        <v>0</v>
      </c>
      <c r="P6710" s="18" t="s">
        <v>1107</v>
      </c>
      <c r="Q6710" s="18">
        <v>0</v>
      </c>
      <c r="U6710" s="22">
        <v>0.82</v>
      </c>
      <c r="V6710" s="22">
        <f>3.93/5</f>
        <v>0.78600000000000003</v>
      </c>
      <c r="W6710" s="14" t="s">
        <v>7777</v>
      </c>
      <c r="X6710" s="3">
        <v>3</v>
      </c>
      <c r="Z6710" s="23">
        <v>11.5</v>
      </c>
      <c r="AB6710" s="18">
        <f t="shared" si="208"/>
        <v>2004</v>
      </c>
      <c r="AC6710" s="22">
        <f t="shared" si="209"/>
        <v>0.73533333333333328</v>
      </c>
    </row>
    <row r="6711" spans="1:29" ht="30">
      <c r="A6711" s="8" t="s">
        <v>15287</v>
      </c>
      <c r="B6711" s="17" t="s">
        <v>7740</v>
      </c>
      <c r="C6711" s="13">
        <v>38239</v>
      </c>
      <c r="D6711" s="13" t="s">
        <v>8465</v>
      </c>
      <c r="E6711" s="10" t="s">
        <v>311</v>
      </c>
      <c r="F6711" s="10" t="s">
        <v>1476</v>
      </c>
      <c r="G6711" s="11" t="s">
        <v>10608</v>
      </c>
      <c r="H6711" s="2" t="s">
        <v>80</v>
      </c>
      <c r="L6711" s="18">
        <v>0</v>
      </c>
      <c r="Q6711" s="18">
        <v>0</v>
      </c>
      <c r="U6711" s="22">
        <v>0.68</v>
      </c>
      <c r="V6711" s="22">
        <f>3.43/5</f>
        <v>0.68600000000000005</v>
      </c>
      <c r="X6711" s="3">
        <v>2</v>
      </c>
      <c r="Z6711" s="23">
        <v>7.5</v>
      </c>
      <c r="AB6711" s="18">
        <f t="shared" si="208"/>
        <v>2004</v>
      </c>
      <c r="AC6711" s="22">
        <f t="shared" si="209"/>
        <v>0.58866666666666667</v>
      </c>
    </row>
    <row r="6712" spans="1:29" ht="30">
      <c r="A6712" s="8" t="s">
        <v>5819</v>
      </c>
      <c r="B6712" s="17" t="s">
        <v>7747</v>
      </c>
      <c r="C6712" s="13">
        <v>38239</v>
      </c>
      <c r="D6712" s="13" t="s">
        <v>8465</v>
      </c>
      <c r="E6712" s="10" t="s">
        <v>6087</v>
      </c>
      <c r="F6712" s="10" t="s">
        <v>6088</v>
      </c>
      <c r="G6712" s="11" t="s">
        <v>5819</v>
      </c>
      <c r="H6712" s="2" t="s">
        <v>1168</v>
      </c>
      <c r="L6712" s="18">
        <v>0</v>
      </c>
      <c r="Q6712" s="18">
        <v>0</v>
      </c>
      <c r="U6712" s="22">
        <v>0.68</v>
      </c>
      <c r="V6712" s="22">
        <f>2.47/5</f>
        <v>0.49400000000000005</v>
      </c>
      <c r="X6712" s="3">
        <v>2</v>
      </c>
      <c r="Z6712" s="23">
        <v>4</v>
      </c>
      <c r="AB6712" s="18">
        <f t="shared" si="208"/>
        <v>2004</v>
      </c>
      <c r="AC6712" s="22">
        <f t="shared" si="209"/>
        <v>0.52466666666666673</v>
      </c>
    </row>
    <row r="6713" spans="1:29">
      <c r="A6713" s="8" t="s">
        <v>6687</v>
      </c>
      <c r="B6713" s="17" t="s">
        <v>7758</v>
      </c>
      <c r="C6713" s="13">
        <v>38238</v>
      </c>
      <c r="D6713" s="13" t="s">
        <v>8465</v>
      </c>
      <c r="E6713" s="10" t="s">
        <v>231</v>
      </c>
      <c r="F6713" s="10" t="s">
        <v>3393</v>
      </c>
      <c r="G6713" s="11" t="s">
        <v>3394</v>
      </c>
      <c r="H6713" s="2" t="s">
        <v>150</v>
      </c>
      <c r="L6713" s="18">
        <v>0</v>
      </c>
      <c r="Q6713" s="18">
        <v>0</v>
      </c>
      <c r="U6713" s="22">
        <v>0.93</v>
      </c>
      <c r="V6713" s="22">
        <f>4.12/5</f>
        <v>0.82400000000000007</v>
      </c>
      <c r="X6713" s="3">
        <v>3</v>
      </c>
      <c r="Z6713" s="23">
        <v>14</v>
      </c>
      <c r="AB6713" s="18">
        <f t="shared" si="208"/>
        <v>2004</v>
      </c>
      <c r="AC6713" s="22">
        <f t="shared" si="209"/>
        <v>0.78466666666666673</v>
      </c>
    </row>
    <row r="6714" spans="1:29">
      <c r="A6714" s="8" t="s">
        <v>5839</v>
      </c>
      <c r="B6714" s="17" t="s">
        <v>7758</v>
      </c>
      <c r="C6714" s="13">
        <v>38237</v>
      </c>
      <c r="D6714" s="13" t="s">
        <v>8465</v>
      </c>
      <c r="E6714" s="10" t="s">
        <v>72</v>
      </c>
      <c r="F6714" s="10" t="s">
        <v>72</v>
      </c>
      <c r="G6714" s="11" t="s">
        <v>1449</v>
      </c>
      <c r="H6714" s="2" t="s">
        <v>1061</v>
      </c>
      <c r="L6714" s="18">
        <v>0</v>
      </c>
      <c r="Q6714" s="18">
        <v>0</v>
      </c>
      <c r="U6714" s="22">
        <v>0.76</v>
      </c>
      <c r="V6714" s="22">
        <f>3.68/5</f>
        <v>0.73599999999999999</v>
      </c>
      <c r="X6714" s="3">
        <v>4</v>
      </c>
      <c r="Z6714" s="23">
        <v>8.5</v>
      </c>
      <c r="AB6714" s="18">
        <f t="shared" si="208"/>
        <v>2004</v>
      </c>
      <c r="AC6714" s="22">
        <f t="shared" si="209"/>
        <v>0.76533333333333342</v>
      </c>
    </row>
    <row r="6715" spans="1:29" ht="30">
      <c r="A6715" s="8" t="s">
        <v>2059</v>
      </c>
      <c r="B6715" s="17" t="s">
        <v>7747</v>
      </c>
      <c r="C6715" s="13">
        <v>38237</v>
      </c>
      <c r="D6715" s="13" t="s">
        <v>8465</v>
      </c>
      <c r="E6715" s="10" t="s">
        <v>86</v>
      </c>
      <c r="F6715" s="10" t="s">
        <v>1354</v>
      </c>
      <c r="G6715" s="11" t="s">
        <v>1470</v>
      </c>
      <c r="H6715" s="2" t="s">
        <v>149</v>
      </c>
      <c r="L6715" s="18">
        <v>0</v>
      </c>
      <c r="Q6715" s="18">
        <v>0</v>
      </c>
      <c r="U6715" s="22">
        <v>0.82</v>
      </c>
      <c r="V6715" s="22">
        <f>4.2/5</f>
        <v>0.84000000000000008</v>
      </c>
      <c r="X6715" s="3">
        <v>3</v>
      </c>
      <c r="Z6715" s="23">
        <v>29.5</v>
      </c>
      <c r="AB6715" s="18">
        <f t="shared" si="208"/>
        <v>2004</v>
      </c>
      <c r="AC6715" s="22">
        <f t="shared" si="209"/>
        <v>0.75333333333333341</v>
      </c>
    </row>
    <row r="6716" spans="1:29" ht="25.5">
      <c r="A6716" s="8" t="s">
        <v>5843</v>
      </c>
      <c r="B6716" s="17" t="s">
        <v>7758</v>
      </c>
      <c r="C6716" s="13">
        <v>38230</v>
      </c>
      <c r="D6716" s="13" t="s">
        <v>8465</v>
      </c>
      <c r="E6716" s="10" t="s">
        <v>1082</v>
      </c>
      <c r="F6716" s="10" t="s">
        <v>1423</v>
      </c>
      <c r="G6716" s="11" t="s">
        <v>840</v>
      </c>
      <c r="H6716" s="2" t="s">
        <v>171</v>
      </c>
      <c r="L6716" s="18">
        <v>0</v>
      </c>
      <c r="Q6716" s="18">
        <v>0</v>
      </c>
      <c r="U6716" s="22">
        <v>0.81</v>
      </c>
      <c r="V6716" s="22">
        <f>4.06/5</f>
        <v>0.81199999999999994</v>
      </c>
      <c r="X6716" s="3">
        <v>4</v>
      </c>
      <c r="Z6716" s="23">
        <v>45</v>
      </c>
      <c r="AB6716" s="18">
        <f t="shared" si="208"/>
        <v>2004</v>
      </c>
      <c r="AC6716" s="22">
        <f t="shared" si="209"/>
        <v>0.80733333333333324</v>
      </c>
    </row>
    <row r="6717" spans="1:29">
      <c r="A6717" s="8" t="s">
        <v>7915</v>
      </c>
      <c r="B6717" s="17" t="s">
        <v>7758</v>
      </c>
      <c r="C6717" s="13">
        <v>38230</v>
      </c>
      <c r="D6717" s="13" t="s">
        <v>8465</v>
      </c>
      <c r="E6717" s="10" t="s">
        <v>7916</v>
      </c>
      <c r="F6717" s="10" t="s">
        <v>3539</v>
      </c>
      <c r="H6717" s="2" t="s">
        <v>245</v>
      </c>
      <c r="L6717" s="18">
        <v>0</v>
      </c>
      <c r="Q6717" s="18">
        <v>0</v>
      </c>
      <c r="U6717" s="22">
        <v>0.65259999999999996</v>
      </c>
      <c r="V6717" s="22">
        <f>3.54/5</f>
        <v>0.70799999999999996</v>
      </c>
      <c r="X6717" s="3">
        <v>3</v>
      </c>
      <c r="Z6717" s="23">
        <v>9</v>
      </c>
      <c r="AB6717" s="18">
        <f t="shared" si="208"/>
        <v>2004</v>
      </c>
      <c r="AC6717" s="22">
        <f t="shared" si="209"/>
        <v>0.6535333333333333</v>
      </c>
    </row>
    <row r="6718" spans="1:29" ht="25.5">
      <c r="A6718" s="8" t="s">
        <v>11442</v>
      </c>
      <c r="B6718" s="17" t="s">
        <v>7758</v>
      </c>
      <c r="C6718" s="13">
        <v>38230</v>
      </c>
      <c r="D6718" s="13" t="s">
        <v>8465</v>
      </c>
      <c r="E6718" s="10" t="s">
        <v>68</v>
      </c>
      <c r="F6718" s="10" t="s">
        <v>1471</v>
      </c>
      <c r="G6718" s="11" t="s">
        <v>7935</v>
      </c>
      <c r="H6718" s="2" t="s">
        <v>1059</v>
      </c>
      <c r="L6718" s="18">
        <v>0</v>
      </c>
      <c r="Q6718" s="18">
        <v>0</v>
      </c>
      <c r="U6718" s="22">
        <v>0.71</v>
      </c>
      <c r="V6718" s="22">
        <f>3.81/5</f>
        <v>0.76200000000000001</v>
      </c>
      <c r="X6718" s="3">
        <v>2</v>
      </c>
      <c r="Z6718" s="23">
        <v>10.5</v>
      </c>
      <c r="AB6718" s="18">
        <f t="shared" si="208"/>
        <v>2004</v>
      </c>
      <c r="AC6718" s="22">
        <f t="shared" si="209"/>
        <v>0.624</v>
      </c>
    </row>
    <row r="6719" spans="1:29" ht="25.5">
      <c r="A6719" s="8" t="s">
        <v>15489</v>
      </c>
      <c r="B6719" s="17" t="s">
        <v>7758</v>
      </c>
      <c r="C6719" s="13">
        <v>38230</v>
      </c>
      <c r="D6719" s="13" t="s">
        <v>8465</v>
      </c>
      <c r="E6719" s="10" t="s">
        <v>73</v>
      </c>
      <c r="F6719" s="10" t="s">
        <v>73</v>
      </c>
      <c r="G6719" s="11" t="s">
        <v>227</v>
      </c>
      <c r="H6719" s="2" t="s">
        <v>459</v>
      </c>
      <c r="L6719" s="18">
        <v>0</v>
      </c>
      <c r="Q6719" s="18">
        <v>0</v>
      </c>
      <c r="U6719" s="22">
        <v>0.78</v>
      </c>
      <c r="V6719" s="22">
        <f>4.21/5</f>
        <v>0.84199999999999997</v>
      </c>
      <c r="X6719" s="3">
        <v>2</v>
      </c>
      <c r="Z6719" s="23">
        <v>3</v>
      </c>
      <c r="AB6719" s="18">
        <f t="shared" si="208"/>
        <v>2004</v>
      </c>
      <c r="AC6719" s="22">
        <f t="shared" si="209"/>
        <v>0.67399999999999993</v>
      </c>
    </row>
    <row r="6720" spans="1:29" ht="30">
      <c r="A6720" s="8" t="s">
        <v>954</v>
      </c>
      <c r="B6720" s="17" t="s">
        <v>7740</v>
      </c>
      <c r="C6720" s="13">
        <v>38229</v>
      </c>
      <c r="D6720" s="13" t="s">
        <v>8465</v>
      </c>
      <c r="E6720" s="10" t="s">
        <v>86</v>
      </c>
      <c r="F6720" s="10" t="s">
        <v>87</v>
      </c>
      <c r="G6720" s="11" t="s">
        <v>953</v>
      </c>
      <c r="H6720" s="2" t="s">
        <v>61</v>
      </c>
      <c r="L6720" s="18">
        <v>0</v>
      </c>
      <c r="Q6720" s="18">
        <v>0</v>
      </c>
      <c r="U6720" s="22">
        <v>0.89</v>
      </c>
      <c r="V6720" s="22">
        <f>4.25/5</f>
        <v>0.85</v>
      </c>
      <c r="X6720" s="3">
        <v>4</v>
      </c>
      <c r="Z6720" s="23">
        <v>12.5</v>
      </c>
      <c r="AB6720" s="18">
        <f t="shared" si="208"/>
        <v>2004</v>
      </c>
      <c r="AC6720" s="22">
        <f t="shared" si="209"/>
        <v>0.84666666666666668</v>
      </c>
    </row>
    <row r="6721" spans="1:29" ht="30">
      <c r="A6721" s="8" t="s">
        <v>3555</v>
      </c>
      <c r="B6721" s="17" t="s">
        <v>7800</v>
      </c>
      <c r="C6721" s="13">
        <v>38228</v>
      </c>
      <c r="D6721" s="13" t="s">
        <v>8465</v>
      </c>
      <c r="E6721" s="10" t="s">
        <v>3377</v>
      </c>
      <c r="F6721" s="10" t="s">
        <v>3556</v>
      </c>
      <c r="G6721" s="11" t="s">
        <v>3557</v>
      </c>
      <c r="H6721" s="2" t="s">
        <v>67</v>
      </c>
      <c r="L6721" s="18">
        <v>1</v>
      </c>
      <c r="N6721" s="13">
        <v>43335</v>
      </c>
      <c r="O6721" s="29">
        <v>0.99</v>
      </c>
      <c r="P6721" s="18" t="s">
        <v>1107</v>
      </c>
      <c r="Q6721" s="18">
        <v>0</v>
      </c>
      <c r="U6721" s="22">
        <v>0.7</v>
      </c>
      <c r="V6721" s="22">
        <f>3.25/5</f>
        <v>0.65</v>
      </c>
      <c r="W6721" s="14" t="s">
        <v>7777</v>
      </c>
      <c r="X6721" s="3">
        <v>3</v>
      </c>
      <c r="Z6721" s="23">
        <v>2.5</v>
      </c>
      <c r="AB6721" s="18">
        <f t="shared" ref="AB6721:AB6784" si="210">IFERROR(YEAR(C6721), "Early Access")</f>
        <v>2004</v>
      </c>
      <c r="AC6721" s="22">
        <f t="shared" ref="AC6721:AC6784" si="211">AVERAGE(T6721, U6721, V6721, IF(ISBLANK(X6721), X6721, X6721/5))</f>
        <v>0.65</v>
      </c>
    </row>
    <row r="6722" spans="1:29" ht="25.5">
      <c r="A6722" s="8" t="s">
        <v>7584</v>
      </c>
      <c r="B6722" s="17" t="s">
        <v>7782</v>
      </c>
      <c r="C6722" s="13">
        <v>38225</v>
      </c>
      <c r="D6722" s="13" t="s">
        <v>8465</v>
      </c>
      <c r="E6722" s="10" t="s">
        <v>1206</v>
      </c>
      <c r="F6722" s="10" t="s">
        <v>1206</v>
      </c>
      <c r="G6722" s="11" t="s">
        <v>1207</v>
      </c>
      <c r="H6722" s="2" t="s">
        <v>171</v>
      </c>
      <c r="L6722" s="18">
        <v>0</v>
      </c>
      <c r="Q6722" s="18">
        <v>0</v>
      </c>
      <c r="V6722" s="22">
        <f>2.83/5</f>
        <v>0.56600000000000006</v>
      </c>
      <c r="X6722" s="3">
        <v>3</v>
      </c>
      <c r="AB6722" s="18">
        <f t="shared" si="210"/>
        <v>2004</v>
      </c>
      <c r="AC6722" s="22">
        <f t="shared" si="211"/>
        <v>0.58299999999999996</v>
      </c>
    </row>
    <row r="6723" spans="1:29" ht="30">
      <c r="A6723" s="8" t="s">
        <v>6627</v>
      </c>
      <c r="B6723" s="17" t="s">
        <v>7740</v>
      </c>
      <c r="C6723" s="13">
        <v>38224</v>
      </c>
      <c r="D6723" s="13" t="s">
        <v>8465</v>
      </c>
      <c r="E6723" s="10" t="s">
        <v>455</v>
      </c>
      <c r="F6723" s="10" t="s">
        <v>2761</v>
      </c>
      <c r="H6723" s="2" t="s">
        <v>80</v>
      </c>
      <c r="L6723" s="18">
        <v>0</v>
      </c>
      <c r="Q6723" s="18">
        <v>0</v>
      </c>
      <c r="U6723" s="22">
        <v>0.61</v>
      </c>
      <c r="V6723" s="22">
        <f>3.31/5</f>
        <v>0.66200000000000003</v>
      </c>
      <c r="X6723" s="3">
        <v>2</v>
      </c>
      <c r="Z6723" s="23">
        <v>6</v>
      </c>
      <c r="AB6723" s="18">
        <f t="shared" si="210"/>
        <v>2004</v>
      </c>
      <c r="AC6723" s="22">
        <f t="shared" si="211"/>
        <v>0.55733333333333335</v>
      </c>
    </row>
    <row r="6724" spans="1:29" ht="30">
      <c r="A6724" s="8" t="s">
        <v>11032</v>
      </c>
      <c r="B6724" s="17" t="s">
        <v>7758</v>
      </c>
      <c r="C6724" s="13">
        <v>38216</v>
      </c>
      <c r="D6724" s="13" t="s">
        <v>8465</v>
      </c>
      <c r="E6724" s="10" t="s">
        <v>2908</v>
      </c>
      <c r="F6724" s="10" t="s">
        <v>10091</v>
      </c>
      <c r="G6724" s="11" t="s">
        <v>11029</v>
      </c>
      <c r="H6724" s="2" t="s">
        <v>255</v>
      </c>
      <c r="L6724" s="18">
        <v>0</v>
      </c>
      <c r="Q6724" s="18">
        <v>0</v>
      </c>
      <c r="U6724" s="22">
        <v>0.8</v>
      </c>
      <c r="V6724" s="22">
        <f>4.18/5</f>
        <v>0.83599999999999997</v>
      </c>
      <c r="X6724" s="3">
        <v>2</v>
      </c>
      <c r="AB6724" s="18">
        <f t="shared" si="210"/>
        <v>2004</v>
      </c>
      <c r="AC6724" s="22">
        <f t="shared" si="211"/>
        <v>0.67866666666666664</v>
      </c>
    </row>
    <row r="6725" spans="1:29">
      <c r="A6725" s="8" t="s">
        <v>14723</v>
      </c>
      <c r="B6725" s="17" t="s">
        <v>7758</v>
      </c>
      <c r="C6725" s="13">
        <v>38216</v>
      </c>
      <c r="D6725" s="13" t="s">
        <v>8465</v>
      </c>
      <c r="E6725" s="10" t="s">
        <v>158</v>
      </c>
      <c r="F6725" s="10" t="s">
        <v>7993</v>
      </c>
      <c r="H6725" s="2" t="s">
        <v>1168</v>
      </c>
      <c r="L6725" s="18">
        <v>0</v>
      </c>
      <c r="Q6725" s="18">
        <v>0</v>
      </c>
      <c r="U6725" s="22">
        <v>0.69</v>
      </c>
      <c r="V6725" s="22">
        <f>3.67/5</f>
        <v>0.73399999999999999</v>
      </c>
      <c r="X6725" s="3">
        <v>2</v>
      </c>
      <c r="Z6725" s="23">
        <v>10</v>
      </c>
      <c r="AB6725" s="18">
        <f t="shared" si="210"/>
        <v>2004</v>
      </c>
      <c r="AC6725" s="22">
        <f t="shared" si="211"/>
        <v>0.60799999999999998</v>
      </c>
    </row>
    <row r="6726" spans="1:29">
      <c r="A6726" s="8" t="s">
        <v>1415</v>
      </c>
      <c r="B6726" s="17" t="s">
        <v>7758</v>
      </c>
      <c r="C6726" s="13">
        <v>38216</v>
      </c>
      <c r="D6726" s="13" t="s">
        <v>8465</v>
      </c>
      <c r="E6726" s="10" t="s">
        <v>455</v>
      </c>
      <c r="F6726" s="10" t="s">
        <v>1492</v>
      </c>
      <c r="H6726" s="2" t="s">
        <v>80</v>
      </c>
      <c r="L6726" s="18">
        <v>0</v>
      </c>
      <c r="Q6726" s="18">
        <v>0</v>
      </c>
      <c r="U6726" s="22">
        <v>0.54</v>
      </c>
      <c r="V6726" s="22">
        <f>3.54/5</f>
        <v>0.70799999999999996</v>
      </c>
      <c r="X6726" s="3">
        <v>2</v>
      </c>
      <c r="Z6726" s="23">
        <v>3</v>
      </c>
      <c r="AB6726" s="18">
        <f t="shared" si="210"/>
        <v>2004</v>
      </c>
      <c r="AC6726" s="22">
        <f t="shared" si="211"/>
        <v>0.54933333333333334</v>
      </c>
    </row>
    <row r="6727" spans="1:29" ht="30">
      <c r="A6727" s="8" t="s">
        <v>11599</v>
      </c>
      <c r="B6727" s="17" t="s">
        <v>7747</v>
      </c>
      <c r="C6727" s="13">
        <v>38209</v>
      </c>
      <c r="D6727" s="13" t="s">
        <v>8465</v>
      </c>
      <c r="E6727" s="10" t="s">
        <v>157</v>
      </c>
      <c r="F6727" s="10" t="s">
        <v>66</v>
      </c>
      <c r="G6727" s="11" t="s">
        <v>1395</v>
      </c>
      <c r="H6727" s="2" t="s">
        <v>459</v>
      </c>
      <c r="L6727" s="18">
        <v>0</v>
      </c>
      <c r="Q6727" s="18">
        <v>0</v>
      </c>
      <c r="U6727" s="22">
        <v>0.56999999999999995</v>
      </c>
      <c r="V6727" s="22">
        <f>3.29/5</f>
        <v>0.65800000000000003</v>
      </c>
      <c r="X6727" s="3">
        <v>2</v>
      </c>
      <c r="Z6727" s="23">
        <f>32/60</f>
        <v>0.53333333333333333</v>
      </c>
      <c r="AB6727" s="18">
        <f t="shared" si="210"/>
        <v>2004</v>
      </c>
      <c r="AC6727" s="22">
        <f t="shared" si="211"/>
        <v>0.54266666666666674</v>
      </c>
    </row>
    <row r="6728" spans="1:29" ht="30">
      <c r="A6728" s="8" t="s">
        <v>8377</v>
      </c>
      <c r="B6728" s="17" t="s">
        <v>7747</v>
      </c>
      <c r="C6728" s="13">
        <v>38205</v>
      </c>
      <c r="D6728" s="13" t="s">
        <v>8463</v>
      </c>
      <c r="E6728" s="10" t="s">
        <v>73</v>
      </c>
      <c r="F6728" s="10" t="s">
        <v>8165</v>
      </c>
      <c r="G6728" s="11" t="s">
        <v>1904</v>
      </c>
      <c r="H6728" s="2" t="s">
        <v>75</v>
      </c>
      <c r="K6728" s="18">
        <v>2</v>
      </c>
      <c r="L6728" s="18">
        <v>0</v>
      </c>
      <c r="Q6728" s="18">
        <v>0</v>
      </c>
      <c r="V6728" s="22">
        <f>4.25/5</f>
        <v>0.85</v>
      </c>
      <c r="X6728" s="3">
        <v>3</v>
      </c>
      <c r="AB6728" s="18">
        <f t="shared" si="210"/>
        <v>2004</v>
      </c>
      <c r="AC6728" s="22">
        <f t="shared" si="211"/>
        <v>0.72499999999999998</v>
      </c>
    </row>
    <row r="6729" spans="1:29" ht="30">
      <c r="A6729" s="8" t="s">
        <v>2003</v>
      </c>
      <c r="B6729" s="17" t="s">
        <v>7747</v>
      </c>
      <c r="C6729" s="13">
        <v>38204</v>
      </c>
      <c r="D6729" s="13" t="s">
        <v>8463</v>
      </c>
      <c r="E6729" s="10" t="s">
        <v>86</v>
      </c>
      <c r="F6729" s="10" t="s">
        <v>58</v>
      </c>
      <c r="G6729" s="11" t="s">
        <v>1950</v>
      </c>
      <c r="H6729" s="2" t="s">
        <v>64</v>
      </c>
      <c r="K6729" s="18">
        <v>0</v>
      </c>
      <c r="L6729" s="18">
        <v>0</v>
      </c>
      <c r="Q6729" s="18">
        <v>0</v>
      </c>
      <c r="U6729" s="22">
        <v>0.9</v>
      </c>
      <c r="V6729" s="22">
        <f>3.9/5</f>
        <v>0.78</v>
      </c>
      <c r="X6729" s="3">
        <v>3</v>
      </c>
      <c r="AB6729" s="18">
        <f t="shared" si="210"/>
        <v>2004</v>
      </c>
      <c r="AC6729" s="22">
        <f t="shared" si="211"/>
        <v>0.76000000000000012</v>
      </c>
    </row>
    <row r="6730" spans="1:29">
      <c r="A6730" s="8" t="s">
        <v>14665</v>
      </c>
      <c r="B6730" s="17" t="s">
        <v>7764</v>
      </c>
      <c r="C6730" s="13">
        <v>38202</v>
      </c>
      <c r="D6730" s="13" t="s">
        <v>8465</v>
      </c>
      <c r="E6730" s="10" t="s">
        <v>14501</v>
      </c>
      <c r="F6730" s="10" t="s">
        <v>14666</v>
      </c>
      <c r="H6730" s="2" t="s">
        <v>80</v>
      </c>
      <c r="L6730" s="18">
        <v>0</v>
      </c>
      <c r="Q6730" s="18">
        <v>0</v>
      </c>
      <c r="U6730" s="22">
        <v>0.67</v>
      </c>
      <c r="V6730" s="22">
        <f>3.47/5</f>
        <v>0.69400000000000006</v>
      </c>
      <c r="X6730" s="3">
        <v>2</v>
      </c>
      <c r="Z6730" s="23">
        <v>9.5</v>
      </c>
      <c r="AB6730" s="18">
        <f t="shared" si="210"/>
        <v>2004</v>
      </c>
      <c r="AC6730" s="22">
        <f t="shared" si="211"/>
        <v>0.58800000000000008</v>
      </c>
    </row>
    <row r="6731" spans="1:29">
      <c r="A6731" s="8" t="s">
        <v>5740</v>
      </c>
      <c r="B6731" s="17" t="s">
        <v>7758</v>
      </c>
      <c r="C6731" s="13">
        <v>38195</v>
      </c>
      <c r="D6731" s="13" t="s">
        <v>8465</v>
      </c>
      <c r="E6731" s="10" t="s">
        <v>3017</v>
      </c>
      <c r="F6731" s="10" t="s">
        <v>1580</v>
      </c>
      <c r="G6731" s="11" t="s">
        <v>2928</v>
      </c>
      <c r="H6731" s="2" t="s">
        <v>1061</v>
      </c>
      <c r="L6731" s="18">
        <v>0</v>
      </c>
      <c r="Q6731" s="18">
        <v>0</v>
      </c>
      <c r="U6731" s="22">
        <v>0.62</v>
      </c>
      <c r="V6731" s="22">
        <f>3.7/5</f>
        <v>0.74</v>
      </c>
      <c r="X6731" s="3">
        <v>3</v>
      </c>
      <c r="Z6731" s="23">
        <v>7.5</v>
      </c>
      <c r="AB6731" s="18">
        <f t="shared" si="210"/>
        <v>2004</v>
      </c>
      <c r="AC6731" s="22">
        <f t="shared" si="211"/>
        <v>0.65333333333333332</v>
      </c>
    </row>
    <row r="6732" spans="1:29">
      <c r="A6732" s="8" t="s">
        <v>7112</v>
      </c>
      <c r="B6732" s="17" t="s">
        <v>7800</v>
      </c>
      <c r="C6732" s="13">
        <v>38193</v>
      </c>
      <c r="D6732" s="13" t="s">
        <v>8465</v>
      </c>
      <c r="E6732" s="10" t="s">
        <v>7199</v>
      </c>
      <c r="F6732" s="10" t="s">
        <v>7199</v>
      </c>
      <c r="G6732" s="11" t="s">
        <v>7200</v>
      </c>
      <c r="H6732" s="2" t="s">
        <v>67</v>
      </c>
      <c r="L6732" s="18">
        <v>0</v>
      </c>
      <c r="Q6732" s="18">
        <v>0</v>
      </c>
      <c r="V6732" s="22">
        <f>3.81/5</f>
        <v>0.76200000000000001</v>
      </c>
      <c r="W6732" s="14" t="s">
        <v>5674</v>
      </c>
      <c r="X6732" s="3">
        <v>3</v>
      </c>
      <c r="Z6732" s="23">
        <v>3</v>
      </c>
      <c r="AB6732" s="18">
        <f t="shared" si="210"/>
        <v>2004</v>
      </c>
      <c r="AC6732" s="22">
        <f t="shared" si="211"/>
        <v>0.68100000000000005</v>
      </c>
    </row>
    <row r="6733" spans="1:29">
      <c r="A6733" s="8" t="s">
        <v>13627</v>
      </c>
      <c r="B6733" s="17" t="s">
        <v>7800</v>
      </c>
      <c r="C6733" s="13">
        <v>38191</v>
      </c>
      <c r="D6733" s="13" t="s">
        <v>8465</v>
      </c>
      <c r="E6733" s="10" t="s">
        <v>479</v>
      </c>
      <c r="F6733" s="10" t="s">
        <v>479</v>
      </c>
      <c r="H6733" s="2" t="s">
        <v>459</v>
      </c>
      <c r="L6733" s="18">
        <v>1</v>
      </c>
      <c r="N6733" s="13">
        <v>44986</v>
      </c>
      <c r="O6733" s="29">
        <v>0</v>
      </c>
      <c r="P6733" s="18" t="s">
        <v>1107</v>
      </c>
      <c r="Q6733" s="18">
        <v>0</v>
      </c>
      <c r="V6733" s="22">
        <f>4.13/5</f>
        <v>0.82599999999999996</v>
      </c>
      <c r="W6733" s="14" t="s">
        <v>7777</v>
      </c>
      <c r="X6733" s="3">
        <v>3</v>
      </c>
      <c r="Z6733" s="23">
        <f>49/60</f>
        <v>0.81666666666666665</v>
      </c>
      <c r="AB6733" s="18">
        <f t="shared" si="210"/>
        <v>2004</v>
      </c>
      <c r="AC6733" s="22">
        <f t="shared" si="211"/>
        <v>0.71299999999999997</v>
      </c>
    </row>
    <row r="6734" spans="1:29" ht="30">
      <c r="A6734" s="8" t="s">
        <v>11829</v>
      </c>
      <c r="B6734" s="17" t="s">
        <v>7747</v>
      </c>
      <c r="C6734" s="13">
        <v>38190</v>
      </c>
      <c r="D6734" s="13" t="s">
        <v>8463</v>
      </c>
      <c r="E6734" s="10" t="s">
        <v>157</v>
      </c>
      <c r="F6734" s="10" t="s">
        <v>2350</v>
      </c>
      <c r="G6734" s="11" t="s">
        <v>9091</v>
      </c>
      <c r="H6734" s="2" t="s">
        <v>149</v>
      </c>
      <c r="K6734" s="18">
        <v>2</v>
      </c>
      <c r="L6734" s="18">
        <v>0</v>
      </c>
      <c r="Q6734" s="18">
        <v>0</v>
      </c>
      <c r="V6734" s="22">
        <f>3.8/5</f>
        <v>0.76</v>
      </c>
      <c r="X6734" s="3">
        <v>3</v>
      </c>
      <c r="AB6734" s="18">
        <f t="shared" si="210"/>
        <v>2004</v>
      </c>
      <c r="AC6734" s="22">
        <f t="shared" si="211"/>
        <v>0.67999999999999994</v>
      </c>
    </row>
    <row r="6735" spans="1:29" ht="25.5">
      <c r="A6735" s="8" t="s">
        <v>9711</v>
      </c>
      <c r="B6735" s="17" t="s">
        <v>7758</v>
      </c>
      <c r="C6735" s="13">
        <v>38190</v>
      </c>
      <c r="D6735" s="13" t="s">
        <v>8465</v>
      </c>
      <c r="E6735" s="10" t="s">
        <v>7830</v>
      </c>
      <c r="F6735" s="10" t="s">
        <v>54</v>
      </c>
      <c r="H6735" s="2" t="s">
        <v>1059</v>
      </c>
      <c r="L6735" s="18">
        <v>0</v>
      </c>
      <c r="Q6735" s="18">
        <v>0</v>
      </c>
      <c r="U6735" s="22">
        <v>0.72</v>
      </c>
      <c r="V6735" s="22">
        <f>3.46/5</f>
        <v>0.69199999999999995</v>
      </c>
      <c r="X6735" s="3">
        <v>3</v>
      </c>
      <c r="Z6735" s="23">
        <v>6</v>
      </c>
      <c r="AB6735" s="18">
        <f t="shared" si="210"/>
        <v>2004</v>
      </c>
      <c r="AC6735" s="22">
        <f t="shared" si="211"/>
        <v>0.67066666666666663</v>
      </c>
    </row>
    <row r="6736" spans="1:29">
      <c r="A6736" s="8" t="s">
        <v>9219</v>
      </c>
      <c r="B6736" s="17" t="s">
        <v>7758</v>
      </c>
      <c r="C6736" s="13">
        <v>38189</v>
      </c>
      <c r="D6736" s="13" t="s">
        <v>8465</v>
      </c>
      <c r="E6736" s="10" t="s">
        <v>73</v>
      </c>
      <c r="F6736" s="10" t="s">
        <v>9220</v>
      </c>
      <c r="H6736" s="2" t="s">
        <v>153</v>
      </c>
      <c r="L6736" s="18">
        <v>0</v>
      </c>
      <c r="Q6736" s="18">
        <v>0</v>
      </c>
      <c r="U6736" s="22">
        <v>0.62</v>
      </c>
      <c r="V6736" s="22">
        <f>3.25/5</f>
        <v>0.65</v>
      </c>
      <c r="X6736" s="3">
        <v>3</v>
      </c>
      <c r="Z6736" s="23">
        <v>11.5</v>
      </c>
      <c r="AB6736" s="18">
        <f t="shared" si="210"/>
        <v>2004</v>
      </c>
      <c r="AC6736" s="22">
        <f t="shared" si="211"/>
        <v>0.62333333333333341</v>
      </c>
    </row>
    <row r="6737" spans="1:29" ht="30">
      <c r="A6737" s="8" t="s">
        <v>945</v>
      </c>
      <c r="B6737" s="17" t="s">
        <v>7740</v>
      </c>
      <c r="C6737" s="13">
        <v>38181</v>
      </c>
      <c r="D6737" s="13" t="s">
        <v>8465</v>
      </c>
      <c r="E6737" s="10" t="s">
        <v>158</v>
      </c>
      <c r="F6737" s="10" t="s">
        <v>1500</v>
      </c>
      <c r="G6737" s="11" t="s">
        <v>1422</v>
      </c>
      <c r="H6737" s="2" t="s">
        <v>171</v>
      </c>
      <c r="L6737" s="18">
        <v>0</v>
      </c>
      <c r="Q6737" s="18">
        <v>0</v>
      </c>
      <c r="U6737" s="22">
        <v>0.85</v>
      </c>
      <c r="V6737" s="22">
        <f>4.45/5</f>
        <v>0.89</v>
      </c>
      <c r="X6737" s="3">
        <v>4</v>
      </c>
      <c r="Z6737" s="23">
        <v>47.5</v>
      </c>
      <c r="AB6737" s="18">
        <f t="shared" si="210"/>
        <v>2004</v>
      </c>
      <c r="AC6737" s="22">
        <f t="shared" si="211"/>
        <v>0.84666666666666668</v>
      </c>
    </row>
    <row r="6738" spans="1:29" ht="25.5">
      <c r="A6738" s="8" t="s">
        <v>15408</v>
      </c>
      <c r="B6738" s="17" t="s">
        <v>7800</v>
      </c>
      <c r="C6738" s="13">
        <v>38175</v>
      </c>
      <c r="D6738" s="13" t="s">
        <v>8465</v>
      </c>
      <c r="E6738" s="10" t="s">
        <v>1047</v>
      </c>
      <c r="F6738" s="10" t="s">
        <v>6967</v>
      </c>
      <c r="G6738" s="11" t="s">
        <v>15400</v>
      </c>
      <c r="H6738" s="2" t="s">
        <v>67</v>
      </c>
      <c r="L6738" s="18">
        <v>1</v>
      </c>
      <c r="N6738" s="13">
        <v>45128</v>
      </c>
      <c r="O6738" s="29">
        <v>0</v>
      </c>
      <c r="P6738" s="18" t="s">
        <v>1107</v>
      </c>
      <c r="Q6738" s="18">
        <v>0</v>
      </c>
      <c r="V6738" s="22">
        <f>3.58/5</f>
        <v>0.71599999999999997</v>
      </c>
      <c r="W6738" s="14" t="s">
        <v>7777</v>
      </c>
      <c r="X6738" s="3">
        <v>3</v>
      </c>
      <c r="Z6738" s="23">
        <v>27</v>
      </c>
      <c r="AB6738" s="18">
        <f t="shared" si="210"/>
        <v>2004</v>
      </c>
      <c r="AC6738" s="22">
        <f t="shared" si="211"/>
        <v>0.65799999999999992</v>
      </c>
    </row>
    <row r="6739" spans="1:29" ht="30">
      <c r="A6739" s="8" t="s">
        <v>2088</v>
      </c>
      <c r="B6739" s="17" t="s">
        <v>7747</v>
      </c>
      <c r="C6739" s="13">
        <v>38167</v>
      </c>
      <c r="D6739" s="13" t="s">
        <v>8465</v>
      </c>
      <c r="E6739" s="10" t="s">
        <v>73</v>
      </c>
      <c r="F6739" s="10" t="s">
        <v>73</v>
      </c>
      <c r="G6739" s="11" t="s">
        <v>1904</v>
      </c>
      <c r="H6739" s="2" t="s">
        <v>75</v>
      </c>
      <c r="L6739" s="18">
        <v>0</v>
      </c>
      <c r="Q6739" s="18">
        <v>0</v>
      </c>
      <c r="U6739" s="22">
        <v>0.69</v>
      </c>
      <c r="V6739" s="22">
        <f>3.67/5</f>
        <v>0.73399999999999999</v>
      </c>
      <c r="X6739" s="3">
        <v>4</v>
      </c>
      <c r="Z6739" s="23">
        <v>19.5</v>
      </c>
      <c r="AB6739" s="18">
        <f t="shared" si="210"/>
        <v>2004</v>
      </c>
      <c r="AC6739" s="22">
        <f t="shared" si="211"/>
        <v>0.7413333333333334</v>
      </c>
    </row>
    <row r="6740" spans="1:29">
      <c r="A6740" s="8" t="s">
        <v>7164</v>
      </c>
      <c r="B6740" s="17" t="s">
        <v>7800</v>
      </c>
      <c r="C6740" s="13">
        <v>38164</v>
      </c>
      <c r="D6740" s="13" t="s">
        <v>8465</v>
      </c>
      <c r="E6740" s="10" t="s">
        <v>7234</v>
      </c>
      <c r="F6740" s="10" t="s">
        <v>7234</v>
      </c>
      <c r="G6740" s="11" t="s">
        <v>7164</v>
      </c>
      <c r="H6740" s="2" t="s">
        <v>1061</v>
      </c>
      <c r="L6740" s="18">
        <v>1</v>
      </c>
      <c r="O6740" s="29">
        <v>0</v>
      </c>
      <c r="P6740" s="18" t="s">
        <v>1107</v>
      </c>
      <c r="Q6740" s="18">
        <v>0</v>
      </c>
      <c r="V6740" s="22">
        <f>4.08/5</f>
        <v>0.81600000000000006</v>
      </c>
      <c r="W6740" s="14" t="s">
        <v>7777</v>
      </c>
      <c r="X6740" s="3">
        <v>4</v>
      </c>
      <c r="Z6740" s="23">
        <v>3.5</v>
      </c>
      <c r="AB6740" s="18">
        <f t="shared" si="210"/>
        <v>2004</v>
      </c>
      <c r="AC6740" s="22">
        <f t="shared" si="211"/>
        <v>0.80800000000000005</v>
      </c>
    </row>
    <row r="6741" spans="1:29">
      <c r="A6741" s="8" t="s">
        <v>9203</v>
      </c>
      <c r="B6741" s="17" t="s">
        <v>7758</v>
      </c>
      <c r="C6741" s="13">
        <v>38162</v>
      </c>
      <c r="D6741" s="13" t="s">
        <v>8463</v>
      </c>
      <c r="E6741" s="10" t="s">
        <v>7916</v>
      </c>
      <c r="F6741" s="10" t="s">
        <v>1375</v>
      </c>
      <c r="H6741" s="2" t="s">
        <v>1061</v>
      </c>
      <c r="K6741" s="18">
        <v>2</v>
      </c>
      <c r="L6741" s="18">
        <v>0</v>
      </c>
      <c r="Q6741" s="18">
        <v>0</v>
      </c>
      <c r="V6741" s="22">
        <f>3.67/5</f>
        <v>0.73399999999999999</v>
      </c>
      <c r="X6741" s="3">
        <v>3</v>
      </c>
      <c r="AB6741" s="18">
        <f t="shared" si="210"/>
        <v>2004</v>
      </c>
      <c r="AC6741" s="22">
        <f t="shared" si="211"/>
        <v>0.66700000000000004</v>
      </c>
    </row>
    <row r="6742" spans="1:29" ht="30">
      <c r="A6742" s="8" t="s">
        <v>12558</v>
      </c>
      <c r="B6742" s="17" t="s">
        <v>7800</v>
      </c>
      <c r="C6742" s="13">
        <v>38162</v>
      </c>
      <c r="D6742" s="13" t="s">
        <v>8465</v>
      </c>
      <c r="E6742" s="10" t="s">
        <v>3377</v>
      </c>
      <c r="F6742" s="10" t="s">
        <v>12559</v>
      </c>
      <c r="G6742" s="11" t="s">
        <v>12560</v>
      </c>
      <c r="H6742" s="2" t="s">
        <v>67</v>
      </c>
      <c r="L6742" s="18">
        <v>1</v>
      </c>
      <c r="P6742" s="18" t="s">
        <v>1107</v>
      </c>
      <c r="Q6742" s="18">
        <v>0</v>
      </c>
      <c r="U6742" s="22">
        <v>0.63</v>
      </c>
      <c r="V6742" s="22">
        <f>3.67/5</f>
        <v>0.73399999999999999</v>
      </c>
      <c r="W6742" s="14" t="s">
        <v>7777</v>
      </c>
      <c r="X6742" s="3">
        <v>2</v>
      </c>
      <c r="Z6742" s="23">
        <v>5.5</v>
      </c>
      <c r="AB6742" s="18">
        <f t="shared" si="210"/>
        <v>2004</v>
      </c>
      <c r="AC6742" s="22">
        <f t="shared" si="211"/>
        <v>0.58799999999999997</v>
      </c>
    </row>
    <row r="6743" spans="1:29" ht="30">
      <c r="A6743" s="8" t="s">
        <v>7367</v>
      </c>
      <c r="B6743" s="17" t="s">
        <v>7740</v>
      </c>
      <c r="C6743" s="13">
        <v>38161</v>
      </c>
      <c r="D6743" s="13" t="s">
        <v>8465</v>
      </c>
      <c r="E6743" s="10" t="s">
        <v>73</v>
      </c>
      <c r="F6743" s="10" t="s">
        <v>7372</v>
      </c>
      <c r="G6743" s="11" t="s">
        <v>89</v>
      </c>
      <c r="H6743" s="2" t="s">
        <v>56</v>
      </c>
      <c r="L6743" s="18">
        <v>0</v>
      </c>
      <c r="Q6743" s="18">
        <v>0</v>
      </c>
      <c r="U6743" s="22">
        <v>0.83</v>
      </c>
      <c r="V6743" s="22">
        <f>4.21/5</f>
        <v>0.84199999999999997</v>
      </c>
      <c r="X6743" s="3">
        <v>2</v>
      </c>
      <c r="Z6743" s="23">
        <v>22</v>
      </c>
      <c r="AB6743" s="18">
        <f t="shared" si="210"/>
        <v>2004</v>
      </c>
      <c r="AC6743" s="22">
        <f t="shared" si="211"/>
        <v>0.69066666666666665</v>
      </c>
    </row>
    <row r="6744" spans="1:29" ht="30">
      <c r="A6744" s="8" t="s">
        <v>2022</v>
      </c>
      <c r="B6744" s="17" t="s">
        <v>7747</v>
      </c>
      <c r="C6744" s="13">
        <v>38160</v>
      </c>
      <c r="D6744" s="13" t="s">
        <v>8465</v>
      </c>
      <c r="E6744" s="10" t="s">
        <v>86</v>
      </c>
      <c r="F6744" s="10" t="s">
        <v>1160</v>
      </c>
      <c r="G6744" s="11" t="s">
        <v>875</v>
      </c>
      <c r="H6744" s="2" t="s">
        <v>255</v>
      </c>
      <c r="L6744" s="18">
        <v>0</v>
      </c>
      <c r="Q6744" s="18">
        <v>0</v>
      </c>
      <c r="U6744" s="22">
        <v>0.85</v>
      </c>
      <c r="V6744" s="22">
        <f>3.86/5</f>
        <v>0.77200000000000002</v>
      </c>
      <c r="X6744" s="3">
        <v>3</v>
      </c>
      <c r="Z6744" s="23">
        <v>10</v>
      </c>
      <c r="AB6744" s="18">
        <f t="shared" si="210"/>
        <v>2004</v>
      </c>
      <c r="AC6744" s="22">
        <f t="shared" si="211"/>
        <v>0.7406666666666667</v>
      </c>
    </row>
    <row r="6745" spans="1:29">
      <c r="A6745" s="8" t="s">
        <v>7127</v>
      </c>
      <c r="B6745" s="17" t="s">
        <v>7800</v>
      </c>
      <c r="C6745" s="13">
        <v>38156</v>
      </c>
      <c r="D6745" s="13" t="s">
        <v>8465</v>
      </c>
      <c r="E6745" s="10" t="s">
        <v>7214</v>
      </c>
      <c r="F6745" s="10" t="s">
        <v>7214</v>
      </c>
      <c r="G6745" s="11" t="s">
        <v>7125</v>
      </c>
      <c r="H6745" s="2" t="s">
        <v>64</v>
      </c>
      <c r="L6745" s="18">
        <v>0</v>
      </c>
      <c r="Q6745" s="18">
        <v>0</v>
      </c>
      <c r="W6745" s="14" t="s">
        <v>5674</v>
      </c>
      <c r="X6745" s="3">
        <v>3</v>
      </c>
      <c r="AB6745" s="18">
        <f t="shared" si="210"/>
        <v>2004</v>
      </c>
      <c r="AC6745" s="22">
        <f t="shared" si="211"/>
        <v>0.6</v>
      </c>
    </row>
    <row r="6746" spans="1:29" ht="38.25">
      <c r="A6746" s="8" t="s">
        <v>7458</v>
      </c>
      <c r="B6746" s="17" t="s">
        <v>7758</v>
      </c>
      <c r="C6746" s="13">
        <v>38154</v>
      </c>
      <c r="D6746" s="13" t="s">
        <v>8465</v>
      </c>
      <c r="E6746" s="10" t="s">
        <v>1047</v>
      </c>
      <c r="F6746" s="10" t="s">
        <v>7459</v>
      </c>
      <c r="G6746" s="11" t="s">
        <v>5430</v>
      </c>
      <c r="H6746" s="2" t="s">
        <v>245</v>
      </c>
      <c r="L6746" s="18">
        <v>0</v>
      </c>
      <c r="Q6746" s="18">
        <v>0</v>
      </c>
      <c r="U6746" s="22">
        <v>0.87</v>
      </c>
      <c r="V6746" s="22">
        <f>3.75/5</f>
        <v>0.75</v>
      </c>
      <c r="X6746" s="3">
        <v>3</v>
      </c>
      <c r="Z6746" s="23">
        <v>10.5</v>
      </c>
      <c r="AB6746" s="18">
        <f t="shared" si="210"/>
        <v>2004</v>
      </c>
      <c r="AC6746" s="22">
        <f t="shared" si="211"/>
        <v>0.7400000000000001</v>
      </c>
    </row>
    <row r="6747" spans="1:29">
      <c r="A6747" s="8" t="s">
        <v>5742</v>
      </c>
      <c r="B6747" s="17" t="s">
        <v>7758</v>
      </c>
      <c r="C6747" s="13">
        <v>38153</v>
      </c>
      <c r="D6747" s="13" t="s">
        <v>8465</v>
      </c>
      <c r="E6747" s="10" t="s">
        <v>1082</v>
      </c>
      <c r="F6747" s="10" t="s">
        <v>1082</v>
      </c>
      <c r="G6747" s="11" t="s">
        <v>812</v>
      </c>
      <c r="H6747" s="2" t="s">
        <v>75</v>
      </c>
      <c r="L6747" s="18">
        <v>0</v>
      </c>
      <c r="Q6747" s="18">
        <v>0</v>
      </c>
      <c r="U6747" s="22">
        <v>0.76</v>
      </c>
      <c r="V6747" s="22">
        <f>4.04/5</f>
        <v>0.80800000000000005</v>
      </c>
      <c r="X6747" s="3">
        <v>3</v>
      </c>
      <c r="Z6747" s="23">
        <v>37</v>
      </c>
      <c r="AB6747" s="18">
        <f t="shared" si="210"/>
        <v>2004</v>
      </c>
      <c r="AC6747" s="22">
        <f t="shared" si="211"/>
        <v>0.72266666666666668</v>
      </c>
    </row>
    <row r="6748" spans="1:29" ht="25.5">
      <c r="A6748" s="8" t="s">
        <v>14697</v>
      </c>
      <c r="B6748" s="17" t="s">
        <v>7758</v>
      </c>
      <c r="C6748" s="13">
        <v>38153</v>
      </c>
      <c r="D6748" s="13" t="s">
        <v>8465</v>
      </c>
      <c r="E6748" s="10" t="s">
        <v>72</v>
      </c>
      <c r="F6748" s="10" t="s">
        <v>72</v>
      </c>
      <c r="H6748" s="2" t="s">
        <v>1059</v>
      </c>
      <c r="L6748" s="18">
        <v>0</v>
      </c>
      <c r="Q6748" s="18">
        <v>0</v>
      </c>
      <c r="U6748" s="22">
        <v>0.34</v>
      </c>
      <c r="V6748" s="22">
        <f>1.98/5</f>
        <v>0.39600000000000002</v>
      </c>
      <c r="X6748" s="3">
        <v>2</v>
      </c>
      <c r="Z6748" s="23">
        <v>9</v>
      </c>
      <c r="AB6748" s="18">
        <f t="shared" si="210"/>
        <v>2004</v>
      </c>
      <c r="AC6748" s="22">
        <f t="shared" si="211"/>
        <v>0.37866666666666671</v>
      </c>
    </row>
    <row r="6749" spans="1:29" ht="25.5">
      <c r="A6749" s="8" t="s">
        <v>5825</v>
      </c>
      <c r="B6749" s="17" t="s">
        <v>7758</v>
      </c>
      <c r="C6749" s="13">
        <v>38152</v>
      </c>
      <c r="D6749" s="13" t="s">
        <v>8465</v>
      </c>
      <c r="E6749" s="10" t="s">
        <v>1466</v>
      </c>
      <c r="F6749" s="10" t="s">
        <v>1466</v>
      </c>
      <c r="H6749" s="2" t="s">
        <v>1168</v>
      </c>
      <c r="L6749" s="18">
        <v>0</v>
      </c>
      <c r="Q6749" s="18">
        <v>0</v>
      </c>
      <c r="U6749" s="22">
        <v>0.86</v>
      </c>
      <c r="V6749" s="22">
        <f>3.83/5</f>
        <v>0.76600000000000001</v>
      </c>
      <c r="X6749" s="3">
        <v>4</v>
      </c>
      <c r="Z6749" s="23">
        <v>13</v>
      </c>
      <c r="AB6749" s="18">
        <f t="shared" si="210"/>
        <v>2004</v>
      </c>
      <c r="AC6749" s="22">
        <f t="shared" si="211"/>
        <v>0.80866666666666676</v>
      </c>
    </row>
    <row r="6750" spans="1:29" ht="30">
      <c r="A6750" s="8" t="s">
        <v>1971</v>
      </c>
      <c r="B6750" s="17" t="s">
        <v>7747</v>
      </c>
      <c r="C6750" s="13">
        <v>38147</v>
      </c>
      <c r="D6750" s="13" t="s">
        <v>8465</v>
      </c>
      <c r="E6750" s="10" t="s">
        <v>1342</v>
      </c>
      <c r="F6750" s="10" t="s">
        <v>163</v>
      </c>
      <c r="G6750" s="11" t="s">
        <v>1971</v>
      </c>
      <c r="H6750" s="2" t="s">
        <v>56</v>
      </c>
      <c r="L6750" s="18">
        <v>0</v>
      </c>
      <c r="Q6750" s="18">
        <v>0</v>
      </c>
      <c r="U6750" s="22">
        <v>0.79</v>
      </c>
      <c r="V6750" s="22">
        <f>3.61/5</f>
        <v>0.72199999999999998</v>
      </c>
      <c r="X6750" s="3">
        <v>3</v>
      </c>
      <c r="Z6750" s="23">
        <v>4</v>
      </c>
      <c r="AB6750" s="18">
        <f t="shared" si="210"/>
        <v>2004</v>
      </c>
      <c r="AC6750" s="22">
        <f t="shared" si="211"/>
        <v>0.70400000000000007</v>
      </c>
    </row>
    <row r="6751" spans="1:29" ht="38.25">
      <c r="A6751" s="8" t="s">
        <v>2031</v>
      </c>
      <c r="B6751" s="17" t="s">
        <v>7747</v>
      </c>
      <c r="C6751" s="13">
        <v>38146</v>
      </c>
      <c r="D6751" s="13" t="s">
        <v>8465</v>
      </c>
      <c r="E6751" s="10" t="s">
        <v>455</v>
      </c>
      <c r="F6751" s="10" t="s">
        <v>1494</v>
      </c>
      <c r="G6751" s="11" t="s">
        <v>1661</v>
      </c>
      <c r="H6751" s="2" t="s">
        <v>75</v>
      </c>
      <c r="L6751" s="18">
        <v>0</v>
      </c>
      <c r="Q6751" s="18">
        <v>0</v>
      </c>
      <c r="U6751" s="22">
        <v>0.75</v>
      </c>
      <c r="V6751" s="22">
        <f>3.98/5</f>
        <v>0.79600000000000004</v>
      </c>
      <c r="X6751" s="3">
        <v>3</v>
      </c>
      <c r="Z6751" s="23">
        <v>18</v>
      </c>
      <c r="AB6751" s="18">
        <f t="shared" si="210"/>
        <v>2004</v>
      </c>
      <c r="AC6751" s="22">
        <f t="shared" si="211"/>
        <v>0.71533333333333327</v>
      </c>
    </row>
    <row r="6752" spans="1:29" ht="30">
      <c r="A6752" s="8" t="s">
        <v>11457</v>
      </c>
      <c r="B6752" s="17" t="s">
        <v>7740</v>
      </c>
      <c r="C6752" s="13">
        <v>38146</v>
      </c>
      <c r="D6752" s="13" t="s">
        <v>8465</v>
      </c>
      <c r="E6752" s="10" t="s">
        <v>157</v>
      </c>
      <c r="F6752" s="10" t="s">
        <v>249</v>
      </c>
      <c r="G6752" s="11" t="s">
        <v>11458</v>
      </c>
      <c r="H6752" s="2" t="s">
        <v>255</v>
      </c>
      <c r="L6752" s="18">
        <v>0</v>
      </c>
      <c r="Q6752" s="18">
        <v>0</v>
      </c>
      <c r="U6752" s="22">
        <v>0.6</v>
      </c>
      <c r="V6752" s="22">
        <f>3.72/5</f>
        <v>0.74399999999999999</v>
      </c>
      <c r="X6752" s="3">
        <v>2</v>
      </c>
      <c r="Z6752" s="23">
        <v>7</v>
      </c>
      <c r="AB6752" s="18">
        <f t="shared" si="210"/>
        <v>2004</v>
      </c>
      <c r="AC6752" s="22">
        <f t="shared" si="211"/>
        <v>0.58133333333333326</v>
      </c>
    </row>
    <row r="6753" spans="1:29" ht="30">
      <c r="A6753" s="8" t="s">
        <v>2036</v>
      </c>
      <c r="B6753" s="17" t="s">
        <v>7747</v>
      </c>
      <c r="C6753" s="13">
        <v>38145</v>
      </c>
      <c r="D6753" s="13" t="s">
        <v>8465</v>
      </c>
      <c r="E6753" s="10" t="s">
        <v>1342</v>
      </c>
      <c r="F6753" s="10" t="s">
        <v>1492</v>
      </c>
      <c r="G6753" s="11" t="s">
        <v>1688</v>
      </c>
      <c r="H6753" s="2" t="s">
        <v>64</v>
      </c>
      <c r="L6753" s="18">
        <v>0</v>
      </c>
      <c r="Q6753" s="18">
        <v>0</v>
      </c>
      <c r="U6753" s="22">
        <v>0.81</v>
      </c>
      <c r="V6753" s="22">
        <f>3.79/5</f>
        <v>0.75800000000000001</v>
      </c>
      <c r="X6753" s="3">
        <v>3</v>
      </c>
      <c r="Z6753" s="23">
        <v>4</v>
      </c>
      <c r="AB6753" s="18">
        <f t="shared" si="210"/>
        <v>2004</v>
      </c>
      <c r="AC6753" s="22">
        <f t="shared" si="211"/>
        <v>0.72266666666666668</v>
      </c>
    </row>
    <row r="6754" spans="1:29" ht="38.25">
      <c r="A6754" s="8" t="s">
        <v>2001</v>
      </c>
      <c r="B6754" s="17" t="s">
        <v>7747</v>
      </c>
      <c r="C6754" s="13">
        <v>38141</v>
      </c>
      <c r="D6754" s="13" t="s">
        <v>8465</v>
      </c>
      <c r="E6754" s="10" t="s">
        <v>1946</v>
      </c>
      <c r="F6754" s="10" t="s">
        <v>1511</v>
      </c>
      <c r="G6754" s="11" t="s">
        <v>1576</v>
      </c>
      <c r="H6754" s="2" t="s">
        <v>64</v>
      </c>
      <c r="L6754" s="18">
        <v>0</v>
      </c>
      <c r="Q6754" s="18">
        <v>0</v>
      </c>
      <c r="U6754" s="22">
        <v>0.64</v>
      </c>
      <c r="V6754" s="22">
        <f>2.93/5</f>
        <v>0.58600000000000008</v>
      </c>
      <c r="X6754" s="3">
        <v>3</v>
      </c>
      <c r="Z6754" s="23">
        <v>3</v>
      </c>
      <c r="AB6754" s="18">
        <f t="shared" si="210"/>
        <v>2004</v>
      </c>
      <c r="AC6754" s="22">
        <f t="shared" si="211"/>
        <v>0.60866666666666669</v>
      </c>
    </row>
    <row r="6755" spans="1:29" ht="30">
      <c r="A6755" s="8" t="s">
        <v>2038</v>
      </c>
      <c r="B6755" s="17" t="s">
        <v>7747</v>
      </c>
      <c r="C6755" s="13">
        <v>38141</v>
      </c>
      <c r="D6755" s="13" t="s">
        <v>8465</v>
      </c>
      <c r="E6755" s="10" t="s">
        <v>1946</v>
      </c>
      <c r="F6755" s="10" t="s">
        <v>1511</v>
      </c>
      <c r="G6755" s="11" t="s">
        <v>1975</v>
      </c>
      <c r="H6755" s="2" t="s">
        <v>56</v>
      </c>
      <c r="L6755" s="18">
        <v>0</v>
      </c>
      <c r="Q6755" s="18">
        <v>0</v>
      </c>
      <c r="U6755" s="22">
        <v>0.59</v>
      </c>
      <c r="V6755" s="22">
        <f>2.88/5</f>
        <v>0.57599999999999996</v>
      </c>
      <c r="X6755" s="3">
        <v>3</v>
      </c>
      <c r="Z6755" s="23">
        <v>3</v>
      </c>
      <c r="AB6755" s="18">
        <f t="shared" si="210"/>
        <v>2004</v>
      </c>
      <c r="AC6755" s="22">
        <f t="shared" si="211"/>
        <v>0.58866666666666667</v>
      </c>
    </row>
    <row r="6756" spans="1:29" ht="30">
      <c r="A6756" s="8" t="s">
        <v>1935</v>
      </c>
      <c r="B6756" s="17" t="s">
        <v>7747</v>
      </c>
      <c r="C6756" s="13">
        <v>38140</v>
      </c>
      <c r="D6756" s="13" t="s">
        <v>8465</v>
      </c>
      <c r="E6756" s="10" t="s">
        <v>86</v>
      </c>
      <c r="F6756" s="10" t="s">
        <v>87</v>
      </c>
      <c r="G6756" s="11" t="s">
        <v>85</v>
      </c>
      <c r="H6756" s="2" t="s">
        <v>80</v>
      </c>
      <c r="L6756" s="18">
        <v>1</v>
      </c>
      <c r="M6756" s="14" t="s">
        <v>10622</v>
      </c>
      <c r="N6756" s="13">
        <v>43527</v>
      </c>
      <c r="O6756" s="29">
        <v>17.989999999999998</v>
      </c>
      <c r="P6756" s="18" t="s">
        <v>14</v>
      </c>
      <c r="Q6756" s="18">
        <v>0</v>
      </c>
      <c r="U6756" s="22">
        <v>0.79</v>
      </c>
      <c r="V6756" s="22">
        <f>4.09/5</f>
        <v>0.81799999999999995</v>
      </c>
      <c r="X6756" s="3">
        <v>2</v>
      </c>
      <c r="Z6756" s="23">
        <v>10.07</v>
      </c>
      <c r="AB6756" s="18">
        <f t="shared" si="210"/>
        <v>2004</v>
      </c>
      <c r="AC6756" s="22">
        <f t="shared" si="211"/>
        <v>0.66933333333333334</v>
      </c>
    </row>
    <row r="6757" spans="1:29">
      <c r="A6757" s="8" t="s">
        <v>4558</v>
      </c>
      <c r="B6757" s="17" t="s">
        <v>7800</v>
      </c>
      <c r="C6757" s="13">
        <v>38140</v>
      </c>
      <c r="D6757" s="13" t="s">
        <v>8465</v>
      </c>
      <c r="E6757" s="10" t="s">
        <v>3905</v>
      </c>
      <c r="F6757" s="10" t="s">
        <v>4557</v>
      </c>
      <c r="G6757" s="11" t="s">
        <v>4558</v>
      </c>
      <c r="H6757" s="2" t="s">
        <v>21</v>
      </c>
      <c r="L6757" s="18">
        <v>1</v>
      </c>
      <c r="N6757" s="13">
        <v>41963</v>
      </c>
      <c r="P6757" s="18" t="s">
        <v>1107</v>
      </c>
      <c r="Q6757" s="18">
        <v>0</v>
      </c>
      <c r="V6757" s="22">
        <f>3.65/5</f>
        <v>0.73</v>
      </c>
      <c r="W6757" s="14" t="s">
        <v>7777</v>
      </c>
      <c r="X6757" s="3">
        <v>2</v>
      </c>
      <c r="Z6757" s="23">
        <v>1</v>
      </c>
      <c r="AB6757" s="18">
        <f t="shared" si="210"/>
        <v>2004</v>
      </c>
      <c r="AC6757" s="22">
        <f t="shared" si="211"/>
        <v>0.56499999999999995</v>
      </c>
    </row>
    <row r="6758" spans="1:29" ht="30">
      <c r="A6758" s="8" t="s">
        <v>13451</v>
      </c>
      <c r="B6758" s="17" t="s">
        <v>7740</v>
      </c>
      <c r="C6758" s="13">
        <v>38140</v>
      </c>
      <c r="D6758" s="13" t="s">
        <v>8465</v>
      </c>
      <c r="E6758" s="10" t="s">
        <v>5010</v>
      </c>
      <c r="F6758" s="10" t="s">
        <v>5010</v>
      </c>
      <c r="G6758" s="11" t="s">
        <v>13449</v>
      </c>
      <c r="H6758" s="2" t="s">
        <v>80</v>
      </c>
      <c r="L6758" s="18">
        <v>0</v>
      </c>
      <c r="Q6758" s="18">
        <v>0</v>
      </c>
      <c r="U6758" s="22">
        <v>0.67</v>
      </c>
      <c r="V6758" s="22">
        <f>3.41/5</f>
        <v>0.68200000000000005</v>
      </c>
      <c r="X6758" s="3">
        <v>2</v>
      </c>
      <c r="Z6758" s="23">
        <v>8</v>
      </c>
      <c r="AB6758" s="18">
        <f t="shared" si="210"/>
        <v>2004</v>
      </c>
      <c r="AC6758" s="22">
        <f t="shared" si="211"/>
        <v>0.58400000000000007</v>
      </c>
    </row>
    <row r="6759" spans="1:29">
      <c r="A6759" s="8" t="s">
        <v>12269</v>
      </c>
      <c r="B6759" s="17" t="s">
        <v>7758</v>
      </c>
      <c r="C6759" s="13">
        <v>38140</v>
      </c>
      <c r="D6759" s="13" t="s">
        <v>8465</v>
      </c>
      <c r="E6759" s="10" t="s">
        <v>12270</v>
      </c>
      <c r="F6759" s="10" t="s">
        <v>11260</v>
      </c>
      <c r="H6759" s="2" t="s">
        <v>1040</v>
      </c>
      <c r="L6759" s="18">
        <v>0</v>
      </c>
      <c r="Q6759" s="18">
        <v>0</v>
      </c>
      <c r="U6759" s="22">
        <v>0.51</v>
      </c>
      <c r="V6759" s="22">
        <f>2.92/5</f>
        <v>0.58399999999999996</v>
      </c>
      <c r="X6759" s="3">
        <v>2</v>
      </c>
      <c r="Z6759" s="23">
        <v>5.5</v>
      </c>
      <c r="AB6759" s="18">
        <f t="shared" si="210"/>
        <v>2004</v>
      </c>
      <c r="AC6759" s="22">
        <f t="shared" si="211"/>
        <v>0.49799999999999994</v>
      </c>
    </row>
    <row r="6760" spans="1:29" ht="30">
      <c r="A6760" s="8" t="s">
        <v>1213</v>
      </c>
      <c r="B6760" s="17" t="s">
        <v>7795</v>
      </c>
      <c r="C6760" s="13">
        <v>38138</v>
      </c>
      <c r="D6760" s="13" t="s">
        <v>8463</v>
      </c>
      <c r="E6760" s="10" t="s">
        <v>1216</v>
      </c>
      <c r="F6760" s="10" t="s">
        <v>1217</v>
      </c>
      <c r="H6760" s="2" t="s">
        <v>149</v>
      </c>
      <c r="K6760" s="18">
        <v>2</v>
      </c>
      <c r="L6760" s="18">
        <v>0</v>
      </c>
      <c r="Q6760" s="18">
        <v>0</v>
      </c>
      <c r="V6760" s="22">
        <f>3.84/5</f>
        <v>0.76800000000000002</v>
      </c>
      <c r="X6760" s="3">
        <v>3</v>
      </c>
      <c r="AB6760" s="18">
        <f t="shared" si="210"/>
        <v>2004</v>
      </c>
      <c r="AC6760" s="22">
        <f t="shared" si="211"/>
        <v>0.68399999999999994</v>
      </c>
    </row>
    <row r="6761" spans="1:29" ht="30">
      <c r="A6761" s="8" t="s">
        <v>10869</v>
      </c>
      <c r="B6761" s="17" t="s">
        <v>7758</v>
      </c>
      <c r="C6761" s="13">
        <v>38134</v>
      </c>
      <c r="D6761" s="13" t="s">
        <v>8463</v>
      </c>
      <c r="E6761" s="10" t="s">
        <v>2908</v>
      </c>
      <c r="F6761" s="10" t="s">
        <v>1219</v>
      </c>
      <c r="G6761" s="11" t="s">
        <v>14574</v>
      </c>
      <c r="H6761" s="2" t="s">
        <v>1220</v>
      </c>
      <c r="K6761" s="18">
        <v>0</v>
      </c>
      <c r="L6761" s="18">
        <v>0</v>
      </c>
      <c r="Q6761" s="18">
        <v>0</v>
      </c>
      <c r="V6761" s="22">
        <f>3.25/5</f>
        <v>0.65</v>
      </c>
      <c r="X6761" s="3">
        <v>2</v>
      </c>
      <c r="AB6761" s="18">
        <f t="shared" si="210"/>
        <v>2004</v>
      </c>
      <c r="AC6761" s="22">
        <f t="shared" si="211"/>
        <v>0.52500000000000002</v>
      </c>
    </row>
    <row r="6762" spans="1:29">
      <c r="A6762" s="8" t="s">
        <v>8663</v>
      </c>
      <c r="B6762" s="17" t="s">
        <v>7793</v>
      </c>
      <c r="C6762" s="13">
        <v>38132</v>
      </c>
      <c r="D6762" s="13" t="s">
        <v>8465</v>
      </c>
      <c r="E6762" s="10" t="s">
        <v>9636</v>
      </c>
      <c r="F6762" s="10" t="s">
        <v>1956</v>
      </c>
      <c r="H6762" s="2" t="s">
        <v>1050</v>
      </c>
      <c r="L6762" s="18">
        <v>0</v>
      </c>
      <c r="Q6762" s="18">
        <v>0</v>
      </c>
      <c r="V6762" s="22">
        <f>3.4/5</f>
        <v>0.67999999999999994</v>
      </c>
      <c r="X6762" s="3">
        <v>2</v>
      </c>
      <c r="Z6762" s="23">
        <v>6</v>
      </c>
      <c r="AB6762" s="18">
        <f t="shared" si="210"/>
        <v>2004</v>
      </c>
      <c r="AC6762" s="22">
        <f t="shared" si="211"/>
        <v>0.54</v>
      </c>
    </row>
    <row r="6763" spans="1:29">
      <c r="A6763" s="8" t="s">
        <v>5403</v>
      </c>
      <c r="B6763" s="17" t="s">
        <v>7800</v>
      </c>
      <c r="C6763" s="13">
        <v>38132</v>
      </c>
      <c r="D6763" s="13" t="s">
        <v>8465</v>
      </c>
      <c r="E6763" s="10" t="s">
        <v>1870</v>
      </c>
      <c r="F6763" s="10" t="s">
        <v>3176</v>
      </c>
      <c r="G6763" s="11" t="s">
        <v>5401</v>
      </c>
      <c r="H6763" s="2" t="s">
        <v>245</v>
      </c>
      <c r="L6763" s="18">
        <v>1</v>
      </c>
      <c r="N6763" s="13">
        <v>41500</v>
      </c>
      <c r="O6763" s="29">
        <v>1.58</v>
      </c>
      <c r="P6763" s="18" t="s">
        <v>1107</v>
      </c>
      <c r="Q6763" s="18">
        <v>0</v>
      </c>
      <c r="U6763" s="22">
        <v>0.84</v>
      </c>
      <c r="V6763" s="22">
        <f>3.95/5</f>
        <v>0.79</v>
      </c>
      <c r="W6763" s="14" t="s">
        <v>7777</v>
      </c>
      <c r="X6763" s="3">
        <v>3</v>
      </c>
      <c r="Z6763" s="23">
        <v>16.5</v>
      </c>
      <c r="AB6763" s="18">
        <f t="shared" si="210"/>
        <v>2004</v>
      </c>
      <c r="AC6763" s="22">
        <f t="shared" si="211"/>
        <v>0.74333333333333329</v>
      </c>
    </row>
    <row r="6764" spans="1:29" ht="30">
      <c r="A6764" s="8" t="s">
        <v>2029</v>
      </c>
      <c r="B6764" s="17" t="s">
        <v>7747</v>
      </c>
      <c r="C6764" s="13">
        <v>38132</v>
      </c>
      <c r="D6764" s="13" t="s">
        <v>8465</v>
      </c>
      <c r="E6764" s="10" t="s">
        <v>228</v>
      </c>
      <c r="F6764" s="10" t="s">
        <v>242</v>
      </c>
      <c r="G6764" s="11" t="s">
        <v>226</v>
      </c>
      <c r="H6764" s="2" t="s">
        <v>153</v>
      </c>
      <c r="L6764" s="18">
        <v>0</v>
      </c>
      <c r="Q6764" s="18">
        <v>0</v>
      </c>
      <c r="U6764" s="22">
        <v>0.78</v>
      </c>
      <c r="V6764" s="22">
        <f>4.01/5</f>
        <v>0.80199999999999994</v>
      </c>
      <c r="X6764" s="3">
        <v>3</v>
      </c>
      <c r="Z6764" s="23">
        <v>2.5</v>
      </c>
      <c r="AB6764" s="18">
        <f t="shared" si="210"/>
        <v>2004</v>
      </c>
      <c r="AC6764" s="22">
        <f t="shared" si="211"/>
        <v>0.72733333333333328</v>
      </c>
    </row>
    <row r="6765" spans="1:29">
      <c r="A6765" s="8" t="s">
        <v>9693</v>
      </c>
      <c r="B6765" s="17" t="s">
        <v>7758</v>
      </c>
      <c r="C6765" s="13">
        <v>38128</v>
      </c>
      <c r="D6765" s="13" t="s">
        <v>8465</v>
      </c>
      <c r="E6765" s="10" t="s">
        <v>73</v>
      </c>
      <c r="F6765" s="10" t="s">
        <v>3029</v>
      </c>
      <c r="G6765" s="11" t="s">
        <v>9197</v>
      </c>
      <c r="H6765" s="2" t="s">
        <v>80</v>
      </c>
      <c r="L6765" s="18">
        <v>0</v>
      </c>
      <c r="Q6765" s="18">
        <v>0</v>
      </c>
      <c r="U6765" s="22">
        <v>0.59</v>
      </c>
      <c r="V6765" s="22">
        <f>3.83/5</f>
        <v>0.76600000000000001</v>
      </c>
      <c r="X6765" s="3">
        <v>3</v>
      </c>
      <c r="Z6765" s="23">
        <v>6</v>
      </c>
      <c r="AB6765" s="18">
        <f t="shared" si="210"/>
        <v>2004</v>
      </c>
      <c r="AC6765" s="22">
        <f t="shared" si="211"/>
        <v>0.65200000000000002</v>
      </c>
    </row>
    <row r="6766" spans="1:29">
      <c r="A6766" s="8" t="s">
        <v>11815</v>
      </c>
      <c r="B6766" s="17" t="s">
        <v>7758</v>
      </c>
      <c r="C6766" s="13">
        <v>38128</v>
      </c>
      <c r="D6766" s="13" t="s">
        <v>8467</v>
      </c>
      <c r="E6766" s="10" t="s">
        <v>11816</v>
      </c>
      <c r="F6766" s="10" t="s">
        <v>7413</v>
      </c>
      <c r="H6766" s="2" t="s">
        <v>1377</v>
      </c>
      <c r="L6766" s="18">
        <v>0</v>
      </c>
      <c r="Q6766" s="18">
        <v>0</v>
      </c>
      <c r="V6766" s="22">
        <f>2.89/5</f>
        <v>0.57800000000000007</v>
      </c>
      <c r="X6766" s="3">
        <v>2</v>
      </c>
      <c r="Z6766" s="23">
        <v>5</v>
      </c>
      <c r="AB6766" s="18">
        <f t="shared" si="210"/>
        <v>2004</v>
      </c>
      <c r="AC6766" s="22">
        <f t="shared" si="211"/>
        <v>0.48900000000000005</v>
      </c>
    </row>
    <row r="6767" spans="1:29">
      <c r="A6767" s="8" t="s">
        <v>7144</v>
      </c>
      <c r="B6767" s="17" t="s">
        <v>7800</v>
      </c>
      <c r="C6767" s="13">
        <v>38124</v>
      </c>
      <c r="D6767" s="13" t="s">
        <v>8465</v>
      </c>
      <c r="E6767" s="10" t="s">
        <v>4070</v>
      </c>
      <c r="F6767" s="10" t="s">
        <v>7225</v>
      </c>
      <c r="G6767" s="11" t="s">
        <v>4069</v>
      </c>
      <c r="H6767" s="2" t="s">
        <v>147</v>
      </c>
      <c r="L6767" s="18">
        <v>1</v>
      </c>
      <c r="N6767" s="13">
        <v>45023</v>
      </c>
      <c r="O6767" s="29">
        <v>0</v>
      </c>
      <c r="P6767" s="18" t="s">
        <v>1107</v>
      </c>
      <c r="Q6767" s="18">
        <v>0</v>
      </c>
      <c r="V6767" s="22">
        <f>2.92/5</f>
        <v>0.58399999999999996</v>
      </c>
      <c r="W6767" s="14" t="s">
        <v>7777</v>
      </c>
      <c r="X6767" s="3">
        <v>3</v>
      </c>
      <c r="Z6767" s="23">
        <v>1</v>
      </c>
      <c r="AB6767" s="18">
        <f t="shared" si="210"/>
        <v>2004</v>
      </c>
      <c r="AC6767" s="22">
        <f t="shared" si="211"/>
        <v>0.59199999999999997</v>
      </c>
    </row>
    <row r="6768" spans="1:29" ht="30">
      <c r="A6768" s="8" t="s">
        <v>849</v>
      </c>
      <c r="B6768" s="17" t="s">
        <v>7740</v>
      </c>
      <c r="C6768" s="13">
        <v>38117</v>
      </c>
      <c r="D6768" s="13" t="s">
        <v>8465</v>
      </c>
      <c r="E6768" s="10" t="s">
        <v>86</v>
      </c>
      <c r="F6768" s="10" t="s">
        <v>1464</v>
      </c>
      <c r="G6768" s="11" t="s">
        <v>849</v>
      </c>
      <c r="H6768" s="2" t="s">
        <v>171</v>
      </c>
      <c r="L6768" s="18">
        <v>0</v>
      </c>
      <c r="Q6768" s="18">
        <v>0</v>
      </c>
      <c r="U6768" s="22">
        <v>0.68</v>
      </c>
      <c r="V6768" s="22">
        <f>4.02/5</f>
        <v>0.80399999999999994</v>
      </c>
      <c r="X6768" s="3">
        <v>3</v>
      </c>
      <c r="Z6768" s="23">
        <v>9</v>
      </c>
      <c r="AB6768" s="18">
        <f t="shared" si="210"/>
        <v>2004</v>
      </c>
      <c r="AC6768" s="22">
        <f t="shared" si="211"/>
        <v>0.69466666666666665</v>
      </c>
    </row>
    <row r="6769" spans="1:29">
      <c r="A6769" s="8" t="s">
        <v>3990</v>
      </c>
      <c r="B6769" s="17" t="s">
        <v>7800</v>
      </c>
      <c r="C6769" s="13">
        <v>38117</v>
      </c>
      <c r="D6769" s="13" t="s">
        <v>8465</v>
      </c>
      <c r="E6769" s="10" t="s">
        <v>3991</v>
      </c>
      <c r="F6769" s="10" t="s">
        <v>3992</v>
      </c>
      <c r="H6769" s="2" t="s">
        <v>64</v>
      </c>
      <c r="L6769" s="18">
        <v>1</v>
      </c>
      <c r="N6769" s="13">
        <v>40534</v>
      </c>
      <c r="O6769" s="29">
        <v>0.99</v>
      </c>
      <c r="P6769" s="18" t="s">
        <v>1107</v>
      </c>
      <c r="Q6769" s="18">
        <v>0</v>
      </c>
      <c r="U6769" s="22">
        <v>0.82</v>
      </c>
      <c r="V6769" s="22">
        <f>3.04/5</f>
        <v>0.60799999999999998</v>
      </c>
      <c r="W6769" s="14" t="s">
        <v>7777</v>
      </c>
      <c r="X6769" s="3">
        <v>2</v>
      </c>
      <c r="Z6769" s="23">
        <v>4.5</v>
      </c>
      <c r="AB6769" s="18">
        <f t="shared" si="210"/>
        <v>2004</v>
      </c>
      <c r="AC6769" s="22">
        <f t="shared" si="211"/>
        <v>0.60933333333333328</v>
      </c>
    </row>
    <row r="6770" spans="1:29" ht="30">
      <c r="A6770" s="8" t="s">
        <v>14653</v>
      </c>
      <c r="B6770" s="17" t="s">
        <v>7740</v>
      </c>
      <c r="C6770" s="13">
        <v>38114</v>
      </c>
      <c r="D6770" s="13" t="s">
        <v>8465</v>
      </c>
      <c r="E6770" s="10" t="s">
        <v>3014</v>
      </c>
      <c r="F6770" s="10" t="s">
        <v>14654</v>
      </c>
      <c r="H6770" s="2" t="s">
        <v>3937</v>
      </c>
      <c r="L6770" s="18">
        <v>0</v>
      </c>
      <c r="Q6770" s="18">
        <v>0</v>
      </c>
      <c r="U6770" s="22">
        <v>0.63</v>
      </c>
      <c r="V6770" s="22">
        <f>3.6/5</f>
        <v>0.72</v>
      </c>
      <c r="X6770" s="3">
        <v>2</v>
      </c>
      <c r="AB6770" s="18">
        <f t="shared" si="210"/>
        <v>2004</v>
      </c>
      <c r="AC6770" s="22">
        <f t="shared" si="211"/>
        <v>0.58333333333333337</v>
      </c>
    </row>
    <row r="6771" spans="1:29">
      <c r="A6771" s="8" t="s">
        <v>2465</v>
      </c>
      <c r="B6771" s="17" t="s">
        <v>7758</v>
      </c>
      <c r="C6771" s="13">
        <v>38113</v>
      </c>
      <c r="D6771" s="13" t="s">
        <v>8465</v>
      </c>
      <c r="E6771" s="10" t="s">
        <v>68</v>
      </c>
      <c r="F6771" s="10" t="s">
        <v>1471</v>
      </c>
      <c r="G6771" s="11" t="s">
        <v>2465</v>
      </c>
      <c r="H6771" s="2" t="s">
        <v>1059</v>
      </c>
      <c r="L6771" s="18">
        <v>0</v>
      </c>
      <c r="Q6771" s="18">
        <v>0</v>
      </c>
      <c r="U6771" s="22">
        <v>0.73360000000000003</v>
      </c>
      <c r="V6771" s="22">
        <f>3.83/5</f>
        <v>0.76600000000000001</v>
      </c>
      <c r="X6771" s="3">
        <v>2</v>
      </c>
      <c r="Z6771" s="23">
        <v>15</v>
      </c>
      <c r="AB6771" s="18">
        <f t="shared" si="210"/>
        <v>2004</v>
      </c>
      <c r="AC6771" s="22">
        <f t="shared" si="211"/>
        <v>0.63319999999999999</v>
      </c>
    </row>
    <row r="6772" spans="1:29">
      <c r="A6772" s="8" t="s">
        <v>5830</v>
      </c>
      <c r="B6772" s="17" t="s">
        <v>7758</v>
      </c>
      <c r="C6772" s="13">
        <v>38111</v>
      </c>
      <c r="D6772" s="13" t="s">
        <v>8465</v>
      </c>
      <c r="E6772" s="10" t="s">
        <v>1618</v>
      </c>
      <c r="F6772" s="10" t="s">
        <v>5883</v>
      </c>
      <c r="G6772" s="11" t="s">
        <v>5884</v>
      </c>
      <c r="H6772" s="2" t="s">
        <v>1168</v>
      </c>
      <c r="L6772" s="18">
        <v>0</v>
      </c>
      <c r="Q6772" s="18">
        <v>0</v>
      </c>
      <c r="U6772" s="22">
        <v>0.75</v>
      </c>
      <c r="V6772" s="22">
        <f>3.69/5</f>
        <v>0.73799999999999999</v>
      </c>
      <c r="X6772" s="3">
        <v>4</v>
      </c>
      <c r="Z6772" s="23">
        <v>7</v>
      </c>
      <c r="AB6772" s="18">
        <f t="shared" si="210"/>
        <v>2004</v>
      </c>
      <c r="AC6772" s="22">
        <f t="shared" si="211"/>
        <v>0.76266666666666671</v>
      </c>
    </row>
    <row r="6773" spans="1:29">
      <c r="A6773" s="8" t="s">
        <v>5754</v>
      </c>
      <c r="B6773" s="17" t="s">
        <v>7758</v>
      </c>
      <c r="C6773" s="13">
        <v>38111</v>
      </c>
      <c r="D6773" s="13" t="s">
        <v>8465</v>
      </c>
      <c r="E6773" s="10" t="s">
        <v>2327</v>
      </c>
      <c r="F6773" s="10" t="s">
        <v>2285</v>
      </c>
      <c r="H6773" s="2" t="s">
        <v>75</v>
      </c>
      <c r="L6773" s="18">
        <v>0</v>
      </c>
      <c r="Q6773" s="18">
        <v>0</v>
      </c>
      <c r="U6773" s="22">
        <v>0.82</v>
      </c>
      <c r="V6773" s="22">
        <f>3.82/5</f>
        <v>0.76400000000000001</v>
      </c>
      <c r="X6773" s="3">
        <v>3</v>
      </c>
      <c r="Z6773" s="23">
        <v>37.5</v>
      </c>
      <c r="AB6773" s="18">
        <f t="shared" si="210"/>
        <v>2004</v>
      </c>
      <c r="AC6773" s="22">
        <f t="shared" si="211"/>
        <v>0.72800000000000009</v>
      </c>
    </row>
    <row r="6774" spans="1:29" ht="30">
      <c r="A6774" s="8" t="s">
        <v>6079</v>
      </c>
      <c r="B6774" s="17" t="s">
        <v>7758</v>
      </c>
      <c r="C6774" s="13">
        <v>38111</v>
      </c>
      <c r="D6774" s="13" t="s">
        <v>8465</v>
      </c>
      <c r="E6774" s="10" t="s">
        <v>2908</v>
      </c>
      <c r="F6774" s="10" t="s">
        <v>3028</v>
      </c>
      <c r="G6774" s="11" t="s">
        <v>2996</v>
      </c>
      <c r="H6774" s="2" t="s">
        <v>1168</v>
      </c>
      <c r="L6774" s="18">
        <v>0</v>
      </c>
      <c r="Q6774" s="18">
        <v>0</v>
      </c>
      <c r="U6774" s="22">
        <v>0.65</v>
      </c>
      <c r="V6774" s="22">
        <f>3.46/5</f>
        <v>0.69199999999999995</v>
      </c>
      <c r="X6774" s="3">
        <v>2</v>
      </c>
      <c r="Z6774" s="23">
        <v>11.5</v>
      </c>
      <c r="AB6774" s="18">
        <f t="shared" si="210"/>
        <v>2004</v>
      </c>
      <c r="AC6774" s="22">
        <f t="shared" si="211"/>
        <v>0.58066666666666666</v>
      </c>
    </row>
    <row r="6775" spans="1:29">
      <c r="A6775" s="8" t="s">
        <v>3296</v>
      </c>
      <c r="B6775" s="17" t="s">
        <v>7800</v>
      </c>
      <c r="C6775" s="13">
        <v>38105</v>
      </c>
      <c r="D6775" s="13" t="s">
        <v>8465</v>
      </c>
      <c r="E6775" s="10" t="s">
        <v>3297</v>
      </c>
      <c r="F6775" s="10" t="s">
        <v>3298</v>
      </c>
      <c r="G6775" s="11" t="s">
        <v>3299</v>
      </c>
      <c r="H6775" s="2" t="s">
        <v>171</v>
      </c>
      <c r="L6775" s="18">
        <v>1</v>
      </c>
      <c r="N6775" s="13">
        <v>43285</v>
      </c>
      <c r="O6775" s="29">
        <v>0.59</v>
      </c>
      <c r="P6775" s="18" t="s">
        <v>1107</v>
      </c>
      <c r="Q6775" s="18">
        <v>0</v>
      </c>
      <c r="U6775" s="22">
        <v>0.72</v>
      </c>
      <c r="V6775" s="22">
        <f>3.25/5</f>
        <v>0.65</v>
      </c>
      <c r="W6775" s="14" t="s">
        <v>7777</v>
      </c>
      <c r="X6775" s="3">
        <v>3</v>
      </c>
      <c r="Z6775" s="23">
        <v>17.5</v>
      </c>
      <c r="AB6775" s="18">
        <f t="shared" si="210"/>
        <v>2004</v>
      </c>
      <c r="AC6775" s="22">
        <f t="shared" si="211"/>
        <v>0.65666666666666673</v>
      </c>
    </row>
    <row r="6776" spans="1:29" ht="25.5">
      <c r="A6776" s="8" t="s">
        <v>8162</v>
      </c>
      <c r="B6776" s="17" t="s">
        <v>7758</v>
      </c>
      <c r="C6776" s="13">
        <v>38104</v>
      </c>
      <c r="D6776" s="13" t="s">
        <v>8465</v>
      </c>
      <c r="E6776" s="10" t="s">
        <v>73</v>
      </c>
      <c r="F6776" s="10" t="s">
        <v>73</v>
      </c>
      <c r="G6776" s="11" t="s">
        <v>1967</v>
      </c>
      <c r="H6776" s="2" t="s">
        <v>1059</v>
      </c>
      <c r="L6776" s="18">
        <v>0</v>
      </c>
      <c r="Q6776" s="18">
        <v>0</v>
      </c>
      <c r="U6776" s="22">
        <v>0.85740000000000005</v>
      </c>
      <c r="V6776" s="22">
        <f>4.12/5</f>
        <v>0.82400000000000007</v>
      </c>
      <c r="X6776" s="3">
        <v>3</v>
      </c>
      <c r="Z6776" s="23">
        <v>12</v>
      </c>
      <c r="AB6776" s="18">
        <f t="shared" si="210"/>
        <v>2004</v>
      </c>
      <c r="AC6776" s="22">
        <f t="shared" si="211"/>
        <v>0.76046666666666674</v>
      </c>
    </row>
    <row r="6777" spans="1:29" ht="30">
      <c r="A6777" s="8" t="s">
        <v>1964</v>
      </c>
      <c r="B6777" s="17" t="s">
        <v>7747</v>
      </c>
      <c r="C6777" s="13">
        <v>38101</v>
      </c>
      <c r="D6777" s="13" t="s">
        <v>8465</v>
      </c>
      <c r="E6777" s="10" t="s">
        <v>86</v>
      </c>
      <c r="F6777" s="10" t="s">
        <v>1506</v>
      </c>
      <c r="G6777" s="11" t="s">
        <v>1964</v>
      </c>
      <c r="H6777" s="2" t="s">
        <v>78</v>
      </c>
      <c r="L6777" s="18">
        <v>0</v>
      </c>
      <c r="Q6777" s="18">
        <v>0</v>
      </c>
      <c r="U6777" s="22">
        <v>0.79</v>
      </c>
      <c r="V6777" s="22">
        <f>3.69/5</f>
        <v>0.73799999999999999</v>
      </c>
      <c r="X6777" s="3">
        <v>3</v>
      </c>
      <c r="Z6777" s="23">
        <v>5</v>
      </c>
      <c r="AB6777" s="18">
        <f t="shared" si="210"/>
        <v>2004</v>
      </c>
      <c r="AC6777" s="22">
        <f t="shared" si="211"/>
        <v>0.70933333333333337</v>
      </c>
    </row>
    <row r="6778" spans="1:29">
      <c r="A6778" s="8" t="s">
        <v>5840</v>
      </c>
      <c r="B6778" s="17" t="s">
        <v>7758</v>
      </c>
      <c r="C6778" s="13">
        <v>38097</v>
      </c>
      <c r="D6778" s="13" t="s">
        <v>8465</v>
      </c>
      <c r="E6778" s="10" t="s">
        <v>1290</v>
      </c>
      <c r="F6778" s="10" t="s">
        <v>5867</v>
      </c>
      <c r="G6778" s="11" t="s">
        <v>5840</v>
      </c>
      <c r="H6778" s="2" t="s">
        <v>1061</v>
      </c>
      <c r="L6778" s="18">
        <v>0</v>
      </c>
      <c r="Q6778" s="18">
        <v>0</v>
      </c>
      <c r="U6778" s="22">
        <v>0.71</v>
      </c>
      <c r="V6778" s="22">
        <f>3.62/5</f>
        <v>0.72399999999999998</v>
      </c>
      <c r="X6778" s="3">
        <v>4</v>
      </c>
      <c r="Z6778" s="23">
        <v>15.5</v>
      </c>
      <c r="AB6778" s="18">
        <f t="shared" si="210"/>
        <v>2004</v>
      </c>
      <c r="AC6778" s="22">
        <f t="shared" si="211"/>
        <v>0.7446666666666667</v>
      </c>
    </row>
    <row r="6779" spans="1:29" ht="30">
      <c r="A6779" s="8" t="s">
        <v>2033</v>
      </c>
      <c r="B6779" s="17" t="s">
        <v>7747</v>
      </c>
      <c r="C6779" s="13">
        <v>38097</v>
      </c>
      <c r="D6779" s="13" t="s">
        <v>8465</v>
      </c>
      <c r="E6779" s="10" t="s">
        <v>228</v>
      </c>
      <c r="F6779" s="10" t="s">
        <v>1974</v>
      </c>
      <c r="G6779" s="11" t="s">
        <v>1661</v>
      </c>
      <c r="H6779" s="2" t="s">
        <v>171</v>
      </c>
      <c r="L6779" s="18">
        <v>0</v>
      </c>
      <c r="Q6779" s="18">
        <v>0</v>
      </c>
      <c r="U6779" s="22">
        <v>0.79</v>
      </c>
      <c r="V6779" s="22">
        <f>3.86/5</f>
        <v>0.77200000000000002</v>
      </c>
      <c r="X6779" s="3">
        <v>3</v>
      </c>
      <c r="Z6779" s="23">
        <v>8</v>
      </c>
      <c r="AB6779" s="18">
        <f t="shared" si="210"/>
        <v>2004</v>
      </c>
      <c r="AC6779" s="22">
        <f t="shared" si="211"/>
        <v>0.72066666666666668</v>
      </c>
    </row>
    <row r="6780" spans="1:29">
      <c r="A6780" s="8" t="s">
        <v>4123</v>
      </c>
      <c r="B6780" s="17" t="s">
        <v>7800</v>
      </c>
      <c r="C6780" s="13">
        <v>38097</v>
      </c>
      <c r="D6780" s="13" t="s">
        <v>8465</v>
      </c>
      <c r="E6780" s="10" t="s">
        <v>1870</v>
      </c>
      <c r="F6780" s="10" t="s">
        <v>4118</v>
      </c>
      <c r="G6780" s="11" t="s">
        <v>4117</v>
      </c>
      <c r="H6780" s="2" t="s">
        <v>245</v>
      </c>
      <c r="L6780" s="18">
        <v>1</v>
      </c>
      <c r="N6780" s="13">
        <v>41849</v>
      </c>
      <c r="P6780" s="18" t="s">
        <v>1107</v>
      </c>
      <c r="Q6780" s="18">
        <v>0</v>
      </c>
      <c r="U6780" s="22">
        <v>0.75</v>
      </c>
      <c r="V6780" s="22">
        <f>3.77/5</f>
        <v>0.754</v>
      </c>
      <c r="W6780" s="14" t="s">
        <v>7777</v>
      </c>
      <c r="X6780" s="3">
        <v>3</v>
      </c>
      <c r="Z6780" s="23">
        <v>10</v>
      </c>
      <c r="AB6780" s="18">
        <f t="shared" si="210"/>
        <v>2004</v>
      </c>
      <c r="AC6780" s="22">
        <f t="shared" si="211"/>
        <v>0.70133333333333336</v>
      </c>
    </row>
    <row r="6781" spans="1:29" ht="25.5">
      <c r="A6781" s="8" t="s">
        <v>4643</v>
      </c>
      <c r="B6781" s="17" t="s">
        <v>7800</v>
      </c>
      <c r="C6781" s="13">
        <v>38089</v>
      </c>
      <c r="D6781" s="13" t="s">
        <v>8465</v>
      </c>
      <c r="E6781" s="10" t="s">
        <v>1583</v>
      </c>
      <c r="F6781" s="10" t="s">
        <v>3384</v>
      </c>
      <c r="G6781" s="11" t="s">
        <v>4644</v>
      </c>
      <c r="H6781" s="2" t="s">
        <v>1050</v>
      </c>
      <c r="L6781" s="18">
        <v>1</v>
      </c>
      <c r="N6781" s="13">
        <v>41786</v>
      </c>
      <c r="O6781" s="29">
        <v>1.99</v>
      </c>
      <c r="P6781" s="18" t="s">
        <v>1107</v>
      </c>
      <c r="Q6781" s="18">
        <v>0</v>
      </c>
      <c r="U6781" s="22">
        <v>0.81</v>
      </c>
      <c r="V6781" s="22">
        <f>3.77/5</f>
        <v>0.754</v>
      </c>
      <c r="W6781" s="14" t="s">
        <v>7777</v>
      </c>
      <c r="X6781" s="3">
        <v>3</v>
      </c>
      <c r="Z6781" s="23">
        <v>10</v>
      </c>
      <c r="AB6781" s="18">
        <f t="shared" si="210"/>
        <v>2004</v>
      </c>
      <c r="AC6781" s="22">
        <f t="shared" si="211"/>
        <v>0.72133333333333338</v>
      </c>
    </row>
    <row r="6782" spans="1:29" ht="30">
      <c r="A6782" s="8" t="s">
        <v>15425</v>
      </c>
      <c r="B6782" s="17" t="s">
        <v>7747</v>
      </c>
      <c r="C6782" s="13">
        <v>38089</v>
      </c>
      <c r="D6782" s="13" t="s">
        <v>8465</v>
      </c>
      <c r="E6782" s="10" t="s">
        <v>14664</v>
      </c>
      <c r="F6782" s="10" t="s">
        <v>1552</v>
      </c>
      <c r="G6782" s="11" t="s">
        <v>4943</v>
      </c>
      <c r="H6782" s="2" t="s">
        <v>1050</v>
      </c>
      <c r="L6782" s="18">
        <v>0</v>
      </c>
      <c r="Q6782" s="18">
        <v>0</v>
      </c>
      <c r="U6782" s="22">
        <v>0.51</v>
      </c>
      <c r="V6782" s="22">
        <f>2.05/5</f>
        <v>0.41</v>
      </c>
      <c r="X6782" s="3">
        <v>2</v>
      </c>
      <c r="Z6782" s="23">
        <v>2.5</v>
      </c>
      <c r="AB6782" s="18">
        <f t="shared" si="210"/>
        <v>2004</v>
      </c>
      <c r="AC6782" s="22">
        <f t="shared" si="211"/>
        <v>0.43999999999999995</v>
      </c>
    </row>
    <row r="6783" spans="1:29" ht="38.25">
      <c r="A6783" s="8" t="s">
        <v>14696</v>
      </c>
      <c r="B6783" s="17" t="s">
        <v>7758</v>
      </c>
      <c r="C6783" s="13">
        <v>38088</v>
      </c>
      <c r="D6783" s="13" t="s">
        <v>8465</v>
      </c>
      <c r="E6783" s="10" t="s">
        <v>157</v>
      </c>
      <c r="F6783" s="10" t="s">
        <v>470</v>
      </c>
      <c r="G6783" s="11" t="s">
        <v>13155</v>
      </c>
      <c r="H6783" s="2" t="s">
        <v>245</v>
      </c>
      <c r="L6783" s="18">
        <v>0</v>
      </c>
      <c r="Q6783" s="18">
        <v>0</v>
      </c>
      <c r="U6783" s="22">
        <v>0.67</v>
      </c>
      <c r="V6783" s="22">
        <f>3.47/5</f>
        <v>0.69400000000000006</v>
      </c>
      <c r="X6783" s="3">
        <v>2</v>
      </c>
      <c r="Z6783" s="23">
        <v>15.5</v>
      </c>
      <c r="AB6783" s="18">
        <f t="shared" si="210"/>
        <v>2004</v>
      </c>
      <c r="AC6783" s="22">
        <f t="shared" si="211"/>
        <v>0.58800000000000008</v>
      </c>
    </row>
    <row r="6784" spans="1:29">
      <c r="A6784" s="8" t="s">
        <v>5227</v>
      </c>
      <c r="B6784" s="17" t="s">
        <v>7800</v>
      </c>
      <c r="C6784" s="13">
        <v>38076</v>
      </c>
      <c r="D6784" s="13" t="s">
        <v>8465</v>
      </c>
      <c r="E6784" s="10" t="s">
        <v>5228</v>
      </c>
      <c r="F6784" s="10" t="s">
        <v>5228</v>
      </c>
      <c r="G6784" s="11" t="s">
        <v>5226</v>
      </c>
      <c r="H6784" s="2" t="s">
        <v>67</v>
      </c>
      <c r="L6784" s="18">
        <v>1</v>
      </c>
      <c r="N6784" s="13">
        <v>41110</v>
      </c>
      <c r="P6784" s="18" t="s">
        <v>1107</v>
      </c>
      <c r="Q6784" s="18">
        <v>0</v>
      </c>
      <c r="U6784" s="22">
        <v>0.79</v>
      </c>
      <c r="V6784" s="22">
        <f>3.84/5</f>
        <v>0.76800000000000002</v>
      </c>
      <c r="W6784" s="14" t="s">
        <v>7777</v>
      </c>
      <c r="X6784" s="3">
        <v>3</v>
      </c>
      <c r="Z6784" s="23">
        <v>7.5</v>
      </c>
      <c r="AB6784" s="18">
        <f t="shared" si="210"/>
        <v>2004</v>
      </c>
      <c r="AC6784" s="22">
        <f t="shared" si="211"/>
        <v>0.71933333333333327</v>
      </c>
    </row>
    <row r="6785" spans="1:29">
      <c r="A6785" s="8" t="s">
        <v>9319</v>
      </c>
      <c r="B6785" s="17" t="s">
        <v>7758</v>
      </c>
      <c r="C6785" s="13">
        <v>38076</v>
      </c>
      <c r="D6785" s="13" t="s">
        <v>8465</v>
      </c>
      <c r="E6785" s="10" t="s">
        <v>68</v>
      </c>
      <c r="F6785" s="10" t="s">
        <v>68</v>
      </c>
      <c r="G6785" s="11" t="s">
        <v>9318</v>
      </c>
      <c r="H6785" s="2" t="s">
        <v>1059</v>
      </c>
      <c r="L6785" s="18">
        <v>0</v>
      </c>
      <c r="Q6785" s="18">
        <v>0</v>
      </c>
      <c r="U6785" s="22">
        <v>0.75</v>
      </c>
      <c r="V6785" s="22">
        <f>3.64/5</f>
        <v>0.72799999999999998</v>
      </c>
      <c r="X6785" s="3">
        <v>3</v>
      </c>
      <c r="Z6785" s="23">
        <v>11</v>
      </c>
      <c r="AB6785" s="18">
        <f t="shared" ref="AB6785:AB6848" si="212">IFERROR(YEAR(C6785), "Early Access")</f>
        <v>2004</v>
      </c>
      <c r="AC6785" s="22">
        <f t="shared" ref="AC6785:AC6848" si="213">AVERAGE(T6785, U6785, V6785, IF(ISBLANK(X6785), X6785, X6785/5))</f>
        <v>0.69266666666666665</v>
      </c>
    </row>
    <row r="6786" spans="1:29" ht="38.25">
      <c r="A6786" s="8" t="s">
        <v>15847</v>
      </c>
      <c r="B6786" s="17" t="s">
        <v>7747</v>
      </c>
      <c r="C6786" s="13">
        <v>38072</v>
      </c>
      <c r="D6786" s="13" t="s">
        <v>8463</v>
      </c>
      <c r="E6786" s="10" t="s">
        <v>157</v>
      </c>
      <c r="F6786" s="10" t="s">
        <v>2350</v>
      </c>
      <c r="G6786" s="11" t="s">
        <v>9091</v>
      </c>
      <c r="H6786" s="2" t="s">
        <v>149</v>
      </c>
      <c r="K6786" s="18">
        <v>2</v>
      </c>
      <c r="L6786" s="18">
        <v>0</v>
      </c>
      <c r="Q6786" s="18">
        <v>0</v>
      </c>
      <c r="V6786" s="22">
        <f>3.79/5</f>
        <v>0.75800000000000001</v>
      </c>
      <c r="X6786" s="3">
        <v>3</v>
      </c>
      <c r="Z6786" s="23">
        <v>14</v>
      </c>
      <c r="AB6786" s="18">
        <f t="shared" si="212"/>
        <v>2004</v>
      </c>
      <c r="AC6786" s="22">
        <f t="shared" si="213"/>
        <v>0.67900000000000005</v>
      </c>
    </row>
    <row r="6787" spans="1:29">
      <c r="A6787" s="8" t="s">
        <v>9212</v>
      </c>
      <c r="B6787" s="17" t="s">
        <v>7758</v>
      </c>
      <c r="C6787" s="13">
        <v>38072</v>
      </c>
      <c r="D6787" s="13" t="s">
        <v>8467</v>
      </c>
      <c r="E6787" s="10" t="s">
        <v>73</v>
      </c>
      <c r="F6787" s="10" t="s">
        <v>1525</v>
      </c>
      <c r="H6787" s="2" t="s">
        <v>67</v>
      </c>
      <c r="L6787" s="18">
        <v>0</v>
      </c>
      <c r="Q6787" s="18">
        <v>0</v>
      </c>
      <c r="V6787" s="22">
        <f>3.54/5</f>
        <v>0.70799999999999996</v>
      </c>
      <c r="X6787" s="3">
        <v>2</v>
      </c>
      <c r="Z6787" s="23">
        <v>12.5</v>
      </c>
      <c r="AB6787" s="18">
        <f t="shared" si="212"/>
        <v>2004</v>
      </c>
      <c r="AC6787" s="22">
        <f t="shared" si="213"/>
        <v>0.55400000000000005</v>
      </c>
    </row>
    <row r="6788" spans="1:29">
      <c r="A6788" s="8" t="s">
        <v>4894</v>
      </c>
      <c r="B6788" s="17" t="s">
        <v>7800</v>
      </c>
      <c r="C6788" s="13">
        <v>38071</v>
      </c>
      <c r="D6788" s="13" t="s">
        <v>8465</v>
      </c>
      <c r="E6788" s="10" t="s">
        <v>4050</v>
      </c>
      <c r="F6788" s="10" t="s">
        <v>4895</v>
      </c>
      <c r="G6788" s="11" t="s">
        <v>4894</v>
      </c>
      <c r="H6788" s="2" t="s">
        <v>171</v>
      </c>
      <c r="L6788" s="18">
        <v>1</v>
      </c>
      <c r="N6788" s="13">
        <v>43285</v>
      </c>
      <c r="O6788" s="29">
        <v>1.99</v>
      </c>
      <c r="P6788" s="18" t="s">
        <v>1107</v>
      </c>
      <c r="Q6788" s="18">
        <v>0</v>
      </c>
      <c r="U6788" s="22">
        <v>0.76</v>
      </c>
      <c r="V6788" s="22">
        <f>3.6/5</f>
        <v>0.72</v>
      </c>
      <c r="W6788" s="14" t="s">
        <v>7777</v>
      </c>
      <c r="X6788" s="3">
        <v>3</v>
      </c>
      <c r="Z6788" s="23">
        <v>26</v>
      </c>
      <c r="AB6788" s="18">
        <f t="shared" si="212"/>
        <v>2004</v>
      </c>
      <c r="AC6788" s="22">
        <f t="shared" si="213"/>
        <v>0.69333333333333336</v>
      </c>
    </row>
    <row r="6789" spans="1:29" ht="25.5">
      <c r="A6789" s="8" t="s">
        <v>8163</v>
      </c>
      <c r="B6789" s="17" t="s">
        <v>7758</v>
      </c>
      <c r="C6789" s="13">
        <v>38070</v>
      </c>
      <c r="D6789" s="13" t="s">
        <v>8465</v>
      </c>
      <c r="E6789" s="10" t="s">
        <v>73</v>
      </c>
      <c r="F6789" s="10" t="s">
        <v>73</v>
      </c>
      <c r="G6789" s="11" t="s">
        <v>1967</v>
      </c>
      <c r="H6789" s="2" t="s">
        <v>459</v>
      </c>
      <c r="L6789" s="18">
        <v>0</v>
      </c>
      <c r="Q6789" s="18">
        <v>0</v>
      </c>
      <c r="U6789" s="22">
        <v>0.64559999999999995</v>
      </c>
      <c r="V6789" s="22">
        <f>3.48/5</f>
        <v>0.69599999999999995</v>
      </c>
      <c r="X6789" s="3">
        <v>3</v>
      </c>
      <c r="Z6789" s="23">
        <v>2</v>
      </c>
      <c r="AB6789" s="18">
        <f t="shared" si="212"/>
        <v>2004</v>
      </c>
      <c r="AC6789" s="22">
        <f t="shared" si="213"/>
        <v>0.64719999999999989</v>
      </c>
    </row>
    <row r="6790" spans="1:29" ht="38.25">
      <c r="A6790" s="8" t="s">
        <v>7458</v>
      </c>
      <c r="B6790" s="17" t="s">
        <v>7747</v>
      </c>
      <c r="C6790" s="13">
        <v>38070</v>
      </c>
      <c r="D6790" s="13" t="s">
        <v>8465</v>
      </c>
      <c r="E6790" s="10" t="s">
        <v>1047</v>
      </c>
      <c r="F6790" s="10" t="s">
        <v>1047</v>
      </c>
      <c r="G6790" s="11" t="s">
        <v>5430</v>
      </c>
      <c r="H6790" s="2" t="s">
        <v>245</v>
      </c>
      <c r="L6790" s="18">
        <v>0</v>
      </c>
      <c r="Q6790" s="18">
        <v>0</v>
      </c>
      <c r="U6790" s="22">
        <v>0.67</v>
      </c>
      <c r="V6790" s="22">
        <f>3.65/5</f>
        <v>0.73</v>
      </c>
      <c r="X6790" s="3">
        <v>2</v>
      </c>
      <c r="Z6790" s="23">
        <v>10.5</v>
      </c>
      <c r="AB6790" s="18">
        <f t="shared" si="212"/>
        <v>2004</v>
      </c>
      <c r="AC6790" s="22">
        <f t="shared" si="213"/>
        <v>0.6</v>
      </c>
    </row>
    <row r="6791" spans="1:29" ht="25.5">
      <c r="A6791" s="8" t="s">
        <v>7443</v>
      </c>
      <c r="B6791" s="17" t="s">
        <v>7758</v>
      </c>
      <c r="C6791" s="13">
        <v>38070</v>
      </c>
      <c r="D6791" s="13" t="s">
        <v>8465</v>
      </c>
      <c r="E6791" s="10" t="s">
        <v>1047</v>
      </c>
      <c r="F6791" s="10" t="s">
        <v>7444</v>
      </c>
      <c r="G6791" s="11" t="s">
        <v>6608</v>
      </c>
      <c r="H6791" s="2" t="s">
        <v>1050</v>
      </c>
      <c r="L6791" s="18">
        <v>0</v>
      </c>
      <c r="Q6791" s="18">
        <v>0</v>
      </c>
      <c r="U6791" s="22">
        <v>0.73</v>
      </c>
      <c r="V6791" s="22">
        <f>3.49/5</f>
        <v>0.69800000000000006</v>
      </c>
      <c r="X6791" s="3">
        <v>2</v>
      </c>
      <c r="Z6791" s="23">
        <v>6.5</v>
      </c>
      <c r="AB6791" s="18">
        <f t="shared" si="212"/>
        <v>2004</v>
      </c>
      <c r="AC6791" s="22">
        <f t="shared" si="213"/>
        <v>0.60933333333333328</v>
      </c>
    </row>
    <row r="6792" spans="1:29">
      <c r="A6792" s="8" t="s">
        <v>1049</v>
      </c>
      <c r="B6792" s="17" t="s">
        <v>7800</v>
      </c>
      <c r="C6792" s="13">
        <v>38069</v>
      </c>
      <c r="D6792" s="13" t="s">
        <v>8465</v>
      </c>
      <c r="E6792" s="10" t="s">
        <v>1047</v>
      </c>
      <c r="F6792" s="10" t="s">
        <v>3523</v>
      </c>
      <c r="G6792" s="11" t="s">
        <v>1049</v>
      </c>
      <c r="H6792" s="2" t="s">
        <v>1050</v>
      </c>
      <c r="L6792" s="18">
        <v>1</v>
      </c>
      <c r="N6792" s="13">
        <v>41750</v>
      </c>
      <c r="O6792" s="29">
        <v>2.4900000000000002</v>
      </c>
      <c r="P6792" s="18" t="s">
        <v>1107</v>
      </c>
      <c r="Q6792" s="18">
        <v>0</v>
      </c>
      <c r="U6792" s="22">
        <v>0.89</v>
      </c>
      <c r="V6792" s="22">
        <f>3.69/5</f>
        <v>0.73799999999999999</v>
      </c>
      <c r="W6792" s="14" t="s">
        <v>7778</v>
      </c>
      <c r="X6792" s="3">
        <v>4</v>
      </c>
      <c r="Z6792" s="23">
        <v>14</v>
      </c>
      <c r="AB6792" s="18">
        <f t="shared" si="212"/>
        <v>2004</v>
      </c>
      <c r="AC6792" s="22">
        <f t="shared" si="213"/>
        <v>0.80933333333333335</v>
      </c>
    </row>
    <row r="6793" spans="1:29" ht="30">
      <c r="A6793" s="8" t="s">
        <v>15784</v>
      </c>
      <c r="B6793" s="17" t="s">
        <v>7740</v>
      </c>
      <c r="C6793" s="13">
        <v>38069</v>
      </c>
      <c r="D6793" s="13" t="s">
        <v>8465</v>
      </c>
      <c r="E6793" s="10" t="s">
        <v>311</v>
      </c>
      <c r="F6793" s="10" t="s">
        <v>15785</v>
      </c>
      <c r="G6793" s="11" t="s">
        <v>15783</v>
      </c>
      <c r="H6793" s="2" t="s">
        <v>245</v>
      </c>
      <c r="L6793" s="18">
        <v>0</v>
      </c>
      <c r="Q6793" s="18">
        <v>0</v>
      </c>
      <c r="U6793" s="22">
        <v>0.64</v>
      </c>
      <c r="V6793" s="22">
        <f>3.16/5</f>
        <v>0.63200000000000001</v>
      </c>
      <c r="X6793" s="3">
        <v>2</v>
      </c>
      <c r="Z6793" s="23">
        <v>7.5</v>
      </c>
      <c r="AB6793" s="18">
        <f t="shared" si="212"/>
        <v>2004</v>
      </c>
      <c r="AC6793" s="22">
        <f t="shared" si="213"/>
        <v>0.55733333333333335</v>
      </c>
    </row>
    <row r="6794" spans="1:29" ht="30">
      <c r="A6794" s="8" t="s">
        <v>927</v>
      </c>
      <c r="B6794" s="17" t="s">
        <v>7740</v>
      </c>
      <c r="C6794" s="13">
        <v>38068</v>
      </c>
      <c r="D6794" s="13" t="s">
        <v>8465</v>
      </c>
      <c r="E6794" s="10" t="s">
        <v>86</v>
      </c>
      <c r="F6794" s="10" t="s">
        <v>1490</v>
      </c>
      <c r="G6794" s="11" t="s">
        <v>1470</v>
      </c>
      <c r="H6794" s="2" t="s">
        <v>149</v>
      </c>
      <c r="L6794" s="18">
        <v>0</v>
      </c>
      <c r="Q6794" s="18">
        <v>0</v>
      </c>
      <c r="U6794" s="22">
        <v>0.73</v>
      </c>
      <c r="V6794" s="22">
        <f>3.79/5</f>
        <v>0.75800000000000001</v>
      </c>
      <c r="X6794" s="3">
        <v>3</v>
      </c>
      <c r="Z6794" s="23">
        <v>25</v>
      </c>
      <c r="AB6794" s="18">
        <f t="shared" si="212"/>
        <v>2004</v>
      </c>
      <c r="AC6794" s="22">
        <f t="shared" si="213"/>
        <v>0.69600000000000006</v>
      </c>
    </row>
    <row r="6795" spans="1:29" ht="38.25">
      <c r="A6795" s="8" t="s">
        <v>2083</v>
      </c>
      <c r="B6795" s="17" t="s">
        <v>7747</v>
      </c>
      <c r="C6795" s="13">
        <v>38065</v>
      </c>
      <c r="D6795" s="13" t="s">
        <v>8465</v>
      </c>
      <c r="E6795" s="10" t="s">
        <v>73</v>
      </c>
      <c r="F6795" s="10" t="s">
        <v>1961</v>
      </c>
      <c r="G6795" s="11" t="s">
        <v>1286</v>
      </c>
      <c r="H6795" s="2" t="s">
        <v>64</v>
      </c>
      <c r="L6795" s="18">
        <v>0</v>
      </c>
      <c r="Q6795" s="18">
        <v>0</v>
      </c>
      <c r="U6795" s="22">
        <v>0.66</v>
      </c>
      <c r="V6795" s="22">
        <f>3.9/5</f>
        <v>0.78</v>
      </c>
      <c r="X6795" s="3">
        <v>3</v>
      </c>
      <c r="Z6795" s="23">
        <v>3</v>
      </c>
      <c r="AB6795" s="18">
        <f t="shared" si="212"/>
        <v>2004</v>
      </c>
      <c r="AC6795" s="22">
        <f t="shared" si="213"/>
        <v>0.68</v>
      </c>
    </row>
    <row r="6796" spans="1:29" ht="30">
      <c r="A6796" s="8" t="s">
        <v>13156</v>
      </c>
      <c r="B6796" s="17" t="s">
        <v>7740</v>
      </c>
      <c r="C6796" s="13">
        <v>38064</v>
      </c>
      <c r="D6796" s="13" t="s">
        <v>8463</v>
      </c>
      <c r="E6796" s="10" t="s">
        <v>157</v>
      </c>
      <c r="F6796" s="10" t="s">
        <v>157</v>
      </c>
      <c r="G6796" s="11" t="s">
        <v>1395</v>
      </c>
      <c r="H6796" s="2" t="s">
        <v>1168</v>
      </c>
      <c r="K6796" s="18">
        <v>0</v>
      </c>
      <c r="L6796" s="18">
        <v>0</v>
      </c>
      <c r="Q6796" s="18">
        <v>0</v>
      </c>
      <c r="V6796" s="22">
        <f>4.16/5</f>
        <v>0.83200000000000007</v>
      </c>
      <c r="X6796" s="3">
        <v>2</v>
      </c>
      <c r="AB6796" s="18">
        <f t="shared" si="212"/>
        <v>2004</v>
      </c>
      <c r="AC6796" s="22">
        <f t="shared" si="213"/>
        <v>0.6160000000000001</v>
      </c>
    </row>
    <row r="6797" spans="1:29" ht="30">
      <c r="A6797" s="8" t="s">
        <v>6641</v>
      </c>
      <c r="B6797" s="17" t="s">
        <v>7740</v>
      </c>
      <c r="C6797" s="13">
        <v>38062</v>
      </c>
      <c r="D6797" s="13" t="s">
        <v>8465</v>
      </c>
      <c r="E6797" s="10" t="s">
        <v>66</v>
      </c>
      <c r="F6797" s="10" t="s">
        <v>6642</v>
      </c>
      <c r="G6797" s="11" t="s">
        <v>710</v>
      </c>
      <c r="H6797" s="2" t="s">
        <v>1334</v>
      </c>
      <c r="L6797" s="18">
        <v>0</v>
      </c>
      <c r="Q6797" s="18">
        <v>0</v>
      </c>
      <c r="U6797" s="22">
        <v>0.8</v>
      </c>
      <c r="V6797" s="22">
        <f>3.71/5</f>
        <v>0.74199999999999999</v>
      </c>
      <c r="X6797" s="3">
        <v>3</v>
      </c>
      <c r="Z6797" s="23">
        <v>30</v>
      </c>
      <c r="AB6797" s="18">
        <f t="shared" si="212"/>
        <v>2004</v>
      </c>
      <c r="AC6797" s="22">
        <f t="shared" si="213"/>
        <v>0.71399999999999997</v>
      </c>
    </row>
    <row r="6798" spans="1:29">
      <c r="A6798" s="8" t="s">
        <v>9320</v>
      </c>
      <c r="B6798" s="17" t="s">
        <v>7764</v>
      </c>
      <c r="C6798" s="13">
        <v>38062</v>
      </c>
      <c r="D6798" s="13" t="s">
        <v>8465</v>
      </c>
      <c r="E6798" s="10" t="s">
        <v>158</v>
      </c>
      <c r="F6798" s="10" t="s">
        <v>158</v>
      </c>
      <c r="H6798" s="2" t="s">
        <v>80</v>
      </c>
      <c r="L6798" s="18">
        <v>0</v>
      </c>
      <c r="Q6798" s="18">
        <v>0</v>
      </c>
      <c r="U6798" s="22">
        <v>0.71</v>
      </c>
      <c r="V6798" s="22">
        <f>4.13/5</f>
        <v>0.82599999999999996</v>
      </c>
      <c r="X6798" s="3">
        <v>2</v>
      </c>
      <c r="Y6798" s="18">
        <v>1</v>
      </c>
      <c r="Z6798" s="23">
        <v>10.5</v>
      </c>
      <c r="AB6798" s="18">
        <f t="shared" si="212"/>
        <v>2004</v>
      </c>
      <c r="AC6798" s="22">
        <f t="shared" si="213"/>
        <v>0.64533333333333331</v>
      </c>
    </row>
    <row r="6799" spans="1:29" ht="30">
      <c r="A6799" s="8" t="s">
        <v>7450</v>
      </c>
      <c r="B6799" s="17" t="s">
        <v>7758</v>
      </c>
      <c r="C6799" s="13">
        <v>38062</v>
      </c>
      <c r="D6799" s="13" t="s">
        <v>8465</v>
      </c>
      <c r="E6799" s="10" t="s">
        <v>1047</v>
      </c>
      <c r="F6799" s="10" t="s">
        <v>6607</v>
      </c>
      <c r="G6799" s="11" t="s">
        <v>2474</v>
      </c>
      <c r="H6799" s="2" t="s">
        <v>7448</v>
      </c>
      <c r="L6799" s="18">
        <v>0</v>
      </c>
      <c r="Q6799" s="18">
        <v>0</v>
      </c>
      <c r="U6799" s="22">
        <v>0.7</v>
      </c>
      <c r="V6799" s="22">
        <f>3.54/5</f>
        <v>0.70799999999999996</v>
      </c>
      <c r="X6799" s="3">
        <v>2</v>
      </c>
      <c r="Z6799" s="23">
        <v>13</v>
      </c>
      <c r="AB6799" s="18">
        <f t="shared" si="212"/>
        <v>2004</v>
      </c>
      <c r="AC6799" s="22">
        <f t="shared" si="213"/>
        <v>0.60266666666666657</v>
      </c>
    </row>
    <row r="6800" spans="1:29" ht="30">
      <c r="A6800" s="8" t="s">
        <v>11025</v>
      </c>
      <c r="B6800" s="17" t="s">
        <v>7758</v>
      </c>
      <c r="C6800" s="13">
        <v>38062</v>
      </c>
      <c r="D6800" s="13" t="s">
        <v>8465</v>
      </c>
      <c r="E6800" s="10" t="s">
        <v>3848</v>
      </c>
      <c r="F6800" s="10" t="s">
        <v>11026</v>
      </c>
      <c r="G6800" s="11" t="s">
        <v>11024</v>
      </c>
      <c r="H6800" s="2" t="s">
        <v>1061</v>
      </c>
      <c r="L6800" s="18">
        <v>0</v>
      </c>
      <c r="Q6800" s="18">
        <v>0</v>
      </c>
      <c r="U6800" s="22">
        <v>0.67</v>
      </c>
      <c r="V6800" s="22">
        <f>3.43/5</f>
        <v>0.68600000000000005</v>
      </c>
      <c r="X6800" s="3">
        <v>2</v>
      </c>
      <c r="Z6800" s="23">
        <v>6.5</v>
      </c>
      <c r="AB6800" s="18">
        <f t="shared" si="212"/>
        <v>2004</v>
      </c>
      <c r="AC6800" s="22">
        <f t="shared" si="213"/>
        <v>0.58533333333333337</v>
      </c>
    </row>
    <row r="6801" spans="1:29">
      <c r="A6801" s="8" t="s">
        <v>10191</v>
      </c>
      <c r="B6801" s="17" t="s">
        <v>7758</v>
      </c>
      <c r="C6801" s="13">
        <v>38058</v>
      </c>
      <c r="D6801" s="13" t="s">
        <v>8465</v>
      </c>
      <c r="E6801" s="10" t="s">
        <v>252</v>
      </c>
      <c r="F6801" s="10" t="s">
        <v>1232</v>
      </c>
      <c r="H6801" s="2" t="s">
        <v>1059</v>
      </c>
      <c r="L6801" s="18">
        <v>0</v>
      </c>
      <c r="Q6801" s="18">
        <v>0</v>
      </c>
      <c r="U6801" s="22">
        <v>0.52</v>
      </c>
      <c r="V6801" s="22">
        <f>3.04/5</f>
        <v>0.60799999999999998</v>
      </c>
      <c r="X6801" s="3">
        <v>2</v>
      </c>
      <c r="Z6801" s="23">
        <v>5</v>
      </c>
      <c r="AB6801" s="18">
        <f t="shared" si="212"/>
        <v>2004</v>
      </c>
      <c r="AC6801" s="22">
        <f t="shared" si="213"/>
        <v>0.5093333333333333</v>
      </c>
    </row>
    <row r="6802" spans="1:29" ht="30">
      <c r="A6802" s="8" t="s">
        <v>13159</v>
      </c>
      <c r="B6802" s="17" t="s">
        <v>7740</v>
      </c>
      <c r="C6802" s="13">
        <v>38056</v>
      </c>
      <c r="D6802" s="13" t="s">
        <v>8465</v>
      </c>
      <c r="E6802" s="10" t="s">
        <v>1551</v>
      </c>
      <c r="F6802" s="10" t="s">
        <v>62</v>
      </c>
      <c r="G6802" s="11" t="s">
        <v>7674</v>
      </c>
      <c r="H6802" s="2" t="s">
        <v>80</v>
      </c>
      <c r="L6802" s="18">
        <v>0</v>
      </c>
      <c r="Q6802" s="18">
        <v>0</v>
      </c>
      <c r="U6802" s="22">
        <v>0.7</v>
      </c>
      <c r="V6802" s="22">
        <f>3.38/5</f>
        <v>0.67599999999999993</v>
      </c>
      <c r="X6802" s="3">
        <v>2</v>
      </c>
      <c r="Z6802" s="23">
        <v>8</v>
      </c>
      <c r="AB6802" s="18">
        <f t="shared" si="212"/>
        <v>2004</v>
      </c>
      <c r="AC6802" s="22">
        <f t="shared" si="213"/>
        <v>0.59199999999999997</v>
      </c>
    </row>
    <row r="6803" spans="1:29" ht="30">
      <c r="A6803" s="8" t="s">
        <v>14615</v>
      </c>
      <c r="B6803" s="17" t="s">
        <v>7740</v>
      </c>
      <c r="C6803" s="13">
        <v>38055</v>
      </c>
      <c r="D6803" s="13" t="s">
        <v>8465</v>
      </c>
      <c r="E6803" s="10" t="s">
        <v>72</v>
      </c>
      <c r="F6803" s="10" t="s">
        <v>1489</v>
      </c>
      <c r="G6803" s="11" t="s">
        <v>220</v>
      </c>
      <c r="H6803" s="2" t="s">
        <v>245</v>
      </c>
      <c r="L6803" s="18">
        <v>0</v>
      </c>
      <c r="Q6803" s="18">
        <v>0</v>
      </c>
      <c r="U6803" s="22">
        <v>0.86</v>
      </c>
      <c r="V6803" s="22">
        <f>4.2/5</f>
        <v>0.84000000000000008</v>
      </c>
      <c r="X6803" s="3">
        <v>3</v>
      </c>
      <c r="Z6803" s="23">
        <v>10</v>
      </c>
      <c r="AB6803" s="18">
        <f t="shared" si="212"/>
        <v>2004</v>
      </c>
      <c r="AC6803" s="22">
        <f t="shared" si="213"/>
        <v>0.76666666666666672</v>
      </c>
    </row>
    <row r="6804" spans="1:29">
      <c r="A6804" s="8" t="s">
        <v>14721</v>
      </c>
      <c r="B6804" s="17" t="s">
        <v>7758</v>
      </c>
      <c r="C6804" s="13">
        <v>38055</v>
      </c>
      <c r="D6804" s="13" t="s">
        <v>8465</v>
      </c>
      <c r="E6804" s="10" t="s">
        <v>72</v>
      </c>
      <c r="F6804" s="10" t="s">
        <v>72</v>
      </c>
      <c r="H6804" s="2" t="s">
        <v>7245</v>
      </c>
      <c r="L6804" s="18">
        <v>0</v>
      </c>
      <c r="Q6804" s="18">
        <v>0</v>
      </c>
      <c r="U6804" s="22">
        <v>0.63</v>
      </c>
      <c r="V6804" s="22">
        <f>3.56/5</f>
        <v>0.71199999999999997</v>
      </c>
      <c r="X6804" s="3">
        <v>2</v>
      </c>
      <c r="Z6804" s="23">
        <v>4.5</v>
      </c>
      <c r="AB6804" s="18">
        <f t="shared" si="212"/>
        <v>2004</v>
      </c>
      <c r="AC6804" s="22">
        <f t="shared" si="213"/>
        <v>0.58066666666666666</v>
      </c>
    </row>
    <row r="6805" spans="1:29">
      <c r="A6805" s="8" t="s">
        <v>5845</v>
      </c>
      <c r="B6805" s="17" t="s">
        <v>7758</v>
      </c>
      <c r="C6805" s="13">
        <v>38054</v>
      </c>
      <c r="D6805" s="13" t="s">
        <v>8465</v>
      </c>
      <c r="E6805" s="10" t="s">
        <v>1466</v>
      </c>
      <c r="F6805" s="10" t="s">
        <v>5877</v>
      </c>
      <c r="G6805" s="11" t="s">
        <v>5845</v>
      </c>
      <c r="H6805" s="2" t="s">
        <v>1061</v>
      </c>
      <c r="L6805" s="18">
        <v>0</v>
      </c>
      <c r="Q6805" s="18">
        <v>0</v>
      </c>
      <c r="U6805" s="22">
        <v>0.81</v>
      </c>
      <c r="V6805" s="22">
        <f>3.6/5</f>
        <v>0.72</v>
      </c>
      <c r="X6805" s="3">
        <v>4</v>
      </c>
      <c r="Z6805" s="23">
        <v>8.5</v>
      </c>
      <c r="AB6805" s="18">
        <f t="shared" si="212"/>
        <v>2004</v>
      </c>
      <c r="AC6805" s="22">
        <f t="shared" si="213"/>
        <v>0.77666666666666673</v>
      </c>
    </row>
    <row r="6806" spans="1:29">
      <c r="A6806" s="8" t="s">
        <v>4538</v>
      </c>
      <c r="B6806" s="17" t="s">
        <v>7758</v>
      </c>
      <c r="C6806" s="13">
        <v>38048</v>
      </c>
      <c r="D6806" s="13" t="s">
        <v>8465</v>
      </c>
      <c r="E6806" s="10" t="s">
        <v>1082</v>
      </c>
      <c r="F6806" s="10" t="s">
        <v>5866</v>
      </c>
      <c r="G6806" s="11" t="s">
        <v>4538</v>
      </c>
      <c r="H6806" s="2" t="s">
        <v>171</v>
      </c>
      <c r="L6806" s="18">
        <v>0</v>
      </c>
      <c r="Q6806" s="18">
        <v>0</v>
      </c>
      <c r="U6806" s="22">
        <v>0.65</v>
      </c>
      <c r="V6806" s="22">
        <f>3.69/5</f>
        <v>0.73799999999999999</v>
      </c>
      <c r="X6806" s="3">
        <v>4</v>
      </c>
      <c r="Z6806" s="23">
        <v>10</v>
      </c>
      <c r="AB6806" s="18">
        <f t="shared" si="212"/>
        <v>2004</v>
      </c>
      <c r="AC6806" s="22">
        <f t="shared" si="213"/>
        <v>0.72933333333333328</v>
      </c>
    </row>
    <row r="6807" spans="1:29" ht="38.25">
      <c r="A6807" s="8" t="s">
        <v>8685</v>
      </c>
      <c r="B6807" s="17" t="s">
        <v>7740</v>
      </c>
      <c r="C6807" s="13">
        <v>38048</v>
      </c>
      <c r="D6807" s="13" t="s">
        <v>8465</v>
      </c>
      <c r="E6807" s="10" t="s">
        <v>455</v>
      </c>
      <c r="F6807" s="10" t="s">
        <v>1492</v>
      </c>
      <c r="G6807" s="11" t="s">
        <v>1936</v>
      </c>
      <c r="H6807" s="2" t="s">
        <v>149</v>
      </c>
      <c r="L6807" s="18">
        <v>0</v>
      </c>
      <c r="Q6807" s="18">
        <v>0</v>
      </c>
      <c r="U6807" s="22">
        <v>0.71</v>
      </c>
      <c r="V6807" s="22">
        <f>3.48/5</f>
        <v>0.69599999999999995</v>
      </c>
      <c r="X6807" s="3">
        <v>3</v>
      </c>
      <c r="Z6807" s="23">
        <v>11.5</v>
      </c>
      <c r="AB6807" s="18">
        <f t="shared" si="212"/>
        <v>2004</v>
      </c>
      <c r="AC6807" s="22">
        <f t="shared" si="213"/>
        <v>0.66866666666666663</v>
      </c>
    </row>
    <row r="6808" spans="1:29" ht="30">
      <c r="A6808" s="8" t="s">
        <v>7698</v>
      </c>
      <c r="B6808" s="17" t="s">
        <v>7747</v>
      </c>
      <c r="C6808" s="13">
        <v>38048</v>
      </c>
      <c r="D6808" s="13" t="s">
        <v>8465</v>
      </c>
      <c r="E6808" s="10" t="s">
        <v>73</v>
      </c>
      <c r="F6808" s="10" t="s">
        <v>1070</v>
      </c>
      <c r="G6808" s="11" t="s">
        <v>1904</v>
      </c>
      <c r="H6808" s="2" t="s">
        <v>3411</v>
      </c>
      <c r="L6808" s="18">
        <v>0</v>
      </c>
      <c r="Q6808" s="18">
        <v>0</v>
      </c>
      <c r="U6808" s="22">
        <v>0.5</v>
      </c>
      <c r="V6808" s="22">
        <f>3.46/5</f>
        <v>0.69199999999999995</v>
      </c>
      <c r="X6808" s="3">
        <v>3</v>
      </c>
      <c r="Z6808" s="23">
        <v>20</v>
      </c>
      <c r="AB6808" s="18">
        <f t="shared" si="212"/>
        <v>2004</v>
      </c>
      <c r="AC6808" s="22">
        <f t="shared" si="213"/>
        <v>0.59733333333333327</v>
      </c>
    </row>
    <row r="6809" spans="1:29" ht="30">
      <c r="A6809" s="8" t="s">
        <v>14695</v>
      </c>
      <c r="B6809" s="17" t="s">
        <v>7758</v>
      </c>
      <c r="C6809" s="13">
        <v>38048</v>
      </c>
      <c r="D6809" s="13" t="s">
        <v>8465</v>
      </c>
      <c r="E6809" s="10" t="s">
        <v>72</v>
      </c>
      <c r="F6809" s="10" t="s">
        <v>2908</v>
      </c>
      <c r="H6809" s="2" t="s">
        <v>1061</v>
      </c>
      <c r="L6809" s="18">
        <v>0</v>
      </c>
      <c r="Q6809" s="18">
        <v>0</v>
      </c>
      <c r="U6809" s="22">
        <v>0.61</v>
      </c>
      <c r="V6809" s="22">
        <f>3.48/5</f>
        <v>0.69599999999999995</v>
      </c>
      <c r="X6809" s="3">
        <v>2</v>
      </c>
      <c r="Z6809" s="23">
        <v>9.5</v>
      </c>
      <c r="AB6809" s="18">
        <f t="shared" si="212"/>
        <v>2004</v>
      </c>
      <c r="AC6809" s="22">
        <f t="shared" si="213"/>
        <v>0.56866666666666665</v>
      </c>
    </row>
    <row r="6810" spans="1:29" ht="30">
      <c r="A6810" s="8" t="s">
        <v>14587</v>
      </c>
      <c r="B6810" s="17" t="s">
        <v>7764</v>
      </c>
      <c r="C6810" s="13">
        <v>38043</v>
      </c>
      <c r="D6810" s="13" t="s">
        <v>8465</v>
      </c>
      <c r="E6810" s="10" t="s">
        <v>73</v>
      </c>
      <c r="F6810" s="10" t="s">
        <v>1060</v>
      </c>
      <c r="G6810" s="11" t="s">
        <v>14586</v>
      </c>
      <c r="H6810" s="2" t="s">
        <v>1204</v>
      </c>
      <c r="L6810" s="18">
        <v>0</v>
      </c>
      <c r="Q6810" s="18">
        <v>0</v>
      </c>
      <c r="U6810" s="22">
        <v>0.7</v>
      </c>
      <c r="V6810" s="22">
        <f>3.56/5</f>
        <v>0.71199999999999997</v>
      </c>
      <c r="X6810" s="3">
        <v>2</v>
      </c>
      <c r="Y6810" s="18">
        <v>1</v>
      </c>
      <c r="AB6810" s="18">
        <f t="shared" si="212"/>
        <v>2004</v>
      </c>
      <c r="AC6810" s="22">
        <f t="shared" si="213"/>
        <v>0.60399999999999998</v>
      </c>
    </row>
    <row r="6811" spans="1:29" ht="30">
      <c r="A6811" s="8" t="s">
        <v>14478</v>
      </c>
      <c r="B6811" s="17" t="s">
        <v>7758</v>
      </c>
      <c r="C6811" s="13">
        <v>38041</v>
      </c>
      <c r="D6811" s="13" t="s">
        <v>8465</v>
      </c>
      <c r="E6811" s="10" t="s">
        <v>68</v>
      </c>
      <c r="F6811" s="10" t="s">
        <v>68</v>
      </c>
      <c r="G6811" s="11" t="s">
        <v>40</v>
      </c>
      <c r="H6811" s="2" t="s">
        <v>69</v>
      </c>
      <c r="L6811" s="18">
        <v>0</v>
      </c>
      <c r="Q6811" s="18">
        <v>0</v>
      </c>
      <c r="U6811" s="22">
        <v>0.74</v>
      </c>
      <c r="V6811" s="22">
        <f>3.9/5</f>
        <v>0.78</v>
      </c>
      <c r="X6811" s="3">
        <v>2</v>
      </c>
      <c r="AB6811" s="18">
        <f t="shared" si="212"/>
        <v>2004</v>
      </c>
      <c r="AC6811" s="22">
        <f t="shared" si="213"/>
        <v>0.64</v>
      </c>
    </row>
    <row r="6812" spans="1:29" ht="30">
      <c r="A6812" s="8" t="s">
        <v>13903</v>
      </c>
      <c r="B6812" s="17" t="s">
        <v>7740</v>
      </c>
      <c r="C6812" s="13">
        <v>38036</v>
      </c>
      <c r="D6812" s="13" t="s">
        <v>8465</v>
      </c>
      <c r="E6812" s="10" t="s">
        <v>1273</v>
      </c>
      <c r="F6812" s="10" t="s">
        <v>8939</v>
      </c>
      <c r="G6812" s="11" t="s">
        <v>13898</v>
      </c>
      <c r="H6812" s="2" t="s">
        <v>1040</v>
      </c>
      <c r="L6812" s="18">
        <v>0</v>
      </c>
      <c r="Q6812" s="18">
        <v>0</v>
      </c>
      <c r="U6812" s="22">
        <v>0.66</v>
      </c>
      <c r="V6812" s="22">
        <f>3.87/5</f>
        <v>0.77400000000000002</v>
      </c>
      <c r="X6812" s="3">
        <v>2</v>
      </c>
      <c r="Z6812" s="23">
        <v>9</v>
      </c>
      <c r="AB6812" s="18">
        <f t="shared" si="212"/>
        <v>2004</v>
      </c>
      <c r="AC6812" s="22">
        <f t="shared" si="213"/>
        <v>0.6113333333333334</v>
      </c>
    </row>
    <row r="6813" spans="1:29" ht="30">
      <c r="A6813" s="8" t="s">
        <v>10802</v>
      </c>
      <c r="B6813" s="17" t="s">
        <v>7740</v>
      </c>
      <c r="C6813" s="13">
        <v>38034</v>
      </c>
      <c r="D6813" s="13" t="s">
        <v>8465</v>
      </c>
      <c r="E6813" s="10" t="s">
        <v>231</v>
      </c>
      <c r="F6813" s="10" t="s">
        <v>3593</v>
      </c>
      <c r="G6813" s="11" t="s">
        <v>1482</v>
      </c>
      <c r="H6813" s="2" t="s">
        <v>1168</v>
      </c>
      <c r="L6813" s="18">
        <v>0</v>
      </c>
      <c r="Q6813" s="18">
        <v>0</v>
      </c>
      <c r="U6813" s="22">
        <v>0.84</v>
      </c>
      <c r="V6813" s="22">
        <f>3.82/5</f>
        <v>0.76400000000000001</v>
      </c>
      <c r="X6813" s="3">
        <v>3</v>
      </c>
      <c r="Z6813" s="23">
        <v>10</v>
      </c>
      <c r="AB6813" s="18">
        <f t="shared" si="212"/>
        <v>2004</v>
      </c>
      <c r="AC6813" s="22">
        <f t="shared" si="213"/>
        <v>0.73466666666666669</v>
      </c>
    </row>
    <row r="6814" spans="1:29">
      <c r="A6814" s="8" t="s">
        <v>7125</v>
      </c>
      <c r="B6814" s="17" t="s">
        <v>7800</v>
      </c>
      <c r="C6814" s="13">
        <v>38028</v>
      </c>
      <c r="D6814" s="13" t="s">
        <v>8465</v>
      </c>
      <c r="E6814" s="10" t="s">
        <v>7214</v>
      </c>
      <c r="F6814" s="10" t="s">
        <v>7214</v>
      </c>
      <c r="G6814" s="11" t="s">
        <v>7125</v>
      </c>
      <c r="H6814" s="2" t="s">
        <v>64</v>
      </c>
      <c r="L6814" s="18">
        <v>0</v>
      </c>
      <c r="Q6814" s="18">
        <v>0</v>
      </c>
      <c r="V6814" s="22">
        <f>2.33/5</f>
        <v>0.46600000000000003</v>
      </c>
      <c r="W6814" s="14" t="s">
        <v>5674</v>
      </c>
      <c r="X6814" s="3">
        <v>3</v>
      </c>
      <c r="Z6814" s="23">
        <v>0.25</v>
      </c>
      <c r="AB6814" s="18">
        <f t="shared" si="212"/>
        <v>2004</v>
      </c>
      <c r="AC6814" s="22">
        <f t="shared" si="213"/>
        <v>0.53300000000000003</v>
      </c>
    </row>
    <row r="6815" spans="1:29" ht="30">
      <c r="A6815" s="8" t="s">
        <v>8951</v>
      </c>
      <c r="B6815" s="17" t="s">
        <v>7758</v>
      </c>
      <c r="C6815" s="13">
        <v>38027</v>
      </c>
      <c r="D6815" s="13" t="s">
        <v>8465</v>
      </c>
      <c r="E6815" s="10" t="s">
        <v>8952</v>
      </c>
      <c r="F6815" s="10" t="s">
        <v>5342</v>
      </c>
      <c r="G6815" s="11" t="s">
        <v>8953</v>
      </c>
      <c r="H6815" s="2" t="s">
        <v>171</v>
      </c>
      <c r="L6815" s="18">
        <v>0</v>
      </c>
      <c r="Q6815" s="18">
        <v>0</v>
      </c>
      <c r="U6815" s="22">
        <v>0.85</v>
      </c>
      <c r="V6815" s="22">
        <f>3.83/5</f>
        <v>0.76600000000000001</v>
      </c>
      <c r="X6815" s="3">
        <v>3</v>
      </c>
      <c r="Z6815" s="23">
        <v>16</v>
      </c>
      <c r="AB6815" s="18">
        <f t="shared" si="212"/>
        <v>2004</v>
      </c>
      <c r="AC6815" s="22">
        <f t="shared" si="213"/>
        <v>0.73866666666666669</v>
      </c>
    </row>
    <row r="6816" spans="1:29">
      <c r="A6816" s="8" t="s">
        <v>213</v>
      </c>
      <c r="B6816" s="17" t="s">
        <v>7758</v>
      </c>
      <c r="C6816" s="13">
        <v>38027</v>
      </c>
      <c r="D6816" s="13" t="s">
        <v>8465</v>
      </c>
      <c r="E6816" s="10" t="s">
        <v>455</v>
      </c>
      <c r="F6816" s="10" t="s">
        <v>8156</v>
      </c>
      <c r="G6816" s="11" t="s">
        <v>2407</v>
      </c>
      <c r="H6816" s="2" t="s">
        <v>80</v>
      </c>
      <c r="L6816" s="18">
        <v>0</v>
      </c>
      <c r="Q6816" s="18">
        <v>0</v>
      </c>
      <c r="U6816" s="22">
        <v>0.67849999999999999</v>
      </c>
      <c r="V6816" s="22">
        <f>3.74/5</f>
        <v>0.748</v>
      </c>
      <c r="X6816" s="3">
        <v>2</v>
      </c>
      <c r="Z6816" s="23">
        <v>8</v>
      </c>
      <c r="AB6816" s="18">
        <f t="shared" si="212"/>
        <v>2004</v>
      </c>
      <c r="AC6816" s="22">
        <f t="shared" si="213"/>
        <v>0.60883333333333323</v>
      </c>
    </row>
    <row r="6817" spans="1:29" ht="30">
      <c r="A6817" s="8" t="s">
        <v>938</v>
      </c>
      <c r="B6817" s="17" t="s">
        <v>7740</v>
      </c>
      <c r="C6817" s="13">
        <v>38026</v>
      </c>
      <c r="D6817" s="13" t="s">
        <v>8465</v>
      </c>
      <c r="E6817" s="10" t="s">
        <v>86</v>
      </c>
      <c r="F6817" s="10" t="s">
        <v>161</v>
      </c>
      <c r="G6817" s="11" t="s">
        <v>938</v>
      </c>
      <c r="H6817" s="2" t="s">
        <v>149</v>
      </c>
      <c r="L6817" s="18">
        <v>0</v>
      </c>
      <c r="Q6817" s="18">
        <v>0</v>
      </c>
      <c r="U6817" s="22">
        <v>0.81</v>
      </c>
      <c r="V6817" s="22">
        <f>3.64/5</f>
        <v>0.72799999999999998</v>
      </c>
      <c r="X6817" s="3">
        <v>3</v>
      </c>
      <c r="Z6817" s="23">
        <v>21</v>
      </c>
      <c r="AB6817" s="18">
        <f t="shared" si="212"/>
        <v>2004</v>
      </c>
      <c r="AC6817" s="22">
        <f t="shared" si="213"/>
        <v>0.71266666666666667</v>
      </c>
    </row>
    <row r="6818" spans="1:29">
      <c r="A6818" s="8" t="s">
        <v>14730</v>
      </c>
      <c r="B6818" s="17" t="s">
        <v>7758</v>
      </c>
      <c r="C6818" s="13">
        <v>38020</v>
      </c>
      <c r="D6818" s="13" t="s">
        <v>8465</v>
      </c>
      <c r="E6818" s="10" t="s">
        <v>72</v>
      </c>
      <c r="F6818" s="10" t="s">
        <v>72</v>
      </c>
      <c r="G6818" s="11" t="s">
        <v>14731</v>
      </c>
      <c r="H6818" s="2" t="s">
        <v>7594</v>
      </c>
      <c r="L6818" s="18">
        <v>0</v>
      </c>
      <c r="Q6818" s="18">
        <v>0</v>
      </c>
      <c r="U6818" s="22">
        <v>0.66</v>
      </c>
      <c r="V6818" s="22">
        <f>3.5/5</f>
        <v>0.7</v>
      </c>
      <c r="X6818" s="3">
        <v>2</v>
      </c>
      <c r="Z6818" s="23">
        <v>5</v>
      </c>
      <c r="AB6818" s="18">
        <f t="shared" si="212"/>
        <v>2004</v>
      </c>
      <c r="AC6818" s="22">
        <f t="shared" si="213"/>
        <v>0.58666666666666656</v>
      </c>
    </row>
    <row r="6819" spans="1:29" ht="38.25">
      <c r="A6819" s="8" t="s">
        <v>1214</v>
      </c>
      <c r="B6819" s="17" t="s">
        <v>7795</v>
      </c>
      <c r="C6819" s="13">
        <v>38019</v>
      </c>
      <c r="D6819" s="13" t="s">
        <v>8463</v>
      </c>
      <c r="E6819" s="10" t="s">
        <v>1218</v>
      </c>
      <c r="F6819" s="10" t="s">
        <v>1216</v>
      </c>
      <c r="G6819" s="11" t="s">
        <v>1221</v>
      </c>
      <c r="H6819" s="2" t="s">
        <v>21</v>
      </c>
      <c r="K6819" s="18">
        <v>0</v>
      </c>
      <c r="L6819" s="18">
        <v>0</v>
      </c>
      <c r="Q6819" s="18">
        <v>0</v>
      </c>
      <c r="V6819" s="22">
        <f>3.81/5</f>
        <v>0.76200000000000001</v>
      </c>
      <c r="X6819" s="3">
        <v>3</v>
      </c>
      <c r="Z6819" s="23">
        <f>30/60</f>
        <v>0.5</v>
      </c>
      <c r="AB6819" s="18">
        <f t="shared" si="212"/>
        <v>2004</v>
      </c>
      <c r="AC6819" s="22">
        <f t="shared" si="213"/>
        <v>0.68100000000000005</v>
      </c>
    </row>
    <row r="6820" spans="1:29">
      <c r="A6820" s="8" t="s">
        <v>8172</v>
      </c>
      <c r="B6820" s="17" t="s">
        <v>7758</v>
      </c>
      <c r="C6820" s="13">
        <v>38019</v>
      </c>
      <c r="D6820" s="13" t="s">
        <v>8465</v>
      </c>
      <c r="E6820" s="10" t="s">
        <v>1870</v>
      </c>
      <c r="F6820" s="10" t="s">
        <v>144</v>
      </c>
      <c r="G6820" s="11" t="s">
        <v>404</v>
      </c>
      <c r="H6820" s="2" t="s">
        <v>21</v>
      </c>
      <c r="L6820" s="18">
        <v>0</v>
      </c>
      <c r="Q6820" s="18">
        <v>0</v>
      </c>
      <c r="U6820" s="22">
        <v>0.80830000000000002</v>
      </c>
      <c r="V6820" s="22">
        <f>3.57/5</f>
        <v>0.71399999999999997</v>
      </c>
      <c r="X6820" s="3">
        <v>3</v>
      </c>
      <c r="Z6820" s="23">
        <v>2</v>
      </c>
      <c r="AB6820" s="18">
        <f t="shared" si="212"/>
        <v>2004</v>
      </c>
      <c r="AC6820" s="22">
        <f t="shared" si="213"/>
        <v>0.70743333333333336</v>
      </c>
    </row>
    <row r="6821" spans="1:29" ht="30">
      <c r="A6821" s="8" t="s">
        <v>6089</v>
      </c>
      <c r="B6821" s="17" t="s">
        <v>7758</v>
      </c>
      <c r="C6821" s="13">
        <v>38006</v>
      </c>
      <c r="D6821" s="13" t="s">
        <v>8465</v>
      </c>
      <c r="E6821" s="10" t="s">
        <v>73</v>
      </c>
      <c r="F6821" s="10" t="s">
        <v>6090</v>
      </c>
      <c r="G6821" s="11" t="s">
        <v>5871</v>
      </c>
      <c r="H6821" s="2" t="s">
        <v>80</v>
      </c>
      <c r="L6821" s="18">
        <v>0</v>
      </c>
      <c r="Q6821" s="18">
        <v>0</v>
      </c>
      <c r="U6821" s="22">
        <v>0.83</v>
      </c>
      <c r="V6821" s="22">
        <f>3.76/5</f>
        <v>0.752</v>
      </c>
      <c r="X6821" s="3">
        <v>3</v>
      </c>
      <c r="Z6821" s="23">
        <v>9</v>
      </c>
      <c r="AB6821" s="18">
        <f t="shared" si="212"/>
        <v>2004</v>
      </c>
      <c r="AC6821" s="22">
        <f t="shared" si="213"/>
        <v>0.72733333333333328</v>
      </c>
    </row>
    <row r="6822" spans="1:29" ht="25.5">
      <c r="A6822" s="8" t="s">
        <v>5734</v>
      </c>
      <c r="B6822" s="17" t="s">
        <v>7758</v>
      </c>
      <c r="C6822" s="13">
        <v>38006</v>
      </c>
      <c r="D6822" s="13" t="s">
        <v>8465</v>
      </c>
      <c r="E6822" s="10" t="s">
        <v>1272</v>
      </c>
      <c r="F6822" s="10" t="s">
        <v>5864</v>
      </c>
      <c r="G6822" s="11" t="s">
        <v>3253</v>
      </c>
      <c r="H6822" s="2" t="s">
        <v>171</v>
      </c>
      <c r="L6822" s="18">
        <v>0</v>
      </c>
      <c r="Q6822" s="18">
        <v>0</v>
      </c>
      <c r="U6822" s="22">
        <v>0.81</v>
      </c>
      <c r="V6822" s="22">
        <f>3.79/5</f>
        <v>0.75800000000000001</v>
      </c>
      <c r="X6822" s="3">
        <v>3</v>
      </c>
      <c r="Z6822" s="23">
        <v>12</v>
      </c>
      <c r="AB6822" s="18">
        <f t="shared" si="212"/>
        <v>2004</v>
      </c>
      <c r="AC6822" s="22">
        <f t="shared" si="213"/>
        <v>0.72266666666666668</v>
      </c>
    </row>
    <row r="6823" spans="1:29" ht="30">
      <c r="A6823" s="8" t="s">
        <v>7932</v>
      </c>
      <c r="B6823" s="17" t="s">
        <v>7782</v>
      </c>
      <c r="C6823" s="13">
        <v>38001</v>
      </c>
      <c r="D6823" s="13" t="s">
        <v>8465</v>
      </c>
      <c r="E6823" s="10" t="s">
        <v>6505</v>
      </c>
      <c r="F6823" s="10" t="s">
        <v>7933</v>
      </c>
      <c r="G6823" s="11" t="s">
        <v>3723</v>
      </c>
      <c r="H6823" s="2" t="s">
        <v>21</v>
      </c>
      <c r="L6823" s="18">
        <v>0</v>
      </c>
      <c r="Q6823" s="18">
        <v>0</v>
      </c>
      <c r="U6823" s="22">
        <v>0.86</v>
      </c>
      <c r="V6823" s="22">
        <f>2.88/5</f>
        <v>0.57599999999999996</v>
      </c>
      <c r="X6823" s="3">
        <v>2</v>
      </c>
      <c r="AB6823" s="18">
        <f t="shared" si="212"/>
        <v>2004</v>
      </c>
      <c r="AC6823" s="22">
        <f t="shared" si="213"/>
        <v>0.61199999999999999</v>
      </c>
    </row>
    <row r="6824" spans="1:29">
      <c r="A6824" s="8" t="s">
        <v>11159</v>
      </c>
      <c r="B6824" s="17" t="s">
        <v>7758</v>
      </c>
      <c r="C6824" s="13">
        <v>38000</v>
      </c>
      <c r="D6824" s="13" t="s">
        <v>8465</v>
      </c>
      <c r="E6824" s="10" t="s">
        <v>157</v>
      </c>
      <c r="F6824" s="10" t="s">
        <v>2314</v>
      </c>
      <c r="G6824" s="11" t="s">
        <v>8682</v>
      </c>
      <c r="H6824" s="2" t="s">
        <v>171</v>
      </c>
      <c r="L6824" s="18">
        <v>0</v>
      </c>
      <c r="Q6824" s="18">
        <v>0</v>
      </c>
      <c r="U6824" s="22">
        <v>0.7</v>
      </c>
      <c r="V6824" s="22">
        <f>3.99/5</f>
        <v>0.79800000000000004</v>
      </c>
      <c r="X6824" s="3">
        <v>3</v>
      </c>
      <c r="Z6824" s="23">
        <v>17</v>
      </c>
      <c r="AB6824" s="18">
        <f t="shared" si="212"/>
        <v>2004</v>
      </c>
      <c r="AC6824" s="22">
        <f t="shared" si="213"/>
        <v>0.69933333333333325</v>
      </c>
    </row>
    <row r="6825" spans="1:29" ht="25.5">
      <c r="A6825" s="8" t="s">
        <v>7569</v>
      </c>
      <c r="B6825" s="17" t="s">
        <v>7764</v>
      </c>
      <c r="C6825" s="13">
        <v>38000</v>
      </c>
      <c r="D6825" s="13" t="s">
        <v>8465</v>
      </c>
      <c r="E6825" s="10" t="s">
        <v>1272</v>
      </c>
      <c r="F6825" s="10" t="s">
        <v>1272</v>
      </c>
      <c r="G6825" s="11" t="s">
        <v>3864</v>
      </c>
      <c r="H6825" s="2" t="s">
        <v>171</v>
      </c>
      <c r="L6825" s="18">
        <v>0</v>
      </c>
      <c r="Q6825" s="18">
        <v>0</v>
      </c>
      <c r="U6825" s="22">
        <v>0.66</v>
      </c>
      <c r="V6825" s="22">
        <f>3.13/5</f>
        <v>0.626</v>
      </c>
      <c r="X6825" s="3">
        <v>3</v>
      </c>
      <c r="Z6825" s="23">
        <v>8</v>
      </c>
      <c r="AB6825" s="18">
        <f t="shared" si="212"/>
        <v>2004</v>
      </c>
      <c r="AC6825" s="22">
        <f t="shared" si="213"/>
        <v>0.62866666666666671</v>
      </c>
    </row>
    <row r="6826" spans="1:29" ht="30">
      <c r="A6826" s="8" t="s">
        <v>1994</v>
      </c>
      <c r="B6826" s="17" t="s">
        <v>7747</v>
      </c>
      <c r="C6826" s="13">
        <v>37991</v>
      </c>
      <c r="D6826" s="13" t="s">
        <v>8465</v>
      </c>
      <c r="E6826" s="10" t="s">
        <v>1342</v>
      </c>
      <c r="F6826" s="10" t="s">
        <v>1492</v>
      </c>
      <c r="G6826" s="11" t="s">
        <v>1688</v>
      </c>
      <c r="H6826" s="2" t="s">
        <v>459</v>
      </c>
      <c r="L6826" s="18">
        <v>0</v>
      </c>
      <c r="Q6826" s="18">
        <v>0</v>
      </c>
      <c r="U6826" s="22">
        <v>0.69</v>
      </c>
      <c r="V6826" s="22">
        <f>3.73/5</f>
        <v>0.746</v>
      </c>
      <c r="X6826" s="3">
        <v>3</v>
      </c>
      <c r="Z6826" s="23">
        <v>10.5</v>
      </c>
      <c r="AB6826" s="18">
        <f t="shared" si="212"/>
        <v>2004</v>
      </c>
      <c r="AC6826" s="22">
        <f t="shared" si="213"/>
        <v>0.67866666666666664</v>
      </c>
    </row>
    <row r="6827" spans="1:29" ht="38.25">
      <c r="A6827" s="8" t="s">
        <v>12333</v>
      </c>
      <c r="B6827" s="17" t="s">
        <v>7800</v>
      </c>
      <c r="C6827" s="24">
        <v>37987</v>
      </c>
      <c r="D6827" s="13" t="s">
        <v>8463</v>
      </c>
      <c r="E6827" s="10" t="s">
        <v>11819</v>
      </c>
      <c r="F6827" s="10" t="s">
        <v>11819</v>
      </c>
      <c r="G6827" s="11" t="s">
        <v>5566</v>
      </c>
      <c r="H6827" s="2" t="s">
        <v>149</v>
      </c>
      <c r="K6827" s="18">
        <v>2</v>
      </c>
      <c r="L6827" s="18">
        <v>0</v>
      </c>
      <c r="Q6827" s="18">
        <v>0</v>
      </c>
      <c r="V6827" s="22">
        <f>3.67/5</f>
        <v>0.73399999999999999</v>
      </c>
      <c r="X6827" s="3">
        <v>3</v>
      </c>
      <c r="AB6827" s="18">
        <f t="shared" si="212"/>
        <v>2004</v>
      </c>
      <c r="AC6827" s="22">
        <f t="shared" si="213"/>
        <v>0.66700000000000004</v>
      </c>
    </row>
    <row r="6828" spans="1:29">
      <c r="A6828" s="8" t="s">
        <v>5702</v>
      </c>
      <c r="B6828" s="17" t="s">
        <v>7800</v>
      </c>
      <c r="C6828" s="12">
        <v>37987</v>
      </c>
      <c r="D6828" s="13" t="s">
        <v>8465</v>
      </c>
      <c r="E6828" s="10" t="s">
        <v>5701</v>
      </c>
      <c r="F6828" s="10" t="s">
        <v>5701</v>
      </c>
      <c r="G6828" s="11" t="s">
        <v>5702</v>
      </c>
      <c r="H6828" s="2" t="s">
        <v>21</v>
      </c>
      <c r="L6828" s="18">
        <v>0</v>
      </c>
      <c r="Q6828" s="18">
        <v>0</v>
      </c>
      <c r="W6828" s="14" t="s">
        <v>5674</v>
      </c>
      <c r="X6828" s="3">
        <v>3</v>
      </c>
      <c r="Z6828" s="23">
        <v>19</v>
      </c>
      <c r="AB6828" s="18">
        <f t="shared" si="212"/>
        <v>2004</v>
      </c>
      <c r="AC6828" s="22">
        <f t="shared" si="213"/>
        <v>0.6</v>
      </c>
    </row>
    <row r="6829" spans="1:29">
      <c r="A6829" s="8" t="s">
        <v>13922</v>
      </c>
      <c r="B6829" s="17" t="s">
        <v>13887</v>
      </c>
      <c r="C6829" s="24">
        <v>37987</v>
      </c>
      <c r="D6829" s="13" t="s">
        <v>8465</v>
      </c>
      <c r="E6829" s="10" t="s">
        <v>13917</v>
      </c>
      <c r="F6829" s="10" t="s">
        <v>13917</v>
      </c>
      <c r="G6829" s="11" t="s">
        <v>13918</v>
      </c>
      <c r="H6829" s="2" t="s">
        <v>1168</v>
      </c>
      <c r="L6829" s="18">
        <v>0</v>
      </c>
      <c r="Q6829" s="18">
        <v>0</v>
      </c>
      <c r="V6829" s="22">
        <f>3.83/5</f>
        <v>0.76600000000000001</v>
      </c>
      <c r="X6829" s="3">
        <v>2</v>
      </c>
      <c r="AB6829" s="18">
        <f t="shared" si="212"/>
        <v>2004</v>
      </c>
      <c r="AC6829" s="22">
        <f t="shared" si="213"/>
        <v>0.58299999999999996</v>
      </c>
    </row>
    <row r="6830" spans="1:29">
      <c r="A6830" s="8" t="s">
        <v>3428</v>
      </c>
      <c r="B6830" s="17" t="s">
        <v>7800</v>
      </c>
      <c r="C6830" s="13">
        <v>38341</v>
      </c>
      <c r="D6830" s="13" t="s">
        <v>8465</v>
      </c>
      <c r="E6830" s="10" t="s">
        <v>4696</v>
      </c>
      <c r="F6830" s="10" t="s">
        <v>4696</v>
      </c>
      <c r="G6830" s="11" t="s">
        <v>3428</v>
      </c>
      <c r="H6830" s="2" t="s">
        <v>151</v>
      </c>
      <c r="L6830" s="18">
        <v>0</v>
      </c>
      <c r="Q6830" s="18">
        <v>1</v>
      </c>
      <c r="T6830" s="22">
        <v>0.9</v>
      </c>
      <c r="U6830" s="22">
        <v>1</v>
      </c>
      <c r="V6830" s="22">
        <f>4.41/5</f>
        <v>0.88200000000000001</v>
      </c>
      <c r="W6830" s="14" t="s">
        <v>5674</v>
      </c>
      <c r="AB6830" s="18">
        <f t="shared" si="212"/>
        <v>2004</v>
      </c>
      <c r="AC6830" s="22">
        <f t="shared" si="213"/>
        <v>0.92733333333333334</v>
      </c>
    </row>
    <row r="6831" spans="1:29" ht="30">
      <c r="A6831" s="8" t="s">
        <v>913</v>
      </c>
      <c r="B6831" s="17" t="s">
        <v>7740</v>
      </c>
      <c r="C6831" s="13">
        <v>38327</v>
      </c>
      <c r="D6831" s="13" t="s">
        <v>8465</v>
      </c>
      <c r="E6831" s="10" t="s">
        <v>86</v>
      </c>
      <c r="F6831" s="10" t="s">
        <v>62</v>
      </c>
      <c r="G6831" s="11" t="s">
        <v>860</v>
      </c>
      <c r="H6831" s="2" t="s">
        <v>1469</v>
      </c>
      <c r="L6831" s="18">
        <v>0</v>
      </c>
      <c r="Q6831" s="18">
        <v>1</v>
      </c>
      <c r="T6831" s="22">
        <v>0.7</v>
      </c>
      <c r="U6831" s="22">
        <v>0.73</v>
      </c>
      <c r="V6831" s="22">
        <f>3.76/5</f>
        <v>0.752</v>
      </c>
      <c r="AB6831" s="18">
        <f t="shared" si="212"/>
        <v>2004</v>
      </c>
      <c r="AC6831" s="22">
        <f t="shared" si="213"/>
        <v>0.72733333333333328</v>
      </c>
    </row>
    <row r="6832" spans="1:29" ht="30">
      <c r="A6832" s="8" t="s">
        <v>1933</v>
      </c>
      <c r="B6832" s="17" t="s">
        <v>7747</v>
      </c>
      <c r="C6832" s="13">
        <v>38323</v>
      </c>
      <c r="D6832" s="13" t="s">
        <v>8465</v>
      </c>
      <c r="E6832" s="10" t="s">
        <v>170</v>
      </c>
      <c r="F6832" s="10" t="s">
        <v>474</v>
      </c>
      <c r="G6832" s="11" t="s">
        <v>450</v>
      </c>
      <c r="H6832" s="2" t="s">
        <v>147</v>
      </c>
      <c r="L6832" s="18">
        <v>0</v>
      </c>
      <c r="Q6832" s="18">
        <v>1</v>
      </c>
      <c r="T6832" s="22">
        <v>0.7</v>
      </c>
      <c r="U6832" s="22">
        <v>0.79</v>
      </c>
      <c r="V6832" s="22">
        <f>3.64/5</f>
        <v>0.72799999999999998</v>
      </c>
      <c r="AB6832" s="18">
        <f t="shared" si="212"/>
        <v>2004</v>
      </c>
      <c r="AC6832" s="22">
        <f t="shared" si="213"/>
        <v>0.73933333333333329</v>
      </c>
    </row>
    <row r="6833" spans="1:29" ht="30">
      <c r="A6833" s="8" t="s">
        <v>919</v>
      </c>
      <c r="B6833" s="17" t="s">
        <v>7740</v>
      </c>
      <c r="C6833" s="13">
        <v>38306</v>
      </c>
      <c r="D6833" s="13" t="s">
        <v>8465</v>
      </c>
      <c r="E6833" s="10" t="s">
        <v>86</v>
      </c>
      <c r="F6833" s="10" t="s">
        <v>1139</v>
      </c>
      <c r="G6833" s="11" t="s">
        <v>109</v>
      </c>
      <c r="H6833" s="2" t="s">
        <v>1050</v>
      </c>
      <c r="L6833" s="18">
        <v>0</v>
      </c>
      <c r="Q6833" s="18">
        <v>1</v>
      </c>
      <c r="T6833" s="22">
        <v>0.7</v>
      </c>
      <c r="U6833" s="22">
        <v>0.92</v>
      </c>
      <c r="V6833" s="22">
        <f>4.19/5</f>
        <v>0.83800000000000008</v>
      </c>
      <c r="Y6833" s="18">
        <v>1</v>
      </c>
      <c r="AB6833" s="18">
        <f t="shared" si="212"/>
        <v>2004</v>
      </c>
      <c r="AC6833" s="22">
        <f t="shared" si="213"/>
        <v>0.81933333333333336</v>
      </c>
    </row>
    <row r="6834" spans="1:29">
      <c r="A6834" s="8" t="s">
        <v>6341</v>
      </c>
      <c r="B6834" s="17" t="s">
        <v>7764</v>
      </c>
      <c r="C6834" s="13">
        <v>38300</v>
      </c>
      <c r="D6834" s="13" t="s">
        <v>8465</v>
      </c>
      <c r="E6834" s="10" t="s">
        <v>3116</v>
      </c>
      <c r="F6834" s="10" t="s">
        <v>6342</v>
      </c>
      <c r="G6834" s="11" t="s">
        <v>4079</v>
      </c>
      <c r="H6834" s="2" t="s">
        <v>1050</v>
      </c>
      <c r="L6834" s="18">
        <v>0</v>
      </c>
      <c r="Q6834" s="18">
        <v>1</v>
      </c>
      <c r="T6834" s="22">
        <v>0.8</v>
      </c>
      <c r="U6834" s="22">
        <v>0.95</v>
      </c>
      <c r="V6834" s="22">
        <f>4.14/5</f>
        <v>0.82799999999999996</v>
      </c>
      <c r="AB6834" s="18">
        <f t="shared" si="212"/>
        <v>2004</v>
      </c>
      <c r="AC6834" s="22">
        <f t="shared" si="213"/>
        <v>0.85933333333333328</v>
      </c>
    </row>
    <row r="6835" spans="1:29">
      <c r="A6835" s="8" t="s">
        <v>5646</v>
      </c>
      <c r="B6835" s="17" t="s">
        <v>7800</v>
      </c>
      <c r="C6835" s="13">
        <v>38296</v>
      </c>
      <c r="D6835" s="13" t="s">
        <v>8465</v>
      </c>
      <c r="E6835" s="10" t="s">
        <v>3288</v>
      </c>
      <c r="F6835" s="10" t="s">
        <v>3288</v>
      </c>
      <c r="G6835" s="11" t="s">
        <v>3289</v>
      </c>
      <c r="H6835" s="2" t="s">
        <v>78</v>
      </c>
      <c r="L6835" s="18">
        <v>0</v>
      </c>
      <c r="Q6835" s="18">
        <v>1</v>
      </c>
      <c r="T6835" s="22">
        <v>0.5</v>
      </c>
      <c r="U6835" s="22">
        <v>0.82</v>
      </c>
      <c r="V6835" s="22">
        <f>3.78/5</f>
        <v>0.75600000000000001</v>
      </c>
      <c r="AB6835" s="18">
        <f t="shared" si="212"/>
        <v>2004</v>
      </c>
      <c r="AC6835" s="22">
        <f t="shared" si="213"/>
        <v>0.69199999999999984</v>
      </c>
    </row>
    <row r="6836" spans="1:29" ht="30">
      <c r="A6836" s="8" t="s">
        <v>904</v>
      </c>
      <c r="B6836" s="17" t="s">
        <v>7740</v>
      </c>
      <c r="C6836" s="13">
        <v>38285</v>
      </c>
      <c r="D6836" s="13" t="s">
        <v>8465</v>
      </c>
      <c r="E6836" s="10" t="s">
        <v>86</v>
      </c>
      <c r="F6836" s="10" t="s">
        <v>1509</v>
      </c>
      <c r="G6836" s="11" t="s">
        <v>578</v>
      </c>
      <c r="H6836" s="2" t="s">
        <v>1168</v>
      </c>
      <c r="L6836" s="18">
        <v>0</v>
      </c>
      <c r="Q6836" s="18">
        <v>1</v>
      </c>
      <c r="T6836" s="22">
        <v>0.8</v>
      </c>
      <c r="U6836" s="22">
        <v>0.71</v>
      </c>
      <c r="V6836" s="22">
        <f>3.76/5</f>
        <v>0.752</v>
      </c>
      <c r="AB6836" s="18">
        <f t="shared" si="212"/>
        <v>2004</v>
      </c>
      <c r="AC6836" s="22">
        <f t="shared" si="213"/>
        <v>0.754</v>
      </c>
    </row>
    <row r="6837" spans="1:29" ht="30">
      <c r="A6837" s="8" t="s">
        <v>1931</v>
      </c>
      <c r="B6837" s="17" t="s">
        <v>7747</v>
      </c>
      <c r="C6837" s="13">
        <v>38278</v>
      </c>
      <c r="D6837" s="13" t="s">
        <v>8465</v>
      </c>
      <c r="E6837" s="10" t="s">
        <v>86</v>
      </c>
      <c r="F6837" s="10" t="s">
        <v>1905</v>
      </c>
      <c r="G6837" s="11" t="s">
        <v>223</v>
      </c>
      <c r="H6837" s="2" t="s">
        <v>64</v>
      </c>
      <c r="L6837" s="18">
        <v>0</v>
      </c>
      <c r="Q6837" s="18">
        <v>1</v>
      </c>
      <c r="T6837" s="22">
        <v>0.8</v>
      </c>
      <c r="U6837" s="22">
        <v>0.78</v>
      </c>
      <c r="V6837" s="22">
        <f>4.01/5</f>
        <v>0.80199999999999994</v>
      </c>
      <c r="AB6837" s="18">
        <f t="shared" si="212"/>
        <v>2004</v>
      </c>
      <c r="AC6837" s="22">
        <f t="shared" si="213"/>
        <v>0.79400000000000004</v>
      </c>
    </row>
    <row r="6838" spans="1:29" ht="30">
      <c r="A6838" s="8" t="s">
        <v>909</v>
      </c>
      <c r="B6838" s="17" t="s">
        <v>7740</v>
      </c>
      <c r="C6838" s="13">
        <v>38271</v>
      </c>
      <c r="D6838" s="13" t="s">
        <v>8465</v>
      </c>
      <c r="E6838" s="10" t="s">
        <v>86</v>
      </c>
      <c r="F6838" s="10" t="s">
        <v>1069</v>
      </c>
      <c r="G6838" s="11" t="s">
        <v>880</v>
      </c>
      <c r="H6838" s="2" t="s">
        <v>149</v>
      </c>
      <c r="L6838" s="18">
        <v>0</v>
      </c>
      <c r="Q6838" s="18">
        <v>1</v>
      </c>
      <c r="T6838" s="22">
        <v>0.9</v>
      </c>
      <c r="U6838" s="22">
        <v>0.88</v>
      </c>
      <c r="V6838" s="22">
        <f>4.45/5</f>
        <v>0.89</v>
      </c>
      <c r="Y6838" s="18">
        <v>1</v>
      </c>
      <c r="AB6838" s="18">
        <f t="shared" si="212"/>
        <v>2004</v>
      </c>
      <c r="AC6838" s="22">
        <f t="shared" si="213"/>
        <v>0.89</v>
      </c>
    </row>
    <row r="6839" spans="1:29" ht="30">
      <c r="A6839" s="8" t="s">
        <v>1917</v>
      </c>
      <c r="B6839" s="17" t="s">
        <v>7747</v>
      </c>
      <c r="C6839" s="13">
        <v>38239</v>
      </c>
      <c r="D6839" s="13" t="s">
        <v>8465</v>
      </c>
      <c r="E6839" s="10" t="s">
        <v>86</v>
      </c>
      <c r="F6839" s="10" t="s">
        <v>1354</v>
      </c>
      <c r="G6839" s="11" t="s">
        <v>1470</v>
      </c>
      <c r="H6839" s="2" t="s">
        <v>149</v>
      </c>
      <c r="L6839" s="18">
        <v>0</v>
      </c>
      <c r="Q6839" s="18">
        <v>1</v>
      </c>
      <c r="T6839" s="22">
        <v>0.9</v>
      </c>
      <c r="U6839" s="22">
        <v>0.81</v>
      </c>
      <c r="V6839" s="22">
        <f>4.2/5</f>
        <v>0.84000000000000008</v>
      </c>
      <c r="AB6839" s="18">
        <f t="shared" si="212"/>
        <v>2004</v>
      </c>
      <c r="AC6839" s="22">
        <f t="shared" si="213"/>
        <v>0.85</v>
      </c>
    </row>
    <row r="6840" spans="1:29" ht="30">
      <c r="A6840" s="8" t="s">
        <v>2081</v>
      </c>
      <c r="B6840" s="17" t="s">
        <v>7747</v>
      </c>
      <c r="C6840" s="13">
        <v>38217</v>
      </c>
      <c r="D6840" s="13" t="s">
        <v>8465</v>
      </c>
      <c r="E6840" s="10" t="s">
        <v>455</v>
      </c>
      <c r="F6840" s="10" t="s">
        <v>1474</v>
      </c>
      <c r="G6840" s="11" t="s">
        <v>1415</v>
      </c>
      <c r="H6840" s="2" t="s">
        <v>153</v>
      </c>
      <c r="L6840" s="18">
        <v>0</v>
      </c>
      <c r="Q6840" s="18">
        <v>1</v>
      </c>
      <c r="R6840" s="13">
        <v>44607</v>
      </c>
      <c r="T6840" s="22">
        <v>0.7</v>
      </c>
      <c r="U6840" s="22">
        <v>0.87</v>
      </c>
      <c r="V6840" s="22">
        <f>4.18/5</f>
        <v>0.83599999999999997</v>
      </c>
      <c r="AB6840" s="18">
        <f t="shared" si="212"/>
        <v>2004</v>
      </c>
      <c r="AC6840" s="22">
        <f t="shared" si="213"/>
        <v>0.80199999999999994</v>
      </c>
    </row>
    <row r="6841" spans="1:29" ht="30">
      <c r="A6841" s="8" t="s">
        <v>903</v>
      </c>
      <c r="B6841" s="17" t="s">
        <v>7740</v>
      </c>
      <c r="C6841" s="13">
        <v>38166</v>
      </c>
      <c r="D6841" s="13" t="s">
        <v>8465</v>
      </c>
      <c r="E6841" s="10" t="s">
        <v>1273</v>
      </c>
      <c r="F6841" s="10" t="s">
        <v>1508</v>
      </c>
      <c r="G6841" s="11" t="s">
        <v>1264</v>
      </c>
      <c r="H6841" s="2" t="s">
        <v>80</v>
      </c>
      <c r="L6841" s="18">
        <v>0</v>
      </c>
      <c r="Q6841" s="18">
        <v>1</v>
      </c>
      <c r="T6841" s="22">
        <v>0.8</v>
      </c>
      <c r="U6841" s="22">
        <v>0.8</v>
      </c>
      <c r="V6841" s="22">
        <f>3.89/5</f>
        <v>0.77800000000000002</v>
      </c>
      <c r="AB6841" s="18">
        <f t="shared" si="212"/>
        <v>2004</v>
      </c>
      <c r="AC6841" s="22">
        <f t="shared" si="213"/>
        <v>0.79266666666666674</v>
      </c>
    </row>
    <row r="6842" spans="1:29" ht="38.25">
      <c r="A6842" s="8" t="s">
        <v>922</v>
      </c>
      <c r="B6842" s="17" t="s">
        <v>7740</v>
      </c>
      <c r="C6842" s="13">
        <v>38145</v>
      </c>
      <c r="D6842" s="13" t="s">
        <v>8465</v>
      </c>
      <c r="E6842" s="10" t="s">
        <v>86</v>
      </c>
      <c r="F6842" s="10" t="s">
        <v>87</v>
      </c>
      <c r="G6842" s="11" t="s">
        <v>85</v>
      </c>
      <c r="H6842" s="2" t="s">
        <v>80</v>
      </c>
      <c r="L6842" s="18">
        <v>1</v>
      </c>
      <c r="M6842" s="14" t="s">
        <v>8462</v>
      </c>
      <c r="N6842" s="13">
        <v>44309</v>
      </c>
      <c r="O6842" s="29">
        <v>86.18</v>
      </c>
      <c r="P6842" s="18" t="s">
        <v>14</v>
      </c>
      <c r="Q6842" s="18">
        <v>1</v>
      </c>
      <c r="T6842" s="22">
        <v>0.7</v>
      </c>
      <c r="U6842" s="22">
        <v>0.85</v>
      </c>
      <c r="V6842" s="22">
        <f>3.86/5</f>
        <v>0.77200000000000002</v>
      </c>
      <c r="AB6842" s="18">
        <f t="shared" si="212"/>
        <v>2004</v>
      </c>
      <c r="AC6842" s="22">
        <f t="shared" si="213"/>
        <v>0.77400000000000002</v>
      </c>
    </row>
    <row r="6843" spans="1:29" ht="25.5">
      <c r="A6843" s="8" t="s">
        <v>8168</v>
      </c>
      <c r="B6843" s="17" t="s">
        <v>7755</v>
      </c>
      <c r="C6843" s="13">
        <v>38043</v>
      </c>
      <c r="D6843" s="13" t="s">
        <v>8463</v>
      </c>
      <c r="E6843" s="10" t="s">
        <v>8169</v>
      </c>
      <c r="F6843" s="10" t="s">
        <v>8170</v>
      </c>
      <c r="G6843" s="11" t="s">
        <v>1644</v>
      </c>
      <c r="H6843" s="2" t="s">
        <v>21</v>
      </c>
      <c r="K6843" s="18">
        <v>0</v>
      </c>
      <c r="L6843" s="18">
        <v>0</v>
      </c>
      <c r="Q6843" s="18">
        <v>1</v>
      </c>
      <c r="R6843" s="13">
        <v>43898</v>
      </c>
      <c r="S6843" s="21">
        <f>21/60+16/3600</f>
        <v>0.3544444444444444</v>
      </c>
      <c r="T6843" s="22">
        <v>0.7</v>
      </c>
      <c r="V6843" s="22">
        <f>4.14/5</f>
        <v>0.82799999999999996</v>
      </c>
      <c r="AB6843" s="18">
        <f t="shared" si="212"/>
        <v>2004</v>
      </c>
      <c r="AC6843" s="22">
        <f t="shared" si="213"/>
        <v>0.76400000000000001</v>
      </c>
    </row>
    <row r="6844" spans="1:29" ht="30">
      <c r="A6844" s="8" t="s">
        <v>1906</v>
      </c>
      <c r="B6844" s="17" t="s">
        <v>7747</v>
      </c>
      <c r="C6844" s="13">
        <v>38026</v>
      </c>
      <c r="D6844" s="13" t="s">
        <v>8465</v>
      </c>
      <c r="E6844" s="10" t="s">
        <v>86</v>
      </c>
      <c r="F6844" s="10" t="s">
        <v>142</v>
      </c>
      <c r="G6844" s="11" t="s">
        <v>109</v>
      </c>
      <c r="H6844" s="2" t="s">
        <v>151</v>
      </c>
      <c r="L6844" s="18">
        <v>0</v>
      </c>
      <c r="Q6844" s="18">
        <v>1</v>
      </c>
      <c r="T6844" s="22">
        <v>0.9</v>
      </c>
      <c r="U6844" s="22">
        <v>0.9</v>
      </c>
      <c r="V6844" s="22">
        <f>4.26/5</f>
        <v>0.85199999999999998</v>
      </c>
      <c r="Y6844" s="18">
        <v>1</v>
      </c>
      <c r="AB6844" s="18">
        <f t="shared" si="212"/>
        <v>2004</v>
      </c>
      <c r="AC6844" s="22">
        <f t="shared" si="213"/>
        <v>0.88400000000000001</v>
      </c>
    </row>
    <row r="6845" spans="1:29" ht="30">
      <c r="A6845" s="8" t="s">
        <v>917</v>
      </c>
      <c r="B6845" s="17" t="s">
        <v>7740</v>
      </c>
      <c r="C6845" s="13">
        <v>37991</v>
      </c>
      <c r="D6845" s="13" t="s">
        <v>8465</v>
      </c>
      <c r="E6845" s="10" t="s">
        <v>455</v>
      </c>
      <c r="F6845" s="10" t="s">
        <v>1492</v>
      </c>
      <c r="G6845" s="11" t="s">
        <v>1688</v>
      </c>
      <c r="H6845" s="2" t="s">
        <v>1040</v>
      </c>
      <c r="L6845" s="18">
        <v>0</v>
      </c>
      <c r="Q6845" s="18">
        <v>1</v>
      </c>
      <c r="T6845" s="22">
        <v>0.6</v>
      </c>
      <c r="U6845" s="22">
        <v>0.75</v>
      </c>
      <c r="V6845" s="22">
        <f>3.49/5</f>
        <v>0.69800000000000006</v>
      </c>
      <c r="AB6845" s="18">
        <f t="shared" si="212"/>
        <v>2004</v>
      </c>
      <c r="AC6845" s="22">
        <f t="shared" si="213"/>
        <v>0.68266666666666664</v>
      </c>
    </row>
    <row r="6846" spans="1:29" ht="30">
      <c r="A6846" s="8" t="s">
        <v>14727</v>
      </c>
      <c r="B6846" s="17" t="s">
        <v>7758</v>
      </c>
      <c r="C6846" s="13">
        <v>37986</v>
      </c>
      <c r="D6846" s="13" t="s">
        <v>8467</v>
      </c>
      <c r="E6846" s="10" t="s">
        <v>1047</v>
      </c>
      <c r="F6846" s="10" t="s">
        <v>3152</v>
      </c>
      <c r="G6846" s="11" t="s">
        <v>14728</v>
      </c>
      <c r="H6846" s="2" t="s">
        <v>1170</v>
      </c>
      <c r="L6846" s="18">
        <v>0</v>
      </c>
      <c r="Q6846" s="18">
        <v>0</v>
      </c>
      <c r="V6846" s="22">
        <f>3.27/5</f>
        <v>0.65400000000000003</v>
      </c>
      <c r="X6846" s="3">
        <v>2</v>
      </c>
      <c r="Z6846" s="23">
        <f>42/60</f>
        <v>0.7</v>
      </c>
      <c r="AB6846" s="18">
        <f t="shared" si="212"/>
        <v>2003</v>
      </c>
      <c r="AC6846" s="22">
        <f t="shared" si="213"/>
        <v>0.52700000000000002</v>
      </c>
    </row>
    <row r="6847" spans="1:29" ht="30">
      <c r="A6847" s="8" t="s">
        <v>15119</v>
      </c>
      <c r="B6847" s="17" t="s">
        <v>7740</v>
      </c>
      <c r="C6847" s="13">
        <v>37973</v>
      </c>
      <c r="D6847" s="13" t="s">
        <v>8463</v>
      </c>
      <c r="E6847" s="10" t="s">
        <v>62</v>
      </c>
      <c r="F6847" s="10" t="s">
        <v>15120</v>
      </c>
      <c r="H6847" s="2" t="s">
        <v>459</v>
      </c>
      <c r="K6847" s="18">
        <v>0</v>
      </c>
      <c r="L6847" s="18">
        <v>0</v>
      </c>
      <c r="Q6847" s="18">
        <v>0</v>
      </c>
      <c r="V6847" s="22">
        <f>3.59/5</f>
        <v>0.71799999999999997</v>
      </c>
      <c r="X6847" s="3">
        <v>2</v>
      </c>
      <c r="Z6847" s="23">
        <f>20/60</f>
        <v>0.33333333333333331</v>
      </c>
      <c r="AB6847" s="18">
        <f t="shared" si="212"/>
        <v>2003</v>
      </c>
      <c r="AC6847" s="22">
        <f t="shared" si="213"/>
        <v>0.55899999999999994</v>
      </c>
    </row>
    <row r="6848" spans="1:29">
      <c r="A6848" s="8" t="s">
        <v>379</v>
      </c>
      <c r="B6848" s="17" t="s">
        <v>6317</v>
      </c>
      <c r="C6848" s="13">
        <v>37972</v>
      </c>
      <c r="D6848" s="13" t="s">
        <v>8463</v>
      </c>
      <c r="E6848" s="10" t="s">
        <v>252</v>
      </c>
      <c r="F6848" s="10" t="s">
        <v>479</v>
      </c>
      <c r="G6848" s="11" t="s">
        <v>447</v>
      </c>
      <c r="H6848" s="2" t="s">
        <v>459</v>
      </c>
      <c r="K6848" s="18">
        <v>0</v>
      </c>
      <c r="L6848" s="18">
        <v>0</v>
      </c>
      <c r="Q6848" s="18">
        <v>0</v>
      </c>
      <c r="V6848" s="22">
        <f>3.96/5</f>
        <v>0.79200000000000004</v>
      </c>
      <c r="X6848" s="3">
        <v>3</v>
      </c>
      <c r="Z6848" s="23">
        <v>1.5</v>
      </c>
      <c r="AB6848" s="18">
        <f t="shared" si="212"/>
        <v>2003</v>
      </c>
      <c r="AC6848" s="22">
        <f t="shared" si="213"/>
        <v>0.69599999999999995</v>
      </c>
    </row>
    <row r="6849" spans="1:29" ht="30">
      <c r="A6849" s="8" t="s">
        <v>6639</v>
      </c>
      <c r="B6849" s="17" t="s">
        <v>7740</v>
      </c>
      <c r="C6849" s="13">
        <v>37971</v>
      </c>
      <c r="D6849" s="13" t="s">
        <v>8465</v>
      </c>
      <c r="E6849" s="10" t="s">
        <v>70</v>
      </c>
      <c r="F6849" s="10" t="s">
        <v>70</v>
      </c>
      <c r="H6849" s="2" t="s">
        <v>1143</v>
      </c>
      <c r="L6849" s="18">
        <v>0</v>
      </c>
      <c r="Q6849" s="18">
        <v>0</v>
      </c>
      <c r="U6849" s="22">
        <v>0.76</v>
      </c>
      <c r="V6849" s="22">
        <f>3.46/5</f>
        <v>0.69199999999999995</v>
      </c>
      <c r="X6849" s="3">
        <v>2</v>
      </c>
      <c r="Z6849" s="23">
        <v>8.5</v>
      </c>
      <c r="AB6849" s="18">
        <f t="shared" ref="AB6849:AB6912" si="214">IFERROR(YEAR(C6849), "Early Access")</f>
        <v>2003</v>
      </c>
      <c r="AC6849" s="22">
        <f t="shared" ref="AC6849:AC6912" si="215">AVERAGE(T6849, U6849, V6849, IF(ISBLANK(X6849), X6849, X6849/5))</f>
        <v>0.61733333333333329</v>
      </c>
    </row>
    <row r="6850" spans="1:29">
      <c r="A6850" s="8" t="s">
        <v>5746</v>
      </c>
      <c r="B6850" s="17" t="s">
        <v>7758</v>
      </c>
      <c r="C6850" s="13">
        <v>37970</v>
      </c>
      <c r="D6850" s="13" t="s">
        <v>8467</v>
      </c>
      <c r="E6850" s="10" t="s">
        <v>73</v>
      </c>
      <c r="F6850" s="10" t="s">
        <v>73</v>
      </c>
      <c r="H6850" s="2" t="s">
        <v>1061</v>
      </c>
      <c r="L6850" s="18">
        <v>0</v>
      </c>
      <c r="Q6850" s="18">
        <v>0</v>
      </c>
      <c r="U6850" s="22">
        <v>0.78</v>
      </c>
      <c r="V6850" s="22">
        <f>3.6/5</f>
        <v>0.72</v>
      </c>
      <c r="X6850" s="3">
        <v>3</v>
      </c>
      <c r="Z6850" s="23">
        <v>7</v>
      </c>
      <c r="AB6850" s="18">
        <f t="shared" si="214"/>
        <v>2003</v>
      </c>
      <c r="AC6850" s="22">
        <f t="shared" si="215"/>
        <v>0.70000000000000007</v>
      </c>
    </row>
    <row r="6851" spans="1:29" ht="25.5">
      <c r="A6851" s="8" t="s">
        <v>532</v>
      </c>
      <c r="B6851" s="17" t="s">
        <v>7731</v>
      </c>
      <c r="C6851" s="13">
        <v>37967</v>
      </c>
      <c r="D6851" s="13" t="s">
        <v>8465</v>
      </c>
      <c r="E6851" s="10" t="s">
        <v>170</v>
      </c>
      <c r="F6851" s="10" t="s">
        <v>170</v>
      </c>
      <c r="G6851" s="11" t="s">
        <v>567</v>
      </c>
      <c r="H6851" s="2" t="s">
        <v>459</v>
      </c>
      <c r="L6851" s="18">
        <v>0</v>
      </c>
      <c r="Q6851" s="18">
        <v>0</v>
      </c>
      <c r="V6851" s="22">
        <f>4.13/5</f>
        <v>0.82599999999999996</v>
      </c>
      <c r="X6851" s="3">
        <v>3</v>
      </c>
      <c r="Z6851" s="23">
        <v>4.5</v>
      </c>
      <c r="AB6851" s="18">
        <f t="shared" si="214"/>
        <v>2003</v>
      </c>
      <c r="AC6851" s="22">
        <f t="shared" si="215"/>
        <v>0.71299999999999997</v>
      </c>
    </row>
    <row r="6852" spans="1:29" ht="38.25">
      <c r="A6852" s="8" t="s">
        <v>9067</v>
      </c>
      <c r="B6852" s="17" t="s">
        <v>7747</v>
      </c>
      <c r="C6852" s="13">
        <v>37967</v>
      </c>
      <c r="D6852" s="13" t="s">
        <v>8463</v>
      </c>
      <c r="E6852" s="10" t="s">
        <v>228</v>
      </c>
      <c r="F6852" s="10" t="s">
        <v>7817</v>
      </c>
      <c r="G6852" s="11" t="s">
        <v>1171</v>
      </c>
      <c r="H6852" s="2" t="s">
        <v>149</v>
      </c>
      <c r="K6852" s="18">
        <v>0</v>
      </c>
      <c r="L6852" s="18">
        <v>0</v>
      </c>
      <c r="Q6852" s="18">
        <v>0</v>
      </c>
      <c r="V6852" s="22">
        <f>1.3/5</f>
        <v>0.26</v>
      </c>
      <c r="X6852" s="3">
        <v>3</v>
      </c>
      <c r="AB6852" s="18">
        <f t="shared" si="214"/>
        <v>2003</v>
      </c>
      <c r="AC6852" s="22">
        <f t="shared" si="215"/>
        <v>0.43</v>
      </c>
    </row>
    <row r="6853" spans="1:29">
      <c r="A6853" s="8" t="s">
        <v>522</v>
      </c>
      <c r="B6853" s="17" t="s">
        <v>7731</v>
      </c>
      <c r="C6853" s="13">
        <v>37966</v>
      </c>
      <c r="D6853" s="13" t="s">
        <v>8465</v>
      </c>
      <c r="E6853" s="10" t="s">
        <v>170</v>
      </c>
      <c r="F6853" s="10" t="s">
        <v>1224</v>
      </c>
      <c r="G6853" s="11" t="s">
        <v>519</v>
      </c>
      <c r="H6853" s="2" t="s">
        <v>459</v>
      </c>
      <c r="L6853" s="18">
        <v>0</v>
      </c>
      <c r="Q6853" s="18">
        <v>0</v>
      </c>
      <c r="V6853" s="22">
        <f>4.01/5</f>
        <v>0.80199999999999994</v>
      </c>
      <c r="X6853" s="3">
        <v>2</v>
      </c>
      <c r="Z6853" s="23">
        <v>0.95</v>
      </c>
      <c r="AB6853" s="18">
        <f t="shared" si="214"/>
        <v>2003</v>
      </c>
      <c r="AC6853" s="22">
        <f t="shared" si="215"/>
        <v>0.60099999999999998</v>
      </c>
    </row>
    <row r="6854" spans="1:29" ht="38.25">
      <c r="A6854" s="8" t="s">
        <v>10828</v>
      </c>
      <c r="B6854" s="17" t="s">
        <v>7757</v>
      </c>
      <c r="C6854" s="13">
        <v>37966</v>
      </c>
      <c r="D6854" s="13" t="s">
        <v>8463</v>
      </c>
      <c r="E6854" s="10" t="s">
        <v>72</v>
      </c>
      <c r="F6854" s="10" t="s">
        <v>72</v>
      </c>
      <c r="G6854" s="11" t="s">
        <v>10827</v>
      </c>
      <c r="H6854" s="2" t="s">
        <v>56</v>
      </c>
      <c r="K6854" s="18">
        <v>0</v>
      </c>
      <c r="L6854" s="18">
        <v>0</v>
      </c>
      <c r="Q6854" s="18">
        <v>0</v>
      </c>
      <c r="V6854" s="22">
        <f>3.27/5</f>
        <v>0.65400000000000003</v>
      </c>
      <c r="X6854" s="3">
        <v>2</v>
      </c>
      <c r="AB6854" s="18">
        <f t="shared" si="214"/>
        <v>2003</v>
      </c>
      <c r="AC6854" s="22">
        <f t="shared" si="215"/>
        <v>0.52700000000000002</v>
      </c>
    </row>
    <row r="6855" spans="1:29" ht="25.5">
      <c r="A6855" s="8" t="s">
        <v>5807</v>
      </c>
      <c r="B6855" s="17" t="s">
        <v>7758</v>
      </c>
      <c r="C6855" s="13">
        <v>37965</v>
      </c>
      <c r="D6855" s="13" t="s">
        <v>8465</v>
      </c>
      <c r="E6855" s="10" t="s">
        <v>76</v>
      </c>
      <c r="F6855" s="10" t="s">
        <v>76</v>
      </c>
      <c r="G6855" s="11" t="s">
        <v>1550</v>
      </c>
      <c r="H6855" s="2" t="s">
        <v>1061</v>
      </c>
      <c r="L6855" s="18">
        <v>0</v>
      </c>
      <c r="Q6855" s="18">
        <v>0</v>
      </c>
      <c r="U6855" s="22">
        <v>0.82</v>
      </c>
      <c r="V6855" s="22">
        <f>4.27/5</f>
        <v>0.85399999999999987</v>
      </c>
      <c r="X6855" s="3">
        <v>4</v>
      </c>
      <c r="Z6855" s="23">
        <v>9.5</v>
      </c>
      <c r="AB6855" s="18">
        <f t="shared" si="214"/>
        <v>2003</v>
      </c>
      <c r="AC6855" s="22">
        <f t="shared" si="215"/>
        <v>0.82466666666666677</v>
      </c>
    </row>
    <row r="6856" spans="1:29">
      <c r="A6856" s="8" t="s">
        <v>8043</v>
      </c>
      <c r="B6856" s="17" t="s">
        <v>7758</v>
      </c>
      <c r="C6856" s="13">
        <v>37964</v>
      </c>
      <c r="D6856" s="13" t="s">
        <v>8465</v>
      </c>
      <c r="E6856" s="10" t="s">
        <v>158</v>
      </c>
      <c r="F6856" s="10" t="s">
        <v>158</v>
      </c>
      <c r="G6856" s="11" t="s">
        <v>8037</v>
      </c>
      <c r="H6856" s="2" t="s">
        <v>150</v>
      </c>
      <c r="L6856" s="18">
        <v>0</v>
      </c>
      <c r="Q6856" s="18">
        <v>0</v>
      </c>
      <c r="U6856" s="22">
        <v>0.67779999999999996</v>
      </c>
      <c r="V6856" s="22">
        <f>3.95/5</f>
        <v>0.79</v>
      </c>
      <c r="X6856" s="3">
        <v>2</v>
      </c>
      <c r="Z6856" s="23">
        <v>3</v>
      </c>
      <c r="AB6856" s="18">
        <f t="shared" si="214"/>
        <v>2003</v>
      </c>
      <c r="AC6856" s="22">
        <f t="shared" si="215"/>
        <v>0.62259999999999993</v>
      </c>
    </row>
    <row r="6857" spans="1:29" ht="30">
      <c r="A6857" s="8" t="s">
        <v>13447</v>
      </c>
      <c r="B6857" s="17" t="s">
        <v>7740</v>
      </c>
      <c r="C6857" s="13">
        <v>37964</v>
      </c>
      <c r="D6857" s="13" t="s">
        <v>8465</v>
      </c>
      <c r="E6857" s="10" t="s">
        <v>5010</v>
      </c>
      <c r="F6857" s="10" t="s">
        <v>13448</v>
      </c>
      <c r="G6857" s="11" t="s">
        <v>13449</v>
      </c>
      <c r="H6857" s="2" t="s">
        <v>80</v>
      </c>
      <c r="L6857" s="18">
        <v>0</v>
      </c>
      <c r="Q6857" s="18">
        <v>0</v>
      </c>
      <c r="U6857" s="22">
        <v>0.62</v>
      </c>
      <c r="V6857" s="22">
        <f>3.11/5</f>
        <v>0.622</v>
      </c>
      <c r="X6857" s="3">
        <v>2</v>
      </c>
      <c r="Z6857" s="23">
        <v>6</v>
      </c>
      <c r="AB6857" s="18">
        <f t="shared" si="214"/>
        <v>2003</v>
      </c>
      <c r="AC6857" s="22">
        <f t="shared" si="215"/>
        <v>0.54733333333333334</v>
      </c>
    </row>
    <row r="6858" spans="1:29">
      <c r="A6858" s="8" t="s">
        <v>8900</v>
      </c>
      <c r="B6858" s="17" t="s">
        <v>7758</v>
      </c>
      <c r="C6858" s="13">
        <v>37959</v>
      </c>
      <c r="D6858" s="13" t="s">
        <v>8465</v>
      </c>
      <c r="E6858" s="10" t="s">
        <v>1062</v>
      </c>
      <c r="F6858" s="10" t="s">
        <v>8901</v>
      </c>
      <c r="G6858" s="11" t="s">
        <v>8900</v>
      </c>
      <c r="H6858" s="2" t="s">
        <v>3411</v>
      </c>
      <c r="L6858" s="18">
        <v>0</v>
      </c>
      <c r="Q6858" s="18">
        <v>0</v>
      </c>
      <c r="U6858" s="22">
        <v>0.78</v>
      </c>
      <c r="V6858" s="22">
        <f>4.02/5</f>
        <v>0.80399999999999994</v>
      </c>
      <c r="X6858" s="3">
        <v>3</v>
      </c>
      <c r="AB6858" s="18">
        <f t="shared" si="214"/>
        <v>2003</v>
      </c>
      <c r="AC6858" s="22">
        <f t="shared" si="215"/>
        <v>0.72800000000000009</v>
      </c>
    </row>
    <row r="6859" spans="1:29" ht="25.5">
      <c r="A6859" s="8" t="s">
        <v>11595</v>
      </c>
      <c r="B6859" s="17" t="s">
        <v>7758</v>
      </c>
      <c r="C6859" s="13">
        <v>37959</v>
      </c>
      <c r="D6859" s="13" t="s">
        <v>8465</v>
      </c>
      <c r="E6859" s="10" t="s">
        <v>157</v>
      </c>
      <c r="F6859" s="10" t="s">
        <v>1366</v>
      </c>
      <c r="G6859" s="11" t="s">
        <v>1395</v>
      </c>
      <c r="H6859" s="2" t="s">
        <v>1204</v>
      </c>
      <c r="L6859" s="18">
        <v>0</v>
      </c>
      <c r="Q6859" s="18">
        <v>0</v>
      </c>
      <c r="U6859" s="22">
        <v>0.66</v>
      </c>
      <c r="V6859" s="22">
        <f>3.74/5</f>
        <v>0.748</v>
      </c>
      <c r="X6859" s="3">
        <v>2</v>
      </c>
      <c r="Z6859" s="23">
        <v>4.5</v>
      </c>
      <c r="AB6859" s="18">
        <f t="shared" si="214"/>
        <v>2003</v>
      </c>
      <c r="AC6859" s="22">
        <f t="shared" si="215"/>
        <v>0.60266666666666657</v>
      </c>
    </row>
    <row r="6860" spans="1:29" ht="25.5">
      <c r="A6860" s="8" t="s">
        <v>15285</v>
      </c>
      <c r="B6860" s="17" t="s">
        <v>7800</v>
      </c>
      <c r="C6860" s="13">
        <v>37958</v>
      </c>
      <c r="D6860" s="13" t="s">
        <v>8465</v>
      </c>
      <c r="E6860" s="10" t="s">
        <v>311</v>
      </c>
      <c r="F6860" s="10" t="s">
        <v>15286</v>
      </c>
      <c r="G6860" s="11" t="s">
        <v>10608</v>
      </c>
      <c r="H6860" s="2" t="s">
        <v>1050</v>
      </c>
      <c r="L6860" s="18">
        <v>0</v>
      </c>
      <c r="Q6860" s="18">
        <v>0</v>
      </c>
      <c r="U6860" s="22">
        <v>0.25</v>
      </c>
      <c r="V6860" s="22">
        <f>2.28/5</f>
        <v>0.45599999999999996</v>
      </c>
      <c r="X6860" s="3">
        <v>2</v>
      </c>
      <c r="Z6860" s="23">
        <v>2.5</v>
      </c>
      <c r="AB6860" s="18">
        <f t="shared" si="214"/>
        <v>2003</v>
      </c>
      <c r="AC6860" s="22">
        <f t="shared" si="215"/>
        <v>0.36866666666666664</v>
      </c>
    </row>
    <row r="6861" spans="1:29" ht="30">
      <c r="A6861" s="8" t="s">
        <v>6638</v>
      </c>
      <c r="B6861" s="17" t="s">
        <v>7740</v>
      </c>
      <c r="C6861" s="13">
        <v>37958</v>
      </c>
      <c r="D6861" s="13" t="s">
        <v>8465</v>
      </c>
      <c r="E6861" s="10" t="s">
        <v>73</v>
      </c>
      <c r="F6861" s="10" t="s">
        <v>73</v>
      </c>
      <c r="H6861" s="2" t="s">
        <v>1168</v>
      </c>
      <c r="L6861" s="18">
        <v>0</v>
      </c>
      <c r="Q6861" s="18">
        <v>0</v>
      </c>
      <c r="U6861" s="22">
        <v>0.63</v>
      </c>
      <c r="V6861" s="22">
        <f>4.21/5</f>
        <v>0.84199999999999997</v>
      </c>
      <c r="X6861" s="3">
        <v>3</v>
      </c>
      <c r="Z6861" s="23">
        <v>10.5</v>
      </c>
      <c r="AB6861" s="18">
        <f t="shared" si="214"/>
        <v>2003</v>
      </c>
      <c r="AC6861" s="22">
        <f t="shared" si="215"/>
        <v>0.69066666666666665</v>
      </c>
    </row>
    <row r="6862" spans="1:29" ht="30">
      <c r="A6862" s="8" t="s">
        <v>930</v>
      </c>
      <c r="B6862" s="17" t="s">
        <v>7740</v>
      </c>
      <c r="C6862" s="13">
        <v>37958</v>
      </c>
      <c r="D6862" s="13" t="s">
        <v>8465</v>
      </c>
      <c r="E6862" s="10" t="s">
        <v>73</v>
      </c>
      <c r="F6862" s="10" t="s">
        <v>73</v>
      </c>
      <c r="G6862" s="11" t="s">
        <v>943</v>
      </c>
      <c r="H6862" s="2" t="s">
        <v>1061</v>
      </c>
      <c r="L6862" s="18">
        <v>0</v>
      </c>
      <c r="Q6862" s="18">
        <v>0</v>
      </c>
      <c r="U6862" s="22">
        <v>0.64</v>
      </c>
      <c r="V6862" s="22">
        <f>3.94/5</f>
        <v>0.78800000000000003</v>
      </c>
      <c r="X6862" s="3">
        <v>3</v>
      </c>
      <c r="Z6862" s="23">
        <v>11.5</v>
      </c>
      <c r="AB6862" s="18">
        <f t="shared" si="214"/>
        <v>2003</v>
      </c>
      <c r="AC6862" s="22">
        <f t="shared" si="215"/>
        <v>0.67600000000000005</v>
      </c>
    </row>
    <row r="6863" spans="1:29">
      <c r="A6863" s="8" t="s">
        <v>5589</v>
      </c>
      <c r="B6863" s="17" t="s">
        <v>7800</v>
      </c>
      <c r="C6863" s="13">
        <v>37958</v>
      </c>
      <c r="D6863" s="13" t="s">
        <v>8465</v>
      </c>
      <c r="E6863" s="10" t="s">
        <v>5590</v>
      </c>
      <c r="F6863" s="10" t="s">
        <v>5587</v>
      </c>
      <c r="G6863" s="11" t="s">
        <v>5588</v>
      </c>
      <c r="H6863" s="2" t="s">
        <v>1334</v>
      </c>
      <c r="L6863" s="18">
        <v>1</v>
      </c>
      <c r="N6863" s="13">
        <v>41536</v>
      </c>
      <c r="P6863" s="18" t="s">
        <v>1107</v>
      </c>
      <c r="Q6863" s="18">
        <v>0</v>
      </c>
      <c r="U6863" s="22">
        <v>0.76</v>
      </c>
      <c r="V6863" s="22">
        <f>3.63/5</f>
        <v>0.72599999999999998</v>
      </c>
      <c r="W6863" s="14" t="s">
        <v>7777</v>
      </c>
      <c r="X6863" s="3">
        <v>2</v>
      </c>
      <c r="Z6863" s="23">
        <v>42.5</v>
      </c>
      <c r="AB6863" s="18">
        <f t="shared" si="214"/>
        <v>2003</v>
      </c>
      <c r="AC6863" s="22">
        <f t="shared" si="215"/>
        <v>0.62866666666666671</v>
      </c>
    </row>
    <row r="6864" spans="1:29" ht="38.25">
      <c r="A6864" s="8" t="s">
        <v>6962</v>
      </c>
      <c r="B6864" s="17" t="s">
        <v>7800</v>
      </c>
      <c r="C6864" s="13">
        <v>37957</v>
      </c>
      <c r="D6864" s="13" t="s">
        <v>8465</v>
      </c>
      <c r="E6864" s="10" t="s">
        <v>311</v>
      </c>
      <c r="F6864" s="10" t="s">
        <v>1161</v>
      </c>
      <c r="G6864" s="11" t="s">
        <v>4533</v>
      </c>
      <c r="H6864" s="2" t="s">
        <v>1720</v>
      </c>
      <c r="L6864" s="18">
        <v>1</v>
      </c>
      <c r="N6864" s="13">
        <v>41803</v>
      </c>
      <c r="O6864" s="29">
        <v>0</v>
      </c>
      <c r="P6864" s="18" t="s">
        <v>1107</v>
      </c>
      <c r="Q6864" s="18">
        <v>0</v>
      </c>
      <c r="U6864" s="22">
        <v>0.84</v>
      </c>
      <c r="V6864" s="22">
        <f>4.13/5</f>
        <v>0.82599999999999996</v>
      </c>
      <c r="W6864" s="14" t="s">
        <v>7778</v>
      </c>
      <c r="X6864" s="3">
        <v>4</v>
      </c>
      <c r="Z6864" s="23">
        <v>23</v>
      </c>
      <c r="AB6864" s="18">
        <f t="shared" si="214"/>
        <v>2003</v>
      </c>
      <c r="AC6864" s="22">
        <f t="shared" si="215"/>
        <v>0.82200000000000006</v>
      </c>
    </row>
    <row r="6865" spans="1:29" ht="25.5">
      <c r="A6865" s="8" t="s">
        <v>4744</v>
      </c>
      <c r="B6865" s="17" t="s">
        <v>7800</v>
      </c>
      <c r="C6865" s="13">
        <v>37957</v>
      </c>
      <c r="D6865" s="13" t="s">
        <v>8465</v>
      </c>
      <c r="E6865" s="10" t="s">
        <v>1047</v>
      </c>
      <c r="F6865" s="10" t="s">
        <v>1048</v>
      </c>
      <c r="G6865" s="11" t="s">
        <v>677</v>
      </c>
      <c r="H6865" s="2" t="s">
        <v>80</v>
      </c>
      <c r="L6865" s="18">
        <v>1</v>
      </c>
      <c r="N6865" s="13">
        <v>41204</v>
      </c>
      <c r="O6865" s="29">
        <v>2.4900000000000002</v>
      </c>
      <c r="P6865" s="18" t="s">
        <v>1107</v>
      </c>
      <c r="Q6865" s="18">
        <v>0</v>
      </c>
      <c r="U6865" s="22">
        <v>0.89</v>
      </c>
      <c r="V6865" s="22">
        <f>3.99/5</f>
        <v>0.79800000000000004</v>
      </c>
      <c r="W6865" s="14" t="s">
        <v>7777</v>
      </c>
      <c r="X6865" s="3">
        <v>3</v>
      </c>
      <c r="Z6865" s="23">
        <v>9</v>
      </c>
      <c r="AB6865" s="18">
        <f t="shared" si="214"/>
        <v>2003</v>
      </c>
      <c r="AC6865" s="22">
        <f t="shared" si="215"/>
        <v>0.76266666666666671</v>
      </c>
    </row>
    <row r="6866" spans="1:29">
      <c r="A6866" s="8" t="s">
        <v>3648</v>
      </c>
      <c r="B6866" s="17" t="s">
        <v>7800</v>
      </c>
      <c r="C6866" s="13">
        <v>37957</v>
      </c>
      <c r="D6866" s="13" t="s">
        <v>8465</v>
      </c>
      <c r="E6866" s="10" t="s">
        <v>1870</v>
      </c>
      <c r="F6866" s="10" t="s">
        <v>3176</v>
      </c>
      <c r="G6866" s="11" t="s">
        <v>3645</v>
      </c>
      <c r="H6866" s="2" t="s">
        <v>171</v>
      </c>
      <c r="L6866" s="18">
        <v>1</v>
      </c>
      <c r="N6866" s="13">
        <v>41842</v>
      </c>
      <c r="P6866" s="18" t="s">
        <v>1107</v>
      </c>
      <c r="Q6866" s="18">
        <v>0</v>
      </c>
      <c r="U6866" s="22">
        <v>0.84</v>
      </c>
      <c r="V6866" s="22">
        <f>3.26/5</f>
        <v>0.65199999999999991</v>
      </c>
      <c r="W6866" s="14" t="s">
        <v>7777</v>
      </c>
      <c r="X6866" s="3">
        <v>3</v>
      </c>
      <c r="Z6866" s="23">
        <v>9.5</v>
      </c>
      <c r="AB6866" s="18">
        <f t="shared" si="214"/>
        <v>2003</v>
      </c>
      <c r="AC6866" s="22">
        <f t="shared" si="215"/>
        <v>0.69733333333333336</v>
      </c>
    </row>
    <row r="6867" spans="1:29" ht="30">
      <c r="A6867" s="8" t="s">
        <v>2071</v>
      </c>
      <c r="B6867" s="17" t="s">
        <v>7747</v>
      </c>
      <c r="C6867" s="13">
        <v>37956</v>
      </c>
      <c r="D6867" s="13" t="s">
        <v>8465</v>
      </c>
      <c r="E6867" s="10" t="s">
        <v>86</v>
      </c>
      <c r="F6867" s="10" t="s">
        <v>1962</v>
      </c>
      <c r="G6867" s="11" t="s">
        <v>1253</v>
      </c>
      <c r="H6867" s="2" t="s">
        <v>171</v>
      </c>
      <c r="L6867" s="18">
        <v>0</v>
      </c>
      <c r="Q6867" s="18">
        <v>0</v>
      </c>
      <c r="U6867" s="22">
        <v>0.71</v>
      </c>
      <c r="V6867" s="22">
        <f>3.64/5</f>
        <v>0.72799999999999998</v>
      </c>
      <c r="X6867" s="3">
        <v>4</v>
      </c>
      <c r="Z6867" s="23">
        <v>18</v>
      </c>
      <c r="AB6867" s="18">
        <f t="shared" si="214"/>
        <v>2003</v>
      </c>
      <c r="AC6867" s="22">
        <f t="shared" si="215"/>
        <v>0.746</v>
      </c>
    </row>
    <row r="6868" spans="1:29" ht="30">
      <c r="A6868" s="8" t="s">
        <v>955</v>
      </c>
      <c r="B6868" s="17" t="s">
        <v>7740</v>
      </c>
      <c r="C6868" s="13">
        <v>37956</v>
      </c>
      <c r="D6868" s="13" t="s">
        <v>8465</v>
      </c>
      <c r="E6868" s="10" t="s">
        <v>86</v>
      </c>
      <c r="F6868" s="10" t="s">
        <v>1506</v>
      </c>
      <c r="G6868" s="11" t="s">
        <v>1507</v>
      </c>
      <c r="H6868" s="2" t="s">
        <v>255</v>
      </c>
      <c r="L6868" s="18">
        <v>1</v>
      </c>
      <c r="M6868" s="14" t="s">
        <v>8462</v>
      </c>
      <c r="N6868" s="13">
        <v>43573</v>
      </c>
      <c r="O6868" s="29">
        <v>11.89</v>
      </c>
      <c r="P6868" s="18" t="s">
        <v>14</v>
      </c>
      <c r="Q6868" s="18">
        <v>0</v>
      </c>
      <c r="U6868" s="22">
        <v>0.76</v>
      </c>
      <c r="V6868" s="22">
        <f>3.7/5</f>
        <v>0.74</v>
      </c>
      <c r="X6868" s="3">
        <v>3</v>
      </c>
      <c r="Z6868" s="23">
        <v>2</v>
      </c>
      <c r="AB6868" s="18">
        <f t="shared" si="214"/>
        <v>2003</v>
      </c>
      <c r="AC6868" s="22">
        <f t="shared" si="215"/>
        <v>0.70000000000000007</v>
      </c>
    </row>
    <row r="6869" spans="1:29" ht="25.5">
      <c r="A6869" s="8" t="s">
        <v>11995</v>
      </c>
      <c r="B6869" s="17" t="s">
        <v>7758</v>
      </c>
      <c r="C6869" s="13">
        <v>37953</v>
      </c>
      <c r="D6869" s="13" t="s">
        <v>8467</v>
      </c>
      <c r="E6869" s="10" t="s">
        <v>11816</v>
      </c>
      <c r="F6869" s="10" t="s">
        <v>8933</v>
      </c>
      <c r="H6869" s="2" t="s">
        <v>459</v>
      </c>
      <c r="L6869" s="18">
        <v>0</v>
      </c>
      <c r="Q6869" s="18">
        <v>0</v>
      </c>
      <c r="V6869" s="22">
        <f>3.6/5</f>
        <v>0.72</v>
      </c>
      <c r="X6869" s="3">
        <v>3</v>
      </c>
      <c r="Z6869" s="23">
        <f>24/60</f>
        <v>0.4</v>
      </c>
      <c r="AB6869" s="18">
        <f t="shared" si="214"/>
        <v>2003</v>
      </c>
      <c r="AC6869" s="22">
        <f t="shared" si="215"/>
        <v>0.65999999999999992</v>
      </c>
    </row>
    <row r="6870" spans="1:29" ht="30">
      <c r="A6870" s="8" t="s">
        <v>14655</v>
      </c>
      <c r="B6870" s="17" t="s">
        <v>7740</v>
      </c>
      <c r="C6870" s="13">
        <v>37951</v>
      </c>
      <c r="D6870" s="13" t="s">
        <v>8465</v>
      </c>
      <c r="E6870" s="10" t="s">
        <v>1551</v>
      </c>
      <c r="F6870" s="10" t="s">
        <v>1536</v>
      </c>
      <c r="H6870" s="2" t="s">
        <v>147</v>
      </c>
      <c r="L6870" s="18">
        <v>0</v>
      </c>
      <c r="Q6870" s="18">
        <v>0</v>
      </c>
      <c r="U6870" s="22">
        <v>0.68</v>
      </c>
      <c r="V6870" s="22">
        <f>3.23/5</f>
        <v>0.64600000000000002</v>
      </c>
      <c r="X6870" s="3">
        <v>2</v>
      </c>
      <c r="AB6870" s="18">
        <f t="shared" si="214"/>
        <v>2003</v>
      </c>
      <c r="AC6870" s="22">
        <f t="shared" si="215"/>
        <v>0.57533333333333336</v>
      </c>
    </row>
    <row r="6871" spans="1:29" ht="30">
      <c r="A6871" s="8" t="s">
        <v>15369</v>
      </c>
      <c r="B6871" s="17" t="s">
        <v>7800</v>
      </c>
      <c r="C6871" s="13">
        <v>37949</v>
      </c>
      <c r="D6871" s="13" t="s">
        <v>8465</v>
      </c>
      <c r="E6871" s="10" t="s">
        <v>3377</v>
      </c>
      <c r="F6871" s="10" t="s">
        <v>15370</v>
      </c>
      <c r="G6871" s="11" t="s">
        <v>15368</v>
      </c>
      <c r="H6871" s="2" t="s">
        <v>67</v>
      </c>
      <c r="L6871" s="18">
        <v>0</v>
      </c>
      <c r="Q6871" s="18">
        <v>0</v>
      </c>
      <c r="U6871" s="22">
        <v>0.62</v>
      </c>
      <c r="V6871" s="22">
        <f>4.3/5</f>
        <v>0.86</v>
      </c>
      <c r="X6871" s="3">
        <v>2</v>
      </c>
      <c r="AB6871" s="18">
        <f t="shared" si="214"/>
        <v>2003</v>
      </c>
      <c r="AC6871" s="22">
        <f t="shared" si="215"/>
        <v>0.62666666666666659</v>
      </c>
    </row>
    <row r="6872" spans="1:29" ht="30">
      <c r="A6872" s="8" t="s">
        <v>15776</v>
      </c>
      <c r="B6872" s="17" t="s">
        <v>7740</v>
      </c>
      <c r="C6872" s="13">
        <v>37949</v>
      </c>
      <c r="D6872" s="13" t="s">
        <v>8465</v>
      </c>
      <c r="E6872" s="10" t="s">
        <v>154</v>
      </c>
      <c r="F6872" s="10" t="s">
        <v>15775</v>
      </c>
      <c r="G6872" s="11" t="s">
        <v>15772</v>
      </c>
      <c r="H6872" s="2" t="s">
        <v>150</v>
      </c>
      <c r="L6872" s="18">
        <v>0</v>
      </c>
      <c r="Q6872" s="18">
        <v>0</v>
      </c>
      <c r="U6872" s="22">
        <v>0.69</v>
      </c>
      <c r="V6872" s="22">
        <f>3.6/5</f>
        <v>0.72</v>
      </c>
      <c r="X6872" s="3">
        <v>2</v>
      </c>
      <c r="Z6872" s="23">
        <v>4.5</v>
      </c>
      <c r="AB6872" s="18">
        <f t="shared" si="214"/>
        <v>2003</v>
      </c>
      <c r="AC6872" s="22">
        <f t="shared" si="215"/>
        <v>0.60333333333333339</v>
      </c>
    </row>
    <row r="6873" spans="1:29" ht="30">
      <c r="A6873" s="8" t="s">
        <v>14627</v>
      </c>
      <c r="B6873" s="17" t="s">
        <v>7758</v>
      </c>
      <c r="C6873" s="13">
        <v>37945</v>
      </c>
      <c r="D6873" s="13" t="s">
        <v>8463</v>
      </c>
      <c r="E6873" s="10" t="s">
        <v>2908</v>
      </c>
      <c r="F6873" s="10" t="s">
        <v>1219</v>
      </c>
      <c r="G6873" s="11" t="s">
        <v>14574</v>
      </c>
      <c r="H6873" s="2" t="s">
        <v>1220</v>
      </c>
      <c r="K6873" s="18">
        <v>0</v>
      </c>
      <c r="L6873" s="18">
        <v>0</v>
      </c>
      <c r="Q6873" s="18">
        <v>0</v>
      </c>
      <c r="V6873" s="22">
        <f>4.05/5</f>
        <v>0.80999999999999994</v>
      </c>
      <c r="X6873" s="3">
        <v>2</v>
      </c>
      <c r="AB6873" s="18">
        <f t="shared" si="214"/>
        <v>2003</v>
      </c>
      <c r="AC6873" s="22">
        <f t="shared" si="215"/>
        <v>0.60499999999999998</v>
      </c>
    </row>
    <row r="6874" spans="1:29">
      <c r="A6874" s="8" t="s">
        <v>11169</v>
      </c>
      <c r="B6874" s="17" t="s">
        <v>7764</v>
      </c>
      <c r="C6874" s="13">
        <v>37945</v>
      </c>
      <c r="D6874" s="13" t="s">
        <v>8463</v>
      </c>
      <c r="E6874" s="10" t="s">
        <v>3740</v>
      </c>
      <c r="F6874" s="10" t="s">
        <v>11170</v>
      </c>
      <c r="H6874" s="2" t="s">
        <v>1059</v>
      </c>
      <c r="K6874" s="18">
        <v>0</v>
      </c>
      <c r="L6874" s="18">
        <v>0</v>
      </c>
      <c r="Q6874" s="18">
        <v>0</v>
      </c>
      <c r="V6874" s="22">
        <f>3.71/5</f>
        <v>0.74199999999999999</v>
      </c>
      <c r="X6874" s="3">
        <v>2</v>
      </c>
      <c r="AB6874" s="18">
        <f t="shared" si="214"/>
        <v>2003</v>
      </c>
      <c r="AC6874" s="22">
        <f t="shared" si="215"/>
        <v>0.57099999999999995</v>
      </c>
    </row>
    <row r="6875" spans="1:29" ht="30">
      <c r="A6875" s="8" t="s">
        <v>5120</v>
      </c>
      <c r="B6875" s="17" t="s">
        <v>7800</v>
      </c>
      <c r="C6875" s="13">
        <v>37944</v>
      </c>
      <c r="D6875" s="13" t="s">
        <v>8465</v>
      </c>
      <c r="E6875" s="10" t="s">
        <v>1284</v>
      </c>
      <c r="F6875" s="10" t="s">
        <v>1161</v>
      </c>
      <c r="G6875" s="11" t="s">
        <v>5120</v>
      </c>
      <c r="H6875" s="2" t="s">
        <v>171</v>
      </c>
      <c r="L6875" s="18">
        <v>1</v>
      </c>
      <c r="N6875" s="13">
        <v>41104</v>
      </c>
      <c r="O6875" s="29">
        <v>2.4900000000000002</v>
      </c>
      <c r="P6875" s="18" t="s">
        <v>1107</v>
      </c>
      <c r="Q6875" s="18">
        <v>0</v>
      </c>
      <c r="U6875" s="22">
        <v>0.93</v>
      </c>
      <c r="V6875" s="22">
        <f>4.37/5</f>
        <v>0.874</v>
      </c>
      <c r="W6875" s="14" t="s">
        <v>7777</v>
      </c>
      <c r="X6875" s="3">
        <v>5</v>
      </c>
      <c r="Z6875" s="23">
        <v>29</v>
      </c>
      <c r="AB6875" s="18">
        <f t="shared" si="214"/>
        <v>2003</v>
      </c>
      <c r="AC6875" s="22">
        <f t="shared" si="215"/>
        <v>0.93466666666666676</v>
      </c>
    </row>
    <row r="6876" spans="1:29">
      <c r="A6876" s="8" t="s">
        <v>3300</v>
      </c>
      <c r="B6876" s="17" t="s">
        <v>7800</v>
      </c>
      <c r="C6876" s="13">
        <v>37944</v>
      </c>
      <c r="D6876" s="13" t="s">
        <v>8465</v>
      </c>
      <c r="E6876" s="10" t="s">
        <v>1047</v>
      </c>
      <c r="F6876" s="10" t="s">
        <v>3301</v>
      </c>
      <c r="G6876" s="11" t="s">
        <v>3300</v>
      </c>
      <c r="H6876" s="2" t="s">
        <v>80</v>
      </c>
      <c r="L6876" s="18">
        <v>1</v>
      </c>
      <c r="N6876" s="13">
        <v>41109</v>
      </c>
      <c r="O6876" s="29">
        <v>2.4900000000000002</v>
      </c>
      <c r="P6876" s="18" t="s">
        <v>1107</v>
      </c>
      <c r="Q6876" s="18">
        <v>0</v>
      </c>
      <c r="U6876" s="22">
        <v>0.83</v>
      </c>
      <c r="V6876" s="22">
        <f>4.07/5</f>
        <v>0.81400000000000006</v>
      </c>
      <c r="W6876" s="14" t="s">
        <v>7777</v>
      </c>
      <c r="X6876" s="3">
        <v>4</v>
      </c>
      <c r="Z6876" s="23">
        <v>11</v>
      </c>
      <c r="AB6876" s="18">
        <f t="shared" si="214"/>
        <v>2003</v>
      </c>
      <c r="AC6876" s="22">
        <f t="shared" si="215"/>
        <v>0.81466666666666665</v>
      </c>
    </row>
    <row r="6877" spans="1:29" ht="30">
      <c r="A6877" s="8" t="s">
        <v>942</v>
      </c>
      <c r="B6877" s="17" t="s">
        <v>7740</v>
      </c>
      <c r="C6877" s="13">
        <v>37943</v>
      </c>
      <c r="D6877" s="13" t="s">
        <v>8465</v>
      </c>
      <c r="E6877" s="10" t="s">
        <v>1496</v>
      </c>
      <c r="F6877" s="10" t="s">
        <v>1497</v>
      </c>
      <c r="H6877" s="2" t="s">
        <v>1168</v>
      </c>
      <c r="L6877" s="18">
        <v>0</v>
      </c>
      <c r="Q6877" s="18">
        <v>0</v>
      </c>
      <c r="U6877" s="22">
        <v>0.84</v>
      </c>
      <c r="V6877" s="22">
        <f>3.96/5</f>
        <v>0.79200000000000004</v>
      </c>
      <c r="X6877" s="3">
        <v>4</v>
      </c>
      <c r="Z6877" s="23">
        <v>12</v>
      </c>
      <c r="AB6877" s="18">
        <f t="shared" si="214"/>
        <v>2003</v>
      </c>
      <c r="AC6877" s="22">
        <f t="shared" si="215"/>
        <v>0.81066666666666676</v>
      </c>
    </row>
    <row r="6878" spans="1:29">
      <c r="A6878" s="8" t="s">
        <v>7411</v>
      </c>
      <c r="B6878" s="17" t="s">
        <v>7758</v>
      </c>
      <c r="C6878" s="13">
        <v>37943</v>
      </c>
      <c r="D6878" s="13" t="s">
        <v>8465</v>
      </c>
      <c r="E6878" s="10" t="s">
        <v>1618</v>
      </c>
      <c r="F6878" s="10" t="s">
        <v>4019</v>
      </c>
      <c r="G6878" s="11" t="s">
        <v>7411</v>
      </c>
      <c r="H6878" s="2" t="s">
        <v>245</v>
      </c>
      <c r="L6878" s="18">
        <v>0</v>
      </c>
      <c r="Q6878" s="18">
        <v>0</v>
      </c>
      <c r="U6878" s="22">
        <v>0.77</v>
      </c>
      <c r="V6878" s="22">
        <f>3.71/5</f>
        <v>0.74199999999999999</v>
      </c>
      <c r="X6878" s="3">
        <v>3</v>
      </c>
      <c r="Z6878" s="23">
        <v>11.5</v>
      </c>
      <c r="AB6878" s="18">
        <f t="shared" si="214"/>
        <v>2003</v>
      </c>
      <c r="AC6878" s="22">
        <f t="shared" si="215"/>
        <v>0.70400000000000007</v>
      </c>
    </row>
    <row r="6879" spans="1:29" ht="25.5">
      <c r="A6879" s="8" t="s">
        <v>11483</v>
      </c>
      <c r="B6879" s="17" t="s">
        <v>7764</v>
      </c>
      <c r="C6879" s="13">
        <v>37943</v>
      </c>
      <c r="D6879" s="13" t="s">
        <v>8465</v>
      </c>
      <c r="E6879" s="10" t="s">
        <v>3740</v>
      </c>
      <c r="F6879" s="10" t="s">
        <v>1052</v>
      </c>
      <c r="G6879" s="11" t="s">
        <v>11482</v>
      </c>
      <c r="H6879" s="2" t="s">
        <v>150</v>
      </c>
      <c r="L6879" s="18">
        <v>0</v>
      </c>
      <c r="Q6879" s="18">
        <v>0</v>
      </c>
      <c r="U6879" s="22">
        <v>0.9</v>
      </c>
      <c r="V6879" s="22">
        <f>4.15/5</f>
        <v>0.83000000000000007</v>
      </c>
      <c r="X6879" s="3">
        <v>2</v>
      </c>
      <c r="Y6879" s="18">
        <v>1</v>
      </c>
      <c r="Z6879" s="23">
        <v>15</v>
      </c>
      <c r="AB6879" s="18">
        <f t="shared" si="214"/>
        <v>2003</v>
      </c>
      <c r="AC6879" s="22">
        <f t="shared" si="215"/>
        <v>0.71</v>
      </c>
    </row>
    <row r="6880" spans="1:29">
      <c r="A6880" s="8" t="s">
        <v>5809</v>
      </c>
      <c r="B6880" s="17" t="s">
        <v>7758</v>
      </c>
      <c r="C6880" s="13">
        <v>37943</v>
      </c>
      <c r="D6880" s="13" t="s">
        <v>8465</v>
      </c>
      <c r="E6880" s="10" t="s">
        <v>1082</v>
      </c>
      <c r="F6880" s="10" t="s">
        <v>161</v>
      </c>
      <c r="G6880" s="11" t="s">
        <v>126</v>
      </c>
      <c r="H6880" s="2" t="s">
        <v>149</v>
      </c>
      <c r="L6880" s="18">
        <v>0</v>
      </c>
      <c r="Q6880" s="18">
        <v>0</v>
      </c>
      <c r="U6880" s="22">
        <v>0.86</v>
      </c>
      <c r="V6880" s="22">
        <f>3.63/5</f>
        <v>0.72599999999999998</v>
      </c>
      <c r="X6880" s="3">
        <v>2</v>
      </c>
      <c r="Z6880" s="23">
        <v>35</v>
      </c>
      <c r="AB6880" s="18">
        <f t="shared" si="214"/>
        <v>2003</v>
      </c>
      <c r="AC6880" s="22">
        <f t="shared" si="215"/>
        <v>0.66199999999999992</v>
      </c>
    </row>
    <row r="6881" spans="1:29">
      <c r="A6881" s="8" t="s">
        <v>9698</v>
      </c>
      <c r="B6881" s="17" t="s">
        <v>7758</v>
      </c>
      <c r="C6881" s="13">
        <v>37943</v>
      </c>
      <c r="D6881" s="13" t="s">
        <v>8465</v>
      </c>
      <c r="E6881" s="10" t="s">
        <v>311</v>
      </c>
      <c r="F6881" s="10" t="s">
        <v>3162</v>
      </c>
      <c r="H6881" s="2" t="s">
        <v>1040</v>
      </c>
      <c r="L6881" s="18">
        <v>0</v>
      </c>
      <c r="Q6881" s="18">
        <v>0</v>
      </c>
      <c r="U6881" s="22">
        <v>0.69</v>
      </c>
      <c r="V6881" s="22">
        <f>3.68/5</f>
        <v>0.73599999999999999</v>
      </c>
      <c r="X6881" s="3">
        <v>2</v>
      </c>
      <c r="Z6881" s="23">
        <v>13.5</v>
      </c>
      <c r="AB6881" s="18">
        <f t="shared" si="214"/>
        <v>2003</v>
      </c>
      <c r="AC6881" s="22">
        <f t="shared" si="215"/>
        <v>0.60866666666666669</v>
      </c>
    </row>
    <row r="6882" spans="1:29" ht="30">
      <c r="A6882" s="8" t="s">
        <v>12843</v>
      </c>
      <c r="B6882" s="17" t="s">
        <v>7740</v>
      </c>
      <c r="C6882" s="13">
        <v>37943</v>
      </c>
      <c r="D6882" s="13" t="s">
        <v>8465</v>
      </c>
      <c r="E6882" s="10" t="s">
        <v>228</v>
      </c>
      <c r="F6882" s="10" t="s">
        <v>12844</v>
      </c>
      <c r="H6882" s="2" t="s">
        <v>255</v>
      </c>
      <c r="L6882" s="18">
        <v>0</v>
      </c>
      <c r="Q6882" s="18">
        <v>0</v>
      </c>
      <c r="U6882" s="22">
        <v>0.67</v>
      </c>
      <c r="V6882" s="22">
        <f>3.54/5</f>
        <v>0.70799999999999996</v>
      </c>
      <c r="X6882" s="3">
        <v>2</v>
      </c>
      <c r="Z6882" s="23">
        <v>3</v>
      </c>
      <c r="AB6882" s="18">
        <f t="shared" si="214"/>
        <v>2003</v>
      </c>
      <c r="AC6882" s="22">
        <f t="shared" si="215"/>
        <v>0.59266666666666667</v>
      </c>
    </row>
    <row r="6883" spans="1:29" ht="25.5">
      <c r="A6883" s="8" t="s">
        <v>13120</v>
      </c>
      <c r="B6883" s="17" t="s">
        <v>7764</v>
      </c>
      <c r="C6883" s="13">
        <v>37943</v>
      </c>
      <c r="D6883" s="13" t="s">
        <v>8465</v>
      </c>
      <c r="E6883" s="10" t="s">
        <v>311</v>
      </c>
      <c r="F6883" s="10" t="s">
        <v>12620</v>
      </c>
      <c r="G6883" s="11" t="s">
        <v>13121</v>
      </c>
      <c r="H6883" s="2" t="s">
        <v>1143</v>
      </c>
      <c r="L6883" s="18">
        <v>0</v>
      </c>
      <c r="Q6883" s="18">
        <v>0</v>
      </c>
      <c r="U6883" s="22">
        <v>0.72</v>
      </c>
      <c r="V6883" s="22">
        <f>3.21/5</f>
        <v>0.64200000000000002</v>
      </c>
      <c r="X6883" s="3">
        <v>2</v>
      </c>
      <c r="Z6883" s="23">
        <v>14</v>
      </c>
      <c r="AB6883" s="18">
        <f t="shared" si="214"/>
        <v>2003</v>
      </c>
      <c r="AC6883" s="22">
        <f t="shared" si="215"/>
        <v>0.58733333333333337</v>
      </c>
    </row>
    <row r="6884" spans="1:29">
      <c r="A6884" s="8" t="s">
        <v>5789</v>
      </c>
      <c r="B6884" s="17" t="s">
        <v>7800</v>
      </c>
      <c r="C6884" s="13">
        <v>37943</v>
      </c>
      <c r="D6884" s="13" t="s">
        <v>8465</v>
      </c>
      <c r="E6884" s="10" t="s">
        <v>1047</v>
      </c>
      <c r="F6884" s="10" t="s">
        <v>4898</v>
      </c>
      <c r="G6884" s="11" t="s">
        <v>5789</v>
      </c>
      <c r="H6884" s="2" t="s">
        <v>1050</v>
      </c>
      <c r="L6884" s="18">
        <v>1</v>
      </c>
      <c r="N6884" s="13">
        <v>44231</v>
      </c>
      <c r="O6884" s="29">
        <v>3.49</v>
      </c>
      <c r="P6884" s="18" t="s">
        <v>1107</v>
      </c>
      <c r="Q6884" s="18">
        <v>0</v>
      </c>
      <c r="U6884" s="22">
        <v>0.72</v>
      </c>
      <c r="V6884" s="22">
        <f>3.68/5</f>
        <v>0.73599999999999999</v>
      </c>
      <c r="W6884" s="14" t="s">
        <v>7777</v>
      </c>
      <c r="X6884" s="3">
        <v>3</v>
      </c>
      <c r="Z6884" s="23">
        <v>8.5</v>
      </c>
      <c r="AB6884" s="18">
        <f t="shared" si="214"/>
        <v>2003</v>
      </c>
      <c r="AC6884" s="22">
        <f t="shared" si="215"/>
        <v>0.68533333333333335</v>
      </c>
    </row>
    <row r="6885" spans="1:29" ht="30">
      <c r="A6885" s="8" t="s">
        <v>932</v>
      </c>
      <c r="B6885" s="17" t="s">
        <v>7740</v>
      </c>
      <c r="C6885" s="13">
        <v>37942</v>
      </c>
      <c r="D6885" s="13" t="s">
        <v>8465</v>
      </c>
      <c r="E6885" s="10" t="s">
        <v>86</v>
      </c>
      <c r="F6885" s="10" t="s">
        <v>86</v>
      </c>
      <c r="G6885" s="11" t="s">
        <v>85</v>
      </c>
      <c r="H6885" s="2" t="s">
        <v>80</v>
      </c>
      <c r="L6885" s="18">
        <v>1</v>
      </c>
      <c r="M6885" s="14" t="s">
        <v>8462</v>
      </c>
      <c r="N6885" s="13">
        <v>44302</v>
      </c>
      <c r="O6885" s="29">
        <v>91.99</v>
      </c>
      <c r="P6885" s="18" t="s">
        <v>14</v>
      </c>
      <c r="Q6885" s="18">
        <v>0</v>
      </c>
      <c r="U6885" s="22">
        <v>0.92</v>
      </c>
      <c r="V6885" s="22">
        <f>4.56/5</f>
        <v>0.91199999999999992</v>
      </c>
      <c r="X6885" s="3">
        <v>3</v>
      </c>
      <c r="Z6885" s="23">
        <v>140</v>
      </c>
      <c r="AB6885" s="18">
        <f t="shared" si="214"/>
        <v>2003</v>
      </c>
      <c r="AC6885" s="22">
        <f t="shared" si="215"/>
        <v>0.81066666666666665</v>
      </c>
    </row>
    <row r="6886" spans="1:29" ht="30">
      <c r="A6886" s="8" t="s">
        <v>2008</v>
      </c>
      <c r="B6886" s="17" t="s">
        <v>7747</v>
      </c>
      <c r="C6886" s="13">
        <v>37942</v>
      </c>
      <c r="D6886" s="13" t="s">
        <v>8465</v>
      </c>
      <c r="E6886" s="10" t="s">
        <v>66</v>
      </c>
      <c r="F6886" s="10" t="s">
        <v>1953</v>
      </c>
      <c r="G6886" s="11" t="s">
        <v>710</v>
      </c>
      <c r="H6886" s="2" t="s">
        <v>1334</v>
      </c>
      <c r="L6886" s="18">
        <v>0</v>
      </c>
      <c r="Q6886" s="18">
        <v>0</v>
      </c>
      <c r="U6886" s="22">
        <v>0.82</v>
      </c>
      <c r="V6886" s="22">
        <f>4.2/5</f>
        <v>0.84000000000000008</v>
      </c>
      <c r="X6886" s="3">
        <v>3</v>
      </c>
      <c r="Z6886" s="23">
        <v>22.5</v>
      </c>
      <c r="AB6886" s="18">
        <f t="shared" si="214"/>
        <v>2003</v>
      </c>
      <c r="AC6886" s="22">
        <f t="shared" si="215"/>
        <v>0.75333333333333341</v>
      </c>
    </row>
    <row r="6887" spans="1:29" ht="30">
      <c r="A6887" s="8" t="s">
        <v>3376</v>
      </c>
      <c r="B6887" s="17" t="s">
        <v>7800</v>
      </c>
      <c r="C6887" s="13">
        <v>37942</v>
      </c>
      <c r="D6887" s="13" t="s">
        <v>8465</v>
      </c>
      <c r="E6887" s="10" t="s">
        <v>3377</v>
      </c>
      <c r="F6887" s="10" t="s">
        <v>3372</v>
      </c>
      <c r="G6887" s="11" t="s">
        <v>3373</v>
      </c>
      <c r="H6887" s="2" t="s">
        <v>67</v>
      </c>
      <c r="L6887" s="18">
        <v>1</v>
      </c>
      <c r="N6887" s="13">
        <v>40901</v>
      </c>
      <c r="O6887" s="29">
        <v>0.83</v>
      </c>
      <c r="P6887" s="18" t="s">
        <v>1107</v>
      </c>
      <c r="Q6887" s="18">
        <v>0</v>
      </c>
      <c r="U6887" s="22">
        <v>0.83</v>
      </c>
      <c r="V6887" s="22">
        <f>3.57/5</f>
        <v>0.71399999999999997</v>
      </c>
      <c r="W6887" s="14" t="s">
        <v>7777</v>
      </c>
      <c r="X6887" s="3">
        <v>3</v>
      </c>
      <c r="Z6887" s="23">
        <v>9.5</v>
      </c>
      <c r="AB6887" s="18">
        <f t="shared" si="214"/>
        <v>2003</v>
      </c>
      <c r="AC6887" s="22">
        <f t="shared" si="215"/>
        <v>0.71466666666666667</v>
      </c>
    </row>
    <row r="6888" spans="1:29" ht="30">
      <c r="A6888" s="8" t="s">
        <v>8392</v>
      </c>
      <c r="B6888" s="17" t="s">
        <v>7747</v>
      </c>
      <c r="C6888" s="13">
        <v>37942</v>
      </c>
      <c r="D6888" s="13" t="s">
        <v>8465</v>
      </c>
      <c r="E6888" s="10" t="s">
        <v>66</v>
      </c>
      <c r="F6888" s="10" t="s">
        <v>1269</v>
      </c>
      <c r="H6888" s="2" t="s">
        <v>171</v>
      </c>
      <c r="L6888" s="18">
        <v>0</v>
      </c>
      <c r="Q6888" s="18">
        <v>0</v>
      </c>
      <c r="U6888" s="22">
        <v>0.7</v>
      </c>
      <c r="V6888" s="22">
        <f>3.57/5</f>
        <v>0.71399999999999997</v>
      </c>
      <c r="X6888" s="3">
        <v>3</v>
      </c>
      <c r="Z6888" s="23">
        <v>14.5</v>
      </c>
      <c r="AB6888" s="18">
        <f t="shared" si="214"/>
        <v>2003</v>
      </c>
      <c r="AC6888" s="22">
        <f t="shared" si="215"/>
        <v>0.67133333333333323</v>
      </c>
    </row>
    <row r="6889" spans="1:29" ht="25.5">
      <c r="A6889" s="8" t="s">
        <v>7482</v>
      </c>
      <c r="B6889" s="17" t="s">
        <v>7758</v>
      </c>
      <c r="C6889" s="13">
        <v>37942</v>
      </c>
      <c r="D6889" s="13" t="s">
        <v>8465</v>
      </c>
      <c r="E6889" s="10" t="s">
        <v>231</v>
      </c>
      <c r="F6889" s="10" t="s">
        <v>6015</v>
      </c>
      <c r="G6889" s="11" t="s">
        <v>4518</v>
      </c>
      <c r="H6889" s="2" t="s">
        <v>150</v>
      </c>
      <c r="L6889" s="18">
        <v>0</v>
      </c>
      <c r="Q6889" s="18">
        <v>0</v>
      </c>
      <c r="U6889" s="22">
        <v>0.84</v>
      </c>
      <c r="V6889" s="22">
        <f>3.82/5</f>
        <v>0.76400000000000001</v>
      </c>
      <c r="X6889" s="3">
        <v>2</v>
      </c>
      <c r="Z6889" s="23">
        <v>19.5</v>
      </c>
      <c r="AB6889" s="18">
        <f t="shared" si="214"/>
        <v>2003</v>
      </c>
      <c r="AC6889" s="22">
        <f t="shared" si="215"/>
        <v>0.66800000000000004</v>
      </c>
    </row>
    <row r="6890" spans="1:29" ht="30">
      <c r="A6890" s="8" t="s">
        <v>6713</v>
      </c>
      <c r="B6890" s="17" t="s">
        <v>7747</v>
      </c>
      <c r="C6890" s="13">
        <v>37942</v>
      </c>
      <c r="D6890" s="13" t="s">
        <v>8465</v>
      </c>
      <c r="E6890" s="10" t="s">
        <v>231</v>
      </c>
      <c r="F6890" s="10" t="s">
        <v>6714</v>
      </c>
      <c r="G6890" s="11" t="s">
        <v>2944</v>
      </c>
      <c r="H6890" s="2" t="s">
        <v>1168</v>
      </c>
      <c r="L6890" s="18">
        <v>0</v>
      </c>
      <c r="Q6890" s="18">
        <v>0</v>
      </c>
      <c r="U6890" s="22">
        <v>0.81</v>
      </c>
      <c r="V6890" s="22">
        <f>3.21/5</f>
        <v>0.64200000000000002</v>
      </c>
      <c r="X6890" s="3">
        <v>2</v>
      </c>
      <c r="Z6890" s="23">
        <v>3</v>
      </c>
      <c r="AB6890" s="18">
        <f t="shared" si="214"/>
        <v>2003</v>
      </c>
      <c r="AC6890" s="22">
        <f t="shared" si="215"/>
        <v>0.61733333333333329</v>
      </c>
    </row>
    <row r="6891" spans="1:29" ht="25.5">
      <c r="A6891" s="8" t="s">
        <v>14858</v>
      </c>
      <c r="B6891" s="17" t="s">
        <v>7758</v>
      </c>
      <c r="C6891" s="13">
        <v>37942</v>
      </c>
      <c r="D6891" s="13" t="s">
        <v>8465</v>
      </c>
      <c r="E6891" s="10" t="s">
        <v>1342</v>
      </c>
      <c r="F6891" s="10" t="s">
        <v>1491</v>
      </c>
      <c r="G6891" s="11" t="s">
        <v>5534</v>
      </c>
      <c r="H6891" s="2" t="s">
        <v>1050</v>
      </c>
      <c r="L6891" s="18">
        <v>0</v>
      </c>
      <c r="Q6891" s="18">
        <v>0</v>
      </c>
      <c r="U6891" s="22">
        <v>0.64</v>
      </c>
      <c r="V6891" s="22">
        <f>3.03/5</f>
        <v>0.60599999999999998</v>
      </c>
      <c r="X6891" s="3">
        <v>2</v>
      </c>
      <c r="Z6891" s="23">
        <v>7.5</v>
      </c>
      <c r="AB6891" s="18">
        <f t="shared" si="214"/>
        <v>2003</v>
      </c>
      <c r="AC6891" s="22">
        <f t="shared" si="215"/>
        <v>0.54866666666666664</v>
      </c>
    </row>
    <row r="6892" spans="1:29" ht="51">
      <c r="A6892" s="8" t="s">
        <v>2034</v>
      </c>
      <c r="B6892" s="17" t="s">
        <v>7747</v>
      </c>
      <c r="C6892" s="13">
        <v>37939</v>
      </c>
      <c r="D6892" s="13" t="s">
        <v>8463</v>
      </c>
      <c r="E6892" s="10" t="s">
        <v>1082</v>
      </c>
      <c r="F6892" s="10" t="s">
        <v>58</v>
      </c>
      <c r="G6892" s="11" t="s">
        <v>140</v>
      </c>
      <c r="H6892" s="2" t="s">
        <v>80</v>
      </c>
      <c r="K6892" s="18">
        <v>0</v>
      </c>
      <c r="L6892" s="18">
        <v>0</v>
      </c>
      <c r="Q6892" s="18">
        <v>0</v>
      </c>
      <c r="U6892" s="22">
        <v>0.7</v>
      </c>
      <c r="V6892" s="22">
        <f>4.11/5</f>
        <v>0.82200000000000006</v>
      </c>
      <c r="X6892" s="3">
        <v>3</v>
      </c>
      <c r="Z6892" s="23">
        <v>10</v>
      </c>
      <c r="AB6892" s="18">
        <f t="shared" si="214"/>
        <v>2003</v>
      </c>
      <c r="AC6892" s="22">
        <f t="shared" si="215"/>
        <v>0.70733333333333326</v>
      </c>
    </row>
    <row r="6893" spans="1:29">
      <c r="A6893" s="8" t="s">
        <v>428</v>
      </c>
      <c r="B6893" s="17" t="s">
        <v>6317</v>
      </c>
      <c r="C6893" s="13">
        <v>37939</v>
      </c>
      <c r="D6893" s="13" t="s">
        <v>8463</v>
      </c>
      <c r="E6893" s="10" t="s">
        <v>472</v>
      </c>
      <c r="F6893" s="10" t="s">
        <v>467</v>
      </c>
      <c r="G6893" s="11" t="s">
        <v>428</v>
      </c>
      <c r="H6893" s="2" t="s">
        <v>21</v>
      </c>
      <c r="K6893" s="18">
        <v>0</v>
      </c>
      <c r="L6893" s="18">
        <v>0</v>
      </c>
      <c r="Q6893" s="18">
        <v>0</v>
      </c>
      <c r="V6893" s="22">
        <f>3.75/5</f>
        <v>0.75</v>
      </c>
      <c r="X6893" s="3">
        <v>3</v>
      </c>
      <c r="Z6893" s="23">
        <v>2</v>
      </c>
      <c r="AB6893" s="18">
        <f t="shared" si="214"/>
        <v>2003</v>
      </c>
      <c r="AC6893" s="22">
        <f t="shared" si="215"/>
        <v>0.67500000000000004</v>
      </c>
    </row>
    <row r="6894" spans="1:29">
      <c r="A6894" s="8" t="s">
        <v>11858</v>
      </c>
      <c r="B6894" s="17" t="s">
        <v>7758</v>
      </c>
      <c r="C6894" s="13">
        <v>37938</v>
      </c>
      <c r="D6894" s="13" t="s">
        <v>8465</v>
      </c>
      <c r="E6894" s="10" t="s">
        <v>76</v>
      </c>
      <c r="F6894" s="10" t="s">
        <v>76</v>
      </c>
      <c r="G6894" s="11" t="s">
        <v>7681</v>
      </c>
      <c r="H6894" s="2" t="s">
        <v>1334</v>
      </c>
      <c r="L6894" s="18">
        <v>0</v>
      </c>
      <c r="Q6894" s="18">
        <v>0</v>
      </c>
      <c r="U6894" s="22">
        <v>0.77</v>
      </c>
      <c r="V6894" s="22">
        <f>3.96/5</f>
        <v>0.79200000000000004</v>
      </c>
      <c r="X6894" s="3">
        <v>3</v>
      </c>
      <c r="Z6894" s="23">
        <v>35</v>
      </c>
      <c r="AB6894" s="18">
        <f t="shared" si="214"/>
        <v>2003</v>
      </c>
      <c r="AC6894" s="22">
        <f t="shared" si="215"/>
        <v>0.72066666666666668</v>
      </c>
    </row>
    <row r="6895" spans="1:29">
      <c r="A6895" s="8" t="s">
        <v>15142</v>
      </c>
      <c r="B6895" s="17" t="s">
        <v>7800</v>
      </c>
      <c r="C6895" s="13">
        <v>37936</v>
      </c>
      <c r="D6895" s="13" t="s">
        <v>8465</v>
      </c>
      <c r="E6895" s="10" t="s">
        <v>1496</v>
      </c>
      <c r="F6895" s="10" t="s">
        <v>3487</v>
      </c>
      <c r="G6895" s="11" t="s">
        <v>7241</v>
      </c>
      <c r="H6895" s="2" t="s">
        <v>1050</v>
      </c>
      <c r="L6895" s="18">
        <v>0</v>
      </c>
      <c r="Q6895" s="18">
        <v>0</v>
      </c>
      <c r="U6895" s="22">
        <v>0.56000000000000005</v>
      </c>
      <c r="V6895" s="22">
        <f>3.04/5</f>
        <v>0.60799999999999998</v>
      </c>
      <c r="X6895" s="3">
        <v>2</v>
      </c>
      <c r="Z6895" s="23">
        <v>5</v>
      </c>
      <c r="AB6895" s="18">
        <f t="shared" si="214"/>
        <v>2003</v>
      </c>
      <c r="AC6895" s="22">
        <f t="shared" si="215"/>
        <v>0.52266666666666672</v>
      </c>
    </row>
    <row r="6896" spans="1:29" ht="25.5">
      <c r="A6896" s="8" t="s">
        <v>5827</v>
      </c>
      <c r="B6896" s="17" t="s">
        <v>7758</v>
      </c>
      <c r="C6896" s="13">
        <v>37936</v>
      </c>
      <c r="D6896" s="13" t="s">
        <v>8465</v>
      </c>
      <c r="E6896" s="10" t="s">
        <v>1290</v>
      </c>
      <c r="F6896" s="10" t="s">
        <v>3039</v>
      </c>
      <c r="G6896" s="11" t="s">
        <v>5853</v>
      </c>
      <c r="H6896" s="2" t="s">
        <v>1040</v>
      </c>
      <c r="L6896" s="18">
        <v>0</v>
      </c>
      <c r="Q6896" s="18">
        <v>0</v>
      </c>
      <c r="U6896" s="22">
        <v>0.91</v>
      </c>
      <c r="V6896" s="22">
        <f>4.28/5</f>
        <v>0.85600000000000009</v>
      </c>
      <c r="X6896" s="3">
        <v>4</v>
      </c>
      <c r="Z6896" s="23">
        <v>13.5</v>
      </c>
      <c r="AB6896" s="18">
        <f t="shared" si="214"/>
        <v>2003</v>
      </c>
      <c r="AC6896" s="22">
        <f t="shared" si="215"/>
        <v>0.85533333333333328</v>
      </c>
    </row>
    <row r="6897" spans="1:29" ht="25.5">
      <c r="A6897" s="8" t="s">
        <v>6663</v>
      </c>
      <c r="B6897" s="17" t="s">
        <v>7758</v>
      </c>
      <c r="C6897" s="13">
        <v>37936</v>
      </c>
      <c r="D6897" s="13" t="s">
        <v>8465</v>
      </c>
      <c r="E6897" s="10" t="s">
        <v>1870</v>
      </c>
      <c r="F6897" s="10" t="s">
        <v>1198</v>
      </c>
      <c r="G6897" s="11" t="s">
        <v>3032</v>
      </c>
      <c r="H6897" s="2" t="s">
        <v>80</v>
      </c>
      <c r="L6897" s="18">
        <v>0</v>
      </c>
      <c r="Q6897" s="18">
        <v>0</v>
      </c>
      <c r="U6897" s="22">
        <v>0.78</v>
      </c>
      <c r="V6897" s="22">
        <f>3.85/5</f>
        <v>0.77</v>
      </c>
      <c r="X6897" s="3">
        <v>3</v>
      </c>
      <c r="Z6897" s="23">
        <v>11.5</v>
      </c>
      <c r="AB6897" s="18">
        <f t="shared" si="214"/>
        <v>2003</v>
      </c>
      <c r="AC6897" s="22">
        <f t="shared" si="215"/>
        <v>0.71666666666666667</v>
      </c>
    </row>
    <row r="6898" spans="1:29" ht="30">
      <c r="A6898" s="8" t="s">
        <v>6646</v>
      </c>
      <c r="B6898" s="17" t="s">
        <v>7740</v>
      </c>
      <c r="C6898" s="13">
        <v>37936</v>
      </c>
      <c r="D6898" s="13" t="s">
        <v>8465</v>
      </c>
      <c r="E6898" s="10" t="s">
        <v>1496</v>
      </c>
      <c r="F6898" s="10" t="s">
        <v>6647</v>
      </c>
      <c r="G6898" s="11" t="s">
        <v>4445</v>
      </c>
      <c r="H6898" s="2" t="s">
        <v>80</v>
      </c>
      <c r="L6898" s="18">
        <v>0</v>
      </c>
      <c r="Q6898" s="18">
        <v>0</v>
      </c>
      <c r="U6898" s="22">
        <v>0.65</v>
      </c>
      <c r="V6898" s="22">
        <f>3.46/5</f>
        <v>0.69199999999999995</v>
      </c>
      <c r="X6898" s="3">
        <v>3</v>
      </c>
      <c r="Z6898" s="23">
        <v>10.5</v>
      </c>
      <c r="AB6898" s="18">
        <f t="shared" si="214"/>
        <v>2003</v>
      </c>
      <c r="AC6898" s="22">
        <f t="shared" si="215"/>
        <v>0.64733333333333343</v>
      </c>
    </row>
    <row r="6899" spans="1:29" ht="30">
      <c r="A6899" s="8" t="s">
        <v>2084</v>
      </c>
      <c r="B6899" s="17" t="s">
        <v>7747</v>
      </c>
      <c r="C6899" s="13">
        <v>37936</v>
      </c>
      <c r="D6899" s="13" t="s">
        <v>8465</v>
      </c>
      <c r="E6899" s="10" t="s">
        <v>73</v>
      </c>
      <c r="F6899" s="10" t="s">
        <v>73</v>
      </c>
      <c r="G6899" s="11" t="s">
        <v>1967</v>
      </c>
      <c r="H6899" s="2" t="s">
        <v>75</v>
      </c>
      <c r="L6899" s="18">
        <v>0</v>
      </c>
      <c r="Q6899" s="18">
        <v>0</v>
      </c>
      <c r="U6899" s="22">
        <v>0.59</v>
      </c>
      <c r="V6899" s="22">
        <f>3.59/5</f>
        <v>0.71799999999999997</v>
      </c>
      <c r="X6899" s="3">
        <v>3</v>
      </c>
      <c r="Z6899" s="23">
        <v>17</v>
      </c>
      <c r="AB6899" s="18">
        <f t="shared" si="214"/>
        <v>2003</v>
      </c>
      <c r="AC6899" s="22">
        <f t="shared" si="215"/>
        <v>0.63600000000000001</v>
      </c>
    </row>
    <row r="6900" spans="1:29" ht="30">
      <c r="A6900" s="8" t="s">
        <v>5905</v>
      </c>
      <c r="B6900" s="17" t="s">
        <v>7758</v>
      </c>
      <c r="C6900" s="13">
        <v>37936</v>
      </c>
      <c r="D6900" s="13" t="s">
        <v>8465</v>
      </c>
      <c r="E6900" s="10" t="s">
        <v>5901</v>
      </c>
      <c r="F6900" s="10" t="s">
        <v>1511</v>
      </c>
      <c r="G6900" s="11" t="s">
        <v>1576</v>
      </c>
      <c r="H6900" s="2" t="s">
        <v>150</v>
      </c>
      <c r="L6900" s="18">
        <v>0</v>
      </c>
      <c r="Q6900" s="18">
        <v>0</v>
      </c>
      <c r="U6900" s="22">
        <v>0.67</v>
      </c>
      <c r="V6900" s="22">
        <f>3.39/5</f>
        <v>0.67800000000000005</v>
      </c>
      <c r="X6900" s="3">
        <v>2</v>
      </c>
      <c r="Z6900" s="23">
        <v>6.5</v>
      </c>
      <c r="AB6900" s="18">
        <f t="shared" si="214"/>
        <v>2003</v>
      </c>
      <c r="AC6900" s="22">
        <f t="shared" si="215"/>
        <v>0.58266666666666678</v>
      </c>
    </row>
    <row r="6901" spans="1:29">
      <c r="A6901" s="8" t="s">
        <v>12838</v>
      </c>
      <c r="B6901" s="17" t="s">
        <v>7758</v>
      </c>
      <c r="C6901" s="13">
        <v>37936</v>
      </c>
      <c r="D6901" s="13" t="s">
        <v>8465</v>
      </c>
      <c r="E6901" s="10" t="s">
        <v>72</v>
      </c>
      <c r="F6901" s="10" t="s">
        <v>461</v>
      </c>
      <c r="G6901" s="11" t="s">
        <v>12835</v>
      </c>
      <c r="H6901" s="2" t="s">
        <v>459</v>
      </c>
      <c r="L6901" s="18">
        <v>0</v>
      </c>
      <c r="Q6901" s="18">
        <v>0</v>
      </c>
      <c r="U6901" s="22">
        <v>0.59</v>
      </c>
      <c r="V6901" s="22">
        <f>3.47/5</f>
        <v>0.69400000000000006</v>
      </c>
      <c r="X6901" s="3">
        <v>2</v>
      </c>
      <c r="Z6901" s="23">
        <f>32/60</f>
        <v>0.53333333333333333</v>
      </c>
      <c r="AB6901" s="18">
        <f t="shared" si="214"/>
        <v>2003</v>
      </c>
      <c r="AC6901" s="22">
        <f t="shared" si="215"/>
        <v>0.56133333333333335</v>
      </c>
    </row>
    <row r="6902" spans="1:29" ht="25.5">
      <c r="A6902" s="8" t="s">
        <v>6706</v>
      </c>
      <c r="B6902" s="17" t="s">
        <v>7758</v>
      </c>
      <c r="C6902" s="13">
        <v>37936</v>
      </c>
      <c r="D6902" s="13" t="s">
        <v>8465</v>
      </c>
      <c r="E6902" s="10" t="s">
        <v>231</v>
      </c>
      <c r="F6902" s="10" t="s">
        <v>1039</v>
      </c>
      <c r="G6902" s="11" t="s">
        <v>2944</v>
      </c>
      <c r="H6902" s="2" t="s">
        <v>1050</v>
      </c>
      <c r="L6902" s="18">
        <v>0</v>
      </c>
      <c r="Q6902" s="18">
        <v>0</v>
      </c>
      <c r="U6902" s="22">
        <v>0.7</v>
      </c>
      <c r="V6902" s="22">
        <f>3.53/5</f>
        <v>0.70599999999999996</v>
      </c>
      <c r="X6902" s="3">
        <v>3</v>
      </c>
      <c r="Z6902" s="23">
        <v>8</v>
      </c>
      <c r="AB6902" s="18">
        <f t="shared" si="214"/>
        <v>2003</v>
      </c>
      <c r="AC6902" s="22">
        <f t="shared" si="215"/>
        <v>0.66866666666666663</v>
      </c>
    </row>
    <row r="6903" spans="1:29" ht="30">
      <c r="A6903" s="8" t="s">
        <v>15284</v>
      </c>
      <c r="B6903" s="17" t="s">
        <v>7764</v>
      </c>
      <c r="C6903" s="13">
        <v>37936</v>
      </c>
      <c r="D6903" s="13" t="s">
        <v>8465</v>
      </c>
      <c r="E6903" s="10" t="s">
        <v>311</v>
      </c>
      <c r="F6903" s="10" t="s">
        <v>11026</v>
      </c>
      <c r="G6903" s="11" t="s">
        <v>10608</v>
      </c>
      <c r="H6903" s="2" t="s">
        <v>1050</v>
      </c>
      <c r="L6903" s="18">
        <v>0</v>
      </c>
      <c r="Q6903" s="18">
        <v>0</v>
      </c>
      <c r="U6903" s="22">
        <v>0.35</v>
      </c>
      <c r="V6903" s="22">
        <f>2.63/5</f>
        <v>0.52600000000000002</v>
      </c>
      <c r="X6903" s="3">
        <v>2</v>
      </c>
      <c r="Z6903" s="23">
        <v>4</v>
      </c>
      <c r="AB6903" s="18">
        <f t="shared" si="214"/>
        <v>2003</v>
      </c>
      <c r="AC6903" s="22">
        <f t="shared" si="215"/>
        <v>0.42533333333333334</v>
      </c>
    </row>
    <row r="6904" spans="1:29">
      <c r="A6904" s="8" t="s">
        <v>15457</v>
      </c>
      <c r="B6904" s="17" t="s">
        <v>7764</v>
      </c>
      <c r="C6904" s="13">
        <v>37936</v>
      </c>
      <c r="D6904" s="13" t="s">
        <v>8465</v>
      </c>
      <c r="E6904" s="10" t="s">
        <v>73</v>
      </c>
      <c r="F6904" s="10" t="s">
        <v>15458</v>
      </c>
      <c r="H6904" s="2" t="s">
        <v>150</v>
      </c>
      <c r="L6904" s="18">
        <v>0</v>
      </c>
      <c r="Q6904" s="18">
        <v>0</v>
      </c>
      <c r="U6904" s="22">
        <v>0.56999999999999995</v>
      </c>
      <c r="V6904" s="22">
        <f>3.8/5</f>
        <v>0.76</v>
      </c>
      <c r="X6904" s="3">
        <v>2</v>
      </c>
      <c r="Z6904" s="23">
        <v>3</v>
      </c>
      <c r="AB6904" s="18">
        <f t="shared" si="214"/>
        <v>2003</v>
      </c>
      <c r="AC6904" s="22">
        <f t="shared" si="215"/>
        <v>0.57666666666666666</v>
      </c>
    </row>
    <row r="6905" spans="1:29" ht="30">
      <c r="A6905" s="8" t="s">
        <v>15915</v>
      </c>
      <c r="B6905" s="17" t="s">
        <v>7740</v>
      </c>
      <c r="C6905" s="13">
        <v>37936</v>
      </c>
      <c r="D6905" s="13" t="s">
        <v>8465</v>
      </c>
      <c r="E6905" s="10" t="s">
        <v>1047</v>
      </c>
      <c r="F6905" s="10" t="s">
        <v>1048</v>
      </c>
      <c r="G6905" s="11" t="s">
        <v>207</v>
      </c>
      <c r="H6905" s="2" t="s">
        <v>153</v>
      </c>
      <c r="L6905" s="18">
        <v>0</v>
      </c>
      <c r="Q6905" s="18">
        <v>0</v>
      </c>
      <c r="U6905" s="22">
        <v>0.63</v>
      </c>
      <c r="V6905" s="22">
        <f>3.49/5</f>
        <v>0.69800000000000006</v>
      </c>
      <c r="X6905" s="3">
        <v>2</v>
      </c>
      <c r="Z6905" s="23">
        <v>5.5</v>
      </c>
      <c r="AB6905" s="18">
        <f t="shared" si="214"/>
        <v>2003</v>
      </c>
      <c r="AC6905" s="22">
        <f t="shared" si="215"/>
        <v>0.57600000000000007</v>
      </c>
    </row>
    <row r="6906" spans="1:29" ht="30">
      <c r="A6906" s="8" t="s">
        <v>15916</v>
      </c>
      <c r="B6906" s="17" t="s">
        <v>7747</v>
      </c>
      <c r="C6906" s="13">
        <v>37935</v>
      </c>
      <c r="D6906" s="13" t="s">
        <v>8465</v>
      </c>
      <c r="E6906" s="10" t="s">
        <v>1466</v>
      </c>
      <c r="F6906" s="10" t="s">
        <v>15917</v>
      </c>
      <c r="G6906" s="11" t="s">
        <v>15899</v>
      </c>
      <c r="H6906" s="2" t="s">
        <v>153</v>
      </c>
      <c r="L6906" s="18">
        <v>0</v>
      </c>
      <c r="Q6906" s="18">
        <v>0</v>
      </c>
      <c r="U6906" s="22">
        <v>0.43</v>
      </c>
      <c r="V6906" s="22">
        <f>2.31/5</f>
        <v>0.46200000000000002</v>
      </c>
      <c r="X6906" s="3">
        <v>2</v>
      </c>
      <c r="AB6906" s="18">
        <f t="shared" si="214"/>
        <v>2003</v>
      </c>
      <c r="AC6906" s="22">
        <f t="shared" si="215"/>
        <v>0.4306666666666667</v>
      </c>
    </row>
    <row r="6907" spans="1:29" ht="25.5">
      <c r="A6907" s="8" t="s">
        <v>13075</v>
      </c>
      <c r="B6907" s="17" t="s">
        <v>7800</v>
      </c>
      <c r="C6907" s="13">
        <v>37933</v>
      </c>
      <c r="D6907" s="13" t="s">
        <v>8465</v>
      </c>
      <c r="E6907" s="10" t="s">
        <v>1496</v>
      </c>
      <c r="F6907" s="10" t="s">
        <v>4227</v>
      </c>
      <c r="G6907" s="11" t="s">
        <v>4445</v>
      </c>
      <c r="H6907" s="2" t="s">
        <v>1143</v>
      </c>
      <c r="L6907" s="18">
        <v>0</v>
      </c>
      <c r="Q6907" s="18">
        <v>0</v>
      </c>
      <c r="U6907" s="22">
        <v>0.67</v>
      </c>
      <c r="V6907" s="22">
        <f>3.21/5</f>
        <v>0.64200000000000002</v>
      </c>
      <c r="W6907" s="14" t="s">
        <v>13076</v>
      </c>
      <c r="X6907" s="3">
        <v>3</v>
      </c>
      <c r="Z6907" s="23">
        <v>12</v>
      </c>
      <c r="AB6907" s="18">
        <f t="shared" si="214"/>
        <v>2003</v>
      </c>
      <c r="AC6907" s="22">
        <f t="shared" si="215"/>
        <v>0.63733333333333331</v>
      </c>
    </row>
    <row r="6908" spans="1:29" ht="30">
      <c r="A6908" s="8" t="s">
        <v>6649</v>
      </c>
      <c r="B6908" s="17" t="s">
        <v>7740</v>
      </c>
      <c r="C6908" s="13">
        <v>37930</v>
      </c>
      <c r="D6908" s="13" t="s">
        <v>8465</v>
      </c>
      <c r="E6908" s="10" t="s">
        <v>5010</v>
      </c>
      <c r="F6908" s="10" t="s">
        <v>3593</v>
      </c>
      <c r="G6908" s="11" t="s">
        <v>4445</v>
      </c>
      <c r="H6908" s="2" t="s">
        <v>1059</v>
      </c>
      <c r="L6908" s="18">
        <v>0</v>
      </c>
      <c r="Q6908" s="18">
        <v>0</v>
      </c>
      <c r="U6908" s="22">
        <v>0.84</v>
      </c>
      <c r="V6908" s="22">
        <f>3.78/5</f>
        <v>0.75600000000000001</v>
      </c>
      <c r="X6908" s="3">
        <v>3</v>
      </c>
      <c r="Z6908" s="23">
        <v>9</v>
      </c>
      <c r="AB6908" s="18">
        <f t="shared" si="214"/>
        <v>2003</v>
      </c>
      <c r="AC6908" s="22">
        <f t="shared" si="215"/>
        <v>0.7320000000000001</v>
      </c>
    </row>
    <row r="6909" spans="1:29" ht="30">
      <c r="A6909" s="8" t="s">
        <v>11934</v>
      </c>
      <c r="B6909" s="17" t="s">
        <v>7758</v>
      </c>
      <c r="C6909" s="13">
        <v>37929</v>
      </c>
      <c r="D6909" s="13" t="s">
        <v>8465</v>
      </c>
      <c r="E6909" s="10" t="s">
        <v>2908</v>
      </c>
      <c r="F6909" s="10" t="s">
        <v>7550</v>
      </c>
      <c r="G6909" s="11" t="s">
        <v>11933</v>
      </c>
      <c r="H6909" s="2" t="s">
        <v>7448</v>
      </c>
      <c r="L6909" s="18">
        <v>0</v>
      </c>
      <c r="Q6909" s="18">
        <v>0</v>
      </c>
      <c r="U6909" s="22">
        <v>0.87</v>
      </c>
      <c r="V6909" s="22">
        <f>3.84/5</f>
        <v>0.76800000000000002</v>
      </c>
      <c r="X6909" s="3">
        <v>2</v>
      </c>
      <c r="Z6909" s="23">
        <v>6.5</v>
      </c>
      <c r="AB6909" s="18">
        <f t="shared" si="214"/>
        <v>2003</v>
      </c>
      <c r="AC6909" s="22">
        <f t="shared" si="215"/>
        <v>0.67933333333333323</v>
      </c>
    </row>
    <row r="6910" spans="1:29" ht="25.5">
      <c r="A6910" s="8" t="s">
        <v>11441</v>
      </c>
      <c r="B6910" s="17" t="s">
        <v>7758</v>
      </c>
      <c r="C6910" s="13">
        <v>37929</v>
      </c>
      <c r="D6910" s="13" t="s">
        <v>8465</v>
      </c>
      <c r="E6910" s="10" t="s">
        <v>68</v>
      </c>
      <c r="F6910" s="10" t="s">
        <v>1471</v>
      </c>
      <c r="G6910" s="11" t="s">
        <v>7935</v>
      </c>
      <c r="H6910" s="2" t="s">
        <v>1059</v>
      </c>
      <c r="L6910" s="18">
        <v>0</v>
      </c>
      <c r="Q6910" s="18">
        <v>0</v>
      </c>
      <c r="U6910" s="22">
        <v>0.72</v>
      </c>
      <c r="V6910" s="22">
        <f>3.75/5</f>
        <v>0.75</v>
      </c>
      <c r="X6910" s="3">
        <v>2</v>
      </c>
      <c r="AB6910" s="18">
        <f t="shared" si="214"/>
        <v>2003</v>
      </c>
      <c r="AC6910" s="22">
        <f t="shared" si="215"/>
        <v>0.62333333333333341</v>
      </c>
    </row>
    <row r="6911" spans="1:29" ht="30">
      <c r="A6911" s="8" t="s">
        <v>923</v>
      </c>
      <c r="B6911" s="17" t="s">
        <v>7740</v>
      </c>
      <c r="C6911" s="13">
        <v>37928</v>
      </c>
      <c r="D6911" s="13" t="s">
        <v>8465</v>
      </c>
      <c r="E6911" s="10" t="s">
        <v>1284</v>
      </c>
      <c r="F6911" s="10" t="s">
        <v>1284</v>
      </c>
      <c r="H6911" s="2" t="s">
        <v>75</v>
      </c>
      <c r="L6911" s="18">
        <v>0</v>
      </c>
      <c r="Q6911" s="18">
        <v>0</v>
      </c>
      <c r="U6911" s="22">
        <v>0.78</v>
      </c>
      <c r="V6911" s="22">
        <f>4.13/5</f>
        <v>0.82599999999999996</v>
      </c>
      <c r="X6911" s="3">
        <v>3</v>
      </c>
      <c r="Z6911" s="23">
        <v>27.5</v>
      </c>
      <c r="AB6911" s="18">
        <f t="shared" si="214"/>
        <v>2003</v>
      </c>
      <c r="AC6911" s="22">
        <f t="shared" si="215"/>
        <v>0.73533333333333328</v>
      </c>
    </row>
    <row r="6912" spans="1:29">
      <c r="A6912" s="8" t="s">
        <v>14667</v>
      </c>
      <c r="B6912" s="17" t="s">
        <v>7764</v>
      </c>
      <c r="C6912" s="13">
        <v>37928</v>
      </c>
      <c r="D6912" s="13" t="s">
        <v>8465</v>
      </c>
      <c r="E6912" s="10" t="s">
        <v>1551</v>
      </c>
      <c r="F6912" s="10" t="s">
        <v>1355</v>
      </c>
      <c r="H6912" s="2" t="s">
        <v>150</v>
      </c>
      <c r="L6912" s="18">
        <v>0</v>
      </c>
      <c r="Q6912" s="18">
        <v>0</v>
      </c>
      <c r="U6912" s="22">
        <v>0.56000000000000005</v>
      </c>
      <c r="V6912" s="22">
        <f>2.92/5</f>
        <v>0.58399999999999996</v>
      </c>
      <c r="X6912" s="3">
        <v>2</v>
      </c>
      <c r="Z6912" s="23">
        <v>1</v>
      </c>
      <c r="AB6912" s="18">
        <f t="shared" si="214"/>
        <v>2003</v>
      </c>
      <c r="AC6912" s="22">
        <f t="shared" si="215"/>
        <v>0.51466666666666672</v>
      </c>
    </row>
    <row r="6913" spans="1:29" ht="30">
      <c r="A6913" s="8" t="s">
        <v>6735</v>
      </c>
      <c r="B6913" s="17" t="s">
        <v>7740</v>
      </c>
      <c r="C6913" s="13">
        <v>37924</v>
      </c>
      <c r="D6913" s="13" t="s">
        <v>8465</v>
      </c>
      <c r="E6913" s="10" t="s">
        <v>6732</v>
      </c>
      <c r="F6913" s="10" t="s">
        <v>6023</v>
      </c>
      <c r="G6913" s="11" t="s">
        <v>6021</v>
      </c>
      <c r="H6913" s="2" t="s">
        <v>255</v>
      </c>
      <c r="L6913" s="18">
        <v>0</v>
      </c>
      <c r="Q6913" s="18">
        <v>0</v>
      </c>
      <c r="U6913" s="22">
        <v>0.92</v>
      </c>
      <c r="V6913" s="22">
        <f>4/5</f>
        <v>0.8</v>
      </c>
      <c r="X6913" s="3">
        <v>4</v>
      </c>
      <c r="Z6913" s="23">
        <v>18</v>
      </c>
      <c r="AB6913" s="18">
        <f t="shared" ref="AB6913:AB6976" si="216">IFERROR(YEAR(C6913), "Early Access")</f>
        <v>2003</v>
      </c>
      <c r="AC6913" s="22">
        <f t="shared" ref="AC6913:AC6976" si="217">AVERAGE(T6913, U6913, V6913, IF(ISBLANK(X6913), X6913, X6913/5))</f>
        <v>0.84000000000000019</v>
      </c>
    </row>
    <row r="6914" spans="1:29" ht="25.5">
      <c r="A6914" s="8" t="s">
        <v>13373</v>
      </c>
      <c r="B6914" s="17" t="s">
        <v>7758</v>
      </c>
      <c r="C6914" s="13">
        <v>37924</v>
      </c>
      <c r="D6914" s="13" t="s">
        <v>8463</v>
      </c>
      <c r="E6914" s="10" t="s">
        <v>11794</v>
      </c>
      <c r="F6914" s="10" t="s">
        <v>11794</v>
      </c>
      <c r="G6914" s="11" t="s">
        <v>1362</v>
      </c>
      <c r="H6914" s="2" t="s">
        <v>21</v>
      </c>
      <c r="K6914" s="18">
        <v>0</v>
      </c>
      <c r="L6914" s="18">
        <v>0</v>
      </c>
      <c r="Q6914" s="18">
        <v>0</v>
      </c>
      <c r="V6914" s="22">
        <f>3.26/5</f>
        <v>0.65199999999999991</v>
      </c>
      <c r="X6914" s="3">
        <v>2</v>
      </c>
      <c r="Z6914" s="23">
        <v>1</v>
      </c>
      <c r="AB6914" s="18">
        <f t="shared" si="216"/>
        <v>2003</v>
      </c>
      <c r="AC6914" s="22">
        <f t="shared" si="217"/>
        <v>0.52600000000000002</v>
      </c>
    </row>
    <row r="6915" spans="1:29">
      <c r="A6915" s="8" t="s">
        <v>3401</v>
      </c>
      <c r="B6915" s="17" t="s">
        <v>7800</v>
      </c>
      <c r="C6915" s="13">
        <v>37923</v>
      </c>
      <c r="D6915" s="13" t="s">
        <v>8465</v>
      </c>
      <c r="E6915" s="10" t="s">
        <v>1273</v>
      </c>
      <c r="F6915" s="10" t="s">
        <v>3400</v>
      </c>
      <c r="G6915" s="11" t="s">
        <v>3401</v>
      </c>
      <c r="H6915" s="2" t="s">
        <v>1050</v>
      </c>
      <c r="L6915" s="18">
        <v>1</v>
      </c>
      <c r="N6915" s="13">
        <v>44922</v>
      </c>
      <c r="O6915" s="29">
        <v>9.99</v>
      </c>
      <c r="P6915" s="18" t="s">
        <v>1107</v>
      </c>
      <c r="Q6915" s="18">
        <v>0</v>
      </c>
      <c r="U6915" s="22">
        <v>0.91</v>
      </c>
      <c r="V6915" s="22">
        <f>3.96/5</f>
        <v>0.79200000000000004</v>
      </c>
      <c r="W6915" s="14" t="s">
        <v>7777</v>
      </c>
      <c r="X6915" s="3">
        <v>3</v>
      </c>
      <c r="Z6915" s="23">
        <v>7</v>
      </c>
      <c r="AB6915" s="18">
        <f t="shared" si="216"/>
        <v>2003</v>
      </c>
      <c r="AC6915" s="22">
        <f t="shared" si="217"/>
        <v>0.76733333333333331</v>
      </c>
    </row>
    <row r="6916" spans="1:29">
      <c r="A6916" s="8" t="s">
        <v>5819</v>
      </c>
      <c r="B6916" s="17" t="s">
        <v>7758</v>
      </c>
      <c r="C6916" s="13">
        <v>37922</v>
      </c>
      <c r="D6916" s="13" t="s">
        <v>8465</v>
      </c>
      <c r="E6916" s="10" t="s">
        <v>158</v>
      </c>
      <c r="F6916" s="10" t="s">
        <v>158</v>
      </c>
      <c r="G6916" s="11" t="s">
        <v>5819</v>
      </c>
      <c r="H6916" s="2" t="s">
        <v>1168</v>
      </c>
      <c r="L6916" s="18">
        <v>0</v>
      </c>
      <c r="Q6916" s="18">
        <v>0</v>
      </c>
      <c r="U6916" s="22">
        <v>0.75</v>
      </c>
      <c r="V6916" s="22">
        <f>3.44/5</f>
        <v>0.68799999999999994</v>
      </c>
      <c r="X6916" s="3">
        <v>4</v>
      </c>
      <c r="Z6916" s="23">
        <v>4</v>
      </c>
      <c r="AB6916" s="18">
        <f t="shared" si="216"/>
        <v>2003</v>
      </c>
      <c r="AC6916" s="22">
        <f t="shared" si="217"/>
        <v>0.746</v>
      </c>
    </row>
    <row r="6917" spans="1:29" ht="30">
      <c r="A6917" s="8" t="s">
        <v>7605</v>
      </c>
      <c r="B6917" s="17" t="s">
        <v>7764</v>
      </c>
      <c r="C6917" s="13">
        <v>37922</v>
      </c>
      <c r="D6917" s="13" t="s">
        <v>8465</v>
      </c>
      <c r="E6917" s="10" t="s">
        <v>3848</v>
      </c>
      <c r="F6917" s="10" t="s">
        <v>1055</v>
      </c>
      <c r="G6917" s="11" t="s">
        <v>7602</v>
      </c>
      <c r="H6917" s="2" t="s">
        <v>1059</v>
      </c>
      <c r="L6917" s="18">
        <v>0</v>
      </c>
      <c r="Q6917" s="18">
        <v>0</v>
      </c>
      <c r="U6917" s="22">
        <v>0.73</v>
      </c>
      <c r="V6917" s="22">
        <f>3.59/5</f>
        <v>0.71799999999999997</v>
      </c>
      <c r="X6917" s="3">
        <v>3</v>
      </c>
      <c r="Y6917" s="18">
        <v>1</v>
      </c>
      <c r="Z6917" s="23">
        <v>12</v>
      </c>
      <c r="AB6917" s="18">
        <f t="shared" si="216"/>
        <v>2003</v>
      </c>
      <c r="AC6917" s="22">
        <f t="shared" si="217"/>
        <v>0.68266666666666664</v>
      </c>
    </row>
    <row r="6918" spans="1:29">
      <c r="A6918" s="8" t="s">
        <v>11489</v>
      </c>
      <c r="B6918" s="17" t="s">
        <v>7764</v>
      </c>
      <c r="C6918" s="13">
        <v>37922</v>
      </c>
      <c r="D6918" s="13" t="s">
        <v>8465</v>
      </c>
      <c r="E6918" s="10" t="s">
        <v>3740</v>
      </c>
      <c r="F6918" s="10" t="s">
        <v>11487</v>
      </c>
      <c r="G6918" s="11" t="s">
        <v>11488</v>
      </c>
      <c r="H6918" s="2" t="s">
        <v>255</v>
      </c>
      <c r="L6918" s="18">
        <v>0</v>
      </c>
      <c r="Q6918" s="18">
        <v>0</v>
      </c>
      <c r="U6918" s="22">
        <v>0.8</v>
      </c>
      <c r="V6918" s="22">
        <f>3.66/5</f>
        <v>0.73199999999999998</v>
      </c>
      <c r="X6918" s="3">
        <v>2</v>
      </c>
      <c r="Y6918" s="18">
        <v>1</v>
      </c>
      <c r="Z6918" s="23">
        <v>7</v>
      </c>
      <c r="AB6918" s="18">
        <f t="shared" si="216"/>
        <v>2003</v>
      </c>
      <c r="AC6918" s="22">
        <f t="shared" si="217"/>
        <v>0.64400000000000002</v>
      </c>
    </row>
    <row r="6919" spans="1:29">
      <c r="A6919" s="8" t="s">
        <v>15585</v>
      </c>
      <c r="B6919" s="17" t="s">
        <v>7800</v>
      </c>
      <c r="C6919" s="13">
        <v>37922</v>
      </c>
      <c r="D6919" s="13" t="s">
        <v>8465</v>
      </c>
      <c r="E6919" s="10" t="s">
        <v>311</v>
      </c>
      <c r="F6919" s="10" t="s">
        <v>4847</v>
      </c>
      <c r="G6919" s="11" t="s">
        <v>3208</v>
      </c>
      <c r="H6919" s="2" t="s">
        <v>1720</v>
      </c>
      <c r="L6919" s="18">
        <v>0</v>
      </c>
      <c r="Q6919" s="18">
        <v>0</v>
      </c>
      <c r="U6919" s="22">
        <v>0.79</v>
      </c>
      <c r="V6919" s="22">
        <f>4.2/5</f>
        <v>0.84000000000000008</v>
      </c>
      <c r="X6919" s="3">
        <v>3</v>
      </c>
      <c r="Z6919" s="23">
        <v>46</v>
      </c>
      <c r="AB6919" s="18">
        <f t="shared" si="216"/>
        <v>2003</v>
      </c>
      <c r="AC6919" s="22">
        <f t="shared" si="217"/>
        <v>0.74333333333333329</v>
      </c>
    </row>
    <row r="6920" spans="1:29" ht="30">
      <c r="A6920" s="8" t="s">
        <v>2039</v>
      </c>
      <c r="B6920" s="17" t="s">
        <v>7747</v>
      </c>
      <c r="C6920" s="13">
        <v>37921</v>
      </c>
      <c r="D6920" s="13" t="s">
        <v>8465</v>
      </c>
      <c r="E6920" s="10" t="s">
        <v>1945</v>
      </c>
      <c r="F6920" s="10" t="s">
        <v>1865</v>
      </c>
      <c r="G6920" s="11" t="s">
        <v>1975</v>
      </c>
      <c r="H6920" s="2" t="s">
        <v>56</v>
      </c>
      <c r="L6920" s="18">
        <v>0</v>
      </c>
      <c r="Q6920" s="18">
        <v>0</v>
      </c>
      <c r="U6920" s="22">
        <v>0.75</v>
      </c>
      <c r="V6920" s="22">
        <f>3.69/5</f>
        <v>0.73799999999999999</v>
      </c>
      <c r="X6920" s="3">
        <v>3</v>
      </c>
      <c r="Z6920" s="23">
        <v>11</v>
      </c>
      <c r="AB6920" s="18">
        <f t="shared" si="216"/>
        <v>2003</v>
      </c>
      <c r="AC6920" s="22">
        <f t="shared" si="217"/>
        <v>0.69600000000000006</v>
      </c>
    </row>
    <row r="6921" spans="1:29" ht="30">
      <c r="A6921" s="8" t="s">
        <v>2026</v>
      </c>
      <c r="B6921" s="17" t="s">
        <v>7747</v>
      </c>
      <c r="C6921" s="13">
        <v>37918</v>
      </c>
      <c r="D6921" s="13" t="s">
        <v>8463</v>
      </c>
      <c r="E6921" s="10" t="s">
        <v>86</v>
      </c>
      <c r="F6921" s="10" t="s">
        <v>62</v>
      </c>
      <c r="G6921" s="11" t="s">
        <v>1968</v>
      </c>
      <c r="H6921" s="2" t="s">
        <v>149</v>
      </c>
      <c r="K6921" s="18">
        <v>2</v>
      </c>
      <c r="L6921" s="18">
        <v>0</v>
      </c>
      <c r="Q6921" s="18">
        <v>0</v>
      </c>
      <c r="V6921" s="22">
        <f>4.09/5</f>
        <v>0.81799999999999995</v>
      </c>
      <c r="X6921" s="3">
        <v>3</v>
      </c>
      <c r="Z6921" s="23">
        <v>21</v>
      </c>
      <c r="AB6921" s="18">
        <f t="shared" si="216"/>
        <v>2003</v>
      </c>
      <c r="AC6921" s="22">
        <f t="shared" si="217"/>
        <v>0.70899999999999996</v>
      </c>
    </row>
    <row r="6922" spans="1:29">
      <c r="A6922" s="8" t="s">
        <v>12657</v>
      </c>
      <c r="B6922" s="17" t="s">
        <v>7800</v>
      </c>
      <c r="C6922" s="13">
        <v>37918</v>
      </c>
      <c r="D6922" s="13" t="s">
        <v>8465</v>
      </c>
      <c r="E6922" s="10" t="s">
        <v>9795</v>
      </c>
      <c r="F6922" s="10" t="s">
        <v>12658</v>
      </c>
      <c r="H6922" s="2" t="s">
        <v>1061</v>
      </c>
      <c r="L6922" s="18">
        <v>1</v>
      </c>
      <c r="P6922" s="18" t="s">
        <v>1107</v>
      </c>
      <c r="Q6922" s="18">
        <v>0</v>
      </c>
      <c r="U6922" s="22">
        <v>0.63</v>
      </c>
      <c r="V6922" s="22">
        <f>3/5</f>
        <v>0.6</v>
      </c>
      <c r="W6922" s="14" t="s">
        <v>7777</v>
      </c>
      <c r="X6922" s="3">
        <v>2</v>
      </c>
      <c r="Z6922" s="23">
        <v>7</v>
      </c>
      <c r="AB6922" s="18">
        <f t="shared" si="216"/>
        <v>2003</v>
      </c>
      <c r="AC6922" s="22">
        <f t="shared" si="217"/>
        <v>0.54333333333333333</v>
      </c>
    </row>
    <row r="6923" spans="1:29">
      <c r="A6923" s="8" t="s">
        <v>7652</v>
      </c>
      <c r="B6923" s="17" t="s">
        <v>7758</v>
      </c>
      <c r="C6923" s="13">
        <v>37917</v>
      </c>
      <c r="D6923" s="13" t="s">
        <v>8463</v>
      </c>
      <c r="E6923" s="10" t="s">
        <v>1580</v>
      </c>
      <c r="F6923" s="10" t="s">
        <v>1580</v>
      </c>
      <c r="G6923" s="11" t="s">
        <v>7653</v>
      </c>
      <c r="H6923" s="2" t="s">
        <v>171</v>
      </c>
      <c r="K6923" s="18">
        <v>2</v>
      </c>
      <c r="L6923" s="18">
        <v>0</v>
      </c>
      <c r="Q6923" s="18">
        <v>0</v>
      </c>
      <c r="V6923" s="22">
        <f>3.71/5</f>
        <v>0.74199999999999999</v>
      </c>
      <c r="X6923" s="3">
        <v>3</v>
      </c>
      <c r="Z6923" s="23">
        <v>8.5</v>
      </c>
      <c r="AB6923" s="18">
        <f t="shared" si="216"/>
        <v>2003</v>
      </c>
      <c r="AC6923" s="22">
        <f t="shared" si="217"/>
        <v>0.67100000000000004</v>
      </c>
    </row>
    <row r="6924" spans="1:29" ht="30">
      <c r="A6924" s="8" t="s">
        <v>2067</v>
      </c>
      <c r="B6924" s="17" t="s">
        <v>7747</v>
      </c>
      <c r="C6924" s="13">
        <v>37915</v>
      </c>
      <c r="D6924" s="13" t="s">
        <v>8465</v>
      </c>
      <c r="E6924" s="10" t="s">
        <v>86</v>
      </c>
      <c r="F6924" s="10" t="s">
        <v>87</v>
      </c>
      <c r="G6924" s="11" t="s">
        <v>137</v>
      </c>
      <c r="H6924" s="2" t="s">
        <v>64</v>
      </c>
      <c r="L6924" s="18">
        <v>0</v>
      </c>
      <c r="Q6924" s="18">
        <v>0</v>
      </c>
      <c r="U6924" s="22">
        <v>0.92</v>
      </c>
      <c r="V6924" s="22">
        <f>4.23/5</f>
        <v>0.84600000000000009</v>
      </c>
      <c r="X6924" s="3">
        <v>3</v>
      </c>
      <c r="Z6924" s="23">
        <v>5.5</v>
      </c>
      <c r="AB6924" s="18">
        <f t="shared" si="216"/>
        <v>2003</v>
      </c>
      <c r="AC6924" s="22">
        <f t="shared" si="217"/>
        <v>0.78866666666666674</v>
      </c>
    </row>
    <row r="6925" spans="1:29" ht="25.5">
      <c r="A6925" s="8" t="s">
        <v>6299</v>
      </c>
      <c r="B6925" s="17" t="s">
        <v>7764</v>
      </c>
      <c r="C6925" s="13">
        <v>37915</v>
      </c>
      <c r="D6925" s="13" t="s">
        <v>8465</v>
      </c>
      <c r="E6925" s="10" t="s">
        <v>3116</v>
      </c>
      <c r="F6925" s="10" t="s">
        <v>163</v>
      </c>
      <c r="H6925" s="2" t="s">
        <v>80</v>
      </c>
      <c r="L6925" s="18">
        <v>0</v>
      </c>
      <c r="Q6925" s="18">
        <v>0</v>
      </c>
      <c r="U6925" s="22">
        <v>0.7</v>
      </c>
      <c r="V6925" s="22">
        <f>3.28/5</f>
        <v>0.65599999999999992</v>
      </c>
      <c r="X6925" s="3">
        <v>4</v>
      </c>
      <c r="Y6925" s="18">
        <v>1</v>
      </c>
      <c r="Z6925" s="23">
        <v>6</v>
      </c>
      <c r="AB6925" s="18">
        <f t="shared" si="216"/>
        <v>2003</v>
      </c>
      <c r="AC6925" s="22">
        <f t="shared" si="217"/>
        <v>0.71866666666666656</v>
      </c>
    </row>
    <row r="6926" spans="1:29" ht="25.5">
      <c r="A6926" s="8" t="s">
        <v>6295</v>
      </c>
      <c r="B6926" s="17" t="s">
        <v>7764</v>
      </c>
      <c r="C6926" s="13">
        <v>37915</v>
      </c>
      <c r="D6926" s="13" t="s">
        <v>8465</v>
      </c>
      <c r="E6926" s="10" t="s">
        <v>3740</v>
      </c>
      <c r="F6926" s="10" t="s">
        <v>6296</v>
      </c>
      <c r="G6926" s="11" t="s">
        <v>6297</v>
      </c>
      <c r="H6926" s="2" t="s">
        <v>7594</v>
      </c>
      <c r="L6926" s="18">
        <v>1</v>
      </c>
      <c r="M6926" s="14" t="s">
        <v>8462</v>
      </c>
      <c r="N6926" s="13">
        <v>43529</v>
      </c>
      <c r="O6926" s="29">
        <v>7.5</v>
      </c>
      <c r="P6926" s="18" t="s">
        <v>14</v>
      </c>
      <c r="Q6926" s="18">
        <v>0</v>
      </c>
      <c r="U6926" s="22">
        <v>0.89</v>
      </c>
      <c r="V6926" s="22">
        <f>3.98/5</f>
        <v>0.79600000000000004</v>
      </c>
      <c r="X6926" s="3">
        <v>3</v>
      </c>
      <c r="Z6926" s="23">
        <v>8</v>
      </c>
      <c r="AB6926" s="18">
        <f t="shared" si="216"/>
        <v>2003</v>
      </c>
      <c r="AC6926" s="22">
        <f t="shared" si="217"/>
        <v>0.76200000000000001</v>
      </c>
    </row>
    <row r="6927" spans="1:29">
      <c r="A6927" s="8" t="s">
        <v>12930</v>
      </c>
      <c r="B6927" s="17" t="s">
        <v>7758</v>
      </c>
      <c r="C6927" s="13">
        <v>37915</v>
      </c>
      <c r="D6927" s="13" t="s">
        <v>8465</v>
      </c>
      <c r="E6927" s="10" t="s">
        <v>158</v>
      </c>
      <c r="F6927" s="10" t="s">
        <v>1974</v>
      </c>
      <c r="G6927" s="11" t="s">
        <v>10629</v>
      </c>
      <c r="H6927" s="2" t="s">
        <v>1170</v>
      </c>
      <c r="L6927" s="18">
        <v>0</v>
      </c>
      <c r="Q6927" s="18">
        <v>0</v>
      </c>
      <c r="U6927" s="22">
        <v>0.81</v>
      </c>
      <c r="V6927" s="22">
        <f>4.02/5</f>
        <v>0.80399999999999994</v>
      </c>
      <c r="X6927" s="3">
        <v>3</v>
      </c>
      <c r="Z6927" s="23">
        <v>1</v>
      </c>
      <c r="AB6927" s="18">
        <f t="shared" si="216"/>
        <v>2003</v>
      </c>
      <c r="AC6927" s="22">
        <f t="shared" si="217"/>
        <v>0.73799999999999999</v>
      </c>
    </row>
    <row r="6928" spans="1:29" ht="25.5">
      <c r="A6928" s="8" t="s">
        <v>5738</v>
      </c>
      <c r="B6928" s="17" t="s">
        <v>7758</v>
      </c>
      <c r="C6928" s="13">
        <v>37915</v>
      </c>
      <c r="D6928" s="13" t="s">
        <v>8465</v>
      </c>
      <c r="E6928" s="10" t="s">
        <v>72</v>
      </c>
      <c r="F6928" s="10" t="s">
        <v>72</v>
      </c>
      <c r="G6928" s="11" t="s">
        <v>113</v>
      </c>
      <c r="H6928" s="2" t="s">
        <v>1059</v>
      </c>
      <c r="L6928" s="18">
        <v>0</v>
      </c>
      <c r="Q6928" s="18">
        <v>0</v>
      </c>
      <c r="U6928" s="22">
        <v>0.79</v>
      </c>
      <c r="V6928" s="22">
        <f>3.76/5</f>
        <v>0.752</v>
      </c>
      <c r="X6928" s="3">
        <v>3</v>
      </c>
      <c r="Z6928" s="23">
        <v>8.5</v>
      </c>
      <c r="AB6928" s="18">
        <f t="shared" si="216"/>
        <v>2003</v>
      </c>
      <c r="AC6928" s="22">
        <f t="shared" si="217"/>
        <v>0.71399999999999997</v>
      </c>
    </row>
    <row r="6929" spans="1:29" ht="25.5">
      <c r="A6929" s="8" t="s">
        <v>4551</v>
      </c>
      <c r="B6929" s="17" t="s">
        <v>7800</v>
      </c>
      <c r="C6929" s="13">
        <v>37915</v>
      </c>
      <c r="D6929" s="13" t="s">
        <v>8465</v>
      </c>
      <c r="E6929" s="10" t="s">
        <v>4552</v>
      </c>
      <c r="F6929" s="10" t="s">
        <v>4553</v>
      </c>
      <c r="H6929" s="2" t="s">
        <v>1061</v>
      </c>
      <c r="L6929" s="18">
        <v>1</v>
      </c>
      <c r="N6929" s="13">
        <v>41728</v>
      </c>
      <c r="P6929" s="18" t="s">
        <v>1107</v>
      </c>
      <c r="Q6929" s="18">
        <v>0</v>
      </c>
      <c r="U6929" s="22">
        <v>0.7</v>
      </c>
      <c r="V6929" s="22">
        <f>3.09/5</f>
        <v>0.61799999999999999</v>
      </c>
      <c r="W6929" s="14" t="s">
        <v>7777</v>
      </c>
      <c r="X6929" s="3">
        <v>3</v>
      </c>
      <c r="Z6929" s="23">
        <v>4</v>
      </c>
      <c r="AB6929" s="18">
        <f t="shared" si="216"/>
        <v>2003</v>
      </c>
      <c r="AC6929" s="22">
        <f t="shared" si="217"/>
        <v>0.63933333333333342</v>
      </c>
    </row>
    <row r="6930" spans="1:29" ht="30">
      <c r="A6930" s="8" t="s">
        <v>15004</v>
      </c>
      <c r="B6930" s="17" t="s">
        <v>7740</v>
      </c>
      <c r="C6930" s="13">
        <v>37914</v>
      </c>
      <c r="D6930" s="13" t="s">
        <v>8465</v>
      </c>
      <c r="E6930" s="10" t="s">
        <v>231</v>
      </c>
      <c r="F6930" s="10" t="s">
        <v>11260</v>
      </c>
      <c r="G6930" s="11" t="s">
        <v>15004</v>
      </c>
      <c r="H6930" s="2" t="s">
        <v>1040</v>
      </c>
      <c r="L6930" s="18">
        <v>0</v>
      </c>
      <c r="Q6930" s="18">
        <v>0</v>
      </c>
      <c r="U6930" s="22">
        <v>0.47</v>
      </c>
      <c r="V6930" s="22">
        <f>2.72/5</f>
        <v>0.54400000000000004</v>
      </c>
      <c r="X6930" s="3">
        <v>2</v>
      </c>
      <c r="Z6930" s="23">
        <v>3</v>
      </c>
      <c r="AB6930" s="18">
        <f t="shared" si="216"/>
        <v>2003</v>
      </c>
      <c r="AC6930" s="22">
        <f t="shared" si="217"/>
        <v>0.47133333333333338</v>
      </c>
    </row>
    <row r="6931" spans="1:29">
      <c r="A6931" s="8" t="s">
        <v>3972</v>
      </c>
      <c r="B6931" s="17" t="s">
        <v>7800</v>
      </c>
      <c r="C6931" s="13">
        <v>37913</v>
      </c>
      <c r="D6931" s="13" t="s">
        <v>8465</v>
      </c>
      <c r="E6931" s="10" t="s">
        <v>3234</v>
      </c>
      <c r="F6931" s="10" t="s">
        <v>3234</v>
      </c>
      <c r="G6931" s="11" t="s">
        <v>3971</v>
      </c>
      <c r="H6931" s="2" t="s">
        <v>1720</v>
      </c>
      <c r="L6931" s="18">
        <v>1</v>
      </c>
      <c r="N6931" s="13">
        <v>41114</v>
      </c>
      <c r="P6931" s="18" t="s">
        <v>1107</v>
      </c>
      <c r="Q6931" s="18">
        <v>0</v>
      </c>
      <c r="U6931" s="22">
        <v>0.7</v>
      </c>
      <c r="V6931" s="22">
        <f>4.03/5</f>
        <v>0.80600000000000005</v>
      </c>
      <c r="W6931" s="14" t="s">
        <v>7777</v>
      </c>
      <c r="X6931" s="3">
        <v>2</v>
      </c>
      <c r="Z6931" s="23">
        <v>34.5</v>
      </c>
      <c r="AB6931" s="18">
        <f t="shared" si="216"/>
        <v>2003</v>
      </c>
      <c r="AC6931" s="22">
        <f t="shared" si="217"/>
        <v>0.63533333333333342</v>
      </c>
    </row>
    <row r="6932" spans="1:29" ht="38.25">
      <c r="A6932" s="8" t="s">
        <v>6737</v>
      </c>
      <c r="B6932" s="17" t="s">
        <v>7740</v>
      </c>
      <c r="C6932" s="13">
        <v>37909</v>
      </c>
      <c r="D6932" s="13" t="s">
        <v>8465</v>
      </c>
      <c r="E6932" s="10" t="s">
        <v>1284</v>
      </c>
      <c r="F6932" s="10" t="s">
        <v>1322</v>
      </c>
      <c r="G6932" s="11" t="s">
        <v>6738</v>
      </c>
      <c r="H6932" s="2" t="s">
        <v>80</v>
      </c>
      <c r="L6932" s="18">
        <v>0</v>
      </c>
      <c r="Q6932" s="18">
        <v>0</v>
      </c>
      <c r="U6932" s="22">
        <v>0.77</v>
      </c>
      <c r="V6932" s="22">
        <f>3.72/5</f>
        <v>0.74399999999999999</v>
      </c>
      <c r="X6932" s="3">
        <v>3</v>
      </c>
      <c r="Z6932" s="23">
        <v>6</v>
      </c>
      <c r="AB6932" s="18">
        <f t="shared" si="216"/>
        <v>2003</v>
      </c>
      <c r="AC6932" s="22">
        <f t="shared" si="217"/>
        <v>0.70466666666666666</v>
      </c>
    </row>
    <row r="6933" spans="1:29" ht="30">
      <c r="A6933" s="8" t="s">
        <v>11991</v>
      </c>
      <c r="B6933" s="17" t="s">
        <v>7740</v>
      </c>
      <c r="C6933" s="13">
        <v>37909</v>
      </c>
      <c r="D6933" s="13" t="s">
        <v>8465</v>
      </c>
      <c r="E6933" s="10" t="s">
        <v>1342</v>
      </c>
      <c r="F6933" s="10" t="s">
        <v>11989</v>
      </c>
      <c r="G6933" s="11" t="s">
        <v>11990</v>
      </c>
      <c r="H6933" s="2" t="s">
        <v>1040</v>
      </c>
      <c r="L6933" s="18">
        <v>0</v>
      </c>
      <c r="Q6933" s="18">
        <v>0</v>
      </c>
      <c r="U6933" s="22">
        <v>0.71</v>
      </c>
      <c r="V6933" s="22">
        <f>3.48/5</f>
        <v>0.69599999999999995</v>
      </c>
      <c r="X6933" s="3">
        <v>2</v>
      </c>
      <c r="Z6933" s="23">
        <v>6.5</v>
      </c>
      <c r="AB6933" s="18">
        <f t="shared" si="216"/>
        <v>2003</v>
      </c>
      <c r="AC6933" s="22">
        <f t="shared" si="217"/>
        <v>0.60199999999999998</v>
      </c>
    </row>
    <row r="6934" spans="1:29" ht="25.5">
      <c r="A6934" s="8" t="s">
        <v>4407</v>
      </c>
      <c r="B6934" s="17" t="s">
        <v>7800</v>
      </c>
      <c r="C6934" s="13">
        <v>37908</v>
      </c>
      <c r="D6934" s="13" t="s">
        <v>8465</v>
      </c>
      <c r="E6934" s="10" t="s">
        <v>1618</v>
      </c>
      <c r="F6934" s="10" t="s">
        <v>3130</v>
      </c>
      <c r="G6934" s="11" t="s">
        <v>4406</v>
      </c>
      <c r="H6934" s="2" t="s">
        <v>1168</v>
      </c>
      <c r="L6934" s="18">
        <v>1</v>
      </c>
      <c r="N6934" s="13">
        <v>41105</v>
      </c>
      <c r="O6934" s="29">
        <v>1.87</v>
      </c>
      <c r="P6934" s="18" t="s">
        <v>1107</v>
      </c>
      <c r="Q6934" s="18">
        <v>0</v>
      </c>
      <c r="U6934" s="22">
        <v>0.89</v>
      </c>
      <c r="V6934" s="22">
        <f>4.11/5</f>
        <v>0.82200000000000006</v>
      </c>
      <c r="W6934" s="14" t="s">
        <v>7777</v>
      </c>
      <c r="X6934" s="3">
        <v>4</v>
      </c>
      <c r="Z6934" s="23">
        <v>6.5</v>
      </c>
      <c r="AB6934" s="18">
        <f t="shared" si="216"/>
        <v>2003</v>
      </c>
      <c r="AC6934" s="22">
        <f t="shared" si="217"/>
        <v>0.83733333333333348</v>
      </c>
    </row>
    <row r="6935" spans="1:29">
      <c r="A6935" s="8" t="s">
        <v>5817</v>
      </c>
      <c r="B6935" s="17" t="s">
        <v>7758</v>
      </c>
      <c r="C6935" s="13">
        <v>37908</v>
      </c>
      <c r="D6935" s="13" t="s">
        <v>8465</v>
      </c>
      <c r="E6935" s="10" t="s">
        <v>1290</v>
      </c>
      <c r="F6935" s="10" t="s">
        <v>2646</v>
      </c>
      <c r="G6935" s="11" t="s">
        <v>5880</v>
      </c>
      <c r="H6935" s="2" t="s">
        <v>1040</v>
      </c>
      <c r="L6935" s="18">
        <v>0</v>
      </c>
      <c r="Q6935" s="18">
        <v>0</v>
      </c>
      <c r="U6935" s="22">
        <v>0.88</v>
      </c>
      <c r="V6935" s="22">
        <f>3.99/5</f>
        <v>0.79800000000000004</v>
      </c>
      <c r="X6935" s="3">
        <v>4</v>
      </c>
      <c r="Z6935" s="23">
        <v>18</v>
      </c>
      <c r="AB6935" s="18">
        <f t="shared" si="216"/>
        <v>2003</v>
      </c>
      <c r="AC6935" s="22">
        <f t="shared" si="217"/>
        <v>0.82599999999999996</v>
      </c>
    </row>
    <row r="6936" spans="1:29" ht="30">
      <c r="A6936" s="8" t="s">
        <v>2056</v>
      </c>
      <c r="B6936" s="17" t="s">
        <v>7747</v>
      </c>
      <c r="C6936" s="13">
        <v>37908</v>
      </c>
      <c r="D6936" s="13" t="s">
        <v>8465</v>
      </c>
      <c r="E6936" s="10" t="s">
        <v>73</v>
      </c>
      <c r="F6936" s="10" t="s">
        <v>1070</v>
      </c>
      <c r="G6936" s="11" t="s">
        <v>1983</v>
      </c>
      <c r="H6936" s="2" t="s">
        <v>56</v>
      </c>
      <c r="L6936" s="18">
        <v>0</v>
      </c>
      <c r="Q6936" s="18">
        <v>0</v>
      </c>
      <c r="U6936" s="22">
        <v>0.82</v>
      </c>
      <c r="V6936" s="22">
        <f>4.08/5</f>
        <v>0.81600000000000006</v>
      </c>
      <c r="X6936" s="3">
        <v>4</v>
      </c>
      <c r="Z6936" s="23">
        <v>3</v>
      </c>
      <c r="AB6936" s="18">
        <f t="shared" si="216"/>
        <v>2003</v>
      </c>
      <c r="AC6936" s="22">
        <f t="shared" si="217"/>
        <v>0.81199999999999994</v>
      </c>
    </row>
    <row r="6937" spans="1:29" ht="25.5">
      <c r="A6937" s="8" t="s">
        <v>10996</v>
      </c>
      <c r="B6937" s="17" t="s">
        <v>7758</v>
      </c>
      <c r="C6937" s="13">
        <v>37908</v>
      </c>
      <c r="D6937" s="13" t="s">
        <v>8465</v>
      </c>
      <c r="E6937" s="10" t="s">
        <v>455</v>
      </c>
      <c r="F6937" s="10" t="s">
        <v>2761</v>
      </c>
      <c r="G6937" s="11" t="s">
        <v>2901</v>
      </c>
      <c r="H6937" s="2" t="s">
        <v>80</v>
      </c>
      <c r="L6937" s="18">
        <v>0</v>
      </c>
      <c r="Q6937" s="18">
        <v>0</v>
      </c>
      <c r="U6937" s="22">
        <v>0.54</v>
      </c>
      <c r="V6937" s="22">
        <f>3.26/5</f>
        <v>0.65199999999999991</v>
      </c>
      <c r="X6937" s="3">
        <v>3</v>
      </c>
      <c r="AB6937" s="18">
        <f t="shared" si="216"/>
        <v>2003</v>
      </c>
      <c r="AC6937" s="22">
        <f t="shared" si="217"/>
        <v>0.59733333333333327</v>
      </c>
    </row>
    <row r="6938" spans="1:29">
      <c r="A6938" s="8" t="s">
        <v>5759</v>
      </c>
      <c r="B6938" s="17" t="s">
        <v>7758</v>
      </c>
      <c r="C6938" s="13">
        <v>37908</v>
      </c>
      <c r="D6938" s="13" t="s">
        <v>8465</v>
      </c>
      <c r="E6938" s="10" t="s">
        <v>73</v>
      </c>
      <c r="F6938" s="10" t="s">
        <v>73</v>
      </c>
      <c r="G6938" s="11" t="s">
        <v>601</v>
      </c>
      <c r="H6938" s="2" t="s">
        <v>56</v>
      </c>
      <c r="L6938" s="18">
        <v>0</v>
      </c>
      <c r="Q6938" s="18">
        <v>0</v>
      </c>
      <c r="U6938" s="22">
        <v>0.59</v>
      </c>
      <c r="V6938" s="22">
        <f>2.92/5</f>
        <v>0.58399999999999996</v>
      </c>
      <c r="X6938" s="3">
        <v>3</v>
      </c>
      <c r="Z6938" s="23">
        <v>4.5</v>
      </c>
      <c r="AB6938" s="18">
        <f t="shared" si="216"/>
        <v>2003</v>
      </c>
      <c r="AC6938" s="22">
        <f t="shared" si="217"/>
        <v>0.59133333333333338</v>
      </c>
    </row>
    <row r="6939" spans="1:29" ht="25.5">
      <c r="A6939" s="8" t="s">
        <v>3476</v>
      </c>
      <c r="B6939" s="17" t="s">
        <v>7800</v>
      </c>
      <c r="C6939" s="13">
        <v>37908</v>
      </c>
      <c r="D6939" s="13" t="s">
        <v>8465</v>
      </c>
      <c r="E6939" s="10" t="s">
        <v>1870</v>
      </c>
      <c r="F6939" s="10" t="s">
        <v>3474</v>
      </c>
      <c r="G6939" s="11" t="s">
        <v>3475</v>
      </c>
      <c r="H6939" s="2" t="s">
        <v>3279</v>
      </c>
      <c r="L6939" s="18">
        <v>1</v>
      </c>
      <c r="N6939" s="13">
        <v>41085</v>
      </c>
      <c r="P6939" s="18" t="s">
        <v>1107</v>
      </c>
      <c r="Q6939" s="18">
        <v>0</v>
      </c>
      <c r="U6939" s="22">
        <v>0.75</v>
      </c>
      <c r="V6939" s="22">
        <f>3.57/5</f>
        <v>0.71399999999999997</v>
      </c>
      <c r="W6939" s="14" t="s">
        <v>7777</v>
      </c>
      <c r="X6939" s="3">
        <v>2</v>
      </c>
      <c r="Z6939" s="23">
        <v>12</v>
      </c>
      <c r="AB6939" s="18">
        <f t="shared" si="216"/>
        <v>2003</v>
      </c>
      <c r="AC6939" s="22">
        <f t="shared" si="217"/>
        <v>0.62133333333333329</v>
      </c>
    </row>
    <row r="6940" spans="1:29" ht="30">
      <c r="A6940" s="8" t="s">
        <v>6648</v>
      </c>
      <c r="B6940" s="17" t="s">
        <v>7740</v>
      </c>
      <c r="C6940" s="13">
        <v>37907</v>
      </c>
      <c r="D6940" s="13" t="s">
        <v>8465</v>
      </c>
      <c r="E6940" s="10" t="s">
        <v>86</v>
      </c>
      <c r="F6940" s="10" t="s">
        <v>30</v>
      </c>
      <c r="G6940" s="11" t="s">
        <v>223</v>
      </c>
      <c r="H6940" s="2" t="s">
        <v>150</v>
      </c>
      <c r="L6940" s="18">
        <v>0</v>
      </c>
      <c r="Q6940" s="18">
        <v>0</v>
      </c>
      <c r="U6940" s="22">
        <v>0.66</v>
      </c>
      <c r="V6940" s="22">
        <f>3.98/5</f>
        <v>0.79600000000000004</v>
      </c>
      <c r="X6940" s="3">
        <v>4</v>
      </c>
      <c r="Z6940" s="23">
        <v>1.5</v>
      </c>
      <c r="AB6940" s="18">
        <f t="shared" si="216"/>
        <v>2003</v>
      </c>
      <c r="AC6940" s="22">
        <f t="shared" si="217"/>
        <v>0.75200000000000011</v>
      </c>
    </row>
    <row r="6941" spans="1:29" ht="30">
      <c r="A6941" s="8" t="s">
        <v>948</v>
      </c>
      <c r="B6941" s="17" t="s">
        <v>7740</v>
      </c>
      <c r="C6941" s="13">
        <v>37901</v>
      </c>
      <c r="D6941" s="13" t="s">
        <v>8465</v>
      </c>
      <c r="E6941" s="10" t="s">
        <v>73</v>
      </c>
      <c r="F6941" s="10" t="s">
        <v>1503</v>
      </c>
      <c r="G6941" s="11" t="s">
        <v>948</v>
      </c>
      <c r="H6941" s="2" t="s">
        <v>153</v>
      </c>
      <c r="L6941" s="18">
        <v>0</v>
      </c>
      <c r="Q6941" s="18">
        <v>0</v>
      </c>
      <c r="U6941" s="22">
        <v>0.91</v>
      </c>
      <c r="V6941" s="22">
        <f>3.89/5</f>
        <v>0.77800000000000002</v>
      </c>
      <c r="X6941" s="3">
        <v>4</v>
      </c>
      <c r="Z6941" s="23">
        <v>8</v>
      </c>
      <c r="AB6941" s="18">
        <f t="shared" si="216"/>
        <v>2003</v>
      </c>
      <c r="AC6941" s="22">
        <f t="shared" si="217"/>
        <v>0.82933333333333348</v>
      </c>
    </row>
    <row r="6942" spans="1:29" ht="30">
      <c r="A6942" s="8" t="s">
        <v>2082</v>
      </c>
      <c r="B6942" s="17" t="s">
        <v>7747</v>
      </c>
      <c r="C6942" s="13">
        <v>37901</v>
      </c>
      <c r="D6942" s="13" t="s">
        <v>8465</v>
      </c>
      <c r="E6942" s="10" t="s">
        <v>228</v>
      </c>
      <c r="F6942" s="10" t="s">
        <v>1793</v>
      </c>
      <c r="G6942" s="11" t="s">
        <v>1171</v>
      </c>
      <c r="H6942" s="2" t="s">
        <v>149</v>
      </c>
      <c r="L6942" s="18">
        <v>0</v>
      </c>
      <c r="Q6942" s="18">
        <v>0</v>
      </c>
      <c r="U6942" s="22">
        <v>0.66</v>
      </c>
      <c r="V6942" s="22">
        <f>2.92/5</f>
        <v>0.58399999999999996</v>
      </c>
      <c r="X6942" s="3">
        <v>3</v>
      </c>
      <c r="Z6942" s="23">
        <v>15.5</v>
      </c>
      <c r="AB6942" s="18">
        <f t="shared" si="216"/>
        <v>2003</v>
      </c>
      <c r="AC6942" s="22">
        <f t="shared" si="217"/>
        <v>0.61466666666666658</v>
      </c>
    </row>
    <row r="6943" spans="1:29" ht="30">
      <c r="A6943" s="8" t="s">
        <v>6630</v>
      </c>
      <c r="B6943" s="17" t="s">
        <v>7740</v>
      </c>
      <c r="C6943" s="13">
        <v>37895</v>
      </c>
      <c r="D6943" s="13" t="s">
        <v>8465</v>
      </c>
      <c r="E6943" s="10" t="s">
        <v>5010</v>
      </c>
      <c r="F6943" s="10" t="s">
        <v>4118</v>
      </c>
      <c r="H6943" s="2" t="s">
        <v>1168</v>
      </c>
      <c r="L6943" s="18">
        <v>0</v>
      </c>
      <c r="Q6943" s="18">
        <v>0</v>
      </c>
      <c r="U6943" s="22">
        <v>0.83</v>
      </c>
      <c r="V6943" s="22">
        <f>3.99/5</f>
        <v>0.79800000000000004</v>
      </c>
      <c r="X6943" s="3">
        <v>3</v>
      </c>
      <c r="Z6943" s="23">
        <v>8</v>
      </c>
      <c r="AB6943" s="18">
        <f t="shared" si="216"/>
        <v>2003</v>
      </c>
      <c r="AC6943" s="22">
        <f t="shared" si="217"/>
        <v>0.7426666666666667</v>
      </c>
    </row>
    <row r="6944" spans="1:29" ht="30">
      <c r="A6944" s="8" t="s">
        <v>11918</v>
      </c>
      <c r="B6944" s="17" t="s">
        <v>7740</v>
      </c>
      <c r="C6944" s="13">
        <v>37894</v>
      </c>
      <c r="D6944" s="13" t="s">
        <v>8465</v>
      </c>
      <c r="E6944" s="10" t="s">
        <v>73</v>
      </c>
      <c r="F6944" s="10" t="s">
        <v>1140</v>
      </c>
      <c r="H6944" s="2" t="s">
        <v>150</v>
      </c>
      <c r="L6944" s="18">
        <v>0</v>
      </c>
      <c r="Q6944" s="18">
        <v>0</v>
      </c>
      <c r="U6944" s="22">
        <v>0.62</v>
      </c>
      <c r="V6944" s="22">
        <f>3.28/5</f>
        <v>0.65599999999999992</v>
      </c>
      <c r="X6944" s="3">
        <v>2</v>
      </c>
      <c r="Z6944" s="23">
        <v>3.5</v>
      </c>
      <c r="AB6944" s="18">
        <f t="shared" si="216"/>
        <v>2003</v>
      </c>
      <c r="AC6944" s="22">
        <f t="shared" si="217"/>
        <v>0.55866666666666653</v>
      </c>
    </row>
    <row r="6945" spans="1:29">
      <c r="A6945" s="8" t="s">
        <v>7969</v>
      </c>
      <c r="B6945" s="17" t="s">
        <v>7758</v>
      </c>
      <c r="C6945" s="13">
        <v>37888</v>
      </c>
      <c r="D6945" s="13" t="s">
        <v>8465</v>
      </c>
      <c r="E6945" s="10" t="s">
        <v>68</v>
      </c>
      <c r="F6945" s="10" t="s">
        <v>68</v>
      </c>
      <c r="G6945" s="11" t="s">
        <v>7935</v>
      </c>
      <c r="H6945" s="2" t="s">
        <v>75</v>
      </c>
      <c r="L6945" s="18">
        <v>0</v>
      </c>
      <c r="Q6945" s="18">
        <v>0</v>
      </c>
      <c r="U6945" s="22">
        <v>0.7581</v>
      </c>
      <c r="V6945" s="22">
        <f>3.83/5</f>
        <v>0.76600000000000001</v>
      </c>
      <c r="X6945" s="3">
        <v>3</v>
      </c>
      <c r="Z6945" s="23">
        <v>10</v>
      </c>
      <c r="AB6945" s="18">
        <f t="shared" si="216"/>
        <v>2003</v>
      </c>
      <c r="AC6945" s="22">
        <f t="shared" si="217"/>
        <v>0.70803333333333329</v>
      </c>
    </row>
    <row r="6946" spans="1:29" ht="30">
      <c r="A6946" s="8" t="s">
        <v>937</v>
      </c>
      <c r="B6946" s="17" t="s">
        <v>7740</v>
      </c>
      <c r="C6946" s="13">
        <v>37887</v>
      </c>
      <c r="D6946" s="13" t="s">
        <v>8465</v>
      </c>
      <c r="E6946" s="10" t="s">
        <v>455</v>
      </c>
      <c r="F6946" s="10" t="s">
        <v>1492</v>
      </c>
      <c r="H6946" s="2" t="s">
        <v>1040</v>
      </c>
      <c r="L6946" s="18">
        <v>0</v>
      </c>
      <c r="Q6946" s="18">
        <v>0</v>
      </c>
      <c r="U6946" s="22">
        <v>0.72</v>
      </c>
      <c r="V6946" s="22">
        <f>3.55/5</f>
        <v>0.71</v>
      </c>
      <c r="X6946" s="3">
        <v>4</v>
      </c>
      <c r="Z6946" s="23">
        <v>8.5</v>
      </c>
      <c r="AB6946" s="18">
        <f t="shared" si="216"/>
        <v>2003</v>
      </c>
      <c r="AC6946" s="22">
        <f t="shared" si="217"/>
        <v>0.74333333333333329</v>
      </c>
    </row>
    <row r="6947" spans="1:29">
      <c r="A6947" s="8" t="s">
        <v>11495</v>
      </c>
      <c r="B6947" s="17" t="s">
        <v>7764</v>
      </c>
      <c r="C6947" s="13">
        <v>37887</v>
      </c>
      <c r="D6947" s="13" t="s">
        <v>8465</v>
      </c>
      <c r="E6947" s="10" t="s">
        <v>3740</v>
      </c>
      <c r="F6947" s="10" t="s">
        <v>11496</v>
      </c>
      <c r="H6947" s="2" t="s">
        <v>1040</v>
      </c>
      <c r="L6947" s="18">
        <v>0</v>
      </c>
      <c r="Q6947" s="18">
        <v>0</v>
      </c>
      <c r="U6947" s="22">
        <v>0.73</v>
      </c>
      <c r="V6947" s="22">
        <f>3.67/5</f>
        <v>0.73399999999999999</v>
      </c>
      <c r="X6947" s="3">
        <v>2</v>
      </c>
      <c r="Y6947" s="18">
        <v>1</v>
      </c>
      <c r="Z6947" s="23">
        <v>8</v>
      </c>
      <c r="AB6947" s="18">
        <f t="shared" si="216"/>
        <v>2003</v>
      </c>
      <c r="AC6947" s="22">
        <f t="shared" si="217"/>
        <v>0.62133333333333329</v>
      </c>
    </row>
    <row r="6948" spans="1:29" ht="25.5">
      <c r="A6948" s="8" t="s">
        <v>6539</v>
      </c>
      <c r="B6948" s="17" t="s">
        <v>7800</v>
      </c>
      <c r="C6948" s="13">
        <v>37886</v>
      </c>
      <c r="D6948" s="13" t="s">
        <v>8465</v>
      </c>
      <c r="E6948" s="10" t="s">
        <v>5010</v>
      </c>
      <c r="F6948" s="10" t="s">
        <v>1039</v>
      </c>
      <c r="G6948" s="11" t="s">
        <v>3043</v>
      </c>
      <c r="H6948" s="2" t="s">
        <v>1143</v>
      </c>
      <c r="L6948" s="18">
        <v>1</v>
      </c>
      <c r="N6948" s="13">
        <v>41627</v>
      </c>
      <c r="O6948" s="29">
        <v>0.33</v>
      </c>
      <c r="P6948" s="18" t="s">
        <v>1107</v>
      </c>
      <c r="Q6948" s="18">
        <v>0</v>
      </c>
      <c r="U6948" s="22">
        <v>0.84</v>
      </c>
      <c r="V6948" s="22">
        <f>4.15/5</f>
        <v>0.83000000000000007</v>
      </c>
      <c r="W6948" s="14" t="s">
        <v>7796</v>
      </c>
      <c r="X6948" s="3">
        <v>4</v>
      </c>
      <c r="Z6948" s="23">
        <v>13.5</v>
      </c>
      <c r="AB6948" s="18">
        <f t="shared" si="216"/>
        <v>2003</v>
      </c>
      <c r="AC6948" s="22">
        <f t="shared" si="217"/>
        <v>0.82333333333333325</v>
      </c>
    </row>
    <row r="6949" spans="1:29">
      <c r="A6949" s="8" t="s">
        <v>7110</v>
      </c>
      <c r="B6949" s="17" t="s">
        <v>7800</v>
      </c>
      <c r="C6949" s="13">
        <v>37886</v>
      </c>
      <c r="D6949" s="13" t="s">
        <v>8465</v>
      </c>
      <c r="E6949" s="10" t="s">
        <v>7199</v>
      </c>
      <c r="F6949" s="10" t="s">
        <v>7199</v>
      </c>
      <c r="G6949" s="11" t="s">
        <v>7200</v>
      </c>
      <c r="H6949" s="2" t="s">
        <v>67</v>
      </c>
      <c r="L6949" s="18">
        <v>0</v>
      </c>
      <c r="Q6949" s="18">
        <v>0</v>
      </c>
      <c r="V6949" s="22">
        <f>3.87/5</f>
        <v>0.77400000000000002</v>
      </c>
      <c r="W6949" s="14" t="s">
        <v>5674</v>
      </c>
      <c r="X6949" s="3">
        <v>3</v>
      </c>
      <c r="Z6949" s="23">
        <v>3</v>
      </c>
      <c r="AB6949" s="18">
        <f t="shared" si="216"/>
        <v>2003</v>
      </c>
      <c r="AC6949" s="22">
        <f t="shared" si="217"/>
        <v>0.68700000000000006</v>
      </c>
    </row>
    <row r="6950" spans="1:29" ht="38.25">
      <c r="A6950" s="8" t="s">
        <v>15635</v>
      </c>
      <c r="B6950" s="17" t="s">
        <v>15636</v>
      </c>
      <c r="C6950" s="13">
        <v>37883</v>
      </c>
      <c r="D6950" s="13" t="s">
        <v>8463</v>
      </c>
      <c r="E6950" s="10" t="s">
        <v>1082</v>
      </c>
      <c r="F6950" s="10" t="s">
        <v>15637</v>
      </c>
      <c r="G6950" s="11" t="s">
        <v>140</v>
      </c>
      <c r="H6950" s="2" t="s">
        <v>171</v>
      </c>
      <c r="K6950" s="18">
        <v>0</v>
      </c>
      <c r="L6950" s="18">
        <v>0</v>
      </c>
      <c r="Q6950" s="18">
        <v>0</v>
      </c>
      <c r="X6950" s="3">
        <v>2</v>
      </c>
      <c r="AB6950" s="18">
        <f t="shared" si="216"/>
        <v>2003</v>
      </c>
      <c r="AC6950" s="22">
        <f t="shared" si="217"/>
        <v>0.4</v>
      </c>
    </row>
    <row r="6951" spans="1:29" ht="25.5">
      <c r="A6951" s="8" t="s">
        <v>5117</v>
      </c>
      <c r="B6951" s="17" t="s">
        <v>7800</v>
      </c>
      <c r="C6951" s="13">
        <v>37881</v>
      </c>
      <c r="D6951" s="13" t="s">
        <v>8465</v>
      </c>
      <c r="E6951" s="10" t="s">
        <v>1284</v>
      </c>
      <c r="F6951" s="10" t="s">
        <v>5017</v>
      </c>
      <c r="G6951" s="11" t="s">
        <v>5112</v>
      </c>
      <c r="H6951" s="2" t="s">
        <v>1050</v>
      </c>
      <c r="L6951" s="18">
        <v>1</v>
      </c>
      <c r="N6951" s="13">
        <v>42038</v>
      </c>
      <c r="P6951" s="18" t="s">
        <v>1107</v>
      </c>
      <c r="Q6951" s="18">
        <v>0</v>
      </c>
      <c r="U6951" s="22">
        <v>0.8</v>
      </c>
      <c r="V6951" s="22">
        <f>3.95/5</f>
        <v>0.79</v>
      </c>
      <c r="W6951" s="14" t="s">
        <v>7777</v>
      </c>
      <c r="X6951" s="3">
        <v>3</v>
      </c>
      <c r="Z6951" s="23">
        <v>10</v>
      </c>
      <c r="AB6951" s="18">
        <f t="shared" si="216"/>
        <v>2003</v>
      </c>
      <c r="AC6951" s="22">
        <f t="shared" si="217"/>
        <v>0.73</v>
      </c>
    </row>
    <row r="6952" spans="1:29" ht="25.5">
      <c r="A6952" s="8" t="s">
        <v>9326</v>
      </c>
      <c r="B6952" s="17" t="s">
        <v>7764</v>
      </c>
      <c r="C6952" s="13">
        <v>37881</v>
      </c>
      <c r="D6952" s="13" t="s">
        <v>8465</v>
      </c>
      <c r="E6952" s="10" t="s">
        <v>311</v>
      </c>
      <c r="F6952" s="10" t="s">
        <v>9327</v>
      </c>
      <c r="G6952" s="11" t="s">
        <v>445</v>
      </c>
      <c r="H6952" s="2" t="s">
        <v>1059</v>
      </c>
      <c r="L6952" s="18">
        <v>0</v>
      </c>
      <c r="Q6952" s="18">
        <v>0</v>
      </c>
      <c r="U6952" s="22">
        <v>0.72</v>
      </c>
      <c r="V6952" s="22">
        <f>3.77/5</f>
        <v>0.754</v>
      </c>
      <c r="X6952" s="3">
        <v>2</v>
      </c>
      <c r="Y6952" s="18">
        <v>1</v>
      </c>
      <c r="Z6952" s="23">
        <v>9</v>
      </c>
      <c r="AB6952" s="18">
        <f t="shared" si="216"/>
        <v>2003</v>
      </c>
      <c r="AC6952" s="22">
        <f t="shared" si="217"/>
        <v>0.6246666666666667</v>
      </c>
    </row>
    <row r="6953" spans="1:29">
      <c r="A6953" s="8" t="s">
        <v>7168</v>
      </c>
      <c r="B6953" s="17" t="s">
        <v>7800</v>
      </c>
      <c r="C6953" s="13">
        <v>37880</v>
      </c>
      <c r="D6953" s="13" t="s">
        <v>8465</v>
      </c>
      <c r="E6953" s="10" t="s">
        <v>1496</v>
      </c>
      <c r="F6953" s="10" t="s">
        <v>3480</v>
      </c>
      <c r="G6953" s="11" t="s">
        <v>4133</v>
      </c>
      <c r="H6953" s="2" t="s">
        <v>1143</v>
      </c>
      <c r="L6953" s="18">
        <v>0</v>
      </c>
      <c r="Q6953" s="18">
        <v>0</v>
      </c>
      <c r="U6953" s="22">
        <v>0.85</v>
      </c>
      <c r="V6953" s="22">
        <f>4.05/5</f>
        <v>0.80999999999999994</v>
      </c>
      <c r="X6953" s="3">
        <v>3</v>
      </c>
      <c r="Z6953" s="23">
        <v>9.5</v>
      </c>
      <c r="AB6953" s="18">
        <f t="shared" si="216"/>
        <v>2003</v>
      </c>
      <c r="AC6953" s="22">
        <f t="shared" si="217"/>
        <v>0.7533333333333333</v>
      </c>
    </row>
    <row r="6954" spans="1:29" ht="30">
      <c r="A6954" s="8" t="s">
        <v>1997</v>
      </c>
      <c r="B6954" s="17" t="s">
        <v>7747</v>
      </c>
      <c r="C6954" s="13">
        <v>37880</v>
      </c>
      <c r="D6954" s="13" t="s">
        <v>8465</v>
      </c>
      <c r="E6954" s="10" t="s">
        <v>72</v>
      </c>
      <c r="F6954" s="10" t="s">
        <v>72</v>
      </c>
      <c r="G6954" s="11" t="s">
        <v>1941</v>
      </c>
      <c r="H6954" s="2" t="s">
        <v>171</v>
      </c>
      <c r="L6954" s="18">
        <v>0</v>
      </c>
      <c r="Q6954" s="18">
        <v>0</v>
      </c>
      <c r="U6954" s="22">
        <v>0.8</v>
      </c>
      <c r="V6954" s="22">
        <f>3.98/5</f>
        <v>0.79600000000000004</v>
      </c>
      <c r="X6954" s="3">
        <v>3</v>
      </c>
      <c r="Z6954" s="23">
        <v>8.5</v>
      </c>
      <c r="AB6954" s="18">
        <f t="shared" si="216"/>
        <v>2003</v>
      </c>
      <c r="AC6954" s="22">
        <f t="shared" si="217"/>
        <v>0.7320000000000001</v>
      </c>
    </row>
    <row r="6955" spans="1:29" ht="25.5">
      <c r="A6955" s="8" t="s">
        <v>6977</v>
      </c>
      <c r="B6955" s="17" t="s">
        <v>7800</v>
      </c>
      <c r="C6955" s="13">
        <v>37880</v>
      </c>
      <c r="D6955" s="13" t="s">
        <v>8465</v>
      </c>
      <c r="E6955" s="10" t="s">
        <v>311</v>
      </c>
      <c r="F6955" s="10" t="s">
        <v>5496</v>
      </c>
      <c r="G6955" s="11" t="s">
        <v>445</v>
      </c>
      <c r="H6955" s="2" t="s">
        <v>1720</v>
      </c>
      <c r="L6955" s="18">
        <v>1</v>
      </c>
      <c r="N6955" s="13">
        <v>41803</v>
      </c>
      <c r="O6955" s="29">
        <v>1.19</v>
      </c>
      <c r="P6955" s="18" t="s">
        <v>1107</v>
      </c>
      <c r="Q6955" s="18">
        <v>0</v>
      </c>
      <c r="U6955" s="22">
        <v>0.71</v>
      </c>
      <c r="V6955" s="22">
        <f>3.58/5</f>
        <v>0.71599999999999997</v>
      </c>
      <c r="W6955" s="14" t="s">
        <v>7778</v>
      </c>
      <c r="X6955" s="3">
        <v>3</v>
      </c>
      <c r="Z6955" s="23">
        <v>46</v>
      </c>
      <c r="AB6955" s="18">
        <f t="shared" si="216"/>
        <v>2003</v>
      </c>
      <c r="AC6955" s="22">
        <f t="shared" si="217"/>
        <v>0.67533333333333323</v>
      </c>
    </row>
    <row r="6956" spans="1:29" ht="30">
      <c r="A6956" s="8" t="s">
        <v>2032</v>
      </c>
      <c r="B6956" s="17" t="s">
        <v>7747</v>
      </c>
      <c r="C6956" s="13">
        <v>37880</v>
      </c>
      <c r="D6956" s="13" t="s">
        <v>8465</v>
      </c>
      <c r="E6956" s="10" t="s">
        <v>228</v>
      </c>
      <c r="F6956" s="10" t="s">
        <v>1974</v>
      </c>
      <c r="G6956" s="11" t="s">
        <v>1661</v>
      </c>
      <c r="H6956" s="2" t="s">
        <v>171</v>
      </c>
      <c r="L6956" s="18">
        <v>0</v>
      </c>
      <c r="Q6956" s="18">
        <v>0</v>
      </c>
      <c r="U6956" s="22">
        <v>0.56999999999999995</v>
      </c>
      <c r="V6956" s="22">
        <f>3.21/5</f>
        <v>0.64200000000000002</v>
      </c>
      <c r="X6956" s="3">
        <v>3</v>
      </c>
      <c r="Z6956" s="23">
        <v>7.5</v>
      </c>
      <c r="AB6956" s="18">
        <f t="shared" si="216"/>
        <v>2003</v>
      </c>
      <c r="AC6956" s="22">
        <f t="shared" si="217"/>
        <v>0.60399999999999998</v>
      </c>
    </row>
    <row r="6957" spans="1:29" ht="30">
      <c r="A6957" s="8" t="s">
        <v>15006</v>
      </c>
      <c r="B6957" s="17" t="s">
        <v>7740</v>
      </c>
      <c r="C6957" s="13">
        <v>37880</v>
      </c>
      <c r="D6957" s="13" t="s">
        <v>8465</v>
      </c>
      <c r="E6957" s="10" t="s">
        <v>231</v>
      </c>
      <c r="F6957" s="10" t="s">
        <v>15001</v>
      </c>
      <c r="G6957" s="11" t="s">
        <v>4305</v>
      </c>
      <c r="H6957" s="2" t="s">
        <v>150</v>
      </c>
      <c r="L6957" s="18">
        <v>0</v>
      </c>
      <c r="Q6957" s="18">
        <v>0</v>
      </c>
      <c r="U6957" s="22">
        <v>0.54</v>
      </c>
      <c r="V6957" s="22">
        <f>2.9/5</f>
        <v>0.57999999999999996</v>
      </c>
      <c r="X6957" s="3">
        <v>2</v>
      </c>
      <c r="Z6957" s="23">
        <v>16</v>
      </c>
      <c r="AB6957" s="18">
        <f t="shared" si="216"/>
        <v>2003</v>
      </c>
      <c r="AC6957" s="22">
        <f t="shared" si="217"/>
        <v>0.50666666666666671</v>
      </c>
    </row>
    <row r="6958" spans="1:29" ht="30">
      <c r="A6958" s="8" t="s">
        <v>5896</v>
      </c>
      <c r="B6958" s="17" t="s">
        <v>7764</v>
      </c>
      <c r="C6958" s="13">
        <v>37880</v>
      </c>
      <c r="D6958" s="13" t="s">
        <v>8465</v>
      </c>
      <c r="E6958" s="10" t="s">
        <v>73</v>
      </c>
      <c r="F6958" s="10" t="s">
        <v>1060</v>
      </c>
      <c r="G6958" s="11" t="s">
        <v>2927</v>
      </c>
      <c r="H6958" s="2" t="s">
        <v>80</v>
      </c>
      <c r="L6958" s="18">
        <v>0</v>
      </c>
      <c r="Q6958" s="18">
        <v>0</v>
      </c>
      <c r="U6958" s="22">
        <v>0.56999999999999995</v>
      </c>
      <c r="V6958" s="22">
        <f>2.71/5</f>
        <v>0.54200000000000004</v>
      </c>
      <c r="X6958" s="3">
        <v>2</v>
      </c>
      <c r="Y6958" s="18">
        <v>1</v>
      </c>
      <c r="Z6958" s="23">
        <v>8.5</v>
      </c>
      <c r="AB6958" s="18">
        <f t="shared" si="216"/>
        <v>2003</v>
      </c>
      <c r="AC6958" s="22">
        <f t="shared" si="217"/>
        <v>0.504</v>
      </c>
    </row>
    <row r="6959" spans="1:29">
      <c r="A6959" s="8" t="s">
        <v>3142</v>
      </c>
      <c r="B6959" s="17" t="s">
        <v>7800</v>
      </c>
      <c r="C6959" s="13">
        <v>37878</v>
      </c>
      <c r="D6959" s="13" t="s">
        <v>8465</v>
      </c>
      <c r="E6959" s="10" t="s">
        <v>3143</v>
      </c>
      <c r="F6959" s="10" t="s">
        <v>3143</v>
      </c>
      <c r="G6959" s="11" t="s">
        <v>3142</v>
      </c>
      <c r="H6959" s="2" t="s">
        <v>2138</v>
      </c>
      <c r="L6959" s="18">
        <v>1</v>
      </c>
      <c r="N6959" s="13">
        <v>41443</v>
      </c>
      <c r="P6959" s="18" t="s">
        <v>1107</v>
      </c>
      <c r="Q6959" s="18">
        <v>0</v>
      </c>
      <c r="V6959" s="22">
        <f>3.37/5</f>
        <v>0.67400000000000004</v>
      </c>
      <c r="W6959" s="14" t="s">
        <v>7777</v>
      </c>
      <c r="X6959" s="3">
        <v>2</v>
      </c>
      <c r="Z6959" s="23">
        <v>2</v>
      </c>
      <c r="AB6959" s="18">
        <f t="shared" si="216"/>
        <v>2003</v>
      </c>
      <c r="AC6959" s="22">
        <f t="shared" si="217"/>
        <v>0.53700000000000003</v>
      </c>
    </row>
    <row r="6960" spans="1:29" ht="30">
      <c r="A6960" s="8" t="s">
        <v>1988</v>
      </c>
      <c r="B6960" s="17" t="s">
        <v>7747</v>
      </c>
      <c r="C6960" s="13">
        <v>37876</v>
      </c>
      <c r="D6960" s="13" t="s">
        <v>8465</v>
      </c>
      <c r="E6960" s="10" t="s">
        <v>1342</v>
      </c>
      <c r="F6960" s="10" t="s">
        <v>163</v>
      </c>
      <c r="G6960" s="11" t="s">
        <v>852</v>
      </c>
      <c r="H6960" s="2" t="s">
        <v>56</v>
      </c>
      <c r="L6960" s="18">
        <v>0</v>
      </c>
      <c r="Q6960" s="18">
        <v>0</v>
      </c>
      <c r="U6960" s="22">
        <v>0.73</v>
      </c>
      <c r="V6960" s="22">
        <f>3.43/5</f>
        <v>0.68600000000000005</v>
      </c>
      <c r="X6960" s="3">
        <v>2</v>
      </c>
      <c r="Z6960" s="23">
        <v>5</v>
      </c>
      <c r="AB6960" s="18">
        <f t="shared" si="216"/>
        <v>2003</v>
      </c>
      <c r="AC6960" s="22">
        <f t="shared" si="217"/>
        <v>0.60533333333333328</v>
      </c>
    </row>
    <row r="6961" spans="1:29">
      <c r="A6961" s="8" t="s">
        <v>11158</v>
      </c>
      <c r="B6961" s="17" t="s">
        <v>7758</v>
      </c>
      <c r="C6961" s="13">
        <v>37873</v>
      </c>
      <c r="D6961" s="13" t="s">
        <v>8465</v>
      </c>
      <c r="E6961" s="10" t="s">
        <v>157</v>
      </c>
      <c r="F6961" s="10" t="s">
        <v>2314</v>
      </c>
      <c r="G6961" s="11" t="s">
        <v>8682</v>
      </c>
      <c r="H6961" s="2" t="s">
        <v>171</v>
      </c>
      <c r="L6961" s="18">
        <v>0</v>
      </c>
      <c r="Q6961" s="18">
        <v>0</v>
      </c>
      <c r="U6961" s="22">
        <v>0.7</v>
      </c>
      <c r="V6961" s="22">
        <f>3.9/5</f>
        <v>0.78</v>
      </c>
      <c r="X6961" s="3">
        <v>3</v>
      </c>
      <c r="Z6961" s="23">
        <v>18</v>
      </c>
      <c r="AB6961" s="18">
        <f t="shared" si="216"/>
        <v>2003</v>
      </c>
      <c r="AC6961" s="22">
        <f t="shared" si="217"/>
        <v>0.69333333333333336</v>
      </c>
    </row>
    <row r="6962" spans="1:29" ht="30">
      <c r="A6962" s="8" t="s">
        <v>926</v>
      </c>
      <c r="B6962" s="17" t="s">
        <v>7740</v>
      </c>
      <c r="C6962" s="13">
        <v>37873</v>
      </c>
      <c r="D6962" s="13" t="s">
        <v>8465</v>
      </c>
      <c r="E6962" s="10" t="s">
        <v>73</v>
      </c>
      <c r="F6962" s="10" t="s">
        <v>73</v>
      </c>
      <c r="H6962" s="2" t="s">
        <v>1168</v>
      </c>
      <c r="L6962" s="18">
        <v>0</v>
      </c>
      <c r="Q6962" s="18">
        <v>0</v>
      </c>
      <c r="U6962" s="22">
        <v>0.63</v>
      </c>
      <c r="V6962" s="22">
        <f>3.42/5</f>
        <v>0.68399999999999994</v>
      </c>
      <c r="X6962" s="3">
        <v>3</v>
      </c>
      <c r="Z6962" s="23">
        <v>3</v>
      </c>
      <c r="AB6962" s="18">
        <f t="shared" si="216"/>
        <v>2003</v>
      </c>
      <c r="AC6962" s="22">
        <f t="shared" si="217"/>
        <v>0.63800000000000001</v>
      </c>
    </row>
    <row r="6963" spans="1:29" ht="30">
      <c r="A6963" s="8" t="s">
        <v>7601</v>
      </c>
      <c r="B6963" s="17" t="s">
        <v>7758</v>
      </c>
      <c r="C6963" s="13">
        <v>37873</v>
      </c>
      <c r="D6963" s="13" t="s">
        <v>8465</v>
      </c>
      <c r="E6963" s="10" t="s">
        <v>3848</v>
      </c>
      <c r="F6963" s="10" t="s">
        <v>1055</v>
      </c>
      <c r="G6963" s="11" t="s">
        <v>7602</v>
      </c>
      <c r="H6963" s="2" t="s">
        <v>1059</v>
      </c>
      <c r="L6963" s="18">
        <v>0</v>
      </c>
      <c r="Q6963" s="18">
        <v>0</v>
      </c>
      <c r="U6963" s="22">
        <v>0.68</v>
      </c>
      <c r="V6963" s="22">
        <f>3.29/5</f>
        <v>0.65800000000000003</v>
      </c>
      <c r="X6963" s="3">
        <v>2</v>
      </c>
      <c r="Z6963" s="23">
        <v>15</v>
      </c>
      <c r="AB6963" s="18">
        <f t="shared" si="216"/>
        <v>2003</v>
      </c>
      <c r="AC6963" s="22">
        <f t="shared" si="217"/>
        <v>0.57933333333333337</v>
      </c>
    </row>
    <row r="6964" spans="1:29" ht="30">
      <c r="A6964" s="8" t="s">
        <v>2002</v>
      </c>
      <c r="B6964" s="17" t="s">
        <v>7747</v>
      </c>
      <c r="C6964" s="13">
        <v>37869</v>
      </c>
      <c r="D6964" s="13" t="s">
        <v>8463</v>
      </c>
      <c r="E6964" s="10" t="s">
        <v>86</v>
      </c>
      <c r="F6964" s="10" t="s">
        <v>58</v>
      </c>
      <c r="G6964" s="11" t="s">
        <v>1950</v>
      </c>
      <c r="H6964" s="2" t="s">
        <v>64</v>
      </c>
      <c r="K6964" s="18">
        <v>0</v>
      </c>
      <c r="L6964" s="18">
        <v>0</v>
      </c>
      <c r="Q6964" s="18">
        <v>0</v>
      </c>
      <c r="U6964" s="22">
        <v>0.9</v>
      </c>
      <c r="V6964" s="22">
        <f>3.85/5</f>
        <v>0.77</v>
      </c>
      <c r="X6964" s="3">
        <v>3</v>
      </c>
      <c r="Z6964" s="23">
        <v>7</v>
      </c>
      <c r="AB6964" s="18">
        <f t="shared" si="216"/>
        <v>2003</v>
      </c>
      <c r="AC6964" s="22">
        <f t="shared" si="217"/>
        <v>0.75666666666666671</v>
      </c>
    </row>
    <row r="6965" spans="1:29" ht="30">
      <c r="A6965" s="8" t="s">
        <v>6725</v>
      </c>
      <c r="B6965" s="17" t="s">
        <v>7740</v>
      </c>
      <c r="C6965" s="13">
        <v>37860</v>
      </c>
      <c r="D6965" s="13" t="s">
        <v>8465</v>
      </c>
      <c r="E6965" s="10" t="s">
        <v>158</v>
      </c>
      <c r="F6965" s="10" t="s">
        <v>6724</v>
      </c>
      <c r="G6965" s="11" t="s">
        <v>6161</v>
      </c>
      <c r="H6965" s="2" t="s">
        <v>459</v>
      </c>
      <c r="L6965" s="18">
        <v>0</v>
      </c>
      <c r="Q6965" s="18">
        <v>0</v>
      </c>
      <c r="U6965" s="22">
        <v>0.92</v>
      </c>
      <c r="V6965" s="22">
        <f>4.12/5</f>
        <v>0.82400000000000007</v>
      </c>
      <c r="X6965" s="3">
        <v>4</v>
      </c>
      <c r="Z6965" s="23">
        <v>3</v>
      </c>
      <c r="AB6965" s="18">
        <f t="shared" si="216"/>
        <v>2003</v>
      </c>
      <c r="AC6965" s="22">
        <f t="shared" si="217"/>
        <v>0.8480000000000002</v>
      </c>
    </row>
    <row r="6966" spans="1:29" ht="25.5">
      <c r="A6966" s="8" t="s">
        <v>5805</v>
      </c>
      <c r="B6966" s="17" t="s">
        <v>7758</v>
      </c>
      <c r="C6966" s="13">
        <v>37860</v>
      </c>
      <c r="D6966" s="13" t="s">
        <v>8465</v>
      </c>
      <c r="E6966" s="10" t="s">
        <v>228</v>
      </c>
      <c r="F6966" s="10" t="s">
        <v>2285</v>
      </c>
      <c r="G6966" s="11" t="s">
        <v>2302</v>
      </c>
      <c r="H6966" s="2" t="s">
        <v>75</v>
      </c>
      <c r="L6966" s="18">
        <v>0</v>
      </c>
      <c r="Q6966" s="18">
        <v>0</v>
      </c>
      <c r="U6966" s="22">
        <v>0.86</v>
      </c>
      <c r="V6966" s="22">
        <f>4.26/5</f>
        <v>0.85199999999999998</v>
      </c>
      <c r="X6966" s="3">
        <v>4</v>
      </c>
      <c r="Z6966" s="23">
        <v>49</v>
      </c>
      <c r="AB6966" s="18">
        <f t="shared" si="216"/>
        <v>2003</v>
      </c>
      <c r="AC6966" s="22">
        <f t="shared" si="217"/>
        <v>0.83733333333333337</v>
      </c>
    </row>
    <row r="6967" spans="1:29">
      <c r="A6967" s="8" t="s">
        <v>7921</v>
      </c>
      <c r="B6967" s="17" t="s">
        <v>7764</v>
      </c>
      <c r="C6967" s="13">
        <v>37860</v>
      </c>
      <c r="D6967" s="13" t="s">
        <v>8465</v>
      </c>
      <c r="E6967" s="10" t="s">
        <v>455</v>
      </c>
      <c r="F6967" s="10" t="s">
        <v>1580</v>
      </c>
      <c r="G6967" s="11" t="s">
        <v>7922</v>
      </c>
      <c r="H6967" s="2" t="s">
        <v>1059</v>
      </c>
      <c r="L6967" s="18">
        <v>0</v>
      </c>
      <c r="Q6967" s="18">
        <v>0</v>
      </c>
      <c r="U6967" s="22">
        <v>0.82479999999999998</v>
      </c>
      <c r="V6967" s="22">
        <f>3.57/5</f>
        <v>0.71399999999999997</v>
      </c>
      <c r="X6967" s="3">
        <v>3</v>
      </c>
      <c r="Y6967" s="18">
        <v>1</v>
      </c>
      <c r="Z6967" s="23">
        <v>12.5</v>
      </c>
      <c r="AB6967" s="18">
        <f t="shared" si="216"/>
        <v>2003</v>
      </c>
      <c r="AC6967" s="22">
        <f t="shared" si="217"/>
        <v>0.71293333333333331</v>
      </c>
    </row>
    <row r="6968" spans="1:29">
      <c r="A6968" s="8" t="s">
        <v>3980</v>
      </c>
      <c r="B6968" s="17" t="s">
        <v>7800</v>
      </c>
      <c r="C6968" s="13">
        <v>37859</v>
      </c>
      <c r="D6968" s="13" t="s">
        <v>8465</v>
      </c>
      <c r="E6968" s="10" t="s">
        <v>1943</v>
      </c>
      <c r="F6968" s="10" t="s">
        <v>3981</v>
      </c>
      <c r="H6968" s="2" t="s">
        <v>78</v>
      </c>
      <c r="L6968" s="18">
        <v>1</v>
      </c>
      <c r="N6968" s="13">
        <v>41869</v>
      </c>
      <c r="O6968" s="29">
        <v>0.74</v>
      </c>
      <c r="P6968" s="18" t="s">
        <v>1107</v>
      </c>
      <c r="Q6968" s="18">
        <v>0</v>
      </c>
      <c r="U6968" s="22">
        <v>0.8</v>
      </c>
      <c r="V6968" s="22">
        <f>3.61/5</f>
        <v>0.72199999999999998</v>
      </c>
      <c r="W6968" s="14" t="s">
        <v>7777</v>
      </c>
      <c r="X6968" s="3">
        <v>3</v>
      </c>
      <c r="Z6968" s="23">
        <v>14.5</v>
      </c>
      <c r="AB6968" s="18">
        <f t="shared" si="216"/>
        <v>2003</v>
      </c>
      <c r="AC6968" s="22">
        <f t="shared" si="217"/>
        <v>0.70733333333333326</v>
      </c>
    </row>
    <row r="6969" spans="1:29">
      <c r="A6969" s="8" t="s">
        <v>11952</v>
      </c>
      <c r="B6969" s="17" t="s">
        <v>7800</v>
      </c>
      <c r="C6969" s="13">
        <v>37859</v>
      </c>
      <c r="D6969" s="13" t="s">
        <v>8465</v>
      </c>
      <c r="E6969" s="10" t="s">
        <v>11953</v>
      </c>
      <c r="F6969" s="10" t="s">
        <v>3487</v>
      </c>
      <c r="G6969" s="11" t="s">
        <v>11954</v>
      </c>
      <c r="H6969" s="2" t="s">
        <v>1050</v>
      </c>
      <c r="L6969" s="18">
        <v>0</v>
      </c>
      <c r="Q6969" s="18">
        <v>0</v>
      </c>
      <c r="U6969" s="22">
        <v>0.84</v>
      </c>
      <c r="V6969" s="22">
        <f>3.98/5</f>
        <v>0.79600000000000004</v>
      </c>
      <c r="X6969" s="3">
        <v>3</v>
      </c>
      <c r="Z6969" s="23">
        <v>12</v>
      </c>
      <c r="AB6969" s="18">
        <f t="shared" si="216"/>
        <v>2003</v>
      </c>
      <c r="AC6969" s="22">
        <f t="shared" si="217"/>
        <v>0.7453333333333334</v>
      </c>
    </row>
    <row r="6970" spans="1:29" ht="30">
      <c r="A6970" s="8" t="s">
        <v>11070</v>
      </c>
      <c r="B6970" s="17" t="s">
        <v>7758</v>
      </c>
      <c r="C6970" s="13">
        <v>37859</v>
      </c>
      <c r="D6970" s="13" t="s">
        <v>8465</v>
      </c>
      <c r="E6970" s="10" t="s">
        <v>3848</v>
      </c>
      <c r="F6970" s="10" t="s">
        <v>11071</v>
      </c>
      <c r="G6970" s="11" t="s">
        <v>11066</v>
      </c>
      <c r="H6970" s="2" t="s">
        <v>153</v>
      </c>
      <c r="L6970" s="18">
        <v>0</v>
      </c>
      <c r="Q6970" s="18">
        <v>0</v>
      </c>
      <c r="U6970" s="22">
        <v>0.72</v>
      </c>
      <c r="V6970" s="22">
        <f>3.5/5</f>
        <v>0.7</v>
      </c>
      <c r="X6970" s="3">
        <v>2</v>
      </c>
      <c r="Z6970" s="23">
        <v>9.5</v>
      </c>
      <c r="AB6970" s="18">
        <f t="shared" si="216"/>
        <v>2003</v>
      </c>
      <c r="AC6970" s="22">
        <f t="shared" si="217"/>
        <v>0.60666666666666658</v>
      </c>
    </row>
    <row r="6971" spans="1:29" ht="30">
      <c r="A6971" s="8" t="s">
        <v>939</v>
      </c>
      <c r="B6971" s="17" t="s">
        <v>7740</v>
      </c>
      <c r="C6971" s="13">
        <v>37858</v>
      </c>
      <c r="D6971" s="13" t="s">
        <v>8465</v>
      </c>
      <c r="E6971" s="10" t="s">
        <v>86</v>
      </c>
      <c r="F6971" s="10" t="s">
        <v>1494</v>
      </c>
      <c r="G6971" s="11" t="s">
        <v>707</v>
      </c>
      <c r="H6971" s="2" t="s">
        <v>150</v>
      </c>
      <c r="L6971" s="18">
        <v>0</v>
      </c>
      <c r="Q6971" s="18">
        <v>0</v>
      </c>
      <c r="U6971" s="22">
        <v>0.89</v>
      </c>
      <c r="V6971" s="22">
        <f>4.21/5</f>
        <v>0.84199999999999997</v>
      </c>
      <c r="X6971" s="3">
        <v>4</v>
      </c>
      <c r="Z6971" s="23">
        <v>10.5</v>
      </c>
      <c r="AB6971" s="18">
        <f t="shared" si="216"/>
        <v>2003</v>
      </c>
      <c r="AC6971" s="22">
        <f t="shared" si="217"/>
        <v>0.84399999999999997</v>
      </c>
    </row>
    <row r="6972" spans="1:29" ht="30">
      <c r="A6972" s="8" t="s">
        <v>7699</v>
      </c>
      <c r="B6972" s="17" t="s">
        <v>7747</v>
      </c>
      <c r="C6972" s="13">
        <v>37858</v>
      </c>
      <c r="D6972" s="13" t="s">
        <v>8465</v>
      </c>
      <c r="E6972" s="10" t="s">
        <v>86</v>
      </c>
      <c r="F6972" s="10" t="s">
        <v>1794</v>
      </c>
      <c r="G6972" s="11" t="s">
        <v>1470</v>
      </c>
      <c r="H6972" s="2" t="s">
        <v>1383</v>
      </c>
      <c r="L6972" s="18">
        <v>0</v>
      </c>
      <c r="Q6972" s="18">
        <v>0</v>
      </c>
      <c r="U6972" s="22">
        <v>0.8</v>
      </c>
      <c r="V6972" s="22">
        <f>3.63/5</f>
        <v>0.72599999999999998</v>
      </c>
      <c r="X6972" s="3">
        <v>3</v>
      </c>
      <c r="Z6972" s="23">
        <v>23.5</v>
      </c>
      <c r="AB6972" s="18">
        <f t="shared" si="216"/>
        <v>2003</v>
      </c>
      <c r="AC6972" s="22">
        <f t="shared" si="217"/>
        <v>0.70866666666666667</v>
      </c>
    </row>
    <row r="6973" spans="1:29">
      <c r="A6973" s="8" t="s">
        <v>12547</v>
      </c>
      <c r="B6973" s="17" t="s">
        <v>7800</v>
      </c>
      <c r="C6973" s="13">
        <v>37855</v>
      </c>
      <c r="D6973" s="13" t="s">
        <v>8465</v>
      </c>
      <c r="E6973" s="10" t="s">
        <v>12548</v>
      </c>
      <c r="F6973" s="10" t="s">
        <v>12546</v>
      </c>
      <c r="G6973" s="11" t="s">
        <v>12544</v>
      </c>
      <c r="H6973" s="2" t="s">
        <v>1204</v>
      </c>
      <c r="L6973" s="18">
        <v>1</v>
      </c>
      <c r="P6973" s="18" t="s">
        <v>1107</v>
      </c>
      <c r="Q6973" s="18">
        <v>0</v>
      </c>
      <c r="U6973" s="22">
        <v>0.59</v>
      </c>
      <c r="V6973" s="22">
        <f>3.84/5</f>
        <v>0.76800000000000002</v>
      </c>
      <c r="W6973" s="14" t="s">
        <v>7777</v>
      </c>
      <c r="X6973" s="3">
        <v>2</v>
      </c>
      <c r="Z6973" s="23">
        <v>11</v>
      </c>
      <c r="AB6973" s="18">
        <f t="shared" si="216"/>
        <v>2003</v>
      </c>
      <c r="AC6973" s="22">
        <f t="shared" si="217"/>
        <v>0.58599999999999997</v>
      </c>
    </row>
    <row r="6974" spans="1:29">
      <c r="A6974" s="8" t="s">
        <v>14601</v>
      </c>
      <c r="B6974" s="17" t="s">
        <v>7758</v>
      </c>
      <c r="C6974" s="13">
        <v>37853</v>
      </c>
      <c r="D6974" s="13" t="s">
        <v>8465</v>
      </c>
      <c r="E6974" s="10" t="s">
        <v>1342</v>
      </c>
      <c r="F6974" s="10" t="s">
        <v>14602</v>
      </c>
      <c r="H6974" s="2" t="s">
        <v>80</v>
      </c>
      <c r="L6974" s="18">
        <v>0</v>
      </c>
      <c r="Q6974" s="18">
        <v>0</v>
      </c>
      <c r="U6974" s="22">
        <v>0.62</v>
      </c>
      <c r="V6974" s="22">
        <f>3.12/5</f>
        <v>0.624</v>
      </c>
      <c r="X6974" s="3">
        <v>2</v>
      </c>
      <c r="Z6974" s="23">
        <v>6.5</v>
      </c>
      <c r="AB6974" s="18">
        <f t="shared" si="216"/>
        <v>2003</v>
      </c>
      <c r="AC6974" s="22">
        <f t="shared" si="217"/>
        <v>0.54800000000000004</v>
      </c>
    </row>
    <row r="6975" spans="1:29" ht="25.5">
      <c r="A6975" s="8" t="s">
        <v>4875</v>
      </c>
      <c r="B6975" s="17" t="s">
        <v>7800</v>
      </c>
      <c r="C6975" s="13">
        <v>37851</v>
      </c>
      <c r="D6975" s="13" t="s">
        <v>8465</v>
      </c>
      <c r="E6975" s="10" t="s">
        <v>4876</v>
      </c>
      <c r="F6975" s="10" t="s">
        <v>4877</v>
      </c>
      <c r="G6975" s="11" t="s">
        <v>4878</v>
      </c>
      <c r="H6975" s="2" t="s">
        <v>67</v>
      </c>
      <c r="L6975" s="18">
        <v>1</v>
      </c>
      <c r="N6975" s="13">
        <v>42137</v>
      </c>
      <c r="P6975" s="18" t="s">
        <v>1107</v>
      </c>
      <c r="Q6975" s="18">
        <v>0</v>
      </c>
      <c r="U6975" s="22">
        <v>0.77</v>
      </c>
      <c r="V6975" s="22">
        <f>3.69/5</f>
        <v>0.73799999999999999</v>
      </c>
      <c r="W6975" s="14" t="s">
        <v>7777</v>
      </c>
      <c r="X6975" s="3">
        <v>3</v>
      </c>
      <c r="Z6975" s="23">
        <v>7.5</v>
      </c>
      <c r="AB6975" s="18">
        <f t="shared" si="216"/>
        <v>2003</v>
      </c>
      <c r="AC6975" s="22">
        <f t="shared" si="217"/>
        <v>0.70266666666666666</v>
      </c>
    </row>
    <row r="6976" spans="1:29" ht="30">
      <c r="A6976" s="8" t="s">
        <v>14477</v>
      </c>
      <c r="B6976" s="17" t="s">
        <v>7758</v>
      </c>
      <c r="C6976" s="13">
        <v>37846</v>
      </c>
      <c r="D6976" s="13" t="s">
        <v>8465</v>
      </c>
      <c r="E6976" s="10" t="s">
        <v>68</v>
      </c>
      <c r="F6976" s="10" t="s">
        <v>68</v>
      </c>
      <c r="G6976" s="11" t="s">
        <v>40</v>
      </c>
      <c r="H6976" s="2" t="s">
        <v>69</v>
      </c>
      <c r="L6976" s="18">
        <v>0</v>
      </c>
      <c r="Q6976" s="18">
        <v>0</v>
      </c>
      <c r="U6976" s="22">
        <v>0.77</v>
      </c>
      <c r="V6976" s="22">
        <f>3.95/5</f>
        <v>0.79</v>
      </c>
      <c r="X6976" s="3">
        <v>2</v>
      </c>
      <c r="Z6976" s="23">
        <v>20</v>
      </c>
      <c r="AB6976" s="18">
        <f t="shared" si="216"/>
        <v>2003</v>
      </c>
      <c r="AC6976" s="22">
        <f t="shared" si="217"/>
        <v>0.65333333333333332</v>
      </c>
    </row>
    <row r="6977" spans="1:29" ht="30">
      <c r="A6977" s="8" t="s">
        <v>2042</v>
      </c>
      <c r="B6977" s="17" t="s">
        <v>7747</v>
      </c>
      <c r="C6977" s="13">
        <v>37841</v>
      </c>
      <c r="D6977" s="13" t="s">
        <v>8463</v>
      </c>
      <c r="E6977" s="10" t="s">
        <v>470</v>
      </c>
      <c r="F6977" s="10" t="s">
        <v>470</v>
      </c>
      <c r="G6977" s="11" t="s">
        <v>299</v>
      </c>
      <c r="H6977" s="2" t="s">
        <v>75</v>
      </c>
      <c r="K6977" s="18">
        <v>1</v>
      </c>
      <c r="L6977" s="18">
        <v>0</v>
      </c>
      <c r="Q6977" s="18">
        <v>0</v>
      </c>
      <c r="V6977" s="22">
        <f>4.13/5</f>
        <v>0.82599999999999996</v>
      </c>
      <c r="X6977" s="3">
        <v>3</v>
      </c>
      <c r="AB6977" s="18">
        <f t="shared" ref="AB6977:AB7040" si="218">IFERROR(YEAR(C6977), "Early Access")</f>
        <v>2003</v>
      </c>
      <c r="AC6977" s="22">
        <f t="shared" ref="AC6977:AC7040" si="219">AVERAGE(T6977, U6977, V6977, IF(ISBLANK(X6977), X6977, X6977/5))</f>
        <v>0.71299999999999997</v>
      </c>
    </row>
    <row r="6978" spans="1:29">
      <c r="A6978" s="8" t="s">
        <v>8699</v>
      </c>
      <c r="B6978" s="17" t="s">
        <v>7758</v>
      </c>
      <c r="C6978" s="13">
        <v>37840</v>
      </c>
      <c r="D6978" s="13" t="s">
        <v>8463</v>
      </c>
      <c r="E6978" s="10" t="s">
        <v>470</v>
      </c>
      <c r="F6978" s="10" t="s">
        <v>1897</v>
      </c>
      <c r="G6978" s="11" t="s">
        <v>1898</v>
      </c>
      <c r="H6978" s="2" t="s">
        <v>75</v>
      </c>
      <c r="K6978" s="18">
        <v>0</v>
      </c>
      <c r="L6978" s="18">
        <v>0</v>
      </c>
      <c r="Q6978" s="18">
        <v>0</v>
      </c>
      <c r="V6978" s="22">
        <f>4.13/5</f>
        <v>0.82599999999999996</v>
      </c>
      <c r="X6978" s="3">
        <v>3</v>
      </c>
      <c r="AB6978" s="18">
        <f t="shared" si="218"/>
        <v>2003</v>
      </c>
      <c r="AC6978" s="22">
        <f t="shared" si="219"/>
        <v>0.71299999999999997</v>
      </c>
    </row>
    <row r="6979" spans="1:29" ht="30">
      <c r="A6979" s="8" t="s">
        <v>9217</v>
      </c>
      <c r="B6979" s="17" t="s">
        <v>7758</v>
      </c>
      <c r="C6979" s="13">
        <v>37839</v>
      </c>
      <c r="D6979" s="13" t="s">
        <v>8465</v>
      </c>
      <c r="E6979" s="10" t="s">
        <v>73</v>
      </c>
      <c r="F6979" s="10" t="s">
        <v>9218</v>
      </c>
      <c r="H6979" s="2" t="s">
        <v>1059</v>
      </c>
      <c r="L6979" s="18">
        <v>0</v>
      </c>
      <c r="Q6979" s="18">
        <v>0</v>
      </c>
      <c r="U6979" s="22">
        <v>0.65</v>
      </c>
      <c r="V6979" s="22">
        <f>3.6/5</f>
        <v>0.72</v>
      </c>
      <c r="X6979" s="3">
        <v>3</v>
      </c>
      <c r="Z6979" s="23">
        <v>13</v>
      </c>
      <c r="AB6979" s="18">
        <f t="shared" si="218"/>
        <v>2003</v>
      </c>
      <c r="AC6979" s="22">
        <f t="shared" si="219"/>
        <v>0.65666666666666673</v>
      </c>
    </row>
    <row r="6980" spans="1:29" ht="30">
      <c r="A6980" s="8" t="s">
        <v>7449</v>
      </c>
      <c r="B6980" s="17" t="s">
        <v>7764</v>
      </c>
      <c r="C6980" s="13">
        <v>37839</v>
      </c>
      <c r="D6980" s="13" t="s">
        <v>8465</v>
      </c>
      <c r="E6980" s="10" t="s">
        <v>1047</v>
      </c>
      <c r="F6980" s="10" t="s">
        <v>6607</v>
      </c>
      <c r="G6980" s="11" t="s">
        <v>2474</v>
      </c>
      <c r="H6980" s="2" t="s">
        <v>7448</v>
      </c>
      <c r="L6980" s="18">
        <v>0</v>
      </c>
      <c r="Q6980" s="18">
        <v>0</v>
      </c>
      <c r="U6980" s="22">
        <v>0.82</v>
      </c>
      <c r="V6980" s="22">
        <f>3.75/5</f>
        <v>0.75</v>
      </c>
      <c r="X6980" s="3">
        <v>2</v>
      </c>
      <c r="Y6980" s="18">
        <v>1</v>
      </c>
      <c r="Z6980" s="23">
        <v>3.5</v>
      </c>
      <c r="AB6980" s="18">
        <f t="shared" si="218"/>
        <v>2003</v>
      </c>
      <c r="AC6980" s="22">
        <f t="shared" si="219"/>
        <v>0.65666666666666662</v>
      </c>
    </row>
    <row r="6981" spans="1:29">
      <c r="A6981" s="8" t="s">
        <v>5838</v>
      </c>
      <c r="B6981" s="17" t="s">
        <v>7758</v>
      </c>
      <c r="C6981" s="13">
        <v>37838</v>
      </c>
      <c r="D6981" s="13" t="s">
        <v>8465</v>
      </c>
      <c r="E6981" s="10" t="s">
        <v>72</v>
      </c>
      <c r="F6981" s="10" t="s">
        <v>72</v>
      </c>
      <c r="G6981" s="11" t="s">
        <v>1449</v>
      </c>
      <c r="H6981" s="2" t="s">
        <v>1061</v>
      </c>
      <c r="L6981" s="18">
        <v>0</v>
      </c>
      <c r="Q6981" s="18">
        <v>0</v>
      </c>
      <c r="U6981" s="22">
        <v>0.84</v>
      </c>
      <c r="V6981" s="22">
        <f>4.23/5</f>
        <v>0.84600000000000009</v>
      </c>
      <c r="X6981" s="3">
        <v>4</v>
      </c>
      <c r="Z6981" s="23">
        <v>6.5</v>
      </c>
      <c r="AB6981" s="18">
        <f t="shared" si="218"/>
        <v>2003</v>
      </c>
      <c r="AC6981" s="22">
        <f t="shared" si="219"/>
        <v>0.82866666666666655</v>
      </c>
    </row>
    <row r="6982" spans="1:29" ht="25.5">
      <c r="A6982" s="8" t="s">
        <v>7583</v>
      </c>
      <c r="B6982" s="17" t="s">
        <v>7782</v>
      </c>
      <c r="C6982" s="13">
        <v>37834</v>
      </c>
      <c r="D6982" s="13" t="s">
        <v>8465</v>
      </c>
      <c r="E6982" s="10" t="s">
        <v>1206</v>
      </c>
      <c r="F6982" s="10" t="s">
        <v>1206</v>
      </c>
      <c r="G6982" s="11" t="s">
        <v>1207</v>
      </c>
      <c r="H6982" s="2" t="s">
        <v>171</v>
      </c>
      <c r="L6982" s="18">
        <v>0</v>
      </c>
      <c r="Q6982" s="18">
        <v>0</v>
      </c>
      <c r="V6982" s="22">
        <f>2.75/5</f>
        <v>0.55000000000000004</v>
      </c>
      <c r="X6982" s="3">
        <v>3</v>
      </c>
      <c r="AB6982" s="18">
        <f t="shared" si="218"/>
        <v>2003</v>
      </c>
      <c r="AC6982" s="22">
        <f t="shared" si="219"/>
        <v>0.57499999999999996</v>
      </c>
    </row>
    <row r="6983" spans="1:29" ht="30">
      <c r="A6983" s="8" t="s">
        <v>10873</v>
      </c>
      <c r="B6983" s="17" t="s">
        <v>7758</v>
      </c>
      <c r="C6983" s="13">
        <v>37833</v>
      </c>
      <c r="D6983" s="13" t="s">
        <v>8463</v>
      </c>
      <c r="E6983" s="10" t="s">
        <v>2908</v>
      </c>
      <c r="F6983" s="10" t="s">
        <v>5860</v>
      </c>
      <c r="H6983" s="2" t="s">
        <v>1061</v>
      </c>
      <c r="K6983" s="18">
        <v>0</v>
      </c>
      <c r="L6983" s="18">
        <v>0</v>
      </c>
      <c r="Q6983" s="18">
        <v>0</v>
      </c>
      <c r="V6983" s="22">
        <f>4/5</f>
        <v>0.8</v>
      </c>
      <c r="X6983" s="3">
        <v>2</v>
      </c>
      <c r="Z6983" s="23">
        <v>7</v>
      </c>
      <c r="AB6983" s="18">
        <f t="shared" si="218"/>
        <v>2003</v>
      </c>
      <c r="AC6983" s="22">
        <f t="shared" si="219"/>
        <v>0.60000000000000009</v>
      </c>
    </row>
    <row r="6984" spans="1:29" ht="30">
      <c r="A6984" s="8" t="s">
        <v>13154</v>
      </c>
      <c r="B6984" s="17" t="s">
        <v>7740</v>
      </c>
      <c r="C6984" s="13">
        <v>37833</v>
      </c>
      <c r="D6984" s="13" t="s">
        <v>8463</v>
      </c>
      <c r="E6984" s="10" t="s">
        <v>8394</v>
      </c>
      <c r="F6984" s="10" t="s">
        <v>8394</v>
      </c>
      <c r="G6984" s="11" t="s">
        <v>13155</v>
      </c>
      <c r="H6984" s="2" t="s">
        <v>80</v>
      </c>
      <c r="K6984" s="18">
        <v>1</v>
      </c>
      <c r="L6984" s="18">
        <v>0</v>
      </c>
      <c r="Q6984" s="18">
        <v>0</v>
      </c>
      <c r="V6984" s="22">
        <f>3.95/5</f>
        <v>0.79</v>
      </c>
      <c r="X6984" s="3">
        <v>2</v>
      </c>
      <c r="AB6984" s="18">
        <f t="shared" si="218"/>
        <v>2003</v>
      </c>
      <c r="AC6984" s="22">
        <f t="shared" si="219"/>
        <v>0.59499999999999997</v>
      </c>
    </row>
    <row r="6985" spans="1:29" ht="25.5">
      <c r="A6985" s="8" t="s">
        <v>9712</v>
      </c>
      <c r="B6985" s="17" t="s">
        <v>7758</v>
      </c>
      <c r="C6985" s="13">
        <v>37832</v>
      </c>
      <c r="D6985" s="13" t="s">
        <v>8465</v>
      </c>
      <c r="E6985" s="10" t="s">
        <v>231</v>
      </c>
      <c r="F6985" s="10" t="s">
        <v>9713</v>
      </c>
      <c r="G6985" s="11" t="s">
        <v>7525</v>
      </c>
      <c r="H6985" s="2" t="s">
        <v>1143</v>
      </c>
      <c r="L6985" s="18">
        <v>0</v>
      </c>
      <c r="Q6985" s="18">
        <v>0</v>
      </c>
      <c r="U6985" s="22">
        <v>0.66</v>
      </c>
      <c r="V6985" s="22">
        <f>3.33/5</f>
        <v>0.66600000000000004</v>
      </c>
      <c r="X6985" s="3">
        <v>3</v>
      </c>
      <c r="Z6985" s="23">
        <v>12</v>
      </c>
      <c r="AB6985" s="18">
        <f t="shared" si="218"/>
        <v>2003</v>
      </c>
      <c r="AC6985" s="22">
        <f t="shared" si="219"/>
        <v>0.64200000000000002</v>
      </c>
    </row>
    <row r="6986" spans="1:29" ht="30">
      <c r="A6986" s="8" t="s">
        <v>15913</v>
      </c>
      <c r="B6986" s="17" t="s">
        <v>7740</v>
      </c>
      <c r="C6986" s="13">
        <v>37832</v>
      </c>
      <c r="D6986" s="13" t="s">
        <v>8465</v>
      </c>
      <c r="E6986" s="10" t="s">
        <v>1876</v>
      </c>
      <c r="F6986" s="10" t="s">
        <v>10404</v>
      </c>
      <c r="G6986" s="11" t="s">
        <v>15914</v>
      </c>
      <c r="H6986" s="2" t="s">
        <v>80</v>
      </c>
      <c r="L6986" s="18">
        <v>0</v>
      </c>
      <c r="Q6986" s="18">
        <v>0</v>
      </c>
      <c r="U6986" s="22">
        <v>0.27</v>
      </c>
      <c r="V6986" s="22">
        <f>1.72/5</f>
        <v>0.34399999999999997</v>
      </c>
      <c r="X6986" s="3">
        <v>2</v>
      </c>
      <c r="Z6986" s="23">
        <v>4</v>
      </c>
      <c r="AB6986" s="18">
        <f t="shared" si="218"/>
        <v>2003</v>
      </c>
      <c r="AC6986" s="22">
        <f t="shared" si="219"/>
        <v>0.33800000000000002</v>
      </c>
    </row>
    <row r="6987" spans="1:29" ht="30">
      <c r="A6987" s="8" t="s">
        <v>6653</v>
      </c>
      <c r="B6987" s="17" t="s">
        <v>7740</v>
      </c>
      <c r="C6987" s="13">
        <v>37830</v>
      </c>
      <c r="D6987" s="13" t="s">
        <v>8465</v>
      </c>
      <c r="E6987" s="10" t="s">
        <v>86</v>
      </c>
      <c r="F6987" s="10" t="s">
        <v>1160</v>
      </c>
      <c r="G6987" s="11" t="s">
        <v>875</v>
      </c>
      <c r="H6987" s="2" t="s">
        <v>255</v>
      </c>
      <c r="L6987" s="18">
        <v>0</v>
      </c>
      <c r="Q6987" s="18">
        <v>0</v>
      </c>
      <c r="U6987" s="22">
        <v>0.82</v>
      </c>
      <c r="V6987" s="22">
        <f>3.77/5</f>
        <v>0.754</v>
      </c>
      <c r="X6987" s="3">
        <v>3</v>
      </c>
      <c r="Z6987" s="23">
        <v>8</v>
      </c>
      <c r="AB6987" s="18">
        <f t="shared" si="218"/>
        <v>2003</v>
      </c>
      <c r="AC6987" s="22">
        <f t="shared" si="219"/>
        <v>0.72466666666666668</v>
      </c>
    </row>
    <row r="6988" spans="1:29" ht="30">
      <c r="A6988" s="8" t="s">
        <v>3124</v>
      </c>
      <c r="B6988" s="17" t="s">
        <v>7800</v>
      </c>
      <c r="C6988" s="13">
        <v>37827</v>
      </c>
      <c r="D6988" s="13" t="s">
        <v>8465</v>
      </c>
      <c r="E6988" s="10" t="s">
        <v>3120</v>
      </c>
      <c r="F6988" s="10" t="s">
        <v>3121</v>
      </c>
      <c r="G6988" s="11" t="s">
        <v>3119</v>
      </c>
      <c r="H6988" s="2" t="s">
        <v>69</v>
      </c>
      <c r="L6988" s="18">
        <v>1</v>
      </c>
      <c r="N6988" s="13">
        <v>41782</v>
      </c>
      <c r="P6988" s="18" t="s">
        <v>1107</v>
      </c>
      <c r="Q6988" s="18">
        <v>0</v>
      </c>
      <c r="U6988" s="22">
        <v>0.84</v>
      </c>
      <c r="V6988" s="22">
        <f>4.1/5</f>
        <v>0.82</v>
      </c>
      <c r="W6988" s="14" t="s">
        <v>7777</v>
      </c>
      <c r="X6988" s="3">
        <v>3</v>
      </c>
      <c r="Z6988" s="23">
        <v>32</v>
      </c>
      <c r="AB6988" s="18">
        <f t="shared" si="218"/>
        <v>2003</v>
      </c>
      <c r="AC6988" s="22">
        <f t="shared" si="219"/>
        <v>0.7533333333333333</v>
      </c>
    </row>
    <row r="6989" spans="1:29" ht="30">
      <c r="A6989" s="8" t="s">
        <v>7526</v>
      </c>
      <c r="B6989" s="17" t="s">
        <v>7800</v>
      </c>
      <c r="C6989" s="13">
        <v>37825</v>
      </c>
      <c r="D6989" s="13" t="s">
        <v>8465</v>
      </c>
      <c r="E6989" s="10" t="s">
        <v>3377</v>
      </c>
      <c r="F6989" s="10" t="s">
        <v>3556</v>
      </c>
      <c r="G6989" s="11" t="s">
        <v>3557</v>
      </c>
      <c r="H6989" s="2" t="s">
        <v>67</v>
      </c>
      <c r="L6989" s="18">
        <v>1</v>
      </c>
      <c r="N6989" s="13">
        <v>43335</v>
      </c>
      <c r="O6989" s="29">
        <v>0.99</v>
      </c>
      <c r="P6989" s="18" t="s">
        <v>1107</v>
      </c>
      <c r="Q6989" s="18">
        <v>0</v>
      </c>
      <c r="U6989" s="22">
        <v>0.72</v>
      </c>
      <c r="V6989" s="22">
        <f>3.42/5</f>
        <v>0.68399999999999994</v>
      </c>
      <c r="W6989" s="14" t="s">
        <v>7777</v>
      </c>
      <c r="X6989" s="3">
        <v>3</v>
      </c>
      <c r="Z6989" s="23">
        <v>4</v>
      </c>
      <c r="AB6989" s="18">
        <f t="shared" si="218"/>
        <v>2003</v>
      </c>
      <c r="AC6989" s="22">
        <f t="shared" si="219"/>
        <v>0.66800000000000004</v>
      </c>
    </row>
    <row r="6990" spans="1:29" ht="30">
      <c r="A6990" s="8" t="s">
        <v>15260</v>
      </c>
      <c r="B6990" s="17" t="s">
        <v>7758</v>
      </c>
      <c r="C6990" s="13">
        <v>37825</v>
      </c>
      <c r="D6990" s="13" t="s">
        <v>8465</v>
      </c>
      <c r="E6990" s="10" t="s">
        <v>2908</v>
      </c>
      <c r="F6990" s="10" t="s">
        <v>5719</v>
      </c>
      <c r="H6990" s="2" t="s">
        <v>150</v>
      </c>
      <c r="L6990" s="18">
        <v>0</v>
      </c>
      <c r="Q6990" s="18">
        <v>0</v>
      </c>
      <c r="U6990" s="22">
        <v>0.79</v>
      </c>
      <c r="V6990" s="22">
        <f>4.15/5</f>
        <v>0.83000000000000007</v>
      </c>
      <c r="X6990" s="3">
        <v>2</v>
      </c>
      <c r="Z6990" s="23">
        <v>3.5</v>
      </c>
      <c r="AB6990" s="18">
        <f t="shared" si="218"/>
        <v>2003</v>
      </c>
      <c r="AC6990" s="22">
        <f t="shared" si="219"/>
        <v>0.67333333333333334</v>
      </c>
    </row>
    <row r="6991" spans="1:29" ht="25.5">
      <c r="A6991" s="8" t="s">
        <v>7664</v>
      </c>
      <c r="B6991" s="17" t="s">
        <v>7758</v>
      </c>
      <c r="C6991" s="13">
        <v>37819</v>
      </c>
      <c r="D6991" s="13" t="s">
        <v>8465</v>
      </c>
      <c r="E6991" s="10" t="s">
        <v>3017</v>
      </c>
      <c r="F6991" s="10" t="s">
        <v>1580</v>
      </c>
      <c r="G6991" s="11" t="s">
        <v>5915</v>
      </c>
      <c r="H6991" s="2" t="s">
        <v>1168</v>
      </c>
      <c r="L6991" s="18">
        <v>0</v>
      </c>
      <c r="Q6991" s="18">
        <v>0</v>
      </c>
      <c r="U6991" s="22">
        <v>0.71</v>
      </c>
      <c r="V6991" s="22">
        <f>3.97/5</f>
        <v>0.79400000000000004</v>
      </c>
      <c r="X6991" s="3">
        <v>3</v>
      </c>
      <c r="Z6991" s="23">
        <v>8</v>
      </c>
      <c r="AB6991" s="18">
        <f t="shared" si="218"/>
        <v>2003</v>
      </c>
      <c r="AC6991" s="22">
        <f t="shared" si="219"/>
        <v>0.70133333333333336</v>
      </c>
    </row>
    <row r="6992" spans="1:29">
      <c r="A6992" s="8" t="s">
        <v>13165</v>
      </c>
      <c r="B6992" s="17" t="s">
        <v>7758</v>
      </c>
      <c r="C6992" s="13">
        <v>37819</v>
      </c>
      <c r="D6992" s="13" t="s">
        <v>8463</v>
      </c>
      <c r="E6992" s="10" t="s">
        <v>62</v>
      </c>
      <c r="F6992" s="10" t="s">
        <v>8379</v>
      </c>
      <c r="G6992" s="11" t="s">
        <v>7674</v>
      </c>
      <c r="H6992" s="2" t="s">
        <v>1142</v>
      </c>
      <c r="K6992" s="18">
        <v>0</v>
      </c>
      <c r="L6992" s="18">
        <v>0</v>
      </c>
      <c r="Q6992" s="18">
        <v>0</v>
      </c>
      <c r="V6992" s="22">
        <f>3.86/5</f>
        <v>0.77200000000000002</v>
      </c>
      <c r="X6992" s="3">
        <v>2</v>
      </c>
      <c r="AB6992" s="18">
        <f t="shared" si="218"/>
        <v>2003</v>
      </c>
      <c r="AC6992" s="22">
        <f t="shared" si="219"/>
        <v>0.58600000000000008</v>
      </c>
    </row>
    <row r="6993" spans="1:29" ht="30">
      <c r="A6993" s="8" t="s">
        <v>13374</v>
      </c>
      <c r="B6993" s="17" t="s">
        <v>7747</v>
      </c>
      <c r="C6993" s="13">
        <v>37803</v>
      </c>
      <c r="D6993" s="13" t="s">
        <v>8465</v>
      </c>
      <c r="E6993" s="10" t="s">
        <v>1947</v>
      </c>
      <c r="F6993" s="10" t="s">
        <v>13375</v>
      </c>
      <c r="H6993" s="2" t="s">
        <v>78</v>
      </c>
      <c r="L6993" s="18">
        <v>0</v>
      </c>
      <c r="Q6993" s="18">
        <v>0</v>
      </c>
      <c r="U6993" s="22">
        <v>0.7</v>
      </c>
      <c r="V6993" s="22">
        <f>3.5/5</f>
        <v>0.7</v>
      </c>
      <c r="X6993" s="3">
        <v>2</v>
      </c>
      <c r="Z6993" s="23">
        <v>4</v>
      </c>
      <c r="AB6993" s="18">
        <f t="shared" si="218"/>
        <v>2003</v>
      </c>
      <c r="AC6993" s="22">
        <f t="shared" si="219"/>
        <v>0.6</v>
      </c>
    </row>
    <row r="6994" spans="1:29">
      <c r="A6994" s="8" t="s">
        <v>5729</v>
      </c>
      <c r="B6994" s="17" t="s">
        <v>7758</v>
      </c>
      <c r="C6994" s="13">
        <v>37802</v>
      </c>
      <c r="D6994" s="13" t="s">
        <v>8465</v>
      </c>
      <c r="E6994" s="10" t="s">
        <v>1047</v>
      </c>
      <c r="F6994" s="10" t="s">
        <v>5862</v>
      </c>
      <c r="G6994" s="11" t="s">
        <v>2968</v>
      </c>
      <c r="H6994" s="2" t="s">
        <v>1040</v>
      </c>
      <c r="L6994" s="18">
        <v>0</v>
      </c>
      <c r="Q6994" s="18">
        <v>0</v>
      </c>
      <c r="U6994" s="22">
        <v>0.81</v>
      </c>
      <c r="V6994" s="22">
        <f>3.74/5</f>
        <v>0.748</v>
      </c>
      <c r="X6994" s="3">
        <v>3</v>
      </c>
      <c r="Z6994" s="23">
        <v>9</v>
      </c>
      <c r="AB6994" s="18">
        <f t="shared" si="218"/>
        <v>2003</v>
      </c>
      <c r="AC6994" s="22">
        <f t="shared" si="219"/>
        <v>0.71933333333333327</v>
      </c>
    </row>
    <row r="6995" spans="1:29" ht="25.5">
      <c r="A6995" s="8" t="s">
        <v>5438</v>
      </c>
      <c r="B6995" s="17" t="s">
        <v>7800</v>
      </c>
      <c r="C6995" s="13">
        <v>37802</v>
      </c>
      <c r="D6995" s="13" t="s">
        <v>8465</v>
      </c>
      <c r="E6995" s="10" t="s">
        <v>1870</v>
      </c>
      <c r="F6995" s="10" t="s">
        <v>1282</v>
      </c>
      <c r="G6995" s="11" t="s">
        <v>1853</v>
      </c>
      <c r="H6995" s="2" t="s">
        <v>80</v>
      </c>
      <c r="L6995" s="18">
        <v>1</v>
      </c>
      <c r="N6995" s="13">
        <v>43325</v>
      </c>
      <c r="O6995" s="29">
        <v>0.97</v>
      </c>
      <c r="P6995" s="18" t="s">
        <v>1107</v>
      </c>
      <c r="Q6995" s="18">
        <v>0</v>
      </c>
      <c r="U6995" s="22">
        <v>0.56000000000000005</v>
      </c>
      <c r="V6995" s="22">
        <f>2.91/5</f>
        <v>0.58200000000000007</v>
      </c>
      <c r="W6995" s="14" t="s">
        <v>7777</v>
      </c>
      <c r="X6995" s="3">
        <v>3</v>
      </c>
      <c r="Z6995" s="23">
        <v>14.5</v>
      </c>
      <c r="AB6995" s="18">
        <f t="shared" si="218"/>
        <v>2003</v>
      </c>
      <c r="AC6995" s="22">
        <f t="shared" si="219"/>
        <v>0.58066666666666666</v>
      </c>
    </row>
    <row r="6996" spans="1:29" ht="25.5">
      <c r="A6996" s="8" t="s">
        <v>10984</v>
      </c>
      <c r="B6996" s="17" t="s">
        <v>7758</v>
      </c>
      <c r="C6996" s="13">
        <v>37799</v>
      </c>
      <c r="D6996" s="13" t="s">
        <v>8467</v>
      </c>
      <c r="E6996" s="10" t="s">
        <v>455</v>
      </c>
      <c r="F6996" s="10" t="s">
        <v>228</v>
      </c>
      <c r="H6996" s="2" t="s">
        <v>1059</v>
      </c>
      <c r="L6996" s="18">
        <v>0</v>
      </c>
      <c r="Q6996" s="18">
        <v>0</v>
      </c>
      <c r="V6996" s="22">
        <f>3.46/5</f>
        <v>0.69199999999999995</v>
      </c>
      <c r="X6996" s="3">
        <v>3</v>
      </c>
      <c r="Z6996" s="23">
        <v>5</v>
      </c>
      <c r="AB6996" s="18">
        <f t="shared" si="218"/>
        <v>2003</v>
      </c>
      <c r="AC6996" s="22">
        <f t="shared" si="219"/>
        <v>0.64599999999999991</v>
      </c>
    </row>
    <row r="6997" spans="1:29">
      <c r="A6997" s="8" t="s">
        <v>14415</v>
      </c>
      <c r="B6997" s="17" t="s">
        <v>7758</v>
      </c>
      <c r="C6997" s="13">
        <v>37798</v>
      </c>
      <c r="D6997" s="13" t="s">
        <v>8463</v>
      </c>
      <c r="E6997" s="10" t="s">
        <v>455</v>
      </c>
      <c r="F6997" s="10" t="s">
        <v>14416</v>
      </c>
      <c r="G6997" s="11" t="s">
        <v>14411</v>
      </c>
      <c r="H6997" s="2" t="s">
        <v>150</v>
      </c>
      <c r="K6997" s="18">
        <v>1</v>
      </c>
      <c r="L6997" s="18">
        <v>0</v>
      </c>
      <c r="Q6997" s="18">
        <v>0</v>
      </c>
      <c r="V6997" s="22">
        <f>4.12/5</f>
        <v>0.82400000000000007</v>
      </c>
      <c r="X6997" s="3">
        <v>2</v>
      </c>
      <c r="AB6997" s="18">
        <f t="shared" si="218"/>
        <v>2003</v>
      </c>
      <c r="AC6997" s="22">
        <f t="shared" si="219"/>
        <v>0.6120000000000001</v>
      </c>
    </row>
    <row r="6998" spans="1:29" ht="25.5">
      <c r="A6998" s="8" t="s">
        <v>9322</v>
      </c>
      <c r="B6998" s="17" t="s">
        <v>7764</v>
      </c>
      <c r="C6998" s="13">
        <v>37798</v>
      </c>
      <c r="D6998" s="13" t="s">
        <v>8463</v>
      </c>
      <c r="E6998" s="10" t="s">
        <v>9323</v>
      </c>
      <c r="F6998" s="10" t="s">
        <v>9324</v>
      </c>
      <c r="H6998" s="2" t="s">
        <v>75</v>
      </c>
      <c r="K6998" s="18">
        <v>0</v>
      </c>
      <c r="L6998" s="18">
        <v>0</v>
      </c>
      <c r="Q6998" s="18">
        <v>0</v>
      </c>
      <c r="V6998" s="22">
        <f>3.67/5</f>
        <v>0.73399999999999999</v>
      </c>
      <c r="X6998" s="3">
        <v>2</v>
      </c>
      <c r="Y6998" s="18">
        <v>1</v>
      </c>
      <c r="AB6998" s="18">
        <f t="shared" si="218"/>
        <v>2003</v>
      </c>
      <c r="AC6998" s="22">
        <f t="shared" si="219"/>
        <v>0.56699999999999995</v>
      </c>
    </row>
    <row r="6999" spans="1:29" ht="25.5">
      <c r="A6999" s="8" t="s">
        <v>5722</v>
      </c>
      <c r="B6999" s="17" t="s">
        <v>7758</v>
      </c>
      <c r="C6999" s="13">
        <v>37797</v>
      </c>
      <c r="D6999" s="13" t="s">
        <v>8465</v>
      </c>
      <c r="E6999" s="10" t="s">
        <v>1290</v>
      </c>
      <c r="F6999" s="10" t="s">
        <v>1087</v>
      </c>
      <c r="G6999" s="11" t="s">
        <v>2921</v>
      </c>
      <c r="H6999" s="2" t="s">
        <v>75</v>
      </c>
      <c r="L6999" s="18">
        <v>0</v>
      </c>
      <c r="Q6999" s="18">
        <v>0</v>
      </c>
      <c r="U6999" s="22">
        <v>0.75</v>
      </c>
      <c r="V6999" s="22">
        <f>3.71/5</f>
        <v>0.74199999999999999</v>
      </c>
      <c r="X6999" s="3">
        <v>3</v>
      </c>
      <c r="Z6999" s="23">
        <v>38</v>
      </c>
      <c r="AB6999" s="18">
        <f t="shared" si="218"/>
        <v>2003</v>
      </c>
      <c r="AC6999" s="22">
        <f t="shared" si="219"/>
        <v>0.69733333333333336</v>
      </c>
    </row>
    <row r="7000" spans="1:29" ht="30">
      <c r="A7000" s="8" t="s">
        <v>2076</v>
      </c>
      <c r="B7000" s="17" t="s">
        <v>7747</v>
      </c>
      <c r="C7000" s="13">
        <v>37796</v>
      </c>
      <c r="D7000" s="13" t="s">
        <v>8465</v>
      </c>
      <c r="E7000" s="10" t="s">
        <v>86</v>
      </c>
      <c r="F7000" s="10" t="s">
        <v>1069</v>
      </c>
      <c r="G7000" s="11" t="s">
        <v>301</v>
      </c>
      <c r="H7000" s="2" t="s">
        <v>75</v>
      </c>
      <c r="L7000" s="18">
        <v>0</v>
      </c>
      <c r="Q7000" s="18">
        <v>0</v>
      </c>
      <c r="U7000" s="22">
        <v>0.9</v>
      </c>
      <c r="V7000" s="22">
        <f>4.22/5</f>
        <v>0.84399999999999997</v>
      </c>
      <c r="X7000" s="3">
        <v>4</v>
      </c>
      <c r="Y7000" s="18">
        <v>1</v>
      </c>
      <c r="Z7000" s="23">
        <v>26.5</v>
      </c>
      <c r="AB7000" s="18">
        <f t="shared" si="218"/>
        <v>2003</v>
      </c>
      <c r="AC7000" s="22">
        <f t="shared" si="219"/>
        <v>0.84799999999999998</v>
      </c>
    </row>
    <row r="7001" spans="1:29" ht="38.25">
      <c r="A7001" s="8" t="s">
        <v>2087</v>
      </c>
      <c r="B7001" s="17" t="s">
        <v>7747</v>
      </c>
      <c r="C7001" s="13">
        <v>37796</v>
      </c>
      <c r="D7001" s="13" t="s">
        <v>8465</v>
      </c>
      <c r="E7001" s="10" t="s">
        <v>73</v>
      </c>
      <c r="F7001" s="10" t="s">
        <v>73</v>
      </c>
      <c r="G7001" s="11" t="s">
        <v>1904</v>
      </c>
      <c r="H7001" s="2" t="s">
        <v>75</v>
      </c>
      <c r="L7001" s="18">
        <v>0</v>
      </c>
      <c r="Q7001" s="18">
        <v>0</v>
      </c>
      <c r="U7001" s="22">
        <v>0.76</v>
      </c>
      <c r="V7001" s="22">
        <f>4.28/5</f>
        <v>0.85600000000000009</v>
      </c>
      <c r="X7001" s="3">
        <v>4</v>
      </c>
      <c r="Z7001" s="23">
        <v>23.5</v>
      </c>
      <c r="AB7001" s="18">
        <f t="shared" si="218"/>
        <v>2003</v>
      </c>
      <c r="AC7001" s="22">
        <f t="shared" si="219"/>
        <v>0.80533333333333346</v>
      </c>
    </row>
    <row r="7002" spans="1:29" ht="25.5">
      <c r="A7002" s="8" t="s">
        <v>8142</v>
      </c>
      <c r="B7002" s="17" t="s">
        <v>7758</v>
      </c>
      <c r="C7002" s="13">
        <v>37796</v>
      </c>
      <c r="D7002" s="13" t="s">
        <v>8465</v>
      </c>
      <c r="E7002" s="10" t="s">
        <v>3017</v>
      </c>
      <c r="F7002" s="10" t="s">
        <v>8143</v>
      </c>
      <c r="G7002" s="11" t="s">
        <v>8141</v>
      </c>
      <c r="H7002" s="2" t="s">
        <v>171</v>
      </c>
      <c r="L7002" s="18">
        <v>0</v>
      </c>
      <c r="Q7002" s="18">
        <v>0</v>
      </c>
      <c r="U7002" s="22">
        <v>0.75439999999999996</v>
      </c>
      <c r="V7002" s="22">
        <f>3.63/5</f>
        <v>0.72599999999999998</v>
      </c>
      <c r="X7002" s="3">
        <v>3</v>
      </c>
      <c r="Z7002" s="23">
        <v>14</v>
      </c>
      <c r="AB7002" s="18">
        <f t="shared" si="218"/>
        <v>2003</v>
      </c>
      <c r="AC7002" s="22">
        <f t="shared" si="219"/>
        <v>0.69346666666666668</v>
      </c>
    </row>
    <row r="7003" spans="1:29" ht="38.25">
      <c r="A7003" s="8" t="s">
        <v>11069</v>
      </c>
      <c r="B7003" s="17" t="s">
        <v>7747</v>
      </c>
      <c r="C7003" s="13">
        <v>37796</v>
      </c>
      <c r="D7003" s="13" t="s">
        <v>8465</v>
      </c>
      <c r="E7003" s="10" t="s">
        <v>1342</v>
      </c>
      <c r="F7003" s="10" t="s">
        <v>66</v>
      </c>
      <c r="G7003" s="11" t="s">
        <v>11066</v>
      </c>
      <c r="H7003" s="2" t="s">
        <v>153</v>
      </c>
      <c r="L7003" s="18">
        <v>0</v>
      </c>
      <c r="Q7003" s="18">
        <v>0</v>
      </c>
      <c r="U7003" s="22">
        <v>0.44</v>
      </c>
      <c r="V7003" s="22">
        <f>3.02/5</f>
        <v>0.60399999999999998</v>
      </c>
      <c r="X7003" s="3">
        <v>2</v>
      </c>
      <c r="AB7003" s="18">
        <f t="shared" si="218"/>
        <v>2003</v>
      </c>
      <c r="AC7003" s="22">
        <f t="shared" si="219"/>
        <v>0.48133333333333334</v>
      </c>
    </row>
    <row r="7004" spans="1:29" ht="30">
      <c r="A7004" s="8" t="s">
        <v>950</v>
      </c>
      <c r="B7004" s="17" t="s">
        <v>7740</v>
      </c>
      <c r="C7004" s="13">
        <v>37795</v>
      </c>
      <c r="D7004" s="13" t="s">
        <v>8465</v>
      </c>
      <c r="E7004" s="10" t="s">
        <v>86</v>
      </c>
      <c r="F7004" s="10" t="s">
        <v>1474</v>
      </c>
      <c r="G7004" s="11" t="s">
        <v>1428</v>
      </c>
      <c r="H7004" s="2" t="s">
        <v>1040</v>
      </c>
      <c r="L7004" s="18">
        <v>0</v>
      </c>
      <c r="Q7004" s="18">
        <v>0</v>
      </c>
      <c r="U7004" s="22">
        <v>0.71</v>
      </c>
      <c r="V7004" s="22">
        <f>3.55/5</f>
        <v>0.71</v>
      </c>
      <c r="X7004" s="3">
        <v>4</v>
      </c>
      <c r="Z7004" s="23">
        <v>5.5</v>
      </c>
      <c r="AB7004" s="18">
        <f t="shared" si="218"/>
        <v>2003</v>
      </c>
      <c r="AC7004" s="22">
        <f t="shared" si="219"/>
        <v>0.73999999999999988</v>
      </c>
    </row>
    <row r="7005" spans="1:29" ht="30">
      <c r="A7005" s="8" t="s">
        <v>6964</v>
      </c>
      <c r="B7005" s="17" t="s">
        <v>7800</v>
      </c>
      <c r="C7005" s="13">
        <v>37793</v>
      </c>
      <c r="D7005" s="13" t="s">
        <v>8465</v>
      </c>
      <c r="E7005" s="10" t="s">
        <v>311</v>
      </c>
      <c r="F7005" s="10" t="s">
        <v>6965</v>
      </c>
      <c r="G7005" s="11" t="s">
        <v>4533</v>
      </c>
      <c r="H7005" s="2" t="s">
        <v>1720</v>
      </c>
      <c r="L7005" s="18">
        <v>1</v>
      </c>
      <c r="N7005" s="13">
        <v>41803</v>
      </c>
      <c r="O7005" s="29">
        <v>0</v>
      </c>
      <c r="P7005" s="18" t="s">
        <v>1107</v>
      </c>
      <c r="Q7005" s="18">
        <v>0</v>
      </c>
      <c r="V7005" s="22">
        <f>3.83/5</f>
        <v>0.76600000000000001</v>
      </c>
      <c r="W7005" s="14" t="s">
        <v>7778</v>
      </c>
      <c r="X7005" s="3">
        <v>4</v>
      </c>
      <c r="Z7005" s="23">
        <v>18</v>
      </c>
      <c r="AB7005" s="18">
        <f t="shared" si="218"/>
        <v>2003</v>
      </c>
      <c r="AC7005" s="22">
        <f t="shared" si="219"/>
        <v>0.78300000000000003</v>
      </c>
    </row>
    <row r="7006" spans="1:29" ht="30">
      <c r="A7006" s="8" t="s">
        <v>924</v>
      </c>
      <c r="B7006" s="17" t="s">
        <v>7740</v>
      </c>
      <c r="C7006" s="13">
        <v>37789</v>
      </c>
      <c r="D7006" s="13" t="s">
        <v>8465</v>
      </c>
      <c r="E7006" s="10" t="s">
        <v>73</v>
      </c>
      <c r="F7006" s="10" t="s">
        <v>1046</v>
      </c>
      <c r="G7006" s="11" t="s">
        <v>89</v>
      </c>
      <c r="H7006" s="2" t="s">
        <v>56</v>
      </c>
      <c r="L7006" s="18">
        <v>0</v>
      </c>
      <c r="Q7006" s="18">
        <v>0</v>
      </c>
      <c r="U7006" s="22">
        <v>0.66</v>
      </c>
      <c r="V7006" s="22">
        <f>3.55/5</f>
        <v>0.71</v>
      </c>
      <c r="X7006" s="3">
        <v>3</v>
      </c>
      <c r="Z7006" s="23">
        <v>8</v>
      </c>
      <c r="AB7006" s="18">
        <f t="shared" si="218"/>
        <v>2003</v>
      </c>
      <c r="AC7006" s="22">
        <f t="shared" si="219"/>
        <v>0.65666666666666673</v>
      </c>
    </row>
    <row r="7007" spans="1:29" ht="25.5">
      <c r="A7007" s="8" t="s">
        <v>14976</v>
      </c>
      <c r="B7007" s="17" t="s">
        <v>7758</v>
      </c>
      <c r="C7007" s="13">
        <v>37789</v>
      </c>
      <c r="D7007" s="13" t="s">
        <v>8465</v>
      </c>
      <c r="E7007" s="10" t="s">
        <v>73</v>
      </c>
      <c r="F7007" s="10" t="s">
        <v>5866</v>
      </c>
      <c r="G7007" s="11" t="s">
        <v>943</v>
      </c>
      <c r="H7007" s="2" t="s">
        <v>1170</v>
      </c>
      <c r="L7007" s="18">
        <v>0</v>
      </c>
      <c r="Q7007" s="18">
        <v>0</v>
      </c>
      <c r="U7007" s="22">
        <v>0.65</v>
      </c>
      <c r="V7007" s="22">
        <f>3.31/5</f>
        <v>0.66200000000000003</v>
      </c>
      <c r="X7007" s="3">
        <v>3</v>
      </c>
      <c r="Z7007" s="23">
        <v>3</v>
      </c>
      <c r="AB7007" s="18">
        <f t="shared" si="218"/>
        <v>2003</v>
      </c>
      <c r="AC7007" s="22">
        <f t="shared" si="219"/>
        <v>0.63733333333333331</v>
      </c>
    </row>
    <row r="7008" spans="1:29" ht="30">
      <c r="A7008" s="8" t="s">
        <v>11146</v>
      </c>
      <c r="B7008" s="17" t="s">
        <v>7747</v>
      </c>
      <c r="C7008" s="13">
        <v>37789</v>
      </c>
      <c r="D7008" s="13" t="s">
        <v>8465</v>
      </c>
      <c r="E7008" s="10" t="s">
        <v>311</v>
      </c>
      <c r="F7008" s="10" t="s">
        <v>2466</v>
      </c>
      <c r="G7008" s="11" t="s">
        <v>11042</v>
      </c>
      <c r="H7008" s="2" t="s">
        <v>171</v>
      </c>
      <c r="L7008" s="18">
        <v>0</v>
      </c>
      <c r="Q7008" s="18">
        <v>0</v>
      </c>
      <c r="U7008" s="22">
        <v>0.75</v>
      </c>
      <c r="V7008" s="22">
        <f>3.79/5</f>
        <v>0.75800000000000001</v>
      </c>
      <c r="X7008" s="3">
        <v>2</v>
      </c>
      <c r="Z7008" s="23">
        <v>14.5</v>
      </c>
      <c r="AB7008" s="18">
        <f t="shared" si="218"/>
        <v>2003</v>
      </c>
      <c r="AC7008" s="22">
        <f t="shared" si="219"/>
        <v>0.63600000000000001</v>
      </c>
    </row>
    <row r="7009" spans="1:29">
      <c r="A7009" s="8" t="s">
        <v>14702</v>
      </c>
      <c r="B7009" s="17" t="s">
        <v>7758</v>
      </c>
      <c r="C7009" s="13">
        <v>37789</v>
      </c>
      <c r="D7009" s="13" t="s">
        <v>8465</v>
      </c>
      <c r="E7009" s="10" t="s">
        <v>1284</v>
      </c>
      <c r="F7009" s="10" t="s">
        <v>1284</v>
      </c>
      <c r="H7009" s="2" t="s">
        <v>80</v>
      </c>
      <c r="L7009" s="18">
        <v>0</v>
      </c>
      <c r="Q7009" s="18">
        <v>0</v>
      </c>
      <c r="U7009" s="22">
        <v>0.49</v>
      </c>
      <c r="V7009" s="22">
        <f>3.1/5</f>
        <v>0.62</v>
      </c>
      <c r="X7009" s="3">
        <v>2</v>
      </c>
      <c r="Z7009" s="23">
        <v>14.5</v>
      </c>
      <c r="AB7009" s="18">
        <f t="shared" si="218"/>
        <v>2003</v>
      </c>
      <c r="AC7009" s="22">
        <f t="shared" si="219"/>
        <v>0.5033333333333333</v>
      </c>
    </row>
    <row r="7010" spans="1:29" ht="30">
      <c r="A7010" s="8" t="s">
        <v>8188</v>
      </c>
      <c r="B7010" s="17" t="s">
        <v>7758</v>
      </c>
      <c r="C7010" s="13">
        <v>37789</v>
      </c>
      <c r="D7010" s="13" t="s">
        <v>8465</v>
      </c>
      <c r="E7010" s="10" t="s">
        <v>1082</v>
      </c>
      <c r="F7010" s="10" t="s">
        <v>8189</v>
      </c>
      <c r="G7010" s="11" t="s">
        <v>9517</v>
      </c>
      <c r="H7010" s="2" t="s">
        <v>149</v>
      </c>
      <c r="L7010" s="18">
        <v>0</v>
      </c>
      <c r="Q7010" s="18">
        <v>0</v>
      </c>
      <c r="U7010" s="22">
        <v>0.51839999999999997</v>
      </c>
      <c r="V7010" s="22">
        <f>2.65/5</f>
        <v>0.53</v>
      </c>
      <c r="X7010" s="3">
        <v>2</v>
      </c>
      <c r="Z7010" s="23">
        <v>34.5</v>
      </c>
      <c r="AB7010" s="18">
        <f t="shared" si="218"/>
        <v>2003</v>
      </c>
      <c r="AC7010" s="22">
        <f t="shared" si="219"/>
        <v>0.48279999999999995</v>
      </c>
    </row>
    <row r="7011" spans="1:29" ht="38.25">
      <c r="A7011" s="8" t="s">
        <v>13966</v>
      </c>
      <c r="B7011" s="17" t="s">
        <v>7747</v>
      </c>
      <c r="C7011" s="13">
        <v>37784</v>
      </c>
      <c r="D7011" s="13" t="s">
        <v>8463</v>
      </c>
      <c r="E7011" s="10" t="s">
        <v>72</v>
      </c>
      <c r="F7011" s="10" t="s">
        <v>72</v>
      </c>
      <c r="G7011" s="11" t="s">
        <v>13965</v>
      </c>
      <c r="H7011" s="2" t="s">
        <v>1518</v>
      </c>
      <c r="K7011" s="18">
        <v>0</v>
      </c>
      <c r="L7011" s="18">
        <v>0</v>
      </c>
      <c r="Q7011" s="18">
        <v>0</v>
      </c>
      <c r="V7011" s="22">
        <f>4.14/5</f>
        <v>0.82799999999999996</v>
      </c>
      <c r="X7011" s="3">
        <v>2</v>
      </c>
      <c r="AB7011" s="18">
        <f t="shared" si="218"/>
        <v>2003</v>
      </c>
      <c r="AC7011" s="22">
        <f t="shared" si="219"/>
        <v>0.61399999999999999</v>
      </c>
    </row>
    <row r="7012" spans="1:29" ht="30">
      <c r="A7012" s="8" t="s">
        <v>589</v>
      </c>
      <c r="B7012" s="17" t="s">
        <v>7747</v>
      </c>
      <c r="C7012" s="13">
        <v>37781</v>
      </c>
      <c r="D7012" s="13" t="s">
        <v>8465</v>
      </c>
      <c r="E7012" s="10" t="s">
        <v>86</v>
      </c>
      <c r="F7012" s="10" t="s">
        <v>163</v>
      </c>
      <c r="G7012" s="11" t="s">
        <v>589</v>
      </c>
      <c r="H7012" s="2" t="s">
        <v>64</v>
      </c>
      <c r="L7012" s="18">
        <v>1</v>
      </c>
      <c r="M7012" s="14" t="s">
        <v>10622</v>
      </c>
      <c r="N7012" s="13">
        <v>43853</v>
      </c>
      <c r="O7012" s="29">
        <v>0</v>
      </c>
      <c r="P7012" s="18" t="s">
        <v>14</v>
      </c>
      <c r="Q7012" s="18">
        <v>0</v>
      </c>
      <c r="U7012" s="22">
        <v>0.78</v>
      </c>
      <c r="V7012" s="22">
        <f>4.02/5</f>
        <v>0.80399999999999994</v>
      </c>
      <c r="X7012" s="3">
        <v>3</v>
      </c>
      <c r="Z7012" s="23">
        <v>4</v>
      </c>
      <c r="AB7012" s="18">
        <f t="shared" si="218"/>
        <v>2003</v>
      </c>
      <c r="AC7012" s="22">
        <f t="shared" si="219"/>
        <v>0.72800000000000009</v>
      </c>
    </row>
    <row r="7013" spans="1:29" ht="30">
      <c r="A7013" s="8" t="s">
        <v>12921</v>
      </c>
      <c r="B7013" s="17" t="s">
        <v>7747</v>
      </c>
      <c r="C7013" s="13">
        <v>37773</v>
      </c>
      <c r="D7013" s="13" t="s">
        <v>8465</v>
      </c>
      <c r="E7013" s="10" t="s">
        <v>455</v>
      </c>
      <c r="F7013" s="10" t="s">
        <v>1492</v>
      </c>
      <c r="G7013" s="11" t="s">
        <v>1688</v>
      </c>
      <c r="H7013" s="2" t="s">
        <v>1383</v>
      </c>
      <c r="L7013" s="18">
        <v>0</v>
      </c>
      <c r="Q7013" s="18">
        <v>0</v>
      </c>
      <c r="U7013" s="22">
        <v>0.77</v>
      </c>
      <c r="V7013" s="22">
        <f>3.32/5</f>
        <v>0.66399999999999992</v>
      </c>
      <c r="X7013" s="3">
        <v>2</v>
      </c>
      <c r="Z7013" s="23">
        <v>2.5</v>
      </c>
      <c r="AB7013" s="18">
        <f t="shared" si="218"/>
        <v>2003</v>
      </c>
      <c r="AC7013" s="22">
        <f t="shared" si="219"/>
        <v>0.6113333333333334</v>
      </c>
    </row>
    <row r="7014" spans="1:29" ht="30">
      <c r="A7014" s="8" t="s">
        <v>2010</v>
      </c>
      <c r="B7014" s="17" t="s">
        <v>7747</v>
      </c>
      <c r="C7014" s="13">
        <v>37770</v>
      </c>
      <c r="D7014" s="13" t="s">
        <v>8465</v>
      </c>
      <c r="E7014" s="10" t="s">
        <v>1551</v>
      </c>
      <c r="F7014" s="10" t="s">
        <v>1733</v>
      </c>
      <c r="G7014" s="11" t="s">
        <v>1902</v>
      </c>
      <c r="H7014" s="2" t="s">
        <v>21</v>
      </c>
      <c r="L7014" s="18">
        <v>0</v>
      </c>
      <c r="Q7014" s="18">
        <v>0</v>
      </c>
      <c r="U7014" s="22">
        <v>0.8</v>
      </c>
      <c r="V7014" s="22">
        <f>4.01/5</f>
        <v>0.80199999999999994</v>
      </c>
      <c r="X7014" s="3">
        <v>3</v>
      </c>
      <c r="Z7014" s="23">
        <v>1.5</v>
      </c>
      <c r="AB7014" s="18">
        <f t="shared" si="218"/>
        <v>2003</v>
      </c>
      <c r="AC7014" s="22">
        <f t="shared" si="219"/>
        <v>0.73399999999999999</v>
      </c>
    </row>
    <row r="7015" spans="1:29">
      <c r="A7015" s="8" t="s">
        <v>9321</v>
      </c>
      <c r="B7015" s="17" t="s">
        <v>7764</v>
      </c>
      <c r="C7015" s="13">
        <v>37768</v>
      </c>
      <c r="D7015" s="13" t="s">
        <v>8465</v>
      </c>
      <c r="E7015" s="10" t="s">
        <v>3740</v>
      </c>
      <c r="F7015" s="10" t="s">
        <v>7242</v>
      </c>
      <c r="H7015" s="2" t="s">
        <v>1168</v>
      </c>
      <c r="L7015" s="18">
        <v>0</v>
      </c>
      <c r="Q7015" s="18">
        <v>0</v>
      </c>
      <c r="U7015" s="22">
        <v>0.77</v>
      </c>
      <c r="V7015" s="22">
        <f>3.39/5</f>
        <v>0.67800000000000005</v>
      </c>
      <c r="X7015" s="3">
        <v>2</v>
      </c>
      <c r="Y7015" s="18">
        <v>1</v>
      </c>
      <c r="Z7015" s="23">
        <v>7</v>
      </c>
      <c r="AB7015" s="18">
        <f t="shared" si="218"/>
        <v>2003</v>
      </c>
      <c r="AC7015" s="22">
        <f t="shared" si="219"/>
        <v>0.61599999999999999</v>
      </c>
    </row>
    <row r="7016" spans="1:29" ht="25.5">
      <c r="A7016" s="8" t="s">
        <v>10686</v>
      </c>
      <c r="B7016" s="17" t="s">
        <v>7758</v>
      </c>
      <c r="C7016" s="13">
        <v>37761</v>
      </c>
      <c r="D7016" s="13" t="s">
        <v>8465</v>
      </c>
      <c r="E7016" s="10" t="s">
        <v>1342</v>
      </c>
      <c r="F7016" s="10" t="s">
        <v>10687</v>
      </c>
      <c r="G7016" s="11" t="s">
        <v>10685</v>
      </c>
      <c r="H7016" s="2" t="s">
        <v>1059</v>
      </c>
      <c r="L7016" s="18">
        <v>0</v>
      </c>
      <c r="Q7016" s="18">
        <v>0</v>
      </c>
      <c r="U7016" s="22">
        <v>0.55000000000000004</v>
      </c>
      <c r="V7016" s="22">
        <f>3.39/5</f>
        <v>0.67800000000000005</v>
      </c>
      <c r="X7016" s="3">
        <v>2</v>
      </c>
      <c r="Z7016" s="23">
        <v>6</v>
      </c>
      <c r="AB7016" s="18">
        <f t="shared" si="218"/>
        <v>2003</v>
      </c>
      <c r="AC7016" s="22">
        <f t="shared" si="219"/>
        <v>0.54266666666666674</v>
      </c>
    </row>
    <row r="7017" spans="1:29">
      <c r="A7017" s="8" t="s">
        <v>8135</v>
      </c>
      <c r="B7017" s="17" t="s">
        <v>7758</v>
      </c>
      <c r="C7017" s="13">
        <v>37755</v>
      </c>
      <c r="D7017" s="13" t="s">
        <v>8465</v>
      </c>
      <c r="E7017" s="10" t="s">
        <v>60</v>
      </c>
      <c r="F7017" s="10" t="s">
        <v>1332</v>
      </c>
      <c r="G7017" s="11" t="s">
        <v>8136</v>
      </c>
      <c r="H7017" s="2" t="s">
        <v>80</v>
      </c>
      <c r="L7017" s="18">
        <v>0</v>
      </c>
      <c r="Q7017" s="18">
        <v>0</v>
      </c>
      <c r="U7017" s="22">
        <v>0.68700000000000006</v>
      </c>
      <c r="V7017" s="22">
        <f>3.07/5</f>
        <v>0.61399999999999999</v>
      </c>
      <c r="X7017" s="3">
        <v>3</v>
      </c>
      <c r="Z7017" s="23">
        <v>7</v>
      </c>
      <c r="AB7017" s="18">
        <f t="shared" si="218"/>
        <v>2003</v>
      </c>
      <c r="AC7017" s="22">
        <f t="shared" si="219"/>
        <v>0.63366666666666671</v>
      </c>
    </row>
    <row r="7018" spans="1:29" ht="30">
      <c r="A7018" s="8" t="s">
        <v>7365</v>
      </c>
      <c r="B7018" s="17" t="s">
        <v>7740</v>
      </c>
      <c r="C7018" s="13">
        <v>37754</v>
      </c>
      <c r="D7018" s="13" t="s">
        <v>8465</v>
      </c>
      <c r="E7018" s="10" t="s">
        <v>1273</v>
      </c>
      <c r="F7018" s="10" t="s">
        <v>1580</v>
      </c>
      <c r="G7018" s="11" t="s">
        <v>7364</v>
      </c>
      <c r="H7018" s="2" t="s">
        <v>171</v>
      </c>
      <c r="L7018" s="18">
        <v>0</v>
      </c>
      <c r="Q7018" s="18">
        <v>0</v>
      </c>
      <c r="U7018" s="22">
        <v>0.7</v>
      </c>
      <c r="V7018" s="22">
        <f>3.96/5</f>
        <v>0.79200000000000004</v>
      </c>
      <c r="X7018" s="3">
        <v>3</v>
      </c>
      <c r="Z7018" s="23">
        <v>9.5</v>
      </c>
      <c r="AB7018" s="18">
        <f t="shared" si="218"/>
        <v>2003</v>
      </c>
      <c r="AC7018" s="22">
        <f t="shared" si="219"/>
        <v>0.69733333333333336</v>
      </c>
    </row>
    <row r="7019" spans="1:29" ht="25.5">
      <c r="A7019" s="8" t="s">
        <v>4023</v>
      </c>
      <c r="B7019" s="17" t="s">
        <v>7800</v>
      </c>
      <c r="C7019" s="13">
        <v>37753</v>
      </c>
      <c r="D7019" s="13" t="s">
        <v>8465</v>
      </c>
      <c r="E7019" s="10" t="s">
        <v>1618</v>
      </c>
      <c r="F7019" s="10" t="s">
        <v>4019</v>
      </c>
      <c r="G7019" s="11" t="s">
        <v>2306</v>
      </c>
      <c r="H7019" s="2" t="s">
        <v>80</v>
      </c>
      <c r="L7019" s="18">
        <v>1</v>
      </c>
      <c r="N7019" s="13">
        <v>41107</v>
      </c>
      <c r="O7019" s="29">
        <v>2.08</v>
      </c>
      <c r="P7019" s="18" t="s">
        <v>1107</v>
      </c>
      <c r="Q7019" s="18">
        <v>0</v>
      </c>
      <c r="U7019" s="22">
        <v>0.94</v>
      </c>
      <c r="V7019" s="22">
        <f>4.18/5</f>
        <v>0.83599999999999997</v>
      </c>
      <c r="W7019" s="14" t="s">
        <v>7777</v>
      </c>
      <c r="X7019" s="3">
        <v>4</v>
      </c>
      <c r="Z7019" s="23">
        <v>20</v>
      </c>
      <c r="AB7019" s="18">
        <f t="shared" si="218"/>
        <v>2003</v>
      </c>
      <c r="AC7019" s="22">
        <f t="shared" si="219"/>
        <v>0.85866666666666658</v>
      </c>
    </row>
    <row r="7020" spans="1:29">
      <c r="A7020" s="8" t="s">
        <v>11157</v>
      </c>
      <c r="B7020" s="17" t="s">
        <v>7758</v>
      </c>
      <c r="C7020" s="13">
        <v>37747</v>
      </c>
      <c r="D7020" s="13" t="s">
        <v>8465</v>
      </c>
      <c r="E7020" s="10" t="s">
        <v>157</v>
      </c>
      <c r="F7020" s="10" t="s">
        <v>2314</v>
      </c>
      <c r="G7020" s="11" t="s">
        <v>8682</v>
      </c>
      <c r="H7020" s="2" t="s">
        <v>171</v>
      </c>
      <c r="L7020" s="18">
        <v>0</v>
      </c>
      <c r="Q7020" s="18">
        <v>0</v>
      </c>
      <c r="U7020" s="22">
        <v>0.76</v>
      </c>
      <c r="V7020" s="22">
        <f>3.88/5</f>
        <v>0.77600000000000002</v>
      </c>
      <c r="X7020" s="3">
        <v>3</v>
      </c>
      <c r="Z7020" s="23">
        <v>15.5</v>
      </c>
      <c r="AB7020" s="18">
        <f t="shared" si="218"/>
        <v>2003</v>
      </c>
      <c r="AC7020" s="22">
        <f t="shared" si="219"/>
        <v>0.71200000000000008</v>
      </c>
    </row>
    <row r="7021" spans="1:29" ht="30">
      <c r="A7021" s="8" t="s">
        <v>1992</v>
      </c>
      <c r="B7021" s="17" t="s">
        <v>7747</v>
      </c>
      <c r="C7021" s="13">
        <v>37747</v>
      </c>
      <c r="D7021" s="13" t="s">
        <v>8465</v>
      </c>
      <c r="E7021" s="10" t="s">
        <v>228</v>
      </c>
      <c r="F7021" s="10" t="s">
        <v>1365</v>
      </c>
      <c r="G7021" s="11" t="s">
        <v>1270</v>
      </c>
      <c r="H7021" s="2" t="s">
        <v>149</v>
      </c>
      <c r="L7021" s="18">
        <v>0</v>
      </c>
      <c r="Q7021" s="18">
        <v>0</v>
      </c>
      <c r="U7021" s="22">
        <v>0.71</v>
      </c>
      <c r="V7021" s="22">
        <f>3.34/5</f>
        <v>0.66799999999999993</v>
      </c>
      <c r="X7021" s="3">
        <v>3</v>
      </c>
      <c r="Z7021" s="23">
        <v>41.5</v>
      </c>
      <c r="AB7021" s="18">
        <f t="shared" si="218"/>
        <v>2003</v>
      </c>
      <c r="AC7021" s="22">
        <f t="shared" si="219"/>
        <v>0.65933333333333322</v>
      </c>
    </row>
    <row r="7022" spans="1:29">
      <c r="A7022" s="8" t="s">
        <v>14672</v>
      </c>
      <c r="B7022" s="17" t="s">
        <v>7764</v>
      </c>
      <c r="C7022" s="13">
        <v>37746</v>
      </c>
      <c r="D7022" s="13" t="s">
        <v>8465</v>
      </c>
      <c r="E7022" s="10" t="s">
        <v>1947</v>
      </c>
      <c r="F7022" s="10" t="s">
        <v>14673</v>
      </c>
      <c r="H7022" s="2" t="s">
        <v>459</v>
      </c>
      <c r="L7022" s="18">
        <v>0</v>
      </c>
      <c r="Q7022" s="18">
        <v>0</v>
      </c>
      <c r="U7022" s="22">
        <v>0.26</v>
      </c>
      <c r="V7022" s="22">
        <f>1.05/5</f>
        <v>0.21000000000000002</v>
      </c>
      <c r="X7022" s="3">
        <v>2</v>
      </c>
      <c r="AB7022" s="18">
        <f t="shared" si="218"/>
        <v>2003</v>
      </c>
      <c r="AC7022" s="22">
        <f t="shared" si="219"/>
        <v>0.29000000000000004</v>
      </c>
    </row>
    <row r="7023" spans="1:29" ht="30">
      <c r="A7023" s="8" t="s">
        <v>7457</v>
      </c>
      <c r="B7023" s="17" t="s">
        <v>7747</v>
      </c>
      <c r="C7023" s="13">
        <v>37738</v>
      </c>
      <c r="D7023" s="13" t="s">
        <v>8465</v>
      </c>
      <c r="E7023" s="10" t="s">
        <v>1047</v>
      </c>
      <c r="F7023" s="10" t="s">
        <v>7461</v>
      </c>
      <c r="G7023" s="11" t="s">
        <v>5430</v>
      </c>
      <c r="H7023" s="2" t="s">
        <v>245</v>
      </c>
      <c r="L7023" s="18">
        <v>0</v>
      </c>
      <c r="Q7023" s="18">
        <v>0</v>
      </c>
      <c r="U7023" s="22">
        <v>0.77</v>
      </c>
      <c r="V7023" s="22">
        <f>3.69/5</f>
        <v>0.73799999999999999</v>
      </c>
      <c r="X7023" s="3">
        <v>2</v>
      </c>
      <c r="Z7023" s="23">
        <v>12.5</v>
      </c>
      <c r="AB7023" s="18">
        <f t="shared" si="218"/>
        <v>2003</v>
      </c>
      <c r="AC7023" s="22">
        <f t="shared" si="219"/>
        <v>0.63600000000000001</v>
      </c>
    </row>
    <row r="7024" spans="1:29" ht="30">
      <c r="A7024" s="8" t="s">
        <v>9235</v>
      </c>
      <c r="B7024" s="17" t="s">
        <v>7740</v>
      </c>
      <c r="C7024" s="13">
        <v>37736</v>
      </c>
      <c r="D7024" s="13" t="s">
        <v>8463</v>
      </c>
      <c r="E7024" s="10" t="s">
        <v>86</v>
      </c>
      <c r="F7024" s="10" t="s">
        <v>1493</v>
      </c>
      <c r="H7024" s="2" t="s">
        <v>67</v>
      </c>
      <c r="K7024" s="18">
        <v>1</v>
      </c>
      <c r="L7024" s="18">
        <v>0</v>
      </c>
      <c r="Q7024" s="18">
        <v>0</v>
      </c>
      <c r="V7024" s="22">
        <f>3.95/5</f>
        <v>0.79</v>
      </c>
      <c r="X7024" s="3">
        <v>3</v>
      </c>
      <c r="AB7024" s="18">
        <f t="shared" si="218"/>
        <v>2003</v>
      </c>
      <c r="AC7024" s="22">
        <f t="shared" si="219"/>
        <v>0.69500000000000006</v>
      </c>
    </row>
    <row r="7025" spans="1:29">
      <c r="A7025" s="8" t="s">
        <v>10990</v>
      </c>
      <c r="B7025" s="17" t="s">
        <v>6317</v>
      </c>
      <c r="C7025" s="13">
        <v>37736</v>
      </c>
      <c r="D7025" s="13" t="s">
        <v>8463</v>
      </c>
      <c r="E7025" s="10" t="s">
        <v>10991</v>
      </c>
      <c r="F7025" s="10" t="s">
        <v>10991</v>
      </c>
      <c r="H7025" s="2" t="s">
        <v>21</v>
      </c>
      <c r="K7025" s="18">
        <v>0</v>
      </c>
      <c r="L7025" s="18">
        <v>0</v>
      </c>
      <c r="Q7025" s="18">
        <v>0</v>
      </c>
      <c r="V7025" s="22">
        <f>3/5</f>
        <v>0.6</v>
      </c>
      <c r="X7025" s="3">
        <v>3</v>
      </c>
      <c r="Z7025" s="23">
        <f>50/60</f>
        <v>0.83333333333333337</v>
      </c>
      <c r="AB7025" s="18">
        <f t="shared" si="218"/>
        <v>2003</v>
      </c>
      <c r="AC7025" s="22">
        <f t="shared" si="219"/>
        <v>0.6</v>
      </c>
    </row>
    <row r="7026" spans="1:29" ht="30">
      <c r="A7026" s="8" t="s">
        <v>12842</v>
      </c>
      <c r="B7026" s="17" t="s">
        <v>7740</v>
      </c>
      <c r="C7026" s="13">
        <v>37728</v>
      </c>
      <c r="D7026" s="13" t="s">
        <v>8465</v>
      </c>
      <c r="E7026" s="10" t="s">
        <v>1456</v>
      </c>
      <c r="F7026" s="10" t="s">
        <v>1159</v>
      </c>
      <c r="H7026" s="2" t="s">
        <v>150</v>
      </c>
      <c r="L7026" s="18">
        <v>0</v>
      </c>
      <c r="Q7026" s="18">
        <v>0</v>
      </c>
      <c r="U7026" s="22">
        <v>0.62</v>
      </c>
      <c r="V7026" s="22">
        <f>3.72/5</f>
        <v>0.74399999999999999</v>
      </c>
      <c r="X7026" s="3">
        <v>2</v>
      </c>
      <c r="Z7026" s="23">
        <v>6</v>
      </c>
      <c r="AB7026" s="18">
        <f t="shared" si="218"/>
        <v>2003</v>
      </c>
      <c r="AC7026" s="22">
        <f t="shared" si="219"/>
        <v>0.58799999999999997</v>
      </c>
    </row>
    <row r="7027" spans="1:29" ht="30">
      <c r="A7027" s="8" t="s">
        <v>2053</v>
      </c>
      <c r="B7027" s="17" t="s">
        <v>7747</v>
      </c>
      <c r="C7027" s="13">
        <v>37725</v>
      </c>
      <c r="D7027" s="13" t="s">
        <v>8465</v>
      </c>
      <c r="E7027" s="10" t="s">
        <v>86</v>
      </c>
      <c r="F7027" s="10" t="s">
        <v>1160</v>
      </c>
      <c r="G7027" s="11" t="s">
        <v>1982</v>
      </c>
      <c r="H7027" s="2" t="s">
        <v>149</v>
      </c>
      <c r="L7027" s="18">
        <v>0</v>
      </c>
      <c r="Q7027" s="18">
        <v>0</v>
      </c>
      <c r="U7027" s="22">
        <v>0.87</v>
      </c>
      <c r="V7027" s="22">
        <f>4.43/5</f>
        <v>0.8859999999999999</v>
      </c>
      <c r="X7027" s="3">
        <v>4</v>
      </c>
      <c r="Z7027" s="23">
        <v>32</v>
      </c>
      <c r="AB7027" s="18">
        <f t="shared" si="218"/>
        <v>2003</v>
      </c>
      <c r="AC7027" s="22">
        <f t="shared" si="219"/>
        <v>0.85199999999999998</v>
      </c>
    </row>
    <row r="7028" spans="1:29">
      <c r="A7028" s="8" t="s">
        <v>8199</v>
      </c>
      <c r="B7028" s="17" t="s">
        <v>7758</v>
      </c>
      <c r="C7028" s="13">
        <v>37720</v>
      </c>
      <c r="D7028" s="13" t="s">
        <v>8465</v>
      </c>
      <c r="E7028" s="10" t="s">
        <v>1618</v>
      </c>
      <c r="F7028" s="10" t="s">
        <v>5883</v>
      </c>
      <c r="G7028" s="11" t="s">
        <v>8198</v>
      </c>
      <c r="H7028" s="2" t="s">
        <v>150</v>
      </c>
      <c r="L7028" s="18">
        <v>0</v>
      </c>
      <c r="Q7028" s="18">
        <v>0</v>
      </c>
      <c r="U7028" s="22">
        <v>0.85850000000000004</v>
      </c>
      <c r="V7028" s="22">
        <f>3.72/5</f>
        <v>0.74399999999999999</v>
      </c>
      <c r="X7028" s="3">
        <v>3</v>
      </c>
      <c r="Z7028" s="23">
        <v>13</v>
      </c>
      <c r="AB7028" s="18">
        <f t="shared" si="218"/>
        <v>2003</v>
      </c>
      <c r="AC7028" s="22">
        <f t="shared" si="219"/>
        <v>0.73416666666666675</v>
      </c>
    </row>
    <row r="7029" spans="1:29" ht="30">
      <c r="A7029" s="8" t="s">
        <v>11553</v>
      </c>
      <c r="B7029" s="17" t="s">
        <v>7747</v>
      </c>
      <c r="C7029" s="13">
        <v>37720</v>
      </c>
      <c r="D7029" s="13" t="s">
        <v>8465</v>
      </c>
      <c r="E7029" s="10" t="s">
        <v>1342</v>
      </c>
      <c r="F7029" s="10" t="s">
        <v>11554</v>
      </c>
      <c r="G7029" s="11" t="s">
        <v>2762</v>
      </c>
      <c r="H7029" s="2" t="s">
        <v>150</v>
      </c>
      <c r="L7029" s="18">
        <v>0</v>
      </c>
      <c r="Q7029" s="18">
        <v>0</v>
      </c>
      <c r="U7029" s="22">
        <v>0.48</v>
      </c>
      <c r="V7029" s="22">
        <f>2.73/5</f>
        <v>0.54600000000000004</v>
      </c>
      <c r="X7029" s="3">
        <v>2</v>
      </c>
      <c r="AB7029" s="18">
        <f t="shared" si="218"/>
        <v>2003</v>
      </c>
      <c r="AC7029" s="22">
        <f t="shared" si="219"/>
        <v>0.47533333333333339</v>
      </c>
    </row>
    <row r="7030" spans="1:29" ht="25.5">
      <c r="A7030" s="8" t="s">
        <v>7457</v>
      </c>
      <c r="B7030" s="17" t="s">
        <v>7758</v>
      </c>
      <c r="C7030" s="13">
        <v>37719</v>
      </c>
      <c r="D7030" s="13" t="s">
        <v>8465</v>
      </c>
      <c r="E7030" s="10" t="s">
        <v>1047</v>
      </c>
      <c r="F7030" s="10" t="s">
        <v>7444</v>
      </c>
      <c r="G7030" s="11" t="s">
        <v>5430</v>
      </c>
      <c r="H7030" s="2" t="s">
        <v>245</v>
      </c>
      <c r="L7030" s="18">
        <v>0</v>
      </c>
      <c r="Q7030" s="18">
        <v>0</v>
      </c>
      <c r="U7030" s="22">
        <v>0.88</v>
      </c>
      <c r="V7030" s="22">
        <f>3.82/5</f>
        <v>0.76400000000000001</v>
      </c>
      <c r="X7030" s="3">
        <v>3</v>
      </c>
      <c r="Z7030" s="23">
        <v>12.5</v>
      </c>
      <c r="AB7030" s="18">
        <f t="shared" si="218"/>
        <v>2003</v>
      </c>
      <c r="AC7030" s="22">
        <f t="shared" si="219"/>
        <v>0.74800000000000011</v>
      </c>
    </row>
    <row r="7031" spans="1:29" ht="30">
      <c r="A7031" s="8" t="s">
        <v>13272</v>
      </c>
      <c r="B7031" s="17" t="s">
        <v>7747</v>
      </c>
      <c r="C7031" s="13">
        <v>37719</v>
      </c>
      <c r="D7031" s="13" t="s">
        <v>8465</v>
      </c>
      <c r="E7031" s="10" t="s">
        <v>86</v>
      </c>
      <c r="F7031" s="10" t="s">
        <v>13270</v>
      </c>
      <c r="G7031" s="11" t="s">
        <v>13271</v>
      </c>
      <c r="H7031" s="2" t="s">
        <v>67</v>
      </c>
      <c r="L7031" s="18">
        <v>0</v>
      </c>
      <c r="Q7031" s="18">
        <v>0</v>
      </c>
      <c r="U7031" s="22">
        <v>0.72</v>
      </c>
      <c r="V7031" s="22">
        <f>3.93/5</f>
        <v>0.78600000000000003</v>
      </c>
      <c r="X7031" s="3">
        <v>2</v>
      </c>
      <c r="Z7031" s="23">
        <v>8.5</v>
      </c>
      <c r="AB7031" s="18">
        <f t="shared" si="218"/>
        <v>2003</v>
      </c>
      <c r="AC7031" s="22">
        <f t="shared" si="219"/>
        <v>0.63533333333333342</v>
      </c>
    </row>
    <row r="7032" spans="1:29">
      <c r="A7032" s="8" t="s">
        <v>8126</v>
      </c>
      <c r="B7032" s="17" t="s">
        <v>7758</v>
      </c>
      <c r="C7032" s="13">
        <v>37712</v>
      </c>
      <c r="D7032" s="13" t="s">
        <v>8465</v>
      </c>
      <c r="E7032" s="10" t="s">
        <v>6732</v>
      </c>
      <c r="F7032" s="10" t="s">
        <v>8124</v>
      </c>
      <c r="G7032" s="11" t="s">
        <v>8125</v>
      </c>
      <c r="H7032" s="2" t="s">
        <v>459</v>
      </c>
      <c r="L7032" s="18">
        <v>0</v>
      </c>
      <c r="Q7032" s="18">
        <v>0</v>
      </c>
      <c r="U7032" s="22">
        <v>0.8054</v>
      </c>
      <c r="V7032" s="22">
        <f>3.52/5</f>
        <v>0.70399999999999996</v>
      </c>
      <c r="X7032" s="3">
        <v>3</v>
      </c>
      <c r="Z7032" s="23">
        <v>8.5</v>
      </c>
      <c r="AB7032" s="18">
        <f t="shared" si="218"/>
        <v>2003</v>
      </c>
      <c r="AC7032" s="22">
        <f t="shared" si="219"/>
        <v>0.70313333333333328</v>
      </c>
    </row>
    <row r="7033" spans="1:29" ht="30">
      <c r="A7033" s="8" t="s">
        <v>9085</v>
      </c>
      <c r="B7033" s="17" t="s">
        <v>7747</v>
      </c>
      <c r="C7033" s="13">
        <v>37711</v>
      </c>
      <c r="D7033" s="13" t="s">
        <v>8465</v>
      </c>
      <c r="E7033" s="10" t="s">
        <v>66</v>
      </c>
      <c r="F7033" s="10" t="s">
        <v>66</v>
      </c>
      <c r="G7033" s="11" t="s">
        <v>9086</v>
      </c>
      <c r="H7033" s="2" t="s">
        <v>149</v>
      </c>
      <c r="L7033" s="18">
        <v>0</v>
      </c>
      <c r="Q7033" s="18">
        <v>0</v>
      </c>
      <c r="V7033" s="22">
        <f>3.9/5</f>
        <v>0.78</v>
      </c>
      <c r="X7033" s="3">
        <v>3</v>
      </c>
      <c r="Z7033" s="23">
        <v>45</v>
      </c>
      <c r="AB7033" s="18">
        <f t="shared" si="218"/>
        <v>2003</v>
      </c>
      <c r="AC7033" s="22">
        <f t="shared" si="219"/>
        <v>0.69</v>
      </c>
    </row>
    <row r="7034" spans="1:29" ht="30">
      <c r="A7034" s="8" t="s">
        <v>8056</v>
      </c>
      <c r="B7034" s="17" t="s">
        <v>7740</v>
      </c>
      <c r="C7034" s="13">
        <v>37710</v>
      </c>
      <c r="D7034" s="13" t="s">
        <v>8463</v>
      </c>
      <c r="E7034" s="10" t="s">
        <v>157</v>
      </c>
      <c r="F7034" s="10" t="s">
        <v>1474</v>
      </c>
      <c r="G7034" s="11" t="s">
        <v>8097</v>
      </c>
      <c r="H7034" s="2" t="s">
        <v>1168</v>
      </c>
      <c r="K7034" s="18">
        <v>0</v>
      </c>
      <c r="L7034" s="18">
        <v>0</v>
      </c>
      <c r="Q7034" s="18">
        <v>0</v>
      </c>
      <c r="V7034" s="22">
        <f>3.04/5</f>
        <v>0.60799999999999998</v>
      </c>
      <c r="X7034" s="3">
        <v>2</v>
      </c>
      <c r="AB7034" s="18">
        <f t="shared" si="218"/>
        <v>2003</v>
      </c>
      <c r="AC7034" s="22">
        <f t="shared" si="219"/>
        <v>0.504</v>
      </c>
    </row>
    <row r="7035" spans="1:29" ht="38.25">
      <c r="A7035" s="8" t="s">
        <v>2006</v>
      </c>
      <c r="B7035" s="17" t="s">
        <v>7747</v>
      </c>
      <c r="C7035" s="13">
        <v>37709</v>
      </c>
      <c r="D7035" s="13" t="s">
        <v>8463</v>
      </c>
      <c r="E7035" s="10" t="s">
        <v>257</v>
      </c>
      <c r="F7035" s="10" t="s">
        <v>58</v>
      </c>
      <c r="G7035" s="11" t="s">
        <v>140</v>
      </c>
      <c r="H7035" s="2" t="s">
        <v>149</v>
      </c>
      <c r="K7035" s="18">
        <v>2</v>
      </c>
      <c r="L7035" s="18">
        <v>0</v>
      </c>
      <c r="Q7035" s="18">
        <v>0</v>
      </c>
      <c r="V7035" s="22">
        <f>3.77/5</f>
        <v>0.754</v>
      </c>
      <c r="X7035" s="3">
        <v>3</v>
      </c>
      <c r="Z7035" s="23">
        <v>29.5</v>
      </c>
      <c r="AB7035" s="18">
        <f t="shared" si="218"/>
        <v>2003</v>
      </c>
      <c r="AC7035" s="22">
        <f t="shared" si="219"/>
        <v>0.67700000000000005</v>
      </c>
    </row>
    <row r="7036" spans="1:29" ht="30">
      <c r="A7036" s="8" t="s">
        <v>12245</v>
      </c>
      <c r="B7036" s="17" t="s">
        <v>7740</v>
      </c>
      <c r="C7036" s="13">
        <v>37708</v>
      </c>
      <c r="D7036" s="13" t="s">
        <v>8463</v>
      </c>
      <c r="E7036" s="10" t="s">
        <v>157</v>
      </c>
      <c r="F7036" s="10" t="s">
        <v>12246</v>
      </c>
      <c r="G7036" s="11" t="s">
        <v>12239</v>
      </c>
      <c r="H7036" s="2" t="s">
        <v>1040</v>
      </c>
      <c r="K7036" s="18">
        <v>0</v>
      </c>
      <c r="L7036" s="18">
        <v>0</v>
      </c>
      <c r="Q7036" s="18">
        <v>0</v>
      </c>
      <c r="V7036" s="22">
        <f>3.75/5</f>
        <v>0.75</v>
      </c>
      <c r="X7036" s="3">
        <v>2</v>
      </c>
      <c r="AB7036" s="18">
        <f t="shared" si="218"/>
        <v>2003</v>
      </c>
      <c r="AC7036" s="22">
        <f t="shared" si="219"/>
        <v>0.57499999999999996</v>
      </c>
    </row>
    <row r="7037" spans="1:29">
      <c r="A7037" s="8" t="s">
        <v>2925</v>
      </c>
      <c r="B7037" s="17" t="s">
        <v>7757</v>
      </c>
      <c r="C7037" s="13">
        <v>37707</v>
      </c>
      <c r="D7037" s="13" t="s">
        <v>8463</v>
      </c>
      <c r="E7037" s="10" t="s">
        <v>463</v>
      </c>
      <c r="F7037" s="10" t="s">
        <v>463</v>
      </c>
      <c r="G7037" s="11" t="s">
        <v>443</v>
      </c>
      <c r="H7037" s="2" t="s">
        <v>21</v>
      </c>
      <c r="K7037" s="18">
        <v>0</v>
      </c>
      <c r="L7037" s="18">
        <v>0</v>
      </c>
      <c r="Q7037" s="18">
        <v>0</v>
      </c>
      <c r="V7037" s="22">
        <f>3.42/5</f>
        <v>0.68399999999999994</v>
      </c>
      <c r="X7037" s="3">
        <v>3</v>
      </c>
      <c r="Z7037" s="23">
        <v>0.63</v>
      </c>
      <c r="AB7037" s="18">
        <f t="shared" si="218"/>
        <v>2003</v>
      </c>
      <c r="AC7037" s="22">
        <f t="shared" si="219"/>
        <v>0.6419999999999999</v>
      </c>
    </row>
    <row r="7038" spans="1:29" ht="38.25">
      <c r="A7038" s="8" t="s">
        <v>15911</v>
      </c>
      <c r="B7038" s="17" t="s">
        <v>7747</v>
      </c>
      <c r="C7038" s="13">
        <v>37706</v>
      </c>
      <c r="D7038" s="13" t="s">
        <v>8465</v>
      </c>
      <c r="E7038" s="10" t="s">
        <v>60</v>
      </c>
      <c r="F7038" s="10" t="s">
        <v>15912</v>
      </c>
      <c r="G7038" s="11" t="s">
        <v>1325</v>
      </c>
      <c r="H7038" s="2" t="s">
        <v>56</v>
      </c>
      <c r="L7038" s="18">
        <v>0</v>
      </c>
      <c r="Q7038" s="18">
        <v>0</v>
      </c>
      <c r="U7038" s="22">
        <v>0.47</v>
      </c>
      <c r="V7038" s="22">
        <f>2.89/5</f>
        <v>0.57800000000000007</v>
      </c>
      <c r="X7038" s="3">
        <v>2</v>
      </c>
      <c r="AB7038" s="18">
        <f t="shared" si="218"/>
        <v>2003</v>
      </c>
      <c r="AC7038" s="22">
        <f t="shared" si="219"/>
        <v>0.48266666666666663</v>
      </c>
    </row>
    <row r="7039" spans="1:29" ht="30">
      <c r="A7039" s="8" t="s">
        <v>14708</v>
      </c>
      <c r="B7039" s="17" t="s">
        <v>7758</v>
      </c>
      <c r="C7039" s="13">
        <v>37705</v>
      </c>
      <c r="D7039" s="13" t="s">
        <v>8465</v>
      </c>
      <c r="E7039" s="10" t="s">
        <v>2908</v>
      </c>
      <c r="F7039" s="10" t="s">
        <v>14709</v>
      </c>
      <c r="H7039" s="2" t="s">
        <v>1220</v>
      </c>
      <c r="L7039" s="18">
        <v>0</v>
      </c>
      <c r="Q7039" s="18">
        <v>0</v>
      </c>
      <c r="U7039" s="22">
        <v>0.86</v>
      </c>
      <c r="V7039" s="22">
        <f>3.87/5</f>
        <v>0.77400000000000002</v>
      </c>
      <c r="X7039" s="3">
        <v>3</v>
      </c>
      <c r="Z7039" s="23">
        <v>6</v>
      </c>
      <c r="AB7039" s="18">
        <f t="shared" si="218"/>
        <v>2003</v>
      </c>
      <c r="AC7039" s="22">
        <f t="shared" si="219"/>
        <v>0.7446666666666667</v>
      </c>
    </row>
    <row r="7040" spans="1:29" ht="30">
      <c r="A7040" s="8" t="s">
        <v>8166</v>
      </c>
      <c r="B7040" s="17" t="s">
        <v>7758</v>
      </c>
      <c r="C7040" s="13">
        <v>37705</v>
      </c>
      <c r="D7040" s="13" t="s">
        <v>8465</v>
      </c>
      <c r="E7040" s="10" t="s">
        <v>2908</v>
      </c>
      <c r="F7040" s="10" t="s">
        <v>8167</v>
      </c>
      <c r="H7040" s="2" t="s">
        <v>80</v>
      </c>
      <c r="L7040" s="18">
        <v>0</v>
      </c>
      <c r="Q7040" s="18">
        <v>0</v>
      </c>
      <c r="U7040" s="22">
        <v>0.7681</v>
      </c>
      <c r="V7040" s="22">
        <f>3.73/5</f>
        <v>0.746</v>
      </c>
      <c r="X7040" s="3">
        <v>3</v>
      </c>
      <c r="Z7040" s="23">
        <v>12.5</v>
      </c>
      <c r="AB7040" s="18">
        <f t="shared" si="218"/>
        <v>2003</v>
      </c>
      <c r="AC7040" s="22">
        <f t="shared" si="219"/>
        <v>0.70469999999999999</v>
      </c>
    </row>
    <row r="7041" spans="1:29">
      <c r="A7041" s="8" t="s">
        <v>7938</v>
      </c>
      <c r="B7041" s="17" t="s">
        <v>7758</v>
      </c>
      <c r="C7041" s="13">
        <v>37705</v>
      </c>
      <c r="D7041" s="13" t="s">
        <v>8465</v>
      </c>
      <c r="E7041" s="10" t="s">
        <v>68</v>
      </c>
      <c r="F7041" s="10" t="s">
        <v>1471</v>
      </c>
      <c r="G7041" s="11" t="s">
        <v>7935</v>
      </c>
      <c r="H7041" s="2" t="s">
        <v>1059</v>
      </c>
      <c r="L7041" s="18">
        <v>0</v>
      </c>
      <c r="Q7041" s="18">
        <v>0</v>
      </c>
      <c r="U7041" s="22">
        <v>0.78700000000000003</v>
      </c>
      <c r="V7041" s="22">
        <f>3.89/5</f>
        <v>0.77800000000000002</v>
      </c>
      <c r="X7041" s="3">
        <v>2</v>
      </c>
      <c r="Z7041" s="23">
        <v>13</v>
      </c>
      <c r="AB7041" s="18">
        <f t="shared" ref="AB7041:AB7104" si="220">IFERROR(YEAR(C7041), "Early Access")</f>
        <v>2003</v>
      </c>
      <c r="AC7041" s="22">
        <f t="shared" ref="AC7041:AC7104" si="221">AVERAGE(T7041, U7041, V7041, IF(ISBLANK(X7041), X7041, X7041/5))</f>
        <v>0.65499999999999992</v>
      </c>
    </row>
    <row r="7042" spans="1:29" ht="30">
      <c r="A7042" s="8" t="s">
        <v>15155</v>
      </c>
      <c r="B7042" s="17" t="s">
        <v>7747</v>
      </c>
      <c r="C7042" s="13">
        <v>37705</v>
      </c>
      <c r="D7042" s="13" t="s">
        <v>8465</v>
      </c>
      <c r="E7042" s="10" t="s">
        <v>7830</v>
      </c>
      <c r="F7042" s="10" t="s">
        <v>15156</v>
      </c>
      <c r="G7042" s="11" t="s">
        <v>10090</v>
      </c>
      <c r="H7042" s="2" t="s">
        <v>151</v>
      </c>
      <c r="L7042" s="18">
        <v>0</v>
      </c>
      <c r="Q7042" s="18">
        <v>0</v>
      </c>
      <c r="U7042" s="22">
        <v>0.63</v>
      </c>
      <c r="V7042" s="22">
        <f>3.02/5</f>
        <v>0.60399999999999998</v>
      </c>
      <c r="X7042" s="3">
        <v>2</v>
      </c>
      <c r="Z7042" s="23">
        <v>2</v>
      </c>
      <c r="AB7042" s="18">
        <f t="shared" si="220"/>
        <v>2003</v>
      </c>
      <c r="AC7042" s="22">
        <f t="shared" si="221"/>
        <v>0.54466666666666663</v>
      </c>
    </row>
    <row r="7043" spans="1:29" ht="30">
      <c r="A7043" s="8" t="s">
        <v>15906</v>
      </c>
      <c r="B7043" s="17" t="s">
        <v>7740</v>
      </c>
      <c r="C7043" s="13">
        <v>37705</v>
      </c>
      <c r="D7043" s="13" t="s">
        <v>8465</v>
      </c>
      <c r="E7043" s="10" t="s">
        <v>60</v>
      </c>
      <c r="F7043" s="10" t="s">
        <v>15907</v>
      </c>
      <c r="G7043" s="11" t="s">
        <v>1325</v>
      </c>
      <c r="H7043" s="2" t="s">
        <v>80</v>
      </c>
      <c r="L7043" s="18">
        <v>0</v>
      </c>
      <c r="Q7043" s="18">
        <v>0</v>
      </c>
      <c r="U7043" s="22">
        <v>0.66</v>
      </c>
      <c r="V7043" s="22">
        <f>3.31/5</f>
        <v>0.66200000000000003</v>
      </c>
      <c r="X7043" s="3">
        <v>2</v>
      </c>
      <c r="Z7043" s="23">
        <v>3</v>
      </c>
      <c r="AB7043" s="18">
        <f t="shared" si="220"/>
        <v>2003</v>
      </c>
      <c r="AC7043" s="22">
        <f t="shared" si="221"/>
        <v>0.57399999999999995</v>
      </c>
    </row>
    <row r="7044" spans="1:29">
      <c r="A7044" s="8" t="s">
        <v>10893</v>
      </c>
      <c r="B7044" s="17" t="s">
        <v>7764</v>
      </c>
      <c r="C7044" s="13">
        <v>37700</v>
      </c>
      <c r="D7044" s="13" t="s">
        <v>8463</v>
      </c>
      <c r="E7044" s="10" t="s">
        <v>1580</v>
      </c>
      <c r="F7044" s="10" t="s">
        <v>1580</v>
      </c>
      <c r="H7044" s="2" t="s">
        <v>1143</v>
      </c>
      <c r="K7044" s="18">
        <v>2</v>
      </c>
      <c r="L7044" s="18">
        <v>0</v>
      </c>
      <c r="Q7044" s="18">
        <v>0</v>
      </c>
      <c r="V7044" s="22">
        <f>4/5</f>
        <v>0.8</v>
      </c>
      <c r="X7044" s="3">
        <v>3</v>
      </c>
      <c r="AB7044" s="18">
        <f t="shared" si="220"/>
        <v>2003</v>
      </c>
      <c r="AC7044" s="22">
        <f t="shared" si="221"/>
        <v>0.7</v>
      </c>
    </row>
    <row r="7045" spans="1:29" ht="30">
      <c r="A7045" s="8" t="s">
        <v>2061</v>
      </c>
      <c r="B7045" s="17" t="s">
        <v>7747</v>
      </c>
      <c r="C7045" s="13">
        <v>37699</v>
      </c>
      <c r="D7045" s="13" t="s">
        <v>8465</v>
      </c>
      <c r="E7045" s="10" t="s">
        <v>86</v>
      </c>
      <c r="F7045" s="10" t="s">
        <v>1354</v>
      </c>
      <c r="G7045" s="11" t="s">
        <v>1470</v>
      </c>
      <c r="H7045" s="2" t="s">
        <v>149</v>
      </c>
      <c r="L7045" s="18">
        <v>0</v>
      </c>
      <c r="Q7045" s="18">
        <v>0</v>
      </c>
      <c r="U7045" s="22">
        <v>0.84</v>
      </c>
      <c r="V7045" s="22">
        <f>4.11/5</f>
        <v>0.82200000000000006</v>
      </c>
      <c r="X7045" s="3">
        <v>3</v>
      </c>
      <c r="Z7045" s="23">
        <v>35.5</v>
      </c>
      <c r="AB7045" s="18">
        <f t="shared" si="220"/>
        <v>2003</v>
      </c>
      <c r="AC7045" s="22">
        <f t="shared" si="221"/>
        <v>0.754</v>
      </c>
    </row>
    <row r="7046" spans="1:29">
      <c r="A7046" s="8" t="s">
        <v>5761</v>
      </c>
      <c r="B7046" s="17" t="s">
        <v>7758</v>
      </c>
      <c r="C7046" s="13">
        <v>37699</v>
      </c>
      <c r="D7046" s="13" t="s">
        <v>8465</v>
      </c>
      <c r="E7046" s="10" t="s">
        <v>5865</v>
      </c>
      <c r="F7046" s="10" t="s">
        <v>1375</v>
      </c>
      <c r="G7046" s="11" t="s">
        <v>1520</v>
      </c>
      <c r="H7046" s="2" t="s">
        <v>21</v>
      </c>
      <c r="L7046" s="18">
        <v>0</v>
      </c>
      <c r="Q7046" s="18">
        <v>0</v>
      </c>
      <c r="U7046" s="22">
        <v>0.56000000000000005</v>
      </c>
      <c r="V7046" s="22">
        <f>3.26/5</f>
        <v>0.65199999999999991</v>
      </c>
      <c r="X7046" s="3">
        <v>3</v>
      </c>
      <c r="Z7046" s="23">
        <v>0.45</v>
      </c>
      <c r="AB7046" s="18">
        <f t="shared" si="220"/>
        <v>2003</v>
      </c>
      <c r="AC7046" s="22">
        <f t="shared" si="221"/>
        <v>0.60399999999999998</v>
      </c>
    </row>
    <row r="7047" spans="1:29" ht="25.5">
      <c r="A7047" s="8" t="s">
        <v>8815</v>
      </c>
      <c r="B7047" s="17" t="s">
        <v>7764</v>
      </c>
      <c r="C7047" s="13">
        <v>37699</v>
      </c>
      <c r="D7047" s="13" t="s">
        <v>8465</v>
      </c>
      <c r="E7047" s="10" t="s">
        <v>1954</v>
      </c>
      <c r="F7047" s="10" t="s">
        <v>8816</v>
      </c>
      <c r="H7047" s="2" t="s">
        <v>75</v>
      </c>
      <c r="L7047" s="18">
        <v>0</v>
      </c>
      <c r="Q7047" s="18">
        <v>0</v>
      </c>
      <c r="U7047" s="22">
        <v>0.44</v>
      </c>
      <c r="V7047" s="22">
        <f>2.75/5</f>
        <v>0.55000000000000004</v>
      </c>
      <c r="X7047" s="3">
        <v>2</v>
      </c>
      <c r="Y7047" s="18">
        <v>1</v>
      </c>
      <c r="Z7047" s="23">
        <v>5.5</v>
      </c>
      <c r="AB7047" s="18">
        <f t="shared" si="220"/>
        <v>2003</v>
      </c>
      <c r="AC7047" s="22">
        <f t="shared" si="221"/>
        <v>0.46333333333333337</v>
      </c>
    </row>
    <row r="7048" spans="1:29">
      <c r="A7048" s="8" t="s">
        <v>5723</v>
      </c>
      <c r="B7048" s="17" t="s">
        <v>7758</v>
      </c>
      <c r="C7048" s="13">
        <v>37698</v>
      </c>
      <c r="D7048" s="13" t="s">
        <v>8465</v>
      </c>
      <c r="E7048" s="10" t="s">
        <v>73</v>
      </c>
      <c r="F7048" s="10" t="s">
        <v>73</v>
      </c>
      <c r="G7048" s="11" t="s">
        <v>810</v>
      </c>
      <c r="H7048" s="2" t="s">
        <v>1061</v>
      </c>
      <c r="L7048" s="18">
        <v>0</v>
      </c>
      <c r="Q7048" s="18">
        <v>0</v>
      </c>
      <c r="U7048" s="22">
        <v>0.7</v>
      </c>
      <c r="V7048" s="22">
        <f>3.53/5</f>
        <v>0.70599999999999996</v>
      </c>
      <c r="X7048" s="3">
        <v>3</v>
      </c>
      <c r="Z7048" s="23">
        <v>5.5</v>
      </c>
      <c r="AB7048" s="18">
        <f t="shared" si="220"/>
        <v>2003</v>
      </c>
      <c r="AC7048" s="22">
        <f t="shared" si="221"/>
        <v>0.66866666666666663</v>
      </c>
    </row>
    <row r="7049" spans="1:29" ht="25.5">
      <c r="A7049" s="8" t="s">
        <v>11493</v>
      </c>
      <c r="B7049" s="17" t="s">
        <v>7764</v>
      </c>
      <c r="C7049" s="13">
        <v>37698</v>
      </c>
      <c r="D7049" s="13" t="s">
        <v>8465</v>
      </c>
      <c r="E7049" s="10" t="s">
        <v>3740</v>
      </c>
      <c r="F7049" s="10" t="s">
        <v>11494</v>
      </c>
      <c r="H7049" s="2" t="s">
        <v>459</v>
      </c>
      <c r="L7049" s="18">
        <v>0</v>
      </c>
      <c r="Q7049" s="18">
        <v>0</v>
      </c>
      <c r="U7049" s="22">
        <v>0.65</v>
      </c>
      <c r="V7049" s="22">
        <f>3.19/5</f>
        <v>0.63800000000000001</v>
      </c>
      <c r="X7049" s="3">
        <v>2</v>
      </c>
      <c r="Y7049" s="18">
        <v>1</v>
      </c>
      <c r="Z7049" s="23">
        <v>6</v>
      </c>
      <c r="AB7049" s="18">
        <f t="shared" si="220"/>
        <v>2003</v>
      </c>
      <c r="AC7049" s="22">
        <f t="shared" si="221"/>
        <v>0.56266666666666676</v>
      </c>
    </row>
    <row r="7050" spans="1:29" ht="30">
      <c r="A7050" s="8" t="s">
        <v>15910</v>
      </c>
      <c r="B7050" s="17" t="s">
        <v>7740</v>
      </c>
      <c r="C7050" s="13">
        <v>37698</v>
      </c>
      <c r="D7050" s="13" t="s">
        <v>8465</v>
      </c>
      <c r="E7050" s="10" t="s">
        <v>59</v>
      </c>
      <c r="F7050" s="10" t="s">
        <v>59</v>
      </c>
      <c r="G7050" s="11" t="s">
        <v>207</v>
      </c>
      <c r="H7050" s="2" t="s">
        <v>80</v>
      </c>
      <c r="L7050" s="18">
        <v>0</v>
      </c>
      <c r="Q7050" s="18">
        <v>0</v>
      </c>
      <c r="U7050" s="22">
        <v>0.28999999999999998</v>
      </c>
      <c r="V7050" s="22">
        <f>1.9/5</f>
        <v>0.38</v>
      </c>
      <c r="X7050" s="3">
        <v>2</v>
      </c>
      <c r="Z7050" s="23">
        <v>6.5</v>
      </c>
      <c r="AB7050" s="18">
        <f t="shared" si="220"/>
        <v>2003</v>
      </c>
      <c r="AC7050" s="22">
        <f t="shared" si="221"/>
        <v>0.35666666666666663</v>
      </c>
    </row>
    <row r="7051" spans="1:29" ht="30">
      <c r="A7051" s="8" t="s">
        <v>2054</v>
      </c>
      <c r="B7051" s="17" t="s">
        <v>7747</v>
      </c>
      <c r="C7051" s="13">
        <v>37691</v>
      </c>
      <c r="D7051" s="13" t="s">
        <v>8465</v>
      </c>
      <c r="E7051" s="10" t="s">
        <v>73</v>
      </c>
      <c r="F7051" s="10" t="s">
        <v>73</v>
      </c>
      <c r="G7051" s="11" t="s">
        <v>89</v>
      </c>
      <c r="H7051" s="2" t="s">
        <v>56</v>
      </c>
      <c r="L7051" s="18">
        <v>0</v>
      </c>
      <c r="Q7051" s="18">
        <v>0</v>
      </c>
      <c r="U7051" s="22">
        <v>0.79</v>
      </c>
      <c r="V7051" s="22">
        <f>3.76/5</f>
        <v>0.752</v>
      </c>
      <c r="X7051" s="3">
        <v>4</v>
      </c>
      <c r="Z7051" s="23">
        <v>6</v>
      </c>
      <c r="AB7051" s="18">
        <f t="shared" si="220"/>
        <v>2003</v>
      </c>
      <c r="AC7051" s="22">
        <f t="shared" si="221"/>
        <v>0.78066666666666673</v>
      </c>
    </row>
    <row r="7052" spans="1:29">
      <c r="A7052" s="8" t="s">
        <v>12567</v>
      </c>
      <c r="B7052" s="17" t="s">
        <v>7800</v>
      </c>
      <c r="C7052" s="13">
        <v>37691</v>
      </c>
      <c r="D7052" s="13" t="s">
        <v>8465</v>
      </c>
      <c r="E7052" s="10" t="s">
        <v>12577</v>
      </c>
      <c r="F7052" s="10" t="s">
        <v>3381</v>
      </c>
      <c r="H7052" s="2" t="s">
        <v>171</v>
      </c>
      <c r="L7052" s="18">
        <v>1</v>
      </c>
      <c r="P7052" s="18" t="s">
        <v>1107</v>
      </c>
      <c r="Q7052" s="18">
        <v>0</v>
      </c>
      <c r="U7052" s="22">
        <v>0.71</v>
      </c>
      <c r="V7052" s="22">
        <f>3.43/5</f>
        <v>0.68600000000000005</v>
      </c>
      <c r="W7052" s="14" t="s">
        <v>7777</v>
      </c>
      <c r="X7052" s="3">
        <v>3</v>
      </c>
      <c r="Z7052" s="23">
        <v>8.5</v>
      </c>
      <c r="AB7052" s="18">
        <f t="shared" si="220"/>
        <v>2003</v>
      </c>
      <c r="AC7052" s="22">
        <f t="shared" si="221"/>
        <v>0.66533333333333333</v>
      </c>
    </row>
    <row r="7053" spans="1:29" ht="25.5">
      <c r="A7053" s="8" t="s">
        <v>5792</v>
      </c>
      <c r="B7053" s="17" t="s">
        <v>7758</v>
      </c>
      <c r="C7053" s="13">
        <v>37690</v>
      </c>
      <c r="D7053" s="13" t="s">
        <v>8465</v>
      </c>
      <c r="E7053" s="10" t="s">
        <v>72</v>
      </c>
      <c r="F7053" s="10" t="s">
        <v>72</v>
      </c>
      <c r="G7053" s="11" t="s">
        <v>1980</v>
      </c>
      <c r="H7053" s="2" t="s">
        <v>1059</v>
      </c>
      <c r="L7053" s="18">
        <v>0</v>
      </c>
      <c r="Q7053" s="18">
        <v>0</v>
      </c>
      <c r="U7053" s="22">
        <v>0.83</v>
      </c>
      <c r="V7053" s="22">
        <f>4.27/5</f>
        <v>0.85399999999999987</v>
      </c>
      <c r="X7053" s="3">
        <v>3</v>
      </c>
      <c r="Z7053" s="23">
        <v>6.5</v>
      </c>
      <c r="AB7053" s="18">
        <f t="shared" si="220"/>
        <v>2003</v>
      </c>
      <c r="AC7053" s="22">
        <f t="shared" si="221"/>
        <v>0.76133333333333331</v>
      </c>
    </row>
    <row r="7054" spans="1:29" ht="30">
      <c r="A7054" s="8" t="s">
        <v>2035</v>
      </c>
      <c r="B7054" s="17" t="s">
        <v>7747</v>
      </c>
      <c r="C7054" s="13">
        <v>37689</v>
      </c>
      <c r="D7054" s="13" t="s">
        <v>8465</v>
      </c>
      <c r="E7054" s="10" t="s">
        <v>1342</v>
      </c>
      <c r="F7054" s="10" t="s">
        <v>1492</v>
      </c>
      <c r="G7054" s="11" t="s">
        <v>1688</v>
      </c>
      <c r="H7054" s="2" t="s">
        <v>64</v>
      </c>
      <c r="L7054" s="18">
        <v>0</v>
      </c>
      <c r="Q7054" s="18">
        <v>0</v>
      </c>
      <c r="U7054" s="22">
        <v>0.86</v>
      </c>
      <c r="V7054" s="22">
        <f>3.71/5</f>
        <v>0.74199999999999999</v>
      </c>
      <c r="X7054" s="3">
        <v>3</v>
      </c>
      <c r="Z7054" s="23">
        <v>3</v>
      </c>
      <c r="AB7054" s="18">
        <f t="shared" si="220"/>
        <v>2003</v>
      </c>
      <c r="AC7054" s="22">
        <f t="shared" si="221"/>
        <v>0.73399999999999999</v>
      </c>
    </row>
    <row r="7055" spans="1:29" ht="30">
      <c r="A7055" s="8" t="s">
        <v>12010</v>
      </c>
      <c r="B7055" s="17" t="s">
        <v>7747</v>
      </c>
      <c r="C7055" s="13">
        <v>37687</v>
      </c>
      <c r="D7055" s="13" t="s">
        <v>8463</v>
      </c>
      <c r="E7055" s="10" t="s">
        <v>158</v>
      </c>
      <c r="F7055" s="10" t="s">
        <v>12011</v>
      </c>
      <c r="G7055" s="11" t="s">
        <v>1422</v>
      </c>
      <c r="H7055" s="2" t="s">
        <v>75</v>
      </c>
      <c r="K7055" s="18">
        <v>0</v>
      </c>
      <c r="L7055" s="18">
        <v>0</v>
      </c>
      <c r="Q7055" s="18">
        <v>0</v>
      </c>
      <c r="V7055" s="22">
        <f>3.57/5</f>
        <v>0.71399999999999997</v>
      </c>
      <c r="X7055" s="3">
        <v>2</v>
      </c>
      <c r="AB7055" s="18">
        <f t="shared" si="220"/>
        <v>2003</v>
      </c>
      <c r="AC7055" s="22">
        <f t="shared" si="221"/>
        <v>0.55699999999999994</v>
      </c>
    </row>
    <row r="7056" spans="1:29">
      <c r="A7056" s="8" t="s">
        <v>7182</v>
      </c>
      <c r="B7056" s="17" t="s">
        <v>7800</v>
      </c>
      <c r="C7056" s="13">
        <v>37684</v>
      </c>
      <c r="D7056" s="13" t="s">
        <v>8465</v>
      </c>
      <c r="E7056" s="10" t="s">
        <v>3116</v>
      </c>
      <c r="F7056" s="10" t="s">
        <v>7242</v>
      </c>
      <c r="H7056" s="2" t="s">
        <v>6563</v>
      </c>
      <c r="L7056" s="18">
        <v>0</v>
      </c>
      <c r="Q7056" s="18">
        <v>0</v>
      </c>
      <c r="U7056" s="22">
        <v>0.84</v>
      </c>
      <c r="V7056" s="22">
        <f>4.24/5</f>
        <v>0.84800000000000009</v>
      </c>
      <c r="X7056" s="3">
        <v>4</v>
      </c>
      <c r="Z7056" s="23">
        <v>16</v>
      </c>
      <c r="AB7056" s="18">
        <f t="shared" si="220"/>
        <v>2003</v>
      </c>
      <c r="AC7056" s="22">
        <f t="shared" si="221"/>
        <v>0.82933333333333348</v>
      </c>
    </row>
    <row r="7057" spans="1:29" ht="30">
      <c r="A7057" s="8" t="s">
        <v>929</v>
      </c>
      <c r="B7057" s="17" t="s">
        <v>7740</v>
      </c>
      <c r="C7057" s="13">
        <v>37684</v>
      </c>
      <c r="D7057" s="13" t="s">
        <v>8465</v>
      </c>
      <c r="E7057" s="10" t="s">
        <v>1047</v>
      </c>
      <c r="F7057" s="10" t="s">
        <v>1047</v>
      </c>
      <c r="G7057" s="11" t="s">
        <v>1477</v>
      </c>
      <c r="H7057" s="2" t="s">
        <v>1040</v>
      </c>
      <c r="L7057" s="18">
        <v>0</v>
      </c>
      <c r="Q7057" s="18">
        <v>0</v>
      </c>
      <c r="U7057" s="22">
        <v>0.78</v>
      </c>
      <c r="V7057" s="22">
        <f>3.96/5</f>
        <v>0.79200000000000004</v>
      </c>
      <c r="X7057" s="3">
        <v>3</v>
      </c>
      <c r="Z7057" s="23">
        <v>9.5</v>
      </c>
      <c r="AB7057" s="18">
        <f t="shared" si="220"/>
        <v>2003</v>
      </c>
      <c r="AC7057" s="22">
        <f t="shared" si="221"/>
        <v>0.72400000000000009</v>
      </c>
    </row>
    <row r="7058" spans="1:29" ht="25.5">
      <c r="A7058" s="8" t="s">
        <v>7923</v>
      </c>
      <c r="B7058" s="17" t="s">
        <v>7764</v>
      </c>
      <c r="C7058" s="13">
        <v>37684</v>
      </c>
      <c r="D7058" s="13" t="s">
        <v>8465</v>
      </c>
      <c r="E7058" s="10" t="s">
        <v>1047</v>
      </c>
      <c r="F7058" s="10" t="s">
        <v>1580</v>
      </c>
      <c r="H7058" s="2" t="s">
        <v>1170</v>
      </c>
      <c r="L7058" s="18">
        <v>0</v>
      </c>
      <c r="Q7058" s="18">
        <v>0</v>
      </c>
      <c r="U7058" s="22">
        <v>0.50490000000000002</v>
      </c>
      <c r="V7058" s="22">
        <f>2.77/5</f>
        <v>0.55400000000000005</v>
      </c>
      <c r="X7058" s="3">
        <v>2</v>
      </c>
      <c r="Y7058" s="18">
        <v>1</v>
      </c>
      <c r="Z7058" s="23">
        <v>4.5</v>
      </c>
      <c r="AB7058" s="18">
        <f t="shared" si="220"/>
        <v>2003</v>
      </c>
      <c r="AC7058" s="22">
        <f t="shared" si="221"/>
        <v>0.48629999999999995</v>
      </c>
    </row>
    <row r="7059" spans="1:29" ht="25.5">
      <c r="A7059" s="8" t="s">
        <v>7430</v>
      </c>
      <c r="B7059" s="17" t="s">
        <v>7758</v>
      </c>
      <c r="C7059" s="13">
        <v>37683</v>
      </c>
      <c r="D7059" s="13" t="s">
        <v>8465</v>
      </c>
      <c r="E7059" s="10" t="s">
        <v>1273</v>
      </c>
      <c r="F7059" s="10" t="s">
        <v>1246</v>
      </c>
      <c r="G7059" s="11" t="s">
        <v>3030</v>
      </c>
      <c r="H7059" s="2" t="s">
        <v>80</v>
      </c>
      <c r="L7059" s="18">
        <v>0</v>
      </c>
      <c r="Q7059" s="18">
        <v>0</v>
      </c>
      <c r="U7059" s="22">
        <v>0.79</v>
      </c>
      <c r="V7059" s="22">
        <f>3.77/5</f>
        <v>0.754</v>
      </c>
      <c r="X7059" s="3">
        <v>3</v>
      </c>
      <c r="Z7059" s="23">
        <v>8.5</v>
      </c>
      <c r="AB7059" s="18">
        <f t="shared" si="220"/>
        <v>2003</v>
      </c>
      <c r="AC7059" s="22">
        <f t="shared" si="221"/>
        <v>0.71466666666666667</v>
      </c>
    </row>
    <row r="7060" spans="1:29">
      <c r="A7060" s="8" t="s">
        <v>12298</v>
      </c>
      <c r="B7060" s="17" t="s">
        <v>6317</v>
      </c>
      <c r="C7060" s="12">
        <v>37681</v>
      </c>
      <c r="D7060" s="13" t="s">
        <v>8465</v>
      </c>
      <c r="E7060" s="10" t="s">
        <v>455</v>
      </c>
      <c r="F7060" s="10" t="s">
        <v>456</v>
      </c>
      <c r="G7060" s="11" t="s">
        <v>12296</v>
      </c>
      <c r="H7060" s="2" t="s">
        <v>1170</v>
      </c>
      <c r="L7060" s="18">
        <v>0</v>
      </c>
      <c r="Q7060" s="18">
        <v>0</v>
      </c>
      <c r="V7060" s="22">
        <f>3.97/5</f>
        <v>0.79400000000000004</v>
      </c>
      <c r="X7060" s="3">
        <v>2</v>
      </c>
      <c r="Z7060" s="23">
        <v>1</v>
      </c>
      <c r="AB7060" s="18">
        <f t="shared" si="220"/>
        <v>2003</v>
      </c>
      <c r="AC7060" s="22">
        <f t="shared" si="221"/>
        <v>0.59699999999999998</v>
      </c>
    </row>
    <row r="7061" spans="1:29" ht="30">
      <c r="A7061" s="8" t="s">
        <v>4734</v>
      </c>
      <c r="B7061" s="17" t="s">
        <v>7800</v>
      </c>
      <c r="C7061" s="13">
        <v>37680</v>
      </c>
      <c r="D7061" s="13" t="s">
        <v>8465</v>
      </c>
      <c r="E7061" s="10" t="s">
        <v>3377</v>
      </c>
      <c r="F7061" s="10" t="s">
        <v>1598</v>
      </c>
      <c r="G7061" s="11" t="s">
        <v>4735</v>
      </c>
      <c r="H7061" s="2" t="s">
        <v>67</v>
      </c>
      <c r="L7061" s="18">
        <v>1</v>
      </c>
      <c r="N7061" s="13">
        <v>41208</v>
      </c>
      <c r="P7061" s="18" t="s">
        <v>1107</v>
      </c>
      <c r="Q7061" s="18">
        <v>0</v>
      </c>
      <c r="U7061" s="22">
        <v>0.72</v>
      </c>
      <c r="V7061" s="22">
        <f>3.29/5</f>
        <v>0.65800000000000003</v>
      </c>
      <c r="W7061" s="14" t="s">
        <v>7777</v>
      </c>
      <c r="X7061" s="3">
        <v>2</v>
      </c>
      <c r="Z7061" s="23">
        <v>6</v>
      </c>
      <c r="AB7061" s="18">
        <f t="shared" si="220"/>
        <v>2003</v>
      </c>
      <c r="AC7061" s="22">
        <f t="shared" si="221"/>
        <v>0.59266666666666667</v>
      </c>
    </row>
    <row r="7062" spans="1:29" ht="25.5">
      <c r="A7062" s="8" t="s">
        <v>6992</v>
      </c>
      <c r="B7062" s="17" t="s">
        <v>7800</v>
      </c>
      <c r="C7062" s="13">
        <v>37677</v>
      </c>
      <c r="D7062" s="13" t="s">
        <v>8465</v>
      </c>
      <c r="E7062" s="10" t="s">
        <v>1195</v>
      </c>
      <c r="F7062" s="10" t="s">
        <v>2659</v>
      </c>
      <c r="G7062" s="11" t="s">
        <v>1864</v>
      </c>
      <c r="H7062" s="2" t="s">
        <v>1720</v>
      </c>
      <c r="L7062" s="18">
        <v>1</v>
      </c>
      <c r="P7062" s="18" t="s">
        <v>1107</v>
      </c>
      <c r="Q7062" s="18">
        <v>0</v>
      </c>
      <c r="U7062" s="22">
        <v>0.61</v>
      </c>
      <c r="V7062" s="22">
        <f>3.54/5</f>
        <v>0.70799999999999996</v>
      </c>
      <c r="W7062" s="14" t="s">
        <v>7798</v>
      </c>
      <c r="X7062" s="3">
        <v>3</v>
      </c>
      <c r="Z7062" s="23">
        <v>34</v>
      </c>
      <c r="AB7062" s="18">
        <f t="shared" si="220"/>
        <v>2003</v>
      </c>
      <c r="AC7062" s="22">
        <f t="shared" si="221"/>
        <v>0.63933333333333342</v>
      </c>
    </row>
    <row r="7063" spans="1:29">
      <c r="A7063" s="8" t="s">
        <v>11944</v>
      </c>
      <c r="B7063" s="17" t="s">
        <v>7758</v>
      </c>
      <c r="C7063" s="13">
        <v>37676</v>
      </c>
      <c r="D7063" s="13" t="s">
        <v>8465</v>
      </c>
      <c r="E7063" s="10" t="s">
        <v>73</v>
      </c>
      <c r="F7063" s="10" t="s">
        <v>1046</v>
      </c>
      <c r="G7063" s="11" t="s">
        <v>11943</v>
      </c>
      <c r="H7063" s="2" t="s">
        <v>80</v>
      </c>
      <c r="L7063" s="18">
        <v>0</v>
      </c>
      <c r="Q7063" s="18">
        <v>0</v>
      </c>
      <c r="U7063" s="22">
        <v>0.59</v>
      </c>
      <c r="V7063" s="22">
        <f>3.85/5</f>
        <v>0.77</v>
      </c>
      <c r="X7063" s="3">
        <v>2</v>
      </c>
      <c r="Z7063" s="23">
        <v>13</v>
      </c>
      <c r="AB7063" s="18">
        <f t="shared" si="220"/>
        <v>2003</v>
      </c>
      <c r="AC7063" s="22">
        <f t="shared" si="221"/>
        <v>0.58666666666666656</v>
      </c>
    </row>
    <row r="7064" spans="1:29" ht="38.25">
      <c r="A7064" s="8" t="s">
        <v>933</v>
      </c>
      <c r="B7064" s="17" t="s">
        <v>7740</v>
      </c>
      <c r="C7064" s="13">
        <v>37670</v>
      </c>
      <c r="D7064" s="13" t="s">
        <v>8465</v>
      </c>
      <c r="E7064" s="10" t="s">
        <v>86</v>
      </c>
      <c r="F7064" s="10" t="s">
        <v>86</v>
      </c>
      <c r="G7064" s="11" t="s">
        <v>85</v>
      </c>
      <c r="H7064" s="2" t="s">
        <v>80</v>
      </c>
      <c r="L7064" s="18">
        <v>1</v>
      </c>
      <c r="M7064" s="14" t="s">
        <v>8462</v>
      </c>
      <c r="N7064" s="13">
        <v>43527</v>
      </c>
      <c r="O7064" s="29">
        <v>32.99</v>
      </c>
      <c r="P7064" s="18" t="s">
        <v>14</v>
      </c>
      <c r="Q7064" s="18">
        <v>0</v>
      </c>
      <c r="U7064" s="22">
        <v>0.9</v>
      </c>
      <c r="V7064" s="22">
        <f>4.55/5</f>
        <v>0.90999999999999992</v>
      </c>
      <c r="X7064" s="3">
        <v>3</v>
      </c>
      <c r="Z7064" s="23">
        <v>19</v>
      </c>
      <c r="AB7064" s="18">
        <f t="shared" si="220"/>
        <v>2003</v>
      </c>
      <c r="AC7064" s="22">
        <f t="shared" si="221"/>
        <v>0.80333333333333334</v>
      </c>
    </row>
    <row r="7065" spans="1:29">
      <c r="A7065" s="8" t="s">
        <v>5798</v>
      </c>
      <c r="B7065" s="17" t="s">
        <v>7758</v>
      </c>
      <c r="C7065" s="13">
        <v>37669</v>
      </c>
      <c r="D7065" s="13" t="s">
        <v>8465</v>
      </c>
      <c r="E7065" s="10" t="s">
        <v>1290</v>
      </c>
      <c r="F7065" s="10" t="s">
        <v>2129</v>
      </c>
      <c r="G7065" s="11" t="s">
        <v>5797</v>
      </c>
      <c r="H7065" s="2" t="s">
        <v>171</v>
      </c>
      <c r="L7065" s="18">
        <v>0</v>
      </c>
      <c r="Q7065" s="18">
        <v>0</v>
      </c>
      <c r="U7065" s="22">
        <v>0.88</v>
      </c>
      <c r="V7065" s="22">
        <f>4.17/5</f>
        <v>0.83399999999999996</v>
      </c>
      <c r="X7065" s="3">
        <v>4</v>
      </c>
      <c r="Z7065" s="23">
        <v>50.5</v>
      </c>
      <c r="AB7065" s="18">
        <f t="shared" si="220"/>
        <v>2003</v>
      </c>
      <c r="AC7065" s="22">
        <f t="shared" si="221"/>
        <v>0.83800000000000008</v>
      </c>
    </row>
    <row r="7066" spans="1:29" ht="25.5">
      <c r="A7066" s="8" t="s">
        <v>5735</v>
      </c>
      <c r="B7066" s="17" t="s">
        <v>7758</v>
      </c>
      <c r="C7066" s="13">
        <v>37668</v>
      </c>
      <c r="D7066" s="13" t="s">
        <v>8465</v>
      </c>
      <c r="E7066" s="10" t="s">
        <v>73</v>
      </c>
      <c r="F7066" s="10" t="s">
        <v>73</v>
      </c>
      <c r="G7066" s="11" t="s">
        <v>700</v>
      </c>
      <c r="H7066" s="2" t="s">
        <v>149</v>
      </c>
      <c r="L7066" s="18">
        <v>0</v>
      </c>
      <c r="Q7066" s="18">
        <v>0</v>
      </c>
      <c r="U7066" s="22">
        <v>0.78</v>
      </c>
      <c r="V7066" s="22">
        <f>3.49/5</f>
        <v>0.69800000000000006</v>
      </c>
      <c r="X7066" s="3">
        <v>3</v>
      </c>
      <c r="Z7066" s="23">
        <v>21</v>
      </c>
      <c r="AB7066" s="18">
        <f t="shared" si="220"/>
        <v>2003</v>
      </c>
      <c r="AC7066" s="22">
        <f t="shared" si="221"/>
        <v>0.69266666666666676</v>
      </c>
    </row>
    <row r="7067" spans="1:29">
      <c r="A7067" s="8" t="s">
        <v>5803</v>
      </c>
      <c r="B7067" s="17" t="s">
        <v>7758</v>
      </c>
      <c r="C7067" s="13">
        <v>37667</v>
      </c>
      <c r="D7067" s="13" t="s">
        <v>8465</v>
      </c>
      <c r="E7067" s="10" t="s">
        <v>3017</v>
      </c>
      <c r="F7067" s="10" t="s">
        <v>144</v>
      </c>
      <c r="G7067" s="11" t="s">
        <v>5803</v>
      </c>
      <c r="H7067" s="2" t="s">
        <v>80</v>
      </c>
      <c r="L7067" s="18">
        <v>0</v>
      </c>
      <c r="Q7067" s="18">
        <v>0</v>
      </c>
      <c r="U7067" s="22">
        <v>0.71</v>
      </c>
      <c r="V7067" s="22">
        <f>3.67/5</f>
        <v>0.73399999999999999</v>
      </c>
      <c r="X7067" s="3">
        <v>4</v>
      </c>
      <c r="Z7067" s="23">
        <v>5.5</v>
      </c>
      <c r="AB7067" s="18">
        <f t="shared" si="220"/>
        <v>2003</v>
      </c>
      <c r="AC7067" s="22">
        <f t="shared" si="221"/>
        <v>0.74799999999999989</v>
      </c>
    </row>
    <row r="7068" spans="1:29" ht="30">
      <c r="A7068" s="8" t="s">
        <v>15100</v>
      </c>
      <c r="B7068" s="17" t="s">
        <v>7747</v>
      </c>
      <c r="C7068" s="13">
        <v>37666</v>
      </c>
      <c r="D7068" s="13" t="s">
        <v>8465</v>
      </c>
      <c r="E7068" s="10" t="s">
        <v>12548</v>
      </c>
      <c r="F7068" s="10" t="s">
        <v>2143</v>
      </c>
      <c r="G7068" s="11" t="s">
        <v>15100</v>
      </c>
      <c r="H7068" s="2" t="s">
        <v>56</v>
      </c>
      <c r="L7068" s="18">
        <v>0</v>
      </c>
      <c r="Q7068" s="18">
        <v>0</v>
      </c>
      <c r="U7068" s="22">
        <v>0.5</v>
      </c>
      <c r="V7068" s="22">
        <f>2.78/5</f>
        <v>0.55599999999999994</v>
      </c>
      <c r="X7068" s="3">
        <v>2</v>
      </c>
      <c r="Z7068" s="23">
        <v>2</v>
      </c>
      <c r="AB7068" s="18">
        <f t="shared" si="220"/>
        <v>2003</v>
      </c>
      <c r="AC7068" s="22">
        <f t="shared" si="221"/>
        <v>0.48533333333333334</v>
      </c>
    </row>
    <row r="7069" spans="1:29" ht="25.5">
      <c r="A7069" s="8" t="s">
        <v>6537</v>
      </c>
      <c r="B7069" s="17" t="s">
        <v>7800</v>
      </c>
      <c r="C7069" s="13">
        <v>37662</v>
      </c>
      <c r="D7069" s="13" t="s">
        <v>8465</v>
      </c>
      <c r="E7069" s="10" t="s">
        <v>5010</v>
      </c>
      <c r="F7069" s="10" t="s">
        <v>6538</v>
      </c>
      <c r="G7069" s="11" t="s">
        <v>3043</v>
      </c>
      <c r="H7069" s="2" t="s">
        <v>1143</v>
      </c>
      <c r="L7069" s="18">
        <v>1</v>
      </c>
      <c r="N7069" s="13">
        <v>41627</v>
      </c>
      <c r="O7069" s="29">
        <v>0.33</v>
      </c>
      <c r="P7069" s="18" t="s">
        <v>1107</v>
      </c>
      <c r="Q7069" s="18">
        <v>0</v>
      </c>
      <c r="U7069" s="22">
        <v>0.85</v>
      </c>
      <c r="V7069" s="22">
        <f>3.9/5</f>
        <v>0.78</v>
      </c>
      <c r="W7069" s="14" t="s">
        <v>7796</v>
      </c>
      <c r="X7069" s="3">
        <v>4</v>
      </c>
      <c r="Z7069" s="23">
        <v>15</v>
      </c>
      <c r="AB7069" s="18">
        <f t="shared" si="220"/>
        <v>2003</v>
      </c>
      <c r="AC7069" s="22">
        <f t="shared" si="221"/>
        <v>0.80999999999999994</v>
      </c>
    </row>
    <row r="7070" spans="1:29">
      <c r="A7070" s="8" t="s">
        <v>11156</v>
      </c>
      <c r="B7070" s="17" t="s">
        <v>7758</v>
      </c>
      <c r="C7070" s="13">
        <v>37662</v>
      </c>
      <c r="D7070" s="13" t="s">
        <v>8465</v>
      </c>
      <c r="E7070" s="10" t="s">
        <v>157</v>
      </c>
      <c r="F7070" s="10" t="s">
        <v>2314</v>
      </c>
      <c r="G7070" s="11" t="s">
        <v>8682</v>
      </c>
      <c r="H7070" s="2" t="s">
        <v>171</v>
      </c>
      <c r="L7070" s="18">
        <v>0</v>
      </c>
      <c r="Q7070" s="18">
        <v>0</v>
      </c>
      <c r="U7070" s="22">
        <v>0.75</v>
      </c>
      <c r="V7070" s="22">
        <f>3.79/5</f>
        <v>0.75800000000000001</v>
      </c>
      <c r="X7070" s="3">
        <v>3</v>
      </c>
      <c r="Z7070" s="23">
        <v>17</v>
      </c>
      <c r="AB7070" s="18">
        <f t="shared" si="220"/>
        <v>2003</v>
      </c>
      <c r="AC7070" s="22">
        <f t="shared" si="221"/>
        <v>0.70266666666666666</v>
      </c>
    </row>
    <row r="7071" spans="1:29">
      <c r="A7071" s="8" t="s">
        <v>5744</v>
      </c>
      <c r="B7071" s="17" t="s">
        <v>7758</v>
      </c>
      <c r="C7071" s="13">
        <v>37655</v>
      </c>
      <c r="D7071" s="13" t="s">
        <v>8465</v>
      </c>
      <c r="E7071" s="10" t="s">
        <v>252</v>
      </c>
      <c r="F7071" s="10" t="s">
        <v>2348</v>
      </c>
      <c r="G7071" s="11" t="s">
        <v>2934</v>
      </c>
      <c r="H7071" s="2" t="s">
        <v>1061</v>
      </c>
      <c r="L7071" s="18">
        <v>0</v>
      </c>
      <c r="Q7071" s="18">
        <v>0</v>
      </c>
      <c r="U7071" s="22">
        <v>0.56000000000000005</v>
      </c>
      <c r="V7071" s="22">
        <f>3.14/5</f>
        <v>0.628</v>
      </c>
      <c r="X7071" s="3">
        <v>3</v>
      </c>
      <c r="Z7071" s="23">
        <v>9.5</v>
      </c>
      <c r="AB7071" s="18">
        <f t="shared" si="220"/>
        <v>2003</v>
      </c>
      <c r="AC7071" s="22">
        <f t="shared" si="221"/>
        <v>0.59600000000000009</v>
      </c>
    </row>
    <row r="7072" spans="1:29" ht="25.5">
      <c r="A7072" s="8" t="s">
        <v>10348</v>
      </c>
      <c r="B7072" s="17" t="s">
        <v>7800</v>
      </c>
      <c r="C7072" s="13">
        <v>37655</v>
      </c>
      <c r="D7072" s="13" t="s">
        <v>8465</v>
      </c>
      <c r="E7072" s="10" t="s">
        <v>60</v>
      </c>
      <c r="F7072" s="10" t="s">
        <v>6914</v>
      </c>
      <c r="G7072" s="11" t="s">
        <v>10347</v>
      </c>
      <c r="H7072" s="2" t="s">
        <v>1050</v>
      </c>
      <c r="L7072" s="18">
        <v>0</v>
      </c>
      <c r="Q7072" s="18">
        <v>0</v>
      </c>
      <c r="U7072" s="22">
        <v>0.75</v>
      </c>
      <c r="V7072" s="22">
        <f>3.38/5</f>
        <v>0.67599999999999993</v>
      </c>
      <c r="X7072" s="3">
        <v>3</v>
      </c>
      <c r="Z7072" s="23">
        <v>8.5</v>
      </c>
      <c r="AB7072" s="18">
        <f t="shared" si="220"/>
        <v>2003</v>
      </c>
      <c r="AC7072" s="22">
        <f t="shared" si="221"/>
        <v>0.67533333333333323</v>
      </c>
    </row>
    <row r="7073" spans="1:29">
      <c r="A7073" s="8" t="s">
        <v>12784</v>
      </c>
      <c r="B7073" s="17" t="s">
        <v>7764</v>
      </c>
      <c r="C7073" s="13">
        <v>37651</v>
      </c>
      <c r="D7073" s="13" t="s">
        <v>8463</v>
      </c>
      <c r="E7073" s="10" t="s">
        <v>8708</v>
      </c>
      <c r="F7073" s="10" t="s">
        <v>8708</v>
      </c>
      <c r="H7073" s="2" t="s">
        <v>171</v>
      </c>
      <c r="K7073" s="18">
        <v>0</v>
      </c>
      <c r="L7073" s="18">
        <v>0</v>
      </c>
      <c r="Q7073" s="18">
        <v>0</v>
      </c>
      <c r="V7073" s="22">
        <f>3.5/5</f>
        <v>0.7</v>
      </c>
      <c r="X7073" s="3">
        <v>2</v>
      </c>
      <c r="AB7073" s="18">
        <f t="shared" si="220"/>
        <v>2003</v>
      </c>
      <c r="AC7073" s="22">
        <f t="shared" si="221"/>
        <v>0.55000000000000004</v>
      </c>
    </row>
    <row r="7074" spans="1:29" ht="25.5">
      <c r="A7074" s="8" t="s">
        <v>350</v>
      </c>
      <c r="B7074" s="17" t="s">
        <v>6317</v>
      </c>
      <c r="C7074" s="13">
        <v>37649</v>
      </c>
      <c r="D7074" s="13" t="s">
        <v>8463</v>
      </c>
      <c r="E7074" s="10" t="s">
        <v>472</v>
      </c>
      <c r="F7074" s="10" t="s">
        <v>467</v>
      </c>
      <c r="H7074" s="2" t="s">
        <v>21</v>
      </c>
      <c r="K7074" s="18">
        <v>0</v>
      </c>
      <c r="L7074" s="18">
        <v>0</v>
      </c>
      <c r="Q7074" s="18">
        <v>0</v>
      </c>
      <c r="V7074" s="22">
        <f>3.87/5</f>
        <v>0.77400000000000002</v>
      </c>
      <c r="X7074" s="3">
        <v>3</v>
      </c>
      <c r="Z7074" s="23">
        <v>0.33</v>
      </c>
      <c r="AB7074" s="18">
        <f t="shared" si="220"/>
        <v>2003</v>
      </c>
      <c r="AC7074" s="22">
        <f t="shared" si="221"/>
        <v>0.68700000000000006</v>
      </c>
    </row>
    <row r="7075" spans="1:29" ht="30">
      <c r="A7075" s="8" t="s">
        <v>944</v>
      </c>
      <c r="B7075" s="17" t="s">
        <v>7740</v>
      </c>
      <c r="C7075" s="13">
        <v>37648</v>
      </c>
      <c r="D7075" s="13" t="s">
        <v>8465</v>
      </c>
      <c r="E7075" s="10" t="s">
        <v>455</v>
      </c>
      <c r="F7075" s="10" t="s">
        <v>1498</v>
      </c>
      <c r="G7075" s="11" t="s">
        <v>1499</v>
      </c>
      <c r="H7075" s="2" t="s">
        <v>149</v>
      </c>
      <c r="L7075" s="18">
        <v>0</v>
      </c>
      <c r="Q7075" s="18">
        <v>0</v>
      </c>
      <c r="U7075" s="22">
        <v>0.85</v>
      </c>
      <c r="V7075" s="22">
        <f>4.31/5</f>
        <v>0.86199999999999988</v>
      </c>
      <c r="X7075" s="3">
        <v>4</v>
      </c>
      <c r="Z7075" s="23">
        <v>42</v>
      </c>
      <c r="AB7075" s="18">
        <f t="shared" si="220"/>
        <v>2003</v>
      </c>
      <c r="AC7075" s="22">
        <f t="shared" si="221"/>
        <v>0.83733333333333315</v>
      </c>
    </row>
    <row r="7076" spans="1:29">
      <c r="A7076" s="8" t="s">
        <v>5800</v>
      </c>
      <c r="B7076" s="17" t="s">
        <v>7758</v>
      </c>
      <c r="C7076" s="13">
        <v>37646</v>
      </c>
      <c r="D7076" s="13" t="s">
        <v>8465</v>
      </c>
      <c r="E7076" s="10" t="s">
        <v>73</v>
      </c>
      <c r="F7076" s="10" t="s">
        <v>73</v>
      </c>
      <c r="G7076" s="11" t="s">
        <v>3655</v>
      </c>
      <c r="H7076" s="2" t="s">
        <v>1059</v>
      </c>
      <c r="L7076" s="18">
        <v>0</v>
      </c>
      <c r="Q7076" s="18">
        <v>0</v>
      </c>
      <c r="U7076" s="22">
        <v>0.74</v>
      </c>
      <c r="V7076" s="22">
        <f>3.09/5</f>
        <v>0.61799999999999999</v>
      </c>
      <c r="X7076" s="3">
        <v>4</v>
      </c>
      <c r="Z7076" s="23">
        <v>5.5</v>
      </c>
      <c r="AB7076" s="18">
        <f t="shared" si="220"/>
        <v>2003</v>
      </c>
      <c r="AC7076" s="22">
        <f t="shared" si="221"/>
        <v>0.71933333333333349</v>
      </c>
    </row>
    <row r="7077" spans="1:29" ht="25.5">
      <c r="A7077" s="8" t="s">
        <v>14570</v>
      </c>
      <c r="B7077" s="17" t="s">
        <v>7764</v>
      </c>
      <c r="C7077" s="13">
        <v>37643</v>
      </c>
      <c r="D7077" s="13" t="s">
        <v>8465</v>
      </c>
      <c r="E7077" s="10" t="s">
        <v>76</v>
      </c>
      <c r="F7077" s="10" t="s">
        <v>1136</v>
      </c>
      <c r="G7077" s="11" t="s">
        <v>10281</v>
      </c>
      <c r="H7077" s="2" t="s">
        <v>255</v>
      </c>
      <c r="L7077" s="18">
        <v>0</v>
      </c>
      <c r="Q7077" s="18">
        <v>0</v>
      </c>
      <c r="U7077" s="22">
        <v>0.73</v>
      </c>
      <c r="V7077" s="22">
        <f>3.56/5</f>
        <v>0.71199999999999997</v>
      </c>
      <c r="X7077" s="3">
        <v>2</v>
      </c>
      <c r="Z7077" s="23">
        <v>5</v>
      </c>
      <c r="AB7077" s="18">
        <f t="shared" si="220"/>
        <v>2003</v>
      </c>
      <c r="AC7077" s="22">
        <f t="shared" si="221"/>
        <v>0.61399999999999999</v>
      </c>
    </row>
    <row r="7078" spans="1:29" ht="30">
      <c r="A7078" s="8" t="s">
        <v>9688</v>
      </c>
      <c r="B7078" s="17" t="s">
        <v>7758</v>
      </c>
      <c r="C7078" s="13">
        <v>37640</v>
      </c>
      <c r="D7078" s="13" t="s">
        <v>8465</v>
      </c>
      <c r="E7078" s="10" t="s">
        <v>2908</v>
      </c>
      <c r="F7078" s="10" t="s">
        <v>9689</v>
      </c>
      <c r="G7078" s="11" t="s">
        <v>9688</v>
      </c>
      <c r="H7078" s="2" t="s">
        <v>80</v>
      </c>
      <c r="L7078" s="18">
        <v>0</v>
      </c>
      <c r="Q7078" s="18">
        <v>0</v>
      </c>
      <c r="U7078" s="22">
        <v>0.72</v>
      </c>
      <c r="V7078" s="22">
        <f>3.62/5</f>
        <v>0.72399999999999998</v>
      </c>
      <c r="X7078" s="3">
        <v>2</v>
      </c>
      <c r="Z7078" s="23">
        <v>12</v>
      </c>
      <c r="AB7078" s="18">
        <f t="shared" si="220"/>
        <v>2003</v>
      </c>
      <c r="AC7078" s="22">
        <f t="shared" si="221"/>
        <v>0.61466666666666658</v>
      </c>
    </row>
    <row r="7079" spans="1:29">
      <c r="A7079" s="8" t="s">
        <v>9700</v>
      </c>
      <c r="B7079" s="17" t="s">
        <v>7758</v>
      </c>
      <c r="C7079" s="13">
        <v>37640</v>
      </c>
      <c r="D7079" s="13" t="s">
        <v>8465</v>
      </c>
      <c r="E7079" s="10" t="s">
        <v>60</v>
      </c>
      <c r="F7079" s="10" t="s">
        <v>9701</v>
      </c>
      <c r="H7079" s="2" t="s">
        <v>1204</v>
      </c>
      <c r="L7079" s="18">
        <v>0</v>
      </c>
      <c r="Q7079" s="18">
        <v>0</v>
      </c>
      <c r="U7079" s="22">
        <v>0.73</v>
      </c>
      <c r="V7079" s="22">
        <f>3.29/5</f>
        <v>0.65800000000000003</v>
      </c>
      <c r="X7079" s="3">
        <v>2</v>
      </c>
      <c r="Z7079" s="23">
        <v>5</v>
      </c>
      <c r="AB7079" s="18">
        <f t="shared" si="220"/>
        <v>2003</v>
      </c>
      <c r="AC7079" s="22">
        <f t="shared" si="221"/>
        <v>0.59599999999999997</v>
      </c>
    </row>
    <row r="7080" spans="1:29" ht="25.5">
      <c r="A7080" s="8" t="s">
        <v>11440</v>
      </c>
      <c r="B7080" s="17" t="s">
        <v>7758</v>
      </c>
      <c r="C7080" s="13">
        <v>37636</v>
      </c>
      <c r="D7080" s="13" t="s">
        <v>8465</v>
      </c>
      <c r="E7080" s="10" t="s">
        <v>68</v>
      </c>
      <c r="F7080" s="10" t="s">
        <v>1471</v>
      </c>
      <c r="G7080" s="11" t="s">
        <v>7935</v>
      </c>
      <c r="H7080" s="2" t="s">
        <v>1059</v>
      </c>
      <c r="L7080" s="18">
        <v>0</v>
      </c>
      <c r="Q7080" s="18">
        <v>0</v>
      </c>
      <c r="U7080" s="22">
        <v>0.72</v>
      </c>
      <c r="V7080" s="22">
        <f>3.92/5</f>
        <v>0.78400000000000003</v>
      </c>
      <c r="X7080" s="3">
        <v>2</v>
      </c>
      <c r="Z7080" s="23">
        <v>7.5</v>
      </c>
      <c r="AB7080" s="18">
        <f t="shared" si="220"/>
        <v>2003</v>
      </c>
      <c r="AC7080" s="22">
        <f t="shared" si="221"/>
        <v>0.6346666666666666</v>
      </c>
    </row>
    <row r="7081" spans="1:29">
      <c r="A7081" s="8" t="s">
        <v>5009</v>
      </c>
      <c r="B7081" s="17" t="s">
        <v>7800</v>
      </c>
      <c r="C7081" s="13">
        <v>37635</v>
      </c>
      <c r="D7081" s="13" t="s">
        <v>8465</v>
      </c>
      <c r="E7081" s="10" t="s">
        <v>5010</v>
      </c>
      <c r="F7081" s="10" t="s">
        <v>5011</v>
      </c>
      <c r="G7081" s="11" t="s">
        <v>5012</v>
      </c>
      <c r="H7081" s="2" t="s">
        <v>1334</v>
      </c>
      <c r="L7081" s="18">
        <v>1</v>
      </c>
      <c r="N7081" s="13">
        <v>43439</v>
      </c>
      <c r="P7081" s="18" t="s">
        <v>1107</v>
      </c>
      <c r="Q7081" s="18">
        <v>0</v>
      </c>
      <c r="U7081" s="22">
        <v>0.85</v>
      </c>
      <c r="V7081" s="22">
        <f>3.89/5</f>
        <v>0.77800000000000002</v>
      </c>
      <c r="W7081" s="14" t="s">
        <v>7777</v>
      </c>
      <c r="X7081" s="3">
        <v>3</v>
      </c>
      <c r="Z7081" s="23">
        <v>10.5</v>
      </c>
      <c r="AB7081" s="18">
        <f t="shared" si="220"/>
        <v>2003</v>
      </c>
      <c r="AC7081" s="22">
        <f t="shared" si="221"/>
        <v>0.7426666666666667</v>
      </c>
    </row>
    <row r="7082" spans="1:29" ht="30">
      <c r="A7082" s="8" t="s">
        <v>15261</v>
      </c>
      <c r="B7082" s="17" t="s">
        <v>7758</v>
      </c>
      <c r="C7082" s="13">
        <v>37635</v>
      </c>
      <c r="D7082" s="13" t="s">
        <v>8465</v>
      </c>
      <c r="E7082" s="10" t="s">
        <v>2908</v>
      </c>
      <c r="F7082" s="10" t="s">
        <v>7469</v>
      </c>
      <c r="H7082" s="2" t="s">
        <v>459</v>
      </c>
      <c r="L7082" s="18">
        <v>0</v>
      </c>
      <c r="Q7082" s="18">
        <v>0</v>
      </c>
      <c r="U7082" s="22">
        <v>0.8</v>
      </c>
      <c r="V7082" s="22">
        <f>3.83/5</f>
        <v>0.76600000000000001</v>
      </c>
      <c r="X7082" s="3">
        <v>2</v>
      </c>
      <c r="Z7082" s="23">
        <v>3</v>
      </c>
      <c r="AB7082" s="18">
        <f t="shared" si="220"/>
        <v>2003</v>
      </c>
      <c r="AC7082" s="22">
        <f t="shared" si="221"/>
        <v>0.65533333333333343</v>
      </c>
    </row>
    <row r="7083" spans="1:29">
      <c r="A7083" s="8" t="s">
        <v>6302</v>
      </c>
      <c r="B7083" s="17" t="s">
        <v>7764</v>
      </c>
      <c r="C7083" s="13">
        <v>37633</v>
      </c>
      <c r="D7083" s="13" t="s">
        <v>8465</v>
      </c>
      <c r="E7083" s="10" t="s">
        <v>455</v>
      </c>
      <c r="F7083" s="10" t="s">
        <v>2772</v>
      </c>
      <c r="G7083" s="11" t="s">
        <v>2732</v>
      </c>
      <c r="H7083" s="2" t="s">
        <v>1170</v>
      </c>
      <c r="L7083" s="18">
        <v>1</v>
      </c>
      <c r="N7083" s="13">
        <v>44578</v>
      </c>
      <c r="O7083" s="29">
        <v>4.99</v>
      </c>
      <c r="P7083" s="18" t="s">
        <v>1107</v>
      </c>
      <c r="Q7083" s="18">
        <v>0</v>
      </c>
      <c r="U7083" s="22">
        <v>0.9</v>
      </c>
      <c r="V7083" s="22">
        <f>4.18/5</f>
        <v>0.83599999999999997</v>
      </c>
      <c r="X7083" s="3">
        <v>4</v>
      </c>
      <c r="Z7083" s="23">
        <v>4.5</v>
      </c>
      <c r="AB7083" s="18">
        <f t="shared" si="220"/>
        <v>2003</v>
      </c>
      <c r="AC7083" s="22">
        <f t="shared" si="221"/>
        <v>0.84533333333333338</v>
      </c>
    </row>
    <row r="7084" spans="1:29" ht="30">
      <c r="A7084" s="8" t="s">
        <v>2000</v>
      </c>
      <c r="B7084" s="17" t="s">
        <v>7747</v>
      </c>
      <c r="C7084" s="13">
        <v>37628</v>
      </c>
      <c r="D7084" s="13" t="s">
        <v>8465</v>
      </c>
      <c r="E7084" s="10" t="s">
        <v>1945</v>
      </c>
      <c r="F7084" s="10" t="s">
        <v>1511</v>
      </c>
      <c r="G7084" s="11" t="s">
        <v>1576</v>
      </c>
      <c r="H7084" s="2" t="s">
        <v>64</v>
      </c>
      <c r="L7084" s="18">
        <v>0</v>
      </c>
      <c r="Q7084" s="18">
        <v>0</v>
      </c>
      <c r="U7084" s="22">
        <v>0.75</v>
      </c>
      <c r="V7084" s="22">
        <f>3.53/5</f>
        <v>0.70599999999999996</v>
      </c>
      <c r="X7084" s="3">
        <v>3</v>
      </c>
      <c r="Z7084" s="23">
        <v>3.5</v>
      </c>
      <c r="AB7084" s="18">
        <f t="shared" si="220"/>
        <v>2003</v>
      </c>
      <c r="AC7084" s="22">
        <f t="shared" si="221"/>
        <v>0.68533333333333335</v>
      </c>
    </row>
    <row r="7085" spans="1:29" ht="30">
      <c r="A7085" s="8" t="s">
        <v>1991</v>
      </c>
      <c r="B7085" s="17" t="s">
        <v>7747</v>
      </c>
      <c r="C7085" s="13">
        <v>37624</v>
      </c>
      <c r="D7085" s="13" t="s">
        <v>8463</v>
      </c>
      <c r="E7085" s="10" t="s">
        <v>1939</v>
      </c>
      <c r="F7085" s="10" t="s">
        <v>1939</v>
      </c>
      <c r="H7085" s="2" t="s">
        <v>80</v>
      </c>
      <c r="K7085" s="18">
        <v>0</v>
      </c>
      <c r="L7085" s="18">
        <v>0</v>
      </c>
      <c r="Q7085" s="18">
        <v>0</v>
      </c>
      <c r="V7085" s="22">
        <f>3.5/5</f>
        <v>0.7</v>
      </c>
      <c r="X7085" s="3">
        <v>3</v>
      </c>
      <c r="AB7085" s="18">
        <f t="shared" si="220"/>
        <v>2003</v>
      </c>
      <c r="AC7085" s="22">
        <f t="shared" si="221"/>
        <v>0.64999999999999991</v>
      </c>
    </row>
    <row r="7086" spans="1:29">
      <c r="A7086" s="8" t="s">
        <v>10156</v>
      </c>
      <c r="B7086" s="17" t="s">
        <v>6317</v>
      </c>
      <c r="C7086" s="12">
        <v>37622</v>
      </c>
      <c r="D7086" s="13" t="s">
        <v>8465</v>
      </c>
      <c r="E7086" s="10" t="s">
        <v>7916</v>
      </c>
      <c r="F7086" s="10" t="s">
        <v>7916</v>
      </c>
      <c r="H7086" s="2" t="s">
        <v>147</v>
      </c>
      <c r="L7086" s="18">
        <v>0</v>
      </c>
      <c r="Q7086" s="18">
        <v>0</v>
      </c>
      <c r="V7086" s="22">
        <f>3.98/5</f>
        <v>0.79600000000000004</v>
      </c>
      <c r="X7086" s="3">
        <v>3</v>
      </c>
      <c r="Z7086" s="23">
        <f>47/60</f>
        <v>0.78333333333333333</v>
      </c>
      <c r="AB7086" s="18">
        <f t="shared" si="220"/>
        <v>2003</v>
      </c>
      <c r="AC7086" s="22">
        <f t="shared" si="221"/>
        <v>0.69799999999999995</v>
      </c>
    </row>
    <row r="7087" spans="1:29" ht="25.5">
      <c r="A7087" s="8" t="s">
        <v>12101</v>
      </c>
      <c r="B7087" s="17" t="s">
        <v>7758</v>
      </c>
      <c r="C7087" s="24">
        <v>37622</v>
      </c>
      <c r="D7087" s="13" t="s">
        <v>8467</v>
      </c>
      <c r="E7087" s="10" t="s">
        <v>2298</v>
      </c>
      <c r="F7087" s="10" t="s">
        <v>12102</v>
      </c>
      <c r="H7087" s="2" t="s">
        <v>1168</v>
      </c>
      <c r="L7087" s="18">
        <v>0</v>
      </c>
      <c r="Q7087" s="18">
        <v>0</v>
      </c>
      <c r="V7087" s="22">
        <f>3.28/5</f>
        <v>0.65599999999999992</v>
      </c>
      <c r="X7087" s="3">
        <v>2</v>
      </c>
      <c r="AB7087" s="18">
        <f t="shared" si="220"/>
        <v>2003</v>
      </c>
      <c r="AC7087" s="22">
        <f t="shared" si="221"/>
        <v>0.52800000000000002</v>
      </c>
    </row>
    <row r="7088" spans="1:29">
      <c r="A7088" s="8" t="s">
        <v>14733</v>
      </c>
      <c r="B7088" s="17" t="s">
        <v>7758</v>
      </c>
      <c r="C7088" s="24">
        <v>37622</v>
      </c>
      <c r="D7088" s="13" t="s">
        <v>8467</v>
      </c>
      <c r="E7088" s="10" t="s">
        <v>157</v>
      </c>
      <c r="F7088" s="10" t="s">
        <v>13062</v>
      </c>
      <c r="G7088" s="11" t="s">
        <v>9597</v>
      </c>
      <c r="H7088" s="2" t="s">
        <v>1383</v>
      </c>
      <c r="L7088" s="18">
        <v>0</v>
      </c>
      <c r="Q7088" s="18">
        <v>0</v>
      </c>
      <c r="V7088" s="22">
        <f>2.13/5</f>
        <v>0.42599999999999999</v>
      </c>
      <c r="X7088" s="3">
        <v>2</v>
      </c>
      <c r="Z7088" s="23">
        <v>1.5</v>
      </c>
      <c r="AB7088" s="18">
        <f t="shared" si="220"/>
        <v>2003</v>
      </c>
      <c r="AC7088" s="22">
        <f t="shared" si="221"/>
        <v>0.41300000000000003</v>
      </c>
    </row>
    <row r="7089" spans="1:29">
      <c r="A7089" s="8" t="s">
        <v>15655</v>
      </c>
      <c r="B7089" s="17" t="s">
        <v>6317</v>
      </c>
      <c r="C7089" s="24">
        <v>37622</v>
      </c>
      <c r="D7089" s="13" t="s">
        <v>8465</v>
      </c>
      <c r="E7089" s="10" t="s">
        <v>15656</v>
      </c>
      <c r="F7089" s="10" t="s">
        <v>474</v>
      </c>
      <c r="G7089" s="11" t="s">
        <v>477</v>
      </c>
      <c r="H7089" s="2" t="s">
        <v>459</v>
      </c>
      <c r="L7089" s="18">
        <v>0</v>
      </c>
      <c r="Q7089" s="18">
        <v>0</v>
      </c>
      <c r="V7089" s="22">
        <f>4.02/5</f>
        <v>0.80399999999999994</v>
      </c>
      <c r="X7089" s="3">
        <v>2</v>
      </c>
      <c r="Z7089" s="23">
        <f>40/60</f>
        <v>0.66666666666666663</v>
      </c>
      <c r="AB7089" s="18">
        <f t="shared" si="220"/>
        <v>2003</v>
      </c>
      <c r="AC7089" s="22">
        <f t="shared" si="221"/>
        <v>0.60199999999999998</v>
      </c>
    </row>
    <row r="7090" spans="1:29" ht="30">
      <c r="A7090" s="8" t="s">
        <v>1913</v>
      </c>
      <c r="B7090" s="17" t="s">
        <v>7747</v>
      </c>
      <c r="C7090" s="13">
        <v>37942</v>
      </c>
      <c r="D7090" s="13" t="s">
        <v>8465</v>
      </c>
      <c r="E7090" s="10" t="s">
        <v>86</v>
      </c>
      <c r="F7090" s="10" t="s">
        <v>1892</v>
      </c>
      <c r="G7090" s="11" t="s">
        <v>1893</v>
      </c>
      <c r="H7090" s="2" t="s">
        <v>149</v>
      </c>
      <c r="L7090" s="18">
        <v>0</v>
      </c>
      <c r="Q7090" s="18">
        <v>1</v>
      </c>
      <c r="T7090" s="22">
        <v>0.9</v>
      </c>
      <c r="U7090" s="22">
        <v>0.91</v>
      </c>
      <c r="V7090" s="22">
        <f>4.22/5</f>
        <v>0.84399999999999997</v>
      </c>
      <c r="Y7090" s="18">
        <v>1</v>
      </c>
      <c r="AB7090" s="18">
        <f t="shared" si="220"/>
        <v>2003</v>
      </c>
      <c r="AC7090" s="22">
        <f t="shared" si="221"/>
        <v>0.8846666666666666</v>
      </c>
    </row>
    <row r="7091" spans="1:29" ht="30">
      <c r="A7091" s="8" t="s">
        <v>910</v>
      </c>
      <c r="B7091" s="17" t="s">
        <v>7740</v>
      </c>
      <c r="C7091" s="13">
        <v>37942</v>
      </c>
      <c r="D7091" s="13" t="s">
        <v>8465</v>
      </c>
      <c r="E7091" s="10" t="s">
        <v>86</v>
      </c>
      <c r="F7091" s="10" t="s">
        <v>87</v>
      </c>
      <c r="G7091" s="11" t="s">
        <v>1135</v>
      </c>
      <c r="H7091" s="2" t="s">
        <v>150</v>
      </c>
      <c r="L7091" s="18">
        <v>0</v>
      </c>
      <c r="Q7091" s="18">
        <v>1</v>
      </c>
      <c r="T7091" s="22">
        <v>0.9</v>
      </c>
      <c r="U7091" s="22">
        <v>0.87</v>
      </c>
      <c r="V7091" s="22">
        <f>4.13/5</f>
        <v>0.82599999999999996</v>
      </c>
      <c r="Y7091" s="18">
        <v>1</v>
      </c>
      <c r="AB7091" s="18">
        <f t="shared" si="220"/>
        <v>2003</v>
      </c>
      <c r="AC7091" s="22">
        <f t="shared" si="221"/>
        <v>0.8653333333333334</v>
      </c>
    </row>
    <row r="7092" spans="1:29">
      <c r="A7092" s="8" t="s">
        <v>489</v>
      </c>
      <c r="B7092" s="17" t="s">
        <v>7731</v>
      </c>
      <c r="C7092" s="13">
        <v>37938</v>
      </c>
      <c r="D7092" s="13" t="s">
        <v>8465</v>
      </c>
      <c r="E7092" s="10" t="s">
        <v>170</v>
      </c>
      <c r="F7092" s="10" t="s">
        <v>474</v>
      </c>
      <c r="G7092" s="11" t="s">
        <v>450</v>
      </c>
      <c r="H7092" s="2" t="s">
        <v>147</v>
      </c>
      <c r="L7092" s="18">
        <v>0</v>
      </c>
      <c r="Q7092" s="18">
        <v>1</v>
      </c>
      <c r="T7092" s="22">
        <v>0.8</v>
      </c>
      <c r="V7092" s="22">
        <f>3.98/5</f>
        <v>0.79600000000000004</v>
      </c>
      <c r="AB7092" s="18">
        <f t="shared" si="220"/>
        <v>2003</v>
      </c>
      <c r="AC7092" s="22">
        <f t="shared" si="221"/>
        <v>0.79800000000000004</v>
      </c>
    </row>
    <row r="7093" spans="1:29" ht="30">
      <c r="A7093" s="8" t="s">
        <v>1922</v>
      </c>
      <c r="B7093" s="17" t="s">
        <v>7747</v>
      </c>
      <c r="C7093" s="13">
        <v>37938</v>
      </c>
      <c r="D7093" s="13" t="s">
        <v>8465</v>
      </c>
      <c r="E7093" s="10" t="s">
        <v>228</v>
      </c>
      <c r="F7093" s="10" t="s">
        <v>242</v>
      </c>
      <c r="G7093" s="11" t="s">
        <v>111</v>
      </c>
      <c r="H7093" s="2" t="s">
        <v>153</v>
      </c>
      <c r="L7093" s="18">
        <v>0</v>
      </c>
      <c r="Q7093" s="18">
        <v>1</v>
      </c>
      <c r="T7093" s="22">
        <v>0.8</v>
      </c>
      <c r="U7093" s="22">
        <v>0.75</v>
      </c>
      <c r="V7093" s="22">
        <f>3.94/5</f>
        <v>0.78800000000000003</v>
      </c>
      <c r="AB7093" s="18">
        <f t="shared" si="220"/>
        <v>2003</v>
      </c>
      <c r="AC7093" s="22">
        <f t="shared" si="221"/>
        <v>0.77933333333333332</v>
      </c>
    </row>
    <row r="7094" spans="1:29" ht="30">
      <c r="A7094" s="8" t="s">
        <v>912</v>
      </c>
      <c r="B7094" s="17" t="s">
        <v>7740</v>
      </c>
      <c r="C7094" s="13">
        <v>37935</v>
      </c>
      <c r="D7094" s="13" t="s">
        <v>8465</v>
      </c>
      <c r="E7094" s="10" t="s">
        <v>86</v>
      </c>
      <c r="F7094" s="10" t="s">
        <v>62</v>
      </c>
      <c r="G7094" s="11" t="s">
        <v>860</v>
      </c>
      <c r="H7094" s="2" t="s">
        <v>1469</v>
      </c>
      <c r="L7094" s="18">
        <v>0</v>
      </c>
      <c r="Q7094" s="18">
        <v>1</v>
      </c>
      <c r="T7094" s="22">
        <v>0.7</v>
      </c>
      <c r="U7094" s="22">
        <v>0.71</v>
      </c>
      <c r="V7094" s="22">
        <f>3.68/5</f>
        <v>0.73599999999999999</v>
      </c>
      <c r="AB7094" s="18">
        <f t="shared" si="220"/>
        <v>2003</v>
      </c>
      <c r="AC7094" s="22">
        <f t="shared" si="221"/>
        <v>0.71533333333333327</v>
      </c>
    </row>
    <row r="7095" spans="1:29" ht="30">
      <c r="A7095" s="8" t="s">
        <v>305</v>
      </c>
      <c r="B7095" s="17" t="s">
        <v>7747</v>
      </c>
      <c r="C7095" s="13">
        <v>37928</v>
      </c>
      <c r="D7095" s="13" t="s">
        <v>8465</v>
      </c>
      <c r="E7095" s="10" t="s">
        <v>86</v>
      </c>
      <c r="F7095" s="10" t="s">
        <v>1069</v>
      </c>
      <c r="G7095" s="11" t="s">
        <v>305</v>
      </c>
      <c r="H7095" s="2" t="s">
        <v>75</v>
      </c>
      <c r="L7095" s="18">
        <v>0</v>
      </c>
      <c r="Q7095" s="18">
        <v>1</v>
      </c>
      <c r="T7095" s="22">
        <v>0.9</v>
      </c>
      <c r="U7095" s="22">
        <v>0.89</v>
      </c>
      <c r="V7095" s="22">
        <f>4.32/5</f>
        <v>0.8640000000000001</v>
      </c>
      <c r="Y7095" s="18">
        <v>1</v>
      </c>
      <c r="AB7095" s="18">
        <f t="shared" si="220"/>
        <v>2003</v>
      </c>
      <c r="AC7095" s="22">
        <f t="shared" si="221"/>
        <v>0.8846666666666666</v>
      </c>
    </row>
    <row r="7096" spans="1:29">
      <c r="A7096" s="8" t="s">
        <v>9753</v>
      </c>
      <c r="B7096" s="17" t="s">
        <v>7800</v>
      </c>
      <c r="C7096" s="13">
        <v>37922</v>
      </c>
      <c r="D7096" s="13" t="s">
        <v>8465</v>
      </c>
      <c r="E7096" s="10" t="s">
        <v>1082</v>
      </c>
      <c r="F7096" s="10" t="s">
        <v>1082</v>
      </c>
      <c r="G7096" s="11" t="s">
        <v>126</v>
      </c>
      <c r="H7096" s="2" t="s">
        <v>9780</v>
      </c>
      <c r="L7096" s="18">
        <v>1</v>
      </c>
      <c r="N7096" s="13">
        <v>43888</v>
      </c>
      <c r="O7096" s="29">
        <v>10.19</v>
      </c>
      <c r="P7096" s="18" t="s">
        <v>1107</v>
      </c>
      <c r="Q7096" s="18">
        <v>1</v>
      </c>
      <c r="R7096" s="13">
        <v>44302</v>
      </c>
      <c r="S7096" s="21">
        <f>75+21/60+32/3600</f>
        <v>75.358888888888885</v>
      </c>
      <c r="T7096" s="22">
        <v>0.6</v>
      </c>
      <c r="U7096" s="22">
        <v>0.85</v>
      </c>
      <c r="V7096" s="22">
        <f>3.83/5</f>
        <v>0.76600000000000001</v>
      </c>
      <c r="W7096" s="14" t="s">
        <v>7777</v>
      </c>
      <c r="AB7096" s="18">
        <f t="shared" si="220"/>
        <v>2003</v>
      </c>
      <c r="AC7096" s="22">
        <f t="shared" si="221"/>
        <v>0.73866666666666669</v>
      </c>
    </row>
    <row r="7097" spans="1:29" ht="30">
      <c r="A7097" s="8" t="s">
        <v>2049</v>
      </c>
      <c r="B7097" s="17" t="s">
        <v>7747</v>
      </c>
      <c r="C7097" s="13">
        <v>37872</v>
      </c>
      <c r="D7097" s="13" t="s">
        <v>8465</v>
      </c>
      <c r="E7097" s="10" t="s">
        <v>86</v>
      </c>
      <c r="F7097" s="10" t="s">
        <v>12316</v>
      </c>
      <c r="G7097" s="11" t="s">
        <v>1981</v>
      </c>
      <c r="H7097" s="2" t="s">
        <v>75</v>
      </c>
      <c r="L7097" s="18">
        <v>0</v>
      </c>
      <c r="Q7097" s="18">
        <v>1</v>
      </c>
      <c r="R7097" s="13">
        <v>44788</v>
      </c>
      <c r="S7097" s="21">
        <f>40+46/60</f>
        <v>40.766666666666666</v>
      </c>
      <c r="T7097" s="22">
        <v>0.8</v>
      </c>
      <c r="U7097" s="22">
        <v>0.88</v>
      </c>
      <c r="V7097" s="22">
        <f>4/5</f>
        <v>0.8</v>
      </c>
      <c r="Y7097" s="18">
        <v>1</v>
      </c>
      <c r="AB7097" s="18">
        <f t="shared" si="220"/>
        <v>2003</v>
      </c>
      <c r="AC7097" s="22">
        <f t="shared" si="221"/>
        <v>0.82666666666666677</v>
      </c>
    </row>
    <row r="7098" spans="1:29" ht="30">
      <c r="A7098" s="8" t="s">
        <v>1919</v>
      </c>
      <c r="B7098" s="17" t="s">
        <v>7747</v>
      </c>
      <c r="C7098" s="13">
        <v>37767</v>
      </c>
      <c r="D7098" s="13" t="s">
        <v>8465</v>
      </c>
      <c r="E7098" s="10" t="s">
        <v>86</v>
      </c>
      <c r="F7098" s="10" t="s">
        <v>142</v>
      </c>
      <c r="G7098" s="11" t="s">
        <v>1516</v>
      </c>
      <c r="H7098" s="2" t="s">
        <v>1142</v>
      </c>
      <c r="L7098" s="18">
        <v>0</v>
      </c>
      <c r="Q7098" s="18">
        <v>1</v>
      </c>
      <c r="T7098" s="22">
        <v>0.8</v>
      </c>
      <c r="U7098" s="22">
        <v>0.89</v>
      </c>
      <c r="V7098" s="22">
        <f>4.1/5</f>
        <v>0.82</v>
      </c>
      <c r="AB7098" s="18">
        <f t="shared" si="220"/>
        <v>2003</v>
      </c>
      <c r="AC7098" s="22">
        <f t="shared" si="221"/>
        <v>0.83666666666666656</v>
      </c>
    </row>
    <row r="7099" spans="1:29" ht="30">
      <c r="A7099" s="8" t="s">
        <v>2077</v>
      </c>
      <c r="B7099" s="17" t="s">
        <v>7747</v>
      </c>
      <c r="C7099" s="13">
        <v>37747</v>
      </c>
      <c r="D7099" s="13" t="s">
        <v>8465</v>
      </c>
      <c r="E7099" s="10" t="s">
        <v>72</v>
      </c>
      <c r="F7099" s="10" t="s">
        <v>72</v>
      </c>
      <c r="G7099" s="11" t="s">
        <v>113</v>
      </c>
      <c r="H7099" s="2" t="s">
        <v>151</v>
      </c>
      <c r="L7099" s="18">
        <v>0</v>
      </c>
      <c r="Q7099" s="18">
        <v>1</v>
      </c>
      <c r="R7099" s="13">
        <v>44521</v>
      </c>
      <c r="S7099" s="21">
        <f>6+19/60+4/3600</f>
        <v>6.3177777777777777</v>
      </c>
      <c r="T7099" s="22">
        <v>0.85</v>
      </c>
      <c r="U7099" s="22">
        <v>0.88</v>
      </c>
      <c r="V7099" s="22">
        <f>4.38/5</f>
        <v>0.876</v>
      </c>
      <c r="Y7099" s="18">
        <v>1</v>
      </c>
      <c r="AB7099" s="18">
        <f t="shared" si="220"/>
        <v>2003</v>
      </c>
      <c r="AC7099" s="22">
        <f t="shared" si="221"/>
        <v>0.86866666666666659</v>
      </c>
    </row>
    <row r="7100" spans="1:29" ht="30">
      <c r="A7100" s="8" t="s">
        <v>1910</v>
      </c>
      <c r="B7100" s="17" t="s">
        <v>7747</v>
      </c>
      <c r="C7100" s="13">
        <v>37733</v>
      </c>
      <c r="D7100" s="13" t="s">
        <v>8465</v>
      </c>
      <c r="E7100" s="10" t="s">
        <v>72</v>
      </c>
      <c r="F7100" s="10" t="s">
        <v>62</v>
      </c>
      <c r="H7100" s="2" t="s">
        <v>56</v>
      </c>
      <c r="L7100" s="18">
        <v>0</v>
      </c>
      <c r="Q7100" s="18">
        <v>1</v>
      </c>
      <c r="T7100" s="22">
        <v>0.8</v>
      </c>
      <c r="U7100" s="22">
        <v>0.83</v>
      </c>
      <c r="V7100" s="22">
        <f>3.8/5</f>
        <v>0.76</v>
      </c>
      <c r="AB7100" s="18">
        <f t="shared" si="220"/>
        <v>2003</v>
      </c>
      <c r="AC7100" s="22">
        <f t="shared" si="221"/>
        <v>0.79666666666666652</v>
      </c>
    </row>
    <row r="7101" spans="1:29">
      <c r="A7101" s="8" t="s">
        <v>4736</v>
      </c>
      <c r="B7101" s="17" t="s">
        <v>7800</v>
      </c>
      <c r="C7101" s="13">
        <v>37724</v>
      </c>
      <c r="D7101" s="13" t="s">
        <v>8465</v>
      </c>
      <c r="E7101" s="10" t="s">
        <v>4737</v>
      </c>
      <c r="F7101" s="10" t="s">
        <v>4737</v>
      </c>
      <c r="G7101" s="11" t="s">
        <v>4738</v>
      </c>
      <c r="H7101" s="2" t="s">
        <v>1050</v>
      </c>
      <c r="L7101" s="18">
        <v>1</v>
      </c>
      <c r="N7101" s="13">
        <v>41249</v>
      </c>
      <c r="P7101" s="18" t="s">
        <v>1107</v>
      </c>
      <c r="Q7101" s="18">
        <v>1</v>
      </c>
      <c r="T7101" s="22">
        <v>0.3</v>
      </c>
      <c r="U7101" s="22">
        <v>0.59</v>
      </c>
      <c r="V7101" s="22">
        <f>3.54/5</f>
        <v>0.70799999999999996</v>
      </c>
      <c r="W7101" s="14" t="s">
        <v>7777</v>
      </c>
      <c r="AB7101" s="18">
        <f t="shared" si="220"/>
        <v>2003</v>
      </c>
      <c r="AC7101" s="22">
        <f t="shared" si="221"/>
        <v>0.53266666666666662</v>
      </c>
    </row>
    <row r="7102" spans="1:29">
      <c r="A7102" s="8" t="s">
        <v>4794</v>
      </c>
      <c r="B7102" s="17" t="s">
        <v>7800</v>
      </c>
      <c r="C7102" s="13">
        <v>37718</v>
      </c>
      <c r="D7102" s="13" t="s">
        <v>8465</v>
      </c>
      <c r="E7102" s="10" t="s">
        <v>1342</v>
      </c>
      <c r="F7102" s="10" t="s">
        <v>1655</v>
      </c>
      <c r="G7102" s="11" t="s">
        <v>1646</v>
      </c>
      <c r="H7102" s="2" t="s">
        <v>1050</v>
      </c>
      <c r="L7102" s="18">
        <v>1</v>
      </c>
      <c r="N7102" s="13">
        <v>41568</v>
      </c>
      <c r="P7102" s="18" t="s">
        <v>1107</v>
      </c>
      <c r="Q7102" s="18">
        <v>1</v>
      </c>
      <c r="R7102" s="13">
        <v>44822</v>
      </c>
      <c r="S7102" s="21">
        <f>4+2/60</f>
        <v>4.0333333333333332</v>
      </c>
      <c r="T7102" s="22">
        <v>0.6</v>
      </c>
      <c r="U7102" s="22">
        <v>0.65</v>
      </c>
      <c r="V7102" s="22">
        <f>3.16/5</f>
        <v>0.63200000000000001</v>
      </c>
      <c r="W7102" s="14" t="s">
        <v>7777</v>
      </c>
      <c r="AB7102" s="18">
        <f t="shared" si="220"/>
        <v>2003</v>
      </c>
      <c r="AC7102" s="22">
        <f t="shared" si="221"/>
        <v>0.62733333333333341</v>
      </c>
    </row>
    <row r="7103" spans="1:29" ht="30">
      <c r="A7103" s="8" t="s">
        <v>918</v>
      </c>
      <c r="B7103" s="17" t="s">
        <v>7740</v>
      </c>
      <c r="C7103" s="13">
        <v>37704</v>
      </c>
      <c r="D7103" s="13" t="s">
        <v>8465</v>
      </c>
      <c r="E7103" s="10" t="s">
        <v>86</v>
      </c>
      <c r="F7103" s="10" t="s">
        <v>87</v>
      </c>
      <c r="G7103" s="11" t="s">
        <v>85</v>
      </c>
      <c r="H7103" s="2" t="s">
        <v>80</v>
      </c>
      <c r="L7103" s="18">
        <v>1</v>
      </c>
      <c r="M7103" s="14" t="s">
        <v>8462</v>
      </c>
      <c r="N7103" s="13">
        <v>43527</v>
      </c>
      <c r="O7103" s="29">
        <v>35</v>
      </c>
      <c r="P7103" s="18" t="s">
        <v>14</v>
      </c>
      <c r="Q7103" s="18">
        <v>1</v>
      </c>
      <c r="T7103" s="22">
        <v>0.9</v>
      </c>
      <c r="U7103" s="22">
        <v>0.94</v>
      </c>
      <c r="V7103" s="22">
        <f>4.39/5</f>
        <v>0.87799999999999989</v>
      </c>
      <c r="AB7103" s="18">
        <f t="shared" si="220"/>
        <v>2003</v>
      </c>
      <c r="AC7103" s="22">
        <f t="shared" si="221"/>
        <v>0.90600000000000003</v>
      </c>
    </row>
    <row r="7104" spans="1:29" ht="30">
      <c r="A7104" s="8" t="s">
        <v>1916</v>
      </c>
      <c r="B7104" s="17" t="s">
        <v>7747</v>
      </c>
      <c r="C7104" s="13">
        <v>37699</v>
      </c>
      <c r="D7104" s="13" t="s">
        <v>8465</v>
      </c>
      <c r="E7104" s="10" t="s">
        <v>86</v>
      </c>
      <c r="F7104" s="10" t="s">
        <v>1354</v>
      </c>
      <c r="G7104" s="11" t="s">
        <v>1470</v>
      </c>
      <c r="H7104" s="2" t="s">
        <v>149</v>
      </c>
      <c r="L7104" s="18">
        <v>0</v>
      </c>
      <c r="Q7104" s="18">
        <v>1</v>
      </c>
      <c r="T7104" s="22">
        <v>0.8</v>
      </c>
      <c r="U7104" s="22">
        <v>0.84</v>
      </c>
      <c r="V7104" s="22">
        <f>4.13/5</f>
        <v>0.82599999999999996</v>
      </c>
      <c r="AB7104" s="18">
        <f t="shared" si="220"/>
        <v>2003</v>
      </c>
      <c r="AC7104" s="22">
        <f t="shared" si="221"/>
        <v>0.82200000000000006</v>
      </c>
    </row>
    <row r="7105" spans="1:29" ht="30">
      <c r="A7105" s="8" t="s">
        <v>6651</v>
      </c>
      <c r="B7105" s="17" t="s">
        <v>7740</v>
      </c>
      <c r="C7105" s="13">
        <v>37621</v>
      </c>
      <c r="D7105" s="13" t="s">
        <v>8465</v>
      </c>
      <c r="E7105" s="10" t="s">
        <v>5010</v>
      </c>
      <c r="F7105" s="10" t="s">
        <v>6652</v>
      </c>
      <c r="G7105" s="11" t="s">
        <v>4445</v>
      </c>
      <c r="H7105" s="2" t="s">
        <v>1059</v>
      </c>
      <c r="L7105" s="18">
        <v>0</v>
      </c>
      <c r="Q7105" s="18">
        <v>0</v>
      </c>
      <c r="U7105" s="22">
        <v>0.8</v>
      </c>
      <c r="V7105" s="22">
        <f>3.54/5</f>
        <v>0.70799999999999996</v>
      </c>
      <c r="X7105" s="3">
        <v>3</v>
      </c>
      <c r="Z7105" s="23">
        <v>6</v>
      </c>
      <c r="AB7105" s="18">
        <f t="shared" ref="AB7105:AB7168" si="222">IFERROR(YEAR(C7105), "Early Access")</f>
        <v>2002</v>
      </c>
      <c r="AC7105" s="22">
        <f t="shared" ref="AC7105:AC7168" si="223">AVERAGE(T7105, U7105, V7105, IF(ISBLANK(X7105), X7105, X7105/5))</f>
        <v>0.70266666666666666</v>
      </c>
    </row>
    <row r="7106" spans="1:29">
      <c r="A7106" s="8" t="s">
        <v>13921</v>
      </c>
      <c r="B7106" s="17" t="s">
        <v>13887</v>
      </c>
      <c r="C7106" s="13">
        <v>37620</v>
      </c>
      <c r="D7106" s="13" t="s">
        <v>8465</v>
      </c>
      <c r="E7106" s="10" t="s">
        <v>13917</v>
      </c>
      <c r="F7106" s="10" t="s">
        <v>13917</v>
      </c>
      <c r="G7106" s="11" t="s">
        <v>13916</v>
      </c>
      <c r="H7106" s="2" t="s">
        <v>1040</v>
      </c>
      <c r="L7106" s="18">
        <v>0</v>
      </c>
      <c r="Q7106" s="18">
        <v>0</v>
      </c>
      <c r="V7106" s="22">
        <f>4.13/5</f>
        <v>0.82599999999999996</v>
      </c>
      <c r="X7106" s="3">
        <v>2</v>
      </c>
      <c r="AB7106" s="18">
        <f t="shared" si="222"/>
        <v>2002</v>
      </c>
      <c r="AC7106" s="22">
        <f t="shared" si="223"/>
        <v>0.61299999999999999</v>
      </c>
    </row>
    <row r="7107" spans="1:29" ht="30">
      <c r="A7107" s="8" t="s">
        <v>7989</v>
      </c>
      <c r="B7107" s="17" t="s">
        <v>7740</v>
      </c>
      <c r="C7107" s="13">
        <v>37612</v>
      </c>
      <c r="D7107" s="13" t="s">
        <v>8465</v>
      </c>
      <c r="E7107" s="10" t="s">
        <v>1047</v>
      </c>
      <c r="F7107" s="10" t="s">
        <v>7990</v>
      </c>
      <c r="G7107" s="11" t="s">
        <v>7289</v>
      </c>
      <c r="H7107" s="2" t="s">
        <v>67</v>
      </c>
      <c r="L7107" s="18">
        <v>0</v>
      </c>
      <c r="Q7107" s="18">
        <v>0</v>
      </c>
      <c r="U7107" s="22">
        <v>0.61499999999999999</v>
      </c>
      <c r="V7107" s="22">
        <f>3.56/5</f>
        <v>0.71199999999999997</v>
      </c>
      <c r="X7107" s="3">
        <v>2</v>
      </c>
      <c r="Z7107" s="23">
        <v>2.5</v>
      </c>
      <c r="AB7107" s="18">
        <f t="shared" si="222"/>
        <v>2002</v>
      </c>
      <c r="AC7107" s="22">
        <f t="shared" si="223"/>
        <v>0.57566666666666666</v>
      </c>
    </row>
    <row r="7108" spans="1:29" ht="30">
      <c r="A7108" s="8" t="s">
        <v>6776</v>
      </c>
      <c r="B7108" s="17" t="s">
        <v>7747</v>
      </c>
      <c r="C7108" s="13">
        <v>37612</v>
      </c>
      <c r="D7108" s="13" t="s">
        <v>8465</v>
      </c>
      <c r="E7108" s="10" t="s">
        <v>70</v>
      </c>
      <c r="F7108" s="10" t="s">
        <v>7527</v>
      </c>
      <c r="G7108" s="11" t="s">
        <v>6776</v>
      </c>
      <c r="H7108" s="2" t="s">
        <v>56</v>
      </c>
      <c r="L7108" s="18">
        <v>0</v>
      </c>
      <c r="Q7108" s="18">
        <v>0</v>
      </c>
      <c r="U7108" s="22">
        <v>0.67</v>
      </c>
      <c r="V7108" s="22">
        <f>3.21/5</f>
        <v>0.64200000000000002</v>
      </c>
      <c r="X7108" s="3">
        <v>2</v>
      </c>
      <c r="Z7108" s="23">
        <v>5.5</v>
      </c>
      <c r="AB7108" s="18">
        <f t="shared" si="222"/>
        <v>2002</v>
      </c>
      <c r="AC7108" s="22">
        <f t="shared" si="223"/>
        <v>0.57066666666666677</v>
      </c>
    </row>
    <row r="7109" spans="1:29" ht="25.5">
      <c r="A7109" s="8" t="s">
        <v>531</v>
      </c>
      <c r="B7109" s="17" t="s">
        <v>7731</v>
      </c>
      <c r="C7109" s="13">
        <v>37608</v>
      </c>
      <c r="D7109" s="13" t="s">
        <v>8465</v>
      </c>
      <c r="E7109" s="10" t="s">
        <v>1225</v>
      </c>
      <c r="F7109" s="10" t="s">
        <v>170</v>
      </c>
      <c r="G7109" s="11" t="s">
        <v>567</v>
      </c>
      <c r="H7109" s="2" t="s">
        <v>459</v>
      </c>
      <c r="L7109" s="18">
        <v>0</v>
      </c>
      <c r="Q7109" s="18">
        <v>0</v>
      </c>
      <c r="V7109" s="22">
        <f>4.23/5</f>
        <v>0.84600000000000009</v>
      </c>
      <c r="X7109" s="3">
        <v>2</v>
      </c>
      <c r="Z7109" s="23">
        <v>0.55000000000000004</v>
      </c>
      <c r="AB7109" s="18">
        <f t="shared" si="222"/>
        <v>2002</v>
      </c>
      <c r="AC7109" s="22">
        <f t="shared" si="223"/>
        <v>0.623</v>
      </c>
    </row>
    <row r="7110" spans="1:29">
      <c r="A7110" s="8" t="s">
        <v>9318</v>
      </c>
      <c r="B7110" s="17" t="s">
        <v>7764</v>
      </c>
      <c r="C7110" s="13">
        <v>37606</v>
      </c>
      <c r="D7110" s="13" t="s">
        <v>8465</v>
      </c>
      <c r="E7110" s="10" t="s">
        <v>68</v>
      </c>
      <c r="F7110" s="10" t="s">
        <v>68</v>
      </c>
      <c r="G7110" s="11" t="s">
        <v>9318</v>
      </c>
      <c r="H7110" s="2" t="s">
        <v>1059</v>
      </c>
      <c r="L7110" s="18">
        <v>0</v>
      </c>
      <c r="Q7110" s="18">
        <v>0</v>
      </c>
      <c r="U7110" s="22">
        <v>0.78</v>
      </c>
      <c r="V7110" s="22">
        <f>3.45/5</f>
        <v>0.69000000000000006</v>
      </c>
      <c r="X7110" s="3">
        <v>3</v>
      </c>
      <c r="Y7110" s="18">
        <v>1</v>
      </c>
      <c r="Z7110" s="23">
        <v>10.5</v>
      </c>
      <c r="AB7110" s="18">
        <f t="shared" si="222"/>
        <v>2002</v>
      </c>
      <c r="AC7110" s="22">
        <f t="shared" si="223"/>
        <v>0.69000000000000006</v>
      </c>
    </row>
    <row r="7111" spans="1:29" ht="30">
      <c r="A7111" s="8" t="s">
        <v>2044</v>
      </c>
      <c r="B7111" s="17" t="s">
        <v>7747</v>
      </c>
      <c r="C7111" s="13">
        <v>37605</v>
      </c>
      <c r="D7111" s="13" t="s">
        <v>8465</v>
      </c>
      <c r="E7111" s="10" t="s">
        <v>1273</v>
      </c>
      <c r="F7111" s="10" t="s">
        <v>1956</v>
      </c>
      <c r="G7111" s="11" t="s">
        <v>1978</v>
      </c>
      <c r="H7111" s="2" t="s">
        <v>56</v>
      </c>
      <c r="L7111" s="18">
        <v>0</v>
      </c>
      <c r="Q7111" s="18">
        <v>0</v>
      </c>
      <c r="U7111" s="22">
        <v>0.62</v>
      </c>
      <c r="V7111" s="22">
        <f>3.43/5</f>
        <v>0.68600000000000005</v>
      </c>
      <c r="X7111" s="3">
        <v>3</v>
      </c>
      <c r="Z7111" s="23">
        <v>1.5</v>
      </c>
      <c r="AB7111" s="18">
        <f t="shared" si="222"/>
        <v>2002</v>
      </c>
      <c r="AC7111" s="22">
        <f t="shared" si="223"/>
        <v>0.63533333333333342</v>
      </c>
    </row>
    <row r="7112" spans="1:29" ht="38.25">
      <c r="A7112" s="8" t="s">
        <v>2014</v>
      </c>
      <c r="B7112" s="17" t="s">
        <v>7747</v>
      </c>
      <c r="C7112" s="13">
        <v>37603</v>
      </c>
      <c r="D7112" s="13" t="s">
        <v>8463</v>
      </c>
      <c r="E7112" s="10" t="s">
        <v>158</v>
      </c>
      <c r="F7112" s="10" t="s">
        <v>158</v>
      </c>
      <c r="G7112" s="11" t="s">
        <v>1003</v>
      </c>
      <c r="H7112" s="2" t="s">
        <v>171</v>
      </c>
      <c r="K7112" s="18">
        <v>2</v>
      </c>
      <c r="L7112" s="18">
        <v>0</v>
      </c>
      <c r="Q7112" s="18">
        <v>0</v>
      </c>
      <c r="U7112" s="22">
        <v>0.9</v>
      </c>
      <c r="V7112" s="22">
        <f>3.65/5</f>
        <v>0.73</v>
      </c>
      <c r="X7112" s="3">
        <v>3</v>
      </c>
      <c r="Z7112" s="23">
        <v>20.5</v>
      </c>
      <c r="AB7112" s="18">
        <f t="shared" si="222"/>
        <v>2002</v>
      </c>
      <c r="AC7112" s="22">
        <f t="shared" si="223"/>
        <v>0.74333333333333329</v>
      </c>
    </row>
    <row r="7113" spans="1:29" ht="30">
      <c r="A7113" s="8" t="s">
        <v>15999</v>
      </c>
      <c r="B7113" s="17" t="s">
        <v>7747</v>
      </c>
      <c r="C7113" s="13">
        <v>37603</v>
      </c>
      <c r="D7113" s="13" t="s">
        <v>8463</v>
      </c>
      <c r="E7113" s="10" t="s">
        <v>9060</v>
      </c>
      <c r="F7113" s="10" t="s">
        <v>9060</v>
      </c>
      <c r="G7113" s="11" t="s">
        <v>126</v>
      </c>
      <c r="H7113" s="2" t="s">
        <v>1469</v>
      </c>
      <c r="K7113" s="18">
        <v>2</v>
      </c>
      <c r="L7113" s="18">
        <v>0</v>
      </c>
      <c r="Q7113" s="18">
        <v>0</v>
      </c>
      <c r="V7113" s="22">
        <f>3.42/5</f>
        <v>0.68399999999999994</v>
      </c>
      <c r="X7113" s="3">
        <v>2</v>
      </c>
      <c r="AB7113" s="18">
        <f t="shared" si="222"/>
        <v>2002</v>
      </c>
      <c r="AC7113" s="22">
        <f t="shared" si="223"/>
        <v>0.54200000000000004</v>
      </c>
    </row>
    <row r="7114" spans="1:29" ht="30">
      <c r="A7114" s="8" t="s">
        <v>11126</v>
      </c>
      <c r="B7114" s="17" t="s">
        <v>7747</v>
      </c>
      <c r="C7114" s="13">
        <v>37602</v>
      </c>
      <c r="D7114" s="13" t="s">
        <v>8463</v>
      </c>
      <c r="E7114" s="10" t="s">
        <v>11127</v>
      </c>
      <c r="F7114" s="10" t="s">
        <v>1474</v>
      </c>
      <c r="G7114" s="11" t="s">
        <v>11128</v>
      </c>
      <c r="H7114" s="2" t="s">
        <v>255</v>
      </c>
      <c r="K7114" s="18">
        <v>2</v>
      </c>
      <c r="L7114" s="18">
        <v>0</v>
      </c>
      <c r="Q7114" s="18">
        <v>0</v>
      </c>
      <c r="V7114" s="22">
        <f>3.71/5</f>
        <v>0.74199999999999999</v>
      </c>
      <c r="X7114" s="3">
        <v>2</v>
      </c>
      <c r="Z7114" s="23">
        <v>2</v>
      </c>
      <c r="AB7114" s="18">
        <f t="shared" si="222"/>
        <v>2002</v>
      </c>
      <c r="AC7114" s="22">
        <f t="shared" si="223"/>
        <v>0.57099999999999995</v>
      </c>
    </row>
    <row r="7115" spans="1:29" ht="38.25">
      <c r="A7115" s="8" t="s">
        <v>15662</v>
      </c>
      <c r="B7115" s="17" t="s">
        <v>7757</v>
      </c>
      <c r="C7115" s="13">
        <v>37602</v>
      </c>
      <c r="D7115" s="13" t="s">
        <v>8463</v>
      </c>
      <c r="E7115" s="10" t="s">
        <v>228</v>
      </c>
      <c r="F7115" s="10" t="s">
        <v>242</v>
      </c>
      <c r="G7115" s="11" t="s">
        <v>226</v>
      </c>
      <c r="H7115" s="2" t="s">
        <v>255</v>
      </c>
      <c r="K7115" s="18">
        <v>0</v>
      </c>
      <c r="L7115" s="18">
        <v>0</v>
      </c>
      <c r="Q7115" s="18">
        <v>0</v>
      </c>
      <c r="V7115" s="22">
        <f>4.04/5</f>
        <v>0.80800000000000005</v>
      </c>
      <c r="X7115" s="3">
        <v>2</v>
      </c>
      <c r="AB7115" s="18">
        <f t="shared" si="222"/>
        <v>2002</v>
      </c>
      <c r="AC7115" s="22">
        <f t="shared" si="223"/>
        <v>0.60400000000000009</v>
      </c>
    </row>
    <row r="7116" spans="1:29">
      <c r="A7116" s="8" t="s">
        <v>11079</v>
      </c>
      <c r="B7116" s="17" t="s">
        <v>7764</v>
      </c>
      <c r="C7116" s="13">
        <v>37601</v>
      </c>
      <c r="D7116" s="13" t="s">
        <v>8465</v>
      </c>
      <c r="E7116" s="10" t="s">
        <v>70</v>
      </c>
      <c r="F7116" s="10" t="s">
        <v>11080</v>
      </c>
      <c r="G7116" s="11" t="s">
        <v>11076</v>
      </c>
      <c r="H7116" s="2" t="s">
        <v>171</v>
      </c>
      <c r="L7116" s="18">
        <v>0</v>
      </c>
      <c r="Q7116" s="18">
        <v>0</v>
      </c>
      <c r="U7116" s="22">
        <v>0.46</v>
      </c>
      <c r="V7116" s="22">
        <f>2/5</f>
        <v>0.4</v>
      </c>
      <c r="X7116" s="3">
        <v>2</v>
      </c>
      <c r="AB7116" s="18">
        <f t="shared" si="222"/>
        <v>2002</v>
      </c>
      <c r="AC7116" s="22">
        <f t="shared" si="223"/>
        <v>0.4200000000000001</v>
      </c>
    </row>
    <row r="7117" spans="1:29" ht="30">
      <c r="A7117" s="8" t="s">
        <v>2020</v>
      </c>
      <c r="B7117" s="17" t="s">
        <v>7747</v>
      </c>
      <c r="C7117" s="13">
        <v>37600</v>
      </c>
      <c r="D7117" s="13" t="s">
        <v>8465</v>
      </c>
      <c r="E7117" s="10" t="s">
        <v>1047</v>
      </c>
      <c r="F7117" s="10" t="s">
        <v>1345</v>
      </c>
      <c r="G7117" s="11" t="s">
        <v>1960</v>
      </c>
      <c r="H7117" s="2" t="s">
        <v>149</v>
      </c>
      <c r="L7117" s="18">
        <v>0</v>
      </c>
      <c r="Q7117" s="18">
        <v>0</v>
      </c>
      <c r="U7117" s="22">
        <v>0.79</v>
      </c>
      <c r="V7117" s="22">
        <f>3.67/5</f>
        <v>0.73399999999999999</v>
      </c>
      <c r="X7117" s="3">
        <v>3</v>
      </c>
      <c r="Z7117" s="23">
        <v>17</v>
      </c>
      <c r="AB7117" s="18">
        <f t="shared" si="222"/>
        <v>2002</v>
      </c>
      <c r="AC7117" s="22">
        <f t="shared" si="223"/>
        <v>0.70800000000000007</v>
      </c>
    </row>
    <row r="7118" spans="1:29" ht="30">
      <c r="A7118" s="8" t="s">
        <v>2018</v>
      </c>
      <c r="B7118" s="17" t="s">
        <v>7747</v>
      </c>
      <c r="C7118" s="13">
        <v>37596</v>
      </c>
      <c r="D7118" s="13" t="s">
        <v>8463</v>
      </c>
      <c r="E7118" s="10" t="s">
        <v>86</v>
      </c>
      <c r="F7118" s="10" t="s">
        <v>461</v>
      </c>
      <c r="G7118" s="11" t="s">
        <v>1958</v>
      </c>
      <c r="H7118" s="2" t="s">
        <v>78</v>
      </c>
      <c r="K7118" s="18">
        <v>1</v>
      </c>
      <c r="L7118" s="18">
        <v>0</v>
      </c>
      <c r="Q7118" s="18">
        <v>0</v>
      </c>
      <c r="V7118" s="22">
        <f>3.86/5</f>
        <v>0.77200000000000002</v>
      </c>
      <c r="X7118" s="3">
        <v>3</v>
      </c>
      <c r="Z7118" s="23">
        <v>0.88</v>
      </c>
      <c r="AB7118" s="18">
        <f t="shared" si="222"/>
        <v>2002</v>
      </c>
      <c r="AC7118" s="22">
        <f t="shared" si="223"/>
        <v>0.68599999999999994</v>
      </c>
    </row>
    <row r="7119" spans="1:29" ht="25.5">
      <c r="A7119" s="8" t="s">
        <v>7812</v>
      </c>
      <c r="B7119" s="17" t="s">
        <v>7764</v>
      </c>
      <c r="C7119" s="13">
        <v>37595</v>
      </c>
      <c r="D7119" s="13" t="s">
        <v>8463</v>
      </c>
      <c r="E7119" s="10" t="s">
        <v>228</v>
      </c>
      <c r="F7119" s="10" t="s">
        <v>228</v>
      </c>
      <c r="G7119" s="11" t="s">
        <v>1171</v>
      </c>
      <c r="H7119" s="2" t="s">
        <v>149</v>
      </c>
      <c r="K7119" s="18">
        <v>0</v>
      </c>
      <c r="L7119" s="18">
        <v>0</v>
      </c>
      <c r="Q7119" s="18">
        <v>0</v>
      </c>
      <c r="V7119" s="22">
        <f>3.81/5</f>
        <v>0.76200000000000001</v>
      </c>
      <c r="X7119" s="3">
        <v>3</v>
      </c>
      <c r="Y7119" s="18">
        <v>1</v>
      </c>
      <c r="Z7119" s="23">
        <v>27</v>
      </c>
      <c r="AB7119" s="18">
        <f t="shared" si="222"/>
        <v>2002</v>
      </c>
      <c r="AC7119" s="22">
        <f t="shared" si="223"/>
        <v>0.68100000000000005</v>
      </c>
    </row>
    <row r="7120" spans="1:29">
      <c r="A7120" s="8" t="s">
        <v>14598</v>
      </c>
      <c r="B7120" s="17" t="s">
        <v>7764</v>
      </c>
      <c r="C7120" s="13">
        <v>37595</v>
      </c>
      <c r="D7120" s="13" t="s">
        <v>8463</v>
      </c>
      <c r="E7120" s="10" t="s">
        <v>14599</v>
      </c>
      <c r="F7120" s="10" t="s">
        <v>14600</v>
      </c>
      <c r="H7120" s="2" t="s">
        <v>75</v>
      </c>
      <c r="K7120" s="18">
        <v>0</v>
      </c>
      <c r="L7120" s="18">
        <v>0</v>
      </c>
      <c r="Q7120" s="18">
        <v>0</v>
      </c>
      <c r="V7120" s="22">
        <f>3.5/5</f>
        <v>0.7</v>
      </c>
      <c r="X7120" s="3">
        <v>2</v>
      </c>
      <c r="AB7120" s="18">
        <f t="shared" si="222"/>
        <v>2002</v>
      </c>
      <c r="AC7120" s="22">
        <f t="shared" si="223"/>
        <v>0.55000000000000004</v>
      </c>
    </row>
    <row r="7121" spans="1:29">
      <c r="A7121" s="8" t="s">
        <v>8817</v>
      </c>
      <c r="B7121" s="17" t="s">
        <v>7764</v>
      </c>
      <c r="C7121" s="13">
        <v>37593</v>
      </c>
      <c r="D7121" s="13" t="s">
        <v>8465</v>
      </c>
      <c r="E7121" s="10" t="s">
        <v>1954</v>
      </c>
      <c r="F7121" s="10" t="s">
        <v>8818</v>
      </c>
      <c r="H7121" s="2" t="s">
        <v>149</v>
      </c>
      <c r="L7121" s="18">
        <v>0</v>
      </c>
      <c r="Q7121" s="18">
        <v>0</v>
      </c>
      <c r="U7121" s="22">
        <v>0.44</v>
      </c>
      <c r="V7121" s="22">
        <f>2.92/5</f>
        <v>0.58399999999999996</v>
      </c>
      <c r="X7121" s="3">
        <v>2</v>
      </c>
      <c r="Y7121" s="18">
        <v>1</v>
      </c>
      <c r="Z7121" s="23">
        <v>8</v>
      </c>
      <c r="AB7121" s="18">
        <f t="shared" si="222"/>
        <v>2002</v>
      </c>
      <c r="AC7121" s="22">
        <f t="shared" si="223"/>
        <v>0.47466666666666663</v>
      </c>
    </row>
    <row r="7122" spans="1:29" ht="30">
      <c r="A7122" s="8" t="s">
        <v>7447</v>
      </c>
      <c r="B7122" s="17" t="s">
        <v>7758</v>
      </c>
      <c r="C7122" s="13">
        <v>37591</v>
      </c>
      <c r="D7122" s="13" t="s">
        <v>8465</v>
      </c>
      <c r="E7122" s="10" t="s">
        <v>1047</v>
      </c>
      <c r="F7122" s="10" t="s">
        <v>6607</v>
      </c>
      <c r="G7122" s="11" t="s">
        <v>2474</v>
      </c>
      <c r="H7122" s="2" t="s">
        <v>7448</v>
      </c>
      <c r="L7122" s="18">
        <v>0</v>
      </c>
      <c r="Q7122" s="18">
        <v>0</v>
      </c>
      <c r="U7122" s="22">
        <v>0.67</v>
      </c>
      <c r="V7122" s="22">
        <f>3.63/5</f>
        <v>0.72599999999999998</v>
      </c>
      <c r="X7122" s="3">
        <v>3</v>
      </c>
      <c r="Z7122" s="23">
        <v>12</v>
      </c>
      <c r="AB7122" s="18">
        <f t="shared" si="222"/>
        <v>2002</v>
      </c>
      <c r="AC7122" s="22">
        <f t="shared" si="223"/>
        <v>0.66533333333333333</v>
      </c>
    </row>
    <row r="7123" spans="1:29">
      <c r="A7123" s="8" t="s">
        <v>15005</v>
      </c>
      <c r="B7123" s="17" t="s">
        <v>7758</v>
      </c>
      <c r="C7123" s="13">
        <v>37590</v>
      </c>
      <c r="D7123" s="13" t="s">
        <v>8465</v>
      </c>
      <c r="E7123" s="10" t="s">
        <v>231</v>
      </c>
      <c r="F7123" s="10" t="s">
        <v>14999</v>
      </c>
      <c r="G7123" s="11" t="s">
        <v>4305</v>
      </c>
      <c r="H7123" s="2" t="s">
        <v>80</v>
      </c>
      <c r="L7123" s="18">
        <v>0</v>
      </c>
      <c r="Q7123" s="18">
        <v>0</v>
      </c>
      <c r="U7123" s="22">
        <v>0.63</v>
      </c>
      <c r="V7123" s="22">
        <f>3.06/5</f>
        <v>0.61199999999999999</v>
      </c>
      <c r="X7123" s="3">
        <v>2</v>
      </c>
      <c r="Z7123" s="23">
        <v>3.5</v>
      </c>
      <c r="AB7123" s="18">
        <f t="shared" si="222"/>
        <v>2002</v>
      </c>
      <c r="AC7123" s="22">
        <f t="shared" si="223"/>
        <v>0.54733333333333334</v>
      </c>
    </row>
    <row r="7124" spans="1:29">
      <c r="A7124" s="8" t="s">
        <v>5778</v>
      </c>
      <c r="B7124" s="17" t="s">
        <v>7758</v>
      </c>
      <c r="C7124" s="13">
        <v>37588</v>
      </c>
      <c r="D7124" s="13" t="s">
        <v>8463</v>
      </c>
      <c r="E7124" s="10" t="s">
        <v>158</v>
      </c>
      <c r="F7124" s="10" t="s">
        <v>1294</v>
      </c>
      <c r="G7124" s="11" t="s">
        <v>1422</v>
      </c>
      <c r="H7124" s="2" t="s">
        <v>149</v>
      </c>
      <c r="K7124" s="18">
        <v>1</v>
      </c>
      <c r="L7124" s="18">
        <v>0</v>
      </c>
      <c r="Q7124" s="18">
        <v>0</v>
      </c>
      <c r="U7124" s="22">
        <v>0.78</v>
      </c>
      <c r="V7124" s="22">
        <f>3.96/5</f>
        <v>0.79200000000000004</v>
      </c>
      <c r="X7124" s="3">
        <v>3</v>
      </c>
      <c r="Z7124" s="23">
        <v>34</v>
      </c>
      <c r="AB7124" s="18">
        <f t="shared" si="222"/>
        <v>2002</v>
      </c>
      <c r="AC7124" s="22">
        <f t="shared" si="223"/>
        <v>0.72400000000000009</v>
      </c>
    </row>
    <row r="7125" spans="1:29" ht="25.5">
      <c r="A7125" s="8" t="s">
        <v>9156</v>
      </c>
      <c r="B7125" s="17" t="s">
        <v>7758</v>
      </c>
      <c r="C7125" s="13">
        <v>37585</v>
      </c>
      <c r="D7125" s="13" t="s">
        <v>8465</v>
      </c>
      <c r="E7125" s="10" t="s">
        <v>76</v>
      </c>
      <c r="F7125" s="10" t="s">
        <v>76</v>
      </c>
      <c r="G7125" s="11" t="s">
        <v>194</v>
      </c>
      <c r="H7125" s="2" t="s">
        <v>80</v>
      </c>
      <c r="L7125" s="18">
        <v>0</v>
      </c>
      <c r="Q7125" s="18">
        <v>0</v>
      </c>
      <c r="U7125" s="22">
        <v>0.83</v>
      </c>
      <c r="V7125" s="22">
        <f>3.43/5</f>
        <v>0.68600000000000005</v>
      </c>
      <c r="X7125" s="3">
        <v>3</v>
      </c>
      <c r="Z7125" s="23">
        <v>5.5</v>
      </c>
      <c r="AB7125" s="18">
        <f t="shared" si="222"/>
        <v>2002</v>
      </c>
      <c r="AC7125" s="22">
        <f t="shared" si="223"/>
        <v>0.70533333333333337</v>
      </c>
    </row>
    <row r="7126" spans="1:29" ht="30">
      <c r="A7126" s="8" t="s">
        <v>11555</v>
      </c>
      <c r="B7126" s="17" t="s">
        <v>7740</v>
      </c>
      <c r="C7126" s="13">
        <v>37585</v>
      </c>
      <c r="D7126" s="13" t="s">
        <v>8465</v>
      </c>
      <c r="E7126" s="10" t="s">
        <v>158</v>
      </c>
      <c r="F7126" s="10" t="s">
        <v>5048</v>
      </c>
      <c r="G7126" s="11" t="s">
        <v>11555</v>
      </c>
      <c r="H7126" s="2" t="s">
        <v>1168</v>
      </c>
      <c r="L7126" s="18">
        <v>0</v>
      </c>
      <c r="Q7126" s="18">
        <v>0</v>
      </c>
      <c r="U7126" s="22">
        <v>0.77</v>
      </c>
      <c r="V7126" s="22">
        <f>3.31/5</f>
        <v>0.66200000000000003</v>
      </c>
      <c r="X7126" s="3">
        <v>3</v>
      </c>
      <c r="Z7126" s="23">
        <v>8</v>
      </c>
      <c r="AB7126" s="18">
        <f t="shared" si="222"/>
        <v>2002</v>
      </c>
      <c r="AC7126" s="22">
        <f t="shared" si="223"/>
        <v>0.67733333333333334</v>
      </c>
    </row>
    <row r="7127" spans="1:29" ht="30">
      <c r="A7127" s="8" t="s">
        <v>1989</v>
      </c>
      <c r="B7127" s="17" t="s">
        <v>7747</v>
      </c>
      <c r="C7127" s="13">
        <v>37584</v>
      </c>
      <c r="D7127" s="13" t="s">
        <v>8465</v>
      </c>
      <c r="E7127" s="10" t="s">
        <v>455</v>
      </c>
      <c r="F7127" s="10" t="s">
        <v>1865</v>
      </c>
      <c r="G7127" s="11" t="s">
        <v>1936</v>
      </c>
      <c r="H7127" s="2" t="s">
        <v>149</v>
      </c>
      <c r="L7127" s="18">
        <v>0</v>
      </c>
      <c r="Q7127" s="18">
        <v>0</v>
      </c>
      <c r="U7127" s="22">
        <v>0.76</v>
      </c>
      <c r="V7127" s="22">
        <f>3.7/5</f>
        <v>0.74</v>
      </c>
      <c r="X7127" s="3">
        <v>2</v>
      </c>
      <c r="Z7127" s="23">
        <v>63.5</v>
      </c>
      <c r="AB7127" s="18">
        <f t="shared" si="222"/>
        <v>2002</v>
      </c>
      <c r="AC7127" s="22">
        <f t="shared" si="223"/>
        <v>0.6333333333333333</v>
      </c>
    </row>
    <row r="7128" spans="1:29" ht="38.25">
      <c r="A7128" s="8" t="s">
        <v>1990</v>
      </c>
      <c r="B7128" s="17" t="s">
        <v>7747</v>
      </c>
      <c r="C7128" s="13">
        <v>37583</v>
      </c>
      <c r="D7128" s="13" t="s">
        <v>8465</v>
      </c>
      <c r="E7128" s="10" t="s">
        <v>1342</v>
      </c>
      <c r="F7128" s="10" t="s">
        <v>1937</v>
      </c>
      <c r="G7128" s="11" t="s">
        <v>1938</v>
      </c>
      <c r="H7128" s="2" t="s">
        <v>153</v>
      </c>
      <c r="L7128" s="18">
        <v>0</v>
      </c>
      <c r="Q7128" s="18">
        <v>0</v>
      </c>
      <c r="U7128" s="22">
        <v>0.6</v>
      </c>
      <c r="V7128" s="22">
        <f>3.1/5</f>
        <v>0.62</v>
      </c>
      <c r="X7128" s="3">
        <v>2</v>
      </c>
      <c r="Z7128" s="23">
        <v>2</v>
      </c>
      <c r="AB7128" s="18">
        <f t="shared" si="222"/>
        <v>2002</v>
      </c>
      <c r="AC7128" s="22">
        <f t="shared" si="223"/>
        <v>0.54</v>
      </c>
    </row>
    <row r="7129" spans="1:29" ht="30">
      <c r="A7129" s="8" t="s">
        <v>14586</v>
      </c>
      <c r="B7129" s="17" t="s">
        <v>7764</v>
      </c>
      <c r="C7129" s="13">
        <v>37580</v>
      </c>
      <c r="D7129" s="13" t="s">
        <v>8465</v>
      </c>
      <c r="E7129" s="10" t="s">
        <v>73</v>
      </c>
      <c r="F7129" s="10" t="s">
        <v>1060</v>
      </c>
      <c r="G7129" s="11" t="s">
        <v>14586</v>
      </c>
      <c r="H7129" s="2" t="s">
        <v>1204</v>
      </c>
      <c r="L7129" s="18">
        <v>0</v>
      </c>
      <c r="Q7129" s="18">
        <v>0</v>
      </c>
      <c r="U7129" s="22">
        <v>0.83</v>
      </c>
      <c r="V7129" s="22">
        <f>4.09/5</f>
        <v>0.81799999999999995</v>
      </c>
      <c r="X7129" s="3">
        <v>2</v>
      </c>
      <c r="Y7129" s="18">
        <v>1</v>
      </c>
      <c r="AB7129" s="18">
        <f t="shared" si="222"/>
        <v>2002</v>
      </c>
      <c r="AC7129" s="22">
        <f t="shared" si="223"/>
        <v>0.68266666666666664</v>
      </c>
    </row>
    <row r="7130" spans="1:29" ht="30">
      <c r="A7130" s="8" t="s">
        <v>14670</v>
      </c>
      <c r="B7130" s="17" t="s">
        <v>7764</v>
      </c>
      <c r="C7130" s="13">
        <v>37580</v>
      </c>
      <c r="D7130" s="13" t="s">
        <v>8465</v>
      </c>
      <c r="E7130" s="10" t="s">
        <v>13496</v>
      </c>
      <c r="F7130" s="10" t="s">
        <v>14671</v>
      </c>
      <c r="H7130" s="2" t="s">
        <v>1168</v>
      </c>
      <c r="L7130" s="18">
        <v>0</v>
      </c>
      <c r="Q7130" s="18">
        <v>0</v>
      </c>
      <c r="U7130" s="22">
        <v>0.48</v>
      </c>
      <c r="V7130" s="22">
        <f>2.77/5</f>
        <v>0.55400000000000005</v>
      </c>
      <c r="X7130" s="3">
        <v>2</v>
      </c>
      <c r="Z7130" s="23">
        <v>4.5</v>
      </c>
      <c r="AB7130" s="18">
        <f t="shared" si="222"/>
        <v>2002</v>
      </c>
      <c r="AC7130" s="22">
        <f t="shared" si="223"/>
        <v>0.47800000000000004</v>
      </c>
    </row>
    <row r="7131" spans="1:29" ht="30">
      <c r="A7131" s="8" t="s">
        <v>2041</v>
      </c>
      <c r="B7131" s="17" t="s">
        <v>7747</v>
      </c>
      <c r="C7131" s="13">
        <v>37579</v>
      </c>
      <c r="D7131" s="13" t="s">
        <v>8465</v>
      </c>
      <c r="E7131" s="10" t="s">
        <v>1342</v>
      </c>
      <c r="F7131" s="10" t="s">
        <v>1976</v>
      </c>
      <c r="G7131" s="11" t="s">
        <v>1977</v>
      </c>
      <c r="H7131" s="2" t="s">
        <v>78</v>
      </c>
      <c r="L7131" s="18">
        <v>0</v>
      </c>
      <c r="Q7131" s="18">
        <v>0</v>
      </c>
      <c r="U7131" s="22">
        <v>0.79</v>
      </c>
      <c r="V7131" s="22">
        <f>3.21/5</f>
        <v>0.64200000000000002</v>
      </c>
      <c r="X7131" s="3">
        <v>3</v>
      </c>
      <c r="Z7131" s="23">
        <v>6.5</v>
      </c>
      <c r="AB7131" s="18">
        <f t="shared" si="222"/>
        <v>2002</v>
      </c>
      <c r="AC7131" s="22">
        <f t="shared" si="223"/>
        <v>0.67733333333333334</v>
      </c>
    </row>
    <row r="7132" spans="1:29" ht="30">
      <c r="A7132" s="8" t="s">
        <v>2593</v>
      </c>
      <c r="B7132" s="17" t="s">
        <v>7747</v>
      </c>
      <c r="C7132" s="13">
        <v>37579</v>
      </c>
      <c r="D7132" s="13" t="s">
        <v>8465</v>
      </c>
      <c r="E7132" s="10" t="s">
        <v>1342</v>
      </c>
      <c r="F7132" s="10" t="s">
        <v>1937</v>
      </c>
      <c r="G7132" s="11" t="s">
        <v>2407</v>
      </c>
      <c r="H7132" s="2" t="s">
        <v>56</v>
      </c>
      <c r="L7132" s="18">
        <v>0</v>
      </c>
      <c r="Q7132" s="18">
        <v>0</v>
      </c>
      <c r="U7132" s="22">
        <v>0.48039999999999999</v>
      </c>
      <c r="V7132" s="22">
        <f>2.61/5</f>
        <v>0.52200000000000002</v>
      </c>
      <c r="X7132" s="3">
        <v>2</v>
      </c>
      <c r="Z7132" s="23">
        <v>3.5</v>
      </c>
      <c r="AB7132" s="18">
        <f t="shared" si="222"/>
        <v>2002</v>
      </c>
      <c r="AC7132" s="22">
        <f t="shared" si="223"/>
        <v>0.4674666666666667</v>
      </c>
    </row>
    <row r="7133" spans="1:29" ht="30">
      <c r="A7133" s="8" t="s">
        <v>10801</v>
      </c>
      <c r="B7133" s="17" t="s">
        <v>7740</v>
      </c>
      <c r="C7133" s="13">
        <v>37578</v>
      </c>
      <c r="D7133" s="13" t="s">
        <v>8465</v>
      </c>
      <c r="E7133" s="10" t="s">
        <v>5010</v>
      </c>
      <c r="F7133" s="10" t="s">
        <v>241</v>
      </c>
      <c r="G7133" s="11" t="s">
        <v>1482</v>
      </c>
      <c r="H7133" s="2" t="s">
        <v>1050</v>
      </c>
      <c r="L7133" s="18">
        <v>0</v>
      </c>
      <c r="Q7133" s="18">
        <v>0</v>
      </c>
      <c r="U7133" s="22">
        <v>0.8</v>
      </c>
      <c r="V7133" s="22">
        <f>3.88/5</f>
        <v>0.77600000000000002</v>
      </c>
      <c r="X7133" s="3">
        <v>3</v>
      </c>
      <c r="Z7133" s="23">
        <v>6.5</v>
      </c>
      <c r="AB7133" s="18">
        <f t="shared" si="222"/>
        <v>2002</v>
      </c>
      <c r="AC7133" s="22">
        <f t="shared" si="223"/>
        <v>0.72533333333333339</v>
      </c>
    </row>
    <row r="7134" spans="1:29" ht="30">
      <c r="A7134" s="8" t="s">
        <v>7602</v>
      </c>
      <c r="B7134" s="17" t="s">
        <v>7740</v>
      </c>
      <c r="C7134" s="13">
        <v>37578</v>
      </c>
      <c r="D7134" s="13" t="s">
        <v>8465</v>
      </c>
      <c r="E7134" s="10" t="s">
        <v>1272</v>
      </c>
      <c r="F7134" s="10" t="s">
        <v>1055</v>
      </c>
      <c r="G7134" s="11" t="s">
        <v>7602</v>
      </c>
      <c r="H7134" s="2" t="s">
        <v>1059</v>
      </c>
      <c r="L7134" s="18">
        <v>0</v>
      </c>
      <c r="Q7134" s="18">
        <v>0</v>
      </c>
      <c r="U7134" s="22">
        <v>0.72</v>
      </c>
      <c r="V7134" s="22">
        <f>3.38/5</f>
        <v>0.67599999999999993</v>
      </c>
      <c r="X7134" s="3">
        <v>3</v>
      </c>
      <c r="Z7134" s="23">
        <v>12.5</v>
      </c>
      <c r="AB7134" s="18">
        <f t="shared" si="222"/>
        <v>2002</v>
      </c>
      <c r="AC7134" s="22">
        <f t="shared" si="223"/>
        <v>0.66533333333333333</v>
      </c>
    </row>
    <row r="7135" spans="1:29">
      <c r="A7135" s="8" t="s">
        <v>14902</v>
      </c>
      <c r="B7135" s="17" t="s">
        <v>7758</v>
      </c>
      <c r="C7135" s="13">
        <v>37578</v>
      </c>
      <c r="D7135" s="13" t="s">
        <v>8465</v>
      </c>
      <c r="E7135" s="10" t="s">
        <v>158</v>
      </c>
      <c r="F7135" s="10" t="s">
        <v>158</v>
      </c>
      <c r="H7135" s="2" t="s">
        <v>1170</v>
      </c>
      <c r="L7135" s="18">
        <v>0</v>
      </c>
      <c r="Q7135" s="18">
        <v>0</v>
      </c>
      <c r="U7135" s="22">
        <v>0.6</v>
      </c>
      <c r="V7135" s="22">
        <f>3.23/5</f>
        <v>0.64600000000000002</v>
      </c>
      <c r="X7135" s="3">
        <v>3</v>
      </c>
      <c r="Z7135" s="23">
        <f>58/60</f>
        <v>0.96666666666666667</v>
      </c>
      <c r="AB7135" s="18">
        <f t="shared" si="222"/>
        <v>2002</v>
      </c>
      <c r="AC7135" s="22">
        <f t="shared" si="223"/>
        <v>0.6153333333333334</v>
      </c>
    </row>
    <row r="7136" spans="1:29">
      <c r="A7136" s="8" t="s">
        <v>14686</v>
      </c>
      <c r="B7136" s="17" t="s">
        <v>7758</v>
      </c>
      <c r="C7136" s="13">
        <v>37578</v>
      </c>
      <c r="D7136" s="13" t="s">
        <v>8465</v>
      </c>
      <c r="E7136" s="10" t="s">
        <v>1466</v>
      </c>
      <c r="F7136" s="10" t="s">
        <v>1309</v>
      </c>
      <c r="H7136" s="2" t="s">
        <v>80</v>
      </c>
      <c r="L7136" s="18">
        <v>0</v>
      </c>
      <c r="Q7136" s="18">
        <v>0</v>
      </c>
      <c r="U7136" s="22">
        <v>0.69</v>
      </c>
      <c r="V7136" s="22">
        <f>2.92/5</f>
        <v>0.58399999999999996</v>
      </c>
      <c r="X7136" s="3">
        <v>2</v>
      </c>
      <c r="Z7136" s="23">
        <v>9</v>
      </c>
      <c r="AB7136" s="18">
        <f t="shared" si="222"/>
        <v>2002</v>
      </c>
      <c r="AC7136" s="22">
        <f t="shared" si="223"/>
        <v>0.55799999999999994</v>
      </c>
    </row>
    <row r="7137" spans="1:29" ht="30">
      <c r="A7137" s="8" t="s">
        <v>15905</v>
      </c>
      <c r="B7137" s="17" t="s">
        <v>7747</v>
      </c>
      <c r="C7137" s="13">
        <v>37578</v>
      </c>
      <c r="D7137" s="13" t="s">
        <v>8465</v>
      </c>
      <c r="E7137" s="10" t="s">
        <v>1466</v>
      </c>
      <c r="F7137" s="10" t="s">
        <v>15003</v>
      </c>
      <c r="G7137" s="11" t="s">
        <v>15899</v>
      </c>
      <c r="H7137" s="2" t="s">
        <v>153</v>
      </c>
      <c r="L7137" s="18">
        <v>0</v>
      </c>
      <c r="Q7137" s="18">
        <v>0</v>
      </c>
      <c r="U7137" s="22">
        <v>0.56000000000000005</v>
      </c>
      <c r="V7137" s="22">
        <f>2.64/5</f>
        <v>0.52800000000000002</v>
      </c>
      <c r="X7137" s="3">
        <v>2</v>
      </c>
      <c r="Z7137" s="23">
        <v>2.5</v>
      </c>
      <c r="AB7137" s="18">
        <f t="shared" si="222"/>
        <v>2002</v>
      </c>
      <c r="AC7137" s="22">
        <f t="shared" si="223"/>
        <v>0.496</v>
      </c>
    </row>
    <row r="7138" spans="1:29" ht="30">
      <c r="A7138" s="8" t="s">
        <v>8396</v>
      </c>
      <c r="B7138" s="17" t="s">
        <v>7747</v>
      </c>
      <c r="C7138" s="13">
        <v>37577</v>
      </c>
      <c r="D7138" s="13" t="s">
        <v>8465</v>
      </c>
      <c r="E7138" s="10" t="s">
        <v>76</v>
      </c>
      <c r="F7138" s="10" t="s">
        <v>76</v>
      </c>
      <c r="G7138" s="11" t="s">
        <v>7681</v>
      </c>
      <c r="H7138" s="2" t="s">
        <v>149</v>
      </c>
      <c r="L7138" s="18">
        <v>0</v>
      </c>
      <c r="Q7138" s="18">
        <v>0</v>
      </c>
      <c r="U7138" s="22">
        <v>0.79</v>
      </c>
      <c r="V7138" s="22">
        <f>3.78/5</f>
        <v>0.75600000000000001</v>
      </c>
      <c r="X7138" s="3">
        <v>2</v>
      </c>
      <c r="AB7138" s="18">
        <f t="shared" si="222"/>
        <v>2002</v>
      </c>
      <c r="AC7138" s="22">
        <f t="shared" si="223"/>
        <v>0.64866666666666672</v>
      </c>
    </row>
    <row r="7139" spans="1:29" ht="25.5">
      <c r="A7139" s="8" t="s">
        <v>6717</v>
      </c>
      <c r="B7139" s="17" t="s">
        <v>7758</v>
      </c>
      <c r="C7139" s="13">
        <v>37576</v>
      </c>
      <c r="D7139" s="13" t="s">
        <v>8465</v>
      </c>
      <c r="E7139" s="10" t="s">
        <v>1466</v>
      </c>
      <c r="F7139" s="10" t="s">
        <v>1466</v>
      </c>
      <c r="G7139" s="11" t="s">
        <v>17</v>
      </c>
      <c r="H7139" s="2" t="s">
        <v>459</v>
      </c>
      <c r="L7139" s="18">
        <v>0</v>
      </c>
      <c r="Q7139" s="18">
        <v>0</v>
      </c>
      <c r="U7139" s="22">
        <v>0.82</v>
      </c>
      <c r="V7139" s="22">
        <f>3.63/5</f>
        <v>0.72599999999999998</v>
      </c>
      <c r="X7139" s="3">
        <v>3</v>
      </c>
      <c r="Z7139" s="23">
        <v>15.5</v>
      </c>
      <c r="AB7139" s="18">
        <f t="shared" si="222"/>
        <v>2002</v>
      </c>
      <c r="AC7139" s="22">
        <f t="shared" si="223"/>
        <v>0.71533333333333327</v>
      </c>
    </row>
    <row r="7140" spans="1:29" ht="30">
      <c r="A7140" s="8" t="s">
        <v>11129</v>
      </c>
      <c r="B7140" s="17" t="s">
        <v>7740</v>
      </c>
      <c r="C7140" s="13">
        <v>37576</v>
      </c>
      <c r="D7140" s="13" t="s">
        <v>8465</v>
      </c>
      <c r="E7140" s="10" t="s">
        <v>11131</v>
      </c>
      <c r="F7140" s="10" t="s">
        <v>11132</v>
      </c>
      <c r="H7140" s="2" t="s">
        <v>80</v>
      </c>
      <c r="L7140" s="18">
        <v>0</v>
      </c>
      <c r="Q7140" s="18">
        <v>0</v>
      </c>
      <c r="U7140" s="22">
        <v>0.61</v>
      </c>
      <c r="V7140" s="22">
        <f>3.08/5</f>
        <v>0.61599999999999999</v>
      </c>
      <c r="X7140" s="3">
        <v>2</v>
      </c>
      <c r="Z7140" s="23">
        <v>17</v>
      </c>
      <c r="AB7140" s="18">
        <f t="shared" si="222"/>
        <v>2002</v>
      </c>
      <c r="AC7140" s="22">
        <f t="shared" si="223"/>
        <v>0.54199999999999993</v>
      </c>
    </row>
    <row r="7141" spans="1:29" ht="25.5">
      <c r="A7141" s="8" t="s">
        <v>13450</v>
      </c>
      <c r="B7141" s="17" t="s">
        <v>7746</v>
      </c>
      <c r="C7141" s="13">
        <v>37575</v>
      </c>
      <c r="D7141" s="13" t="s">
        <v>8465</v>
      </c>
      <c r="E7141" s="10" t="s">
        <v>5010</v>
      </c>
      <c r="F7141" s="10" t="s">
        <v>2143</v>
      </c>
      <c r="G7141" s="11" t="s">
        <v>13449</v>
      </c>
      <c r="H7141" s="2" t="s">
        <v>149</v>
      </c>
      <c r="L7141" s="18">
        <v>0</v>
      </c>
      <c r="Q7141" s="18">
        <v>0</v>
      </c>
      <c r="V7141" s="22">
        <f>3.84/5</f>
        <v>0.76800000000000002</v>
      </c>
      <c r="X7141" s="3">
        <v>2</v>
      </c>
      <c r="Z7141" s="23">
        <v>7.5</v>
      </c>
      <c r="AB7141" s="18">
        <f t="shared" si="222"/>
        <v>2002</v>
      </c>
      <c r="AC7141" s="22">
        <f t="shared" si="223"/>
        <v>0.58400000000000007</v>
      </c>
    </row>
    <row r="7142" spans="1:29" ht="30">
      <c r="A7142" s="8" t="s">
        <v>13450</v>
      </c>
      <c r="B7142" s="17" t="s">
        <v>7740</v>
      </c>
      <c r="C7142" s="13">
        <v>37575</v>
      </c>
      <c r="D7142" s="13" t="s">
        <v>8465</v>
      </c>
      <c r="E7142" s="10" t="s">
        <v>5010</v>
      </c>
      <c r="F7142" s="10" t="s">
        <v>241</v>
      </c>
      <c r="G7142" s="11" t="s">
        <v>13449</v>
      </c>
      <c r="H7142" s="2" t="s">
        <v>80</v>
      </c>
      <c r="L7142" s="18">
        <v>0</v>
      </c>
      <c r="Q7142" s="18">
        <v>0</v>
      </c>
      <c r="U7142" s="22">
        <v>0.77</v>
      </c>
      <c r="V7142" s="22">
        <f>3.16/5</f>
        <v>0.63200000000000001</v>
      </c>
      <c r="X7142" s="3">
        <v>2</v>
      </c>
      <c r="Z7142" s="23">
        <v>7.5</v>
      </c>
      <c r="AB7142" s="18">
        <f t="shared" si="222"/>
        <v>2002</v>
      </c>
      <c r="AC7142" s="22">
        <f t="shared" si="223"/>
        <v>0.60066666666666668</v>
      </c>
    </row>
    <row r="7143" spans="1:29" ht="30">
      <c r="A7143" s="8" t="s">
        <v>4810</v>
      </c>
      <c r="B7143" s="17" t="s">
        <v>7740</v>
      </c>
      <c r="C7143" s="13">
        <v>37572</v>
      </c>
      <c r="D7143" s="13" t="s">
        <v>8465</v>
      </c>
      <c r="E7143" s="10" t="s">
        <v>73</v>
      </c>
      <c r="F7143" s="10" t="s">
        <v>73</v>
      </c>
      <c r="G7143" s="11" t="s">
        <v>943</v>
      </c>
      <c r="H7143" s="2" t="s">
        <v>1061</v>
      </c>
      <c r="L7143" s="18">
        <v>0</v>
      </c>
      <c r="Q7143" s="18">
        <v>0</v>
      </c>
      <c r="U7143" s="22">
        <v>0.84</v>
      </c>
      <c r="V7143" s="22">
        <f>3.92/5</f>
        <v>0.78400000000000003</v>
      </c>
      <c r="X7143" s="3">
        <v>3</v>
      </c>
      <c r="Z7143" s="23">
        <v>11.5</v>
      </c>
      <c r="AB7143" s="18">
        <f t="shared" si="222"/>
        <v>2002</v>
      </c>
      <c r="AC7143" s="22">
        <f t="shared" si="223"/>
        <v>0.7413333333333334</v>
      </c>
    </row>
    <row r="7144" spans="1:29">
      <c r="A7144" s="8" t="s">
        <v>3217</v>
      </c>
      <c r="B7144" s="17" t="s">
        <v>7800</v>
      </c>
      <c r="C7144" s="13">
        <v>37572</v>
      </c>
      <c r="D7144" s="13" t="s">
        <v>8465</v>
      </c>
      <c r="E7144" s="10" t="s">
        <v>1868</v>
      </c>
      <c r="F7144" s="10" t="s">
        <v>3218</v>
      </c>
      <c r="H7144" s="2" t="s">
        <v>171</v>
      </c>
      <c r="L7144" s="18">
        <v>1</v>
      </c>
      <c r="N7144" s="13">
        <v>43319</v>
      </c>
      <c r="O7144" s="29">
        <v>1.24</v>
      </c>
      <c r="P7144" s="18" t="s">
        <v>1107</v>
      </c>
      <c r="Q7144" s="18">
        <v>0</v>
      </c>
      <c r="U7144" s="22">
        <v>0.8</v>
      </c>
      <c r="V7144" s="22">
        <f>3.74/5</f>
        <v>0.748</v>
      </c>
      <c r="W7144" s="14" t="s">
        <v>7777</v>
      </c>
      <c r="X7144" s="3">
        <v>3</v>
      </c>
      <c r="Z7144" s="23">
        <v>20.5</v>
      </c>
      <c r="AB7144" s="18">
        <f t="shared" si="222"/>
        <v>2002</v>
      </c>
      <c r="AC7144" s="22">
        <f t="shared" si="223"/>
        <v>0.71600000000000008</v>
      </c>
    </row>
    <row r="7145" spans="1:29" ht="30">
      <c r="A7145" s="8" t="s">
        <v>7864</v>
      </c>
      <c r="B7145" s="17" t="s">
        <v>7747</v>
      </c>
      <c r="C7145" s="13">
        <v>37572</v>
      </c>
      <c r="D7145" s="13" t="s">
        <v>8465</v>
      </c>
      <c r="E7145" s="10" t="s">
        <v>1047</v>
      </c>
      <c r="F7145" s="10" t="s">
        <v>7459</v>
      </c>
      <c r="G7145" s="11" t="s">
        <v>1853</v>
      </c>
      <c r="H7145" s="2" t="s">
        <v>80</v>
      </c>
      <c r="L7145" s="18">
        <v>0</v>
      </c>
      <c r="Q7145" s="18">
        <v>0</v>
      </c>
      <c r="U7145" s="22">
        <v>0.65100000000000002</v>
      </c>
      <c r="V7145" s="22">
        <f>3.21/5</f>
        <v>0.64200000000000002</v>
      </c>
      <c r="X7145" s="3">
        <v>2</v>
      </c>
      <c r="Z7145" s="23">
        <v>5.5</v>
      </c>
      <c r="AB7145" s="18">
        <f t="shared" si="222"/>
        <v>2002</v>
      </c>
      <c r="AC7145" s="22">
        <f t="shared" si="223"/>
        <v>0.56433333333333335</v>
      </c>
    </row>
    <row r="7146" spans="1:29" ht="25.5">
      <c r="A7146" s="8" t="s">
        <v>15908</v>
      </c>
      <c r="B7146" s="17" t="s">
        <v>7764</v>
      </c>
      <c r="C7146" s="13">
        <v>37572</v>
      </c>
      <c r="D7146" s="13" t="s">
        <v>8465</v>
      </c>
      <c r="E7146" s="10" t="s">
        <v>60</v>
      </c>
      <c r="F7146" s="10" t="s">
        <v>15909</v>
      </c>
      <c r="G7146" s="11" t="s">
        <v>1325</v>
      </c>
      <c r="H7146" s="2" t="s">
        <v>80</v>
      </c>
      <c r="L7146" s="18">
        <v>0</v>
      </c>
      <c r="Q7146" s="18">
        <v>0</v>
      </c>
      <c r="U7146" s="22">
        <v>0.44</v>
      </c>
      <c r="V7146" s="22">
        <f>2.92/5</f>
        <v>0.58399999999999996</v>
      </c>
      <c r="X7146" s="3">
        <v>2</v>
      </c>
      <c r="Z7146" s="23">
        <v>5.5</v>
      </c>
      <c r="AB7146" s="18">
        <f t="shared" si="222"/>
        <v>2002</v>
      </c>
      <c r="AC7146" s="22">
        <f t="shared" si="223"/>
        <v>0.47466666666666663</v>
      </c>
    </row>
    <row r="7147" spans="1:29">
      <c r="A7147" s="8" t="s">
        <v>7547</v>
      </c>
      <c r="B7147" s="17" t="s">
        <v>7764</v>
      </c>
      <c r="C7147" s="13">
        <v>37571</v>
      </c>
      <c r="D7147" s="13" t="s">
        <v>8465</v>
      </c>
      <c r="E7147" s="10" t="s">
        <v>3740</v>
      </c>
      <c r="F7147" s="10" t="s">
        <v>3851</v>
      </c>
      <c r="G7147" s="11" t="s">
        <v>1433</v>
      </c>
      <c r="H7147" s="2" t="s">
        <v>1204</v>
      </c>
      <c r="L7147" s="18">
        <v>0</v>
      </c>
      <c r="Q7147" s="18">
        <v>0</v>
      </c>
      <c r="U7147" s="22">
        <v>0.87</v>
      </c>
      <c r="V7147" s="22">
        <f>3.58/5</f>
        <v>0.71599999999999997</v>
      </c>
      <c r="X7147" s="3">
        <v>3</v>
      </c>
      <c r="Y7147" s="18">
        <v>1</v>
      </c>
      <c r="Z7147" s="23">
        <v>8</v>
      </c>
      <c r="AB7147" s="18">
        <f t="shared" si="222"/>
        <v>2002</v>
      </c>
      <c r="AC7147" s="22">
        <f t="shared" si="223"/>
        <v>0.72866666666666668</v>
      </c>
    </row>
    <row r="7148" spans="1:29" ht="25.5">
      <c r="A7148" s="8" t="s">
        <v>11480</v>
      </c>
      <c r="B7148" s="17" t="s">
        <v>7764</v>
      </c>
      <c r="C7148" s="13">
        <v>37571</v>
      </c>
      <c r="D7148" s="13" t="s">
        <v>8465</v>
      </c>
      <c r="E7148" s="10" t="s">
        <v>3740</v>
      </c>
      <c r="F7148" s="10" t="s">
        <v>11481</v>
      </c>
      <c r="H7148" s="2" t="s">
        <v>459</v>
      </c>
      <c r="L7148" s="18">
        <v>0</v>
      </c>
      <c r="Q7148" s="18">
        <v>0</v>
      </c>
      <c r="U7148" s="22">
        <v>0.46</v>
      </c>
      <c r="V7148" s="22">
        <f>2.83/5</f>
        <v>0.56600000000000006</v>
      </c>
      <c r="X7148" s="3">
        <v>2</v>
      </c>
      <c r="Y7148" s="18">
        <v>1</v>
      </c>
      <c r="Z7148" s="23">
        <v>2</v>
      </c>
      <c r="AB7148" s="18">
        <f t="shared" si="222"/>
        <v>2002</v>
      </c>
      <c r="AC7148" s="22">
        <f t="shared" si="223"/>
        <v>0.47533333333333339</v>
      </c>
    </row>
    <row r="7149" spans="1:29" ht="30">
      <c r="A7149" s="8" t="s">
        <v>7370</v>
      </c>
      <c r="B7149" s="17" t="s">
        <v>7740</v>
      </c>
      <c r="C7149" s="13">
        <v>37570</v>
      </c>
      <c r="D7149" s="13" t="s">
        <v>8465</v>
      </c>
      <c r="E7149" s="10" t="s">
        <v>455</v>
      </c>
      <c r="F7149" s="10" t="s">
        <v>1492</v>
      </c>
      <c r="G7149" s="11" t="s">
        <v>1688</v>
      </c>
      <c r="H7149" s="2" t="s">
        <v>64</v>
      </c>
      <c r="L7149" s="18">
        <v>0</v>
      </c>
      <c r="Q7149" s="18">
        <v>0</v>
      </c>
      <c r="U7149" s="22">
        <v>0.76</v>
      </c>
      <c r="V7149" s="22">
        <f>4.09/5</f>
        <v>0.81799999999999995</v>
      </c>
      <c r="X7149" s="3">
        <v>2</v>
      </c>
      <c r="Z7149" s="23">
        <v>30</v>
      </c>
      <c r="AB7149" s="18">
        <f t="shared" si="222"/>
        <v>2002</v>
      </c>
      <c r="AC7149" s="22">
        <f t="shared" si="223"/>
        <v>0.65933333333333322</v>
      </c>
    </row>
    <row r="7150" spans="1:29">
      <c r="A7150" s="8" t="s">
        <v>2407</v>
      </c>
      <c r="B7150" s="17" t="s">
        <v>7758</v>
      </c>
      <c r="C7150" s="13">
        <v>37570</v>
      </c>
      <c r="D7150" s="13" t="s">
        <v>8465</v>
      </c>
      <c r="E7150" s="10" t="s">
        <v>455</v>
      </c>
      <c r="F7150" s="10" t="s">
        <v>1498</v>
      </c>
      <c r="G7150" s="11" t="s">
        <v>2407</v>
      </c>
      <c r="H7150" s="2" t="s">
        <v>80</v>
      </c>
      <c r="L7150" s="18">
        <v>0</v>
      </c>
      <c r="Q7150" s="18">
        <v>0</v>
      </c>
      <c r="U7150" s="22">
        <v>0.7167</v>
      </c>
      <c r="V7150" s="22">
        <f>3.65/5</f>
        <v>0.73</v>
      </c>
      <c r="X7150" s="3">
        <v>2</v>
      </c>
      <c r="Z7150" s="23">
        <v>6</v>
      </c>
      <c r="AB7150" s="18">
        <f t="shared" si="222"/>
        <v>2002</v>
      </c>
      <c r="AC7150" s="22">
        <f t="shared" si="223"/>
        <v>0.6155666666666666</v>
      </c>
    </row>
    <row r="7151" spans="1:29" ht="38.25">
      <c r="A7151" s="8" t="s">
        <v>11148</v>
      </c>
      <c r="B7151" s="17" t="s">
        <v>7746</v>
      </c>
      <c r="C7151" s="13">
        <v>37568</v>
      </c>
      <c r="D7151" s="13" t="s">
        <v>8465</v>
      </c>
      <c r="E7151" s="10" t="s">
        <v>60</v>
      </c>
      <c r="F7151" s="10" t="s">
        <v>1897</v>
      </c>
      <c r="G7151" s="11" t="s">
        <v>11042</v>
      </c>
      <c r="H7151" s="2" t="s">
        <v>3411</v>
      </c>
      <c r="L7151" s="18">
        <v>0</v>
      </c>
      <c r="Q7151" s="18">
        <v>0</v>
      </c>
      <c r="V7151" s="22">
        <f>3.85/5</f>
        <v>0.77</v>
      </c>
      <c r="X7151" s="3">
        <v>2</v>
      </c>
      <c r="Z7151" s="23">
        <v>10.5</v>
      </c>
      <c r="AB7151" s="18">
        <f t="shared" si="222"/>
        <v>2002</v>
      </c>
      <c r="AC7151" s="22">
        <f t="shared" si="223"/>
        <v>0.58499999999999996</v>
      </c>
    </row>
    <row r="7152" spans="1:29" ht="25.5">
      <c r="A7152" s="8" t="s">
        <v>7553</v>
      </c>
      <c r="B7152" s="17" t="s">
        <v>7800</v>
      </c>
      <c r="C7152" s="13">
        <v>37567</v>
      </c>
      <c r="D7152" s="13" t="s">
        <v>8465</v>
      </c>
      <c r="E7152" s="10" t="s">
        <v>3740</v>
      </c>
      <c r="F7152" s="10" t="s">
        <v>7552</v>
      </c>
      <c r="G7152" s="11" t="s">
        <v>1433</v>
      </c>
      <c r="H7152" s="2" t="s">
        <v>1204</v>
      </c>
      <c r="L7152" s="18">
        <v>0</v>
      </c>
      <c r="Q7152" s="18">
        <v>0</v>
      </c>
      <c r="U7152" s="22">
        <v>0.83</v>
      </c>
      <c r="V7152" s="22">
        <f>4.21/5</f>
        <v>0.84199999999999997</v>
      </c>
      <c r="X7152" s="3">
        <v>2</v>
      </c>
      <c r="Z7152" s="30"/>
      <c r="AB7152" s="18">
        <f t="shared" si="222"/>
        <v>2002</v>
      </c>
      <c r="AC7152" s="22">
        <f t="shared" si="223"/>
        <v>0.69066666666666665</v>
      </c>
    </row>
    <row r="7153" spans="1:29" ht="30">
      <c r="A7153" s="8" t="s">
        <v>7514</v>
      </c>
      <c r="B7153" s="17" t="s">
        <v>7747</v>
      </c>
      <c r="C7153" s="13">
        <v>37567</v>
      </c>
      <c r="D7153" s="13" t="s">
        <v>8465</v>
      </c>
      <c r="E7153" s="10" t="s">
        <v>60</v>
      </c>
      <c r="F7153" s="10" t="s">
        <v>7515</v>
      </c>
      <c r="G7153" s="11" t="s">
        <v>445</v>
      </c>
      <c r="H7153" s="2" t="s">
        <v>1377</v>
      </c>
      <c r="L7153" s="18">
        <v>0</v>
      </c>
      <c r="Q7153" s="18">
        <v>0</v>
      </c>
      <c r="U7153" s="22">
        <v>0.52</v>
      </c>
      <c r="V7153" s="22">
        <f>2.47/5</f>
        <v>0.49400000000000005</v>
      </c>
      <c r="X7153" s="3">
        <v>2</v>
      </c>
      <c r="Z7153" s="23">
        <v>10</v>
      </c>
      <c r="AB7153" s="18">
        <f t="shared" si="222"/>
        <v>2002</v>
      </c>
      <c r="AC7153" s="22">
        <f t="shared" si="223"/>
        <v>0.47133333333333338</v>
      </c>
    </row>
    <row r="7154" spans="1:29">
      <c r="A7154" s="8" t="s">
        <v>9699</v>
      </c>
      <c r="B7154" s="17" t="s">
        <v>7758</v>
      </c>
      <c r="C7154" s="13">
        <v>37565</v>
      </c>
      <c r="D7154" s="13" t="s">
        <v>8465</v>
      </c>
      <c r="E7154" s="10" t="s">
        <v>257</v>
      </c>
      <c r="F7154" s="10" t="s">
        <v>1549</v>
      </c>
      <c r="H7154" s="2" t="s">
        <v>1204</v>
      </c>
      <c r="L7154" s="18">
        <v>0</v>
      </c>
      <c r="Q7154" s="18">
        <v>0</v>
      </c>
      <c r="U7154" s="22">
        <v>0.79</v>
      </c>
      <c r="V7154" s="22">
        <f>4.05/5</f>
        <v>0.80999999999999994</v>
      </c>
      <c r="X7154" s="3">
        <v>2</v>
      </c>
      <c r="Z7154" s="23">
        <v>13</v>
      </c>
      <c r="AB7154" s="18">
        <f t="shared" si="222"/>
        <v>2002</v>
      </c>
      <c r="AC7154" s="22">
        <f t="shared" si="223"/>
        <v>0.66666666666666663</v>
      </c>
    </row>
    <row r="7155" spans="1:29" ht="30">
      <c r="A7155" s="8" t="s">
        <v>6697</v>
      </c>
      <c r="B7155" s="17" t="s">
        <v>7758</v>
      </c>
      <c r="C7155" s="13">
        <v>37565</v>
      </c>
      <c r="D7155" s="13" t="s">
        <v>8465</v>
      </c>
      <c r="E7155" s="10" t="s">
        <v>5901</v>
      </c>
      <c r="F7155" s="10" t="s">
        <v>6698</v>
      </c>
      <c r="G7155" s="11" t="s">
        <v>1975</v>
      </c>
      <c r="H7155" s="2" t="s">
        <v>1040</v>
      </c>
      <c r="L7155" s="18">
        <v>0</v>
      </c>
      <c r="Q7155" s="18">
        <v>0</v>
      </c>
      <c r="U7155" s="22">
        <v>0.56000000000000005</v>
      </c>
      <c r="V7155" s="22">
        <f>2.78/5</f>
        <v>0.55599999999999994</v>
      </c>
      <c r="X7155" s="3">
        <v>3</v>
      </c>
      <c r="Z7155" s="23">
        <v>10</v>
      </c>
      <c r="AB7155" s="18">
        <f t="shared" si="222"/>
        <v>2002</v>
      </c>
      <c r="AC7155" s="22">
        <f t="shared" si="223"/>
        <v>0.57200000000000006</v>
      </c>
    </row>
    <row r="7156" spans="1:29">
      <c r="A7156" s="8" t="s">
        <v>5853</v>
      </c>
      <c r="B7156" s="17" t="s">
        <v>7758</v>
      </c>
      <c r="C7156" s="13">
        <v>37564</v>
      </c>
      <c r="D7156" s="13" t="s">
        <v>8465</v>
      </c>
      <c r="E7156" s="10" t="s">
        <v>1290</v>
      </c>
      <c r="F7156" s="10" t="s">
        <v>3039</v>
      </c>
      <c r="G7156" s="11" t="s">
        <v>5853</v>
      </c>
      <c r="H7156" s="2" t="s">
        <v>1040</v>
      </c>
      <c r="L7156" s="18">
        <v>0</v>
      </c>
      <c r="Q7156" s="18">
        <v>0</v>
      </c>
      <c r="U7156" s="22">
        <v>0.9</v>
      </c>
      <c r="V7156" s="22">
        <f>4.13/5</f>
        <v>0.82599999999999996</v>
      </c>
      <c r="X7156" s="3">
        <v>4</v>
      </c>
      <c r="Z7156" s="23">
        <v>12</v>
      </c>
      <c r="AB7156" s="18">
        <f t="shared" si="222"/>
        <v>2002</v>
      </c>
      <c r="AC7156" s="22">
        <f t="shared" si="223"/>
        <v>0.84199999999999997</v>
      </c>
    </row>
    <row r="7157" spans="1:29">
      <c r="A7157" s="8" t="s">
        <v>14657</v>
      </c>
      <c r="B7157" s="17" t="s">
        <v>7764</v>
      </c>
      <c r="C7157" s="13">
        <v>37564</v>
      </c>
      <c r="D7157" s="13" t="s">
        <v>8465</v>
      </c>
      <c r="E7157" s="10" t="s">
        <v>14658</v>
      </c>
      <c r="F7157" s="10" t="s">
        <v>1355</v>
      </c>
      <c r="G7157" s="11" t="s">
        <v>14657</v>
      </c>
      <c r="H7157" s="2" t="s">
        <v>1204</v>
      </c>
      <c r="L7157" s="18">
        <v>0</v>
      </c>
      <c r="Q7157" s="18">
        <v>0</v>
      </c>
      <c r="U7157" s="22">
        <v>0.74</v>
      </c>
      <c r="V7157" s="22">
        <f>4.13/5</f>
        <v>0.82599999999999996</v>
      </c>
      <c r="X7157" s="3">
        <v>2</v>
      </c>
      <c r="AB7157" s="18">
        <f t="shared" si="222"/>
        <v>2002</v>
      </c>
      <c r="AC7157" s="22">
        <f t="shared" si="223"/>
        <v>0.65533333333333321</v>
      </c>
    </row>
    <row r="7158" spans="1:29" ht="30">
      <c r="A7158" s="8" t="s">
        <v>6693</v>
      </c>
      <c r="B7158" s="17" t="s">
        <v>7740</v>
      </c>
      <c r="C7158" s="13">
        <v>37563</v>
      </c>
      <c r="D7158" s="13" t="s">
        <v>8465</v>
      </c>
      <c r="E7158" s="10" t="s">
        <v>1466</v>
      </c>
      <c r="F7158" s="10" t="s">
        <v>6647</v>
      </c>
      <c r="G7158" s="11" t="s">
        <v>6693</v>
      </c>
      <c r="H7158" s="2" t="s">
        <v>21</v>
      </c>
      <c r="L7158" s="18">
        <v>0</v>
      </c>
      <c r="Q7158" s="18">
        <v>0</v>
      </c>
      <c r="U7158" s="22">
        <v>0.68</v>
      </c>
      <c r="V7158" s="22">
        <f>3.15/5</f>
        <v>0.63</v>
      </c>
      <c r="X7158" s="3">
        <v>2</v>
      </c>
      <c r="Z7158" s="23">
        <v>5</v>
      </c>
      <c r="AB7158" s="18">
        <f t="shared" si="222"/>
        <v>2002</v>
      </c>
      <c r="AC7158" s="22">
        <f t="shared" si="223"/>
        <v>0.56999999999999995</v>
      </c>
    </row>
    <row r="7159" spans="1:29" ht="30">
      <c r="A7159" s="8" t="s">
        <v>6693</v>
      </c>
      <c r="B7159" s="17" t="s">
        <v>7747</v>
      </c>
      <c r="C7159" s="13">
        <v>37563</v>
      </c>
      <c r="D7159" s="13" t="s">
        <v>8465</v>
      </c>
      <c r="E7159" s="10" t="s">
        <v>1466</v>
      </c>
      <c r="F7159" s="10" t="s">
        <v>6694</v>
      </c>
      <c r="G7159" s="11" t="s">
        <v>6693</v>
      </c>
      <c r="H7159" s="2" t="s">
        <v>21</v>
      </c>
      <c r="L7159" s="18">
        <v>0</v>
      </c>
      <c r="Q7159" s="18">
        <v>0</v>
      </c>
      <c r="U7159" s="22">
        <v>0.36</v>
      </c>
      <c r="V7159" s="22">
        <f>2.42/5</f>
        <v>0.48399999999999999</v>
      </c>
      <c r="X7159" s="3">
        <v>2</v>
      </c>
      <c r="Z7159" s="23">
        <v>5</v>
      </c>
      <c r="AB7159" s="18">
        <f t="shared" si="222"/>
        <v>2002</v>
      </c>
      <c r="AC7159" s="22">
        <f t="shared" si="223"/>
        <v>0.41466666666666668</v>
      </c>
    </row>
    <row r="7160" spans="1:29" ht="30">
      <c r="A7160" s="8" t="s">
        <v>4855</v>
      </c>
      <c r="B7160" s="17" t="s">
        <v>7800</v>
      </c>
      <c r="C7160" s="13">
        <v>37561</v>
      </c>
      <c r="D7160" s="13" t="s">
        <v>8465</v>
      </c>
      <c r="E7160" s="10" t="s">
        <v>1598</v>
      </c>
      <c r="F7160" s="10" t="s">
        <v>3207</v>
      </c>
      <c r="G7160" s="11" t="s">
        <v>4856</v>
      </c>
      <c r="H7160" s="2" t="s">
        <v>3279</v>
      </c>
      <c r="L7160" s="18">
        <v>1</v>
      </c>
      <c r="N7160" s="13">
        <v>41225</v>
      </c>
      <c r="P7160" s="18" t="s">
        <v>1107</v>
      </c>
      <c r="Q7160" s="18">
        <v>0</v>
      </c>
      <c r="U7160" s="22">
        <v>0.8</v>
      </c>
      <c r="V7160" s="22">
        <f>3.71/5</f>
        <v>0.74199999999999999</v>
      </c>
      <c r="W7160" s="14" t="s">
        <v>7777</v>
      </c>
      <c r="X7160" s="3">
        <v>3</v>
      </c>
      <c r="Z7160" s="23">
        <v>14.5</v>
      </c>
      <c r="AB7160" s="18">
        <f t="shared" si="222"/>
        <v>2002</v>
      </c>
      <c r="AC7160" s="22">
        <f t="shared" si="223"/>
        <v>0.71399999999999997</v>
      </c>
    </row>
    <row r="7161" spans="1:29" ht="30">
      <c r="A7161" s="8" t="s">
        <v>10076</v>
      </c>
      <c r="B7161" s="17" t="s">
        <v>7795</v>
      </c>
      <c r="C7161" s="13">
        <v>37560</v>
      </c>
      <c r="D7161" s="13" t="s">
        <v>8463</v>
      </c>
      <c r="E7161" s="10" t="s">
        <v>157</v>
      </c>
      <c r="F7161" s="10" t="s">
        <v>158</v>
      </c>
      <c r="H7161" s="2" t="s">
        <v>75</v>
      </c>
      <c r="K7161" s="18">
        <v>0</v>
      </c>
      <c r="L7161" s="18">
        <v>0</v>
      </c>
      <c r="Q7161" s="18">
        <v>0</v>
      </c>
      <c r="V7161" s="22">
        <f>3.88/5</f>
        <v>0.77600000000000002</v>
      </c>
      <c r="X7161" s="3">
        <v>2</v>
      </c>
      <c r="AB7161" s="18">
        <f t="shared" si="222"/>
        <v>2002</v>
      </c>
      <c r="AC7161" s="22">
        <f t="shared" si="223"/>
        <v>0.58800000000000008</v>
      </c>
    </row>
    <row r="7162" spans="1:29" ht="30">
      <c r="A7162" s="8" t="s">
        <v>15015</v>
      </c>
      <c r="B7162" s="17" t="s">
        <v>7747</v>
      </c>
      <c r="C7162" s="13">
        <v>37558</v>
      </c>
      <c r="D7162" s="13" t="s">
        <v>8465</v>
      </c>
      <c r="E7162" s="10" t="s">
        <v>231</v>
      </c>
      <c r="F7162" s="10" t="s">
        <v>15016</v>
      </c>
      <c r="G7162" s="11" t="s">
        <v>4305</v>
      </c>
      <c r="H7162" s="2" t="s">
        <v>56</v>
      </c>
      <c r="L7162" s="18">
        <v>0</v>
      </c>
      <c r="Q7162" s="18">
        <v>0</v>
      </c>
      <c r="U7162" s="22">
        <v>0.53</v>
      </c>
      <c r="V7162" s="22">
        <f>2.53/5</f>
        <v>0.50600000000000001</v>
      </c>
      <c r="X7162" s="3">
        <v>2</v>
      </c>
      <c r="AB7162" s="18">
        <f t="shared" si="222"/>
        <v>2002</v>
      </c>
      <c r="AC7162" s="22">
        <f t="shared" si="223"/>
        <v>0.47866666666666663</v>
      </c>
    </row>
    <row r="7163" spans="1:29" ht="30">
      <c r="A7163" s="8" t="s">
        <v>7565</v>
      </c>
      <c r="B7163" s="17" t="s">
        <v>7747</v>
      </c>
      <c r="C7163" s="13">
        <v>37557</v>
      </c>
      <c r="D7163" s="13" t="s">
        <v>8465</v>
      </c>
      <c r="E7163" s="10" t="s">
        <v>1273</v>
      </c>
      <c r="F7163" s="10" t="s">
        <v>1956</v>
      </c>
      <c r="G7163" s="11" t="s">
        <v>1890</v>
      </c>
      <c r="H7163" s="2" t="s">
        <v>1050</v>
      </c>
      <c r="L7163" s="18">
        <v>0</v>
      </c>
      <c r="Q7163" s="18">
        <v>0</v>
      </c>
      <c r="U7163" s="22">
        <v>0.77</v>
      </c>
      <c r="V7163" s="22">
        <f>3.86/5</f>
        <v>0.77200000000000002</v>
      </c>
      <c r="X7163" s="3">
        <v>2</v>
      </c>
      <c r="Z7163" s="23">
        <v>7</v>
      </c>
      <c r="AB7163" s="18">
        <f t="shared" si="222"/>
        <v>2002</v>
      </c>
      <c r="AC7163" s="22">
        <f t="shared" si="223"/>
        <v>0.64733333333333343</v>
      </c>
    </row>
    <row r="7164" spans="1:29" ht="25.5">
      <c r="A7164" s="8" t="s">
        <v>13269</v>
      </c>
      <c r="B7164" s="17" t="s">
        <v>7746</v>
      </c>
      <c r="C7164" s="13">
        <v>37557</v>
      </c>
      <c r="D7164" s="13" t="s">
        <v>8465</v>
      </c>
      <c r="E7164" s="10" t="s">
        <v>86</v>
      </c>
      <c r="F7164" s="10" t="s">
        <v>13270</v>
      </c>
      <c r="G7164" s="11" t="s">
        <v>13271</v>
      </c>
      <c r="H7164" s="2" t="s">
        <v>67</v>
      </c>
      <c r="L7164" s="18">
        <v>0</v>
      </c>
      <c r="Q7164" s="18">
        <v>0</v>
      </c>
      <c r="V7164" s="22">
        <f>3.82/5</f>
        <v>0.76400000000000001</v>
      </c>
      <c r="X7164" s="3">
        <v>2</v>
      </c>
      <c r="Z7164" s="23">
        <v>3</v>
      </c>
      <c r="AB7164" s="18">
        <f t="shared" si="222"/>
        <v>2002</v>
      </c>
      <c r="AC7164" s="22">
        <f t="shared" si="223"/>
        <v>0.58200000000000007</v>
      </c>
    </row>
    <row r="7165" spans="1:29" ht="30">
      <c r="A7165" s="8" t="s">
        <v>15007</v>
      </c>
      <c r="B7165" s="17" t="s">
        <v>7747</v>
      </c>
      <c r="C7165" s="13">
        <v>37557</v>
      </c>
      <c r="D7165" s="13" t="s">
        <v>8465</v>
      </c>
      <c r="E7165" s="10" t="s">
        <v>231</v>
      </c>
      <c r="F7165" s="10" t="s">
        <v>11260</v>
      </c>
      <c r="G7165" s="11" t="s">
        <v>15004</v>
      </c>
      <c r="H7165" s="2" t="s">
        <v>64</v>
      </c>
      <c r="L7165" s="18">
        <v>0</v>
      </c>
      <c r="Q7165" s="18">
        <v>0</v>
      </c>
      <c r="V7165" s="22">
        <f>2.73/5</f>
        <v>0.54600000000000004</v>
      </c>
      <c r="X7165" s="3">
        <v>2</v>
      </c>
      <c r="Z7165" s="23">
        <v>5</v>
      </c>
      <c r="AB7165" s="18">
        <f t="shared" si="222"/>
        <v>2002</v>
      </c>
      <c r="AC7165" s="22">
        <f t="shared" si="223"/>
        <v>0.47300000000000003</v>
      </c>
    </row>
    <row r="7166" spans="1:29" ht="30">
      <c r="A7166" s="8" t="s">
        <v>12008</v>
      </c>
      <c r="B7166" s="17" t="s">
        <v>7747</v>
      </c>
      <c r="C7166" s="13">
        <v>37554</v>
      </c>
      <c r="D7166" s="13" t="s">
        <v>8463</v>
      </c>
      <c r="E7166" s="10" t="s">
        <v>158</v>
      </c>
      <c r="F7166" s="10" t="s">
        <v>1379</v>
      </c>
      <c r="G7166" s="11" t="s">
        <v>1422</v>
      </c>
      <c r="H7166" s="2" t="s">
        <v>171</v>
      </c>
      <c r="K7166" s="18">
        <v>1</v>
      </c>
      <c r="L7166" s="18">
        <v>0</v>
      </c>
      <c r="Q7166" s="18">
        <v>0</v>
      </c>
      <c r="V7166" s="22">
        <f>3.71/5</f>
        <v>0.74199999999999999</v>
      </c>
      <c r="X7166" s="3">
        <v>2</v>
      </c>
      <c r="Z7166" s="23">
        <v>21</v>
      </c>
      <c r="AB7166" s="18">
        <f t="shared" si="222"/>
        <v>2002</v>
      </c>
      <c r="AC7166" s="22">
        <f t="shared" si="223"/>
        <v>0.57099999999999995</v>
      </c>
    </row>
    <row r="7167" spans="1:29">
      <c r="A7167" s="8" t="s">
        <v>5774</v>
      </c>
      <c r="B7167" s="17" t="s">
        <v>7758</v>
      </c>
      <c r="C7167" s="13">
        <v>37553</v>
      </c>
      <c r="D7167" s="13" t="s">
        <v>8465</v>
      </c>
      <c r="E7167" s="10" t="s">
        <v>72</v>
      </c>
      <c r="F7167" s="10" t="s">
        <v>72</v>
      </c>
      <c r="G7167" s="11" t="s">
        <v>2318</v>
      </c>
      <c r="H7167" s="2" t="s">
        <v>149</v>
      </c>
      <c r="L7167" s="18">
        <v>0</v>
      </c>
      <c r="Q7167" s="18">
        <v>0</v>
      </c>
      <c r="U7167" s="22">
        <v>0.86</v>
      </c>
      <c r="V7167" s="22">
        <f>3.99/5</f>
        <v>0.79800000000000004</v>
      </c>
      <c r="X7167" s="3">
        <v>3</v>
      </c>
      <c r="Z7167" s="23">
        <v>61.5</v>
      </c>
      <c r="AB7167" s="18">
        <f t="shared" si="222"/>
        <v>2002</v>
      </c>
      <c r="AC7167" s="22">
        <f t="shared" si="223"/>
        <v>0.75266666666666671</v>
      </c>
    </row>
    <row r="7168" spans="1:29" ht="25.5">
      <c r="A7168" s="8" t="s">
        <v>11682</v>
      </c>
      <c r="B7168" s="17" t="s">
        <v>7758</v>
      </c>
      <c r="C7168" s="13">
        <v>37553</v>
      </c>
      <c r="D7168" s="13" t="s">
        <v>8463</v>
      </c>
      <c r="E7168" s="10" t="s">
        <v>73</v>
      </c>
      <c r="F7168" s="10" t="s">
        <v>1905</v>
      </c>
      <c r="G7168" s="11" t="s">
        <v>11681</v>
      </c>
      <c r="H7168" s="2" t="s">
        <v>1057</v>
      </c>
      <c r="K7168" s="18">
        <v>0</v>
      </c>
      <c r="L7168" s="18">
        <v>0</v>
      </c>
      <c r="Q7168" s="18">
        <v>0</v>
      </c>
      <c r="V7168" s="22">
        <f>4/5</f>
        <v>0.8</v>
      </c>
      <c r="X7168" s="3">
        <v>2</v>
      </c>
      <c r="AB7168" s="18">
        <f t="shared" si="222"/>
        <v>2002</v>
      </c>
      <c r="AC7168" s="22">
        <f t="shared" si="223"/>
        <v>0.60000000000000009</v>
      </c>
    </row>
    <row r="7169" spans="1:29" ht="25.5">
      <c r="A7169" s="8" t="s">
        <v>6744</v>
      </c>
      <c r="B7169" s="17" t="s">
        <v>7758</v>
      </c>
      <c r="C7169" s="13">
        <v>37552</v>
      </c>
      <c r="D7169" s="13" t="s">
        <v>8465</v>
      </c>
      <c r="E7169" s="10" t="s">
        <v>1273</v>
      </c>
      <c r="F7169" s="10" t="s">
        <v>6604</v>
      </c>
      <c r="G7169" s="11" t="s">
        <v>6603</v>
      </c>
      <c r="H7169" s="2" t="s">
        <v>255</v>
      </c>
      <c r="L7169" s="18">
        <v>0</v>
      </c>
      <c r="Q7169" s="18">
        <v>0</v>
      </c>
      <c r="U7169" s="22">
        <v>0.93</v>
      </c>
      <c r="V7169" s="22">
        <f>3.9/5</f>
        <v>0.78</v>
      </c>
      <c r="X7169" s="3">
        <v>3</v>
      </c>
      <c r="Z7169" s="23">
        <v>11.5</v>
      </c>
      <c r="AB7169" s="18">
        <f t="shared" ref="AB7169:AB7232" si="224">IFERROR(YEAR(C7169), "Early Access")</f>
        <v>2002</v>
      </c>
      <c r="AC7169" s="22">
        <f t="shared" ref="AC7169:AC7232" si="225">AVERAGE(T7169, U7169, V7169, IF(ISBLANK(X7169), X7169, X7169/5))</f>
        <v>0.77</v>
      </c>
    </row>
    <row r="7170" spans="1:29" ht="30">
      <c r="A7170" s="8" t="s">
        <v>2899</v>
      </c>
      <c r="B7170" s="17" t="s">
        <v>7764</v>
      </c>
      <c r="C7170" s="13">
        <v>37552</v>
      </c>
      <c r="D7170" s="13" t="s">
        <v>8465</v>
      </c>
      <c r="E7170" s="10" t="s">
        <v>455</v>
      </c>
      <c r="F7170" s="10" t="s">
        <v>2900</v>
      </c>
      <c r="G7170" s="11" t="s">
        <v>1704</v>
      </c>
      <c r="H7170" s="2" t="s">
        <v>80</v>
      </c>
      <c r="L7170" s="18">
        <v>0</v>
      </c>
      <c r="Q7170" s="18">
        <v>0</v>
      </c>
      <c r="U7170" s="22">
        <v>0.7</v>
      </c>
      <c r="V7170" s="22">
        <f>3.61/5</f>
        <v>0.72199999999999998</v>
      </c>
      <c r="X7170" s="3">
        <v>2</v>
      </c>
      <c r="Y7170" s="18">
        <v>1</v>
      </c>
      <c r="Z7170" s="23">
        <v>4</v>
      </c>
      <c r="AB7170" s="18">
        <f t="shared" si="224"/>
        <v>2002</v>
      </c>
      <c r="AC7170" s="22">
        <f t="shared" si="225"/>
        <v>0.60733333333333339</v>
      </c>
    </row>
    <row r="7171" spans="1:29" ht="25.5">
      <c r="A7171" s="8" t="s">
        <v>5724</v>
      </c>
      <c r="B7171" s="17" t="s">
        <v>7758</v>
      </c>
      <c r="C7171" s="13">
        <v>37551</v>
      </c>
      <c r="D7171" s="13" t="s">
        <v>8465</v>
      </c>
      <c r="E7171" s="10" t="s">
        <v>72</v>
      </c>
      <c r="F7171" s="10" t="s">
        <v>72</v>
      </c>
      <c r="G7171" s="11" t="s">
        <v>97</v>
      </c>
      <c r="H7171" s="2" t="s">
        <v>147</v>
      </c>
      <c r="L7171" s="18">
        <v>0</v>
      </c>
      <c r="Q7171" s="18">
        <v>0</v>
      </c>
      <c r="U7171" s="22">
        <v>0.76</v>
      </c>
      <c r="V7171" s="22">
        <f>3.97/5</f>
        <v>0.79400000000000004</v>
      </c>
      <c r="X7171" s="3">
        <v>3</v>
      </c>
      <c r="Z7171" s="23">
        <v>2</v>
      </c>
      <c r="AB7171" s="18">
        <f t="shared" si="224"/>
        <v>2002</v>
      </c>
      <c r="AC7171" s="22">
        <f t="shared" si="225"/>
        <v>0.71799999999999997</v>
      </c>
    </row>
    <row r="7172" spans="1:29" ht="30">
      <c r="A7172" s="8" t="s">
        <v>15114</v>
      </c>
      <c r="B7172" s="17" t="s">
        <v>7740</v>
      </c>
      <c r="C7172" s="13">
        <v>37551</v>
      </c>
      <c r="D7172" s="13" t="s">
        <v>8465</v>
      </c>
      <c r="E7172" s="10" t="s">
        <v>1273</v>
      </c>
      <c r="F7172" s="10" t="s">
        <v>15115</v>
      </c>
      <c r="G7172" s="11" t="s">
        <v>440</v>
      </c>
      <c r="H7172" s="2" t="s">
        <v>459</v>
      </c>
      <c r="L7172" s="18">
        <v>0</v>
      </c>
      <c r="Q7172" s="18">
        <v>0</v>
      </c>
      <c r="U7172" s="22">
        <v>0.63</v>
      </c>
      <c r="V7172" s="22">
        <f>3.06/5</f>
        <v>0.61199999999999999</v>
      </c>
      <c r="X7172" s="3">
        <v>2</v>
      </c>
      <c r="Z7172" s="23">
        <v>2</v>
      </c>
      <c r="AB7172" s="18">
        <f t="shared" si="224"/>
        <v>2002</v>
      </c>
      <c r="AC7172" s="22">
        <f t="shared" si="225"/>
        <v>0.54733333333333334</v>
      </c>
    </row>
    <row r="7173" spans="1:29" ht="30">
      <c r="A7173" s="8" t="s">
        <v>1999</v>
      </c>
      <c r="B7173" s="17" t="s">
        <v>7747</v>
      </c>
      <c r="C7173" s="13">
        <v>37550</v>
      </c>
      <c r="D7173" s="13" t="s">
        <v>8465</v>
      </c>
      <c r="E7173" s="10" t="s">
        <v>66</v>
      </c>
      <c r="F7173" s="10" t="s">
        <v>1944</v>
      </c>
      <c r="H7173" s="2" t="s">
        <v>149</v>
      </c>
      <c r="L7173" s="18">
        <v>0</v>
      </c>
      <c r="Q7173" s="18">
        <v>0</v>
      </c>
      <c r="U7173" s="22">
        <v>0.75</v>
      </c>
      <c r="V7173" s="22">
        <f>3.67/5</f>
        <v>0.73399999999999999</v>
      </c>
      <c r="X7173" s="3">
        <v>3</v>
      </c>
      <c r="Z7173" s="23">
        <v>14</v>
      </c>
      <c r="AB7173" s="18">
        <f t="shared" si="224"/>
        <v>2002</v>
      </c>
      <c r="AC7173" s="22">
        <f t="shared" si="225"/>
        <v>0.69466666666666665</v>
      </c>
    </row>
    <row r="7174" spans="1:29">
      <c r="A7174" s="8" t="s">
        <v>14678</v>
      </c>
      <c r="B7174" s="17" t="s">
        <v>7764</v>
      </c>
      <c r="C7174" s="13">
        <v>37550</v>
      </c>
      <c r="D7174" s="13" t="s">
        <v>8465</v>
      </c>
      <c r="E7174" s="10" t="s">
        <v>1342</v>
      </c>
      <c r="F7174" s="10" t="s">
        <v>14679</v>
      </c>
      <c r="H7174" s="2" t="s">
        <v>255</v>
      </c>
      <c r="L7174" s="18">
        <v>0</v>
      </c>
      <c r="Q7174" s="18">
        <v>0</v>
      </c>
      <c r="U7174" s="22">
        <v>0.49</v>
      </c>
      <c r="V7174" s="22">
        <f>3.1/5</f>
        <v>0.62</v>
      </c>
      <c r="X7174" s="3">
        <v>2</v>
      </c>
      <c r="AB7174" s="18">
        <f t="shared" si="224"/>
        <v>2002</v>
      </c>
      <c r="AC7174" s="22">
        <f t="shared" si="225"/>
        <v>0.5033333333333333</v>
      </c>
    </row>
    <row r="7175" spans="1:29" ht="30">
      <c r="A7175" s="8" t="s">
        <v>10938</v>
      </c>
      <c r="B7175" s="17" t="s">
        <v>10937</v>
      </c>
      <c r="C7175" s="13">
        <v>37547</v>
      </c>
      <c r="D7175" s="13" t="s">
        <v>8463</v>
      </c>
      <c r="E7175" s="10" t="s">
        <v>86</v>
      </c>
      <c r="F7175" s="10" t="s">
        <v>1794</v>
      </c>
      <c r="G7175" s="11" t="s">
        <v>1470</v>
      </c>
      <c r="H7175" s="2" t="s">
        <v>80</v>
      </c>
      <c r="K7175" s="18">
        <v>2</v>
      </c>
      <c r="L7175" s="18">
        <v>0</v>
      </c>
      <c r="Q7175" s="18">
        <v>0</v>
      </c>
      <c r="V7175" s="22">
        <f>4/5</f>
        <v>0.8</v>
      </c>
      <c r="X7175" s="3">
        <v>3</v>
      </c>
      <c r="AB7175" s="18">
        <f t="shared" si="224"/>
        <v>2002</v>
      </c>
      <c r="AC7175" s="22">
        <f t="shared" si="225"/>
        <v>0.7</v>
      </c>
    </row>
    <row r="7176" spans="1:29" ht="30">
      <c r="A7176" s="8" t="s">
        <v>2009</v>
      </c>
      <c r="B7176" s="17" t="s">
        <v>7747</v>
      </c>
      <c r="C7176" s="13">
        <v>37547</v>
      </c>
      <c r="D7176" s="13" t="s">
        <v>8465</v>
      </c>
      <c r="E7176" s="10" t="s">
        <v>1954</v>
      </c>
      <c r="F7176" s="10" t="s">
        <v>1955</v>
      </c>
      <c r="H7176" s="2" t="s">
        <v>21</v>
      </c>
      <c r="L7176" s="18">
        <v>0</v>
      </c>
      <c r="Q7176" s="18">
        <v>0</v>
      </c>
      <c r="V7176" s="22">
        <f>3.17/5</f>
        <v>0.63400000000000001</v>
      </c>
      <c r="X7176" s="3">
        <v>3</v>
      </c>
      <c r="Z7176" s="23">
        <f>36/60</f>
        <v>0.6</v>
      </c>
      <c r="AB7176" s="18">
        <f t="shared" si="224"/>
        <v>2002</v>
      </c>
      <c r="AC7176" s="22">
        <f t="shared" si="225"/>
        <v>0.61699999999999999</v>
      </c>
    </row>
    <row r="7177" spans="1:29" ht="30">
      <c r="A7177" s="8" t="s">
        <v>2027</v>
      </c>
      <c r="B7177" s="17" t="s">
        <v>7747</v>
      </c>
      <c r="C7177" s="13">
        <v>37547</v>
      </c>
      <c r="D7177" s="13" t="s">
        <v>8465</v>
      </c>
      <c r="E7177" s="10" t="s">
        <v>66</v>
      </c>
      <c r="F7177" s="10" t="s">
        <v>1969</v>
      </c>
      <c r="G7177" s="11" t="s">
        <v>714</v>
      </c>
      <c r="H7177" s="2" t="s">
        <v>80</v>
      </c>
      <c r="L7177" s="18">
        <v>0</v>
      </c>
      <c r="Q7177" s="18">
        <v>0</v>
      </c>
      <c r="U7177" s="22">
        <v>0.52</v>
      </c>
      <c r="V7177" s="22">
        <f>3.52/5</f>
        <v>0.70399999999999996</v>
      </c>
      <c r="X7177" s="3">
        <v>3</v>
      </c>
      <c r="Z7177" s="23">
        <v>0.77</v>
      </c>
      <c r="AB7177" s="18">
        <f t="shared" si="224"/>
        <v>2002</v>
      </c>
      <c r="AC7177" s="22">
        <f t="shared" si="225"/>
        <v>0.60799999999999998</v>
      </c>
    </row>
    <row r="7178" spans="1:29">
      <c r="A7178" s="8" t="s">
        <v>5784</v>
      </c>
      <c r="B7178" s="17" t="s">
        <v>7758</v>
      </c>
      <c r="C7178" s="13">
        <v>37544</v>
      </c>
      <c r="D7178" s="13" t="s">
        <v>8465</v>
      </c>
      <c r="E7178" s="10" t="s">
        <v>1290</v>
      </c>
      <c r="F7178" s="10" t="s">
        <v>3037</v>
      </c>
      <c r="G7178" s="11" t="s">
        <v>3003</v>
      </c>
      <c r="H7178" s="2" t="s">
        <v>149</v>
      </c>
      <c r="L7178" s="18">
        <v>0</v>
      </c>
      <c r="Q7178" s="18">
        <v>0</v>
      </c>
      <c r="U7178" s="22">
        <v>0.78</v>
      </c>
      <c r="V7178" s="22">
        <f>3.89/5</f>
        <v>0.77800000000000002</v>
      </c>
      <c r="X7178" s="3">
        <v>3</v>
      </c>
      <c r="Z7178" s="23">
        <v>36.5</v>
      </c>
      <c r="AB7178" s="18">
        <f t="shared" si="224"/>
        <v>2002</v>
      </c>
      <c r="AC7178" s="22">
        <f t="shared" si="225"/>
        <v>0.71933333333333327</v>
      </c>
    </row>
    <row r="7179" spans="1:29">
      <c r="A7179" s="8" t="s">
        <v>3353</v>
      </c>
      <c r="B7179" s="17" t="s">
        <v>7758</v>
      </c>
      <c r="C7179" s="13">
        <v>37544</v>
      </c>
      <c r="D7179" s="13" t="s">
        <v>8465</v>
      </c>
      <c r="E7179" s="10" t="s">
        <v>1551</v>
      </c>
      <c r="F7179" s="10" t="s">
        <v>1536</v>
      </c>
      <c r="G7179" s="11" t="s">
        <v>3353</v>
      </c>
      <c r="H7179" s="2" t="s">
        <v>1168</v>
      </c>
      <c r="L7179" s="18">
        <v>0</v>
      </c>
      <c r="Q7179" s="18">
        <v>0</v>
      </c>
      <c r="U7179" s="22">
        <v>0.68910000000000005</v>
      </c>
      <c r="V7179" s="22">
        <f>3.45/5</f>
        <v>0.69000000000000006</v>
      </c>
      <c r="X7179" s="3">
        <v>2</v>
      </c>
      <c r="Z7179" s="23">
        <v>7</v>
      </c>
      <c r="AB7179" s="18">
        <f t="shared" si="224"/>
        <v>2002</v>
      </c>
      <c r="AC7179" s="22">
        <f t="shared" si="225"/>
        <v>0.59303333333333341</v>
      </c>
    </row>
    <row r="7180" spans="1:29">
      <c r="A7180" s="8" t="s">
        <v>14908</v>
      </c>
      <c r="B7180" s="17" t="s">
        <v>7758</v>
      </c>
      <c r="C7180" s="13">
        <v>37544</v>
      </c>
      <c r="D7180" s="13" t="s">
        <v>8465</v>
      </c>
      <c r="E7180" s="10" t="s">
        <v>72</v>
      </c>
      <c r="F7180" s="10" t="s">
        <v>72</v>
      </c>
      <c r="G7180" s="11" t="s">
        <v>14906</v>
      </c>
      <c r="H7180" s="2" t="s">
        <v>1170</v>
      </c>
      <c r="L7180" s="18">
        <v>0</v>
      </c>
      <c r="Q7180" s="18">
        <v>0</v>
      </c>
      <c r="U7180" s="22">
        <v>0.61</v>
      </c>
      <c r="V7180" s="22">
        <f>3.23/5</f>
        <v>0.64600000000000002</v>
      </c>
      <c r="X7180" s="3">
        <v>2</v>
      </c>
      <c r="Z7180" s="23">
        <f>57/60</f>
        <v>0.95</v>
      </c>
      <c r="AB7180" s="18">
        <f t="shared" si="224"/>
        <v>2002</v>
      </c>
      <c r="AC7180" s="22">
        <f t="shared" si="225"/>
        <v>0.55200000000000005</v>
      </c>
    </row>
    <row r="7181" spans="1:29" ht="38.25">
      <c r="A7181" s="8" t="s">
        <v>13074</v>
      </c>
      <c r="B7181" s="17" t="s">
        <v>7758</v>
      </c>
      <c r="C7181" s="13">
        <v>37544</v>
      </c>
      <c r="D7181" s="13" t="s">
        <v>8465</v>
      </c>
      <c r="E7181" s="10" t="s">
        <v>12577</v>
      </c>
      <c r="F7181" s="10" t="s">
        <v>5877</v>
      </c>
      <c r="G7181" s="11" t="s">
        <v>4445</v>
      </c>
      <c r="H7181" s="2" t="s">
        <v>80</v>
      </c>
      <c r="L7181" s="18">
        <v>0</v>
      </c>
      <c r="Q7181" s="18">
        <v>0</v>
      </c>
      <c r="U7181" s="22">
        <v>0.59</v>
      </c>
      <c r="V7181" s="22">
        <f>3.06/5</f>
        <v>0.61199999999999999</v>
      </c>
      <c r="X7181" s="3">
        <v>2</v>
      </c>
      <c r="Z7181" s="23">
        <v>5.5</v>
      </c>
      <c r="AB7181" s="18">
        <f t="shared" si="224"/>
        <v>2002</v>
      </c>
      <c r="AC7181" s="22">
        <f t="shared" si="225"/>
        <v>0.53399999999999992</v>
      </c>
    </row>
    <row r="7182" spans="1:29" ht="30">
      <c r="A7182" s="8" t="s">
        <v>1949</v>
      </c>
      <c r="B7182" s="17" t="s">
        <v>7747</v>
      </c>
      <c r="C7182" s="13">
        <v>37537</v>
      </c>
      <c r="D7182" s="13" t="s">
        <v>8465</v>
      </c>
      <c r="E7182" s="10" t="s">
        <v>1947</v>
      </c>
      <c r="F7182" s="10" t="s">
        <v>1948</v>
      </c>
      <c r="G7182" s="11" t="s">
        <v>1949</v>
      </c>
      <c r="H7182" s="2" t="s">
        <v>75</v>
      </c>
      <c r="L7182" s="18">
        <v>0</v>
      </c>
      <c r="Q7182" s="18">
        <v>0</v>
      </c>
      <c r="U7182" s="22">
        <v>0.75</v>
      </c>
      <c r="V7182" s="22">
        <f>2.65/5</f>
        <v>0.53</v>
      </c>
      <c r="X7182" s="3">
        <v>3</v>
      </c>
      <c r="Z7182" s="23">
        <f>58/60</f>
        <v>0.96666666666666667</v>
      </c>
      <c r="AB7182" s="18">
        <f t="shared" si="224"/>
        <v>2002</v>
      </c>
      <c r="AC7182" s="22">
        <f t="shared" si="225"/>
        <v>0.62666666666666659</v>
      </c>
    </row>
    <row r="7183" spans="1:29">
      <c r="A7183" s="8" t="s">
        <v>5847</v>
      </c>
      <c r="B7183" s="17" t="s">
        <v>7758</v>
      </c>
      <c r="C7183" s="13">
        <v>37537</v>
      </c>
      <c r="D7183" s="13" t="s">
        <v>8465</v>
      </c>
      <c r="E7183" s="10" t="s">
        <v>1870</v>
      </c>
      <c r="F7183" s="10" t="s">
        <v>5888</v>
      </c>
      <c r="G7183" s="11" t="s">
        <v>5889</v>
      </c>
      <c r="H7183" s="2" t="s">
        <v>1050</v>
      </c>
      <c r="L7183" s="18">
        <v>0</v>
      </c>
      <c r="Q7183" s="18">
        <v>0</v>
      </c>
      <c r="U7183" s="22">
        <v>0.92</v>
      </c>
      <c r="V7183" s="22">
        <f>4.19/5</f>
        <v>0.83800000000000008</v>
      </c>
      <c r="X7183" s="3">
        <v>4</v>
      </c>
      <c r="Z7183" s="23">
        <v>12</v>
      </c>
      <c r="AB7183" s="18">
        <f t="shared" si="224"/>
        <v>2002</v>
      </c>
      <c r="AC7183" s="22">
        <f t="shared" si="225"/>
        <v>0.85266666666666657</v>
      </c>
    </row>
    <row r="7184" spans="1:29" ht="25.5">
      <c r="A7184" s="8" t="s">
        <v>9259</v>
      </c>
      <c r="B7184" s="17" t="s">
        <v>7764</v>
      </c>
      <c r="C7184" s="13">
        <v>37536</v>
      </c>
      <c r="D7184" s="13" t="s">
        <v>8465</v>
      </c>
      <c r="E7184" s="10" t="s">
        <v>3740</v>
      </c>
      <c r="F7184" s="10" t="s">
        <v>2135</v>
      </c>
      <c r="G7184" s="11" t="s">
        <v>9260</v>
      </c>
      <c r="H7184" s="2" t="s">
        <v>1040</v>
      </c>
      <c r="L7184" s="18">
        <v>0</v>
      </c>
      <c r="Q7184" s="18">
        <v>0</v>
      </c>
      <c r="U7184" s="22">
        <v>0.71</v>
      </c>
      <c r="V7184" s="22">
        <f>3.37/5</f>
        <v>0.67400000000000004</v>
      </c>
      <c r="X7184" s="3">
        <v>3</v>
      </c>
      <c r="Y7184" s="18">
        <v>1</v>
      </c>
      <c r="Z7184" s="23">
        <v>9.5</v>
      </c>
      <c r="AB7184" s="18">
        <f t="shared" si="224"/>
        <v>2002</v>
      </c>
      <c r="AC7184" s="22">
        <f t="shared" si="225"/>
        <v>0.66133333333333333</v>
      </c>
    </row>
    <row r="7185" spans="1:29" ht="25.5">
      <c r="A7185" s="8" t="s">
        <v>7481</v>
      </c>
      <c r="B7185" s="17" t="s">
        <v>7758</v>
      </c>
      <c r="C7185" s="13">
        <v>37531</v>
      </c>
      <c r="D7185" s="13" t="s">
        <v>8465</v>
      </c>
      <c r="E7185" s="10" t="s">
        <v>231</v>
      </c>
      <c r="F7185" s="10" t="s">
        <v>6015</v>
      </c>
      <c r="G7185" s="11" t="s">
        <v>4518</v>
      </c>
      <c r="H7185" s="2" t="s">
        <v>150</v>
      </c>
      <c r="L7185" s="18">
        <v>0</v>
      </c>
      <c r="Q7185" s="18">
        <v>0</v>
      </c>
      <c r="U7185" s="22">
        <v>0.88</v>
      </c>
      <c r="V7185" s="22">
        <f>4.06/5</f>
        <v>0.81199999999999994</v>
      </c>
      <c r="X7185" s="3">
        <v>2</v>
      </c>
      <c r="Z7185" s="23">
        <v>11</v>
      </c>
      <c r="AB7185" s="18">
        <f t="shared" si="224"/>
        <v>2002</v>
      </c>
      <c r="AC7185" s="22">
        <f t="shared" si="225"/>
        <v>0.69733333333333336</v>
      </c>
    </row>
    <row r="7186" spans="1:29" ht="25.5">
      <c r="A7186" s="8" t="s">
        <v>4119</v>
      </c>
      <c r="B7186" s="17" t="s">
        <v>7800</v>
      </c>
      <c r="C7186" s="13">
        <v>37530</v>
      </c>
      <c r="D7186" s="13" t="s">
        <v>8465</v>
      </c>
      <c r="E7186" s="10" t="s">
        <v>1870</v>
      </c>
      <c r="F7186" s="10" t="s">
        <v>4118</v>
      </c>
      <c r="G7186" s="11" t="s">
        <v>4117</v>
      </c>
      <c r="H7186" s="2" t="s">
        <v>245</v>
      </c>
      <c r="L7186" s="18">
        <v>1</v>
      </c>
      <c r="N7186" s="13">
        <v>41105</v>
      </c>
      <c r="O7186" s="29">
        <v>2.08</v>
      </c>
      <c r="P7186" s="18" t="s">
        <v>1107</v>
      </c>
      <c r="Q7186" s="18">
        <v>0</v>
      </c>
      <c r="U7186" s="22">
        <v>0.85</v>
      </c>
      <c r="V7186" s="22">
        <f>3.8/5</f>
        <v>0.76</v>
      </c>
      <c r="W7186" s="14" t="s">
        <v>7777</v>
      </c>
      <c r="X7186" s="3">
        <v>3</v>
      </c>
      <c r="Z7186" s="23">
        <v>14.5</v>
      </c>
      <c r="AB7186" s="18">
        <f t="shared" si="224"/>
        <v>2002</v>
      </c>
      <c r="AC7186" s="22">
        <f t="shared" si="225"/>
        <v>0.73666666666666669</v>
      </c>
    </row>
    <row r="7187" spans="1:29">
      <c r="A7187" s="8" t="s">
        <v>8190</v>
      </c>
      <c r="B7187" s="17" t="s">
        <v>7758</v>
      </c>
      <c r="C7187" s="13">
        <v>37530</v>
      </c>
      <c r="D7187" s="13" t="s">
        <v>8465</v>
      </c>
      <c r="E7187" s="10" t="s">
        <v>8191</v>
      </c>
      <c r="F7187" s="10" t="s">
        <v>8192</v>
      </c>
      <c r="G7187" s="11" t="s">
        <v>3024</v>
      </c>
      <c r="H7187" s="2" t="s">
        <v>149</v>
      </c>
      <c r="L7187" s="18">
        <v>0</v>
      </c>
      <c r="Q7187" s="18">
        <v>0</v>
      </c>
      <c r="U7187" s="22">
        <v>0.7046</v>
      </c>
      <c r="V7187" s="22">
        <f>3.78/5</f>
        <v>0.75600000000000001</v>
      </c>
      <c r="X7187" s="3">
        <v>2</v>
      </c>
      <c r="Z7187" s="23">
        <v>40.5</v>
      </c>
      <c r="AB7187" s="18">
        <f t="shared" si="224"/>
        <v>2002</v>
      </c>
      <c r="AC7187" s="22">
        <f t="shared" si="225"/>
        <v>0.62019999999999997</v>
      </c>
    </row>
    <row r="7188" spans="1:29" ht="38.25">
      <c r="A7188" s="8" t="s">
        <v>7174</v>
      </c>
      <c r="B7188" s="17" t="s">
        <v>7800</v>
      </c>
      <c r="C7188" s="13">
        <v>37529</v>
      </c>
      <c r="D7188" s="13" t="s">
        <v>8465</v>
      </c>
      <c r="E7188" s="10" t="s">
        <v>1496</v>
      </c>
      <c r="F7188" s="10" t="s">
        <v>3487</v>
      </c>
      <c r="G7188" s="11" t="s">
        <v>7241</v>
      </c>
      <c r="H7188" s="2" t="s">
        <v>245</v>
      </c>
      <c r="L7188" s="18">
        <v>0</v>
      </c>
      <c r="Q7188" s="18">
        <v>0</v>
      </c>
      <c r="U7188" s="22">
        <v>0.91</v>
      </c>
      <c r="V7188" s="22">
        <f>4.12/5</f>
        <v>0.82400000000000007</v>
      </c>
      <c r="X7188" s="3">
        <v>3</v>
      </c>
      <c r="Z7188" s="23">
        <v>11.5</v>
      </c>
      <c r="AB7188" s="18">
        <f t="shared" si="224"/>
        <v>2002</v>
      </c>
      <c r="AC7188" s="22">
        <f t="shared" si="225"/>
        <v>0.77800000000000002</v>
      </c>
    </row>
    <row r="7189" spans="1:29" ht="25.5">
      <c r="A7189" s="8" t="s">
        <v>6686</v>
      </c>
      <c r="B7189" s="17" t="s">
        <v>7758</v>
      </c>
      <c r="C7189" s="13">
        <v>37529</v>
      </c>
      <c r="D7189" s="13" t="s">
        <v>8465</v>
      </c>
      <c r="E7189" s="10" t="s">
        <v>154</v>
      </c>
      <c r="F7189" s="10" t="s">
        <v>3393</v>
      </c>
      <c r="G7189" s="11" t="s">
        <v>3394</v>
      </c>
      <c r="H7189" s="2" t="s">
        <v>150</v>
      </c>
      <c r="L7189" s="18">
        <v>0</v>
      </c>
      <c r="Q7189" s="18">
        <v>0</v>
      </c>
      <c r="U7189" s="22">
        <v>0.88</v>
      </c>
      <c r="V7189" s="22">
        <f>3.67/5</f>
        <v>0.73399999999999999</v>
      </c>
      <c r="X7189" s="3">
        <v>3</v>
      </c>
      <c r="Z7189" s="23">
        <v>10.5</v>
      </c>
      <c r="AB7189" s="18">
        <f t="shared" si="224"/>
        <v>2002</v>
      </c>
      <c r="AC7189" s="22">
        <f t="shared" si="225"/>
        <v>0.73799999999999999</v>
      </c>
    </row>
    <row r="7190" spans="1:29">
      <c r="A7190" s="8" t="s">
        <v>10887</v>
      </c>
      <c r="B7190" s="17" t="s">
        <v>7758</v>
      </c>
      <c r="C7190" s="13">
        <v>37529</v>
      </c>
      <c r="D7190" s="13" t="s">
        <v>8465</v>
      </c>
      <c r="E7190" s="10" t="s">
        <v>257</v>
      </c>
      <c r="F7190" s="10" t="s">
        <v>1512</v>
      </c>
      <c r="G7190" s="11" t="s">
        <v>1871</v>
      </c>
      <c r="H7190" s="2" t="s">
        <v>149</v>
      </c>
      <c r="L7190" s="18">
        <v>0</v>
      </c>
      <c r="Q7190" s="18">
        <v>0</v>
      </c>
      <c r="U7190" s="22">
        <v>0.68</v>
      </c>
      <c r="V7190" s="22">
        <f>3.4/5</f>
        <v>0.67999999999999994</v>
      </c>
      <c r="X7190" s="3">
        <v>3</v>
      </c>
      <c r="Z7190" s="23">
        <v>42.5</v>
      </c>
      <c r="AB7190" s="18">
        <f t="shared" si="224"/>
        <v>2002</v>
      </c>
      <c r="AC7190" s="22">
        <f t="shared" si="225"/>
        <v>0.65333333333333332</v>
      </c>
    </row>
    <row r="7191" spans="1:29">
      <c r="A7191" s="8" t="s">
        <v>2762</v>
      </c>
      <c r="B7191" s="17" t="s">
        <v>7800</v>
      </c>
      <c r="C7191" s="13">
        <v>37529</v>
      </c>
      <c r="D7191" s="13" t="s">
        <v>8465</v>
      </c>
      <c r="E7191" s="10" t="s">
        <v>455</v>
      </c>
      <c r="F7191" s="10" t="s">
        <v>2761</v>
      </c>
      <c r="G7191" s="11" t="s">
        <v>2762</v>
      </c>
      <c r="H7191" s="2" t="s">
        <v>150</v>
      </c>
      <c r="L7191" s="18">
        <v>1</v>
      </c>
      <c r="N7191" s="13">
        <v>41968</v>
      </c>
      <c r="P7191" s="18" t="s">
        <v>1107</v>
      </c>
      <c r="Q7191" s="18">
        <v>0</v>
      </c>
      <c r="U7191" s="22">
        <v>0.56000000000000005</v>
      </c>
      <c r="V7191" s="22">
        <f>3.63/5</f>
        <v>0.72599999999999998</v>
      </c>
      <c r="W7191" s="14" t="s">
        <v>7777</v>
      </c>
      <c r="X7191" s="3">
        <v>3</v>
      </c>
      <c r="Z7191" s="23">
        <v>3</v>
      </c>
      <c r="AB7191" s="18">
        <f t="shared" si="224"/>
        <v>2002</v>
      </c>
      <c r="AC7191" s="22">
        <f t="shared" si="225"/>
        <v>0.62866666666666671</v>
      </c>
    </row>
    <row r="7192" spans="1:29" ht="30">
      <c r="A7192" s="8" t="s">
        <v>2037</v>
      </c>
      <c r="B7192" s="17" t="s">
        <v>7747</v>
      </c>
      <c r="C7192" s="13">
        <v>37524</v>
      </c>
      <c r="D7192" s="13" t="s">
        <v>8465</v>
      </c>
      <c r="E7192" s="10" t="s">
        <v>1945</v>
      </c>
      <c r="F7192" s="10" t="s">
        <v>1865</v>
      </c>
      <c r="G7192" s="11" t="s">
        <v>1975</v>
      </c>
      <c r="H7192" s="2" t="s">
        <v>56</v>
      </c>
      <c r="L7192" s="18">
        <v>0</v>
      </c>
      <c r="Q7192" s="18">
        <v>0</v>
      </c>
      <c r="U7192" s="22">
        <v>0.77</v>
      </c>
      <c r="V7192" s="22">
        <f>3.53/5</f>
        <v>0.70599999999999996</v>
      </c>
      <c r="X7192" s="3">
        <v>3</v>
      </c>
      <c r="Z7192" s="23">
        <v>7</v>
      </c>
      <c r="AB7192" s="18">
        <f t="shared" si="224"/>
        <v>2002</v>
      </c>
      <c r="AC7192" s="22">
        <f t="shared" si="225"/>
        <v>0.69200000000000006</v>
      </c>
    </row>
    <row r="7193" spans="1:29" ht="38.25">
      <c r="A7193" s="8" t="s">
        <v>6991</v>
      </c>
      <c r="B7193" s="17" t="s">
        <v>7800</v>
      </c>
      <c r="C7193" s="13">
        <v>37523</v>
      </c>
      <c r="D7193" s="13" t="s">
        <v>8465</v>
      </c>
      <c r="E7193" s="10" t="s">
        <v>1195</v>
      </c>
      <c r="F7193" s="10" t="s">
        <v>2659</v>
      </c>
      <c r="G7193" s="11" t="s">
        <v>1864</v>
      </c>
      <c r="H7193" s="2" t="s">
        <v>1720</v>
      </c>
      <c r="L7193" s="18">
        <v>1</v>
      </c>
      <c r="P7193" s="18" t="s">
        <v>1107</v>
      </c>
      <c r="Q7193" s="18">
        <v>0</v>
      </c>
      <c r="U7193" s="22">
        <v>0.67</v>
      </c>
      <c r="V7193" s="22">
        <f>3.61/5</f>
        <v>0.72199999999999998</v>
      </c>
      <c r="W7193" s="14" t="s">
        <v>7798</v>
      </c>
      <c r="X7193" s="3">
        <v>3</v>
      </c>
      <c r="Z7193" s="23">
        <v>32.5</v>
      </c>
      <c r="AB7193" s="18">
        <f t="shared" si="224"/>
        <v>2002</v>
      </c>
      <c r="AC7193" s="22">
        <f t="shared" si="225"/>
        <v>0.66400000000000003</v>
      </c>
    </row>
    <row r="7194" spans="1:29" ht="25.5">
      <c r="A7194" s="8" t="s">
        <v>5856</v>
      </c>
      <c r="B7194" s="17" t="s">
        <v>7758</v>
      </c>
      <c r="C7194" s="13">
        <v>37522</v>
      </c>
      <c r="D7194" s="13" t="s">
        <v>8465</v>
      </c>
      <c r="E7194" s="10" t="s">
        <v>1290</v>
      </c>
      <c r="F7194" s="10" t="s">
        <v>1478</v>
      </c>
      <c r="G7194" s="11" t="s">
        <v>5886</v>
      </c>
      <c r="H7194" s="2" t="s">
        <v>1040</v>
      </c>
      <c r="L7194" s="18">
        <v>0</v>
      </c>
      <c r="Q7194" s="18">
        <v>0</v>
      </c>
      <c r="U7194" s="22">
        <v>0.85</v>
      </c>
      <c r="V7194" s="22">
        <f>4.04/5</f>
        <v>0.80800000000000005</v>
      </c>
      <c r="X7194" s="3">
        <v>4</v>
      </c>
      <c r="Z7194" s="23">
        <v>7</v>
      </c>
      <c r="AB7194" s="18">
        <f t="shared" si="224"/>
        <v>2002</v>
      </c>
      <c r="AC7194" s="22">
        <f t="shared" si="225"/>
        <v>0.81933333333333336</v>
      </c>
    </row>
    <row r="7195" spans="1:29">
      <c r="A7195" s="8" t="s">
        <v>8079</v>
      </c>
      <c r="B7195" s="17" t="s">
        <v>7758</v>
      </c>
      <c r="C7195" s="13">
        <v>37522</v>
      </c>
      <c r="D7195" s="13" t="s">
        <v>8465</v>
      </c>
      <c r="E7195" s="10" t="s">
        <v>5048</v>
      </c>
      <c r="F7195" s="10" t="s">
        <v>158</v>
      </c>
      <c r="G7195" s="11" t="s">
        <v>8076</v>
      </c>
      <c r="H7195" s="2" t="s">
        <v>459</v>
      </c>
      <c r="L7195" s="18">
        <v>0</v>
      </c>
      <c r="Q7195" s="18">
        <v>0</v>
      </c>
      <c r="U7195" s="22">
        <v>0.8135</v>
      </c>
      <c r="V7195" s="22">
        <f>3.72/5</f>
        <v>0.74399999999999999</v>
      </c>
      <c r="X7195" s="3">
        <v>3</v>
      </c>
      <c r="Z7195" s="23">
        <v>1.5</v>
      </c>
      <c r="AB7195" s="18">
        <f t="shared" si="224"/>
        <v>2002</v>
      </c>
      <c r="AC7195" s="22">
        <f t="shared" si="225"/>
        <v>0.71916666666666673</v>
      </c>
    </row>
    <row r="7196" spans="1:29">
      <c r="A7196" s="8" t="s">
        <v>10117</v>
      </c>
      <c r="B7196" s="17" t="s">
        <v>7758</v>
      </c>
      <c r="C7196" s="13">
        <v>37522</v>
      </c>
      <c r="D7196" s="13" t="s">
        <v>8465</v>
      </c>
      <c r="E7196" s="10" t="s">
        <v>228</v>
      </c>
      <c r="F7196" s="10" t="s">
        <v>1083</v>
      </c>
      <c r="H7196" s="2" t="s">
        <v>80</v>
      </c>
      <c r="L7196" s="18">
        <v>0</v>
      </c>
      <c r="Q7196" s="18">
        <v>0</v>
      </c>
      <c r="U7196" s="22">
        <v>0.7</v>
      </c>
      <c r="V7196" s="22">
        <f>3.69/5</f>
        <v>0.73799999999999999</v>
      </c>
      <c r="X7196" s="3">
        <v>2</v>
      </c>
      <c r="Z7196" s="23">
        <v>18</v>
      </c>
      <c r="AB7196" s="18">
        <f t="shared" si="224"/>
        <v>2002</v>
      </c>
      <c r="AC7196" s="22">
        <f t="shared" si="225"/>
        <v>0.61266666666666669</v>
      </c>
    </row>
    <row r="7197" spans="1:29" ht="30">
      <c r="A7197" s="8" t="s">
        <v>3680</v>
      </c>
      <c r="B7197" s="17" t="s">
        <v>7800</v>
      </c>
      <c r="C7197" s="13">
        <v>37521</v>
      </c>
      <c r="D7197" s="13" t="s">
        <v>8465</v>
      </c>
      <c r="E7197" s="10" t="s">
        <v>3681</v>
      </c>
      <c r="F7197" s="10" t="s">
        <v>3298</v>
      </c>
      <c r="G7197" s="11" t="s">
        <v>3299</v>
      </c>
      <c r="H7197" s="2" t="s">
        <v>171</v>
      </c>
      <c r="L7197" s="18">
        <v>1</v>
      </c>
      <c r="N7197" s="13">
        <v>43285</v>
      </c>
      <c r="O7197" s="29">
        <v>0.59</v>
      </c>
      <c r="P7197" s="18" t="s">
        <v>1107</v>
      </c>
      <c r="Q7197" s="18">
        <v>0</v>
      </c>
      <c r="U7197" s="22">
        <v>0.82</v>
      </c>
      <c r="V7197" s="22">
        <f>3.8/5</f>
        <v>0.76</v>
      </c>
      <c r="W7197" s="14" t="s">
        <v>7777</v>
      </c>
      <c r="X7197" s="3">
        <v>3</v>
      </c>
      <c r="Z7197" s="23">
        <v>32.5</v>
      </c>
      <c r="AB7197" s="18">
        <f t="shared" si="224"/>
        <v>2002</v>
      </c>
      <c r="AC7197" s="22">
        <f t="shared" si="225"/>
        <v>0.72666666666666668</v>
      </c>
    </row>
    <row r="7198" spans="1:29" ht="30">
      <c r="A7198" s="8" t="s">
        <v>6636</v>
      </c>
      <c r="B7198" s="17" t="s">
        <v>7740</v>
      </c>
      <c r="C7198" s="13">
        <v>37519</v>
      </c>
      <c r="D7198" s="13" t="s">
        <v>8467</v>
      </c>
      <c r="E7198" s="10" t="s">
        <v>86</v>
      </c>
      <c r="F7198" s="10" t="s">
        <v>6637</v>
      </c>
      <c r="G7198" s="11" t="s">
        <v>6636</v>
      </c>
      <c r="H7198" s="2" t="s">
        <v>1334</v>
      </c>
      <c r="L7198" s="18">
        <v>0</v>
      </c>
      <c r="Q7198" s="18">
        <v>0</v>
      </c>
      <c r="U7198" s="22">
        <v>0.69</v>
      </c>
      <c r="V7198" s="22">
        <f>3.36/5</f>
        <v>0.67199999999999993</v>
      </c>
      <c r="X7198" s="3">
        <v>2</v>
      </c>
      <c r="Z7198" s="23">
        <v>9.5</v>
      </c>
      <c r="AB7198" s="18">
        <f t="shared" si="224"/>
        <v>2002</v>
      </c>
      <c r="AC7198" s="22">
        <f t="shared" si="225"/>
        <v>0.58733333333333337</v>
      </c>
    </row>
    <row r="7199" spans="1:29">
      <c r="A7199" s="8" t="s">
        <v>1957</v>
      </c>
      <c r="B7199" s="17" t="s">
        <v>7758</v>
      </c>
      <c r="C7199" s="13">
        <v>37516</v>
      </c>
      <c r="D7199" s="13" t="s">
        <v>8465</v>
      </c>
      <c r="E7199" s="10" t="s">
        <v>161</v>
      </c>
      <c r="F7199" s="10" t="s">
        <v>161</v>
      </c>
      <c r="G7199" s="11" t="s">
        <v>1957</v>
      </c>
      <c r="H7199" s="2" t="s">
        <v>171</v>
      </c>
      <c r="L7199" s="18">
        <v>0</v>
      </c>
      <c r="Q7199" s="18">
        <v>0</v>
      </c>
      <c r="U7199" s="22">
        <v>0.86</v>
      </c>
      <c r="V7199" s="22">
        <f>4.29/5</f>
        <v>0.85799999999999998</v>
      </c>
      <c r="X7199" s="3">
        <v>4</v>
      </c>
      <c r="Z7199" s="23">
        <v>27</v>
      </c>
      <c r="AB7199" s="18">
        <f t="shared" si="224"/>
        <v>2002</v>
      </c>
      <c r="AC7199" s="22">
        <f t="shared" si="225"/>
        <v>0.83933333333333326</v>
      </c>
    </row>
    <row r="7200" spans="1:29">
      <c r="A7200" s="8" t="s">
        <v>11491</v>
      </c>
      <c r="B7200" s="17" t="s">
        <v>7764</v>
      </c>
      <c r="C7200" s="13">
        <v>37516</v>
      </c>
      <c r="D7200" s="13" t="s">
        <v>8465</v>
      </c>
      <c r="E7200" s="10" t="s">
        <v>3740</v>
      </c>
      <c r="F7200" s="10" t="s">
        <v>11492</v>
      </c>
      <c r="H7200" s="2" t="s">
        <v>150</v>
      </c>
      <c r="L7200" s="18">
        <v>0</v>
      </c>
      <c r="Q7200" s="18">
        <v>0</v>
      </c>
      <c r="U7200" s="22">
        <v>0.7</v>
      </c>
      <c r="V7200" s="22">
        <f>3.53/5</f>
        <v>0.70599999999999996</v>
      </c>
      <c r="X7200" s="3">
        <v>2</v>
      </c>
      <c r="Y7200" s="18">
        <v>1</v>
      </c>
      <c r="AB7200" s="18">
        <f t="shared" si="224"/>
        <v>2002</v>
      </c>
      <c r="AC7200" s="22">
        <f t="shared" si="225"/>
        <v>0.60199999999999998</v>
      </c>
    </row>
    <row r="7201" spans="1:29">
      <c r="A7201" s="8" t="s">
        <v>5749</v>
      </c>
      <c r="B7201" s="17" t="s">
        <v>7758</v>
      </c>
      <c r="C7201" s="13">
        <v>37515</v>
      </c>
      <c r="D7201" s="13" t="s">
        <v>8465</v>
      </c>
      <c r="E7201" s="10" t="s">
        <v>455</v>
      </c>
      <c r="F7201" s="10" t="s">
        <v>1318</v>
      </c>
      <c r="G7201" s="11" t="s">
        <v>5749</v>
      </c>
      <c r="H7201" s="2" t="s">
        <v>1168</v>
      </c>
      <c r="L7201" s="18">
        <v>0</v>
      </c>
      <c r="Q7201" s="18">
        <v>0</v>
      </c>
      <c r="U7201" s="22">
        <v>0.65</v>
      </c>
      <c r="V7201" s="22">
        <f>3.47/5</f>
        <v>0.69400000000000006</v>
      </c>
      <c r="X7201" s="3">
        <v>3</v>
      </c>
      <c r="Z7201" s="23">
        <v>2.5</v>
      </c>
      <c r="AB7201" s="18">
        <f t="shared" si="224"/>
        <v>2002</v>
      </c>
      <c r="AC7201" s="22">
        <f t="shared" si="225"/>
        <v>0.64800000000000002</v>
      </c>
    </row>
    <row r="7202" spans="1:29" ht="30">
      <c r="A7202" s="8" t="s">
        <v>15424</v>
      </c>
      <c r="B7202" s="17" t="s">
        <v>7747</v>
      </c>
      <c r="C7202" s="13">
        <v>37513</v>
      </c>
      <c r="D7202" s="13" t="s">
        <v>8465</v>
      </c>
      <c r="E7202" s="10" t="s">
        <v>15423</v>
      </c>
      <c r="F7202" s="10" t="s">
        <v>1948</v>
      </c>
      <c r="G7202" s="11" t="s">
        <v>15422</v>
      </c>
      <c r="H7202" s="2" t="s">
        <v>1050</v>
      </c>
      <c r="L7202" s="18">
        <v>0</v>
      </c>
      <c r="Q7202" s="18">
        <v>0</v>
      </c>
      <c r="U7202" s="22">
        <v>0.72</v>
      </c>
      <c r="V7202" s="22">
        <f>2.52/5</f>
        <v>0.504</v>
      </c>
      <c r="X7202" s="3">
        <v>2</v>
      </c>
      <c r="Z7202" s="23">
        <v>4</v>
      </c>
      <c r="AB7202" s="18">
        <f t="shared" si="224"/>
        <v>2002</v>
      </c>
      <c r="AC7202" s="22">
        <f t="shared" si="225"/>
        <v>0.54133333333333333</v>
      </c>
    </row>
    <row r="7203" spans="1:29" ht="30">
      <c r="A7203" s="8" t="s">
        <v>1983</v>
      </c>
      <c r="B7203" s="17" t="s">
        <v>7747</v>
      </c>
      <c r="C7203" s="13">
        <v>37509</v>
      </c>
      <c r="D7203" s="13" t="s">
        <v>8465</v>
      </c>
      <c r="E7203" s="10" t="s">
        <v>73</v>
      </c>
      <c r="F7203" s="10" t="s">
        <v>1070</v>
      </c>
      <c r="G7203" s="11" t="s">
        <v>1983</v>
      </c>
      <c r="H7203" s="2" t="s">
        <v>56</v>
      </c>
      <c r="L7203" s="18">
        <v>0</v>
      </c>
      <c r="Q7203" s="18">
        <v>0</v>
      </c>
      <c r="U7203" s="22">
        <v>0.82</v>
      </c>
      <c r="V7203" s="22">
        <f>3.93/5</f>
        <v>0.78600000000000003</v>
      </c>
      <c r="X7203" s="3">
        <v>4</v>
      </c>
      <c r="Z7203" s="23">
        <v>3</v>
      </c>
      <c r="AB7203" s="18">
        <f t="shared" si="224"/>
        <v>2002</v>
      </c>
      <c r="AC7203" s="22">
        <f t="shared" si="225"/>
        <v>0.80199999999999994</v>
      </c>
    </row>
    <row r="7204" spans="1:29">
      <c r="A7204" s="8" t="s">
        <v>5846</v>
      </c>
      <c r="B7204" s="17" t="s">
        <v>7758</v>
      </c>
      <c r="C7204" s="13">
        <v>37509</v>
      </c>
      <c r="D7204" s="13" t="s">
        <v>8465</v>
      </c>
      <c r="E7204" s="10" t="s">
        <v>72</v>
      </c>
      <c r="F7204" s="10" t="s">
        <v>5887</v>
      </c>
      <c r="G7204" s="11" t="s">
        <v>5846</v>
      </c>
      <c r="H7204" s="2" t="s">
        <v>1061</v>
      </c>
      <c r="L7204" s="18">
        <v>0</v>
      </c>
      <c r="Q7204" s="18">
        <v>0</v>
      </c>
      <c r="U7204" s="22">
        <v>0.8</v>
      </c>
      <c r="V7204" s="22">
        <f>3.39/5</f>
        <v>0.67800000000000005</v>
      </c>
      <c r="X7204" s="3">
        <v>4</v>
      </c>
      <c r="Z7204" s="23">
        <v>7.5</v>
      </c>
      <c r="AB7204" s="18">
        <f t="shared" si="224"/>
        <v>2002</v>
      </c>
      <c r="AC7204" s="22">
        <f t="shared" si="225"/>
        <v>0.75933333333333353</v>
      </c>
    </row>
    <row r="7205" spans="1:29">
      <c r="A7205" s="8" t="s">
        <v>7948</v>
      </c>
      <c r="B7205" s="17" t="s">
        <v>7758</v>
      </c>
      <c r="C7205" s="13">
        <v>37509</v>
      </c>
      <c r="D7205" s="13" t="s">
        <v>8465</v>
      </c>
      <c r="E7205" s="10" t="s">
        <v>68</v>
      </c>
      <c r="F7205" s="10" t="s">
        <v>68</v>
      </c>
      <c r="G7205" s="11" t="s">
        <v>7935</v>
      </c>
      <c r="H7205" s="2" t="s">
        <v>75</v>
      </c>
      <c r="L7205" s="18">
        <v>0</v>
      </c>
      <c r="Q7205" s="18">
        <v>0</v>
      </c>
      <c r="U7205" s="22">
        <v>0.77639999999999998</v>
      </c>
      <c r="V7205" s="22">
        <f>3.57/5</f>
        <v>0.71399999999999997</v>
      </c>
      <c r="X7205" s="3">
        <v>3</v>
      </c>
      <c r="Z7205" s="23">
        <v>13.5</v>
      </c>
      <c r="AB7205" s="18">
        <f t="shared" si="224"/>
        <v>2002</v>
      </c>
      <c r="AC7205" s="22">
        <f t="shared" si="225"/>
        <v>0.69679999999999997</v>
      </c>
    </row>
    <row r="7206" spans="1:29" ht="30">
      <c r="A7206" s="8" t="s">
        <v>9317</v>
      </c>
      <c r="B7206" s="17" t="s">
        <v>7740</v>
      </c>
      <c r="C7206" s="13">
        <v>37509</v>
      </c>
      <c r="D7206" s="13" t="s">
        <v>8465</v>
      </c>
      <c r="E7206" s="10" t="s">
        <v>68</v>
      </c>
      <c r="F7206" s="10" t="s">
        <v>68</v>
      </c>
      <c r="H7206" s="2" t="s">
        <v>1059</v>
      </c>
      <c r="L7206" s="18">
        <v>0</v>
      </c>
      <c r="Q7206" s="18">
        <v>0</v>
      </c>
      <c r="U7206" s="22">
        <v>0.67</v>
      </c>
      <c r="V7206" s="22">
        <f>3.48/5</f>
        <v>0.69599999999999995</v>
      </c>
      <c r="X7206" s="3">
        <v>2</v>
      </c>
      <c r="Z7206" s="23">
        <v>6</v>
      </c>
      <c r="AB7206" s="18">
        <f t="shared" si="224"/>
        <v>2002</v>
      </c>
      <c r="AC7206" s="22">
        <f t="shared" si="225"/>
        <v>0.58866666666666667</v>
      </c>
    </row>
    <row r="7207" spans="1:29" ht="25.5">
      <c r="A7207" s="8" t="s">
        <v>11593</v>
      </c>
      <c r="B7207" s="17" t="s">
        <v>7758</v>
      </c>
      <c r="C7207" s="13">
        <v>37508</v>
      </c>
      <c r="D7207" s="13" t="s">
        <v>8465</v>
      </c>
      <c r="E7207" s="10" t="s">
        <v>157</v>
      </c>
      <c r="F7207" s="10" t="s">
        <v>73</v>
      </c>
      <c r="G7207" s="11" t="s">
        <v>1395</v>
      </c>
      <c r="H7207" s="2" t="s">
        <v>1204</v>
      </c>
      <c r="L7207" s="18">
        <v>0</v>
      </c>
      <c r="Q7207" s="18">
        <v>0</v>
      </c>
      <c r="U7207" s="22">
        <v>0.73</v>
      </c>
      <c r="V7207" s="22">
        <f>3.89/5</f>
        <v>0.77800000000000002</v>
      </c>
      <c r="X7207" s="3">
        <v>2</v>
      </c>
      <c r="Z7207" s="23">
        <v>9.5</v>
      </c>
      <c r="AB7207" s="18">
        <f t="shared" si="224"/>
        <v>2002</v>
      </c>
      <c r="AC7207" s="22">
        <f t="shared" si="225"/>
        <v>0.63600000000000001</v>
      </c>
    </row>
    <row r="7208" spans="1:29" ht="30">
      <c r="A7208" s="8" t="s">
        <v>5894</v>
      </c>
      <c r="B7208" s="17" t="s">
        <v>7758</v>
      </c>
      <c r="C7208" s="13">
        <v>37508</v>
      </c>
      <c r="D7208" s="13" t="s">
        <v>8465</v>
      </c>
      <c r="E7208" s="10" t="s">
        <v>73</v>
      </c>
      <c r="F7208" s="10" t="s">
        <v>5895</v>
      </c>
      <c r="G7208" s="11" t="s">
        <v>2927</v>
      </c>
      <c r="H7208" s="2" t="s">
        <v>1170</v>
      </c>
      <c r="L7208" s="18">
        <v>0</v>
      </c>
      <c r="Q7208" s="18">
        <v>0</v>
      </c>
      <c r="U7208" s="22">
        <v>0.57999999999999996</v>
      </c>
      <c r="V7208" s="22">
        <f>3.12/5</f>
        <v>0.624</v>
      </c>
      <c r="X7208" s="3">
        <v>2</v>
      </c>
      <c r="Z7208" s="23">
        <v>1.5</v>
      </c>
      <c r="AB7208" s="18">
        <f t="shared" si="224"/>
        <v>2002</v>
      </c>
      <c r="AC7208" s="22">
        <f t="shared" si="225"/>
        <v>0.53466666666666673</v>
      </c>
    </row>
    <row r="7209" spans="1:29" ht="30">
      <c r="A7209" s="8" t="s">
        <v>1950</v>
      </c>
      <c r="B7209" s="17" t="s">
        <v>7747</v>
      </c>
      <c r="C7209" s="13">
        <v>37505</v>
      </c>
      <c r="D7209" s="13" t="s">
        <v>8463</v>
      </c>
      <c r="E7209" s="10" t="s">
        <v>86</v>
      </c>
      <c r="F7209" s="10" t="s">
        <v>58</v>
      </c>
      <c r="G7209" s="11" t="s">
        <v>1950</v>
      </c>
      <c r="H7209" s="2" t="s">
        <v>64</v>
      </c>
      <c r="K7209" s="18">
        <v>1</v>
      </c>
      <c r="L7209" s="18">
        <v>0</v>
      </c>
      <c r="Q7209" s="18">
        <v>0</v>
      </c>
      <c r="U7209" s="22">
        <v>0.9</v>
      </c>
      <c r="V7209" s="22">
        <f>3.81/5</f>
        <v>0.76200000000000001</v>
      </c>
      <c r="X7209" s="3">
        <v>4</v>
      </c>
      <c r="Z7209" s="23">
        <v>2.5</v>
      </c>
      <c r="AB7209" s="18">
        <f t="shared" si="224"/>
        <v>2002</v>
      </c>
      <c r="AC7209" s="22">
        <f t="shared" si="225"/>
        <v>0.82066666666666654</v>
      </c>
    </row>
    <row r="7210" spans="1:29">
      <c r="A7210" s="8" t="s">
        <v>7663</v>
      </c>
      <c r="B7210" s="17" t="s">
        <v>7758</v>
      </c>
      <c r="C7210" s="13">
        <v>37504</v>
      </c>
      <c r="D7210" s="13" t="s">
        <v>8465</v>
      </c>
      <c r="E7210" s="10" t="s">
        <v>3017</v>
      </c>
      <c r="F7210" s="10" t="s">
        <v>1580</v>
      </c>
      <c r="G7210" s="11" t="s">
        <v>5915</v>
      </c>
      <c r="H7210" s="2" t="s">
        <v>1168</v>
      </c>
      <c r="L7210" s="18">
        <v>0</v>
      </c>
      <c r="Q7210" s="18">
        <v>0</v>
      </c>
      <c r="U7210" s="22">
        <v>0.74</v>
      </c>
      <c r="V7210" s="22">
        <f>3.86/5</f>
        <v>0.77200000000000002</v>
      </c>
      <c r="X7210" s="3">
        <v>3</v>
      </c>
      <c r="Z7210" s="23">
        <v>17</v>
      </c>
      <c r="AB7210" s="18">
        <f t="shared" si="224"/>
        <v>2002</v>
      </c>
      <c r="AC7210" s="22">
        <f t="shared" si="225"/>
        <v>0.70400000000000007</v>
      </c>
    </row>
    <row r="7211" spans="1:29" ht="30">
      <c r="A7211" s="8" t="s">
        <v>14906</v>
      </c>
      <c r="B7211" s="17" t="s">
        <v>7747</v>
      </c>
      <c r="C7211" s="13">
        <v>37503</v>
      </c>
      <c r="D7211" s="13" t="s">
        <v>8465</v>
      </c>
      <c r="E7211" s="10" t="s">
        <v>72</v>
      </c>
      <c r="F7211" s="10" t="s">
        <v>72</v>
      </c>
      <c r="G7211" s="11" t="s">
        <v>14906</v>
      </c>
      <c r="H7211" s="2" t="s">
        <v>1170</v>
      </c>
      <c r="L7211" s="18">
        <v>0</v>
      </c>
      <c r="Q7211" s="18">
        <v>0</v>
      </c>
      <c r="U7211" s="22">
        <v>0.7</v>
      </c>
      <c r="V7211" s="22">
        <f>3.03/5</f>
        <v>0.60599999999999998</v>
      </c>
      <c r="X7211" s="3">
        <v>2</v>
      </c>
      <c r="Z7211" s="23">
        <f>19/60</f>
        <v>0.31666666666666665</v>
      </c>
      <c r="AB7211" s="18">
        <f t="shared" si="224"/>
        <v>2002</v>
      </c>
      <c r="AC7211" s="22">
        <f t="shared" si="225"/>
        <v>0.56866666666666665</v>
      </c>
    </row>
    <row r="7212" spans="1:29" ht="30">
      <c r="A7212" s="8" t="s">
        <v>5226</v>
      </c>
      <c r="B7212" s="17" t="s">
        <v>7800</v>
      </c>
      <c r="C7212" s="13">
        <v>37500</v>
      </c>
      <c r="D7212" s="13" t="s">
        <v>8465</v>
      </c>
      <c r="E7212" s="10" t="s">
        <v>3377</v>
      </c>
      <c r="F7212" s="10" t="s">
        <v>1598</v>
      </c>
      <c r="G7212" s="11" t="s">
        <v>5226</v>
      </c>
      <c r="H7212" s="2" t="s">
        <v>67</v>
      </c>
      <c r="L7212" s="18">
        <v>1</v>
      </c>
      <c r="N7212" s="13">
        <v>41093</v>
      </c>
      <c r="P7212" s="18" t="s">
        <v>1107</v>
      </c>
      <c r="Q7212" s="18">
        <v>0</v>
      </c>
      <c r="U7212" s="22">
        <v>0.82</v>
      </c>
      <c r="V7212" s="22">
        <f>3.89/5</f>
        <v>0.77800000000000002</v>
      </c>
      <c r="W7212" s="14" t="s">
        <v>7777</v>
      </c>
      <c r="X7212" s="3">
        <v>3</v>
      </c>
      <c r="Z7212" s="23">
        <v>9.5</v>
      </c>
      <c r="AB7212" s="18">
        <f t="shared" si="224"/>
        <v>2002</v>
      </c>
      <c r="AC7212" s="22">
        <f t="shared" si="225"/>
        <v>0.73266666666666669</v>
      </c>
    </row>
    <row r="7213" spans="1:29" ht="30">
      <c r="A7213" s="8" t="s">
        <v>15292</v>
      </c>
      <c r="B7213" s="17" t="s">
        <v>7758</v>
      </c>
      <c r="C7213" s="13">
        <v>37500</v>
      </c>
      <c r="D7213" s="13" t="s">
        <v>8465</v>
      </c>
      <c r="E7213" s="10" t="s">
        <v>60</v>
      </c>
      <c r="F7213" s="10" t="s">
        <v>1476</v>
      </c>
      <c r="G7213" s="11" t="s">
        <v>10608</v>
      </c>
      <c r="H7213" s="2" t="s">
        <v>1168</v>
      </c>
      <c r="L7213" s="18">
        <v>0</v>
      </c>
      <c r="Q7213" s="18">
        <v>0</v>
      </c>
      <c r="U7213" s="22">
        <v>0.57999999999999996</v>
      </c>
      <c r="V7213" s="22">
        <f>3.15/5</f>
        <v>0.63</v>
      </c>
      <c r="X7213" s="3">
        <v>2</v>
      </c>
      <c r="Z7213" s="23">
        <v>5.5</v>
      </c>
      <c r="AB7213" s="18">
        <f t="shared" si="224"/>
        <v>2002</v>
      </c>
      <c r="AC7213" s="22">
        <f t="shared" si="225"/>
        <v>0.53666666666666663</v>
      </c>
    </row>
    <row r="7214" spans="1:29" ht="30">
      <c r="A7214" s="8" t="s">
        <v>4379</v>
      </c>
      <c r="B7214" s="17" t="s">
        <v>7800</v>
      </c>
      <c r="C7214" s="13">
        <v>37497</v>
      </c>
      <c r="D7214" s="13" t="s">
        <v>8465</v>
      </c>
      <c r="E7214" s="10" t="s">
        <v>3120</v>
      </c>
      <c r="F7214" s="10" t="s">
        <v>12396</v>
      </c>
      <c r="G7214" s="11" t="s">
        <v>4379</v>
      </c>
      <c r="H7214" s="2" t="s">
        <v>80</v>
      </c>
      <c r="L7214" s="18">
        <v>1</v>
      </c>
      <c r="N7214" s="13">
        <v>44805</v>
      </c>
      <c r="O7214" s="29">
        <v>0</v>
      </c>
      <c r="P7214" s="18" t="s">
        <v>1107</v>
      </c>
      <c r="Q7214" s="18">
        <v>0</v>
      </c>
      <c r="U7214" s="22">
        <v>0.88</v>
      </c>
      <c r="V7214" s="22">
        <f>4.14/5</f>
        <v>0.82799999999999996</v>
      </c>
      <c r="W7214" s="14" t="s">
        <v>7777</v>
      </c>
      <c r="X7214" s="3">
        <v>3</v>
      </c>
      <c r="Z7214" s="23">
        <v>16</v>
      </c>
      <c r="AB7214" s="18">
        <f t="shared" si="224"/>
        <v>2002</v>
      </c>
      <c r="AC7214" s="22">
        <f t="shared" si="225"/>
        <v>0.76933333333333331</v>
      </c>
    </row>
    <row r="7215" spans="1:29" ht="30">
      <c r="A7215" s="8" t="s">
        <v>6745</v>
      </c>
      <c r="B7215" s="17" t="s">
        <v>7740</v>
      </c>
      <c r="C7215" s="13">
        <v>37496</v>
      </c>
      <c r="D7215" s="13" t="s">
        <v>8465</v>
      </c>
      <c r="E7215" s="10" t="s">
        <v>154</v>
      </c>
      <c r="F7215" s="10" t="s">
        <v>6600</v>
      </c>
      <c r="G7215" s="11" t="s">
        <v>1465</v>
      </c>
      <c r="H7215" s="2" t="s">
        <v>1050</v>
      </c>
      <c r="L7215" s="18">
        <v>0</v>
      </c>
      <c r="Q7215" s="18">
        <v>0</v>
      </c>
      <c r="U7215" s="22">
        <v>0.71</v>
      </c>
      <c r="V7215" s="22">
        <f>3.29/5</f>
        <v>0.65800000000000003</v>
      </c>
      <c r="X7215" s="3">
        <v>3</v>
      </c>
      <c r="Z7215" s="23">
        <v>10.5</v>
      </c>
      <c r="AB7215" s="18">
        <f t="shared" si="224"/>
        <v>2002</v>
      </c>
      <c r="AC7215" s="22">
        <f t="shared" si="225"/>
        <v>0.65600000000000003</v>
      </c>
    </row>
    <row r="7216" spans="1:29" ht="30">
      <c r="A7216" s="8" t="s">
        <v>6745</v>
      </c>
      <c r="B7216" s="17" t="s">
        <v>7747</v>
      </c>
      <c r="C7216" s="13">
        <v>37496</v>
      </c>
      <c r="D7216" s="13" t="s">
        <v>8465</v>
      </c>
      <c r="E7216" s="10" t="s">
        <v>154</v>
      </c>
      <c r="F7216" s="10" t="s">
        <v>1959</v>
      </c>
      <c r="G7216" s="11" t="s">
        <v>1465</v>
      </c>
      <c r="H7216" s="2" t="s">
        <v>147</v>
      </c>
      <c r="L7216" s="18">
        <v>0</v>
      </c>
      <c r="Q7216" s="18">
        <v>0</v>
      </c>
      <c r="U7216" s="22">
        <v>0.72</v>
      </c>
      <c r="V7216" s="22">
        <f>3.15/5</f>
        <v>0.63</v>
      </c>
      <c r="X7216" s="3">
        <v>3</v>
      </c>
      <c r="Z7216" s="23">
        <v>10.5</v>
      </c>
      <c r="AB7216" s="18">
        <f t="shared" si="224"/>
        <v>2002</v>
      </c>
      <c r="AC7216" s="22">
        <f t="shared" si="225"/>
        <v>0.65</v>
      </c>
    </row>
    <row r="7217" spans="1:29">
      <c r="A7217" s="8" t="s">
        <v>6951</v>
      </c>
      <c r="B7217" s="17" t="s">
        <v>7800</v>
      </c>
      <c r="C7217" s="13">
        <v>37495</v>
      </c>
      <c r="D7217" s="13" t="s">
        <v>8465</v>
      </c>
      <c r="E7217" s="10" t="s">
        <v>1272</v>
      </c>
      <c r="F7217" s="10" t="s">
        <v>5864</v>
      </c>
      <c r="G7217" s="11" t="s">
        <v>4161</v>
      </c>
      <c r="H7217" s="2" t="s">
        <v>1720</v>
      </c>
      <c r="L7217" s="18">
        <v>1</v>
      </c>
      <c r="N7217" s="13">
        <v>41803</v>
      </c>
      <c r="O7217" s="29">
        <v>1.99</v>
      </c>
      <c r="P7217" s="18" t="s">
        <v>1107</v>
      </c>
      <c r="Q7217" s="18">
        <v>0</v>
      </c>
      <c r="U7217" s="22">
        <v>0.82</v>
      </c>
      <c r="V7217" s="22">
        <f>3.92/5</f>
        <v>0.78400000000000003</v>
      </c>
      <c r="W7217" s="14" t="s">
        <v>7778</v>
      </c>
      <c r="X7217" s="3">
        <v>4</v>
      </c>
      <c r="Z7217" s="23">
        <v>41</v>
      </c>
      <c r="AB7217" s="18">
        <f t="shared" si="224"/>
        <v>2002</v>
      </c>
      <c r="AC7217" s="22">
        <f t="shared" si="225"/>
        <v>0.80133333333333334</v>
      </c>
    </row>
    <row r="7218" spans="1:29" ht="25.5">
      <c r="A7218" s="8" t="s">
        <v>8161</v>
      </c>
      <c r="B7218" s="17" t="s">
        <v>7758</v>
      </c>
      <c r="C7218" s="13">
        <v>37495</v>
      </c>
      <c r="D7218" s="13" t="s">
        <v>8465</v>
      </c>
      <c r="E7218" s="10" t="s">
        <v>73</v>
      </c>
      <c r="F7218" s="10" t="s">
        <v>73</v>
      </c>
      <c r="G7218" s="11" t="s">
        <v>1967</v>
      </c>
      <c r="H7218" s="2" t="s">
        <v>1059</v>
      </c>
      <c r="L7218" s="18">
        <v>0</v>
      </c>
      <c r="Q7218" s="18">
        <v>0</v>
      </c>
      <c r="U7218" s="22">
        <v>0.84440000000000004</v>
      </c>
      <c r="V7218" s="22">
        <f>3.96/5</f>
        <v>0.79200000000000004</v>
      </c>
      <c r="X7218" s="3">
        <v>3</v>
      </c>
      <c r="Z7218" s="23">
        <v>9.5</v>
      </c>
      <c r="AB7218" s="18">
        <f t="shared" si="224"/>
        <v>2002</v>
      </c>
      <c r="AC7218" s="22">
        <f t="shared" si="225"/>
        <v>0.74546666666666672</v>
      </c>
    </row>
    <row r="7219" spans="1:29" ht="30">
      <c r="A7219" s="8" t="s">
        <v>11933</v>
      </c>
      <c r="B7219" s="17" t="s">
        <v>7758</v>
      </c>
      <c r="C7219" s="13">
        <v>37495</v>
      </c>
      <c r="D7219" s="13" t="s">
        <v>8465</v>
      </c>
      <c r="E7219" s="10" t="s">
        <v>2908</v>
      </c>
      <c r="F7219" s="10" t="s">
        <v>7550</v>
      </c>
      <c r="G7219" s="11" t="s">
        <v>11933</v>
      </c>
      <c r="H7219" s="2" t="s">
        <v>7448</v>
      </c>
      <c r="L7219" s="18">
        <v>0</v>
      </c>
      <c r="Q7219" s="18">
        <v>0</v>
      </c>
      <c r="U7219" s="22">
        <v>0.82</v>
      </c>
      <c r="V7219" s="22">
        <f>3.59/5</f>
        <v>0.71799999999999997</v>
      </c>
      <c r="X7219" s="3">
        <v>2</v>
      </c>
      <c r="Z7219" s="23">
        <v>12.5</v>
      </c>
      <c r="AB7219" s="18">
        <f t="shared" si="224"/>
        <v>2002</v>
      </c>
      <c r="AC7219" s="22">
        <f t="shared" si="225"/>
        <v>0.64599999999999991</v>
      </c>
    </row>
    <row r="7220" spans="1:29" ht="30">
      <c r="A7220" s="8" t="s">
        <v>6739</v>
      </c>
      <c r="B7220" s="17" t="s">
        <v>7740</v>
      </c>
      <c r="C7220" s="13">
        <v>37493</v>
      </c>
      <c r="D7220" s="13" t="s">
        <v>8465</v>
      </c>
      <c r="E7220" s="10" t="s">
        <v>455</v>
      </c>
      <c r="F7220" s="10" t="s">
        <v>1494</v>
      </c>
      <c r="G7220" s="11" t="s">
        <v>1065</v>
      </c>
      <c r="H7220" s="2" t="s">
        <v>1040</v>
      </c>
      <c r="L7220" s="18">
        <v>0</v>
      </c>
      <c r="Q7220" s="18">
        <v>0</v>
      </c>
      <c r="U7220" s="22">
        <v>0.86</v>
      </c>
      <c r="V7220" s="22">
        <f>3.89/5</f>
        <v>0.77800000000000002</v>
      </c>
      <c r="X7220" s="3">
        <v>3</v>
      </c>
      <c r="Z7220" s="23">
        <v>5.5</v>
      </c>
      <c r="AB7220" s="18">
        <f t="shared" si="224"/>
        <v>2002</v>
      </c>
      <c r="AC7220" s="22">
        <f t="shared" si="225"/>
        <v>0.746</v>
      </c>
    </row>
    <row r="7221" spans="1:29" ht="30">
      <c r="A7221" s="8" t="s">
        <v>12373</v>
      </c>
      <c r="B7221" s="17" t="s">
        <v>7747</v>
      </c>
      <c r="C7221" s="13">
        <v>37491</v>
      </c>
      <c r="D7221" s="13" t="s">
        <v>8463</v>
      </c>
      <c r="E7221" s="10" t="s">
        <v>158</v>
      </c>
      <c r="F7221" s="10" t="s">
        <v>158</v>
      </c>
      <c r="G7221" s="11" t="s">
        <v>7502</v>
      </c>
      <c r="H7221" s="2" t="s">
        <v>78</v>
      </c>
      <c r="K7221" s="18">
        <v>0</v>
      </c>
      <c r="L7221" s="18">
        <v>0</v>
      </c>
      <c r="Q7221" s="18">
        <v>0</v>
      </c>
      <c r="V7221" s="22">
        <f>3.89/5</f>
        <v>0.77800000000000002</v>
      </c>
      <c r="X7221" s="3">
        <v>2</v>
      </c>
      <c r="AB7221" s="18">
        <f t="shared" si="224"/>
        <v>2002</v>
      </c>
      <c r="AC7221" s="22">
        <f t="shared" si="225"/>
        <v>0.58899999999999997</v>
      </c>
    </row>
    <row r="7222" spans="1:29" ht="30">
      <c r="A7222" s="8" t="s">
        <v>11066</v>
      </c>
      <c r="B7222" s="17" t="s">
        <v>7764</v>
      </c>
      <c r="C7222" s="13">
        <v>37487</v>
      </c>
      <c r="D7222" s="13" t="s">
        <v>8465</v>
      </c>
      <c r="E7222" s="10" t="s">
        <v>231</v>
      </c>
      <c r="F7222" s="10" t="s">
        <v>11067</v>
      </c>
      <c r="G7222" s="11" t="s">
        <v>11066</v>
      </c>
      <c r="H7222" s="2" t="s">
        <v>153</v>
      </c>
      <c r="L7222" s="18">
        <v>0</v>
      </c>
      <c r="Q7222" s="18">
        <v>0</v>
      </c>
      <c r="U7222" s="22">
        <v>0.79</v>
      </c>
      <c r="V7222" s="22">
        <f>3.74/5</f>
        <v>0.748</v>
      </c>
      <c r="X7222" s="3">
        <v>2</v>
      </c>
      <c r="Z7222" s="23">
        <v>9</v>
      </c>
      <c r="AB7222" s="18">
        <f t="shared" si="224"/>
        <v>2002</v>
      </c>
      <c r="AC7222" s="22">
        <f t="shared" si="225"/>
        <v>0.64600000000000002</v>
      </c>
    </row>
    <row r="7223" spans="1:29" ht="30">
      <c r="A7223" s="8" t="s">
        <v>7516</v>
      </c>
      <c r="B7223" s="17" t="s">
        <v>7747</v>
      </c>
      <c r="C7223" s="13">
        <v>37480</v>
      </c>
      <c r="D7223" s="13" t="s">
        <v>8465</v>
      </c>
      <c r="E7223" s="10" t="s">
        <v>1480</v>
      </c>
      <c r="F7223" s="10" t="s">
        <v>1956</v>
      </c>
      <c r="G7223" s="11" t="s">
        <v>3723</v>
      </c>
      <c r="H7223" s="2" t="s">
        <v>1050</v>
      </c>
      <c r="L7223" s="18">
        <v>0</v>
      </c>
      <c r="Q7223" s="18">
        <v>0</v>
      </c>
      <c r="U7223" s="22">
        <v>0.81</v>
      </c>
      <c r="V7223" s="22">
        <f>3.39/5</f>
        <v>0.67800000000000005</v>
      </c>
      <c r="X7223" s="3">
        <v>3</v>
      </c>
      <c r="Z7223" s="23">
        <v>3.5</v>
      </c>
      <c r="AB7223" s="18">
        <f t="shared" si="224"/>
        <v>2002</v>
      </c>
      <c r="AC7223" s="22">
        <f t="shared" si="225"/>
        <v>0.69600000000000006</v>
      </c>
    </row>
    <row r="7224" spans="1:29" ht="30">
      <c r="A7224" s="8" t="s">
        <v>8924</v>
      </c>
      <c r="B7224" s="17" t="s">
        <v>7747</v>
      </c>
      <c r="C7224" s="13">
        <v>37470</v>
      </c>
      <c r="D7224" s="13" t="s">
        <v>8463</v>
      </c>
      <c r="E7224" s="10" t="s">
        <v>470</v>
      </c>
      <c r="F7224" s="10" t="s">
        <v>470</v>
      </c>
      <c r="G7224" s="11" t="s">
        <v>299</v>
      </c>
      <c r="H7224" s="2" t="s">
        <v>75</v>
      </c>
      <c r="K7224" s="18">
        <v>1</v>
      </c>
      <c r="L7224" s="18">
        <v>0</v>
      </c>
      <c r="Q7224" s="18">
        <v>0</v>
      </c>
      <c r="V7224" s="22">
        <f>3.98/5</f>
        <v>0.79600000000000004</v>
      </c>
      <c r="X7224" s="3">
        <v>3</v>
      </c>
      <c r="AB7224" s="18">
        <f t="shared" si="224"/>
        <v>2002</v>
      </c>
      <c r="AC7224" s="22">
        <f t="shared" si="225"/>
        <v>0.69799999999999995</v>
      </c>
    </row>
    <row r="7225" spans="1:29">
      <c r="A7225" s="8" t="s">
        <v>5169</v>
      </c>
      <c r="B7225" s="17" t="s">
        <v>7800</v>
      </c>
      <c r="C7225" s="13">
        <v>37468</v>
      </c>
      <c r="D7225" s="13" t="s">
        <v>8465</v>
      </c>
      <c r="E7225" s="10" t="s">
        <v>5167</v>
      </c>
      <c r="F7225" s="10" t="s">
        <v>5167</v>
      </c>
      <c r="G7225" s="11" t="s">
        <v>5166</v>
      </c>
      <c r="H7225" s="2" t="s">
        <v>1143</v>
      </c>
      <c r="L7225" s="18">
        <v>1</v>
      </c>
      <c r="N7225" s="13">
        <v>41349</v>
      </c>
      <c r="O7225" s="29">
        <v>0</v>
      </c>
      <c r="P7225" s="18" t="s">
        <v>1107</v>
      </c>
      <c r="Q7225" s="18">
        <v>0</v>
      </c>
      <c r="U7225" s="22">
        <v>0.81</v>
      </c>
      <c r="V7225" s="22">
        <f>4.12/5</f>
        <v>0.82400000000000007</v>
      </c>
      <c r="W7225" s="14" t="s">
        <v>7777</v>
      </c>
      <c r="X7225" s="3">
        <v>2</v>
      </c>
      <c r="Z7225" s="23">
        <v>12</v>
      </c>
      <c r="AB7225" s="18">
        <f t="shared" si="224"/>
        <v>2002</v>
      </c>
      <c r="AC7225" s="22">
        <f t="shared" si="225"/>
        <v>0.67800000000000005</v>
      </c>
    </row>
    <row r="7226" spans="1:29" ht="30">
      <c r="A7226" s="8" t="s">
        <v>8193</v>
      </c>
      <c r="B7226" s="17" t="s">
        <v>7758</v>
      </c>
      <c r="C7226" s="13">
        <v>37466</v>
      </c>
      <c r="D7226" s="13" t="s">
        <v>8465</v>
      </c>
      <c r="E7226" s="10" t="s">
        <v>2908</v>
      </c>
      <c r="F7226" s="10" t="s">
        <v>8194</v>
      </c>
      <c r="G7226" s="11" t="s">
        <v>8193</v>
      </c>
      <c r="H7226" s="2" t="s">
        <v>80</v>
      </c>
      <c r="L7226" s="18">
        <v>0</v>
      </c>
      <c r="Q7226" s="18">
        <v>0</v>
      </c>
      <c r="U7226" s="22">
        <v>0.81459999999999999</v>
      </c>
      <c r="V7226" s="22">
        <f>3.63/5</f>
        <v>0.72599999999999998</v>
      </c>
      <c r="X7226" s="3">
        <v>3</v>
      </c>
      <c r="Z7226" s="23">
        <v>6.5</v>
      </c>
      <c r="AB7226" s="18">
        <f t="shared" si="224"/>
        <v>2002</v>
      </c>
      <c r="AC7226" s="22">
        <f t="shared" si="225"/>
        <v>0.71353333333333335</v>
      </c>
    </row>
    <row r="7227" spans="1:29">
      <c r="A7227" s="8" t="s">
        <v>14688</v>
      </c>
      <c r="B7227" s="17" t="s">
        <v>7758</v>
      </c>
      <c r="C7227" s="13">
        <v>37466</v>
      </c>
      <c r="D7227" s="13" t="s">
        <v>8465</v>
      </c>
      <c r="E7227" s="10" t="s">
        <v>14689</v>
      </c>
      <c r="F7227" s="10" t="s">
        <v>12249</v>
      </c>
      <c r="H7227" s="2" t="s">
        <v>1168</v>
      </c>
      <c r="L7227" s="18">
        <v>0</v>
      </c>
      <c r="Q7227" s="18">
        <v>0</v>
      </c>
      <c r="U7227" s="22">
        <v>0.39</v>
      </c>
      <c r="V7227" s="22">
        <f>2.11/5</f>
        <v>0.42199999999999999</v>
      </c>
      <c r="X7227" s="3">
        <v>2</v>
      </c>
      <c r="Z7227" s="23">
        <v>2</v>
      </c>
      <c r="AB7227" s="18">
        <f t="shared" si="224"/>
        <v>2002</v>
      </c>
      <c r="AC7227" s="22">
        <f t="shared" si="225"/>
        <v>0.40400000000000008</v>
      </c>
    </row>
    <row r="7228" spans="1:29" ht="38.25">
      <c r="A7228" s="8" t="s">
        <v>9877</v>
      </c>
      <c r="B7228" s="17" t="s">
        <v>7758</v>
      </c>
      <c r="C7228" s="13">
        <v>37462</v>
      </c>
      <c r="D7228" s="13" t="s">
        <v>8463</v>
      </c>
      <c r="E7228" s="10" t="s">
        <v>73</v>
      </c>
      <c r="F7228" s="10" t="s">
        <v>73</v>
      </c>
      <c r="G7228" s="11" t="s">
        <v>484</v>
      </c>
      <c r="H7228" s="2" t="s">
        <v>153</v>
      </c>
      <c r="K7228" s="18">
        <v>2</v>
      </c>
      <c r="L7228" s="18">
        <v>0</v>
      </c>
      <c r="Q7228" s="18">
        <v>0</v>
      </c>
      <c r="V7228" s="22">
        <f>3.79/5</f>
        <v>0.75800000000000001</v>
      </c>
      <c r="X7228" s="3">
        <v>3</v>
      </c>
      <c r="Z7228" s="23">
        <v>6.5</v>
      </c>
      <c r="AB7228" s="18">
        <f t="shared" si="224"/>
        <v>2002</v>
      </c>
      <c r="AC7228" s="22">
        <f t="shared" si="225"/>
        <v>0.67900000000000005</v>
      </c>
    </row>
    <row r="7229" spans="1:29" ht="25.5">
      <c r="A7229" s="8" t="s">
        <v>10861</v>
      </c>
      <c r="B7229" s="17" t="s">
        <v>7757</v>
      </c>
      <c r="C7229" s="13">
        <v>37462</v>
      </c>
      <c r="D7229" s="13" t="s">
        <v>8463</v>
      </c>
      <c r="E7229" s="10" t="s">
        <v>10862</v>
      </c>
      <c r="F7229" s="10" t="s">
        <v>10862</v>
      </c>
      <c r="H7229" s="2" t="s">
        <v>78</v>
      </c>
      <c r="K7229" s="18">
        <v>2</v>
      </c>
      <c r="L7229" s="18">
        <v>0</v>
      </c>
      <c r="Q7229" s="18">
        <v>0</v>
      </c>
      <c r="V7229" s="22">
        <f>4.17/5</f>
        <v>0.83399999999999996</v>
      </c>
      <c r="X7229" s="3">
        <v>2</v>
      </c>
      <c r="Z7229" s="23">
        <v>1</v>
      </c>
      <c r="AB7229" s="18">
        <f t="shared" si="224"/>
        <v>2002</v>
      </c>
      <c r="AC7229" s="22">
        <f t="shared" si="225"/>
        <v>0.61699999999999999</v>
      </c>
    </row>
    <row r="7230" spans="1:29" ht="25.5">
      <c r="A7230" s="8" t="s">
        <v>11552</v>
      </c>
      <c r="B7230" s="17" t="s">
        <v>7764</v>
      </c>
      <c r="C7230" s="13">
        <v>37461</v>
      </c>
      <c r="D7230" s="13" t="s">
        <v>8465</v>
      </c>
      <c r="E7230" s="10" t="s">
        <v>455</v>
      </c>
      <c r="F7230" s="10" t="s">
        <v>2761</v>
      </c>
      <c r="G7230" s="11" t="s">
        <v>2762</v>
      </c>
      <c r="H7230" s="2" t="s">
        <v>150</v>
      </c>
      <c r="L7230" s="18">
        <v>0</v>
      </c>
      <c r="Q7230" s="18">
        <v>0</v>
      </c>
      <c r="U7230" s="22">
        <v>0.69</v>
      </c>
      <c r="V7230" s="22">
        <f>3.76/5</f>
        <v>0.752</v>
      </c>
      <c r="X7230" s="3">
        <v>2</v>
      </c>
      <c r="Y7230" s="18">
        <v>1</v>
      </c>
      <c r="Z7230" s="23">
        <v>3.5</v>
      </c>
      <c r="AB7230" s="18">
        <f t="shared" si="224"/>
        <v>2002</v>
      </c>
      <c r="AC7230" s="22">
        <f t="shared" si="225"/>
        <v>0.61399999999999999</v>
      </c>
    </row>
    <row r="7231" spans="1:29" ht="30">
      <c r="A7231" s="8" t="s">
        <v>15270</v>
      </c>
      <c r="B7231" s="17" t="s">
        <v>7757</v>
      </c>
      <c r="C7231" s="13">
        <v>37459</v>
      </c>
      <c r="D7231" s="13" t="s">
        <v>8465</v>
      </c>
      <c r="E7231" s="10" t="s">
        <v>2908</v>
      </c>
      <c r="F7231" s="10" t="s">
        <v>7993</v>
      </c>
      <c r="H7231" s="2" t="s">
        <v>1168</v>
      </c>
      <c r="L7231" s="18">
        <v>0</v>
      </c>
      <c r="Q7231" s="18">
        <v>0</v>
      </c>
      <c r="U7231" s="22">
        <v>0.63</v>
      </c>
      <c r="V7231" s="22">
        <f>3.33/5</f>
        <v>0.66600000000000004</v>
      </c>
      <c r="X7231" s="3">
        <v>2</v>
      </c>
      <c r="Z7231" s="23">
        <v>6.5</v>
      </c>
      <c r="AB7231" s="18">
        <f t="shared" si="224"/>
        <v>2002</v>
      </c>
      <c r="AC7231" s="22">
        <f t="shared" si="225"/>
        <v>0.56533333333333335</v>
      </c>
    </row>
    <row r="7232" spans="1:29" ht="30">
      <c r="A7232" s="8" t="s">
        <v>13157</v>
      </c>
      <c r="B7232" s="17" t="s">
        <v>7740</v>
      </c>
      <c r="C7232" s="13">
        <v>37456</v>
      </c>
      <c r="D7232" s="13" t="s">
        <v>8463</v>
      </c>
      <c r="E7232" s="10" t="s">
        <v>1238</v>
      </c>
      <c r="F7232" s="10" t="s">
        <v>1238</v>
      </c>
      <c r="H7232" s="2" t="s">
        <v>143</v>
      </c>
      <c r="K7232" s="18">
        <v>0</v>
      </c>
      <c r="L7232" s="18">
        <v>0</v>
      </c>
      <c r="Q7232" s="18">
        <v>0</v>
      </c>
      <c r="V7232" s="22">
        <f>3.83/5</f>
        <v>0.76600000000000001</v>
      </c>
      <c r="X7232" s="3">
        <v>2</v>
      </c>
      <c r="AB7232" s="18">
        <f t="shared" si="224"/>
        <v>2002</v>
      </c>
      <c r="AC7232" s="22">
        <f t="shared" si="225"/>
        <v>0.58299999999999996</v>
      </c>
    </row>
    <row r="7233" spans="1:29" ht="25.5">
      <c r="A7233" s="8" t="s">
        <v>11598</v>
      </c>
      <c r="B7233" s="17" t="s">
        <v>7757</v>
      </c>
      <c r="C7233" s="13">
        <v>37454</v>
      </c>
      <c r="D7233" s="13" t="s">
        <v>8465</v>
      </c>
      <c r="E7233" s="10" t="s">
        <v>157</v>
      </c>
      <c r="F7233" s="10" t="s">
        <v>66</v>
      </c>
      <c r="G7233" s="11" t="s">
        <v>1395</v>
      </c>
      <c r="H7233" s="2" t="s">
        <v>459</v>
      </c>
      <c r="L7233" s="18">
        <v>0</v>
      </c>
      <c r="Q7233" s="18">
        <v>0</v>
      </c>
      <c r="U7233" s="22">
        <v>0.8</v>
      </c>
      <c r="V7233" s="22">
        <f>3.85/5</f>
        <v>0.77</v>
      </c>
      <c r="X7233" s="3">
        <v>2</v>
      </c>
      <c r="Z7233" s="23">
        <f>29/60</f>
        <v>0.48333333333333334</v>
      </c>
      <c r="AB7233" s="18">
        <f t="shared" ref="AB7233:AB7296" si="226">IFERROR(YEAR(C7233), "Early Access")</f>
        <v>2002</v>
      </c>
      <c r="AC7233" s="22">
        <f t="shared" ref="AC7233:AC7296" si="227">AVERAGE(T7233, U7233, V7233, IF(ISBLANK(X7233), X7233, X7233/5))</f>
        <v>0.65666666666666673</v>
      </c>
    </row>
    <row r="7234" spans="1:29" ht="38.25">
      <c r="A7234" s="8" t="s">
        <v>14592</v>
      </c>
      <c r="B7234" s="17" t="s">
        <v>7758</v>
      </c>
      <c r="C7234" s="13">
        <v>37454</v>
      </c>
      <c r="D7234" s="13" t="s">
        <v>8467</v>
      </c>
      <c r="E7234" s="10" t="s">
        <v>2908</v>
      </c>
      <c r="F7234" s="10" t="s">
        <v>8019</v>
      </c>
      <c r="G7234" s="11" t="s">
        <v>8016</v>
      </c>
      <c r="H7234" s="2" t="s">
        <v>150</v>
      </c>
      <c r="L7234" s="18">
        <v>0</v>
      </c>
      <c r="Q7234" s="18">
        <v>0</v>
      </c>
      <c r="U7234" s="22">
        <v>0.7571</v>
      </c>
      <c r="V7234" s="22">
        <f>3.59/5</f>
        <v>0.71799999999999997</v>
      </c>
      <c r="X7234" s="3">
        <v>2</v>
      </c>
      <c r="Z7234" s="23">
        <v>4</v>
      </c>
      <c r="AB7234" s="18">
        <f t="shared" si="226"/>
        <v>2002</v>
      </c>
      <c r="AC7234" s="22">
        <f t="shared" si="227"/>
        <v>0.62503333333333322</v>
      </c>
    </row>
    <row r="7235" spans="1:29" ht="30">
      <c r="A7235" s="8" t="s">
        <v>10867</v>
      </c>
      <c r="B7235" s="17" t="s">
        <v>7758</v>
      </c>
      <c r="C7235" s="13">
        <v>37448</v>
      </c>
      <c r="D7235" s="13" t="s">
        <v>8463</v>
      </c>
      <c r="E7235" s="10" t="s">
        <v>2908</v>
      </c>
      <c r="F7235" s="10" t="s">
        <v>2470</v>
      </c>
      <c r="G7235" s="11" t="s">
        <v>10866</v>
      </c>
      <c r="H7235" s="2" t="s">
        <v>67</v>
      </c>
      <c r="K7235" s="18">
        <v>0</v>
      </c>
      <c r="L7235" s="18">
        <v>0</v>
      </c>
      <c r="Q7235" s="18">
        <v>0</v>
      </c>
      <c r="V7235" s="22">
        <f>4.04/5</f>
        <v>0.80800000000000005</v>
      </c>
      <c r="X7235" s="3">
        <v>3</v>
      </c>
      <c r="AB7235" s="18">
        <f t="shared" si="226"/>
        <v>2002</v>
      </c>
      <c r="AC7235" s="22">
        <f t="shared" si="227"/>
        <v>0.70399999999999996</v>
      </c>
    </row>
    <row r="7236" spans="1:29" ht="30">
      <c r="A7236" s="8" t="s">
        <v>13965</v>
      </c>
      <c r="B7236" s="17" t="s">
        <v>7747</v>
      </c>
      <c r="C7236" s="13">
        <v>37441</v>
      </c>
      <c r="D7236" s="13" t="s">
        <v>8463</v>
      </c>
      <c r="E7236" s="10" t="s">
        <v>72</v>
      </c>
      <c r="F7236" s="10" t="s">
        <v>72</v>
      </c>
      <c r="G7236" s="11" t="s">
        <v>13965</v>
      </c>
      <c r="H7236" s="2" t="s">
        <v>1518</v>
      </c>
      <c r="K7236" s="18">
        <v>0</v>
      </c>
      <c r="L7236" s="18">
        <v>0</v>
      </c>
      <c r="Q7236" s="18">
        <v>0</v>
      </c>
      <c r="V7236" s="22">
        <f>4.18/5</f>
        <v>0.83599999999999997</v>
      </c>
      <c r="X7236" s="3">
        <v>2</v>
      </c>
      <c r="AB7236" s="18">
        <f t="shared" si="226"/>
        <v>2002</v>
      </c>
      <c r="AC7236" s="22">
        <f t="shared" si="227"/>
        <v>0.61799999999999999</v>
      </c>
    </row>
    <row r="7237" spans="1:29" ht="30">
      <c r="A7237" s="8" t="s">
        <v>7442</v>
      </c>
      <c r="B7237" s="17" t="s">
        <v>7757</v>
      </c>
      <c r="C7237" s="13">
        <v>37441</v>
      </c>
      <c r="D7237" s="13" t="s">
        <v>8465</v>
      </c>
      <c r="E7237" s="10" t="s">
        <v>1047</v>
      </c>
      <c r="F7237" s="10" t="s">
        <v>3152</v>
      </c>
      <c r="G7237" s="11" t="s">
        <v>6608</v>
      </c>
      <c r="H7237" s="2" t="s">
        <v>1050</v>
      </c>
      <c r="L7237" s="18">
        <v>0</v>
      </c>
      <c r="Q7237" s="18">
        <v>0</v>
      </c>
      <c r="U7237" s="22">
        <v>0.4</v>
      </c>
      <c r="V7237" s="22">
        <f>2.58/5</f>
        <v>0.51600000000000001</v>
      </c>
      <c r="X7237" s="3">
        <v>2</v>
      </c>
      <c r="Z7237" s="23">
        <v>1.5</v>
      </c>
      <c r="AB7237" s="18">
        <f t="shared" si="226"/>
        <v>2002</v>
      </c>
      <c r="AC7237" s="22">
        <f t="shared" si="227"/>
        <v>0.4386666666666667</v>
      </c>
    </row>
    <row r="7238" spans="1:29" ht="25.5">
      <c r="A7238" s="8" t="s">
        <v>7186</v>
      </c>
      <c r="B7238" s="17" t="s">
        <v>7800</v>
      </c>
      <c r="C7238" s="13">
        <v>37440</v>
      </c>
      <c r="D7238" s="13" t="s">
        <v>8465</v>
      </c>
      <c r="E7238" s="10" t="s">
        <v>1296</v>
      </c>
      <c r="F7238" s="10" t="s">
        <v>1296</v>
      </c>
      <c r="G7238" s="11" t="s">
        <v>6917</v>
      </c>
      <c r="H7238" s="2" t="s">
        <v>1143</v>
      </c>
      <c r="L7238" s="18">
        <v>0</v>
      </c>
      <c r="Q7238" s="18">
        <v>0</v>
      </c>
      <c r="U7238" s="22">
        <v>0.93</v>
      </c>
      <c r="V7238" s="22">
        <f>4.3/5</f>
        <v>0.86</v>
      </c>
      <c r="X7238" s="3">
        <v>4</v>
      </c>
      <c r="Z7238" s="23">
        <v>21</v>
      </c>
      <c r="AB7238" s="18">
        <f t="shared" si="226"/>
        <v>2002</v>
      </c>
      <c r="AC7238" s="22">
        <f t="shared" si="227"/>
        <v>0.86333333333333329</v>
      </c>
    </row>
    <row r="7239" spans="1:29" ht="25.5">
      <c r="A7239" s="8" t="s">
        <v>14660</v>
      </c>
      <c r="B7239" s="17" t="s">
        <v>7764</v>
      </c>
      <c r="C7239" s="13">
        <v>37439</v>
      </c>
      <c r="D7239" s="13" t="s">
        <v>8465</v>
      </c>
      <c r="E7239" s="10" t="s">
        <v>1945</v>
      </c>
      <c r="F7239" s="10" t="s">
        <v>14661</v>
      </c>
      <c r="G7239" s="11" t="s">
        <v>14662</v>
      </c>
      <c r="H7239" s="2" t="s">
        <v>153</v>
      </c>
      <c r="L7239" s="18">
        <v>0</v>
      </c>
      <c r="Q7239" s="18">
        <v>0</v>
      </c>
      <c r="U7239" s="22">
        <v>0.32</v>
      </c>
      <c r="V7239" s="22">
        <f>2.27/5</f>
        <v>0.45400000000000001</v>
      </c>
      <c r="X7239" s="3">
        <v>2</v>
      </c>
      <c r="Z7239" s="23">
        <v>5.5</v>
      </c>
      <c r="AB7239" s="18">
        <f t="shared" si="226"/>
        <v>2002</v>
      </c>
      <c r="AC7239" s="22">
        <f t="shared" si="227"/>
        <v>0.39133333333333331</v>
      </c>
    </row>
    <row r="7240" spans="1:29">
      <c r="A7240" s="8" t="s">
        <v>9237</v>
      </c>
      <c r="B7240" s="17" t="s">
        <v>7758</v>
      </c>
      <c r="C7240" s="13">
        <v>37434</v>
      </c>
      <c r="D7240" s="13" t="s">
        <v>8463</v>
      </c>
      <c r="E7240" s="10" t="s">
        <v>3041</v>
      </c>
      <c r="F7240" s="10" t="s">
        <v>2304</v>
      </c>
      <c r="H7240" s="2" t="s">
        <v>75</v>
      </c>
      <c r="K7240" s="18">
        <v>0</v>
      </c>
      <c r="L7240" s="18">
        <v>0</v>
      </c>
      <c r="Q7240" s="18">
        <v>0</v>
      </c>
      <c r="V7240" s="22">
        <f>2.63/5</f>
        <v>0.52600000000000002</v>
      </c>
      <c r="X7240" s="3">
        <v>2</v>
      </c>
      <c r="AB7240" s="18">
        <f t="shared" si="226"/>
        <v>2002</v>
      </c>
      <c r="AC7240" s="22">
        <f t="shared" si="227"/>
        <v>0.46300000000000002</v>
      </c>
    </row>
    <row r="7241" spans="1:29" ht="30">
      <c r="A7241" s="8" t="s">
        <v>14418</v>
      </c>
      <c r="B7241" s="17" t="s">
        <v>7747</v>
      </c>
      <c r="C7241" s="13">
        <v>37433</v>
      </c>
      <c r="D7241" s="13" t="s">
        <v>8463</v>
      </c>
      <c r="E7241" s="10" t="s">
        <v>7916</v>
      </c>
      <c r="F7241" s="10" t="s">
        <v>7916</v>
      </c>
      <c r="G7241" s="11" t="s">
        <v>14411</v>
      </c>
      <c r="H7241" s="2" t="s">
        <v>150</v>
      </c>
      <c r="K7241" s="18">
        <v>0</v>
      </c>
      <c r="L7241" s="18">
        <v>0</v>
      </c>
      <c r="Q7241" s="18">
        <v>0</v>
      </c>
      <c r="V7241" s="22">
        <f>3.95/5</f>
        <v>0.79</v>
      </c>
      <c r="X7241" s="3">
        <v>2</v>
      </c>
      <c r="AB7241" s="18">
        <f t="shared" si="226"/>
        <v>2002</v>
      </c>
      <c r="AC7241" s="22">
        <f t="shared" si="227"/>
        <v>0.59499999999999997</v>
      </c>
    </row>
    <row r="7242" spans="1:29" ht="30">
      <c r="A7242" s="8" t="s">
        <v>15990</v>
      </c>
      <c r="B7242" s="17" t="s">
        <v>7740</v>
      </c>
      <c r="C7242" s="13">
        <v>37433</v>
      </c>
      <c r="D7242" s="13" t="s">
        <v>8465</v>
      </c>
      <c r="E7242" s="10" t="s">
        <v>1342</v>
      </c>
      <c r="F7242" s="10" t="s">
        <v>1501</v>
      </c>
      <c r="G7242" s="11" t="s">
        <v>98</v>
      </c>
      <c r="H7242" s="2" t="s">
        <v>78</v>
      </c>
      <c r="L7242" s="18">
        <v>0</v>
      </c>
      <c r="Q7242" s="18">
        <v>0</v>
      </c>
      <c r="U7242" s="22">
        <v>0.47</v>
      </c>
      <c r="V7242" s="22">
        <f>3.23/5</f>
        <v>0.64600000000000002</v>
      </c>
      <c r="X7242" s="3">
        <v>2</v>
      </c>
      <c r="Z7242" s="23">
        <v>9</v>
      </c>
      <c r="AB7242" s="18">
        <f t="shared" si="226"/>
        <v>2002</v>
      </c>
      <c r="AC7242" s="22">
        <f t="shared" si="227"/>
        <v>0.5053333333333333</v>
      </c>
    </row>
    <row r="7243" spans="1:29" ht="30">
      <c r="A7243" s="8" t="s">
        <v>14476</v>
      </c>
      <c r="B7243" s="17" t="s">
        <v>7758</v>
      </c>
      <c r="C7243" s="13">
        <v>37432</v>
      </c>
      <c r="D7243" s="13" t="s">
        <v>8465</v>
      </c>
      <c r="E7243" s="10" t="s">
        <v>68</v>
      </c>
      <c r="F7243" s="10" t="s">
        <v>68</v>
      </c>
      <c r="G7243" s="11" t="s">
        <v>40</v>
      </c>
      <c r="H7243" s="2" t="s">
        <v>69</v>
      </c>
      <c r="L7243" s="18">
        <v>0</v>
      </c>
      <c r="Q7243" s="18">
        <v>0</v>
      </c>
      <c r="U7243" s="22">
        <v>0.72</v>
      </c>
      <c r="V7243" s="22">
        <f>3.95/5</f>
        <v>0.79</v>
      </c>
      <c r="X7243" s="3">
        <v>2</v>
      </c>
      <c r="Z7243" s="23">
        <v>8</v>
      </c>
      <c r="AB7243" s="18">
        <f t="shared" si="226"/>
        <v>2002</v>
      </c>
      <c r="AC7243" s="22">
        <f t="shared" si="227"/>
        <v>0.63666666666666671</v>
      </c>
    </row>
    <row r="7244" spans="1:29">
      <c r="A7244" s="8" t="s">
        <v>9704</v>
      </c>
      <c r="B7244" s="17" t="s">
        <v>7758</v>
      </c>
      <c r="C7244" s="13">
        <v>37431</v>
      </c>
      <c r="D7244" s="13" t="s">
        <v>8465</v>
      </c>
      <c r="E7244" s="10" t="s">
        <v>228</v>
      </c>
      <c r="F7244" s="10" t="s">
        <v>9705</v>
      </c>
      <c r="H7244" s="2" t="s">
        <v>7594</v>
      </c>
      <c r="L7244" s="18">
        <v>0</v>
      </c>
      <c r="Q7244" s="18">
        <v>0</v>
      </c>
      <c r="U7244" s="22">
        <v>0.75</v>
      </c>
      <c r="V7244" s="22">
        <f>3.8/5</f>
        <v>0.76</v>
      </c>
      <c r="X7244" s="3">
        <v>2</v>
      </c>
      <c r="Z7244" s="23">
        <v>3</v>
      </c>
      <c r="AB7244" s="18">
        <f t="shared" si="226"/>
        <v>2002</v>
      </c>
      <c r="AC7244" s="22">
        <f t="shared" si="227"/>
        <v>0.63666666666666671</v>
      </c>
    </row>
    <row r="7245" spans="1:29">
      <c r="A7245" s="8" t="s">
        <v>7102</v>
      </c>
      <c r="B7245" s="17" t="s">
        <v>7800</v>
      </c>
      <c r="C7245" s="13">
        <v>37428</v>
      </c>
      <c r="D7245" s="13" t="s">
        <v>8465</v>
      </c>
      <c r="E7245" s="10" t="s">
        <v>7189</v>
      </c>
      <c r="F7245" s="10" t="s">
        <v>7189</v>
      </c>
      <c r="H7245" s="2" t="s">
        <v>56</v>
      </c>
      <c r="L7245" s="18">
        <v>0</v>
      </c>
      <c r="Q7245" s="18">
        <v>0</v>
      </c>
      <c r="V7245" s="22">
        <f>4.07/5</f>
        <v>0.81400000000000006</v>
      </c>
      <c r="W7245" s="14" t="s">
        <v>5674</v>
      </c>
      <c r="X7245" s="3">
        <v>3</v>
      </c>
      <c r="Z7245" s="23">
        <v>12.5</v>
      </c>
      <c r="AB7245" s="18">
        <f t="shared" si="226"/>
        <v>2002</v>
      </c>
      <c r="AC7245" s="22">
        <f t="shared" si="227"/>
        <v>0.70700000000000007</v>
      </c>
    </row>
    <row r="7246" spans="1:29">
      <c r="A7246" s="8" t="s">
        <v>4533</v>
      </c>
      <c r="B7246" s="17" t="s">
        <v>7800</v>
      </c>
      <c r="C7246" s="13">
        <v>37425</v>
      </c>
      <c r="D7246" s="13" t="s">
        <v>8465</v>
      </c>
      <c r="E7246" s="10" t="s">
        <v>60</v>
      </c>
      <c r="F7246" s="10" t="s">
        <v>1161</v>
      </c>
      <c r="G7246" s="11" t="s">
        <v>4533</v>
      </c>
      <c r="H7246" s="2" t="s">
        <v>1720</v>
      </c>
      <c r="L7246" s="18">
        <v>1</v>
      </c>
      <c r="N7246" s="13">
        <v>41803</v>
      </c>
      <c r="O7246" s="29">
        <v>1.99</v>
      </c>
      <c r="P7246" s="18" t="s">
        <v>1107</v>
      </c>
      <c r="Q7246" s="18">
        <v>0</v>
      </c>
      <c r="U7246" s="22">
        <v>0.89</v>
      </c>
      <c r="V7246" s="22">
        <f>3.98/5</f>
        <v>0.79600000000000004</v>
      </c>
      <c r="W7246" s="14" t="s">
        <v>7778</v>
      </c>
      <c r="X7246" s="3">
        <v>4</v>
      </c>
      <c r="Z7246" s="23">
        <v>54</v>
      </c>
      <c r="AB7246" s="18">
        <f t="shared" si="226"/>
        <v>2002</v>
      </c>
      <c r="AC7246" s="22">
        <f t="shared" si="227"/>
        <v>0.82866666666666655</v>
      </c>
    </row>
    <row r="7247" spans="1:29">
      <c r="A7247" s="8" t="s">
        <v>7829</v>
      </c>
      <c r="B7247" s="17" t="s">
        <v>7758</v>
      </c>
      <c r="C7247" s="13">
        <v>37425</v>
      </c>
      <c r="D7247" s="13" t="s">
        <v>8465</v>
      </c>
      <c r="E7247" s="10" t="s">
        <v>7830</v>
      </c>
      <c r="F7247" s="10" t="s">
        <v>7831</v>
      </c>
      <c r="G7247" s="11" t="s">
        <v>6050</v>
      </c>
      <c r="H7247" s="2" t="s">
        <v>150</v>
      </c>
      <c r="L7247" s="18">
        <v>0</v>
      </c>
      <c r="Q7247" s="18">
        <v>0</v>
      </c>
      <c r="U7247" s="22">
        <v>0.84</v>
      </c>
      <c r="V7247" s="22">
        <f>3.77/5</f>
        <v>0.754</v>
      </c>
      <c r="X7247" s="3">
        <v>3</v>
      </c>
      <c r="Z7247" s="23">
        <v>5.5</v>
      </c>
      <c r="AB7247" s="18">
        <f t="shared" si="226"/>
        <v>2002</v>
      </c>
      <c r="AC7247" s="22">
        <f t="shared" si="227"/>
        <v>0.73133333333333328</v>
      </c>
    </row>
    <row r="7248" spans="1:29" ht="30">
      <c r="A7248" s="8" t="s">
        <v>2045</v>
      </c>
      <c r="B7248" s="17" t="s">
        <v>7747</v>
      </c>
      <c r="C7248" s="13">
        <v>37425</v>
      </c>
      <c r="D7248" s="13" t="s">
        <v>8465</v>
      </c>
      <c r="E7248" s="10" t="s">
        <v>455</v>
      </c>
      <c r="F7248" s="10" t="s">
        <v>455</v>
      </c>
      <c r="G7248" s="11" t="s">
        <v>1524</v>
      </c>
      <c r="H7248" s="2" t="s">
        <v>1383</v>
      </c>
      <c r="L7248" s="18">
        <v>0</v>
      </c>
      <c r="Q7248" s="18">
        <v>0</v>
      </c>
      <c r="U7248" s="22">
        <v>0.78</v>
      </c>
      <c r="V7248" s="22">
        <f>3.71/5</f>
        <v>0.74199999999999999</v>
      </c>
      <c r="X7248" s="3">
        <v>3</v>
      </c>
      <c r="Z7248" s="23">
        <v>4.5</v>
      </c>
      <c r="AB7248" s="18">
        <f t="shared" si="226"/>
        <v>2002</v>
      </c>
      <c r="AC7248" s="22">
        <f t="shared" si="227"/>
        <v>0.70733333333333326</v>
      </c>
    </row>
    <row r="7249" spans="1:29" ht="25.5">
      <c r="A7249" s="8" t="s">
        <v>14693</v>
      </c>
      <c r="B7249" s="17" t="s">
        <v>7758</v>
      </c>
      <c r="C7249" s="13">
        <v>37424</v>
      </c>
      <c r="D7249" s="13" t="s">
        <v>8465</v>
      </c>
      <c r="E7249" s="10" t="s">
        <v>1466</v>
      </c>
      <c r="F7249" s="10" t="s">
        <v>14694</v>
      </c>
      <c r="H7249" s="2" t="s">
        <v>1143</v>
      </c>
      <c r="L7249" s="18">
        <v>0</v>
      </c>
      <c r="Q7249" s="18">
        <v>0</v>
      </c>
      <c r="U7249" s="22">
        <v>0.51</v>
      </c>
      <c r="V7249" s="22">
        <f>2.79/5</f>
        <v>0.55800000000000005</v>
      </c>
      <c r="X7249" s="3">
        <v>2</v>
      </c>
      <c r="AB7249" s="18">
        <f t="shared" si="226"/>
        <v>2002</v>
      </c>
      <c r="AC7249" s="22">
        <f t="shared" si="227"/>
        <v>0.48933333333333334</v>
      </c>
    </row>
    <row r="7250" spans="1:29">
      <c r="A7250" s="8" t="s">
        <v>7558</v>
      </c>
      <c r="B7250" s="17" t="s">
        <v>7758</v>
      </c>
      <c r="C7250" s="13">
        <v>37424</v>
      </c>
      <c r="D7250" s="13" t="s">
        <v>8465</v>
      </c>
      <c r="E7250" s="10" t="s">
        <v>1195</v>
      </c>
      <c r="F7250" s="10" t="s">
        <v>1195</v>
      </c>
      <c r="G7250" s="11" t="s">
        <v>1864</v>
      </c>
      <c r="H7250" s="2" t="s">
        <v>171</v>
      </c>
      <c r="L7250" s="18">
        <v>0</v>
      </c>
      <c r="Q7250" s="18">
        <v>0</v>
      </c>
      <c r="U7250" s="22">
        <v>0.45</v>
      </c>
      <c r="V7250" s="22">
        <f>2.66/5</f>
        <v>0.53200000000000003</v>
      </c>
      <c r="X7250" s="3">
        <v>2</v>
      </c>
      <c r="Z7250" s="23">
        <v>7</v>
      </c>
      <c r="AB7250" s="18">
        <f t="shared" si="226"/>
        <v>2002</v>
      </c>
      <c r="AC7250" s="22">
        <f t="shared" si="227"/>
        <v>0.46066666666666672</v>
      </c>
    </row>
    <row r="7251" spans="1:29" ht="30">
      <c r="A7251" s="8" t="s">
        <v>2055</v>
      </c>
      <c r="B7251" s="17" t="s">
        <v>7747</v>
      </c>
      <c r="C7251" s="13">
        <v>37419</v>
      </c>
      <c r="D7251" s="13" t="s">
        <v>8465</v>
      </c>
      <c r="E7251" s="10" t="s">
        <v>73</v>
      </c>
      <c r="F7251" s="10" t="s">
        <v>73</v>
      </c>
      <c r="G7251" s="11" t="s">
        <v>1904</v>
      </c>
      <c r="H7251" s="2" t="s">
        <v>75</v>
      </c>
      <c r="L7251" s="18">
        <v>0</v>
      </c>
      <c r="Q7251" s="18">
        <v>0</v>
      </c>
      <c r="U7251" s="22">
        <v>0.81</v>
      </c>
      <c r="V7251" s="22">
        <f>4.12/5</f>
        <v>0.82400000000000007</v>
      </c>
      <c r="X7251" s="3">
        <v>4</v>
      </c>
      <c r="Z7251" s="23">
        <v>17.5</v>
      </c>
      <c r="AB7251" s="18">
        <f t="shared" si="226"/>
        <v>2002</v>
      </c>
      <c r="AC7251" s="22">
        <f t="shared" si="227"/>
        <v>0.81133333333333335</v>
      </c>
    </row>
    <row r="7252" spans="1:29" ht="30">
      <c r="A7252" s="8" t="s">
        <v>2086</v>
      </c>
      <c r="B7252" s="17" t="s">
        <v>7747</v>
      </c>
      <c r="C7252" s="13">
        <v>37418</v>
      </c>
      <c r="D7252" s="13" t="s">
        <v>8465</v>
      </c>
      <c r="E7252" s="10" t="s">
        <v>228</v>
      </c>
      <c r="F7252" s="10" t="s">
        <v>1318</v>
      </c>
      <c r="G7252" s="11" t="s">
        <v>1862</v>
      </c>
      <c r="H7252" s="2" t="s">
        <v>149</v>
      </c>
      <c r="L7252" s="18">
        <v>0</v>
      </c>
      <c r="Q7252" s="18">
        <v>0</v>
      </c>
      <c r="U7252" s="22">
        <v>0.63</v>
      </c>
      <c r="V7252" s="22">
        <f>3.99/5</f>
        <v>0.79800000000000004</v>
      </c>
      <c r="X7252" s="3">
        <v>3</v>
      </c>
      <c r="Z7252" s="23">
        <v>45</v>
      </c>
      <c r="AB7252" s="18">
        <f t="shared" si="226"/>
        <v>2002</v>
      </c>
      <c r="AC7252" s="22">
        <f t="shared" si="227"/>
        <v>0.67600000000000005</v>
      </c>
    </row>
    <row r="7253" spans="1:29" ht="30">
      <c r="A7253" s="8" t="s">
        <v>2004</v>
      </c>
      <c r="B7253" s="17" t="s">
        <v>7747</v>
      </c>
      <c r="C7253" s="13">
        <v>37414</v>
      </c>
      <c r="D7253" s="13" t="s">
        <v>8465</v>
      </c>
      <c r="E7253" s="10" t="s">
        <v>1532</v>
      </c>
      <c r="F7253" s="10" t="s">
        <v>1865</v>
      </c>
      <c r="G7253" s="11" t="s">
        <v>1951</v>
      </c>
      <c r="H7253" s="2" t="s">
        <v>56</v>
      </c>
      <c r="L7253" s="18">
        <v>0</v>
      </c>
      <c r="Q7253" s="18">
        <v>0</v>
      </c>
      <c r="U7253" s="22">
        <v>0.76</v>
      </c>
      <c r="V7253" s="22">
        <f>2.99/5</f>
        <v>0.59800000000000009</v>
      </c>
      <c r="X7253" s="3">
        <v>3</v>
      </c>
      <c r="Z7253" s="23">
        <v>1.5</v>
      </c>
      <c r="AB7253" s="18">
        <f t="shared" si="226"/>
        <v>2002</v>
      </c>
      <c r="AC7253" s="22">
        <f t="shared" si="227"/>
        <v>0.65266666666666673</v>
      </c>
    </row>
    <row r="7254" spans="1:29" ht="30">
      <c r="A7254" s="8" t="s">
        <v>13158</v>
      </c>
      <c r="B7254" s="17" t="s">
        <v>7740</v>
      </c>
      <c r="C7254" s="13">
        <v>37412</v>
      </c>
      <c r="D7254" s="13" t="s">
        <v>8465</v>
      </c>
      <c r="E7254" s="10" t="s">
        <v>1551</v>
      </c>
      <c r="F7254" s="10" t="s">
        <v>1512</v>
      </c>
      <c r="G7254" s="11" t="s">
        <v>7674</v>
      </c>
      <c r="H7254" s="2" t="s">
        <v>80</v>
      </c>
      <c r="L7254" s="18">
        <v>0</v>
      </c>
      <c r="Q7254" s="18">
        <v>0</v>
      </c>
      <c r="U7254" s="22">
        <v>0.81</v>
      </c>
      <c r="V7254" s="22">
        <f>3.71/5</f>
        <v>0.74199999999999999</v>
      </c>
      <c r="X7254" s="3">
        <v>2</v>
      </c>
      <c r="Z7254" s="23">
        <v>8.5</v>
      </c>
      <c r="AB7254" s="18">
        <f t="shared" si="226"/>
        <v>2002</v>
      </c>
      <c r="AC7254" s="22">
        <f t="shared" si="227"/>
        <v>0.65066666666666662</v>
      </c>
    </row>
    <row r="7255" spans="1:29">
      <c r="A7255" s="8" t="s">
        <v>8880</v>
      </c>
      <c r="B7255" s="17" t="s">
        <v>7757</v>
      </c>
      <c r="C7255" s="13">
        <v>37412</v>
      </c>
      <c r="D7255" s="13" t="s">
        <v>8465</v>
      </c>
      <c r="E7255" s="10" t="s">
        <v>157</v>
      </c>
      <c r="F7255" s="10" t="s">
        <v>1366</v>
      </c>
      <c r="G7255" s="11" t="s">
        <v>8877</v>
      </c>
      <c r="H7255" s="2" t="s">
        <v>149</v>
      </c>
      <c r="L7255" s="18">
        <v>0</v>
      </c>
      <c r="Q7255" s="18">
        <v>0</v>
      </c>
      <c r="U7255" s="22">
        <v>0.47</v>
      </c>
      <c r="V7255" s="22">
        <f>3.91/5</f>
        <v>0.78200000000000003</v>
      </c>
      <c r="X7255" s="3">
        <v>2</v>
      </c>
      <c r="Z7255" s="23">
        <v>39</v>
      </c>
      <c r="AB7255" s="18">
        <f t="shared" si="226"/>
        <v>2002</v>
      </c>
      <c r="AC7255" s="22">
        <f t="shared" si="227"/>
        <v>0.55066666666666675</v>
      </c>
    </row>
    <row r="7256" spans="1:29">
      <c r="A7256" s="8" t="s">
        <v>7688</v>
      </c>
      <c r="B7256" s="17" t="s">
        <v>7746</v>
      </c>
      <c r="C7256" s="13">
        <v>37410</v>
      </c>
      <c r="D7256" s="13" t="s">
        <v>8465</v>
      </c>
      <c r="E7256" s="10" t="s">
        <v>73</v>
      </c>
      <c r="F7256" s="10" t="s">
        <v>73</v>
      </c>
      <c r="G7256" s="11" t="s">
        <v>943</v>
      </c>
      <c r="H7256" s="2" t="s">
        <v>80</v>
      </c>
      <c r="L7256" s="18">
        <v>0</v>
      </c>
      <c r="Q7256" s="18">
        <v>0</v>
      </c>
      <c r="U7256" s="22">
        <v>0.56000000000000005</v>
      </c>
      <c r="V7256" s="22">
        <f>2.93/5</f>
        <v>0.58600000000000008</v>
      </c>
      <c r="X7256" s="3">
        <v>3</v>
      </c>
      <c r="Y7256" s="18">
        <v>1</v>
      </c>
      <c r="Z7256" s="23">
        <v>4</v>
      </c>
      <c r="AB7256" s="18">
        <f t="shared" si="226"/>
        <v>2002</v>
      </c>
      <c r="AC7256" s="22">
        <f t="shared" si="227"/>
        <v>0.58199999999999996</v>
      </c>
    </row>
    <row r="7257" spans="1:29" ht="30">
      <c r="A7257" s="8" t="s">
        <v>1150</v>
      </c>
      <c r="B7257" s="17" t="s">
        <v>7746</v>
      </c>
      <c r="C7257" s="13">
        <v>37409</v>
      </c>
      <c r="D7257" s="13" t="s">
        <v>8465</v>
      </c>
      <c r="E7257" s="10" t="s">
        <v>73</v>
      </c>
      <c r="F7257" s="10" t="s">
        <v>1084</v>
      </c>
      <c r="G7257" s="11" t="s">
        <v>1150</v>
      </c>
      <c r="H7257" s="2" t="s">
        <v>56</v>
      </c>
      <c r="L7257" s="18">
        <v>0</v>
      </c>
      <c r="Q7257" s="18">
        <v>0</v>
      </c>
      <c r="U7257" s="22">
        <v>0.78</v>
      </c>
      <c r="V7257" s="22">
        <f>3.86/5</f>
        <v>0.77200000000000002</v>
      </c>
      <c r="X7257" s="3">
        <v>4</v>
      </c>
      <c r="Z7257" s="23">
        <v>9</v>
      </c>
      <c r="AB7257" s="18">
        <f t="shared" si="226"/>
        <v>2002</v>
      </c>
      <c r="AC7257" s="22">
        <f t="shared" si="227"/>
        <v>0.78400000000000014</v>
      </c>
    </row>
    <row r="7258" spans="1:29">
      <c r="A7258" s="8" t="s">
        <v>9197</v>
      </c>
      <c r="B7258" s="17" t="s">
        <v>7758</v>
      </c>
      <c r="C7258" s="13">
        <v>37407</v>
      </c>
      <c r="D7258" s="13" t="s">
        <v>8465</v>
      </c>
      <c r="E7258" s="10" t="s">
        <v>7830</v>
      </c>
      <c r="F7258" s="10" t="s">
        <v>3029</v>
      </c>
      <c r="G7258" s="11" t="s">
        <v>9197</v>
      </c>
      <c r="H7258" s="2" t="s">
        <v>80</v>
      </c>
      <c r="L7258" s="18">
        <v>0</v>
      </c>
      <c r="Q7258" s="18">
        <v>0</v>
      </c>
      <c r="U7258" s="22">
        <v>0.74</v>
      </c>
      <c r="V7258" s="22">
        <f>3.89/5</f>
        <v>0.77800000000000002</v>
      </c>
      <c r="X7258" s="3">
        <v>3</v>
      </c>
      <c r="Z7258" s="23">
        <v>5</v>
      </c>
      <c r="AB7258" s="18">
        <f t="shared" si="226"/>
        <v>2002</v>
      </c>
      <c r="AC7258" s="22">
        <f t="shared" si="227"/>
        <v>0.70599999999999996</v>
      </c>
    </row>
    <row r="7259" spans="1:29" ht="30">
      <c r="A7259" s="8" t="s">
        <v>7697</v>
      </c>
      <c r="B7259" s="17" t="s">
        <v>7747</v>
      </c>
      <c r="C7259" s="13">
        <v>37406</v>
      </c>
      <c r="D7259" s="13" t="s">
        <v>8465</v>
      </c>
      <c r="E7259" s="10" t="s">
        <v>1551</v>
      </c>
      <c r="F7259" s="10" t="s">
        <v>62</v>
      </c>
      <c r="G7259" s="11" t="s">
        <v>7674</v>
      </c>
      <c r="H7259" s="2" t="s">
        <v>143</v>
      </c>
      <c r="L7259" s="18">
        <v>0</v>
      </c>
      <c r="Q7259" s="18">
        <v>0</v>
      </c>
      <c r="U7259" s="22">
        <v>0.72</v>
      </c>
      <c r="V7259" s="22">
        <f>3.26/5</f>
        <v>0.65199999999999991</v>
      </c>
      <c r="X7259" s="3">
        <v>3</v>
      </c>
      <c r="Z7259" s="23">
        <v>3.5</v>
      </c>
      <c r="AB7259" s="18">
        <f t="shared" si="226"/>
        <v>2002</v>
      </c>
      <c r="AC7259" s="22">
        <f t="shared" si="227"/>
        <v>0.65733333333333333</v>
      </c>
    </row>
    <row r="7260" spans="1:29" ht="25.5">
      <c r="A7260" s="8" t="s">
        <v>6705</v>
      </c>
      <c r="B7260" s="17" t="s">
        <v>7758</v>
      </c>
      <c r="C7260" s="13">
        <v>37405</v>
      </c>
      <c r="D7260" s="13" t="s">
        <v>8465</v>
      </c>
      <c r="E7260" s="10" t="s">
        <v>231</v>
      </c>
      <c r="F7260" s="10" t="s">
        <v>1039</v>
      </c>
      <c r="G7260" s="11" t="s">
        <v>2944</v>
      </c>
      <c r="H7260" s="2" t="s">
        <v>1050</v>
      </c>
      <c r="L7260" s="18">
        <v>0</v>
      </c>
      <c r="Q7260" s="18">
        <v>0</v>
      </c>
      <c r="U7260" s="22">
        <v>0.87</v>
      </c>
      <c r="V7260" s="22">
        <f>3.78/5</f>
        <v>0.75600000000000001</v>
      </c>
      <c r="X7260" s="3">
        <v>3</v>
      </c>
      <c r="Z7260" s="23">
        <v>9.5</v>
      </c>
      <c r="AB7260" s="18">
        <f t="shared" si="226"/>
        <v>2002</v>
      </c>
      <c r="AC7260" s="22">
        <f t="shared" si="227"/>
        <v>0.74199999999999999</v>
      </c>
    </row>
    <row r="7261" spans="1:29" ht="30">
      <c r="A7261" s="8" t="s">
        <v>7364</v>
      </c>
      <c r="B7261" s="17" t="s">
        <v>7740</v>
      </c>
      <c r="C7261" s="13">
        <v>37403</v>
      </c>
      <c r="D7261" s="13" t="s">
        <v>8465</v>
      </c>
      <c r="E7261" s="10" t="s">
        <v>1273</v>
      </c>
      <c r="F7261" s="10" t="s">
        <v>1580</v>
      </c>
      <c r="G7261" s="11" t="s">
        <v>7364</v>
      </c>
      <c r="H7261" s="2" t="s">
        <v>171</v>
      </c>
      <c r="L7261" s="18">
        <v>0</v>
      </c>
      <c r="Q7261" s="18">
        <v>0</v>
      </c>
      <c r="U7261" s="22">
        <v>0.71</v>
      </c>
      <c r="V7261" s="22">
        <f>3.63/5</f>
        <v>0.72599999999999998</v>
      </c>
      <c r="X7261" s="3">
        <v>3</v>
      </c>
      <c r="Z7261" s="23">
        <v>5.5</v>
      </c>
      <c r="AB7261" s="18">
        <f t="shared" si="226"/>
        <v>2002</v>
      </c>
      <c r="AC7261" s="22">
        <f t="shared" si="227"/>
        <v>0.67866666666666664</v>
      </c>
    </row>
    <row r="7262" spans="1:29">
      <c r="A7262" s="8" t="s">
        <v>381</v>
      </c>
      <c r="B7262" s="17" t="s">
        <v>6317</v>
      </c>
      <c r="C7262" s="13">
        <v>37399</v>
      </c>
      <c r="D7262" s="13" t="s">
        <v>8463</v>
      </c>
      <c r="E7262" s="10" t="s">
        <v>252</v>
      </c>
      <c r="F7262" s="10" t="s">
        <v>479</v>
      </c>
      <c r="G7262" s="11" t="s">
        <v>447</v>
      </c>
      <c r="H7262" s="2" t="s">
        <v>459</v>
      </c>
      <c r="K7262" s="18">
        <v>0</v>
      </c>
      <c r="L7262" s="18">
        <v>0</v>
      </c>
      <c r="Q7262" s="18">
        <v>0</v>
      </c>
      <c r="V7262" s="22">
        <f>4.22/5</f>
        <v>0.84399999999999997</v>
      </c>
      <c r="X7262" s="3">
        <v>3</v>
      </c>
      <c r="Z7262" s="23">
        <v>0.5</v>
      </c>
      <c r="AB7262" s="18">
        <f t="shared" si="226"/>
        <v>2002</v>
      </c>
      <c r="AC7262" s="22">
        <f t="shared" si="227"/>
        <v>0.72199999999999998</v>
      </c>
    </row>
    <row r="7263" spans="1:29">
      <c r="A7263" s="8" t="s">
        <v>4017</v>
      </c>
      <c r="B7263" s="17" t="s">
        <v>7800</v>
      </c>
      <c r="C7263" s="13">
        <v>37397</v>
      </c>
      <c r="D7263" s="13" t="s">
        <v>8465</v>
      </c>
      <c r="E7263" s="10" t="s">
        <v>1618</v>
      </c>
      <c r="F7263" s="10" t="s">
        <v>1327</v>
      </c>
      <c r="G7263" s="11" t="s">
        <v>2306</v>
      </c>
      <c r="H7263" s="2" t="s">
        <v>80</v>
      </c>
      <c r="L7263" s="18">
        <v>1</v>
      </c>
      <c r="N7263" s="13">
        <v>41107</v>
      </c>
      <c r="O7263" s="29">
        <v>2.08</v>
      </c>
      <c r="P7263" s="18" t="s">
        <v>1107</v>
      </c>
      <c r="Q7263" s="18">
        <v>0</v>
      </c>
      <c r="U7263" s="22">
        <v>0.94</v>
      </c>
      <c r="V7263" s="22">
        <f>3.85/5</f>
        <v>0.77</v>
      </c>
      <c r="W7263" s="14" t="s">
        <v>7777</v>
      </c>
      <c r="X7263" s="3">
        <v>4</v>
      </c>
      <c r="Z7263" s="23">
        <v>16.5</v>
      </c>
      <c r="AB7263" s="18">
        <f t="shared" si="226"/>
        <v>2002</v>
      </c>
      <c r="AC7263" s="22">
        <f t="shared" si="227"/>
        <v>0.83666666666666656</v>
      </c>
    </row>
    <row r="7264" spans="1:29" ht="25.5">
      <c r="A7264" s="8" t="s">
        <v>10675</v>
      </c>
      <c r="B7264" s="17" t="s">
        <v>7800</v>
      </c>
      <c r="C7264" s="13">
        <v>37396</v>
      </c>
      <c r="D7264" s="13" t="s">
        <v>8465</v>
      </c>
      <c r="E7264" s="10" t="s">
        <v>1273</v>
      </c>
      <c r="F7264" s="10" t="s">
        <v>5017</v>
      </c>
      <c r="G7264" s="11" t="s">
        <v>10674</v>
      </c>
      <c r="H7264" s="2" t="s">
        <v>1050</v>
      </c>
      <c r="L7264" s="18">
        <v>0</v>
      </c>
      <c r="Q7264" s="18">
        <v>0</v>
      </c>
      <c r="U7264" s="22">
        <v>0.8</v>
      </c>
      <c r="V7264" s="22">
        <f>3.55/5</f>
        <v>0.71</v>
      </c>
      <c r="W7264" s="14" t="s">
        <v>7778</v>
      </c>
      <c r="X7264" s="3">
        <v>3</v>
      </c>
      <c r="Z7264" s="23">
        <v>10.5</v>
      </c>
      <c r="AB7264" s="18">
        <f t="shared" si="226"/>
        <v>2002</v>
      </c>
      <c r="AC7264" s="22">
        <f t="shared" si="227"/>
        <v>0.70333333333333325</v>
      </c>
    </row>
    <row r="7265" spans="1:29">
      <c r="A7265" s="8" t="s">
        <v>9706</v>
      </c>
      <c r="B7265" s="17" t="s">
        <v>7758</v>
      </c>
      <c r="C7265" s="13">
        <v>37390</v>
      </c>
      <c r="D7265" s="13" t="s">
        <v>8465</v>
      </c>
      <c r="E7265" s="10" t="s">
        <v>154</v>
      </c>
      <c r="F7265" s="10" t="s">
        <v>9707</v>
      </c>
      <c r="G7265" s="11" t="s">
        <v>9706</v>
      </c>
      <c r="H7265" s="2" t="s">
        <v>1168</v>
      </c>
      <c r="L7265" s="18">
        <v>0</v>
      </c>
      <c r="Q7265" s="18">
        <v>0</v>
      </c>
      <c r="U7265" s="22">
        <v>0.74</v>
      </c>
      <c r="V7265" s="22">
        <f>3.27/5</f>
        <v>0.65400000000000003</v>
      </c>
      <c r="X7265" s="3">
        <v>3</v>
      </c>
      <c r="Z7265" s="23">
        <v>9.5</v>
      </c>
      <c r="AB7265" s="18">
        <f t="shared" si="226"/>
        <v>2002</v>
      </c>
      <c r="AC7265" s="22">
        <f t="shared" si="227"/>
        <v>0.66466666666666674</v>
      </c>
    </row>
    <row r="7266" spans="1:29" ht="25.5">
      <c r="A7266" s="8" t="s">
        <v>3728</v>
      </c>
      <c r="B7266" s="17" t="s">
        <v>7800</v>
      </c>
      <c r="C7266" s="13">
        <v>37390</v>
      </c>
      <c r="D7266" s="13" t="s">
        <v>8465</v>
      </c>
      <c r="E7266" s="10" t="s">
        <v>3729</v>
      </c>
      <c r="F7266" s="10" t="s">
        <v>3730</v>
      </c>
      <c r="G7266" s="11" t="s">
        <v>3723</v>
      </c>
      <c r="H7266" s="2" t="s">
        <v>56</v>
      </c>
      <c r="L7266" s="18">
        <v>1</v>
      </c>
      <c r="N7266" s="13">
        <v>42359</v>
      </c>
      <c r="P7266" s="18" t="s">
        <v>1107</v>
      </c>
      <c r="Q7266" s="18">
        <v>0</v>
      </c>
      <c r="U7266" s="22">
        <v>0.77</v>
      </c>
      <c r="V7266" s="22">
        <f>3.61/5</f>
        <v>0.72199999999999998</v>
      </c>
      <c r="W7266" s="14" t="s">
        <v>7777</v>
      </c>
      <c r="X7266" s="3">
        <v>2</v>
      </c>
      <c r="Z7266" s="23">
        <v>6</v>
      </c>
      <c r="AB7266" s="18">
        <f t="shared" si="226"/>
        <v>2002</v>
      </c>
      <c r="AC7266" s="22">
        <f t="shared" si="227"/>
        <v>0.6306666666666666</v>
      </c>
    </row>
    <row r="7267" spans="1:29" ht="30">
      <c r="A7267" s="8" t="s">
        <v>11145</v>
      </c>
      <c r="B7267" s="17" t="s">
        <v>7747</v>
      </c>
      <c r="C7267" s="13">
        <v>37390</v>
      </c>
      <c r="D7267" s="13" t="s">
        <v>8465</v>
      </c>
      <c r="E7267" s="10" t="s">
        <v>60</v>
      </c>
      <c r="F7267" s="10" t="s">
        <v>2466</v>
      </c>
      <c r="G7267" s="11" t="s">
        <v>11042</v>
      </c>
      <c r="H7267" s="2" t="s">
        <v>171</v>
      </c>
      <c r="L7267" s="18">
        <v>0</v>
      </c>
      <c r="Q7267" s="18">
        <v>0</v>
      </c>
      <c r="U7267" s="22">
        <v>0.53</v>
      </c>
      <c r="V7267" s="22">
        <f>2.84/5</f>
        <v>0.56799999999999995</v>
      </c>
      <c r="X7267" s="3">
        <v>2</v>
      </c>
      <c r="Z7267" s="23">
        <v>7.5</v>
      </c>
      <c r="AB7267" s="18">
        <f t="shared" si="226"/>
        <v>2002</v>
      </c>
      <c r="AC7267" s="22">
        <f t="shared" si="227"/>
        <v>0.49933333333333324</v>
      </c>
    </row>
    <row r="7268" spans="1:29" ht="30">
      <c r="A7268" s="8" t="s">
        <v>2072</v>
      </c>
      <c r="B7268" s="17" t="s">
        <v>7747</v>
      </c>
      <c r="C7268" s="13">
        <v>37383</v>
      </c>
      <c r="D7268" s="13" t="s">
        <v>8465</v>
      </c>
      <c r="E7268" s="10" t="s">
        <v>228</v>
      </c>
      <c r="F7268" s="10" t="s">
        <v>1230</v>
      </c>
      <c r="G7268" s="11" t="s">
        <v>1231</v>
      </c>
      <c r="H7268" s="2" t="s">
        <v>75</v>
      </c>
      <c r="L7268" s="18">
        <v>0</v>
      </c>
      <c r="Q7268" s="18">
        <v>0</v>
      </c>
      <c r="U7268" s="22">
        <v>0.84</v>
      </c>
      <c r="V7268" s="22">
        <f>4.08/5</f>
        <v>0.81600000000000006</v>
      </c>
      <c r="X7268" s="3">
        <v>4</v>
      </c>
      <c r="Z7268" s="23">
        <v>20.5</v>
      </c>
      <c r="AB7268" s="18">
        <f t="shared" si="226"/>
        <v>2002</v>
      </c>
      <c r="AC7268" s="22">
        <f t="shared" si="227"/>
        <v>0.81866666666666676</v>
      </c>
    </row>
    <row r="7269" spans="1:29" ht="25.5">
      <c r="A7269" s="8" t="s">
        <v>5303</v>
      </c>
      <c r="B7269" s="17" t="s">
        <v>7800</v>
      </c>
      <c r="C7269" s="13">
        <v>37377</v>
      </c>
      <c r="D7269" s="13" t="s">
        <v>8465</v>
      </c>
      <c r="E7269" s="10" t="s">
        <v>1690</v>
      </c>
      <c r="F7269" s="10" t="s">
        <v>1691</v>
      </c>
      <c r="G7269" s="11" t="s">
        <v>1207</v>
      </c>
      <c r="H7269" s="2" t="s">
        <v>171</v>
      </c>
      <c r="L7269" s="18">
        <v>1</v>
      </c>
      <c r="N7269" s="13">
        <v>41633</v>
      </c>
      <c r="O7269" s="29">
        <v>3.99</v>
      </c>
      <c r="P7269" s="18" t="s">
        <v>1107</v>
      </c>
      <c r="Q7269" s="18">
        <v>0</v>
      </c>
      <c r="U7269" s="22">
        <v>0.89</v>
      </c>
      <c r="V7269" s="22">
        <f>4.27/5</f>
        <v>0.85399999999999987</v>
      </c>
      <c r="W7269" s="14" t="s">
        <v>7777</v>
      </c>
      <c r="X7269" s="3">
        <v>5</v>
      </c>
      <c r="Z7269" s="23">
        <v>46</v>
      </c>
      <c r="AB7269" s="18">
        <f t="shared" si="226"/>
        <v>2002</v>
      </c>
      <c r="AC7269" s="22">
        <f t="shared" si="227"/>
        <v>0.91466666666666663</v>
      </c>
    </row>
    <row r="7270" spans="1:29" ht="30">
      <c r="A7270" s="8" t="s">
        <v>943</v>
      </c>
      <c r="B7270" s="17" t="s">
        <v>7740</v>
      </c>
      <c r="C7270" s="13">
        <v>37376</v>
      </c>
      <c r="D7270" s="13" t="s">
        <v>8465</v>
      </c>
      <c r="E7270" s="10" t="s">
        <v>73</v>
      </c>
      <c r="F7270" s="10" t="s">
        <v>73</v>
      </c>
      <c r="G7270" s="11" t="s">
        <v>943</v>
      </c>
      <c r="H7270" s="2" t="s">
        <v>1061</v>
      </c>
      <c r="L7270" s="18">
        <v>0</v>
      </c>
      <c r="Q7270" s="18">
        <v>0</v>
      </c>
      <c r="U7270" s="22">
        <v>0.9</v>
      </c>
      <c r="V7270" s="22">
        <f>4.44/5</f>
        <v>0.88800000000000012</v>
      </c>
      <c r="X7270" s="3">
        <v>3</v>
      </c>
      <c r="Z7270" s="23">
        <v>7</v>
      </c>
      <c r="AB7270" s="18">
        <f t="shared" si="226"/>
        <v>2002</v>
      </c>
      <c r="AC7270" s="22">
        <f t="shared" si="227"/>
        <v>0.79600000000000015</v>
      </c>
    </row>
    <row r="7271" spans="1:29" ht="30">
      <c r="A7271" s="8" t="s">
        <v>13060</v>
      </c>
      <c r="B7271" s="17" t="s">
        <v>7747</v>
      </c>
      <c r="C7271" s="13">
        <v>37372</v>
      </c>
      <c r="D7271" s="13" t="s">
        <v>8463</v>
      </c>
      <c r="E7271" s="10" t="s">
        <v>13058</v>
      </c>
      <c r="F7271" s="10" t="s">
        <v>66</v>
      </c>
      <c r="G7271" s="11" t="s">
        <v>13059</v>
      </c>
      <c r="H7271" s="2" t="s">
        <v>149</v>
      </c>
      <c r="K7271" s="18">
        <v>2</v>
      </c>
      <c r="L7271" s="18">
        <v>0</v>
      </c>
      <c r="Q7271" s="18">
        <v>0</v>
      </c>
      <c r="V7271" s="22">
        <f>3.69/5</f>
        <v>0.73799999999999999</v>
      </c>
      <c r="X7271" s="3">
        <v>2</v>
      </c>
      <c r="AB7271" s="18">
        <f t="shared" si="226"/>
        <v>2002</v>
      </c>
      <c r="AC7271" s="22">
        <f t="shared" si="227"/>
        <v>0.56899999999999995</v>
      </c>
    </row>
    <row r="7272" spans="1:29">
      <c r="A7272" s="8" t="s">
        <v>11943</v>
      </c>
      <c r="B7272" s="17" t="s">
        <v>7758</v>
      </c>
      <c r="C7272" s="13">
        <v>37372</v>
      </c>
      <c r="D7272" s="13" t="s">
        <v>8467</v>
      </c>
      <c r="E7272" s="10" t="s">
        <v>73</v>
      </c>
      <c r="F7272" s="10" t="s">
        <v>1046</v>
      </c>
      <c r="G7272" s="11" t="s">
        <v>11943</v>
      </c>
      <c r="H7272" s="2" t="s">
        <v>80</v>
      </c>
      <c r="L7272" s="18">
        <v>0</v>
      </c>
      <c r="Q7272" s="18">
        <v>0</v>
      </c>
      <c r="V7272" s="22">
        <f>3.6/5</f>
        <v>0.72</v>
      </c>
      <c r="X7272" s="3">
        <v>2</v>
      </c>
      <c r="Z7272" s="23">
        <v>11.5</v>
      </c>
      <c r="AB7272" s="18">
        <f t="shared" si="226"/>
        <v>2002</v>
      </c>
      <c r="AC7272" s="22">
        <f t="shared" si="227"/>
        <v>0.56000000000000005</v>
      </c>
    </row>
    <row r="7273" spans="1:29" ht="30">
      <c r="A7273" s="8" t="s">
        <v>8014</v>
      </c>
      <c r="B7273" s="17" t="s">
        <v>7758</v>
      </c>
      <c r="C7273" s="13">
        <v>37371</v>
      </c>
      <c r="D7273" s="13" t="s">
        <v>8463</v>
      </c>
      <c r="E7273" s="10" t="s">
        <v>2908</v>
      </c>
      <c r="F7273" s="10" t="s">
        <v>2908</v>
      </c>
      <c r="H7273" s="2" t="s">
        <v>67</v>
      </c>
      <c r="K7273" s="18">
        <v>0</v>
      </c>
      <c r="L7273" s="18">
        <v>0</v>
      </c>
      <c r="Q7273" s="18">
        <v>0</v>
      </c>
      <c r="V7273" s="22">
        <f>3.73/5</f>
        <v>0.746</v>
      </c>
      <c r="X7273" s="3">
        <v>2</v>
      </c>
      <c r="AB7273" s="18">
        <f t="shared" si="226"/>
        <v>2002</v>
      </c>
      <c r="AC7273" s="22">
        <f t="shared" si="227"/>
        <v>0.57299999999999995</v>
      </c>
    </row>
    <row r="7274" spans="1:29" ht="25.5">
      <c r="A7274" s="8" t="s">
        <v>15364</v>
      </c>
      <c r="B7274" s="17" t="s">
        <v>7800</v>
      </c>
      <c r="C7274" s="13">
        <v>37368</v>
      </c>
      <c r="D7274" s="13" t="s">
        <v>8465</v>
      </c>
      <c r="E7274" s="10" t="s">
        <v>1496</v>
      </c>
      <c r="F7274" s="10" t="s">
        <v>15365</v>
      </c>
      <c r="G7274" s="11" t="s">
        <v>12311</v>
      </c>
      <c r="H7274" s="2" t="s">
        <v>1050</v>
      </c>
      <c r="L7274" s="18">
        <v>0</v>
      </c>
      <c r="Q7274" s="18">
        <v>0</v>
      </c>
      <c r="U7274" s="22">
        <v>0.54</v>
      </c>
      <c r="V7274" s="22">
        <f>3.07/5</f>
        <v>0.61399999999999999</v>
      </c>
      <c r="X7274" s="3">
        <v>2</v>
      </c>
      <c r="Z7274" s="23">
        <v>8.5</v>
      </c>
      <c r="AB7274" s="18">
        <f t="shared" si="226"/>
        <v>2002</v>
      </c>
      <c r="AC7274" s="22">
        <f t="shared" si="227"/>
        <v>0.5179999999999999</v>
      </c>
    </row>
    <row r="7275" spans="1:29">
      <c r="A7275" s="8" t="s">
        <v>14904</v>
      </c>
      <c r="B7275" s="17" t="s">
        <v>7758</v>
      </c>
      <c r="C7275" s="13">
        <v>37365</v>
      </c>
      <c r="D7275" s="13" t="s">
        <v>8467</v>
      </c>
      <c r="E7275" s="10" t="s">
        <v>72</v>
      </c>
      <c r="F7275" s="10" t="s">
        <v>72</v>
      </c>
      <c r="G7275" s="11" t="s">
        <v>14903</v>
      </c>
      <c r="H7275" s="2" t="s">
        <v>1170</v>
      </c>
      <c r="L7275" s="18">
        <v>0</v>
      </c>
      <c r="Q7275" s="18">
        <v>0</v>
      </c>
      <c r="V7275" s="22">
        <f>3.13/5</f>
        <v>0.626</v>
      </c>
      <c r="X7275" s="3">
        <v>2</v>
      </c>
      <c r="AB7275" s="18">
        <f t="shared" si="226"/>
        <v>2002</v>
      </c>
      <c r="AC7275" s="22">
        <f t="shared" si="227"/>
        <v>0.51300000000000001</v>
      </c>
    </row>
    <row r="7276" spans="1:29">
      <c r="A7276" s="8" t="s">
        <v>10886</v>
      </c>
      <c r="B7276" s="17" t="s">
        <v>7757</v>
      </c>
      <c r="C7276" s="13">
        <v>37364</v>
      </c>
      <c r="D7276" s="13" t="s">
        <v>8465</v>
      </c>
      <c r="E7276" s="10" t="s">
        <v>2701</v>
      </c>
      <c r="F7276" s="10" t="s">
        <v>1290</v>
      </c>
      <c r="G7276" s="11" t="s">
        <v>2921</v>
      </c>
      <c r="H7276" s="2" t="s">
        <v>75</v>
      </c>
      <c r="L7276" s="18">
        <v>0</v>
      </c>
      <c r="Q7276" s="18">
        <v>0</v>
      </c>
      <c r="U7276" s="22">
        <v>0.78</v>
      </c>
      <c r="V7276" s="22">
        <f>4.13/5</f>
        <v>0.82599999999999996</v>
      </c>
      <c r="X7276" s="3">
        <v>3</v>
      </c>
      <c r="Z7276" s="23">
        <v>192</v>
      </c>
      <c r="AB7276" s="18">
        <f t="shared" si="226"/>
        <v>2002</v>
      </c>
      <c r="AC7276" s="22">
        <f t="shared" si="227"/>
        <v>0.73533333333333328</v>
      </c>
    </row>
    <row r="7277" spans="1:29" ht="30">
      <c r="A7277" s="8" t="s">
        <v>1264</v>
      </c>
      <c r="B7277" s="17" t="s">
        <v>7740</v>
      </c>
      <c r="C7277" s="13">
        <v>37362</v>
      </c>
      <c r="D7277" s="13" t="s">
        <v>8465</v>
      </c>
      <c r="E7277" s="10" t="s">
        <v>1273</v>
      </c>
      <c r="F7277" s="10" t="s">
        <v>1508</v>
      </c>
      <c r="G7277" s="11" t="s">
        <v>1264</v>
      </c>
      <c r="H7277" s="2" t="s">
        <v>80</v>
      </c>
      <c r="L7277" s="18">
        <v>0</v>
      </c>
      <c r="Q7277" s="18">
        <v>0</v>
      </c>
      <c r="U7277" s="22">
        <v>0.76</v>
      </c>
      <c r="V7277" s="22">
        <f>3.37/5</f>
        <v>0.67400000000000004</v>
      </c>
      <c r="X7277" s="3">
        <v>3</v>
      </c>
      <c r="Z7277" s="23">
        <v>7</v>
      </c>
      <c r="AB7277" s="18">
        <f t="shared" si="226"/>
        <v>2002</v>
      </c>
      <c r="AC7277" s="22">
        <f t="shared" si="227"/>
        <v>0.67800000000000005</v>
      </c>
    </row>
    <row r="7278" spans="1:29" ht="30">
      <c r="A7278" s="8" t="s">
        <v>701</v>
      </c>
      <c r="B7278" s="17" t="s">
        <v>7747</v>
      </c>
      <c r="C7278" s="13">
        <v>37361</v>
      </c>
      <c r="D7278" s="13" t="s">
        <v>8465</v>
      </c>
      <c r="E7278" s="10" t="s">
        <v>73</v>
      </c>
      <c r="F7278" s="10" t="s">
        <v>73</v>
      </c>
      <c r="G7278" s="11" t="s">
        <v>700</v>
      </c>
      <c r="H7278" s="2" t="s">
        <v>149</v>
      </c>
      <c r="L7278" s="18">
        <v>0</v>
      </c>
      <c r="Q7278" s="18">
        <v>0</v>
      </c>
      <c r="U7278" s="22">
        <v>0.75</v>
      </c>
      <c r="V7278" s="22">
        <f>3.89/5</f>
        <v>0.77800000000000002</v>
      </c>
      <c r="X7278" s="3">
        <v>4</v>
      </c>
      <c r="Z7278" s="23">
        <v>34.25</v>
      </c>
      <c r="AB7278" s="18">
        <f t="shared" si="226"/>
        <v>2002</v>
      </c>
      <c r="AC7278" s="22">
        <f t="shared" si="227"/>
        <v>0.77600000000000013</v>
      </c>
    </row>
    <row r="7279" spans="1:29" ht="30">
      <c r="A7279" s="8" t="s">
        <v>16049</v>
      </c>
      <c r="B7279" s="17" t="s">
        <v>7747</v>
      </c>
      <c r="C7279" s="13">
        <v>37361</v>
      </c>
      <c r="D7279" s="13" t="s">
        <v>8465</v>
      </c>
      <c r="E7279" s="10" t="s">
        <v>16050</v>
      </c>
      <c r="F7279" s="10" t="s">
        <v>62</v>
      </c>
      <c r="H7279" s="2" t="s">
        <v>27</v>
      </c>
      <c r="L7279" s="18">
        <v>0</v>
      </c>
      <c r="Q7279" s="18">
        <v>0</v>
      </c>
      <c r="U7279" s="22">
        <v>0.73</v>
      </c>
      <c r="V7279" s="22">
        <f>2.91/5</f>
        <v>0.58200000000000007</v>
      </c>
      <c r="X7279" s="3">
        <v>2</v>
      </c>
      <c r="Z7279" s="23">
        <v>3</v>
      </c>
      <c r="AB7279" s="18">
        <f t="shared" si="226"/>
        <v>2002</v>
      </c>
      <c r="AC7279" s="22">
        <f t="shared" si="227"/>
        <v>0.57066666666666677</v>
      </c>
    </row>
    <row r="7280" spans="1:29">
      <c r="A7280" s="8" t="s">
        <v>3736</v>
      </c>
      <c r="B7280" s="17" t="s">
        <v>7800</v>
      </c>
      <c r="C7280" s="13">
        <v>37351</v>
      </c>
      <c r="D7280" s="13" t="s">
        <v>8465</v>
      </c>
      <c r="E7280" s="10" t="s">
        <v>3737</v>
      </c>
      <c r="F7280" s="10" t="s">
        <v>3738</v>
      </c>
      <c r="G7280" s="11" t="s">
        <v>3736</v>
      </c>
      <c r="H7280" s="2" t="s">
        <v>171</v>
      </c>
      <c r="L7280" s="18">
        <v>1</v>
      </c>
      <c r="N7280" s="13">
        <v>43285</v>
      </c>
      <c r="O7280" s="29">
        <v>0.99</v>
      </c>
      <c r="P7280" s="18" t="s">
        <v>1107</v>
      </c>
      <c r="Q7280" s="18">
        <v>0</v>
      </c>
      <c r="U7280" s="22">
        <v>0.86</v>
      </c>
      <c r="V7280" s="22">
        <f>3.62/5</f>
        <v>0.72399999999999998</v>
      </c>
      <c r="W7280" s="14" t="s">
        <v>7777</v>
      </c>
      <c r="X7280" s="3">
        <v>3</v>
      </c>
      <c r="Z7280" s="23">
        <v>29</v>
      </c>
      <c r="AB7280" s="18">
        <f t="shared" si="226"/>
        <v>2002</v>
      </c>
      <c r="AC7280" s="22">
        <f t="shared" si="227"/>
        <v>0.72800000000000009</v>
      </c>
    </row>
    <row r="7281" spans="1:29" ht="25.5">
      <c r="A7281" s="8" t="s">
        <v>427</v>
      </c>
      <c r="B7281" s="17" t="s">
        <v>6317</v>
      </c>
      <c r="C7281" s="13">
        <v>37351</v>
      </c>
      <c r="D7281" s="13" t="s">
        <v>8463</v>
      </c>
      <c r="E7281" s="10" t="s">
        <v>472</v>
      </c>
      <c r="F7281" s="10" t="s">
        <v>467</v>
      </c>
      <c r="G7281" s="11" t="s">
        <v>323</v>
      </c>
      <c r="H7281" s="2" t="s">
        <v>21</v>
      </c>
      <c r="K7281" s="18">
        <v>0</v>
      </c>
      <c r="L7281" s="18">
        <v>0</v>
      </c>
      <c r="Q7281" s="18">
        <v>0</v>
      </c>
      <c r="V7281" s="22">
        <f>3.92/5</f>
        <v>0.78400000000000003</v>
      </c>
      <c r="X7281" s="3">
        <v>3</v>
      </c>
      <c r="Z7281" s="23">
        <v>0.9</v>
      </c>
      <c r="AB7281" s="18">
        <f t="shared" si="226"/>
        <v>2002</v>
      </c>
      <c r="AC7281" s="22">
        <f t="shared" si="227"/>
        <v>0.69199999999999995</v>
      </c>
    </row>
    <row r="7282" spans="1:29" ht="30">
      <c r="A7282" s="8" t="s">
        <v>2052</v>
      </c>
      <c r="B7282" s="17" t="s">
        <v>7747</v>
      </c>
      <c r="C7282" s="13">
        <v>37344</v>
      </c>
      <c r="D7282" s="13" t="s">
        <v>8463</v>
      </c>
      <c r="E7282" s="10" t="s">
        <v>86</v>
      </c>
      <c r="F7282" s="10" t="s">
        <v>1069</v>
      </c>
      <c r="G7282" s="11" t="s">
        <v>305</v>
      </c>
      <c r="H7282" s="2" t="s">
        <v>75</v>
      </c>
      <c r="K7282" s="18">
        <v>2</v>
      </c>
      <c r="L7282" s="18">
        <v>0</v>
      </c>
      <c r="Q7282" s="18">
        <v>0</v>
      </c>
      <c r="U7282" s="22">
        <v>0.79</v>
      </c>
      <c r="V7282" s="22">
        <f>4.09/5</f>
        <v>0.81799999999999995</v>
      </c>
      <c r="X7282" s="3">
        <v>4</v>
      </c>
      <c r="Z7282" s="23">
        <v>26.5</v>
      </c>
      <c r="AB7282" s="18">
        <f t="shared" si="226"/>
        <v>2002</v>
      </c>
      <c r="AC7282" s="22">
        <f t="shared" si="227"/>
        <v>0.80266666666666675</v>
      </c>
    </row>
    <row r="7283" spans="1:29" ht="25.5">
      <c r="A7283" s="8" t="s">
        <v>6990</v>
      </c>
      <c r="B7283" s="17" t="s">
        <v>7800</v>
      </c>
      <c r="C7283" s="13">
        <v>37343</v>
      </c>
      <c r="D7283" s="13" t="s">
        <v>8465</v>
      </c>
      <c r="E7283" s="10" t="s">
        <v>1195</v>
      </c>
      <c r="F7283" s="10" t="s">
        <v>2659</v>
      </c>
      <c r="G7283" s="11" t="s">
        <v>1864</v>
      </c>
      <c r="H7283" s="2" t="s">
        <v>1720</v>
      </c>
      <c r="L7283" s="18">
        <v>1</v>
      </c>
      <c r="P7283" s="18" t="s">
        <v>1107</v>
      </c>
      <c r="Q7283" s="18">
        <v>0</v>
      </c>
      <c r="U7283" s="22">
        <v>0.8</v>
      </c>
      <c r="V7283" s="22">
        <f>3.59/5</f>
        <v>0.71799999999999997</v>
      </c>
      <c r="W7283" s="14" t="s">
        <v>7798</v>
      </c>
      <c r="X7283" s="3">
        <v>3</v>
      </c>
      <c r="Z7283" s="23">
        <v>49</v>
      </c>
      <c r="AB7283" s="18">
        <f t="shared" si="226"/>
        <v>2002</v>
      </c>
      <c r="AC7283" s="22">
        <f t="shared" si="227"/>
        <v>0.70599999999999996</v>
      </c>
    </row>
    <row r="7284" spans="1:29" ht="25.5">
      <c r="A7284" s="8" t="s">
        <v>10897</v>
      </c>
      <c r="B7284" s="17" t="s">
        <v>7755</v>
      </c>
      <c r="C7284" s="13">
        <v>37343</v>
      </c>
      <c r="D7284" s="13" t="s">
        <v>8463</v>
      </c>
      <c r="E7284" s="10" t="s">
        <v>10898</v>
      </c>
      <c r="F7284" s="10" t="s">
        <v>10898</v>
      </c>
      <c r="H7284" s="2" t="s">
        <v>1057</v>
      </c>
      <c r="K7284" s="18">
        <v>2</v>
      </c>
      <c r="L7284" s="18">
        <v>0</v>
      </c>
      <c r="Q7284" s="18">
        <v>0</v>
      </c>
      <c r="V7284" s="22">
        <f>3.2/5</f>
        <v>0.64</v>
      </c>
      <c r="X7284" s="3">
        <v>2</v>
      </c>
      <c r="AB7284" s="18">
        <f t="shared" si="226"/>
        <v>2002</v>
      </c>
      <c r="AC7284" s="22">
        <f t="shared" si="227"/>
        <v>0.52</v>
      </c>
    </row>
    <row r="7285" spans="1:29" ht="25.5">
      <c r="A7285" s="8" t="s">
        <v>5119</v>
      </c>
      <c r="B7285" s="17" t="s">
        <v>7800</v>
      </c>
      <c r="C7285" s="13">
        <v>37341</v>
      </c>
      <c r="D7285" s="13" t="s">
        <v>8465</v>
      </c>
      <c r="E7285" s="10" t="s">
        <v>1284</v>
      </c>
      <c r="F7285" s="10" t="s">
        <v>5017</v>
      </c>
      <c r="G7285" s="11" t="s">
        <v>5112</v>
      </c>
      <c r="H7285" s="2" t="s">
        <v>1050</v>
      </c>
      <c r="L7285" s="18">
        <v>1</v>
      </c>
      <c r="N7285" s="13">
        <v>42045</v>
      </c>
      <c r="P7285" s="18" t="s">
        <v>1107</v>
      </c>
      <c r="Q7285" s="18">
        <v>0</v>
      </c>
      <c r="U7285" s="22">
        <v>0.87</v>
      </c>
      <c r="V7285" s="22">
        <f>3.98/5</f>
        <v>0.79600000000000004</v>
      </c>
      <c r="W7285" s="14" t="s">
        <v>7777</v>
      </c>
      <c r="X7285" s="3">
        <v>3</v>
      </c>
      <c r="Z7285" s="23">
        <v>12.5</v>
      </c>
      <c r="AB7285" s="18">
        <f t="shared" si="226"/>
        <v>2002</v>
      </c>
      <c r="AC7285" s="22">
        <f t="shared" si="227"/>
        <v>0.7553333333333333</v>
      </c>
    </row>
    <row r="7286" spans="1:29">
      <c r="A7286" s="8" t="s">
        <v>3931</v>
      </c>
      <c r="B7286" s="17" t="s">
        <v>7800</v>
      </c>
      <c r="C7286" s="13">
        <v>37341</v>
      </c>
      <c r="D7286" s="13" t="s">
        <v>8465</v>
      </c>
      <c r="E7286" s="10" t="s">
        <v>3014</v>
      </c>
      <c r="F7286" s="10" t="s">
        <v>3315</v>
      </c>
      <c r="G7286" s="11" t="s">
        <v>3931</v>
      </c>
      <c r="H7286" s="2" t="s">
        <v>3279</v>
      </c>
      <c r="L7286" s="18">
        <v>1</v>
      </c>
      <c r="N7286" s="13">
        <v>43413</v>
      </c>
      <c r="O7286" s="29">
        <v>0.93</v>
      </c>
      <c r="P7286" s="18" t="s">
        <v>1107</v>
      </c>
      <c r="Q7286" s="18">
        <v>0</v>
      </c>
      <c r="U7286" s="22">
        <v>0.88</v>
      </c>
      <c r="V7286" s="22">
        <f>3.84/5</f>
        <v>0.76800000000000002</v>
      </c>
      <c r="W7286" s="14" t="s">
        <v>7777</v>
      </c>
      <c r="X7286" s="3">
        <v>4</v>
      </c>
      <c r="Z7286" s="23">
        <v>10.5</v>
      </c>
      <c r="AB7286" s="18">
        <f t="shared" si="226"/>
        <v>2002</v>
      </c>
      <c r="AC7286" s="22">
        <f t="shared" si="227"/>
        <v>0.81600000000000017</v>
      </c>
    </row>
    <row r="7287" spans="1:29" ht="25.5">
      <c r="A7287" s="8" t="s">
        <v>5752</v>
      </c>
      <c r="B7287" s="17" t="s">
        <v>7758</v>
      </c>
      <c r="C7287" s="13">
        <v>37340</v>
      </c>
      <c r="D7287" s="13" t="s">
        <v>8465</v>
      </c>
      <c r="E7287" s="10" t="s">
        <v>3017</v>
      </c>
      <c r="F7287" s="10" t="s">
        <v>1580</v>
      </c>
      <c r="G7287" s="11" t="s">
        <v>2977</v>
      </c>
      <c r="H7287" s="2" t="s">
        <v>171</v>
      </c>
      <c r="L7287" s="18">
        <v>0</v>
      </c>
      <c r="Q7287" s="18">
        <v>0</v>
      </c>
      <c r="U7287" s="22">
        <v>0.56999999999999995</v>
      </c>
      <c r="V7287" s="22">
        <f>3.68/5</f>
        <v>0.73599999999999999</v>
      </c>
      <c r="X7287" s="3">
        <v>3</v>
      </c>
      <c r="Z7287" s="23">
        <v>20.5</v>
      </c>
      <c r="AB7287" s="18">
        <f t="shared" si="226"/>
        <v>2002</v>
      </c>
      <c r="AC7287" s="22">
        <f t="shared" si="227"/>
        <v>0.63533333333333342</v>
      </c>
    </row>
    <row r="7288" spans="1:29" ht="25.5">
      <c r="A7288" s="8" t="s">
        <v>8692</v>
      </c>
      <c r="B7288" s="17" t="s">
        <v>7755</v>
      </c>
      <c r="C7288" s="13">
        <v>37336</v>
      </c>
      <c r="D7288" s="13" t="s">
        <v>8463</v>
      </c>
      <c r="E7288" s="10" t="s">
        <v>455</v>
      </c>
      <c r="F7288" s="10" t="s">
        <v>1318</v>
      </c>
      <c r="G7288" s="11" t="s">
        <v>5874</v>
      </c>
      <c r="H7288" s="2" t="s">
        <v>75</v>
      </c>
      <c r="K7288" s="18">
        <v>0</v>
      </c>
      <c r="L7288" s="18">
        <v>0</v>
      </c>
      <c r="Q7288" s="18">
        <v>0</v>
      </c>
      <c r="V7288" s="22">
        <f>4.13/5</f>
        <v>0.82599999999999996</v>
      </c>
      <c r="X7288" s="3">
        <v>3</v>
      </c>
      <c r="Z7288" s="23">
        <v>9</v>
      </c>
      <c r="AB7288" s="18">
        <f t="shared" si="226"/>
        <v>2002</v>
      </c>
      <c r="AC7288" s="22">
        <f t="shared" si="227"/>
        <v>0.71299999999999997</v>
      </c>
    </row>
    <row r="7289" spans="1:29">
      <c r="A7289" s="8" t="s">
        <v>6662</v>
      </c>
      <c r="B7289" s="17" t="s">
        <v>7758</v>
      </c>
      <c r="C7289" s="13">
        <v>37336</v>
      </c>
      <c r="D7289" s="13" t="s">
        <v>8465</v>
      </c>
      <c r="E7289" s="10" t="s">
        <v>1870</v>
      </c>
      <c r="F7289" s="10" t="s">
        <v>1198</v>
      </c>
      <c r="G7289" s="11" t="s">
        <v>3032</v>
      </c>
      <c r="H7289" s="2" t="s">
        <v>80</v>
      </c>
      <c r="L7289" s="18">
        <v>0</v>
      </c>
      <c r="Q7289" s="18">
        <v>0</v>
      </c>
      <c r="U7289" s="22">
        <v>0.73</v>
      </c>
      <c r="V7289" s="22">
        <f>3.51/5</f>
        <v>0.70199999999999996</v>
      </c>
      <c r="X7289" s="3">
        <v>3</v>
      </c>
      <c r="Z7289" s="23">
        <v>12</v>
      </c>
      <c r="AB7289" s="18">
        <f t="shared" si="226"/>
        <v>2002</v>
      </c>
      <c r="AC7289" s="22">
        <f t="shared" si="227"/>
        <v>0.67733333333333334</v>
      </c>
    </row>
    <row r="7290" spans="1:29" ht="30">
      <c r="A7290" s="8" t="s">
        <v>10889</v>
      </c>
      <c r="B7290" s="17" t="s">
        <v>7795</v>
      </c>
      <c r="C7290" s="13">
        <v>37335</v>
      </c>
      <c r="D7290" s="13" t="s">
        <v>8463</v>
      </c>
      <c r="E7290" s="10" t="s">
        <v>161</v>
      </c>
      <c r="F7290" s="10" t="s">
        <v>2510</v>
      </c>
      <c r="G7290" s="11" t="s">
        <v>9517</v>
      </c>
      <c r="H7290" s="2" t="s">
        <v>149</v>
      </c>
      <c r="K7290" s="18">
        <v>2</v>
      </c>
      <c r="L7290" s="18">
        <v>0</v>
      </c>
      <c r="Q7290" s="18">
        <v>0</v>
      </c>
      <c r="V7290" s="22">
        <f>3.76/5</f>
        <v>0.752</v>
      </c>
      <c r="X7290" s="3">
        <v>3</v>
      </c>
      <c r="Z7290" s="23">
        <v>10.5</v>
      </c>
      <c r="AB7290" s="18">
        <f t="shared" si="226"/>
        <v>2002</v>
      </c>
      <c r="AC7290" s="22">
        <f t="shared" si="227"/>
        <v>0.67599999999999993</v>
      </c>
    </row>
    <row r="7291" spans="1:29" ht="30">
      <c r="A7291" s="8" t="s">
        <v>12354</v>
      </c>
      <c r="B7291" s="17" t="s">
        <v>7740</v>
      </c>
      <c r="C7291" s="13">
        <v>37334</v>
      </c>
      <c r="D7291" s="13" t="s">
        <v>8465</v>
      </c>
      <c r="E7291" s="10" t="s">
        <v>158</v>
      </c>
      <c r="F7291" s="10" t="s">
        <v>5048</v>
      </c>
      <c r="G7291" s="11" t="s">
        <v>4639</v>
      </c>
      <c r="H7291" s="2" t="s">
        <v>1040</v>
      </c>
      <c r="L7291" s="18">
        <v>0</v>
      </c>
      <c r="Q7291" s="18">
        <v>0</v>
      </c>
      <c r="U7291" s="22">
        <v>0.74</v>
      </c>
      <c r="V7291" s="22">
        <f>3.74/5</f>
        <v>0.748</v>
      </c>
      <c r="X7291" s="3">
        <v>3</v>
      </c>
      <c r="Z7291" s="23">
        <v>4.5</v>
      </c>
      <c r="AB7291" s="18">
        <f t="shared" si="226"/>
        <v>2002</v>
      </c>
      <c r="AC7291" s="22">
        <f t="shared" si="227"/>
        <v>0.69600000000000006</v>
      </c>
    </row>
    <row r="7292" spans="1:29">
      <c r="A7292" s="8" t="s">
        <v>3971</v>
      </c>
      <c r="B7292" s="17" t="s">
        <v>7800</v>
      </c>
      <c r="C7292" s="13">
        <v>37334</v>
      </c>
      <c r="D7292" s="13" t="s">
        <v>8465</v>
      </c>
      <c r="E7292" s="10" t="s">
        <v>3234</v>
      </c>
      <c r="F7292" s="10" t="s">
        <v>3234</v>
      </c>
      <c r="G7292" s="11" t="s">
        <v>3971</v>
      </c>
      <c r="H7292" s="2" t="s">
        <v>1720</v>
      </c>
      <c r="L7292" s="18">
        <v>1</v>
      </c>
      <c r="N7292" s="13">
        <v>41114</v>
      </c>
      <c r="P7292" s="18" t="s">
        <v>1107</v>
      </c>
      <c r="Q7292" s="18">
        <v>0</v>
      </c>
      <c r="U7292" s="22">
        <v>0.86</v>
      </c>
      <c r="V7292" s="22">
        <f>4/5</f>
        <v>0.8</v>
      </c>
      <c r="W7292" s="14" t="s">
        <v>7777</v>
      </c>
      <c r="X7292" s="3">
        <v>2</v>
      </c>
      <c r="Z7292" s="23">
        <v>31</v>
      </c>
      <c r="AB7292" s="18">
        <f t="shared" si="226"/>
        <v>2002</v>
      </c>
      <c r="AC7292" s="22">
        <f t="shared" si="227"/>
        <v>0.68666666666666665</v>
      </c>
    </row>
    <row r="7293" spans="1:29" ht="30">
      <c r="A7293" s="8" t="s">
        <v>12839</v>
      </c>
      <c r="B7293" s="17" t="s">
        <v>7740</v>
      </c>
      <c r="C7293" s="13">
        <v>37334</v>
      </c>
      <c r="D7293" s="13" t="s">
        <v>8465</v>
      </c>
      <c r="E7293" s="10" t="s">
        <v>1273</v>
      </c>
      <c r="F7293" s="10" t="s">
        <v>461</v>
      </c>
      <c r="G7293" s="11" t="s">
        <v>12835</v>
      </c>
      <c r="H7293" s="2" t="s">
        <v>459</v>
      </c>
      <c r="L7293" s="18">
        <v>0</v>
      </c>
      <c r="Q7293" s="18">
        <v>0</v>
      </c>
      <c r="U7293" s="22">
        <v>0.75</v>
      </c>
      <c r="V7293" s="22">
        <f>3.67/5</f>
        <v>0.73399999999999999</v>
      </c>
      <c r="X7293" s="3">
        <v>2</v>
      </c>
      <c r="Z7293" s="23">
        <f>49/60</f>
        <v>0.81666666666666665</v>
      </c>
      <c r="AB7293" s="18">
        <f t="shared" si="226"/>
        <v>2002</v>
      </c>
      <c r="AC7293" s="22">
        <f t="shared" si="227"/>
        <v>0.628</v>
      </c>
    </row>
    <row r="7294" spans="1:29">
      <c r="A7294" s="8" t="s">
        <v>9328</v>
      </c>
      <c r="B7294" s="17" t="s">
        <v>7764</v>
      </c>
      <c r="C7294" s="13">
        <v>37333</v>
      </c>
      <c r="D7294" s="13" t="s">
        <v>8465</v>
      </c>
      <c r="E7294" s="10" t="s">
        <v>455</v>
      </c>
      <c r="F7294" s="10" t="s">
        <v>2772</v>
      </c>
      <c r="H7294" s="2" t="s">
        <v>1168</v>
      </c>
      <c r="L7294" s="18">
        <v>1</v>
      </c>
      <c r="N7294" s="13">
        <v>44578</v>
      </c>
      <c r="O7294" s="29">
        <v>5.99</v>
      </c>
      <c r="P7294" s="18" t="s">
        <v>1107</v>
      </c>
      <c r="Q7294" s="18">
        <v>0</v>
      </c>
      <c r="U7294" s="22">
        <v>0.73</v>
      </c>
      <c r="V7294" s="22">
        <f>4.03/5</f>
        <v>0.80600000000000005</v>
      </c>
      <c r="X7294" s="3">
        <v>3</v>
      </c>
      <c r="Z7294" s="23">
        <v>6</v>
      </c>
      <c r="AB7294" s="18">
        <f t="shared" si="226"/>
        <v>2002</v>
      </c>
      <c r="AC7294" s="22">
        <f t="shared" si="227"/>
        <v>0.71200000000000008</v>
      </c>
    </row>
    <row r="7295" spans="1:29" ht="25.5">
      <c r="A7295" s="8" t="s">
        <v>530</v>
      </c>
      <c r="B7295" s="17" t="s">
        <v>7731</v>
      </c>
      <c r="C7295" s="13">
        <v>37329</v>
      </c>
      <c r="D7295" s="13" t="s">
        <v>8465</v>
      </c>
      <c r="E7295" s="10" t="s">
        <v>1225</v>
      </c>
      <c r="F7295" s="10" t="s">
        <v>1226</v>
      </c>
      <c r="G7295" s="11" t="s">
        <v>567</v>
      </c>
      <c r="H7295" s="2" t="s">
        <v>459</v>
      </c>
      <c r="L7295" s="18">
        <v>0</v>
      </c>
      <c r="Q7295" s="18">
        <v>0</v>
      </c>
      <c r="V7295" s="22">
        <f>3.53/5</f>
        <v>0.70599999999999996</v>
      </c>
      <c r="X7295" s="3">
        <v>2</v>
      </c>
      <c r="Z7295" s="23">
        <v>0.56666666666666599</v>
      </c>
      <c r="AB7295" s="18">
        <f t="shared" si="226"/>
        <v>2002</v>
      </c>
      <c r="AC7295" s="22">
        <f t="shared" si="227"/>
        <v>0.55299999999999994</v>
      </c>
    </row>
    <row r="7296" spans="1:29">
      <c r="A7296" s="8" t="s">
        <v>8154</v>
      </c>
      <c r="B7296" s="17" t="s">
        <v>7758</v>
      </c>
      <c r="C7296" s="13">
        <v>37328</v>
      </c>
      <c r="D7296" s="13" t="s">
        <v>8465</v>
      </c>
      <c r="E7296" s="10" t="s">
        <v>1870</v>
      </c>
      <c r="F7296" s="10" t="s">
        <v>8155</v>
      </c>
      <c r="H7296" s="2" t="s">
        <v>245</v>
      </c>
      <c r="L7296" s="18">
        <v>0</v>
      </c>
      <c r="Q7296" s="18">
        <v>0</v>
      </c>
      <c r="U7296" s="22">
        <v>0.67720000000000002</v>
      </c>
      <c r="V7296" s="22">
        <f>3.4/5</f>
        <v>0.67999999999999994</v>
      </c>
      <c r="X7296" s="3">
        <v>3</v>
      </c>
      <c r="Z7296" s="23">
        <v>3</v>
      </c>
      <c r="AB7296" s="18">
        <f t="shared" si="226"/>
        <v>2002</v>
      </c>
      <c r="AC7296" s="22">
        <f t="shared" si="227"/>
        <v>0.65239999999999998</v>
      </c>
    </row>
    <row r="7297" spans="1:29" ht="30">
      <c r="A7297" s="8" t="s">
        <v>10800</v>
      </c>
      <c r="B7297" s="17" t="s">
        <v>7740</v>
      </c>
      <c r="C7297" s="13">
        <v>37327</v>
      </c>
      <c r="D7297" s="13" t="s">
        <v>8465</v>
      </c>
      <c r="E7297" s="10" t="s">
        <v>5010</v>
      </c>
      <c r="F7297" s="10" t="s">
        <v>3593</v>
      </c>
      <c r="G7297" s="11" t="s">
        <v>1482</v>
      </c>
      <c r="H7297" s="2" t="s">
        <v>1050</v>
      </c>
      <c r="L7297" s="18">
        <v>0</v>
      </c>
      <c r="Q7297" s="18">
        <v>0</v>
      </c>
      <c r="U7297" s="22">
        <v>0.74</v>
      </c>
      <c r="V7297" s="22">
        <f>3.54/5</f>
        <v>0.70799999999999996</v>
      </c>
      <c r="X7297" s="3">
        <v>3</v>
      </c>
      <c r="Z7297" s="23">
        <v>5.5</v>
      </c>
      <c r="AB7297" s="18">
        <f t="shared" ref="AB7297:AB7360" si="228">IFERROR(YEAR(C7297), "Early Access")</f>
        <v>2002</v>
      </c>
      <c r="AC7297" s="22">
        <f t="shared" ref="AC7297:AC7360" si="229">AVERAGE(T7297, U7297, V7297, IF(ISBLANK(X7297), X7297, X7297/5))</f>
        <v>0.68266666666666664</v>
      </c>
    </row>
    <row r="7298" spans="1:29" ht="30">
      <c r="A7298" s="8" t="s">
        <v>11031</v>
      </c>
      <c r="B7298" s="17" t="s">
        <v>7758</v>
      </c>
      <c r="C7298" s="13">
        <v>37327</v>
      </c>
      <c r="D7298" s="13" t="s">
        <v>8465</v>
      </c>
      <c r="E7298" s="10" t="s">
        <v>2908</v>
      </c>
      <c r="F7298" s="10" t="s">
        <v>10091</v>
      </c>
      <c r="G7298" s="11" t="s">
        <v>11029</v>
      </c>
      <c r="H7298" s="2" t="s">
        <v>255</v>
      </c>
      <c r="L7298" s="18">
        <v>0</v>
      </c>
      <c r="Q7298" s="18">
        <v>0</v>
      </c>
      <c r="U7298" s="22">
        <v>0.85</v>
      </c>
      <c r="V7298" s="22">
        <f>3.94/5</f>
        <v>0.78800000000000003</v>
      </c>
      <c r="X7298" s="3">
        <v>2</v>
      </c>
      <c r="Z7298" s="23">
        <v>31</v>
      </c>
      <c r="AB7298" s="18">
        <f t="shared" si="228"/>
        <v>2002</v>
      </c>
      <c r="AC7298" s="22">
        <f t="shared" si="229"/>
        <v>0.67933333333333323</v>
      </c>
    </row>
    <row r="7299" spans="1:29">
      <c r="A7299" s="8" t="s">
        <v>1550</v>
      </c>
      <c r="B7299" s="17" t="s">
        <v>7758</v>
      </c>
      <c r="C7299" s="13">
        <v>37319</v>
      </c>
      <c r="D7299" s="13" t="s">
        <v>8465</v>
      </c>
      <c r="E7299" s="10" t="s">
        <v>76</v>
      </c>
      <c r="F7299" s="10" t="s">
        <v>76</v>
      </c>
      <c r="G7299" s="11" t="s">
        <v>1550</v>
      </c>
      <c r="H7299" s="2" t="s">
        <v>1061</v>
      </c>
      <c r="L7299" s="18">
        <v>0</v>
      </c>
      <c r="Q7299" s="18">
        <v>0</v>
      </c>
      <c r="U7299" s="22">
        <v>0.81</v>
      </c>
      <c r="V7299" s="22">
        <f>4.09/5</f>
        <v>0.81799999999999995</v>
      </c>
      <c r="X7299" s="3">
        <v>4</v>
      </c>
      <c r="Z7299" s="23">
        <v>7.5</v>
      </c>
      <c r="AB7299" s="18">
        <f t="shared" si="228"/>
        <v>2002</v>
      </c>
      <c r="AC7299" s="22">
        <f t="shared" si="229"/>
        <v>0.80933333333333335</v>
      </c>
    </row>
    <row r="7300" spans="1:29">
      <c r="A7300" s="8" t="s">
        <v>12415</v>
      </c>
      <c r="B7300" s="17" t="s">
        <v>7758</v>
      </c>
      <c r="C7300" s="13">
        <v>37319</v>
      </c>
      <c r="D7300" s="13" t="s">
        <v>8465</v>
      </c>
      <c r="E7300" s="10" t="s">
        <v>1870</v>
      </c>
      <c r="F7300" s="10" t="s">
        <v>1282</v>
      </c>
      <c r="H7300" s="2" t="s">
        <v>80</v>
      </c>
      <c r="L7300" s="18">
        <v>0</v>
      </c>
      <c r="Q7300" s="18">
        <v>0</v>
      </c>
      <c r="U7300" s="22">
        <v>0.69</v>
      </c>
      <c r="V7300" s="22">
        <f>3.05/5</f>
        <v>0.61</v>
      </c>
      <c r="X7300" s="3">
        <v>2</v>
      </c>
      <c r="Z7300" s="23">
        <v>12.5</v>
      </c>
      <c r="AB7300" s="18">
        <f t="shared" si="228"/>
        <v>2002</v>
      </c>
      <c r="AC7300" s="22">
        <f t="shared" si="229"/>
        <v>0.56666666666666654</v>
      </c>
    </row>
    <row r="7301" spans="1:29" ht="30">
      <c r="A7301" s="8" t="s">
        <v>7868</v>
      </c>
      <c r="B7301" s="17" t="s">
        <v>7758</v>
      </c>
      <c r="C7301" s="13">
        <v>37315</v>
      </c>
      <c r="D7301" s="13" t="s">
        <v>8465</v>
      </c>
      <c r="E7301" s="10" t="s">
        <v>154</v>
      </c>
      <c r="F7301" s="10" t="s">
        <v>4957</v>
      </c>
      <c r="G7301" s="11" t="s">
        <v>4956</v>
      </c>
      <c r="H7301" s="2" t="s">
        <v>80</v>
      </c>
      <c r="L7301" s="18">
        <v>0</v>
      </c>
      <c r="Q7301" s="18">
        <v>0</v>
      </c>
      <c r="U7301" s="22">
        <v>0.68710000000000004</v>
      </c>
      <c r="V7301" s="22">
        <f>2.98/5</f>
        <v>0.59599999999999997</v>
      </c>
      <c r="X7301" s="3">
        <v>2</v>
      </c>
      <c r="Z7301" s="23">
        <v>9</v>
      </c>
      <c r="AB7301" s="18">
        <f t="shared" si="228"/>
        <v>2002</v>
      </c>
      <c r="AC7301" s="22">
        <f t="shared" si="229"/>
        <v>0.56103333333333338</v>
      </c>
    </row>
    <row r="7302" spans="1:29" ht="25.5">
      <c r="A7302" s="8" t="s">
        <v>6546</v>
      </c>
      <c r="B7302" s="17" t="s">
        <v>7800</v>
      </c>
      <c r="C7302" s="13">
        <v>37314</v>
      </c>
      <c r="D7302" s="13" t="s">
        <v>8465</v>
      </c>
      <c r="E7302" s="10" t="s">
        <v>5010</v>
      </c>
      <c r="F7302" s="10" t="s">
        <v>2654</v>
      </c>
      <c r="G7302" s="11" t="s">
        <v>3043</v>
      </c>
      <c r="H7302" s="2" t="s">
        <v>1050</v>
      </c>
      <c r="L7302" s="18">
        <v>1</v>
      </c>
      <c r="N7302" s="13">
        <v>41627</v>
      </c>
      <c r="O7302" s="29">
        <v>0.33</v>
      </c>
      <c r="P7302" s="18" t="s">
        <v>1107</v>
      </c>
      <c r="Q7302" s="18">
        <v>0</v>
      </c>
      <c r="U7302" s="22">
        <v>0.75</v>
      </c>
      <c r="V7302" s="22">
        <f>3.52/5</f>
        <v>0.70399999999999996</v>
      </c>
      <c r="W7302" s="14" t="s">
        <v>7796</v>
      </c>
      <c r="X7302" s="3">
        <v>3</v>
      </c>
      <c r="Z7302" s="23">
        <v>9.5</v>
      </c>
      <c r="AB7302" s="18">
        <f t="shared" si="228"/>
        <v>2002</v>
      </c>
      <c r="AC7302" s="22">
        <f t="shared" si="229"/>
        <v>0.68466666666666665</v>
      </c>
    </row>
    <row r="7303" spans="1:29">
      <c r="A7303" s="8" t="s">
        <v>12438</v>
      </c>
      <c r="B7303" s="17" t="s">
        <v>7758</v>
      </c>
      <c r="C7303" s="13">
        <v>37313</v>
      </c>
      <c r="D7303" s="13" t="s">
        <v>8465</v>
      </c>
      <c r="E7303" s="10" t="s">
        <v>1870</v>
      </c>
      <c r="F7303" s="10" t="s">
        <v>7985</v>
      </c>
      <c r="H7303" s="2" t="s">
        <v>153</v>
      </c>
      <c r="L7303" s="18">
        <v>0</v>
      </c>
      <c r="Q7303" s="18">
        <v>0</v>
      </c>
      <c r="U7303" s="22">
        <v>0.56999999999999995</v>
      </c>
      <c r="V7303" s="22">
        <f>3.04/5</f>
        <v>0.60799999999999998</v>
      </c>
      <c r="X7303" s="3">
        <v>2</v>
      </c>
      <c r="Z7303" s="23">
        <v>5</v>
      </c>
      <c r="AB7303" s="18">
        <f t="shared" si="228"/>
        <v>2002</v>
      </c>
      <c r="AC7303" s="22">
        <f t="shared" si="229"/>
        <v>0.52599999999999991</v>
      </c>
    </row>
    <row r="7304" spans="1:29">
      <c r="A7304" s="8" t="s">
        <v>6300</v>
      </c>
      <c r="B7304" s="17" t="s">
        <v>7764</v>
      </c>
      <c r="C7304" s="13">
        <v>37312</v>
      </c>
      <c r="D7304" s="13" t="s">
        <v>8465</v>
      </c>
      <c r="E7304" s="10" t="s">
        <v>455</v>
      </c>
      <c r="F7304" s="10" t="s">
        <v>2772</v>
      </c>
      <c r="G7304" s="11" t="s">
        <v>2757</v>
      </c>
      <c r="H7304" s="2" t="s">
        <v>143</v>
      </c>
      <c r="L7304" s="18">
        <v>0</v>
      </c>
      <c r="Q7304" s="18">
        <v>0</v>
      </c>
      <c r="U7304" s="22">
        <v>0.86</v>
      </c>
      <c r="V7304" s="22">
        <f>4.25/5</f>
        <v>0.85</v>
      </c>
      <c r="X7304" s="3">
        <v>4</v>
      </c>
      <c r="Y7304" s="18">
        <v>1</v>
      </c>
      <c r="Z7304" s="23">
        <v>12</v>
      </c>
      <c r="AB7304" s="18">
        <f t="shared" si="228"/>
        <v>2002</v>
      </c>
      <c r="AC7304" s="22">
        <f t="shared" si="229"/>
        <v>0.83666666666666656</v>
      </c>
    </row>
    <row r="7305" spans="1:29">
      <c r="A7305" s="8" t="s">
        <v>13045</v>
      </c>
      <c r="B7305" s="17" t="s">
        <v>7758</v>
      </c>
      <c r="C7305" s="13">
        <v>37307</v>
      </c>
      <c r="D7305" s="13" t="s">
        <v>8463</v>
      </c>
      <c r="E7305" s="10" t="s">
        <v>1468</v>
      </c>
      <c r="F7305" s="10" t="s">
        <v>249</v>
      </c>
      <c r="H7305" s="2" t="s">
        <v>1334</v>
      </c>
      <c r="K7305" s="18">
        <v>0</v>
      </c>
      <c r="L7305" s="18">
        <v>0</v>
      </c>
      <c r="Q7305" s="18">
        <v>0</v>
      </c>
      <c r="V7305" s="22">
        <f>3.55/5</f>
        <v>0.71</v>
      </c>
      <c r="X7305" s="3">
        <v>2</v>
      </c>
      <c r="AB7305" s="18">
        <f t="shared" si="228"/>
        <v>2002</v>
      </c>
      <c r="AC7305" s="22">
        <f t="shared" si="229"/>
        <v>0.55499999999999994</v>
      </c>
    </row>
    <row r="7306" spans="1:29">
      <c r="A7306" s="8" t="s">
        <v>8138</v>
      </c>
      <c r="B7306" s="17" t="s">
        <v>7758</v>
      </c>
      <c r="C7306" s="13">
        <v>37305</v>
      </c>
      <c r="D7306" s="13" t="s">
        <v>8465</v>
      </c>
      <c r="E7306" s="10" t="s">
        <v>68</v>
      </c>
      <c r="F7306" s="10" t="s">
        <v>68</v>
      </c>
      <c r="G7306" s="11" t="s">
        <v>8138</v>
      </c>
      <c r="H7306" s="2" t="s">
        <v>1220</v>
      </c>
      <c r="L7306" s="18">
        <v>0</v>
      </c>
      <c r="Q7306" s="18">
        <v>0</v>
      </c>
      <c r="U7306" s="22">
        <v>0.81840000000000002</v>
      </c>
      <c r="V7306" s="22">
        <f>4.02/5</f>
        <v>0.80399999999999994</v>
      </c>
      <c r="X7306" s="3">
        <v>3</v>
      </c>
      <c r="Z7306" s="23">
        <v>5.5</v>
      </c>
      <c r="AB7306" s="18">
        <f t="shared" si="228"/>
        <v>2002</v>
      </c>
      <c r="AC7306" s="22">
        <f t="shared" si="229"/>
        <v>0.74080000000000001</v>
      </c>
    </row>
    <row r="7307" spans="1:29" ht="25.5">
      <c r="A7307" s="8" t="s">
        <v>7541</v>
      </c>
      <c r="B7307" s="17" t="s">
        <v>7758</v>
      </c>
      <c r="C7307" s="13">
        <v>37304</v>
      </c>
      <c r="D7307" s="13" t="s">
        <v>8465</v>
      </c>
      <c r="E7307" s="10" t="s">
        <v>231</v>
      </c>
      <c r="F7307" s="10" t="s">
        <v>2654</v>
      </c>
      <c r="H7307" s="2" t="s">
        <v>80</v>
      </c>
      <c r="L7307" s="18">
        <v>0</v>
      </c>
      <c r="Q7307" s="18">
        <v>0</v>
      </c>
      <c r="U7307" s="22">
        <v>0.71</v>
      </c>
      <c r="V7307" s="22">
        <f>3.6/5</f>
        <v>0.72</v>
      </c>
      <c r="X7307" s="3">
        <v>2</v>
      </c>
      <c r="Z7307" s="23">
        <v>6.5</v>
      </c>
      <c r="AB7307" s="18">
        <f t="shared" si="228"/>
        <v>2002</v>
      </c>
      <c r="AC7307" s="22">
        <f t="shared" si="229"/>
        <v>0.61</v>
      </c>
    </row>
    <row r="7308" spans="1:29" ht="30">
      <c r="A7308" s="8" t="s">
        <v>2046</v>
      </c>
      <c r="B7308" s="17" t="s">
        <v>7747</v>
      </c>
      <c r="C7308" s="13">
        <v>37299</v>
      </c>
      <c r="D7308" s="13" t="s">
        <v>8465</v>
      </c>
      <c r="E7308" s="10" t="s">
        <v>72</v>
      </c>
      <c r="F7308" s="10" t="s">
        <v>1979</v>
      </c>
      <c r="G7308" s="11" t="s">
        <v>1980</v>
      </c>
      <c r="H7308" s="2" t="s">
        <v>75</v>
      </c>
      <c r="L7308" s="18">
        <v>0</v>
      </c>
      <c r="Q7308" s="18">
        <v>0</v>
      </c>
      <c r="U7308" s="22">
        <v>0.7</v>
      </c>
      <c r="V7308" s="22">
        <f>4.08/5</f>
        <v>0.81600000000000006</v>
      </c>
      <c r="X7308" s="3">
        <v>3</v>
      </c>
      <c r="Z7308" s="23">
        <v>16.5</v>
      </c>
      <c r="AB7308" s="18">
        <f t="shared" si="228"/>
        <v>2002</v>
      </c>
      <c r="AC7308" s="22">
        <f t="shared" si="229"/>
        <v>0.70533333333333337</v>
      </c>
    </row>
    <row r="7309" spans="1:29">
      <c r="A7309" s="8" t="s">
        <v>14715</v>
      </c>
      <c r="B7309" s="17" t="s">
        <v>7758</v>
      </c>
      <c r="C7309" s="13">
        <v>37299</v>
      </c>
      <c r="D7309" s="13" t="s">
        <v>8465</v>
      </c>
      <c r="E7309" s="10" t="s">
        <v>1618</v>
      </c>
      <c r="F7309" s="10" t="s">
        <v>10687</v>
      </c>
      <c r="G7309" s="11" t="s">
        <v>14715</v>
      </c>
      <c r="H7309" s="2" t="s">
        <v>153</v>
      </c>
      <c r="L7309" s="18">
        <v>0</v>
      </c>
      <c r="Q7309" s="18">
        <v>0</v>
      </c>
      <c r="U7309" s="22">
        <v>0.71</v>
      </c>
      <c r="V7309" s="22">
        <f>2.85/5</f>
        <v>0.57000000000000006</v>
      </c>
      <c r="X7309" s="3">
        <v>2</v>
      </c>
      <c r="Z7309" s="23">
        <v>5</v>
      </c>
      <c r="AB7309" s="18">
        <f t="shared" si="228"/>
        <v>2002</v>
      </c>
      <c r="AC7309" s="22">
        <f t="shared" si="229"/>
        <v>0.56000000000000005</v>
      </c>
    </row>
    <row r="7310" spans="1:29" ht="25.5">
      <c r="A7310" s="8" t="s">
        <v>5758</v>
      </c>
      <c r="B7310" s="17" t="s">
        <v>7758</v>
      </c>
      <c r="C7310" s="13">
        <v>37298</v>
      </c>
      <c r="D7310" s="13" t="s">
        <v>8465</v>
      </c>
      <c r="E7310" s="10" t="s">
        <v>73</v>
      </c>
      <c r="F7310" s="10" t="s">
        <v>73</v>
      </c>
      <c r="G7310" s="11" t="s">
        <v>5871</v>
      </c>
      <c r="H7310" s="2" t="s">
        <v>80</v>
      </c>
      <c r="L7310" s="18">
        <v>0</v>
      </c>
      <c r="Q7310" s="18">
        <v>0</v>
      </c>
      <c r="U7310" s="22">
        <v>0.85</v>
      </c>
      <c r="V7310" s="22">
        <f>3.64/5</f>
        <v>0.72799999999999998</v>
      </c>
      <c r="X7310" s="3">
        <v>3</v>
      </c>
      <c r="Z7310" s="23">
        <v>8.5</v>
      </c>
      <c r="AB7310" s="18">
        <f t="shared" si="228"/>
        <v>2002</v>
      </c>
      <c r="AC7310" s="22">
        <f t="shared" si="229"/>
        <v>0.72599999999999998</v>
      </c>
    </row>
    <row r="7311" spans="1:29" ht="30">
      <c r="A7311" s="8" t="s">
        <v>11624</v>
      </c>
      <c r="B7311" s="17" t="s">
        <v>7747</v>
      </c>
      <c r="C7311" s="13">
        <v>37298</v>
      </c>
      <c r="D7311" s="13" t="s">
        <v>8465</v>
      </c>
      <c r="E7311" s="10" t="s">
        <v>1342</v>
      </c>
      <c r="F7311" s="10" t="s">
        <v>1492</v>
      </c>
      <c r="G7311" s="11" t="s">
        <v>1211</v>
      </c>
      <c r="H7311" s="2" t="s">
        <v>78</v>
      </c>
      <c r="L7311" s="18">
        <v>0</v>
      </c>
      <c r="Q7311" s="18">
        <v>0</v>
      </c>
      <c r="U7311" s="22">
        <v>0.84</v>
      </c>
      <c r="V7311" s="22">
        <f>3.59/5</f>
        <v>0.71799999999999997</v>
      </c>
      <c r="X7311" s="3">
        <v>2</v>
      </c>
      <c r="Z7311" s="23">
        <v>2</v>
      </c>
      <c r="AB7311" s="18">
        <f t="shared" si="228"/>
        <v>2002</v>
      </c>
      <c r="AC7311" s="22">
        <f t="shared" si="229"/>
        <v>0.65266666666666662</v>
      </c>
    </row>
    <row r="7312" spans="1:29" ht="30">
      <c r="A7312" s="8" t="s">
        <v>2068</v>
      </c>
      <c r="B7312" s="17" t="s">
        <v>7747</v>
      </c>
      <c r="C7312" s="13">
        <v>37296</v>
      </c>
      <c r="D7312" s="13" t="s">
        <v>8465</v>
      </c>
      <c r="E7312" s="10" t="s">
        <v>86</v>
      </c>
      <c r="F7312" s="10" t="s">
        <v>86</v>
      </c>
      <c r="G7312" s="11" t="s">
        <v>137</v>
      </c>
      <c r="H7312" s="2" t="s">
        <v>64</v>
      </c>
      <c r="L7312" s="18">
        <v>0</v>
      </c>
      <c r="Q7312" s="18">
        <v>0</v>
      </c>
      <c r="U7312" s="22">
        <v>0.92</v>
      </c>
      <c r="V7312" s="22">
        <f>4.3/5</f>
        <v>0.86</v>
      </c>
      <c r="X7312" s="3">
        <v>3</v>
      </c>
      <c r="Z7312" s="23">
        <v>5</v>
      </c>
      <c r="AB7312" s="18">
        <f t="shared" si="228"/>
        <v>2002</v>
      </c>
      <c r="AC7312" s="22">
        <f t="shared" si="229"/>
        <v>0.79333333333333333</v>
      </c>
    </row>
    <row r="7313" spans="1:29" ht="51">
      <c r="A7313" s="8" t="s">
        <v>13958</v>
      </c>
      <c r="B7313" s="17" t="s">
        <v>7755</v>
      </c>
      <c r="C7313" s="13">
        <v>37294</v>
      </c>
      <c r="D7313" s="13" t="s">
        <v>8463</v>
      </c>
      <c r="E7313" s="10" t="s">
        <v>455</v>
      </c>
      <c r="F7313" s="10" t="s">
        <v>1269</v>
      </c>
      <c r="G7313" s="11" t="s">
        <v>11001</v>
      </c>
      <c r="H7313" s="2" t="s">
        <v>1377</v>
      </c>
      <c r="K7313" s="18">
        <v>0</v>
      </c>
      <c r="L7313" s="18">
        <v>0</v>
      </c>
      <c r="Q7313" s="18">
        <v>0</v>
      </c>
      <c r="V7313" s="22">
        <f>3.27/5</f>
        <v>0.65400000000000003</v>
      </c>
      <c r="X7313" s="3">
        <v>2</v>
      </c>
      <c r="AB7313" s="18">
        <f t="shared" si="228"/>
        <v>2002</v>
      </c>
      <c r="AC7313" s="22">
        <f t="shared" si="229"/>
        <v>0.52700000000000002</v>
      </c>
    </row>
    <row r="7314" spans="1:29" ht="25.5">
      <c r="A7314" s="8" t="s">
        <v>4951</v>
      </c>
      <c r="B7314" s="17" t="s">
        <v>7800</v>
      </c>
      <c r="C7314" s="13">
        <v>37292</v>
      </c>
      <c r="D7314" s="13" t="s">
        <v>8465</v>
      </c>
      <c r="E7314" s="10" t="s">
        <v>3063</v>
      </c>
      <c r="F7314" s="10" t="s">
        <v>4942</v>
      </c>
      <c r="G7314" s="11" t="s">
        <v>4943</v>
      </c>
      <c r="H7314" s="2" t="s">
        <v>1050</v>
      </c>
      <c r="L7314" s="18">
        <v>1</v>
      </c>
      <c r="N7314" s="13">
        <v>41431</v>
      </c>
      <c r="P7314" s="18" t="s">
        <v>1107</v>
      </c>
      <c r="Q7314" s="18">
        <v>0</v>
      </c>
      <c r="U7314" s="22">
        <v>0.85</v>
      </c>
      <c r="V7314" s="22">
        <f>3.96/5</f>
        <v>0.79200000000000004</v>
      </c>
      <c r="W7314" s="14" t="s">
        <v>7777</v>
      </c>
      <c r="X7314" s="3">
        <v>3</v>
      </c>
      <c r="Z7314" s="23">
        <v>7.5</v>
      </c>
      <c r="AB7314" s="18">
        <f t="shared" si="228"/>
        <v>2002</v>
      </c>
      <c r="AC7314" s="22">
        <f t="shared" si="229"/>
        <v>0.74733333333333329</v>
      </c>
    </row>
    <row r="7315" spans="1:29" ht="30">
      <c r="A7315" s="8" t="s">
        <v>13214</v>
      </c>
      <c r="B7315" s="17" t="s">
        <v>7747</v>
      </c>
      <c r="C7315" s="13">
        <v>37291</v>
      </c>
      <c r="D7315" s="13" t="s">
        <v>8465</v>
      </c>
      <c r="E7315" s="10" t="s">
        <v>1342</v>
      </c>
      <c r="F7315" s="10" t="s">
        <v>2741</v>
      </c>
      <c r="G7315" s="11" t="s">
        <v>13215</v>
      </c>
      <c r="H7315" s="2" t="s">
        <v>78</v>
      </c>
      <c r="L7315" s="18">
        <v>0</v>
      </c>
      <c r="Q7315" s="18">
        <v>0</v>
      </c>
      <c r="U7315" s="22">
        <v>0.7</v>
      </c>
      <c r="V7315" s="22">
        <f>2.76/5</f>
        <v>0.55199999999999994</v>
      </c>
      <c r="X7315" s="3">
        <v>2</v>
      </c>
      <c r="Z7315" s="23">
        <v>2.5</v>
      </c>
      <c r="AB7315" s="18">
        <f t="shared" si="228"/>
        <v>2002</v>
      </c>
      <c r="AC7315" s="22">
        <f t="shared" si="229"/>
        <v>0.55066666666666653</v>
      </c>
    </row>
    <row r="7316" spans="1:29" ht="30">
      <c r="A7316" s="8" t="s">
        <v>2065</v>
      </c>
      <c r="B7316" s="17" t="s">
        <v>7747</v>
      </c>
      <c r="C7316" s="13">
        <v>37290</v>
      </c>
      <c r="D7316" s="13" t="s">
        <v>8465</v>
      </c>
      <c r="E7316" s="10" t="s">
        <v>1342</v>
      </c>
      <c r="F7316" s="10" t="s">
        <v>1492</v>
      </c>
      <c r="G7316" s="11" t="s">
        <v>1688</v>
      </c>
      <c r="H7316" s="2" t="s">
        <v>64</v>
      </c>
      <c r="L7316" s="18">
        <v>0</v>
      </c>
      <c r="Q7316" s="18">
        <v>0</v>
      </c>
      <c r="U7316" s="22">
        <v>0.83</v>
      </c>
      <c r="V7316" s="22">
        <f>3.73/5</f>
        <v>0.746</v>
      </c>
      <c r="X7316" s="3">
        <v>4</v>
      </c>
      <c r="Z7316" s="23">
        <v>2</v>
      </c>
      <c r="AB7316" s="18">
        <f t="shared" si="228"/>
        <v>2002</v>
      </c>
      <c r="AC7316" s="22">
        <f t="shared" si="229"/>
        <v>0.79200000000000015</v>
      </c>
    </row>
    <row r="7317" spans="1:29">
      <c r="A7317" s="8" t="s">
        <v>14382</v>
      </c>
      <c r="B7317" s="17" t="s">
        <v>14376</v>
      </c>
      <c r="C7317" s="12">
        <v>37288</v>
      </c>
      <c r="D7317" s="13" t="s">
        <v>10067</v>
      </c>
      <c r="E7317" s="10" t="s">
        <v>14380</v>
      </c>
      <c r="F7317" s="10" t="s">
        <v>14383</v>
      </c>
      <c r="H7317" s="2" t="s">
        <v>64</v>
      </c>
      <c r="K7317" s="18">
        <v>0</v>
      </c>
      <c r="L7317" s="18">
        <v>0</v>
      </c>
      <c r="Q7317" s="18">
        <v>0</v>
      </c>
      <c r="X7317" s="3">
        <v>2</v>
      </c>
      <c r="AB7317" s="18">
        <f t="shared" si="228"/>
        <v>2002</v>
      </c>
      <c r="AC7317" s="22">
        <f t="shared" si="229"/>
        <v>0.4</v>
      </c>
    </row>
    <row r="7318" spans="1:29" ht="30">
      <c r="A7318" s="8" t="s">
        <v>9696</v>
      </c>
      <c r="B7318" s="17" t="s">
        <v>7758</v>
      </c>
      <c r="C7318" s="13">
        <v>37284</v>
      </c>
      <c r="D7318" s="13" t="s">
        <v>8465</v>
      </c>
      <c r="E7318" s="10" t="s">
        <v>2908</v>
      </c>
      <c r="F7318" s="10" t="s">
        <v>5877</v>
      </c>
      <c r="G7318" s="11" t="s">
        <v>9695</v>
      </c>
      <c r="H7318" s="2" t="s">
        <v>80</v>
      </c>
      <c r="L7318" s="18">
        <v>0</v>
      </c>
      <c r="Q7318" s="18">
        <v>0</v>
      </c>
      <c r="U7318" s="22">
        <v>0.78</v>
      </c>
      <c r="V7318" s="22">
        <f>3.69/5</f>
        <v>0.73799999999999999</v>
      </c>
      <c r="X7318" s="3">
        <v>2</v>
      </c>
      <c r="Z7318" s="23">
        <v>17.5</v>
      </c>
      <c r="AB7318" s="18">
        <f t="shared" si="228"/>
        <v>2002</v>
      </c>
      <c r="AC7318" s="22">
        <f t="shared" si="229"/>
        <v>0.63933333333333342</v>
      </c>
    </row>
    <row r="7319" spans="1:29" ht="30">
      <c r="A7319" s="8" t="s">
        <v>2073</v>
      </c>
      <c r="B7319" s="17" t="s">
        <v>7747</v>
      </c>
      <c r="C7319" s="13">
        <v>37281</v>
      </c>
      <c r="D7319" s="13" t="s">
        <v>8463</v>
      </c>
      <c r="E7319" s="10" t="s">
        <v>86</v>
      </c>
      <c r="F7319" s="10" t="s">
        <v>1892</v>
      </c>
      <c r="H7319" s="2" t="s">
        <v>149</v>
      </c>
      <c r="K7319" s="18">
        <v>2</v>
      </c>
      <c r="L7319" s="18">
        <v>0</v>
      </c>
      <c r="Q7319" s="18">
        <v>0</v>
      </c>
      <c r="V7319" s="22">
        <f>4.1/5</f>
        <v>0.82</v>
      </c>
      <c r="X7319" s="3">
        <v>4</v>
      </c>
      <c r="Z7319" s="23">
        <v>11.5</v>
      </c>
      <c r="AB7319" s="18">
        <f t="shared" si="228"/>
        <v>2002</v>
      </c>
      <c r="AC7319" s="22">
        <f t="shared" si="229"/>
        <v>0.81</v>
      </c>
    </row>
    <row r="7320" spans="1:29" ht="25.5">
      <c r="A7320" s="8" t="s">
        <v>6553</v>
      </c>
      <c r="B7320" s="17" t="s">
        <v>7800</v>
      </c>
      <c r="C7320" s="13">
        <v>37278</v>
      </c>
      <c r="D7320" s="13" t="s">
        <v>8465</v>
      </c>
      <c r="E7320" s="10" t="s">
        <v>231</v>
      </c>
      <c r="F7320" s="10" t="s">
        <v>6554</v>
      </c>
      <c r="G7320" s="11" t="s">
        <v>2944</v>
      </c>
      <c r="H7320" s="2" t="s">
        <v>1050</v>
      </c>
      <c r="L7320" s="18">
        <v>1</v>
      </c>
      <c r="P7320" s="18" t="s">
        <v>1107</v>
      </c>
      <c r="Q7320" s="18">
        <v>0</v>
      </c>
      <c r="U7320" s="22">
        <v>0.91</v>
      </c>
      <c r="V7320" s="22">
        <f>3.9/5</f>
        <v>0.78</v>
      </c>
      <c r="W7320" s="14" t="s">
        <v>7796</v>
      </c>
      <c r="X7320" s="3">
        <v>3</v>
      </c>
      <c r="Z7320" s="23">
        <v>9.5</v>
      </c>
      <c r="AB7320" s="18">
        <f t="shared" si="228"/>
        <v>2002</v>
      </c>
      <c r="AC7320" s="22">
        <f t="shared" si="229"/>
        <v>0.76333333333333331</v>
      </c>
    </row>
    <row r="7321" spans="1:29">
      <c r="A7321" s="8" t="s">
        <v>12619</v>
      </c>
      <c r="B7321" s="17" t="s">
        <v>7800</v>
      </c>
      <c r="C7321" s="13">
        <v>37278</v>
      </c>
      <c r="D7321" s="13" t="s">
        <v>8465</v>
      </c>
      <c r="E7321" s="10" t="s">
        <v>1284</v>
      </c>
      <c r="F7321" s="10" t="s">
        <v>12620</v>
      </c>
      <c r="G7321" s="11" t="s">
        <v>1481</v>
      </c>
      <c r="H7321" s="2" t="s">
        <v>7594</v>
      </c>
      <c r="L7321" s="18">
        <v>1</v>
      </c>
      <c r="P7321" s="18" t="s">
        <v>1107</v>
      </c>
      <c r="Q7321" s="18">
        <v>0</v>
      </c>
      <c r="U7321" s="22">
        <v>0.71</v>
      </c>
      <c r="V7321" s="22">
        <f>3.02/5</f>
        <v>0.60399999999999998</v>
      </c>
      <c r="W7321" s="14" t="s">
        <v>7777</v>
      </c>
      <c r="X7321" s="3">
        <v>3</v>
      </c>
      <c r="Z7321" s="23">
        <v>4.5</v>
      </c>
      <c r="AB7321" s="18">
        <f t="shared" si="228"/>
        <v>2002</v>
      </c>
      <c r="AC7321" s="22">
        <f t="shared" si="229"/>
        <v>0.63800000000000001</v>
      </c>
    </row>
    <row r="7322" spans="1:29">
      <c r="A7322" s="8" t="s">
        <v>7662</v>
      </c>
      <c r="B7322" s="17" t="s">
        <v>7758</v>
      </c>
      <c r="C7322" s="13">
        <v>37278</v>
      </c>
      <c r="D7322" s="13" t="s">
        <v>8465</v>
      </c>
      <c r="E7322" s="10" t="s">
        <v>3017</v>
      </c>
      <c r="F7322" s="10" t="s">
        <v>1580</v>
      </c>
      <c r="G7322" s="11" t="s">
        <v>7658</v>
      </c>
      <c r="H7322" s="2" t="s">
        <v>171</v>
      </c>
      <c r="L7322" s="18">
        <v>0</v>
      </c>
      <c r="Q7322" s="18">
        <v>0</v>
      </c>
      <c r="U7322" s="22">
        <v>0.66</v>
      </c>
      <c r="V7322" s="22">
        <f>2.99/5</f>
        <v>0.59800000000000009</v>
      </c>
      <c r="X7322" s="3">
        <v>3</v>
      </c>
      <c r="Z7322" s="23">
        <v>8.5</v>
      </c>
      <c r="AB7322" s="18">
        <f t="shared" si="228"/>
        <v>2002</v>
      </c>
      <c r="AC7322" s="22">
        <f t="shared" si="229"/>
        <v>0.6193333333333334</v>
      </c>
    </row>
    <row r="7323" spans="1:29" ht="25.5">
      <c r="A7323" s="8" t="s">
        <v>14726</v>
      </c>
      <c r="B7323" s="17" t="s">
        <v>7758</v>
      </c>
      <c r="C7323" s="13">
        <v>37277</v>
      </c>
      <c r="D7323" s="13" t="s">
        <v>8465</v>
      </c>
      <c r="E7323" s="10" t="s">
        <v>1195</v>
      </c>
      <c r="F7323" s="10" t="s">
        <v>1195</v>
      </c>
      <c r="H7323" s="2" t="s">
        <v>80</v>
      </c>
      <c r="L7323" s="18">
        <v>0</v>
      </c>
      <c r="Q7323" s="18">
        <v>0</v>
      </c>
      <c r="U7323" s="22">
        <v>0.27</v>
      </c>
      <c r="V7323" s="22">
        <f>1.84/5</f>
        <v>0.36799999999999999</v>
      </c>
      <c r="X7323" s="3">
        <v>2</v>
      </c>
      <c r="AB7323" s="18">
        <f t="shared" si="228"/>
        <v>2002</v>
      </c>
      <c r="AC7323" s="22">
        <f t="shared" si="229"/>
        <v>0.34600000000000003</v>
      </c>
    </row>
    <row r="7324" spans="1:29" ht="30">
      <c r="A7324" s="8" t="s">
        <v>13216</v>
      </c>
      <c r="B7324" s="17" t="s">
        <v>7747</v>
      </c>
      <c r="C7324" s="13">
        <v>37274</v>
      </c>
      <c r="D7324" s="13" t="s">
        <v>8465</v>
      </c>
      <c r="E7324" s="10" t="s">
        <v>1551</v>
      </c>
      <c r="F7324" s="10" t="s">
        <v>11554</v>
      </c>
      <c r="H7324" s="2" t="s">
        <v>1050</v>
      </c>
      <c r="L7324" s="18">
        <v>0</v>
      </c>
      <c r="Q7324" s="18">
        <v>0</v>
      </c>
      <c r="U7324" s="22">
        <v>0.65</v>
      </c>
      <c r="V7324" s="22">
        <f>2.53/5</f>
        <v>0.50600000000000001</v>
      </c>
      <c r="X7324" s="3">
        <v>2</v>
      </c>
      <c r="Z7324" s="23">
        <v>2</v>
      </c>
      <c r="AB7324" s="18">
        <f t="shared" si="228"/>
        <v>2002</v>
      </c>
      <c r="AC7324" s="22">
        <f t="shared" si="229"/>
        <v>0.51866666666666672</v>
      </c>
    </row>
    <row r="7325" spans="1:29" ht="25.5">
      <c r="A7325" s="8" t="s">
        <v>11594</v>
      </c>
      <c r="B7325" s="17" t="s">
        <v>7758</v>
      </c>
      <c r="C7325" s="13">
        <v>37271</v>
      </c>
      <c r="D7325" s="13" t="s">
        <v>8465</v>
      </c>
      <c r="E7325" s="10" t="s">
        <v>157</v>
      </c>
      <c r="F7325" s="10" t="s">
        <v>1366</v>
      </c>
      <c r="G7325" s="11" t="s">
        <v>1395</v>
      </c>
      <c r="H7325" s="2" t="s">
        <v>1204</v>
      </c>
      <c r="L7325" s="18">
        <v>0</v>
      </c>
      <c r="Q7325" s="18">
        <v>0</v>
      </c>
      <c r="U7325" s="22">
        <v>0.71</v>
      </c>
      <c r="V7325" s="22">
        <f>3.8/5</f>
        <v>0.76</v>
      </c>
      <c r="X7325" s="3">
        <v>2</v>
      </c>
      <c r="Z7325" s="23">
        <v>5</v>
      </c>
      <c r="AB7325" s="18">
        <f t="shared" si="228"/>
        <v>2002</v>
      </c>
      <c r="AC7325" s="22">
        <f t="shared" si="229"/>
        <v>0.62333333333333341</v>
      </c>
    </row>
    <row r="7326" spans="1:29">
      <c r="A7326" s="8" t="s">
        <v>5766</v>
      </c>
      <c r="B7326" s="17" t="s">
        <v>7758</v>
      </c>
      <c r="C7326" s="13">
        <v>37263</v>
      </c>
      <c r="D7326" s="13" t="s">
        <v>8465</v>
      </c>
      <c r="E7326" s="10" t="s">
        <v>455</v>
      </c>
      <c r="F7326" s="10" t="s">
        <v>2771</v>
      </c>
      <c r="G7326" s="11" t="s">
        <v>5766</v>
      </c>
      <c r="H7326" s="2" t="s">
        <v>1170</v>
      </c>
      <c r="L7326" s="18">
        <v>0</v>
      </c>
      <c r="Q7326" s="18">
        <v>0</v>
      </c>
      <c r="U7326" s="22">
        <v>0.82</v>
      </c>
      <c r="V7326" s="22">
        <f>4.12/5</f>
        <v>0.82400000000000007</v>
      </c>
      <c r="X7326" s="3">
        <v>3</v>
      </c>
      <c r="Z7326" s="23">
        <v>2</v>
      </c>
      <c r="AB7326" s="18">
        <f t="shared" si="228"/>
        <v>2002</v>
      </c>
      <c r="AC7326" s="22">
        <f t="shared" si="229"/>
        <v>0.74800000000000011</v>
      </c>
    </row>
    <row r="7327" spans="1:29" ht="30">
      <c r="A7327" s="8" t="s">
        <v>6631</v>
      </c>
      <c r="B7327" s="17" t="s">
        <v>7740</v>
      </c>
      <c r="C7327" s="13">
        <v>37263</v>
      </c>
      <c r="D7327" s="13" t="s">
        <v>8465</v>
      </c>
      <c r="E7327" s="10" t="s">
        <v>231</v>
      </c>
      <c r="F7327" s="10" t="s">
        <v>6632</v>
      </c>
      <c r="H7327" s="2" t="s">
        <v>1204</v>
      </c>
      <c r="L7327" s="18">
        <v>0</v>
      </c>
      <c r="Q7327" s="18">
        <v>0</v>
      </c>
      <c r="U7327" s="22">
        <v>0.64</v>
      </c>
      <c r="V7327" s="22">
        <f>3.62/5</f>
        <v>0.72399999999999998</v>
      </c>
      <c r="X7327" s="3">
        <v>3</v>
      </c>
      <c r="Z7327" s="23">
        <v>3.5</v>
      </c>
      <c r="AB7327" s="18">
        <f t="shared" si="228"/>
        <v>2002</v>
      </c>
      <c r="AC7327" s="22">
        <f t="shared" si="229"/>
        <v>0.65466666666666662</v>
      </c>
    </row>
    <row r="7328" spans="1:29">
      <c r="A7328" s="8" t="s">
        <v>14379</v>
      </c>
      <c r="B7328" s="17" t="s">
        <v>14376</v>
      </c>
      <c r="C7328" s="24">
        <v>37257</v>
      </c>
      <c r="D7328" s="13" t="s">
        <v>10067</v>
      </c>
      <c r="E7328" s="10" t="s">
        <v>14380</v>
      </c>
      <c r="F7328" s="10" t="s">
        <v>14381</v>
      </c>
      <c r="H7328" s="2" t="s">
        <v>171</v>
      </c>
      <c r="K7328" s="18">
        <v>2</v>
      </c>
      <c r="L7328" s="18">
        <v>0</v>
      </c>
      <c r="Q7328" s="18">
        <v>0</v>
      </c>
      <c r="V7328" s="22">
        <f>4/5</f>
        <v>0.8</v>
      </c>
      <c r="X7328" s="3">
        <v>2</v>
      </c>
      <c r="AB7328" s="18">
        <f t="shared" si="228"/>
        <v>2002</v>
      </c>
      <c r="AC7328" s="22">
        <f t="shared" si="229"/>
        <v>0.60000000000000009</v>
      </c>
    </row>
    <row r="7329" spans="1:29">
      <c r="A7329" s="8" t="s">
        <v>13166</v>
      </c>
      <c r="B7329" s="17" t="s">
        <v>7758</v>
      </c>
      <c r="C7329" s="24">
        <v>37257</v>
      </c>
      <c r="D7329" s="13" t="s">
        <v>8467</v>
      </c>
      <c r="E7329" s="10" t="s">
        <v>72</v>
      </c>
      <c r="F7329" s="10" t="s">
        <v>8379</v>
      </c>
      <c r="G7329" s="11" t="s">
        <v>7674</v>
      </c>
      <c r="H7329" s="2" t="s">
        <v>150</v>
      </c>
      <c r="L7329" s="18">
        <v>0</v>
      </c>
      <c r="Q7329" s="18">
        <v>0</v>
      </c>
      <c r="V7329" s="22">
        <f>3.61/5</f>
        <v>0.72199999999999998</v>
      </c>
      <c r="X7329" s="3">
        <v>2</v>
      </c>
      <c r="Z7329" s="23">
        <v>9</v>
      </c>
      <c r="AB7329" s="18">
        <f t="shared" si="228"/>
        <v>2002</v>
      </c>
      <c r="AC7329" s="22">
        <f t="shared" si="229"/>
        <v>0.56099999999999994</v>
      </c>
    </row>
    <row r="7330" spans="1:29">
      <c r="A7330" s="8" t="s">
        <v>13919</v>
      </c>
      <c r="B7330" s="17" t="s">
        <v>13887</v>
      </c>
      <c r="C7330" s="13">
        <v>37257</v>
      </c>
      <c r="D7330" s="13" t="s">
        <v>8465</v>
      </c>
      <c r="E7330" s="10" t="s">
        <v>13917</v>
      </c>
      <c r="F7330" s="10" t="s">
        <v>13917</v>
      </c>
      <c r="G7330" s="11" t="s">
        <v>13918</v>
      </c>
      <c r="H7330" s="2" t="s">
        <v>1168</v>
      </c>
      <c r="L7330" s="18">
        <v>0</v>
      </c>
      <c r="Q7330" s="18">
        <v>0</v>
      </c>
      <c r="V7330" s="22">
        <f>3.4/5</f>
        <v>0.67999999999999994</v>
      </c>
      <c r="X7330" s="3">
        <v>2</v>
      </c>
      <c r="AB7330" s="18">
        <f t="shared" si="228"/>
        <v>2002</v>
      </c>
      <c r="AC7330" s="22">
        <f t="shared" si="229"/>
        <v>0.54</v>
      </c>
    </row>
    <row r="7331" spans="1:29">
      <c r="A7331" s="8" t="s">
        <v>9653</v>
      </c>
      <c r="B7331" s="17" t="s">
        <v>7800</v>
      </c>
      <c r="C7331" s="12">
        <v>37257</v>
      </c>
      <c r="D7331" s="13" t="s">
        <v>8465</v>
      </c>
      <c r="E7331" s="10" t="s">
        <v>9654</v>
      </c>
      <c r="F7331" s="10" t="s">
        <v>9655</v>
      </c>
      <c r="H7331" s="2" t="s">
        <v>3937</v>
      </c>
      <c r="L7331" s="18">
        <v>0</v>
      </c>
      <c r="Q7331" s="18">
        <v>0</v>
      </c>
      <c r="U7331" s="22">
        <v>0.48</v>
      </c>
      <c r="V7331" s="22">
        <f>3.65/5</f>
        <v>0.73</v>
      </c>
      <c r="X7331" s="3">
        <v>2</v>
      </c>
      <c r="Z7331" s="23">
        <v>18</v>
      </c>
      <c r="AB7331" s="18">
        <f t="shared" si="228"/>
        <v>2002</v>
      </c>
      <c r="AC7331" s="22">
        <f t="shared" si="229"/>
        <v>0.53666666666666663</v>
      </c>
    </row>
    <row r="7332" spans="1:29" ht="30">
      <c r="A7332" s="8" t="s">
        <v>1924</v>
      </c>
      <c r="B7332" s="17" t="s">
        <v>7747</v>
      </c>
      <c r="C7332" s="13">
        <v>37603</v>
      </c>
      <c r="D7332" s="13" t="s">
        <v>8463</v>
      </c>
      <c r="E7332" s="10" t="s">
        <v>54</v>
      </c>
      <c r="F7332" s="10" t="s">
        <v>1895</v>
      </c>
      <c r="G7332" s="11" t="s">
        <v>330</v>
      </c>
      <c r="H7332" s="2" t="s">
        <v>21</v>
      </c>
      <c r="K7332" s="18">
        <v>0</v>
      </c>
      <c r="L7332" s="18">
        <v>0</v>
      </c>
      <c r="Q7332" s="18">
        <v>1</v>
      </c>
      <c r="T7332" s="22">
        <v>0.6</v>
      </c>
      <c r="V7332" s="22">
        <f>3.38/5</f>
        <v>0.67599999999999993</v>
      </c>
      <c r="AB7332" s="18">
        <f t="shared" si="228"/>
        <v>2002</v>
      </c>
      <c r="AC7332" s="22">
        <f t="shared" si="229"/>
        <v>0.6379999999999999</v>
      </c>
    </row>
    <row r="7333" spans="1:29" ht="38.25">
      <c r="A7333" s="8" t="s">
        <v>1934</v>
      </c>
      <c r="B7333" s="17" t="s">
        <v>7747</v>
      </c>
      <c r="C7333" s="13">
        <v>37592</v>
      </c>
      <c r="D7333" s="13" t="s">
        <v>8465</v>
      </c>
      <c r="E7333" s="10" t="s">
        <v>86</v>
      </c>
      <c r="F7333" s="10" t="s">
        <v>87</v>
      </c>
      <c r="G7333" s="11" t="s">
        <v>85</v>
      </c>
      <c r="H7333" s="2" t="s">
        <v>80</v>
      </c>
      <c r="L7333" s="18">
        <v>1</v>
      </c>
      <c r="M7333" s="14" t="s">
        <v>10622</v>
      </c>
      <c r="N7333" s="13">
        <v>43327</v>
      </c>
      <c r="O7333" s="29">
        <v>12</v>
      </c>
      <c r="P7333" s="18" t="s">
        <v>14</v>
      </c>
      <c r="Q7333" s="18">
        <v>1</v>
      </c>
      <c r="T7333" s="22">
        <v>0.9</v>
      </c>
      <c r="U7333" s="22">
        <v>0.92</v>
      </c>
      <c r="V7333" s="22">
        <f>4.39/5</f>
        <v>0.87799999999999989</v>
      </c>
      <c r="AB7333" s="18">
        <f t="shared" si="228"/>
        <v>2002</v>
      </c>
      <c r="AC7333" s="22">
        <f t="shared" si="229"/>
        <v>0.89933333333333332</v>
      </c>
    </row>
    <row r="7334" spans="1:29" ht="30">
      <c r="A7334" s="8" t="s">
        <v>1932</v>
      </c>
      <c r="B7334" s="17" t="s">
        <v>7747</v>
      </c>
      <c r="C7334" s="13">
        <v>37592</v>
      </c>
      <c r="D7334" s="13" t="s">
        <v>8465</v>
      </c>
      <c r="E7334" s="10" t="s">
        <v>86</v>
      </c>
      <c r="F7334" s="10" t="s">
        <v>30</v>
      </c>
      <c r="G7334" s="11" t="s">
        <v>223</v>
      </c>
      <c r="H7334" s="2" t="s">
        <v>64</v>
      </c>
      <c r="L7334" s="18">
        <v>0</v>
      </c>
      <c r="Q7334" s="18">
        <v>1</v>
      </c>
      <c r="T7334" s="22">
        <v>0.7</v>
      </c>
      <c r="U7334" s="22">
        <v>0.8</v>
      </c>
      <c r="V7334" s="22">
        <f>4/5</f>
        <v>0.8</v>
      </c>
      <c r="AB7334" s="18">
        <f t="shared" si="228"/>
        <v>2002</v>
      </c>
      <c r="AC7334" s="22">
        <f t="shared" si="229"/>
        <v>0.76666666666666661</v>
      </c>
    </row>
    <row r="7335" spans="1:29" ht="30">
      <c r="A7335" s="8" t="s">
        <v>1907</v>
      </c>
      <c r="B7335" s="17" t="s">
        <v>7747</v>
      </c>
      <c r="C7335" s="13">
        <v>37577</v>
      </c>
      <c r="D7335" s="13" t="s">
        <v>8465</v>
      </c>
      <c r="E7335" s="10" t="s">
        <v>86</v>
      </c>
      <c r="F7335" s="10" t="s">
        <v>142</v>
      </c>
      <c r="G7335" s="11" t="s">
        <v>109</v>
      </c>
      <c r="H7335" s="2" t="s">
        <v>151</v>
      </c>
      <c r="L7335" s="18">
        <v>0</v>
      </c>
      <c r="Q7335" s="18">
        <v>1</v>
      </c>
      <c r="T7335" s="22">
        <v>0.8</v>
      </c>
      <c r="U7335" s="22">
        <v>0.91</v>
      </c>
      <c r="V7335" s="22">
        <f>4.22/5</f>
        <v>0.84399999999999997</v>
      </c>
      <c r="Y7335" s="18">
        <v>1</v>
      </c>
      <c r="AB7335" s="18">
        <f t="shared" si="228"/>
        <v>2002</v>
      </c>
      <c r="AC7335" s="22">
        <f t="shared" si="229"/>
        <v>0.85133333333333328</v>
      </c>
    </row>
    <row r="7336" spans="1:29" ht="30">
      <c r="A7336" s="8" t="s">
        <v>902</v>
      </c>
      <c r="B7336" s="17" t="s">
        <v>7740</v>
      </c>
      <c r="C7336" s="13">
        <v>37577</v>
      </c>
      <c r="D7336" s="13" t="s">
        <v>8465</v>
      </c>
      <c r="E7336" s="10" t="s">
        <v>86</v>
      </c>
      <c r="F7336" s="10" t="s">
        <v>1139</v>
      </c>
      <c r="G7336" s="11" t="s">
        <v>109</v>
      </c>
      <c r="H7336" s="2" t="s">
        <v>1050</v>
      </c>
      <c r="L7336" s="18">
        <v>0</v>
      </c>
      <c r="Q7336" s="18">
        <v>1</v>
      </c>
      <c r="T7336" s="22">
        <v>0.7</v>
      </c>
      <c r="U7336" s="22">
        <v>0.96</v>
      </c>
      <c r="V7336" s="22">
        <f>4.43/5</f>
        <v>0.8859999999999999</v>
      </c>
      <c r="Y7336" s="18">
        <v>1</v>
      </c>
      <c r="AB7336" s="18">
        <f t="shared" si="228"/>
        <v>2002</v>
      </c>
      <c r="AC7336" s="22">
        <f t="shared" si="229"/>
        <v>0.84866666666666657</v>
      </c>
    </row>
    <row r="7337" spans="1:29" ht="30">
      <c r="A7337" s="8" t="s">
        <v>1927</v>
      </c>
      <c r="B7337" s="17" t="s">
        <v>7747</v>
      </c>
      <c r="C7337" s="13">
        <v>37563</v>
      </c>
      <c r="D7337" s="13" t="s">
        <v>8465</v>
      </c>
      <c r="E7337" s="10" t="s">
        <v>72</v>
      </c>
      <c r="F7337" s="10" t="s">
        <v>72</v>
      </c>
      <c r="G7337" s="11" t="s">
        <v>97</v>
      </c>
      <c r="H7337" s="2" t="s">
        <v>147</v>
      </c>
      <c r="L7337" s="18">
        <v>0</v>
      </c>
      <c r="Q7337" s="18">
        <v>1</v>
      </c>
      <c r="T7337" s="22">
        <v>0.8</v>
      </c>
      <c r="U7337" s="22">
        <v>0.64</v>
      </c>
      <c r="V7337" s="22">
        <f>3.4/5</f>
        <v>0.67999999999999994</v>
      </c>
      <c r="AB7337" s="18">
        <f t="shared" si="228"/>
        <v>2002</v>
      </c>
      <c r="AC7337" s="22">
        <f t="shared" si="229"/>
        <v>0.70666666666666667</v>
      </c>
    </row>
    <row r="7338" spans="1:29" ht="30">
      <c r="A7338" s="8" t="s">
        <v>911</v>
      </c>
      <c r="B7338" s="17" t="s">
        <v>7740</v>
      </c>
      <c r="C7338" s="13">
        <v>37550</v>
      </c>
      <c r="D7338" s="13" t="s">
        <v>8465</v>
      </c>
      <c r="E7338" s="10" t="s">
        <v>86</v>
      </c>
      <c r="F7338" s="10" t="s">
        <v>62</v>
      </c>
      <c r="G7338" s="11" t="s">
        <v>860</v>
      </c>
      <c r="H7338" s="2" t="s">
        <v>1469</v>
      </c>
      <c r="L7338" s="18">
        <v>0</v>
      </c>
      <c r="Q7338" s="18">
        <v>1</v>
      </c>
      <c r="T7338" s="22">
        <v>0.7</v>
      </c>
      <c r="U7338" s="22">
        <v>0.73</v>
      </c>
      <c r="V7338" s="22">
        <f>3.63/5</f>
        <v>0.72599999999999998</v>
      </c>
      <c r="AB7338" s="18">
        <f t="shared" si="228"/>
        <v>2002</v>
      </c>
      <c r="AC7338" s="22">
        <f t="shared" si="229"/>
        <v>0.71866666666666656</v>
      </c>
    </row>
    <row r="7339" spans="1:29" ht="30">
      <c r="A7339" s="8" t="s">
        <v>916</v>
      </c>
      <c r="B7339" s="17" t="s">
        <v>7740</v>
      </c>
      <c r="C7339" s="13">
        <v>37537</v>
      </c>
      <c r="D7339" s="13" t="s">
        <v>8465</v>
      </c>
      <c r="E7339" s="10" t="s">
        <v>231</v>
      </c>
      <c r="F7339" s="10" t="s">
        <v>231</v>
      </c>
      <c r="G7339" s="11" t="s">
        <v>1510</v>
      </c>
      <c r="H7339" s="2" t="s">
        <v>255</v>
      </c>
      <c r="L7339" s="18">
        <v>0</v>
      </c>
      <c r="Q7339" s="18">
        <v>1</v>
      </c>
      <c r="T7339" s="22">
        <v>0.7</v>
      </c>
      <c r="U7339" s="22">
        <v>0.83</v>
      </c>
      <c r="V7339" s="22">
        <f>3.5/5</f>
        <v>0.7</v>
      </c>
      <c r="AB7339" s="18">
        <f t="shared" si="228"/>
        <v>2002</v>
      </c>
      <c r="AC7339" s="22">
        <f t="shared" si="229"/>
        <v>0.74333333333333318</v>
      </c>
    </row>
    <row r="7340" spans="1:29" ht="30">
      <c r="A7340" s="8" t="s">
        <v>1911</v>
      </c>
      <c r="B7340" s="17" t="s">
        <v>7747</v>
      </c>
      <c r="C7340" s="13">
        <v>37523</v>
      </c>
      <c r="D7340" s="13" t="s">
        <v>8465</v>
      </c>
      <c r="E7340" s="10" t="s">
        <v>86</v>
      </c>
      <c r="F7340" s="10" t="s">
        <v>87</v>
      </c>
      <c r="G7340" s="11" t="s">
        <v>1173</v>
      </c>
      <c r="H7340" s="2" t="s">
        <v>64</v>
      </c>
      <c r="L7340" s="18">
        <v>0</v>
      </c>
      <c r="Q7340" s="18">
        <v>1</v>
      </c>
      <c r="T7340" s="22">
        <v>0.9</v>
      </c>
      <c r="U7340" s="22">
        <v>0.9</v>
      </c>
      <c r="V7340" s="22">
        <f>4.22/5</f>
        <v>0.84399999999999997</v>
      </c>
      <c r="AB7340" s="18">
        <f t="shared" si="228"/>
        <v>2002</v>
      </c>
      <c r="AC7340" s="22">
        <f t="shared" si="229"/>
        <v>0.88133333333333341</v>
      </c>
    </row>
    <row r="7341" spans="1:29" ht="30">
      <c r="A7341" s="8" t="s">
        <v>905</v>
      </c>
      <c r="B7341" s="17" t="s">
        <v>7740</v>
      </c>
      <c r="C7341" s="13">
        <v>37522</v>
      </c>
      <c r="D7341" s="13" t="s">
        <v>8465</v>
      </c>
      <c r="E7341" s="10" t="s">
        <v>86</v>
      </c>
      <c r="F7341" s="10" t="s">
        <v>163</v>
      </c>
      <c r="G7341" s="11" t="s">
        <v>578</v>
      </c>
      <c r="H7341" s="2" t="s">
        <v>80</v>
      </c>
      <c r="L7341" s="18">
        <v>0</v>
      </c>
      <c r="Q7341" s="18">
        <v>1</v>
      </c>
      <c r="T7341" s="22">
        <v>0.9</v>
      </c>
      <c r="U7341" s="22">
        <v>0.81</v>
      </c>
      <c r="V7341" s="22">
        <f>3.64/5</f>
        <v>0.72799999999999998</v>
      </c>
      <c r="Y7341" s="18">
        <v>1</v>
      </c>
      <c r="AB7341" s="18">
        <f t="shared" si="228"/>
        <v>2002</v>
      </c>
      <c r="AC7341" s="22">
        <f t="shared" si="229"/>
        <v>0.81266666666666654</v>
      </c>
    </row>
    <row r="7342" spans="1:29" ht="30">
      <c r="A7342" s="8" t="s">
        <v>2079</v>
      </c>
      <c r="B7342" s="17" t="s">
        <v>7747</v>
      </c>
      <c r="C7342" s="13">
        <v>37515</v>
      </c>
      <c r="D7342" s="13" t="s">
        <v>8465</v>
      </c>
      <c r="E7342" s="10" t="s">
        <v>72</v>
      </c>
      <c r="F7342" s="10" t="s">
        <v>72</v>
      </c>
      <c r="G7342" s="11" t="s">
        <v>113</v>
      </c>
      <c r="H7342" s="2" t="s">
        <v>151</v>
      </c>
      <c r="L7342" s="18">
        <v>0</v>
      </c>
      <c r="Q7342" s="18">
        <v>1</v>
      </c>
      <c r="R7342" s="13">
        <v>44517</v>
      </c>
      <c r="S7342" s="21">
        <f>6+35/60+11/3600</f>
        <v>6.5863888888888882</v>
      </c>
      <c r="T7342" s="22">
        <v>0.8</v>
      </c>
      <c r="U7342" s="22">
        <v>0.85</v>
      </c>
      <c r="V7342" s="22">
        <f>3.91/5</f>
        <v>0.78200000000000003</v>
      </c>
      <c r="Y7342" s="18">
        <v>1</v>
      </c>
      <c r="AB7342" s="18">
        <f t="shared" si="228"/>
        <v>2002</v>
      </c>
      <c r="AC7342" s="22">
        <f t="shared" si="229"/>
        <v>0.81066666666666665</v>
      </c>
    </row>
    <row r="7343" spans="1:29" ht="30">
      <c r="A7343" s="8" t="s">
        <v>901</v>
      </c>
      <c r="B7343" s="17" t="s">
        <v>7740</v>
      </c>
      <c r="C7343" s="13">
        <v>37514</v>
      </c>
      <c r="D7343" s="13" t="s">
        <v>8465</v>
      </c>
      <c r="E7343" s="10" t="s">
        <v>86</v>
      </c>
      <c r="F7343" s="10" t="s">
        <v>87</v>
      </c>
      <c r="G7343" s="11" t="s">
        <v>901</v>
      </c>
      <c r="H7343" s="2" t="s">
        <v>1334</v>
      </c>
      <c r="L7343" s="18">
        <v>0</v>
      </c>
      <c r="Q7343" s="18">
        <v>1</v>
      </c>
      <c r="T7343" s="22">
        <v>0.9</v>
      </c>
      <c r="U7343" s="22">
        <v>0.86</v>
      </c>
      <c r="V7343" s="22">
        <f>4.12/5</f>
        <v>0.82400000000000007</v>
      </c>
      <c r="Y7343" s="18">
        <v>1</v>
      </c>
      <c r="AB7343" s="18">
        <f t="shared" si="228"/>
        <v>2002</v>
      </c>
      <c r="AC7343" s="22">
        <f t="shared" si="229"/>
        <v>0.8613333333333334</v>
      </c>
    </row>
    <row r="7344" spans="1:29" ht="30">
      <c r="A7344" s="8" t="s">
        <v>906</v>
      </c>
      <c r="B7344" s="17" t="s">
        <v>7740</v>
      </c>
      <c r="C7344" s="13">
        <v>37494</v>
      </c>
      <c r="D7344" s="13" t="s">
        <v>8465</v>
      </c>
      <c r="E7344" s="10" t="s">
        <v>86</v>
      </c>
      <c r="F7344" s="10" t="s">
        <v>87</v>
      </c>
      <c r="G7344" s="11" t="s">
        <v>137</v>
      </c>
      <c r="H7344" s="2" t="s">
        <v>1040</v>
      </c>
      <c r="L7344" s="18">
        <v>0</v>
      </c>
      <c r="Q7344" s="18">
        <v>1</v>
      </c>
      <c r="T7344" s="22">
        <v>0.9</v>
      </c>
      <c r="U7344" s="22">
        <v>0.92</v>
      </c>
      <c r="V7344" s="22">
        <f>4.07/5</f>
        <v>0.81400000000000006</v>
      </c>
      <c r="Y7344" s="18">
        <v>1</v>
      </c>
      <c r="AB7344" s="18">
        <f t="shared" si="228"/>
        <v>2002</v>
      </c>
      <c r="AC7344" s="22">
        <f t="shared" si="229"/>
        <v>0.87800000000000011</v>
      </c>
    </row>
    <row r="7345" spans="1:29" ht="30">
      <c r="A7345" s="8" t="s">
        <v>921</v>
      </c>
      <c r="B7345" s="17" t="s">
        <v>7740</v>
      </c>
      <c r="C7345" s="13">
        <v>37430</v>
      </c>
      <c r="D7345" s="13" t="s">
        <v>8465</v>
      </c>
      <c r="E7345" s="10" t="s">
        <v>86</v>
      </c>
      <c r="F7345" s="10" t="s">
        <v>1489</v>
      </c>
      <c r="H7345" s="2" t="s">
        <v>1061</v>
      </c>
      <c r="L7345" s="18">
        <v>0</v>
      </c>
      <c r="Q7345" s="18">
        <v>1</v>
      </c>
      <c r="T7345" s="22">
        <v>0.6</v>
      </c>
      <c r="U7345" s="22">
        <v>0.91</v>
      </c>
      <c r="V7345" s="22">
        <f>4.2/5</f>
        <v>0.84000000000000008</v>
      </c>
      <c r="Y7345" s="18">
        <v>1</v>
      </c>
      <c r="AB7345" s="18">
        <f t="shared" si="228"/>
        <v>2002</v>
      </c>
      <c r="AC7345" s="22">
        <f t="shared" si="229"/>
        <v>0.78333333333333333</v>
      </c>
    </row>
    <row r="7346" spans="1:29">
      <c r="A7346" s="8" t="s">
        <v>488</v>
      </c>
      <c r="B7346" s="17" t="s">
        <v>7731</v>
      </c>
      <c r="C7346" s="13">
        <v>37419</v>
      </c>
      <c r="D7346" s="13" t="s">
        <v>8465</v>
      </c>
      <c r="E7346" s="10" t="s">
        <v>170</v>
      </c>
      <c r="F7346" s="10" t="s">
        <v>564</v>
      </c>
      <c r="G7346" s="11" t="s">
        <v>450</v>
      </c>
      <c r="H7346" s="2" t="s">
        <v>147</v>
      </c>
      <c r="L7346" s="18">
        <v>0</v>
      </c>
      <c r="Q7346" s="18">
        <v>1</v>
      </c>
      <c r="T7346" s="22">
        <v>0.8</v>
      </c>
      <c r="V7346" s="22">
        <f>3.89/5</f>
        <v>0.77800000000000002</v>
      </c>
      <c r="AB7346" s="18">
        <f t="shared" si="228"/>
        <v>2002</v>
      </c>
      <c r="AC7346" s="22">
        <f t="shared" si="229"/>
        <v>0.78900000000000003</v>
      </c>
    </row>
    <row r="7347" spans="1:29" ht="30">
      <c r="A7347" s="8" t="s">
        <v>1929</v>
      </c>
      <c r="B7347" s="17" t="s">
        <v>7747</v>
      </c>
      <c r="C7347" s="13">
        <v>37315</v>
      </c>
      <c r="D7347" s="13" t="s">
        <v>8463</v>
      </c>
      <c r="E7347" s="10" t="s">
        <v>72</v>
      </c>
      <c r="F7347" s="10" t="s">
        <v>72</v>
      </c>
      <c r="G7347" s="11" t="s">
        <v>1242</v>
      </c>
      <c r="H7347" s="2" t="s">
        <v>64</v>
      </c>
      <c r="K7347" s="18">
        <v>0</v>
      </c>
      <c r="L7347" s="18">
        <v>0</v>
      </c>
      <c r="Q7347" s="18">
        <v>1</v>
      </c>
      <c r="T7347" s="22">
        <v>0.7</v>
      </c>
      <c r="U7347" s="22">
        <v>0.65</v>
      </c>
      <c r="V7347" s="22">
        <f>3.5/5</f>
        <v>0.7</v>
      </c>
      <c r="AB7347" s="18">
        <f t="shared" si="228"/>
        <v>2002</v>
      </c>
      <c r="AC7347" s="22">
        <f t="shared" si="229"/>
        <v>0.68333333333333324</v>
      </c>
    </row>
    <row r="7348" spans="1:29" ht="30">
      <c r="A7348" s="8" t="s">
        <v>1930</v>
      </c>
      <c r="B7348" s="17" t="s">
        <v>7747</v>
      </c>
      <c r="C7348" s="13">
        <v>37312</v>
      </c>
      <c r="D7348" s="13" t="s">
        <v>8465</v>
      </c>
      <c r="E7348" s="10" t="s">
        <v>1903</v>
      </c>
      <c r="F7348" s="10" t="s">
        <v>1511</v>
      </c>
      <c r="G7348" s="11" t="s">
        <v>1576</v>
      </c>
      <c r="H7348" s="2" t="s">
        <v>64</v>
      </c>
      <c r="L7348" s="18">
        <v>0</v>
      </c>
      <c r="Q7348" s="18">
        <v>1</v>
      </c>
      <c r="T7348" s="22">
        <v>0.7</v>
      </c>
      <c r="U7348" s="22">
        <v>0.78</v>
      </c>
      <c r="V7348" s="22">
        <f>3.5/5</f>
        <v>0.7</v>
      </c>
      <c r="AB7348" s="18">
        <f t="shared" si="228"/>
        <v>2002</v>
      </c>
      <c r="AC7348" s="22">
        <f t="shared" si="229"/>
        <v>0.72666666666666657</v>
      </c>
    </row>
    <row r="7349" spans="1:29" ht="25.5">
      <c r="A7349" s="8" t="s">
        <v>12732</v>
      </c>
      <c r="B7349" s="17" t="s">
        <v>7800</v>
      </c>
      <c r="C7349" s="13">
        <v>37253</v>
      </c>
      <c r="D7349" s="13" t="s">
        <v>10067</v>
      </c>
      <c r="E7349" s="10" t="s">
        <v>8442</v>
      </c>
      <c r="F7349" s="10" t="s">
        <v>8442</v>
      </c>
      <c r="G7349" s="11" t="s">
        <v>8443</v>
      </c>
      <c r="H7349" s="2" t="s">
        <v>149</v>
      </c>
      <c r="K7349" s="18">
        <v>2</v>
      </c>
      <c r="L7349" s="18">
        <v>0</v>
      </c>
      <c r="Q7349" s="18">
        <v>0</v>
      </c>
      <c r="V7349" s="22">
        <f>3.75/5</f>
        <v>0.75</v>
      </c>
      <c r="X7349" s="3">
        <v>2</v>
      </c>
      <c r="Z7349" s="23">
        <v>35</v>
      </c>
      <c r="AB7349" s="18">
        <f t="shared" si="228"/>
        <v>2001</v>
      </c>
      <c r="AC7349" s="22">
        <f t="shared" si="229"/>
        <v>0.57499999999999996</v>
      </c>
    </row>
    <row r="7350" spans="1:29" ht="25.5">
      <c r="A7350" s="8" t="s">
        <v>11078</v>
      </c>
      <c r="B7350" s="17" t="s">
        <v>7764</v>
      </c>
      <c r="C7350" s="13">
        <v>37251</v>
      </c>
      <c r="D7350" s="13" t="s">
        <v>8465</v>
      </c>
      <c r="E7350" s="10" t="s">
        <v>3740</v>
      </c>
      <c r="F7350" s="10" t="s">
        <v>11077</v>
      </c>
      <c r="G7350" s="11" t="s">
        <v>11076</v>
      </c>
      <c r="H7350" s="2" t="s">
        <v>80</v>
      </c>
      <c r="L7350" s="18">
        <v>0</v>
      </c>
      <c r="Q7350" s="18">
        <v>0</v>
      </c>
      <c r="U7350" s="22">
        <v>0.61</v>
      </c>
      <c r="V7350" s="22">
        <f>2.76/5</f>
        <v>0.55199999999999994</v>
      </c>
      <c r="X7350" s="3">
        <v>2</v>
      </c>
      <c r="Z7350" s="23">
        <v>30</v>
      </c>
      <c r="AB7350" s="18">
        <f t="shared" si="228"/>
        <v>2001</v>
      </c>
      <c r="AC7350" s="22">
        <f t="shared" si="229"/>
        <v>0.52066666666666661</v>
      </c>
    </row>
    <row r="7351" spans="1:29">
      <c r="A7351" s="8" t="s">
        <v>14659</v>
      </c>
      <c r="B7351" s="17" t="s">
        <v>7764</v>
      </c>
      <c r="C7351" s="13">
        <v>37250</v>
      </c>
      <c r="D7351" s="13" t="s">
        <v>8465</v>
      </c>
      <c r="E7351" s="10" t="s">
        <v>3740</v>
      </c>
      <c r="F7351" s="10" t="s">
        <v>6652</v>
      </c>
      <c r="H7351" s="2" t="s">
        <v>1204</v>
      </c>
      <c r="L7351" s="18">
        <v>0</v>
      </c>
      <c r="Q7351" s="18">
        <v>0</v>
      </c>
      <c r="U7351" s="22">
        <v>0.71</v>
      </c>
      <c r="V7351" s="22">
        <f>3.22/5</f>
        <v>0.64400000000000002</v>
      </c>
      <c r="X7351" s="3">
        <v>2</v>
      </c>
      <c r="Z7351" s="23">
        <v>6</v>
      </c>
      <c r="AB7351" s="18">
        <f t="shared" si="228"/>
        <v>2001</v>
      </c>
      <c r="AC7351" s="22">
        <f t="shared" si="229"/>
        <v>0.58466666666666667</v>
      </c>
    </row>
    <row r="7352" spans="1:29">
      <c r="A7352" s="8" t="s">
        <v>8390</v>
      </c>
      <c r="B7352" s="17" t="s">
        <v>7739</v>
      </c>
      <c r="C7352" s="13">
        <v>37245</v>
      </c>
      <c r="D7352" s="13" t="s">
        <v>8463</v>
      </c>
      <c r="E7352" s="10" t="s">
        <v>62</v>
      </c>
      <c r="F7352" s="10" t="s">
        <v>8379</v>
      </c>
      <c r="G7352" s="11" t="s">
        <v>7674</v>
      </c>
      <c r="H7352" s="2" t="s">
        <v>31</v>
      </c>
      <c r="K7352" s="18">
        <v>0</v>
      </c>
      <c r="L7352" s="18">
        <v>0</v>
      </c>
      <c r="Q7352" s="18">
        <v>0</v>
      </c>
      <c r="V7352" s="22">
        <f>3.79/5</f>
        <v>0.75800000000000001</v>
      </c>
      <c r="X7352" s="3">
        <v>2</v>
      </c>
      <c r="AB7352" s="18">
        <f t="shared" si="228"/>
        <v>2001</v>
      </c>
      <c r="AC7352" s="22">
        <f t="shared" si="229"/>
        <v>0.57899999999999996</v>
      </c>
    </row>
    <row r="7353" spans="1:29" ht="25.5">
      <c r="A7353" s="8" t="s">
        <v>8015</v>
      </c>
      <c r="B7353" s="17" t="s">
        <v>7757</v>
      </c>
      <c r="C7353" s="13">
        <v>37245</v>
      </c>
      <c r="D7353" s="13" t="s">
        <v>8463</v>
      </c>
      <c r="E7353" s="10" t="s">
        <v>72</v>
      </c>
      <c r="F7353" s="10" t="s">
        <v>72</v>
      </c>
      <c r="G7353" s="11" t="s">
        <v>302</v>
      </c>
      <c r="H7353" s="2" t="s">
        <v>80</v>
      </c>
      <c r="K7353" s="18">
        <v>0</v>
      </c>
      <c r="L7353" s="18">
        <v>0</v>
      </c>
      <c r="Q7353" s="18">
        <v>0</v>
      </c>
      <c r="V7353" s="22">
        <f>3.76/5</f>
        <v>0.752</v>
      </c>
      <c r="X7353" s="3">
        <v>2</v>
      </c>
      <c r="Z7353" s="23">
        <v>7</v>
      </c>
      <c r="AB7353" s="18">
        <f t="shared" si="228"/>
        <v>2001</v>
      </c>
      <c r="AC7353" s="22">
        <f t="shared" si="229"/>
        <v>0.57600000000000007</v>
      </c>
    </row>
    <row r="7354" spans="1:29" ht="25.5">
      <c r="A7354" s="8" t="s">
        <v>7802</v>
      </c>
      <c r="B7354" s="17" t="s">
        <v>7757</v>
      </c>
      <c r="C7354" s="13">
        <v>37245</v>
      </c>
      <c r="D7354" s="13" t="s">
        <v>8465</v>
      </c>
      <c r="E7354" s="10" t="s">
        <v>228</v>
      </c>
      <c r="F7354" s="10" t="s">
        <v>7803</v>
      </c>
      <c r="G7354" s="11" t="s">
        <v>7804</v>
      </c>
      <c r="H7354" s="2" t="s">
        <v>75</v>
      </c>
      <c r="L7354" s="18">
        <v>0</v>
      </c>
      <c r="Q7354" s="18">
        <v>0</v>
      </c>
      <c r="U7354" s="22">
        <v>0.63539999999999996</v>
      </c>
      <c r="V7354" s="22">
        <f>3.35/5</f>
        <v>0.67</v>
      </c>
      <c r="X7354" s="3">
        <v>2</v>
      </c>
      <c r="Z7354" s="23">
        <v>31.5</v>
      </c>
      <c r="AB7354" s="18">
        <f t="shared" si="228"/>
        <v>2001</v>
      </c>
      <c r="AC7354" s="22">
        <f t="shared" si="229"/>
        <v>0.56846666666666668</v>
      </c>
    </row>
    <row r="7355" spans="1:29" ht="25.5">
      <c r="A7355" s="8" t="s">
        <v>11886</v>
      </c>
      <c r="B7355" s="17" t="s">
        <v>7758</v>
      </c>
      <c r="C7355" s="13">
        <v>37244</v>
      </c>
      <c r="D7355" s="13" t="s">
        <v>8465</v>
      </c>
      <c r="E7355" s="10" t="s">
        <v>228</v>
      </c>
      <c r="F7355" s="10" t="s">
        <v>8379</v>
      </c>
      <c r="G7355" s="11" t="s">
        <v>5566</v>
      </c>
      <c r="H7355" s="2" t="s">
        <v>149</v>
      </c>
      <c r="L7355" s="18">
        <v>0</v>
      </c>
      <c r="Q7355" s="18">
        <v>0</v>
      </c>
      <c r="U7355" s="22">
        <v>0.7</v>
      </c>
      <c r="V7355" s="22">
        <f>3.81/5</f>
        <v>0.76200000000000001</v>
      </c>
      <c r="X7355" s="3">
        <v>2</v>
      </c>
      <c r="Z7355" s="23">
        <v>26</v>
      </c>
      <c r="AB7355" s="18">
        <f t="shared" si="228"/>
        <v>2001</v>
      </c>
      <c r="AC7355" s="22">
        <f t="shared" si="229"/>
        <v>0.6206666666666667</v>
      </c>
    </row>
    <row r="7356" spans="1:29">
      <c r="A7356" s="8" t="s">
        <v>5727</v>
      </c>
      <c r="B7356" s="17" t="s">
        <v>7758</v>
      </c>
      <c r="C7356" s="13">
        <v>37242</v>
      </c>
      <c r="D7356" s="13" t="s">
        <v>8465</v>
      </c>
      <c r="E7356" s="10" t="s">
        <v>1047</v>
      </c>
      <c r="F7356" s="10" t="s">
        <v>1355</v>
      </c>
      <c r="G7356" s="11" t="s">
        <v>3015</v>
      </c>
      <c r="H7356" s="2" t="s">
        <v>149</v>
      </c>
      <c r="L7356" s="18">
        <v>0</v>
      </c>
      <c r="Q7356" s="18">
        <v>0</v>
      </c>
      <c r="U7356" s="22">
        <v>0.75</v>
      </c>
      <c r="V7356" s="22">
        <f>3.71/5</f>
        <v>0.74199999999999999</v>
      </c>
      <c r="X7356" s="3">
        <v>3</v>
      </c>
      <c r="Z7356" s="23">
        <v>33.5</v>
      </c>
      <c r="AB7356" s="18">
        <f t="shared" si="228"/>
        <v>2001</v>
      </c>
      <c r="AC7356" s="22">
        <f t="shared" si="229"/>
        <v>0.69733333333333336</v>
      </c>
    </row>
    <row r="7357" spans="1:29">
      <c r="A7357" s="8" t="s">
        <v>5850</v>
      </c>
      <c r="B7357" s="17" t="s">
        <v>7758</v>
      </c>
      <c r="C7357" s="13">
        <v>37242</v>
      </c>
      <c r="D7357" s="13" t="s">
        <v>8465</v>
      </c>
      <c r="E7357" s="10" t="s">
        <v>161</v>
      </c>
      <c r="F7357" s="10" t="s">
        <v>161</v>
      </c>
      <c r="G7357" s="11" t="s">
        <v>126</v>
      </c>
      <c r="H7357" s="2" t="s">
        <v>149</v>
      </c>
      <c r="L7357" s="18">
        <v>0</v>
      </c>
      <c r="Q7357" s="18">
        <v>0</v>
      </c>
      <c r="U7357" s="22">
        <v>0.92</v>
      </c>
      <c r="V7357" s="22">
        <f>4.37/5</f>
        <v>0.874</v>
      </c>
      <c r="X7357" s="3">
        <v>2</v>
      </c>
      <c r="Z7357" s="23">
        <v>48</v>
      </c>
      <c r="AB7357" s="18">
        <f t="shared" si="228"/>
        <v>2001</v>
      </c>
      <c r="AC7357" s="22">
        <f t="shared" si="229"/>
        <v>0.73133333333333328</v>
      </c>
    </row>
    <row r="7358" spans="1:29">
      <c r="A7358" s="8" t="s">
        <v>11064</v>
      </c>
      <c r="B7358" s="17" t="s">
        <v>7764</v>
      </c>
      <c r="C7358" s="13">
        <v>37240</v>
      </c>
      <c r="D7358" s="13" t="s">
        <v>8465</v>
      </c>
      <c r="E7358" s="10" t="s">
        <v>3740</v>
      </c>
      <c r="F7358" s="10" t="s">
        <v>11065</v>
      </c>
      <c r="H7358" s="2" t="s">
        <v>80</v>
      </c>
      <c r="L7358" s="18">
        <v>0</v>
      </c>
      <c r="Q7358" s="18">
        <v>0</v>
      </c>
      <c r="U7358" s="22">
        <v>0.52</v>
      </c>
      <c r="V7358" s="22">
        <f>2.82/5</f>
        <v>0.56399999999999995</v>
      </c>
      <c r="X7358" s="3">
        <v>2</v>
      </c>
      <c r="Z7358" s="23">
        <v>28</v>
      </c>
      <c r="AB7358" s="18">
        <f t="shared" si="228"/>
        <v>2001</v>
      </c>
      <c r="AC7358" s="22">
        <f t="shared" si="229"/>
        <v>0.49466666666666664</v>
      </c>
    </row>
    <row r="7359" spans="1:29">
      <c r="A7359" s="8" t="s">
        <v>14701</v>
      </c>
      <c r="B7359" s="17" t="s">
        <v>7758</v>
      </c>
      <c r="C7359" s="13">
        <v>37239</v>
      </c>
      <c r="D7359" s="13" t="s">
        <v>8467</v>
      </c>
      <c r="E7359" s="10" t="s">
        <v>11816</v>
      </c>
      <c r="F7359" s="10" t="s">
        <v>2673</v>
      </c>
      <c r="H7359" s="2" t="s">
        <v>75</v>
      </c>
      <c r="L7359" s="18">
        <v>0</v>
      </c>
      <c r="Q7359" s="18">
        <v>0</v>
      </c>
      <c r="V7359" s="22">
        <f>3.1/5</f>
        <v>0.62</v>
      </c>
      <c r="X7359" s="3">
        <v>2</v>
      </c>
      <c r="AB7359" s="18">
        <f t="shared" si="228"/>
        <v>2001</v>
      </c>
      <c r="AC7359" s="22">
        <f t="shared" si="229"/>
        <v>0.51</v>
      </c>
    </row>
    <row r="7360" spans="1:29" ht="30">
      <c r="A7360" s="8" t="s">
        <v>11143</v>
      </c>
      <c r="B7360" s="17" t="s">
        <v>7800</v>
      </c>
      <c r="C7360" s="13">
        <v>37239</v>
      </c>
      <c r="D7360" s="13" t="s">
        <v>8465</v>
      </c>
      <c r="E7360" s="10" t="s">
        <v>4562</v>
      </c>
      <c r="F7360" s="10" t="s">
        <v>11144</v>
      </c>
      <c r="G7360" s="11" t="s">
        <v>2655</v>
      </c>
      <c r="H7360" s="2" t="s">
        <v>80</v>
      </c>
      <c r="L7360" s="18">
        <v>0</v>
      </c>
      <c r="Q7360" s="18">
        <v>0</v>
      </c>
      <c r="U7360" s="22">
        <v>0.48</v>
      </c>
      <c r="V7360" s="22">
        <f>2.8/5</f>
        <v>0.55999999999999994</v>
      </c>
      <c r="X7360" s="3">
        <v>2</v>
      </c>
      <c r="Z7360" s="23">
        <v>2.5</v>
      </c>
      <c r="AB7360" s="18">
        <f t="shared" si="228"/>
        <v>2001</v>
      </c>
      <c r="AC7360" s="22">
        <f t="shared" si="229"/>
        <v>0.48</v>
      </c>
    </row>
    <row r="7361" spans="1:29">
      <c r="A7361" s="8" t="s">
        <v>5832</v>
      </c>
      <c r="B7361" s="17" t="s">
        <v>7758</v>
      </c>
      <c r="C7361" s="13">
        <v>37237</v>
      </c>
      <c r="D7361" s="13" t="s">
        <v>8465</v>
      </c>
      <c r="E7361" s="10" t="s">
        <v>1466</v>
      </c>
      <c r="F7361" s="10" t="s">
        <v>3022</v>
      </c>
      <c r="G7361" s="11" t="s">
        <v>5832</v>
      </c>
      <c r="H7361" s="2" t="s">
        <v>149</v>
      </c>
      <c r="L7361" s="18">
        <v>0</v>
      </c>
      <c r="Q7361" s="18">
        <v>0</v>
      </c>
      <c r="U7361" s="22">
        <v>0.76</v>
      </c>
      <c r="V7361" s="22">
        <f>3.87/5</f>
        <v>0.77400000000000002</v>
      </c>
      <c r="X7361" s="3">
        <v>4</v>
      </c>
      <c r="Z7361" s="23">
        <v>25</v>
      </c>
      <c r="AB7361" s="18">
        <f t="shared" ref="AB7361:AB7424" si="230">IFERROR(YEAR(C7361), "Early Access")</f>
        <v>2001</v>
      </c>
      <c r="AC7361" s="22">
        <f t="shared" ref="AC7361:AC7424" si="231">AVERAGE(T7361, U7361, V7361, IF(ISBLANK(X7361), X7361, X7361/5))</f>
        <v>0.77800000000000002</v>
      </c>
    </row>
    <row r="7362" spans="1:29" ht="30">
      <c r="A7362" s="8" t="s">
        <v>11970</v>
      </c>
      <c r="B7362" s="17" t="s">
        <v>7747</v>
      </c>
      <c r="C7362" s="13">
        <v>37236</v>
      </c>
      <c r="D7362" s="13" t="s">
        <v>8465</v>
      </c>
      <c r="E7362" s="10" t="s">
        <v>1285</v>
      </c>
      <c r="F7362" s="10" t="s">
        <v>1285</v>
      </c>
      <c r="G7362" s="11" t="s">
        <v>11970</v>
      </c>
      <c r="H7362" s="2" t="s">
        <v>64</v>
      </c>
      <c r="L7362" s="18">
        <v>0</v>
      </c>
      <c r="Q7362" s="18">
        <v>0</v>
      </c>
      <c r="U7362" s="22">
        <v>0.52</v>
      </c>
      <c r="V7362" s="22">
        <f>2.55/5</f>
        <v>0.51</v>
      </c>
      <c r="X7362" s="3">
        <v>2</v>
      </c>
      <c r="Z7362" s="23">
        <v>4.5</v>
      </c>
      <c r="AB7362" s="18">
        <f t="shared" si="230"/>
        <v>2001</v>
      </c>
      <c r="AC7362" s="22">
        <f t="shared" si="231"/>
        <v>0.47666666666666674</v>
      </c>
    </row>
    <row r="7363" spans="1:29" ht="30">
      <c r="A7363" s="8" t="s">
        <v>2021</v>
      </c>
      <c r="B7363" s="17" t="s">
        <v>7747</v>
      </c>
      <c r="C7363" s="13">
        <v>37232</v>
      </c>
      <c r="D7363" s="13" t="s">
        <v>8463</v>
      </c>
      <c r="E7363" s="10" t="s">
        <v>86</v>
      </c>
      <c r="F7363" s="10" t="s">
        <v>1962</v>
      </c>
      <c r="G7363" s="11" t="s">
        <v>1963</v>
      </c>
      <c r="H7363" s="2" t="s">
        <v>149</v>
      </c>
      <c r="K7363" s="18">
        <v>2</v>
      </c>
      <c r="L7363" s="18">
        <v>0</v>
      </c>
      <c r="Q7363" s="18">
        <v>0</v>
      </c>
      <c r="U7363" s="22">
        <v>0.6</v>
      </c>
      <c r="V7363" s="22">
        <f>4.04/5</f>
        <v>0.80800000000000005</v>
      </c>
      <c r="X7363" s="3">
        <v>3</v>
      </c>
      <c r="Z7363" s="23">
        <v>45</v>
      </c>
      <c r="AB7363" s="18">
        <f t="shared" si="230"/>
        <v>2001</v>
      </c>
      <c r="AC7363" s="22">
        <f t="shared" si="231"/>
        <v>0.66933333333333334</v>
      </c>
    </row>
    <row r="7364" spans="1:29" ht="25.5">
      <c r="A7364" s="8" t="s">
        <v>13253</v>
      </c>
      <c r="B7364" s="17" t="s">
        <v>7758</v>
      </c>
      <c r="C7364" s="13">
        <v>37232</v>
      </c>
      <c r="D7364" s="13" t="s">
        <v>8467</v>
      </c>
      <c r="E7364" s="10" t="s">
        <v>1047</v>
      </c>
      <c r="F7364" s="10" t="s">
        <v>13254</v>
      </c>
      <c r="H7364" s="2" t="s">
        <v>1040</v>
      </c>
      <c r="L7364" s="18">
        <v>0</v>
      </c>
      <c r="Q7364" s="18">
        <v>0</v>
      </c>
      <c r="V7364" s="22">
        <f>2.99/5</f>
        <v>0.59800000000000009</v>
      </c>
      <c r="X7364" s="3">
        <v>2</v>
      </c>
      <c r="Z7364" s="23">
        <v>15</v>
      </c>
      <c r="AB7364" s="18">
        <f t="shared" si="230"/>
        <v>2001</v>
      </c>
      <c r="AC7364" s="22">
        <f t="shared" si="231"/>
        <v>0.49900000000000005</v>
      </c>
    </row>
    <row r="7365" spans="1:29" ht="25.5">
      <c r="A7365" s="8" t="s">
        <v>5795</v>
      </c>
      <c r="B7365" s="17" t="s">
        <v>7758</v>
      </c>
      <c r="C7365" s="13">
        <v>37229</v>
      </c>
      <c r="D7365" s="13" t="s">
        <v>8465</v>
      </c>
      <c r="E7365" s="10" t="s">
        <v>1272</v>
      </c>
      <c r="F7365" s="10" t="s">
        <v>5342</v>
      </c>
      <c r="G7365" s="11" t="s">
        <v>3253</v>
      </c>
      <c r="H7365" s="2" t="s">
        <v>171</v>
      </c>
      <c r="L7365" s="18">
        <v>0</v>
      </c>
      <c r="Q7365" s="18">
        <v>0</v>
      </c>
      <c r="U7365" s="22">
        <v>0.84</v>
      </c>
      <c r="V7365" s="22">
        <f>3.82/5</f>
        <v>0.76400000000000001</v>
      </c>
      <c r="X7365" s="3">
        <v>4</v>
      </c>
      <c r="Z7365" s="23">
        <v>13</v>
      </c>
      <c r="AB7365" s="18">
        <f t="shared" si="230"/>
        <v>2001</v>
      </c>
      <c r="AC7365" s="22">
        <f t="shared" si="231"/>
        <v>0.80133333333333334</v>
      </c>
    </row>
    <row r="7366" spans="1:29">
      <c r="A7366" s="8" t="s">
        <v>2947</v>
      </c>
      <c r="B7366" s="17" t="s">
        <v>7757</v>
      </c>
      <c r="C7366" s="13">
        <v>37229</v>
      </c>
      <c r="D7366" s="13" t="s">
        <v>8465</v>
      </c>
      <c r="E7366" s="10" t="s">
        <v>73</v>
      </c>
      <c r="F7366" s="10" t="s">
        <v>73</v>
      </c>
      <c r="G7366" s="11" t="s">
        <v>601</v>
      </c>
      <c r="H7366" s="2" t="s">
        <v>56</v>
      </c>
      <c r="L7366" s="18">
        <v>0</v>
      </c>
      <c r="Q7366" s="18">
        <v>0</v>
      </c>
      <c r="U7366" s="22">
        <v>0.69</v>
      </c>
      <c r="V7366" s="22">
        <f>3.54/5</f>
        <v>0.70799999999999996</v>
      </c>
      <c r="X7366" s="3">
        <v>3</v>
      </c>
      <c r="Z7366" s="23">
        <v>5</v>
      </c>
      <c r="AB7366" s="18">
        <f t="shared" si="230"/>
        <v>2001</v>
      </c>
      <c r="AC7366" s="22">
        <f t="shared" si="231"/>
        <v>0.66599999999999993</v>
      </c>
    </row>
    <row r="7367" spans="1:29">
      <c r="A7367" s="8" t="s">
        <v>13920</v>
      </c>
      <c r="B7367" s="17" t="s">
        <v>13887</v>
      </c>
      <c r="C7367" s="13">
        <v>37229</v>
      </c>
      <c r="D7367" s="13" t="s">
        <v>8465</v>
      </c>
      <c r="E7367" s="10" t="s">
        <v>7243</v>
      </c>
      <c r="F7367" s="10" t="s">
        <v>13917</v>
      </c>
      <c r="H7367" s="2" t="s">
        <v>80</v>
      </c>
      <c r="L7367" s="18">
        <v>0</v>
      </c>
      <c r="Q7367" s="18">
        <v>0</v>
      </c>
      <c r="V7367" s="22">
        <f>3.83/5</f>
        <v>0.76600000000000001</v>
      </c>
      <c r="X7367" s="3">
        <v>2</v>
      </c>
      <c r="Z7367" s="23">
        <v>5</v>
      </c>
      <c r="AB7367" s="18">
        <f t="shared" si="230"/>
        <v>2001</v>
      </c>
      <c r="AC7367" s="22">
        <f t="shared" si="231"/>
        <v>0.58299999999999996</v>
      </c>
    </row>
    <row r="7368" spans="1:29" ht="25.5">
      <c r="A7368" s="8" t="s">
        <v>14692</v>
      </c>
      <c r="B7368" s="17" t="s">
        <v>7758</v>
      </c>
      <c r="C7368" s="13">
        <v>37229</v>
      </c>
      <c r="D7368" s="13" t="s">
        <v>8465</v>
      </c>
      <c r="E7368" s="10" t="s">
        <v>1047</v>
      </c>
      <c r="F7368" s="10" t="s">
        <v>6652</v>
      </c>
      <c r="H7368" s="2" t="s">
        <v>171</v>
      </c>
      <c r="L7368" s="18">
        <v>0</v>
      </c>
      <c r="Q7368" s="18">
        <v>0</v>
      </c>
      <c r="U7368" s="22">
        <v>0.43</v>
      </c>
      <c r="V7368" s="22">
        <f>2.34/5</f>
        <v>0.46799999999999997</v>
      </c>
      <c r="X7368" s="3">
        <v>2</v>
      </c>
      <c r="AB7368" s="18">
        <f t="shared" si="230"/>
        <v>2001</v>
      </c>
      <c r="AC7368" s="22">
        <f t="shared" si="231"/>
        <v>0.4326666666666667</v>
      </c>
    </row>
    <row r="7369" spans="1:29" ht="25.5">
      <c r="A7369" s="8" t="s">
        <v>5816</v>
      </c>
      <c r="B7369" s="17" t="s">
        <v>7758</v>
      </c>
      <c r="C7369" s="13">
        <v>37228</v>
      </c>
      <c r="D7369" s="13" t="s">
        <v>8465</v>
      </c>
      <c r="E7369" s="10" t="s">
        <v>1290</v>
      </c>
      <c r="F7369" s="10" t="s">
        <v>2646</v>
      </c>
      <c r="G7369" s="11" t="s">
        <v>5880</v>
      </c>
      <c r="H7369" s="2" t="s">
        <v>1040</v>
      </c>
      <c r="L7369" s="18">
        <v>0</v>
      </c>
      <c r="Q7369" s="18">
        <v>0</v>
      </c>
      <c r="U7369" s="22">
        <v>0.9</v>
      </c>
      <c r="V7369" s="22">
        <f>4.1/5</f>
        <v>0.82</v>
      </c>
      <c r="X7369" s="3">
        <v>4</v>
      </c>
      <c r="Z7369" s="23">
        <v>10.5</v>
      </c>
      <c r="AB7369" s="18">
        <f t="shared" si="230"/>
        <v>2001</v>
      </c>
      <c r="AC7369" s="22">
        <f t="shared" si="231"/>
        <v>0.84</v>
      </c>
    </row>
    <row r="7370" spans="1:29" ht="30">
      <c r="A7370" s="8" t="s">
        <v>953</v>
      </c>
      <c r="B7370" s="17" t="s">
        <v>7740</v>
      </c>
      <c r="C7370" s="13">
        <v>37227</v>
      </c>
      <c r="D7370" s="13" t="s">
        <v>8465</v>
      </c>
      <c r="E7370" s="10" t="s">
        <v>86</v>
      </c>
      <c r="F7370" s="10" t="s">
        <v>87</v>
      </c>
      <c r="G7370" s="11" t="s">
        <v>953</v>
      </c>
      <c r="H7370" s="2" t="s">
        <v>61</v>
      </c>
      <c r="L7370" s="18">
        <v>0</v>
      </c>
      <c r="Q7370" s="18">
        <v>0</v>
      </c>
      <c r="U7370" s="22">
        <v>0.87</v>
      </c>
      <c r="V7370" s="22">
        <f>4.07/5</f>
        <v>0.81400000000000006</v>
      </c>
      <c r="X7370" s="3">
        <v>4</v>
      </c>
      <c r="Z7370" s="23">
        <v>8</v>
      </c>
      <c r="AB7370" s="18">
        <f t="shared" si="230"/>
        <v>2001</v>
      </c>
      <c r="AC7370" s="22">
        <f t="shared" si="231"/>
        <v>0.82799999999999996</v>
      </c>
    </row>
    <row r="7371" spans="1:29" ht="30">
      <c r="A7371" s="8" t="s">
        <v>6733</v>
      </c>
      <c r="B7371" s="17" t="s">
        <v>7740</v>
      </c>
      <c r="C7371" s="13">
        <v>37227</v>
      </c>
      <c r="D7371" s="13" t="s">
        <v>8465</v>
      </c>
      <c r="E7371" s="10" t="s">
        <v>6732</v>
      </c>
      <c r="F7371" s="10" t="s">
        <v>6023</v>
      </c>
      <c r="G7371" s="11" t="s">
        <v>6021</v>
      </c>
      <c r="H7371" s="2" t="s">
        <v>255</v>
      </c>
      <c r="L7371" s="18">
        <v>0</v>
      </c>
      <c r="Q7371" s="18">
        <v>0</v>
      </c>
      <c r="U7371" s="22">
        <v>0.87</v>
      </c>
      <c r="V7371" s="22">
        <f>3.97/5</f>
        <v>0.79400000000000004</v>
      </c>
      <c r="X7371" s="3">
        <v>3</v>
      </c>
      <c r="Z7371" s="23">
        <v>14</v>
      </c>
      <c r="AB7371" s="18">
        <f t="shared" si="230"/>
        <v>2001</v>
      </c>
      <c r="AC7371" s="22">
        <f t="shared" si="231"/>
        <v>0.75466666666666671</v>
      </c>
    </row>
    <row r="7372" spans="1:29" ht="30">
      <c r="A7372" s="8" t="s">
        <v>700</v>
      </c>
      <c r="B7372" s="17" t="s">
        <v>7747</v>
      </c>
      <c r="C7372" s="13">
        <v>37226</v>
      </c>
      <c r="D7372" s="13" t="s">
        <v>8465</v>
      </c>
      <c r="E7372" s="10" t="s">
        <v>73</v>
      </c>
      <c r="F7372" s="10" t="s">
        <v>73</v>
      </c>
      <c r="G7372" s="11" t="s">
        <v>700</v>
      </c>
      <c r="H7372" s="2" t="s">
        <v>149</v>
      </c>
      <c r="L7372" s="18">
        <v>0</v>
      </c>
      <c r="Q7372" s="18">
        <v>0</v>
      </c>
      <c r="U7372" s="22">
        <v>0.76</v>
      </c>
      <c r="V7372" s="22">
        <f>3.71/5</f>
        <v>0.74199999999999999</v>
      </c>
      <c r="X7372" s="3">
        <v>4</v>
      </c>
      <c r="Z7372" s="23">
        <v>28.65</v>
      </c>
      <c r="AB7372" s="18">
        <f t="shared" si="230"/>
        <v>2001</v>
      </c>
      <c r="AC7372" s="22">
        <f t="shared" si="231"/>
        <v>0.76733333333333331</v>
      </c>
    </row>
    <row r="7373" spans="1:29" ht="30">
      <c r="A7373" s="8" t="s">
        <v>8085</v>
      </c>
      <c r="B7373" s="17" t="s">
        <v>7747</v>
      </c>
      <c r="C7373" s="12">
        <v>37226</v>
      </c>
      <c r="D7373" s="13" t="s">
        <v>8465</v>
      </c>
      <c r="E7373" s="10" t="s">
        <v>158</v>
      </c>
      <c r="F7373" s="10" t="s">
        <v>158</v>
      </c>
      <c r="G7373" s="11" t="s">
        <v>8076</v>
      </c>
      <c r="H7373" s="2" t="s">
        <v>459</v>
      </c>
      <c r="L7373" s="18">
        <v>0</v>
      </c>
      <c r="Q7373" s="18">
        <v>0</v>
      </c>
      <c r="U7373" s="22">
        <v>0.7944</v>
      </c>
      <c r="V7373" s="22">
        <f>3.21/5</f>
        <v>0.64200000000000002</v>
      </c>
      <c r="X7373" s="3">
        <v>2</v>
      </c>
      <c r="Z7373" s="23">
        <v>0.36666666666666664</v>
      </c>
      <c r="AB7373" s="18">
        <f t="shared" si="230"/>
        <v>2001</v>
      </c>
      <c r="AC7373" s="22">
        <f t="shared" si="231"/>
        <v>0.61213333333333331</v>
      </c>
    </row>
    <row r="7374" spans="1:29" ht="25.5">
      <c r="A7374" s="8" t="s">
        <v>14423</v>
      </c>
      <c r="B7374" s="17" t="s">
        <v>6317</v>
      </c>
      <c r="C7374" s="12">
        <v>37226</v>
      </c>
      <c r="D7374" s="13" t="s">
        <v>8463</v>
      </c>
      <c r="E7374" s="10" t="s">
        <v>455</v>
      </c>
      <c r="F7374" s="10" t="s">
        <v>2741</v>
      </c>
      <c r="G7374" s="11" t="s">
        <v>13155</v>
      </c>
      <c r="H7374" s="2" t="s">
        <v>1170</v>
      </c>
      <c r="K7374" s="18">
        <v>0</v>
      </c>
      <c r="L7374" s="18">
        <v>0</v>
      </c>
      <c r="Q7374" s="18">
        <v>0</v>
      </c>
      <c r="V7374" s="22">
        <f>3.33/5</f>
        <v>0.66600000000000004</v>
      </c>
      <c r="X7374" s="3">
        <v>2</v>
      </c>
      <c r="AB7374" s="18">
        <f t="shared" si="230"/>
        <v>2001</v>
      </c>
      <c r="AC7374" s="22">
        <f t="shared" si="231"/>
        <v>0.53300000000000003</v>
      </c>
    </row>
    <row r="7375" spans="1:29" ht="30">
      <c r="A7375" s="8" t="s">
        <v>12544</v>
      </c>
      <c r="B7375" s="17" t="s">
        <v>7800</v>
      </c>
      <c r="C7375" s="13">
        <v>37225</v>
      </c>
      <c r="D7375" s="13" t="s">
        <v>8465</v>
      </c>
      <c r="E7375" s="10" t="s">
        <v>12545</v>
      </c>
      <c r="F7375" s="10" t="s">
        <v>12546</v>
      </c>
      <c r="G7375" s="11" t="s">
        <v>12544</v>
      </c>
      <c r="H7375" s="2" t="s">
        <v>1204</v>
      </c>
      <c r="L7375" s="18">
        <v>1</v>
      </c>
      <c r="P7375" s="18" t="s">
        <v>1107</v>
      </c>
      <c r="Q7375" s="18">
        <v>0</v>
      </c>
      <c r="U7375" s="22">
        <v>0.67</v>
      </c>
      <c r="V7375" s="22">
        <f>3.49/5</f>
        <v>0.69800000000000006</v>
      </c>
      <c r="W7375" s="14" t="s">
        <v>7777</v>
      </c>
      <c r="X7375" s="3">
        <v>2</v>
      </c>
      <c r="Z7375" s="23">
        <v>9.5</v>
      </c>
      <c r="AB7375" s="18">
        <f t="shared" si="230"/>
        <v>2001</v>
      </c>
      <c r="AC7375" s="22">
        <f t="shared" si="231"/>
        <v>0.58933333333333338</v>
      </c>
    </row>
    <row r="7376" spans="1:29" ht="30">
      <c r="A7376" s="8" t="s">
        <v>14729</v>
      </c>
      <c r="B7376" s="17" t="s">
        <v>7757</v>
      </c>
      <c r="C7376" s="13">
        <v>37225</v>
      </c>
      <c r="D7376" s="13" t="s">
        <v>8465</v>
      </c>
      <c r="E7376" s="10" t="s">
        <v>1047</v>
      </c>
      <c r="F7376" s="10" t="s">
        <v>3152</v>
      </c>
      <c r="G7376" s="11" t="s">
        <v>14728</v>
      </c>
      <c r="H7376" s="2" t="s">
        <v>1170</v>
      </c>
      <c r="L7376" s="18">
        <v>0</v>
      </c>
      <c r="Q7376" s="18">
        <v>0</v>
      </c>
      <c r="U7376" s="22">
        <v>0.55000000000000004</v>
      </c>
      <c r="V7376" s="22">
        <f>3.1/5</f>
        <v>0.62</v>
      </c>
      <c r="X7376" s="3">
        <v>2</v>
      </c>
      <c r="Z7376" s="23">
        <f>50/60</f>
        <v>0.83333333333333337</v>
      </c>
      <c r="AB7376" s="18">
        <f t="shared" si="230"/>
        <v>2001</v>
      </c>
      <c r="AC7376" s="22">
        <f t="shared" si="231"/>
        <v>0.52333333333333332</v>
      </c>
    </row>
    <row r="7377" spans="1:29" ht="30">
      <c r="A7377" s="8" t="s">
        <v>13213</v>
      </c>
      <c r="B7377" s="17" t="s">
        <v>7747</v>
      </c>
      <c r="C7377" s="13">
        <v>37225</v>
      </c>
      <c r="D7377" s="13" t="s">
        <v>8465</v>
      </c>
      <c r="E7377" s="10" t="s">
        <v>1466</v>
      </c>
      <c r="F7377" s="10" t="s">
        <v>11554</v>
      </c>
      <c r="G7377" s="11" t="s">
        <v>10725</v>
      </c>
      <c r="H7377" s="2" t="s">
        <v>150</v>
      </c>
      <c r="L7377" s="18">
        <v>0</v>
      </c>
      <c r="Q7377" s="18">
        <v>0</v>
      </c>
      <c r="U7377" s="22">
        <v>0.53</v>
      </c>
      <c r="V7377" s="22">
        <f>2.87/5</f>
        <v>0.57400000000000007</v>
      </c>
      <c r="X7377" s="3">
        <v>2</v>
      </c>
      <c r="AB7377" s="18">
        <f t="shared" si="230"/>
        <v>2001</v>
      </c>
      <c r="AC7377" s="22">
        <f t="shared" si="231"/>
        <v>0.5013333333333333</v>
      </c>
    </row>
    <row r="7378" spans="1:29">
      <c r="A7378" s="8" t="s">
        <v>10118</v>
      </c>
      <c r="B7378" s="17" t="s">
        <v>7758</v>
      </c>
      <c r="C7378" s="13">
        <v>37224</v>
      </c>
      <c r="D7378" s="13" t="s">
        <v>8465</v>
      </c>
      <c r="E7378" s="10" t="s">
        <v>2461</v>
      </c>
      <c r="F7378" s="10" t="s">
        <v>1087</v>
      </c>
      <c r="H7378" s="2" t="s">
        <v>171</v>
      </c>
      <c r="L7378" s="18">
        <v>0</v>
      </c>
      <c r="Q7378" s="18">
        <v>0</v>
      </c>
      <c r="U7378" s="22">
        <v>0.67</v>
      </c>
      <c r="V7378" s="22">
        <f>3.46/5</f>
        <v>0.69199999999999995</v>
      </c>
      <c r="X7378" s="3">
        <v>3</v>
      </c>
      <c r="Z7378" s="23">
        <v>22</v>
      </c>
      <c r="AB7378" s="18">
        <f t="shared" si="230"/>
        <v>2001</v>
      </c>
      <c r="AC7378" s="22">
        <f t="shared" si="231"/>
        <v>0.65400000000000003</v>
      </c>
    </row>
    <row r="7379" spans="1:29">
      <c r="A7379" s="8" t="s">
        <v>11727</v>
      </c>
      <c r="B7379" s="17" t="s">
        <v>7758</v>
      </c>
      <c r="C7379" s="13">
        <v>37224</v>
      </c>
      <c r="D7379" s="13" t="s">
        <v>8463</v>
      </c>
      <c r="E7379" s="10" t="s">
        <v>1167</v>
      </c>
      <c r="F7379" s="10" t="s">
        <v>1375</v>
      </c>
      <c r="H7379" s="2" t="s">
        <v>149</v>
      </c>
      <c r="K7379" s="18">
        <v>0</v>
      </c>
      <c r="L7379" s="18">
        <v>0</v>
      </c>
      <c r="Q7379" s="18">
        <v>0</v>
      </c>
      <c r="V7379" s="22">
        <f>3.61/5</f>
        <v>0.72199999999999998</v>
      </c>
      <c r="X7379" s="3">
        <v>2</v>
      </c>
      <c r="AB7379" s="18">
        <f t="shared" si="230"/>
        <v>2001</v>
      </c>
      <c r="AC7379" s="22">
        <f t="shared" si="231"/>
        <v>0.56099999999999994</v>
      </c>
    </row>
    <row r="7380" spans="1:29" ht="30">
      <c r="A7380" s="8" t="s">
        <v>8395</v>
      </c>
      <c r="B7380" s="17" t="s">
        <v>7747</v>
      </c>
      <c r="C7380" s="13">
        <v>37223</v>
      </c>
      <c r="D7380" s="13" t="s">
        <v>8465</v>
      </c>
      <c r="E7380" s="10" t="s">
        <v>76</v>
      </c>
      <c r="F7380" s="10" t="s">
        <v>76</v>
      </c>
      <c r="G7380" s="11" t="s">
        <v>7681</v>
      </c>
      <c r="H7380" s="2" t="s">
        <v>149</v>
      </c>
      <c r="L7380" s="18">
        <v>0</v>
      </c>
      <c r="Q7380" s="18">
        <v>0</v>
      </c>
      <c r="U7380" s="22">
        <v>0.76</v>
      </c>
      <c r="V7380" s="22">
        <f>3.58/5</f>
        <v>0.71599999999999997</v>
      </c>
      <c r="X7380" s="3">
        <v>2</v>
      </c>
      <c r="Z7380" s="23">
        <v>18</v>
      </c>
      <c r="AB7380" s="18">
        <f t="shared" si="230"/>
        <v>2001</v>
      </c>
      <c r="AC7380" s="22">
        <f t="shared" si="231"/>
        <v>0.6253333333333333</v>
      </c>
    </row>
    <row r="7381" spans="1:29">
      <c r="A7381" s="8" t="s">
        <v>7560</v>
      </c>
      <c r="B7381" s="17" t="s">
        <v>7758</v>
      </c>
      <c r="C7381" s="13">
        <v>37222</v>
      </c>
      <c r="D7381" s="13" t="s">
        <v>8465</v>
      </c>
      <c r="E7381" s="10" t="s">
        <v>1195</v>
      </c>
      <c r="F7381" s="10" t="s">
        <v>1195</v>
      </c>
      <c r="H7381" s="2" t="s">
        <v>1168</v>
      </c>
      <c r="L7381" s="18">
        <v>0</v>
      </c>
      <c r="Q7381" s="18">
        <v>0</v>
      </c>
      <c r="U7381" s="22">
        <v>0.48</v>
      </c>
      <c r="V7381" s="22">
        <f>2.6/5</f>
        <v>0.52</v>
      </c>
      <c r="X7381" s="3">
        <v>2</v>
      </c>
      <c r="Z7381" s="23">
        <v>3</v>
      </c>
      <c r="AB7381" s="18">
        <f t="shared" si="230"/>
        <v>2001</v>
      </c>
      <c r="AC7381" s="22">
        <f t="shared" si="231"/>
        <v>0.46666666666666662</v>
      </c>
    </row>
    <row r="7382" spans="1:29" ht="30">
      <c r="A7382" s="8" t="s">
        <v>15422</v>
      </c>
      <c r="B7382" s="17" t="s">
        <v>7747</v>
      </c>
      <c r="C7382" s="13">
        <v>37222</v>
      </c>
      <c r="D7382" s="13" t="s">
        <v>8465</v>
      </c>
      <c r="E7382" s="10" t="s">
        <v>15423</v>
      </c>
      <c r="F7382" s="10" t="s">
        <v>1948</v>
      </c>
      <c r="G7382" s="11" t="s">
        <v>15422</v>
      </c>
      <c r="H7382" s="2" t="s">
        <v>1050</v>
      </c>
      <c r="L7382" s="18">
        <v>0</v>
      </c>
      <c r="Q7382" s="18">
        <v>0</v>
      </c>
      <c r="U7382" s="22">
        <v>0.8</v>
      </c>
      <c r="V7382" s="22">
        <f>2.81/5</f>
        <v>0.56200000000000006</v>
      </c>
      <c r="X7382" s="3">
        <v>2</v>
      </c>
      <c r="Z7382" s="23">
        <v>7</v>
      </c>
      <c r="AB7382" s="18">
        <f t="shared" si="230"/>
        <v>2001</v>
      </c>
      <c r="AC7382" s="22">
        <f t="shared" si="231"/>
        <v>0.58733333333333337</v>
      </c>
    </row>
    <row r="7383" spans="1:29" ht="30">
      <c r="A7383" s="8" t="s">
        <v>15774</v>
      </c>
      <c r="B7383" s="17" t="s">
        <v>7740</v>
      </c>
      <c r="C7383" s="13">
        <v>37222</v>
      </c>
      <c r="D7383" s="13" t="s">
        <v>8465</v>
      </c>
      <c r="E7383" s="10" t="s">
        <v>154</v>
      </c>
      <c r="F7383" s="10" t="s">
        <v>15775</v>
      </c>
      <c r="G7383" s="11" t="s">
        <v>15772</v>
      </c>
      <c r="H7383" s="2" t="s">
        <v>150</v>
      </c>
      <c r="L7383" s="18">
        <v>0</v>
      </c>
      <c r="Q7383" s="18">
        <v>0</v>
      </c>
      <c r="V7383" s="22">
        <f>3.39/5</f>
        <v>0.67800000000000005</v>
      </c>
      <c r="X7383" s="3">
        <v>2</v>
      </c>
      <c r="Z7383" s="23">
        <v>6</v>
      </c>
      <c r="AB7383" s="18">
        <f t="shared" si="230"/>
        <v>2001</v>
      </c>
      <c r="AC7383" s="22">
        <f t="shared" si="231"/>
        <v>0.53900000000000003</v>
      </c>
    </row>
    <row r="7384" spans="1:29" ht="30">
      <c r="A7384" s="8" t="s">
        <v>7468</v>
      </c>
      <c r="B7384" s="17" t="s">
        <v>7757</v>
      </c>
      <c r="C7384" s="13">
        <v>37221</v>
      </c>
      <c r="D7384" s="13" t="s">
        <v>8465</v>
      </c>
      <c r="E7384" s="10" t="s">
        <v>2908</v>
      </c>
      <c r="F7384" s="10" t="s">
        <v>7469</v>
      </c>
      <c r="G7384" s="11" t="s">
        <v>6067</v>
      </c>
      <c r="H7384" s="2" t="s">
        <v>1204</v>
      </c>
      <c r="L7384" s="18">
        <v>0</v>
      </c>
      <c r="Q7384" s="18">
        <v>0</v>
      </c>
      <c r="U7384" s="22">
        <v>0.56999999999999995</v>
      </c>
      <c r="V7384" s="22">
        <f>3.38/5</f>
        <v>0.67599999999999993</v>
      </c>
      <c r="X7384" s="3">
        <v>3</v>
      </c>
      <c r="Z7384" s="23">
        <v>1.5</v>
      </c>
      <c r="AB7384" s="18">
        <f t="shared" si="230"/>
        <v>2001</v>
      </c>
      <c r="AC7384" s="22">
        <f t="shared" si="231"/>
        <v>0.6153333333333334</v>
      </c>
    </row>
    <row r="7385" spans="1:29">
      <c r="A7385" s="8" t="s">
        <v>7937</v>
      </c>
      <c r="B7385" s="17" t="s">
        <v>7758</v>
      </c>
      <c r="C7385" s="13">
        <v>37221</v>
      </c>
      <c r="D7385" s="13" t="s">
        <v>8465</v>
      </c>
      <c r="E7385" s="10" t="s">
        <v>68</v>
      </c>
      <c r="F7385" s="10" t="s">
        <v>1471</v>
      </c>
      <c r="G7385" s="11" t="s">
        <v>7935</v>
      </c>
      <c r="H7385" s="2" t="s">
        <v>1059</v>
      </c>
      <c r="L7385" s="18">
        <v>0</v>
      </c>
      <c r="Q7385" s="18">
        <v>0</v>
      </c>
      <c r="U7385" s="22">
        <v>0.77329999999999999</v>
      </c>
      <c r="V7385" s="22">
        <f>3.92/5</f>
        <v>0.78400000000000003</v>
      </c>
      <c r="X7385" s="3">
        <v>2</v>
      </c>
      <c r="Z7385" s="23">
        <v>7.5</v>
      </c>
      <c r="AB7385" s="18">
        <f t="shared" si="230"/>
        <v>2001</v>
      </c>
      <c r="AC7385" s="22">
        <f t="shared" si="231"/>
        <v>0.65243333333333331</v>
      </c>
    </row>
    <row r="7386" spans="1:29">
      <c r="A7386" s="8" t="s">
        <v>2759</v>
      </c>
      <c r="B7386" s="17" t="s">
        <v>7755</v>
      </c>
      <c r="C7386" s="13">
        <v>37218</v>
      </c>
      <c r="D7386" s="13" t="s">
        <v>8467</v>
      </c>
      <c r="E7386" s="10" t="s">
        <v>455</v>
      </c>
      <c r="F7386" s="10" t="s">
        <v>455</v>
      </c>
      <c r="G7386" s="11" t="s">
        <v>2758</v>
      </c>
      <c r="H7386" s="2" t="s">
        <v>80</v>
      </c>
      <c r="L7386" s="18">
        <v>0</v>
      </c>
      <c r="Q7386" s="18">
        <v>0</v>
      </c>
      <c r="U7386" s="22">
        <v>0.9</v>
      </c>
      <c r="V7386" s="22">
        <f>4.42/5</f>
        <v>0.88400000000000001</v>
      </c>
      <c r="X7386" s="3">
        <v>4</v>
      </c>
      <c r="Z7386" s="23">
        <v>26.5</v>
      </c>
      <c r="AB7386" s="18">
        <f t="shared" si="230"/>
        <v>2001</v>
      </c>
      <c r="AC7386" s="22">
        <f t="shared" si="231"/>
        <v>0.8613333333333334</v>
      </c>
    </row>
    <row r="7387" spans="1:29">
      <c r="A7387" s="8" t="s">
        <v>3208</v>
      </c>
      <c r="B7387" s="17" t="s">
        <v>7800</v>
      </c>
      <c r="C7387" s="13">
        <v>37218</v>
      </c>
      <c r="D7387" s="13" t="s">
        <v>8465</v>
      </c>
      <c r="E7387" s="10" t="s">
        <v>1954</v>
      </c>
      <c r="F7387" s="10" t="s">
        <v>4847</v>
      </c>
      <c r="G7387" s="11" t="s">
        <v>3208</v>
      </c>
      <c r="H7387" s="2" t="s">
        <v>1720</v>
      </c>
      <c r="L7387" s="18">
        <v>0</v>
      </c>
      <c r="Q7387" s="18">
        <v>0</v>
      </c>
      <c r="U7387" s="22">
        <v>0.81</v>
      </c>
      <c r="V7387" s="22">
        <f>4.1/5</f>
        <v>0.82</v>
      </c>
      <c r="X7387" s="3">
        <v>3</v>
      </c>
      <c r="Z7387" s="23">
        <v>23</v>
      </c>
      <c r="AB7387" s="18">
        <f t="shared" si="230"/>
        <v>2001</v>
      </c>
      <c r="AC7387" s="22">
        <f t="shared" si="231"/>
        <v>0.74333333333333329</v>
      </c>
    </row>
    <row r="7388" spans="1:29">
      <c r="A7388" s="8" t="s">
        <v>12371</v>
      </c>
      <c r="B7388" s="17" t="s">
        <v>7757</v>
      </c>
      <c r="C7388" s="13">
        <v>37217</v>
      </c>
      <c r="D7388" s="13" t="s">
        <v>8463</v>
      </c>
      <c r="E7388" s="10" t="s">
        <v>158</v>
      </c>
      <c r="F7388" s="10" t="s">
        <v>12372</v>
      </c>
      <c r="G7388" s="11" t="s">
        <v>7502</v>
      </c>
      <c r="H7388" s="2" t="s">
        <v>78</v>
      </c>
      <c r="K7388" s="18">
        <v>1</v>
      </c>
      <c r="L7388" s="18">
        <v>0</v>
      </c>
      <c r="Q7388" s="18">
        <v>0</v>
      </c>
      <c r="V7388" s="22">
        <f>3.88/5</f>
        <v>0.77600000000000002</v>
      </c>
      <c r="X7388" s="3">
        <v>2</v>
      </c>
      <c r="AB7388" s="18">
        <f t="shared" si="230"/>
        <v>2001</v>
      </c>
      <c r="AC7388" s="22">
        <f t="shared" si="231"/>
        <v>0.58800000000000008</v>
      </c>
    </row>
    <row r="7389" spans="1:29" ht="25.5">
      <c r="A7389" s="8" t="s">
        <v>8144</v>
      </c>
      <c r="B7389" s="17" t="s">
        <v>7758</v>
      </c>
      <c r="C7389" s="13">
        <v>37217</v>
      </c>
      <c r="D7389" s="13" t="s">
        <v>8465</v>
      </c>
      <c r="E7389" s="10" t="s">
        <v>66</v>
      </c>
      <c r="F7389" s="10" t="s">
        <v>1468</v>
      </c>
      <c r="G7389" s="11" t="s">
        <v>710</v>
      </c>
      <c r="H7389" s="2" t="s">
        <v>1334</v>
      </c>
      <c r="L7389" s="18">
        <v>0</v>
      </c>
      <c r="Q7389" s="18">
        <v>0</v>
      </c>
      <c r="U7389" s="22">
        <v>0.76</v>
      </c>
      <c r="V7389" s="22">
        <f>3.65/5</f>
        <v>0.73</v>
      </c>
      <c r="X7389" s="3">
        <v>2</v>
      </c>
      <c r="Z7389" s="23">
        <v>32.5</v>
      </c>
      <c r="AB7389" s="18">
        <f t="shared" si="230"/>
        <v>2001</v>
      </c>
      <c r="AC7389" s="22">
        <f t="shared" si="231"/>
        <v>0.63</v>
      </c>
    </row>
    <row r="7390" spans="1:29" ht="30">
      <c r="A7390" s="8" t="s">
        <v>11861</v>
      </c>
      <c r="B7390" s="17" t="s">
        <v>7747</v>
      </c>
      <c r="C7390" s="13">
        <v>37216</v>
      </c>
      <c r="D7390" s="13" t="s">
        <v>11862</v>
      </c>
      <c r="E7390" s="10" t="s">
        <v>86</v>
      </c>
      <c r="F7390" s="10" t="s">
        <v>1355</v>
      </c>
      <c r="H7390" s="2" t="s">
        <v>75</v>
      </c>
      <c r="K7390" s="18">
        <v>2</v>
      </c>
      <c r="L7390" s="18">
        <v>0</v>
      </c>
      <c r="Q7390" s="18">
        <v>0</v>
      </c>
      <c r="V7390" s="22">
        <f>3.23/5</f>
        <v>0.64600000000000002</v>
      </c>
      <c r="X7390" s="3">
        <v>3</v>
      </c>
      <c r="AB7390" s="18">
        <f t="shared" si="230"/>
        <v>2001</v>
      </c>
      <c r="AC7390" s="22">
        <f t="shared" si="231"/>
        <v>0.623</v>
      </c>
    </row>
    <row r="7391" spans="1:29" ht="30">
      <c r="A7391" s="8" t="s">
        <v>14722</v>
      </c>
      <c r="B7391" s="17" t="s">
        <v>7758</v>
      </c>
      <c r="C7391" s="13">
        <v>37215</v>
      </c>
      <c r="D7391" s="13" t="s">
        <v>8465</v>
      </c>
      <c r="E7391" s="10" t="s">
        <v>2908</v>
      </c>
      <c r="F7391" s="10" t="s">
        <v>14709</v>
      </c>
      <c r="H7391" s="2" t="s">
        <v>1220</v>
      </c>
      <c r="L7391" s="18">
        <v>0</v>
      </c>
      <c r="Q7391" s="18">
        <v>0</v>
      </c>
      <c r="U7391" s="22">
        <v>0.83</v>
      </c>
      <c r="V7391" s="22">
        <f>3.48/5</f>
        <v>0.69599999999999995</v>
      </c>
      <c r="X7391" s="3">
        <v>3</v>
      </c>
      <c r="Z7391" s="23">
        <v>1.5</v>
      </c>
      <c r="AB7391" s="18">
        <f t="shared" si="230"/>
        <v>2001</v>
      </c>
      <c r="AC7391" s="22">
        <f t="shared" si="231"/>
        <v>0.70866666666666667</v>
      </c>
    </row>
    <row r="7392" spans="1:29" ht="25.5">
      <c r="A7392" s="8" t="s">
        <v>4825</v>
      </c>
      <c r="B7392" s="17" t="s">
        <v>7800</v>
      </c>
      <c r="C7392" s="13">
        <v>37214</v>
      </c>
      <c r="D7392" s="13" t="s">
        <v>8465</v>
      </c>
      <c r="E7392" s="10" t="s">
        <v>1273</v>
      </c>
      <c r="F7392" s="10" t="s">
        <v>4826</v>
      </c>
      <c r="G7392" s="11" t="s">
        <v>1724</v>
      </c>
      <c r="H7392" s="2" t="s">
        <v>1050</v>
      </c>
      <c r="L7392" s="18">
        <v>1</v>
      </c>
      <c r="N7392" s="13">
        <v>42167</v>
      </c>
      <c r="O7392" s="29">
        <v>2.4900000000000002</v>
      </c>
      <c r="P7392" s="18" t="s">
        <v>1107</v>
      </c>
      <c r="Q7392" s="18">
        <v>0</v>
      </c>
      <c r="U7392" s="22">
        <v>0.87</v>
      </c>
      <c r="V7392" s="22">
        <f>3.9/5</f>
        <v>0.78</v>
      </c>
      <c r="W7392" s="14" t="s">
        <v>7777</v>
      </c>
      <c r="X7392" s="3">
        <v>3</v>
      </c>
      <c r="Z7392" s="23">
        <v>8</v>
      </c>
      <c r="AB7392" s="18">
        <f t="shared" si="230"/>
        <v>2001</v>
      </c>
      <c r="AC7392" s="22">
        <f t="shared" si="231"/>
        <v>0.75</v>
      </c>
    </row>
    <row r="7393" spans="1:29" ht="30">
      <c r="A7393" s="8" t="s">
        <v>2074</v>
      </c>
      <c r="B7393" s="17" t="s">
        <v>7747</v>
      </c>
      <c r="C7393" s="13">
        <v>37214</v>
      </c>
      <c r="D7393" s="13" t="s">
        <v>8465</v>
      </c>
      <c r="E7393" s="10" t="s">
        <v>86</v>
      </c>
      <c r="F7393" s="10" t="s">
        <v>142</v>
      </c>
      <c r="G7393" s="11" t="s">
        <v>1428</v>
      </c>
      <c r="H7393" s="2" t="s">
        <v>64</v>
      </c>
      <c r="L7393" s="18">
        <v>0</v>
      </c>
      <c r="Q7393" s="18">
        <v>0</v>
      </c>
      <c r="U7393" s="22">
        <v>0.85</v>
      </c>
      <c r="V7393" s="22">
        <f>3.97/5</f>
        <v>0.79400000000000004</v>
      </c>
      <c r="X7393" s="3">
        <v>4</v>
      </c>
      <c r="Z7393" s="23">
        <v>6</v>
      </c>
      <c r="AB7393" s="18">
        <f t="shared" si="230"/>
        <v>2001</v>
      </c>
      <c r="AC7393" s="22">
        <f t="shared" si="231"/>
        <v>0.81466666666666665</v>
      </c>
    </row>
    <row r="7394" spans="1:29" ht="25.5">
      <c r="A7394" s="8" t="s">
        <v>11486</v>
      </c>
      <c r="B7394" s="17" t="s">
        <v>7764</v>
      </c>
      <c r="C7394" s="13">
        <v>37214</v>
      </c>
      <c r="D7394" s="13" t="s">
        <v>8465</v>
      </c>
      <c r="E7394" s="10" t="s">
        <v>3740</v>
      </c>
      <c r="F7394" s="10" t="s">
        <v>11487</v>
      </c>
      <c r="G7394" s="11" t="s">
        <v>11488</v>
      </c>
      <c r="H7394" s="2" t="s">
        <v>255</v>
      </c>
      <c r="L7394" s="18">
        <v>0</v>
      </c>
      <c r="Q7394" s="18">
        <v>0</v>
      </c>
      <c r="U7394" s="22">
        <v>0.78</v>
      </c>
      <c r="V7394" s="22">
        <f>3.38/5</f>
        <v>0.67599999999999993</v>
      </c>
      <c r="X7394" s="3">
        <v>2</v>
      </c>
      <c r="Y7394" s="18">
        <v>1</v>
      </c>
      <c r="Z7394" s="23">
        <v>20</v>
      </c>
      <c r="AB7394" s="18">
        <f t="shared" si="230"/>
        <v>2001</v>
      </c>
      <c r="AC7394" s="22">
        <f t="shared" si="231"/>
        <v>0.61866666666666659</v>
      </c>
    </row>
    <row r="7395" spans="1:29">
      <c r="A7395" s="8" t="s">
        <v>14656</v>
      </c>
      <c r="B7395" s="17" t="s">
        <v>7764</v>
      </c>
      <c r="C7395" s="13">
        <v>37214</v>
      </c>
      <c r="D7395" s="13" t="s">
        <v>8465</v>
      </c>
      <c r="E7395" s="10" t="s">
        <v>3014</v>
      </c>
      <c r="F7395" s="10" t="s">
        <v>1355</v>
      </c>
      <c r="H7395" s="2" t="s">
        <v>459</v>
      </c>
      <c r="L7395" s="18">
        <v>0</v>
      </c>
      <c r="Q7395" s="18">
        <v>0</v>
      </c>
      <c r="U7395" s="22">
        <v>0.32</v>
      </c>
      <c r="V7395" s="22">
        <f>2.14/5</f>
        <v>0.42800000000000005</v>
      </c>
      <c r="X7395" s="3">
        <v>2</v>
      </c>
      <c r="Z7395" s="23">
        <f>46/60</f>
        <v>0.76666666666666672</v>
      </c>
      <c r="AB7395" s="18">
        <f t="shared" si="230"/>
        <v>2001</v>
      </c>
      <c r="AC7395" s="22">
        <f t="shared" si="231"/>
        <v>0.38266666666666671</v>
      </c>
    </row>
    <row r="7396" spans="1:29" ht="30">
      <c r="A7396" s="8" t="s">
        <v>1065</v>
      </c>
      <c r="B7396" s="17" t="s">
        <v>7740</v>
      </c>
      <c r="C7396" s="13">
        <v>37213</v>
      </c>
      <c r="D7396" s="13" t="s">
        <v>8465</v>
      </c>
      <c r="E7396" s="10" t="s">
        <v>455</v>
      </c>
      <c r="F7396" s="10" t="s">
        <v>1494</v>
      </c>
      <c r="G7396" s="11" t="s">
        <v>1065</v>
      </c>
      <c r="H7396" s="2" t="s">
        <v>1040</v>
      </c>
      <c r="L7396" s="18">
        <v>0</v>
      </c>
      <c r="Q7396" s="18">
        <v>0</v>
      </c>
      <c r="U7396" s="22">
        <v>0.89</v>
      </c>
      <c r="V7396" s="22">
        <f>3.79/5</f>
        <v>0.75800000000000001</v>
      </c>
      <c r="X7396" s="3">
        <v>4</v>
      </c>
      <c r="Z7396" s="23">
        <v>5</v>
      </c>
      <c r="AB7396" s="18">
        <f t="shared" si="230"/>
        <v>2001</v>
      </c>
      <c r="AC7396" s="22">
        <f t="shared" si="231"/>
        <v>0.81600000000000017</v>
      </c>
    </row>
    <row r="7397" spans="1:29" ht="38.25">
      <c r="A7397" s="8" t="s">
        <v>931</v>
      </c>
      <c r="B7397" s="17" t="s">
        <v>7740</v>
      </c>
      <c r="C7397" s="13">
        <v>37213</v>
      </c>
      <c r="D7397" s="13" t="s">
        <v>8465</v>
      </c>
      <c r="E7397" s="10" t="s">
        <v>1284</v>
      </c>
      <c r="F7397" s="10" t="s">
        <v>1322</v>
      </c>
      <c r="G7397" s="11" t="s">
        <v>6738</v>
      </c>
      <c r="H7397" s="2" t="s">
        <v>6563</v>
      </c>
      <c r="L7397" s="18">
        <v>0</v>
      </c>
      <c r="Q7397" s="18">
        <v>0</v>
      </c>
      <c r="U7397" s="22">
        <v>0.9</v>
      </c>
      <c r="V7397" s="22">
        <f>3.99/5</f>
        <v>0.79800000000000004</v>
      </c>
      <c r="X7397" s="3">
        <v>3</v>
      </c>
      <c r="Z7397" s="23">
        <v>7</v>
      </c>
      <c r="AB7397" s="18">
        <f t="shared" si="230"/>
        <v>2001</v>
      </c>
      <c r="AC7397" s="22">
        <f t="shared" si="231"/>
        <v>0.76600000000000001</v>
      </c>
    </row>
    <row r="7398" spans="1:29" ht="30">
      <c r="A7398" s="8" t="s">
        <v>15904</v>
      </c>
      <c r="B7398" s="17" t="s">
        <v>7740</v>
      </c>
      <c r="C7398" s="13">
        <v>37213</v>
      </c>
      <c r="D7398" s="13" t="s">
        <v>8465</v>
      </c>
      <c r="E7398" s="10" t="s">
        <v>1047</v>
      </c>
      <c r="F7398" s="10" t="s">
        <v>1048</v>
      </c>
      <c r="G7398" s="11" t="s">
        <v>207</v>
      </c>
      <c r="H7398" s="2" t="s">
        <v>80</v>
      </c>
      <c r="L7398" s="18">
        <v>0</v>
      </c>
      <c r="Q7398" s="18">
        <v>0</v>
      </c>
      <c r="U7398" s="22">
        <v>0.7</v>
      </c>
      <c r="V7398" s="22">
        <f>3.26/5</f>
        <v>0.65199999999999991</v>
      </c>
      <c r="X7398" s="3">
        <v>2</v>
      </c>
      <c r="Z7398" s="23">
        <v>7.5</v>
      </c>
      <c r="AB7398" s="18">
        <f t="shared" si="230"/>
        <v>2001</v>
      </c>
      <c r="AC7398" s="22">
        <f t="shared" si="231"/>
        <v>0.58399999999999996</v>
      </c>
    </row>
    <row r="7399" spans="1:29" ht="30">
      <c r="A7399" s="8" t="s">
        <v>6623</v>
      </c>
      <c r="B7399" s="17" t="s">
        <v>7740</v>
      </c>
      <c r="C7399" s="13">
        <v>37212</v>
      </c>
      <c r="D7399" s="13" t="s">
        <v>8465</v>
      </c>
      <c r="E7399" s="10" t="s">
        <v>86</v>
      </c>
      <c r="F7399" s="10" t="s">
        <v>1506</v>
      </c>
      <c r="G7399" s="11" t="s">
        <v>6602</v>
      </c>
      <c r="H7399" s="2" t="s">
        <v>150</v>
      </c>
      <c r="L7399" s="18">
        <v>0</v>
      </c>
      <c r="Q7399" s="18">
        <v>0</v>
      </c>
      <c r="U7399" s="22">
        <v>0.83</v>
      </c>
      <c r="V7399" s="22">
        <f>3.53/5</f>
        <v>0.70599999999999996</v>
      </c>
      <c r="X7399" s="3">
        <v>3</v>
      </c>
      <c r="Z7399" s="23">
        <v>4</v>
      </c>
      <c r="AB7399" s="18">
        <f t="shared" si="230"/>
        <v>2001</v>
      </c>
      <c r="AC7399" s="22">
        <f t="shared" si="231"/>
        <v>0.71200000000000008</v>
      </c>
    </row>
    <row r="7400" spans="1:29" ht="25.5">
      <c r="A7400" s="8" t="s">
        <v>13447</v>
      </c>
      <c r="B7400" s="17" t="s">
        <v>7746</v>
      </c>
      <c r="C7400" s="13">
        <v>37211</v>
      </c>
      <c r="D7400" s="13" t="s">
        <v>8465</v>
      </c>
      <c r="E7400" s="10" t="s">
        <v>231</v>
      </c>
      <c r="F7400" s="10" t="s">
        <v>2143</v>
      </c>
      <c r="G7400" s="11" t="s">
        <v>13449</v>
      </c>
      <c r="H7400" s="2" t="s">
        <v>149</v>
      </c>
      <c r="L7400" s="18">
        <v>0</v>
      </c>
      <c r="Q7400" s="18">
        <v>0</v>
      </c>
      <c r="V7400" s="22">
        <f>3.5/5</f>
        <v>0.7</v>
      </c>
      <c r="X7400" s="3">
        <v>2</v>
      </c>
      <c r="Z7400" s="23">
        <v>6</v>
      </c>
      <c r="AB7400" s="18">
        <f t="shared" si="230"/>
        <v>2001</v>
      </c>
      <c r="AC7400" s="22">
        <f t="shared" si="231"/>
        <v>0.55000000000000004</v>
      </c>
    </row>
    <row r="7401" spans="1:29">
      <c r="A7401" s="8" t="s">
        <v>14919</v>
      </c>
      <c r="B7401" s="17" t="s">
        <v>7758</v>
      </c>
      <c r="C7401" s="13">
        <v>37211</v>
      </c>
      <c r="D7401" s="13" t="s">
        <v>8465</v>
      </c>
      <c r="E7401" s="10" t="s">
        <v>158</v>
      </c>
      <c r="F7401" s="10" t="s">
        <v>2741</v>
      </c>
      <c r="H7401" s="2" t="s">
        <v>1170</v>
      </c>
      <c r="L7401" s="18">
        <v>0</v>
      </c>
      <c r="Q7401" s="18">
        <v>0</v>
      </c>
      <c r="U7401" s="22">
        <v>0.65</v>
      </c>
      <c r="V7401" s="22">
        <f>3.67/5</f>
        <v>0.73399999999999999</v>
      </c>
      <c r="X7401" s="3">
        <v>2</v>
      </c>
      <c r="Z7401" s="23">
        <f>43/60</f>
        <v>0.71666666666666667</v>
      </c>
      <c r="AB7401" s="18">
        <f t="shared" si="230"/>
        <v>2001</v>
      </c>
      <c r="AC7401" s="22">
        <f t="shared" si="231"/>
        <v>0.59466666666666657</v>
      </c>
    </row>
    <row r="7402" spans="1:29">
      <c r="A7402" s="8" t="s">
        <v>11072</v>
      </c>
      <c r="B7402" s="17" t="s">
        <v>7764</v>
      </c>
      <c r="C7402" s="13">
        <v>37210</v>
      </c>
      <c r="D7402" s="13" t="s">
        <v>8465</v>
      </c>
      <c r="E7402" s="10" t="s">
        <v>76</v>
      </c>
      <c r="F7402" s="10" t="s">
        <v>1136</v>
      </c>
      <c r="G7402" s="11" t="s">
        <v>10281</v>
      </c>
      <c r="H7402" s="2" t="s">
        <v>459</v>
      </c>
      <c r="L7402" s="18">
        <v>1</v>
      </c>
      <c r="N7402" s="13">
        <v>44698</v>
      </c>
      <c r="O7402" s="29">
        <v>11.99</v>
      </c>
      <c r="P7402" s="18" t="s">
        <v>1107</v>
      </c>
      <c r="Q7402" s="18">
        <v>0</v>
      </c>
      <c r="U7402" s="22">
        <v>0.87</v>
      </c>
      <c r="V7402" s="22">
        <f>4/5</f>
        <v>0.8</v>
      </c>
      <c r="X7402" s="3">
        <v>2</v>
      </c>
      <c r="Z7402" s="23">
        <v>3</v>
      </c>
      <c r="AB7402" s="18">
        <f t="shared" si="230"/>
        <v>2001</v>
      </c>
      <c r="AC7402" s="22">
        <f t="shared" si="231"/>
        <v>0.69</v>
      </c>
    </row>
    <row r="7403" spans="1:29">
      <c r="A7403" s="8" t="s">
        <v>11482</v>
      </c>
      <c r="B7403" s="17" t="s">
        <v>7764</v>
      </c>
      <c r="C7403" s="13">
        <v>37210</v>
      </c>
      <c r="D7403" s="13" t="s">
        <v>8465</v>
      </c>
      <c r="E7403" s="10" t="s">
        <v>3740</v>
      </c>
      <c r="F7403" s="10" t="s">
        <v>1052</v>
      </c>
      <c r="G7403" s="11" t="s">
        <v>11482</v>
      </c>
      <c r="H7403" s="2" t="s">
        <v>150</v>
      </c>
      <c r="L7403" s="18">
        <v>0</v>
      </c>
      <c r="Q7403" s="18">
        <v>0</v>
      </c>
      <c r="U7403" s="22">
        <v>0.85</v>
      </c>
      <c r="V7403" s="22">
        <f>3.85/5</f>
        <v>0.77</v>
      </c>
      <c r="X7403" s="3">
        <v>2</v>
      </c>
      <c r="Y7403" s="18">
        <v>1</v>
      </c>
      <c r="Z7403" s="23">
        <v>7</v>
      </c>
      <c r="AB7403" s="18">
        <f t="shared" si="230"/>
        <v>2001</v>
      </c>
      <c r="AC7403" s="22">
        <f t="shared" si="231"/>
        <v>0.67333333333333334</v>
      </c>
    </row>
    <row r="7404" spans="1:29">
      <c r="A7404" s="8" t="s">
        <v>14732</v>
      </c>
      <c r="B7404" s="17" t="s">
        <v>7764</v>
      </c>
      <c r="C7404" s="13">
        <v>37210</v>
      </c>
      <c r="D7404" s="13" t="s">
        <v>8465</v>
      </c>
      <c r="E7404" s="10" t="s">
        <v>72</v>
      </c>
      <c r="F7404" s="10" t="s">
        <v>72</v>
      </c>
      <c r="G7404" s="11" t="s">
        <v>14731</v>
      </c>
      <c r="H7404" s="2" t="s">
        <v>7594</v>
      </c>
      <c r="L7404" s="18">
        <v>0</v>
      </c>
      <c r="Q7404" s="18">
        <v>0</v>
      </c>
      <c r="U7404" s="22">
        <v>0.61</v>
      </c>
      <c r="V7404" s="22">
        <f>3.79/5</f>
        <v>0.75800000000000001</v>
      </c>
      <c r="X7404" s="3">
        <v>2</v>
      </c>
      <c r="Z7404" s="23">
        <v>4</v>
      </c>
      <c r="AB7404" s="18">
        <f t="shared" si="230"/>
        <v>2001</v>
      </c>
      <c r="AC7404" s="22">
        <f t="shared" si="231"/>
        <v>0.58933333333333326</v>
      </c>
    </row>
    <row r="7405" spans="1:29">
      <c r="A7405" s="8" t="s">
        <v>7085</v>
      </c>
      <c r="B7405" s="17" t="s">
        <v>7800</v>
      </c>
      <c r="C7405" s="13">
        <v>37209</v>
      </c>
      <c r="D7405" s="13" t="s">
        <v>8465</v>
      </c>
      <c r="E7405" s="10" t="s">
        <v>5565</v>
      </c>
      <c r="F7405" s="10" t="s">
        <v>7086</v>
      </c>
      <c r="G7405" s="11" t="s">
        <v>5566</v>
      </c>
      <c r="H7405" s="2" t="s">
        <v>1720</v>
      </c>
      <c r="L7405" s="18">
        <v>1</v>
      </c>
      <c r="O7405" s="29">
        <v>0</v>
      </c>
      <c r="P7405" s="18" t="s">
        <v>1107</v>
      </c>
      <c r="Q7405" s="18">
        <v>0</v>
      </c>
      <c r="U7405" s="22">
        <v>0.85</v>
      </c>
      <c r="V7405" s="22">
        <f>4.3/5</f>
        <v>0.86</v>
      </c>
      <c r="W7405" s="14" t="s">
        <v>7799</v>
      </c>
      <c r="X7405" s="3">
        <v>3</v>
      </c>
      <c r="Z7405" s="23">
        <v>91.5</v>
      </c>
      <c r="AB7405" s="18">
        <f t="shared" si="230"/>
        <v>2001</v>
      </c>
      <c r="AC7405" s="22">
        <f t="shared" si="231"/>
        <v>0.77</v>
      </c>
    </row>
    <row r="7406" spans="1:29">
      <c r="A7406" s="8" t="s">
        <v>7678</v>
      </c>
      <c r="B7406" s="17" t="s">
        <v>7746</v>
      </c>
      <c r="C7406" s="13">
        <v>37209</v>
      </c>
      <c r="D7406" s="13" t="s">
        <v>8465</v>
      </c>
      <c r="E7406" s="10" t="s">
        <v>66</v>
      </c>
      <c r="F7406" s="10" t="s">
        <v>1468</v>
      </c>
      <c r="G7406" s="11" t="s">
        <v>710</v>
      </c>
      <c r="H7406" s="2" t="s">
        <v>1334</v>
      </c>
      <c r="L7406" s="18">
        <v>0</v>
      </c>
      <c r="Q7406" s="18">
        <v>0</v>
      </c>
      <c r="U7406" s="22">
        <v>0.78</v>
      </c>
      <c r="V7406" s="22">
        <f>3.84/5</f>
        <v>0.76800000000000002</v>
      </c>
      <c r="X7406" s="3">
        <v>3</v>
      </c>
      <c r="Z7406" s="23">
        <v>20</v>
      </c>
      <c r="AB7406" s="18">
        <f t="shared" si="230"/>
        <v>2001</v>
      </c>
      <c r="AC7406" s="22">
        <f t="shared" si="231"/>
        <v>0.71600000000000008</v>
      </c>
    </row>
    <row r="7407" spans="1:29" ht="25.5">
      <c r="A7407" s="8" t="s">
        <v>5851</v>
      </c>
      <c r="B7407" s="17" t="s">
        <v>7758</v>
      </c>
      <c r="C7407" s="13">
        <v>37208</v>
      </c>
      <c r="D7407" s="13" t="s">
        <v>8465</v>
      </c>
      <c r="E7407" s="10" t="s">
        <v>72</v>
      </c>
      <c r="F7407" s="10" t="s">
        <v>72</v>
      </c>
      <c r="G7407" s="11" t="s">
        <v>220</v>
      </c>
      <c r="H7407" s="2" t="s">
        <v>245</v>
      </c>
      <c r="L7407" s="18">
        <v>0</v>
      </c>
      <c r="Q7407" s="18">
        <v>0</v>
      </c>
      <c r="U7407" s="22">
        <v>0.95</v>
      </c>
      <c r="V7407" s="22">
        <f>4.28/5</f>
        <v>0.85600000000000009</v>
      </c>
      <c r="X7407" s="3">
        <v>5</v>
      </c>
      <c r="Z7407" s="23">
        <v>13</v>
      </c>
      <c r="AB7407" s="18">
        <f t="shared" si="230"/>
        <v>2001</v>
      </c>
      <c r="AC7407" s="22">
        <f t="shared" si="231"/>
        <v>0.93533333333333335</v>
      </c>
    </row>
    <row r="7408" spans="1:29">
      <c r="A7408" s="8" t="s">
        <v>4069</v>
      </c>
      <c r="B7408" s="17" t="s">
        <v>7758</v>
      </c>
      <c r="C7408" s="13">
        <v>37206</v>
      </c>
      <c r="D7408" s="13" t="s">
        <v>8465</v>
      </c>
      <c r="E7408" s="10" t="s">
        <v>6945</v>
      </c>
      <c r="F7408" s="10" t="s">
        <v>3154</v>
      </c>
      <c r="G7408" s="11" t="s">
        <v>4069</v>
      </c>
      <c r="H7408" s="2" t="s">
        <v>1050</v>
      </c>
      <c r="L7408" s="18">
        <v>0</v>
      </c>
      <c r="Q7408" s="18">
        <v>0</v>
      </c>
      <c r="U7408" s="22">
        <v>0.87</v>
      </c>
      <c r="V7408" s="22">
        <f>3.92/5</f>
        <v>0.78400000000000003</v>
      </c>
      <c r="X7408" s="3">
        <v>2</v>
      </c>
      <c r="Z7408" s="23">
        <v>12</v>
      </c>
      <c r="AB7408" s="18">
        <f t="shared" si="230"/>
        <v>2001</v>
      </c>
      <c r="AC7408" s="22">
        <f t="shared" si="231"/>
        <v>0.68466666666666665</v>
      </c>
    </row>
    <row r="7409" spans="1:29" ht="25.5">
      <c r="A7409" s="8" t="s">
        <v>5114</v>
      </c>
      <c r="B7409" s="17" t="s">
        <v>7800</v>
      </c>
      <c r="C7409" s="13">
        <v>37204</v>
      </c>
      <c r="D7409" s="13" t="s">
        <v>8465</v>
      </c>
      <c r="E7409" s="10" t="s">
        <v>1284</v>
      </c>
      <c r="F7409" s="10" t="s">
        <v>5115</v>
      </c>
      <c r="G7409" s="11" t="s">
        <v>1481</v>
      </c>
      <c r="H7409" s="2" t="s">
        <v>1143</v>
      </c>
      <c r="L7409" s="18">
        <v>1</v>
      </c>
      <c r="N7409" s="13">
        <v>42430</v>
      </c>
      <c r="P7409" s="18" t="s">
        <v>1107</v>
      </c>
      <c r="Q7409" s="18">
        <v>0</v>
      </c>
      <c r="U7409" s="22">
        <v>0.77</v>
      </c>
      <c r="V7409" s="22">
        <f>3.72/5</f>
        <v>0.74399999999999999</v>
      </c>
      <c r="W7409" s="14" t="s">
        <v>7777</v>
      </c>
      <c r="X7409" s="3">
        <v>3</v>
      </c>
      <c r="Z7409" s="23">
        <v>25</v>
      </c>
      <c r="AB7409" s="18">
        <f t="shared" si="230"/>
        <v>2001</v>
      </c>
      <c r="AC7409" s="22">
        <f t="shared" si="231"/>
        <v>0.70466666666666666</v>
      </c>
    </row>
    <row r="7410" spans="1:29" ht="30">
      <c r="A7410" s="8" t="s">
        <v>2040</v>
      </c>
      <c r="B7410" s="17" t="s">
        <v>7747</v>
      </c>
      <c r="C7410" s="13">
        <v>37202</v>
      </c>
      <c r="D7410" s="13" t="s">
        <v>8465</v>
      </c>
      <c r="E7410" s="10" t="s">
        <v>1945</v>
      </c>
      <c r="F7410" s="10" t="s">
        <v>1865</v>
      </c>
      <c r="G7410" s="11" t="s">
        <v>1975</v>
      </c>
      <c r="H7410" s="2" t="s">
        <v>56</v>
      </c>
      <c r="L7410" s="18">
        <v>0</v>
      </c>
      <c r="Q7410" s="18">
        <v>0</v>
      </c>
      <c r="U7410" s="22">
        <v>0.72</v>
      </c>
      <c r="V7410" s="22">
        <f>3.19/5</f>
        <v>0.63800000000000001</v>
      </c>
      <c r="X7410" s="3">
        <v>3</v>
      </c>
      <c r="Z7410" s="23">
        <v>5</v>
      </c>
      <c r="AB7410" s="18">
        <f t="shared" si="230"/>
        <v>2001</v>
      </c>
      <c r="AC7410" s="22">
        <f t="shared" si="231"/>
        <v>0.65266666666666673</v>
      </c>
    </row>
    <row r="7411" spans="1:29" ht="38.25">
      <c r="A7411" s="8" t="s">
        <v>6673</v>
      </c>
      <c r="B7411" s="17" t="s">
        <v>7758</v>
      </c>
      <c r="C7411" s="13">
        <v>37201</v>
      </c>
      <c r="D7411" s="13" t="s">
        <v>8465</v>
      </c>
      <c r="E7411" s="10" t="s">
        <v>73</v>
      </c>
      <c r="F7411" s="10" t="s">
        <v>73</v>
      </c>
      <c r="G7411" s="11" t="s">
        <v>6671</v>
      </c>
      <c r="H7411" s="2" t="s">
        <v>459</v>
      </c>
      <c r="L7411" s="18">
        <v>0</v>
      </c>
      <c r="Q7411" s="18">
        <v>0</v>
      </c>
      <c r="U7411" s="22">
        <v>0.82</v>
      </c>
      <c r="V7411" s="22">
        <f>4.17/5</f>
        <v>0.83399999999999996</v>
      </c>
      <c r="X7411" s="3">
        <v>3</v>
      </c>
      <c r="Z7411" s="23">
        <v>1</v>
      </c>
      <c r="AB7411" s="18">
        <f t="shared" si="230"/>
        <v>2001</v>
      </c>
      <c r="AC7411" s="22">
        <f t="shared" si="231"/>
        <v>0.7513333333333333</v>
      </c>
    </row>
    <row r="7412" spans="1:29">
      <c r="A7412" s="8" t="s">
        <v>2957</v>
      </c>
      <c r="B7412" s="17" t="s">
        <v>7757</v>
      </c>
      <c r="C7412" s="13">
        <v>37201</v>
      </c>
      <c r="D7412" s="13" t="s">
        <v>8465</v>
      </c>
      <c r="E7412" s="10" t="s">
        <v>1290</v>
      </c>
      <c r="F7412" s="10" t="s">
        <v>3028</v>
      </c>
      <c r="G7412" s="11" t="s">
        <v>2996</v>
      </c>
      <c r="H7412" s="2" t="s">
        <v>245</v>
      </c>
      <c r="L7412" s="18">
        <v>0</v>
      </c>
      <c r="Q7412" s="18">
        <v>0</v>
      </c>
      <c r="U7412" s="22">
        <v>0.75</v>
      </c>
      <c r="V7412" s="22">
        <f>3.83/5</f>
        <v>0.76600000000000001</v>
      </c>
      <c r="X7412" s="3">
        <v>3</v>
      </c>
      <c r="Z7412" s="23">
        <v>7.5</v>
      </c>
      <c r="AB7412" s="18">
        <f t="shared" si="230"/>
        <v>2001</v>
      </c>
      <c r="AC7412" s="22">
        <f t="shared" si="231"/>
        <v>0.70533333333333337</v>
      </c>
    </row>
    <row r="7413" spans="1:29" ht="38.25">
      <c r="A7413" s="8" t="s">
        <v>2011</v>
      </c>
      <c r="B7413" s="17" t="s">
        <v>7747</v>
      </c>
      <c r="C7413" s="13">
        <v>37201</v>
      </c>
      <c r="D7413" s="13" t="s">
        <v>8465</v>
      </c>
      <c r="E7413" s="10" t="s">
        <v>1273</v>
      </c>
      <c r="F7413" s="10" t="s">
        <v>1956</v>
      </c>
      <c r="G7413" s="11" t="s">
        <v>2092</v>
      </c>
      <c r="H7413" s="2" t="s">
        <v>153</v>
      </c>
      <c r="L7413" s="18">
        <v>0</v>
      </c>
      <c r="Q7413" s="18">
        <v>0</v>
      </c>
      <c r="U7413" s="22">
        <v>0.74</v>
      </c>
      <c r="V7413" s="22">
        <f>3.17/5</f>
        <v>0.63400000000000001</v>
      </c>
      <c r="X7413" s="3">
        <v>3</v>
      </c>
      <c r="Z7413" s="23">
        <v>3</v>
      </c>
      <c r="AB7413" s="18">
        <f t="shared" si="230"/>
        <v>2001</v>
      </c>
      <c r="AC7413" s="22">
        <f t="shared" si="231"/>
        <v>0.65800000000000003</v>
      </c>
    </row>
    <row r="7414" spans="1:29">
      <c r="A7414" s="8" t="s">
        <v>7172</v>
      </c>
      <c r="B7414" s="17" t="s">
        <v>7800</v>
      </c>
      <c r="C7414" s="13">
        <v>37197</v>
      </c>
      <c r="D7414" s="13" t="s">
        <v>8465</v>
      </c>
      <c r="E7414" s="10" t="s">
        <v>1480</v>
      </c>
      <c r="F7414" s="10" t="s">
        <v>7240</v>
      </c>
      <c r="G7414" s="11" t="s">
        <v>7239</v>
      </c>
      <c r="H7414" s="2" t="s">
        <v>1143</v>
      </c>
      <c r="L7414" s="18">
        <v>0</v>
      </c>
      <c r="Q7414" s="18">
        <v>0</v>
      </c>
      <c r="U7414" s="22">
        <v>0.77</v>
      </c>
      <c r="V7414" s="22">
        <f>3.46/5</f>
        <v>0.69199999999999995</v>
      </c>
      <c r="X7414" s="3">
        <v>3</v>
      </c>
      <c r="Z7414" s="23">
        <v>9.5</v>
      </c>
      <c r="AB7414" s="18">
        <f t="shared" si="230"/>
        <v>2001</v>
      </c>
      <c r="AC7414" s="22">
        <f t="shared" si="231"/>
        <v>0.68733333333333324</v>
      </c>
    </row>
    <row r="7415" spans="1:29" ht="25.5">
      <c r="A7415" s="8" t="s">
        <v>13061</v>
      </c>
      <c r="B7415" s="17" t="s">
        <v>7746</v>
      </c>
      <c r="C7415" s="13">
        <v>37197</v>
      </c>
      <c r="D7415" s="13" t="s">
        <v>8463</v>
      </c>
      <c r="E7415" s="10" t="s">
        <v>13058</v>
      </c>
      <c r="F7415" s="10" t="s">
        <v>13062</v>
      </c>
      <c r="H7415" s="2" t="s">
        <v>149</v>
      </c>
      <c r="K7415" s="18">
        <v>1</v>
      </c>
      <c r="L7415" s="18">
        <v>0</v>
      </c>
      <c r="Q7415" s="18">
        <v>0</v>
      </c>
      <c r="V7415" s="22">
        <f>4/5</f>
        <v>0.8</v>
      </c>
      <c r="X7415" s="3">
        <v>2</v>
      </c>
      <c r="AB7415" s="18">
        <f t="shared" si="230"/>
        <v>2001</v>
      </c>
      <c r="AC7415" s="22">
        <f t="shared" si="231"/>
        <v>0.60000000000000009</v>
      </c>
    </row>
    <row r="7416" spans="1:29" ht="25.5">
      <c r="A7416" s="8" t="s">
        <v>5639</v>
      </c>
      <c r="B7416" s="17" t="s">
        <v>7758</v>
      </c>
      <c r="C7416" s="13">
        <v>37197</v>
      </c>
      <c r="D7416" s="13" t="s">
        <v>8467</v>
      </c>
      <c r="E7416" s="10" t="s">
        <v>72</v>
      </c>
      <c r="F7416" s="10" t="s">
        <v>5115</v>
      </c>
      <c r="G7416" s="11" t="s">
        <v>3118</v>
      </c>
      <c r="H7416" s="2" t="s">
        <v>1143</v>
      </c>
      <c r="L7416" s="18">
        <v>0</v>
      </c>
      <c r="Q7416" s="18">
        <v>0</v>
      </c>
      <c r="V7416" s="22">
        <f>3.32/5</f>
        <v>0.66399999999999992</v>
      </c>
      <c r="X7416" s="3">
        <v>2</v>
      </c>
      <c r="Z7416" s="23">
        <v>41.5</v>
      </c>
      <c r="AB7416" s="18">
        <f t="shared" si="230"/>
        <v>2001</v>
      </c>
      <c r="AC7416" s="22">
        <f t="shared" si="231"/>
        <v>0.53200000000000003</v>
      </c>
    </row>
    <row r="7417" spans="1:29">
      <c r="A7417" s="8" t="s">
        <v>3394</v>
      </c>
      <c r="B7417" s="17" t="s">
        <v>7758</v>
      </c>
      <c r="C7417" s="13">
        <v>37196</v>
      </c>
      <c r="D7417" s="13" t="s">
        <v>8465</v>
      </c>
      <c r="E7417" s="10" t="s">
        <v>154</v>
      </c>
      <c r="F7417" s="10" t="s">
        <v>3393</v>
      </c>
      <c r="G7417" s="11" t="s">
        <v>3394</v>
      </c>
      <c r="H7417" s="2" t="s">
        <v>150</v>
      </c>
      <c r="L7417" s="18">
        <v>0</v>
      </c>
      <c r="Q7417" s="18">
        <v>0</v>
      </c>
      <c r="U7417" s="22">
        <v>0.8</v>
      </c>
      <c r="V7417" s="22">
        <f>3.28/5</f>
        <v>0.65599999999999992</v>
      </c>
      <c r="X7417" s="3">
        <v>3</v>
      </c>
      <c r="Z7417" s="23">
        <v>8.5</v>
      </c>
      <c r="AB7417" s="18">
        <f t="shared" si="230"/>
        <v>2001</v>
      </c>
      <c r="AC7417" s="22">
        <f t="shared" si="231"/>
        <v>0.68533333333333335</v>
      </c>
    </row>
    <row r="7418" spans="1:29" ht="25.5">
      <c r="A7418" s="8" t="s">
        <v>7908</v>
      </c>
      <c r="B7418" s="17" t="s">
        <v>7758</v>
      </c>
      <c r="C7418" s="13">
        <v>37196</v>
      </c>
      <c r="D7418" s="13" t="s">
        <v>8465</v>
      </c>
      <c r="E7418" s="10" t="s">
        <v>158</v>
      </c>
      <c r="F7418" s="10" t="s">
        <v>158</v>
      </c>
      <c r="G7418" s="11" t="s">
        <v>3101</v>
      </c>
      <c r="H7418" s="2" t="s">
        <v>7594</v>
      </c>
      <c r="L7418" s="18">
        <v>0</v>
      </c>
      <c r="Q7418" s="18">
        <v>0</v>
      </c>
      <c r="U7418" s="22">
        <v>0.86070000000000002</v>
      </c>
      <c r="V7418" s="22">
        <f>4.17/5</f>
        <v>0.83399999999999996</v>
      </c>
      <c r="X7418" s="3">
        <v>2</v>
      </c>
      <c r="Z7418" s="23">
        <v>4</v>
      </c>
      <c r="AB7418" s="18">
        <f t="shared" si="230"/>
        <v>2001</v>
      </c>
      <c r="AC7418" s="22">
        <f t="shared" si="231"/>
        <v>0.69823333333333337</v>
      </c>
    </row>
    <row r="7419" spans="1:29" ht="25.5">
      <c r="A7419" s="8" t="s">
        <v>13268</v>
      </c>
      <c r="B7419" s="17" t="s">
        <v>7800</v>
      </c>
      <c r="C7419" s="13">
        <v>37195</v>
      </c>
      <c r="D7419" s="13" t="s">
        <v>8465</v>
      </c>
      <c r="E7419" s="10" t="s">
        <v>6923</v>
      </c>
      <c r="F7419" s="10" t="s">
        <v>3487</v>
      </c>
      <c r="G7419" s="11" t="s">
        <v>7525</v>
      </c>
      <c r="H7419" s="2" t="s">
        <v>1050</v>
      </c>
      <c r="L7419" s="18">
        <v>0</v>
      </c>
      <c r="Q7419" s="18">
        <v>0</v>
      </c>
      <c r="U7419" s="22">
        <v>0.85</v>
      </c>
      <c r="V7419" s="22">
        <f>3.98/5</f>
        <v>0.79600000000000004</v>
      </c>
      <c r="W7419" s="14" t="s">
        <v>13076</v>
      </c>
      <c r="X7419" s="3">
        <v>3</v>
      </c>
      <c r="Z7419" s="23">
        <v>9.5</v>
      </c>
      <c r="AB7419" s="18">
        <f t="shared" si="230"/>
        <v>2001</v>
      </c>
      <c r="AC7419" s="22">
        <f t="shared" si="231"/>
        <v>0.7486666666666667</v>
      </c>
    </row>
    <row r="7420" spans="1:29">
      <c r="A7420" s="8" t="s">
        <v>2975</v>
      </c>
      <c r="B7420" s="17" t="s">
        <v>7757</v>
      </c>
      <c r="C7420" s="13">
        <v>37195</v>
      </c>
      <c r="D7420" s="13" t="s">
        <v>8465</v>
      </c>
      <c r="E7420" s="10" t="s">
        <v>257</v>
      </c>
      <c r="F7420" s="10" t="s">
        <v>1407</v>
      </c>
      <c r="G7420" s="11" t="s">
        <v>140</v>
      </c>
      <c r="H7420" s="2" t="s">
        <v>149</v>
      </c>
      <c r="L7420" s="18">
        <v>0</v>
      </c>
      <c r="Q7420" s="18">
        <v>0</v>
      </c>
      <c r="U7420" s="22">
        <v>0.81</v>
      </c>
      <c r="V7420" s="22">
        <f>4.08/5</f>
        <v>0.81600000000000006</v>
      </c>
      <c r="X7420" s="3">
        <v>4</v>
      </c>
      <c r="Z7420" s="23">
        <v>106</v>
      </c>
      <c r="AB7420" s="18">
        <f t="shared" si="230"/>
        <v>2001</v>
      </c>
      <c r="AC7420" s="22">
        <f t="shared" si="231"/>
        <v>0.80866666666666676</v>
      </c>
    </row>
    <row r="7421" spans="1:29">
      <c r="A7421" s="8" t="s">
        <v>6661</v>
      </c>
      <c r="B7421" s="17" t="s">
        <v>7758</v>
      </c>
      <c r="C7421" s="13">
        <v>37195</v>
      </c>
      <c r="D7421" s="13" t="s">
        <v>8465</v>
      </c>
      <c r="E7421" s="10" t="s">
        <v>1870</v>
      </c>
      <c r="F7421" s="10" t="s">
        <v>1198</v>
      </c>
      <c r="G7421" s="11" t="s">
        <v>3032</v>
      </c>
      <c r="H7421" s="2" t="s">
        <v>80</v>
      </c>
      <c r="L7421" s="18">
        <v>0</v>
      </c>
      <c r="Q7421" s="18">
        <v>0</v>
      </c>
      <c r="U7421" s="22">
        <v>0.81</v>
      </c>
      <c r="V7421" s="22">
        <f>3.83/5</f>
        <v>0.76600000000000001</v>
      </c>
      <c r="X7421" s="3">
        <v>3</v>
      </c>
      <c r="Z7421" s="23">
        <v>10</v>
      </c>
      <c r="AB7421" s="18">
        <f t="shared" si="230"/>
        <v>2001</v>
      </c>
      <c r="AC7421" s="22">
        <f t="shared" si="231"/>
        <v>0.72533333333333339</v>
      </c>
    </row>
    <row r="7422" spans="1:29" ht="25.5">
      <c r="A7422" s="8" t="s">
        <v>6613</v>
      </c>
      <c r="B7422" s="17" t="s">
        <v>7758</v>
      </c>
      <c r="C7422" s="13">
        <v>37194</v>
      </c>
      <c r="D7422" s="13" t="s">
        <v>8465</v>
      </c>
      <c r="E7422" s="10" t="s">
        <v>1273</v>
      </c>
      <c r="F7422" s="10" t="s">
        <v>6604</v>
      </c>
      <c r="G7422" s="11" t="s">
        <v>6603</v>
      </c>
      <c r="H7422" s="2" t="s">
        <v>255</v>
      </c>
      <c r="L7422" s="18">
        <v>0</v>
      </c>
      <c r="Q7422" s="18">
        <v>0</v>
      </c>
      <c r="U7422" s="22">
        <v>0.93</v>
      </c>
      <c r="V7422" s="22">
        <f>3.94/5</f>
        <v>0.78800000000000003</v>
      </c>
      <c r="X7422" s="3">
        <v>3</v>
      </c>
      <c r="Z7422" s="23">
        <v>9</v>
      </c>
      <c r="AB7422" s="18">
        <f t="shared" si="230"/>
        <v>2001</v>
      </c>
      <c r="AC7422" s="22">
        <f t="shared" si="231"/>
        <v>0.77266666666666672</v>
      </c>
    </row>
    <row r="7423" spans="1:29">
      <c r="A7423" s="8" t="s">
        <v>1849</v>
      </c>
      <c r="B7423" s="17" t="s">
        <v>7746</v>
      </c>
      <c r="C7423" s="13">
        <v>37194</v>
      </c>
      <c r="D7423" s="13" t="s">
        <v>8465</v>
      </c>
      <c r="E7423" s="10" t="s">
        <v>73</v>
      </c>
      <c r="F7423" s="10" t="s">
        <v>73</v>
      </c>
      <c r="G7423" s="11" t="s">
        <v>601</v>
      </c>
      <c r="H7423" s="2" t="s">
        <v>56</v>
      </c>
      <c r="L7423" s="18">
        <v>0</v>
      </c>
      <c r="Q7423" s="18">
        <v>0</v>
      </c>
      <c r="U7423" s="22">
        <v>0.74</v>
      </c>
      <c r="V7423" s="22">
        <f>3.78/5</f>
        <v>0.75600000000000001</v>
      </c>
      <c r="X7423" s="3">
        <v>3</v>
      </c>
      <c r="Z7423" s="23">
        <v>1.5</v>
      </c>
      <c r="AB7423" s="18">
        <f t="shared" si="230"/>
        <v>2001</v>
      </c>
      <c r="AC7423" s="22">
        <f t="shared" si="231"/>
        <v>0.69866666666666666</v>
      </c>
    </row>
    <row r="7424" spans="1:29" ht="30">
      <c r="A7424" s="8" t="s">
        <v>8393</v>
      </c>
      <c r="B7424" s="17" t="s">
        <v>7747</v>
      </c>
      <c r="C7424" s="13">
        <v>37194</v>
      </c>
      <c r="D7424" s="13" t="s">
        <v>8465</v>
      </c>
      <c r="E7424" s="10" t="s">
        <v>2765</v>
      </c>
      <c r="F7424" s="10" t="s">
        <v>8394</v>
      </c>
      <c r="G7424" s="11" t="s">
        <v>7405</v>
      </c>
      <c r="H7424" s="2" t="s">
        <v>171</v>
      </c>
      <c r="L7424" s="18">
        <v>0</v>
      </c>
      <c r="Q7424" s="18">
        <v>0</v>
      </c>
      <c r="U7424" s="22">
        <v>0.7</v>
      </c>
      <c r="V7424" s="22">
        <f>3.22/5</f>
        <v>0.64400000000000002</v>
      </c>
      <c r="X7424" s="3">
        <v>3</v>
      </c>
      <c r="Z7424" s="23">
        <v>28</v>
      </c>
      <c r="AB7424" s="18">
        <f t="shared" si="230"/>
        <v>2001</v>
      </c>
      <c r="AC7424" s="22">
        <f t="shared" si="231"/>
        <v>0.64800000000000002</v>
      </c>
    </row>
    <row r="7425" spans="1:29" ht="30">
      <c r="A7425" s="8" t="s">
        <v>5900</v>
      </c>
      <c r="B7425" s="17" t="s">
        <v>7758</v>
      </c>
      <c r="C7425" s="13">
        <v>37193</v>
      </c>
      <c r="D7425" s="13" t="s">
        <v>8465</v>
      </c>
      <c r="E7425" s="10" t="s">
        <v>5901</v>
      </c>
      <c r="F7425" s="10" t="s">
        <v>1309</v>
      </c>
      <c r="G7425" s="11" t="s">
        <v>1576</v>
      </c>
      <c r="H7425" s="2" t="s">
        <v>1040</v>
      </c>
      <c r="L7425" s="18">
        <v>0</v>
      </c>
      <c r="Q7425" s="18">
        <v>0</v>
      </c>
      <c r="U7425" s="22">
        <v>0.7</v>
      </c>
      <c r="V7425" s="22">
        <f>3.43/5</f>
        <v>0.68600000000000005</v>
      </c>
      <c r="X7425" s="3">
        <v>3</v>
      </c>
      <c r="Z7425" s="23">
        <v>8</v>
      </c>
      <c r="AB7425" s="18">
        <f t="shared" ref="AB7425:AB7488" si="232">IFERROR(YEAR(C7425), "Early Access")</f>
        <v>2001</v>
      </c>
      <c r="AC7425" s="22">
        <f t="shared" ref="AC7425:AC7488" si="233">AVERAGE(T7425, U7425, V7425, IF(ISBLANK(X7425), X7425, X7425/5))</f>
        <v>0.66200000000000003</v>
      </c>
    </row>
    <row r="7426" spans="1:29">
      <c r="A7426" s="8" t="s">
        <v>5765</v>
      </c>
      <c r="B7426" s="17" t="s">
        <v>7758</v>
      </c>
      <c r="C7426" s="13">
        <v>37186</v>
      </c>
      <c r="D7426" s="13" t="s">
        <v>8465</v>
      </c>
      <c r="E7426" s="10" t="s">
        <v>1870</v>
      </c>
      <c r="F7426" s="10" t="s">
        <v>1282</v>
      </c>
      <c r="H7426" s="2" t="s">
        <v>80</v>
      </c>
      <c r="L7426" s="18">
        <v>0</v>
      </c>
      <c r="Q7426" s="18">
        <v>0</v>
      </c>
      <c r="U7426" s="22">
        <v>0.75</v>
      </c>
      <c r="V7426" s="22">
        <f>3.22/5</f>
        <v>0.64400000000000002</v>
      </c>
      <c r="X7426" s="3">
        <v>3</v>
      </c>
      <c r="Z7426" s="23">
        <v>16.5</v>
      </c>
      <c r="AB7426" s="18">
        <f t="shared" si="232"/>
        <v>2001</v>
      </c>
      <c r="AC7426" s="22">
        <f t="shared" si="233"/>
        <v>0.66466666666666674</v>
      </c>
    </row>
    <row r="7427" spans="1:29" ht="25.5">
      <c r="A7427" s="8" t="s">
        <v>7712</v>
      </c>
      <c r="B7427" s="17" t="s">
        <v>7757</v>
      </c>
      <c r="C7427" s="13">
        <v>37183</v>
      </c>
      <c r="D7427" s="13" t="s">
        <v>8465</v>
      </c>
      <c r="E7427" s="10" t="s">
        <v>1273</v>
      </c>
      <c r="F7427" s="10" t="s">
        <v>1511</v>
      </c>
      <c r="G7427" s="11" t="s">
        <v>1264</v>
      </c>
      <c r="H7427" s="2" t="s">
        <v>80</v>
      </c>
      <c r="L7427" s="18">
        <v>0</v>
      </c>
      <c r="Q7427" s="18">
        <v>0</v>
      </c>
      <c r="U7427" s="22">
        <v>0.74</v>
      </c>
      <c r="V7427" s="22">
        <f>3.73/5</f>
        <v>0.746</v>
      </c>
      <c r="X7427" s="3">
        <v>3</v>
      </c>
      <c r="Z7427" s="23">
        <v>8.5</v>
      </c>
      <c r="AB7427" s="18">
        <f t="shared" si="232"/>
        <v>2001</v>
      </c>
      <c r="AC7427" s="22">
        <f t="shared" si="233"/>
        <v>0.69533333333333325</v>
      </c>
    </row>
    <row r="7428" spans="1:29">
      <c r="A7428" s="8" t="s">
        <v>5166</v>
      </c>
      <c r="B7428" s="17" t="s">
        <v>7800</v>
      </c>
      <c r="C7428" s="13">
        <v>37183</v>
      </c>
      <c r="D7428" s="13" t="s">
        <v>8465</v>
      </c>
      <c r="E7428" s="10" t="s">
        <v>5167</v>
      </c>
      <c r="F7428" s="10" t="s">
        <v>5167</v>
      </c>
      <c r="G7428" s="11" t="s">
        <v>5166</v>
      </c>
      <c r="H7428" s="2" t="s">
        <v>1143</v>
      </c>
      <c r="L7428" s="18">
        <v>1</v>
      </c>
      <c r="N7428" s="13">
        <v>41349</v>
      </c>
      <c r="O7428" s="29">
        <v>0</v>
      </c>
      <c r="P7428" s="18" t="s">
        <v>1107</v>
      </c>
      <c r="Q7428" s="18">
        <v>0</v>
      </c>
      <c r="U7428" s="22">
        <v>0.79</v>
      </c>
      <c r="V7428" s="22">
        <f>3.88/5</f>
        <v>0.77600000000000002</v>
      </c>
      <c r="W7428" s="14" t="s">
        <v>7777</v>
      </c>
      <c r="X7428" s="3">
        <v>2</v>
      </c>
      <c r="Z7428" s="23">
        <v>20</v>
      </c>
      <c r="AB7428" s="18">
        <f t="shared" si="232"/>
        <v>2001</v>
      </c>
      <c r="AC7428" s="22">
        <f t="shared" si="233"/>
        <v>0.65533333333333343</v>
      </c>
    </row>
    <row r="7429" spans="1:29">
      <c r="A7429" s="8" t="s">
        <v>3655</v>
      </c>
      <c r="B7429" s="17" t="s">
        <v>7758</v>
      </c>
      <c r="C7429" s="13">
        <v>37180</v>
      </c>
      <c r="D7429" s="13" t="s">
        <v>8465</v>
      </c>
      <c r="E7429" s="10" t="s">
        <v>73</v>
      </c>
      <c r="F7429" s="10" t="s">
        <v>73</v>
      </c>
      <c r="G7429" s="11" t="s">
        <v>3655</v>
      </c>
      <c r="H7429" s="2" t="s">
        <v>1059</v>
      </c>
      <c r="L7429" s="18">
        <v>0</v>
      </c>
      <c r="Q7429" s="18">
        <v>0</v>
      </c>
      <c r="U7429" s="22">
        <v>0.93</v>
      </c>
      <c r="V7429" s="22">
        <f>4.05/5</f>
        <v>0.80999999999999994</v>
      </c>
      <c r="X7429" s="3">
        <v>4</v>
      </c>
      <c r="Z7429" s="23">
        <v>6</v>
      </c>
      <c r="AB7429" s="18">
        <f t="shared" si="232"/>
        <v>2001</v>
      </c>
      <c r="AC7429" s="22">
        <f t="shared" si="233"/>
        <v>0.84666666666666668</v>
      </c>
    </row>
    <row r="7430" spans="1:29" ht="30">
      <c r="A7430" s="8" t="s">
        <v>2019</v>
      </c>
      <c r="B7430" s="17" t="s">
        <v>7747</v>
      </c>
      <c r="C7430" s="13">
        <v>37179</v>
      </c>
      <c r="D7430" s="13" t="s">
        <v>8465</v>
      </c>
      <c r="E7430" s="10" t="s">
        <v>1876</v>
      </c>
      <c r="F7430" s="10" t="s">
        <v>1959</v>
      </c>
      <c r="H7430" s="2" t="s">
        <v>56</v>
      </c>
      <c r="L7430" s="18">
        <v>0</v>
      </c>
      <c r="Q7430" s="18">
        <v>0</v>
      </c>
      <c r="U7430" s="22">
        <v>0.76</v>
      </c>
      <c r="V7430" s="22">
        <f>3.22/5</f>
        <v>0.64400000000000002</v>
      </c>
      <c r="X7430" s="3">
        <v>3</v>
      </c>
      <c r="Z7430" s="23">
        <v>5</v>
      </c>
      <c r="AB7430" s="18">
        <f t="shared" si="232"/>
        <v>2001</v>
      </c>
      <c r="AC7430" s="22">
        <f t="shared" si="233"/>
        <v>0.66800000000000004</v>
      </c>
    </row>
    <row r="7431" spans="1:29" ht="30">
      <c r="A7431" s="8" t="s">
        <v>10371</v>
      </c>
      <c r="B7431" s="17" t="s">
        <v>7758</v>
      </c>
      <c r="C7431" s="13">
        <v>37178</v>
      </c>
      <c r="D7431" s="13" t="s">
        <v>8465</v>
      </c>
      <c r="E7431" s="10" t="s">
        <v>2908</v>
      </c>
      <c r="F7431" s="10" t="s">
        <v>10372</v>
      </c>
      <c r="H7431" s="2" t="s">
        <v>150</v>
      </c>
      <c r="L7431" s="18">
        <v>0</v>
      </c>
      <c r="Q7431" s="18">
        <v>0</v>
      </c>
      <c r="U7431" s="22">
        <v>0.77</v>
      </c>
      <c r="V7431" s="22">
        <f>3.51/5</f>
        <v>0.70199999999999996</v>
      </c>
      <c r="X7431" s="3">
        <v>2</v>
      </c>
      <c r="Z7431" s="23">
        <v>4</v>
      </c>
      <c r="AB7431" s="18">
        <f t="shared" si="232"/>
        <v>2001</v>
      </c>
      <c r="AC7431" s="22">
        <f t="shared" si="233"/>
        <v>0.624</v>
      </c>
    </row>
    <row r="7432" spans="1:29" ht="30">
      <c r="A7432" s="8" t="s">
        <v>15366</v>
      </c>
      <c r="B7432" s="17" t="s">
        <v>7800</v>
      </c>
      <c r="C7432" s="13">
        <v>37175</v>
      </c>
      <c r="D7432" s="13" t="s">
        <v>8465</v>
      </c>
      <c r="E7432" s="10" t="s">
        <v>3377</v>
      </c>
      <c r="F7432" s="10" t="s">
        <v>15367</v>
      </c>
      <c r="G7432" s="11" t="s">
        <v>15368</v>
      </c>
      <c r="H7432" s="2" t="s">
        <v>67</v>
      </c>
      <c r="L7432" s="18">
        <v>0</v>
      </c>
      <c r="Q7432" s="18">
        <v>0</v>
      </c>
      <c r="V7432" s="22">
        <f>3.43/5</f>
        <v>0.68600000000000005</v>
      </c>
      <c r="X7432" s="3">
        <v>2</v>
      </c>
      <c r="Z7432" s="23">
        <v>8.5</v>
      </c>
      <c r="AB7432" s="18">
        <f t="shared" si="232"/>
        <v>2001</v>
      </c>
      <c r="AC7432" s="22">
        <f t="shared" si="233"/>
        <v>0.54300000000000004</v>
      </c>
    </row>
    <row r="7433" spans="1:29" ht="25.5">
      <c r="A7433" s="8" t="s">
        <v>11932</v>
      </c>
      <c r="B7433" s="17" t="s">
        <v>7755</v>
      </c>
      <c r="C7433" s="13">
        <v>37174</v>
      </c>
      <c r="D7433" s="13" t="s">
        <v>8463</v>
      </c>
      <c r="E7433" s="10" t="s">
        <v>73</v>
      </c>
      <c r="F7433" s="10" t="s">
        <v>73</v>
      </c>
      <c r="G7433" s="11" t="s">
        <v>11926</v>
      </c>
      <c r="H7433" s="2" t="s">
        <v>149</v>
      </c>
      <c r="K7433" s="18">
        <v>0</v>
      </c>
      <c r="L7433" s="18">
        <v>0</v>
      </c>
      <c r="Q7433" s="18">
        <v>0</v>
      </c>
      <c r="V7433" s="22">
        <f>4/5</f>
        <v>0.8</v>
      </c>
      <c r="X7433" s="3">
        <v>2</v>
      </c>
      <c r="AB7433" s="18">
        <f t="shared" si="232"/>
        <v>2001</v>
      </c>
      <c r="AC7433" s="22">
        <f t="shared" si="233"/>
        <v>0.60000000000000009</v>
      </c>
    </row>
    <row r="7434" spans="1:29">
      <c r="A7434" s="8" t="s">
        <v>2971</v>
      </c>
      <c r="B7434" s="17" t="s">
        <v>7757</v>
      </c>
      <c r="C7434" s="13">
        <v>37172</v>
      </c>
      <c r="D7434" s="13" t="s">
        <v>8465</v>
      </c>
      <c r="E7434" s="10" t="s">
        <v>72</v>
      </c>
      <c r="F7434" s="10" t="s">
        <v>72</v>
      </c>
      <c r="G7434" s="11" t="s">
        <v>113</v>
      </c>
      <c r="H7434" s="2" t="s">
        <v>56</v>
      </c>
      <c r="L7434" s="18">
        <v>0</v>
      </c>
      <c r="Q7434" s="18">
        <v>0</v>
      </c>
      <c r="U7434" s="22">
        <v>0.74</v>
      </c>
      <c r="V7434" s="22">
        <f>3.78/5</f>
        <v>0.75600000000000001</v>
      </c>
      <c r="X7434" s="3">
        <v>4</v>
      </c>
      <c r="Z7434" s="23">
        <v>3.5</v>
      </c>
      <c r="AB7434" s="18">
        <f t="shared" si="232"/>
        <v>2001</v>
      </c>
      <c r="AC7434" s="22">
        <f t="shared" si="233"/>
        <v>0.76533333333333342</v>
      </c>
    </row>
    <row r="7435" spans="1:29" ht="30">
      <c r="A7435" s="8" t="s">
        <v>15421</v>
      </c>
      <c r="B7435" s="17" t="s">
        <v>7747</v>
      </c>
      <c r="C7435" s="13">
        <v>37168</v>
      </c>
      <c r="D7435" s="13" t="s">
        <v>8465</v>
      </c>
      <c r="E7435" s="10" t="s">
        <v>2835</v>
      </c>
      <c r="F7435" s="10" t="s">
        <v>14847</v>
      </c>
      <c r="H7435" s="2" t="s">
        <v>1050</v>
      </c>
      <c r="L7435" s="18">
        <v>0</v>
      </c>
      <c r="Q7435" s="18">
        <v>0</v>
      </c>
      <c r="V7435" s="22">
        <f>2.67/5</f>
        <v>0.53400000000000003</v>
      </c>
      <c r="X7435" s="3">
        <v>2</v>
      </c>
      <c r="Z7435" s="23">
        <v>9</v>
      </c>
      <c r="AB7435" s="18">
        <f t="shared" si="232"/>
        <v>2001</v>
      </c>
      <c r="AC7435" s="22">
        <f t="shared" si="233"/>
        <v>0.46700000000000003</v>
      </c>
    </row>
    <row r="7436" spans="1:29" ht="30">
      <c r="A7436" s="8" t="s">
        <v>15002</v>
      </c>
      <c r="B7436" s="17" t="s">
        <v>7747</v>
      </c>
      <c r="C7436" s="13">
        <v>37166</v>
      </c>
      <c r="D7436" s="13" t="s">
        <v>8465</v>
      </c>
      <c r="E7436" s="10" t="s">
        <v>14998</v>
      </c>
      <c r="F7436" s="10" t="s">
        <v>15003</v>
      </c>
      <c r="G7436" s="11" t="s">
        <v>15004</v>
      </c>
      <c r="H7436" s="2" t="s">
        <v>80</v>
      </c>
      <c r="L7436" s="18">
        <v>0</v>
      </c>
      <c r="Q7436" s="18">
        <v>0</v>
      </c>
      <c r="V7436" s="22">
        <f>2.95/5</f>
        <v>0.59000000000000008</v>
      </c>
      <c r="X7436" s="3">
        <v>2</v>
      </c>
      <c r="Z7436" s="23">
        <v>3</v>
      </c>
      <c r="AB7436" s="18">
        <f t="shared" si="232"/>
        <v>2001</v>
      </c>
      <c r="AC7436" s="22">
        <f t="shared" si="233"/>
        <v>0.49500000000000005</v>
      </c>
    </row>
    <row r="7437" spans="1:29">
      <c r="A7437" s="8" t="s">
        <v>12929</v>
      </c>
      <c r="B7437" s="17" t="s">
        <v>7758</v>
      </c>
      <c r="C7437" s="13">
        <v>37165</v>
      </c>
      <c r="D7437" s="13" t="s">
        <v>8465</v>
      </c>
      <c r="E7437" s="10" t="s">
        <v>158</v>
      </c>
      <c r="F7437" s="10" t="s">
        <v>158</v>
      </c>
      <c r="G7437" s="11" t="s">
        <v>10629</v>
      </c>
      <c r="H7437" s="2" t="s">
        <v>1170</v>
      </c>
      <c r="L7437" s="18">
        <v>0</v>
      </c>
      <c r="Q7437" s="18">
        <v>0</v>
      </c>
      <c r="U7437" s="22">
        <v>0.81</v>
      </c>
      <c r="V7437" s="22">
        <f>3.96/5</f>
        <v>0.79200000000000004</v>
      </c>
      <c r="X7437" s="3">
        <v>3</v>
      </c>
      <c r="Z7437" s="23">
        <f>51/60</f>
        <v>0.85</v>
      </c>
      <c r="AB7437" s="18">
        <f t="shared" si="232"/>
        <v>2001</v>
      </c>
      <c r="AC7437" s="22">
        <f t="shared" si="233"/>
        <v>0.73399999999999999</v>
      </c>
    </row>
    <row r="7438" spans="1:29">
      <c r="A7438" s="8" t="s">
        <v>5764</v>
      </c>
      <c r="B7438" s="17" t="s">
        <v>7758</v>
      </c>
      <c r="C7438" s="13">
        <v>37165</v>
      </c>
      <c r="D7438" s="13" t="s">
        <v>8465</v>
      </c>
      <c r="E7438" s="10" t="s">
        <v>1290</v>
      </c>
      <c r="F7438" s="10" t="s">
        <v>5872</v>
      </c>
      <c r="H7438" s="2" t="s">
        <v>149</v>
      </c>
      <c r="L7438" s="18">
        <v>0</v>
      </c>
      <c r="Q7438" s="18">
        <v>0</v>
      </c>
      <c r="U7438" s="22">
        <v>0.73</v>
      </c>
      <c r="V7438" s="22">
        <f>3.92/5</f>
        <v>0.78400000000000003</v>
      </c>
      <c r="X7438" s="3">
        <v>3</v>
      </c>
      <c r="Z7438" s="23">
        <v>26.5</v>
      </c>
      <c r="AB7438" s="18">
        <f t="shared" si="232"/>
        <v>2001</v>
      </c>
      <c r="AC7438" s="22">
        <f t="shared" si="233"/>
        <v>0.70466666666666666</v>
      </c>
    </row>
    <row r="7439" spans="1:29" ht="45">
      <c r="A7439" s="8" t="s">
        <v>11013</v>
      </c>
      <c r="B7439" s="17" t="s">
        <v>7758</v>
      </c>
      <c r="C7439" s="13">
        <v>37162</v>
      </c>
      <c r="D7439" s="13" t="s">
        <v>8467</v>
      </c>
      <c r="E7439" s="10" t="s">
        <v>72</v>
      </c>
      <c r="F7439" s="10" t="s">
        <v>11014</v>
      </c>
      <c r="H7439" s="2" t="s">
        <v>80</v>
      </c>
      <c r="L7439" s="18">
        <v>0</v>
      </c>
      <c r="Q7439" s="18">
        <v>0</v>
      </c>
      <c r="V7439" s="22">
        <f>3.41/5</f>
        <v>0.68200000000000005</v>
      </c>
      <c r="X7439" s="3">
        <v>2</v>
      </c>
      <c r="Z7439" s="23">
        <v>4</v>
      </c>
      <c r="AB7439" s="18">
        <f t="shared" si="232"/>
        <v>2001</v>
      </c>
      <c r="AC7439" s="22">
        <f t="shared" si="233"/>
        <v>0.54100000000000004</v>
      </c>
    </row>
    <row r="7440" spans="1:29">
      <c r="A7440" s="8" t="s">
        <v>15000</v>
      </c>
      <c r="B7440" s="17" t="s">
        <v>7758</v>
      </c>
      <c r="C7440" s="13">
        <v>37161</v>
      </c>
      <c r="D7440" s="13" t="s">
        <v>8465</v>
      </c>
      <c r="E7440" s="10" t="s">
        <v>14998</v>
      </c>
      <c r="F7440" s="10" t="s">
        <v>15001</v>
      </c>
      <c r="G7440" s="11" t="s">
        <v>4305</v>
      </c>
      <c r="H7440" s="2" t="s">
        <v>150</v>
      </c>
      <c r="L7440" s="18">
        <v>0</v>
      </c>
      <c r="Q7440" s="18">
        <v>0</v>
      </c>
      <c r="U7440" s="22">
        <v>0.57999999999999996</v>
      </c>
      <c r="V7440" s="22">
        <f>3.03/5</f>
        <v>0.60599999999999998</v>
      </c>
      <c r="X7440" s="3">
        <v>2</v>
      </c>
      <c r="Z7440" s="23">
        <v>4</v>
      </c>
      <c r="AB7440" s="18">
        <f t="shared" si="232"/>
        <v>2001</v>
      </c>
      <c r="AC7440" s="22">
        <f t="shared" si="233"/>
        <v>0.52866666666666662</v>
      </c>
    </row>
    <row r="7441" spans="1:29" ht="30">
      <c r="A7441" s="8" t="s">
        <v>2007</v>
      </c>
      <c r="B7441" s="17" t="s">
        <v>7747</v>
      </c>
      <c r="C7441" s="13">
        <v>37160</v>
      </c>
      <c r="D7441" s="13" t="s">
        <v>8465</v>
      </c>
      <c r="E7441" s="10" t="s">
        <v>73</v>
      </c>
      <c r="F7441" s="10" t="s">
        <v>1952</v>
      </c>
      <c r="G7441" s="11" t="s">
        <v>225</v>
      </c>
      <c r="H7441" s="2" t="s">
        <v>153</v>
      </c>
      <c r="L7441" s="18">
        <v>0</v>
      </c>
      <c r="Q7441" s="18">
        <v>0</v>
      </c>
      <c r="U7441" s="22">
        <v>0.76</v>
      </c>
      <c r="V7441" s="22">
        <f>3.92/5</f>
        <v>0.78400000000000003</v>
      </c>
      <c r="X7441" s="3">
        <v>3</v>
      </c>
      <c r="Z7441" s="23">
        <v>1.5</v>
      </c>
      <c r="AB7441" s="18">
        <f t="shared" si="232"/>
        <v>2001</v>
      </c>
      <c r="AC7441" s="22">
        <f t="shared" si="233"/>
        <v>0.71466666666666667</v>
      </c>
    </row>
    <row r="7442" spans="1:29">
      <c r="A7442" s="8" t="s">
        <v>9678</v>
      </c>
      <c r="B7442" s="17" t="s">
        <v>7758</v>
      </c>
      <c r="C7442" s="13">
        <v>37160</v>
      </c>
      <c r="D7442" s="13" t="s">
        <v>8465</v>
      </c>
      <c r="E7442" s="10" t="s">
        <v>68</v>
      </c>
      <c r="F7442" s="10" t="s">
        <v>68</v>
      </c>
      <c r="G7442" s="11" t="s">
        <v>9677</v>
      </c>
      <c r="H7442" s="2" t="s">
        <v>3279</v>
      </c>
      <c r="L7442" s="18">
        <v>0</v>
      </c>
      <c r="Q7442" s="18">
        <v>0</v>
      </c>
      <c r="U7442" s="22">
        <v>0.71</v>
      </c>
      <c r="V7442" s="22">
        <f>3.6/5</f>
        <v>0.72</v>
      </c>
      <c r="X7442" s="3">
        <v>3</v>
      </c>
      <c r="Z7442" s="23">
        <v>23.5</v>
      </c>
      <c r="AB7442" s="18">
        <f t="shared" si="232"/>
        <v>2001</v>
      </c>
      <c r="AC7442" s="22">
        <f t="shared" si="233"/>
        <v>0.67666666666666664</v>
      </c>
    </row>
    <row r="7443" spans="1:29">
      <c r="A7443" s="8" t="s">
        <v>15462</v>
      </c>
      <c r="B7443" s="17" t="s">
        <v>7757</v>
      </c>
      <c r="C7443" s="13">
        <v>37160</v>
      </c>
      <c r="D7443" s="13" t="s">
        <v>8465</v>
      </c>
      <c r="E7443" s="10" t="s">
        <v>73</v>
      </c>
      <c r="F7443" s="10" t="s">
        <v>73</v>
      </c>
      <c r="H7443" s="2" t="s">
        <v>78</v>
      </c>
      <c r="L7443" s="18">
        <v>0</v>
      </c>
      <c r="Q7443" s="18">
        <v>0</v>
      </c>
      <c r="U7443" s="22">
        <v>0.62</v>
      </c>
      <c r="V7443" s="22">
        <f>3.6/5</f>
        <v>0.72</v>
      </c>
      <c r="X7443" s="3">
        <v>2</v>
      </c>
      <c r="Z7443" s="23">
        <v>1.5</v>
      </c>
      <c r="AB7443" s="18">
        <f t="shared" si="232"/>
        <v>2001</v>
      </c>
      <c r="AC7443" s="22">
        <f t="shared" si="233"/>
        <v>0.57999999999999996</v>
      </c>
    </row>
    <row r="7444" spans="1:29">
      <c r="A7444" s="8" t="s">
        <v>15465</v>
      </c>
      <c r="B7444" s="17" t="s">
        <v>7746</v>
      </c>
      <c r="C7444" s="13">
        <v>37160</v>
      </c>
      <c r="D7444" s="13" t="s">
        <v>8465</v>
      </c>
      <c r="E7444" s="10" t="s">
        <v>73</v>
      </c>
      <c r="F7444" s="10" t="s">
        <v>8694</v>
      </c>
      <c r="H7444" s="2" t="s">
        <v>78</v>
      </c>
      <c r="L7444" s="18">
        <v>0</v>
      </c>
      <c r="Q7444" s="18">
        <v>0</v>
      </c>
      <c r="V7444" s="22">
        <f>2.21/5</f>
        <v>0.442</v>
      </c>
      <c r="X7444" s="3">
        <v>2</v>
      </c>
      <c r="AB7444" s="18">
        <f t="shared" si="232"/>
        <v>2001</v>
      </c>
      <c r="AC7444" s="22">
        <f t="shared" si="233"/>
        <v>0.42100000000000004</v>
      </c>
    </row>
    <row r="7445" spans="1:29" ht="30">
      <c r="A7445" s="8" t="s">
        <v>15107</v>
      </c>
      <c r="B7445" s="17" t="s">
        <v>7747</v>
      </c>
      <c r="C7445" s="13">
        <v>37159</v>
      </c>
      <c r="D7445" s="13" t="s">
        <v>8465</v>
      </c>
      <c r="E7445" s="10" t="s">
        <v>1273</v>
      </c>
      <c r="F7445" s="10" t="s">
        <v>1865</v>
      </c>
      <c r="G7445" s="11" t="s">
        <v>440</v>
      </c>
      <c r="H7445" s="2" t="s">
        <v>153</v>
      </c>
      <c r="L7445" s="18">
        <v>0</v>
      </c>
      <c r="Q7445" s="18">
        <v>0</v>
      </c>
      <c r="U7445" s="22">
        <v>0.61</v>
      </c>
      <c r="V7445" s="22">
        <f>2.87/5</f>
        <v>0.57400000000000007</v>
      </c>
      <c r="X7445" s="3">
        <v>2</v>
      </c>
      <c r="Z7445" s="23">
        <v>1.5</v>
      </c>
      <c r="AB7445" s="18">
        <f t="shared" si="232"/>
        <v>2001</v>
      </c>
      <c r="AC7445" s="22">
        <f t="shared" si="233"/>
        <v>0.52800000000000002</v>
      </c>
    </row>
    <row r="7446" spans="1:29">
      <c r="A7446" s="8" t="s">
        <v>5859</v>
      </c>
      <c r="B7446" s="17" t="s">
        <v>7758</v>
      </c>
      <c r="C7446" s="13">
        <v>37158</v>
      </c>
      <c r="D7446" s="13" t="s">
        <v>8465</v>
      </c>
      <c r="E7446" s="10" t="s">
        <v>72</v>
      </c>
      <c r="F7446" s="10" t="s">
        <v>72</v>
      </c>
      <c r="G7446" s="11" t="s">
        <v>1449</v>
      </c>
      <c r="H7446" s="2" t="s">
        <v>1061</v>
      </c>
      <c r="L7446" s="18">
        <v>0</v>
      </c>
      <c r="Q7446" s="18">
        <v>0</v>
      </c>
      <c r="U7446" s="22">
        <v>0.86</v>
      </c>
      <c r="V7446" s="22">
        <f>4.45/5</f>
        <v>0.89</v>
      </c>
      <c r="X7446" s="3">
        <v>5</v>
      </c>
      <c r="Z7446" s="23">
        <v>8</v>
      </c>
      <c r="AB7446" s="18">
        <f t="shared" si="232"/>
        <v>2001</v>
      </c>
      <c r="AC7446" s="22">
        <f t="shared" si="233"/>
        <v>0.91666666666666663</v>
      </c>
    </row>
    <row r="7447" spans="1:29">
      <c r="A7447" s="8" t="s">
        <v>5857</v>
      </c>
      <c r="B7447" s="17" t="s">
        <v>7758</v>
      </c>
      <c r="C7447" s="13">
        <v>37158</v>
      </c>
      <c r="D7447" s="13" t="s">
        <v>8465</v>
      </c>
      <c r="E7447" s="10" t="s">
        <v>1290</v>
      </c>
      <c r="F7447" s="10" t="s">
        <v>5890</v>
      </c>
      <c r="H7447" s="2" t="s">
        <v>80</v>
      </c>
      <c r="L7447" s="18">
        <v>0</v>
      </c>
      <c r="Q7447" s="18">
        <v>0</v>
      </c>
      <c r="U7447" s="22">
        <v>0.9</v>
      </c>
      <c r="V7447" s="22">
        <f>4.26/5</f>
        <v>0.85199999999999998</v>
      </c>
      <c r="X7447" s="3">
        <v>3</v>
      </c>
      <c r="Z7447" s="23">
        <v>6.5</v>
      </c>
      <c r="AB7447" s="18">
        <f t="shared" si="232"/>
        <v>2001</v>
      </c>
      <c r="AC7447" s="22">
        <f t="shared" si="233"/>
        <v>0.78399999999999992</v>
      </c>
    </row>
    <row r="7448" spans="1:29">
      <c r="A7448" s="8" t="s">
        <v>11857</v>
      </c>
      <c r="B7448" s="17" t="s">
        <v>7758</v>
      </c>
      <c r="C7448" s="13">
        <v>37158</v>
      </c>
      <c r="D7448" s="13" t="s">
        <v>8465</v>
      </c>
      <c r="E7448" s="10" t="s">
        <v>76</v>
      </c>
      <c r="F7448" s="10" t="s">
        <v>76</v>
      </c>
      <c r="G7448" s="11" t="s">
        <v>7681</v>
      </c>
      <c r="H7448" s="2" t="s">
        <v>1334</v>
      </c>
      <c r="L7448" s="18">
        <v>0</v>
      </c>
      <c r="Q7448" s="18">
        <v>0</v>
      </c>
      <c r="U7448" s="22">
        <v>0.77</v>
      </c>
      <c r="V7448" s="22">
        <f>3.73/5</f>
        <v>0.746</v>
      </c>
      <c r="X7448" s="3">
        <v>3</v>
      </c>
      <c r="Z7448" s="23">
        <v>20</v>
      </c>
      <c r="AB7448" s="18">
        <f t="shared" si="232"/>
        <v>2001</v>
      </c>
      <c r="AC7448" s="22">
        <f t="shared" si="233"/>
        <v>0.70533333333333337</v>
      </c>
    </row>
    <row r="7449" spans="1:29" ht="25.5">
      <c r="A7449" s="8" t="s">
        <v>15751</v>
      </c>
      <c r="B7449" s="17" t="s">
        <v>7800</v>
      </c>
      <c r="C7449" s="13">
        <v>37158</v>
      </c>
      <c r="D7449" s="13" t="s">
        <v>8465</v>
      </c>
      <c r="E7449" s="10" t="s">
        <v>1047</v>
      </c>
      <c r="F7449" s="10" t="s">
        <v>6652</v>
      </c>
      <c r="G7449" s="11" t="s">
        <v>445</v>
      </c>
      <c r="H7449" s="2" t="s">
        <v>1720</v>
      </c>
      <c r="L7449" s="18">
        <v>0</v>
      </c>
      <c r="Q7449" s="18">
        <v>0</v>
      </c>
      <c r="U7449" s="22">
        <v>0.56999999999999995</v>
      </c>
      <c r="V7449" s="22">
        <f>3.02/5</f>
        <v>0.60399999999999998</v>
      </c>
      <c r="X7449" s="3">
        <v>2</v>
      </c>
      <c r="AB7449" s="18">
        <f t="shared" si="232"/>
        <v>2001</v>
      </c>
      <c r="AC7449" s="22">
        <f t="shared" si="233"/>
        <v>0.52466666666666661</v>
      </c>
    </row>
    <row r="7450" spans="1:29" ht="25.5">
      <c r="A7450" s="8" t="s">
        <v>1847</v>
      </c>
      <c r="B7450" s="17" t="s">
        <v>7746</v>
      </c>
      <c r="C7450" s="13">
        <v>37154</v>
      </c>
      <c r="D7450" s="13" t="s">
        <v>8465</v>
      </c>
      <c r="E7450" s="10" t="s">
        <v>66</v>
      </c>
      <c r="F7450" s="10" t="s">
        <v>1269</v>
      </c>
      <c r="G7450" s="11" t="s">
        <v>1270</v>
      </c>
      <c r="H7450" s="2" t="s">
        <v>149</v>
      </c>
      <c r="L7450" s="18">
        <v>0</v>
      </c>
      <c r="Q7450" s="18">
        <v>0</v>
      </c>
      <c r="U7450" s="22">
        <v>0.61</v>
      </c>
      <c r="V7450" s="22">
        <f>3.78/5</f>
        <v>0.75600000000000001</v>
      </c>
      <c r="X7450" s="3">
        <v>3</v>
      </c>
      <c r="Z7450" s="23">
        <v>29.5</v>
      </c>
      <c r="AB7450" s="18">
        <f t="shared" si="232"/>
        <v>2001</v>
      </c>
      <c r="AC7450" s="22">
        <f t="shared" si="233"/>
        <v>0.65533333333333343</v>
      </c>
    </row>
    <row r="7451" spans="1:29" ht="25.5">
      <c r="A7451" s="8" t="s">
        <v>3473</v>
      </c>
      <c r="B7451" s="17" t="s">
        <v>7800</v>
      </c>
      <c r="C7451" s="13">
        <v>37154</v>
      </c>
      <c r="D7451" s="13" t="s">
        <v>8465</v>
      </c>
      <c r="E7451" s="10" t="s">
        <v>1870</v>
      </c>
      <c r="F7451" s="10" t="s">
        <v>3474</v>
      </c>
      <c r="G7451" s="11" t="s">
        <v>3475</v>
      </c>
      <c r="H7451" s="2" t="s">
        <v>3279</v>
      </c>
      <c r="L7451" s="18">
        <v>1</v>
      </c>
      <c r="N7451" s="13">
        <v>41085</v>
      </c>
      <c r="P7451" s="18" t="s">
        <v>1107</v>
      </c>
      <c r="Q7451" s="18">
        <v>0</v>
      </c>
      <c r="U7451" s="22">
        <v>0.85</v>
      </c>
      <c r="V7451" s="22">
        <f>3.97/5</f>
        <v>0.79400000000000004</v>
      </c>
      <c r="W7451" s="14" t="s">
        <v>7777</v>
      </c>
      <c r="X7451" s="3">
        <v>2</v>
      </c>
      <c r="Z7451" s="23">
        <v>20</v>
      </c>
      <c r="AB7451" s="18">
        <f t="shared" si="232"/>
        <v>2001</v>
      </c>
      <c r="AC7451" s="22">
        <f t="shared" si="233"/>
        <v>0.68133333333333335</v>
      </c>
    </row>
    <row r="7452" spans="1:29" ht="30">
      <c r="A7452" s="8" t="s">
        <v>2093</v>
      </c>
      <c r="B7452" s="17" t="s">
        <v>7747</v>
      </c>
      <c r="C7452" s="13">
        <v>37153</v>
      </c>
      <c r="D7452" s="13" t="s">
        <v>8465</v>
      </c>
      <c r="E7452" s="10" t="s">
        <v>1273</v>
      </c>
      <c r="F7452" s="10" t="s">
        <v>1511</v>
      </c>
      <c r="G7452" s="11" t="s">
        <v>1264</v>
      </c>
      <c r="H7452" s="2" t="s">
        <v>143</v>
      </c>
      <c r="L7452" s="18">
        <v>0</v>
      </c>
      <c r="Q7452" s="18">
        <v>0</v>
      </c>
      <c r="U7452" s="22">
        <v>0.8</v>
      </c>
      <c r="V7452" s="22">
        <f>3.63/5</f>
        <v>0.72599999999999998</v>
      </c>
      <c r="X7452" s="3">
        <v>3</v>
      </c>
      <c r="Z7452" s="23">
        <v>1</v>
      </c>
      <c r="AB7452" s="18">
        <f t="shared" si="232"/>
        <v>2001</v>
      </c>
      <c r="AC7452" s="22">
        <f t="shared" si="233"/>
        <v>0.70866666666666667</v>
      </c>
    </row>
    <row r="7453" spans="1:29" ht="25.5">
      <c r="A7453" s="8" t="s">
        <v>9600</v>
      </c>
      <c r="B7453" s="17" t="s">
        <v>7755</v>
      </c>
      <c r="C7453" s="13">
        <v>37153</v>
      </c>
      <c r="D7453" s="13" t="s">
        <v>8465</v>
      </c>
      <c r="E7453" s="10" t="s">
        <v>73</v>
      </c>
      <c r="F7453" s="10" t="s">
        <v>73</v>
      </c>
      <c r="G7453" s="11" t="s">
        <v>9601</v>
      </c>
      <c r="H7453" s="2" t="s">
        <v>459</v>
      </c>
      <c r="L7453" s="18">
        <v>0</v>
      </c>
      <c r="Q7453" s="18">
        <v>0</v>
      </c>
      <c r="U7453" s="22">
        <v>0.57999999999999996</v>
      </c>
      <c r="V7453" s="22">
        <f>3.28/5</f>
        <v>0.65599999999999992</v>
      </c>
      <c r="X7453" s="3">
        <v>2</v>
      </c>
      <c r="Z7453" s="23">
        <f>35/60</f>
        <v>0.58333333333333337</v>
      </c>
      <c r="AB7453" s="18">
        <f t="shared" si="232"/>
        <v>2001</v>
      </c>
      <c r="AC7453" s="22">
        <f t="shared" si="233"/>
        <v>0.54533333333333323</v>
      </c>
    </row>
    <row r="7454" spans="1:29" ht="25.5">
      <c r="A7454" s="8" t="s">
        <v>15113</v>
      </c>
      <c r="B7454" s="17" t="s">
        <v>7757</v>
      </c>
      <c r="C7454" s="13">
        <v>37152</v>
      </c>
      <c r="D7454" s="13" t="s">
        <v>8465</v>
      </c>
      <c r="E7454" s="10" t="s">
        <v>1273</v>
      </c>
      <c r="F7454" s="10" t="s">
        <v>15112</v>
      </c>
      <c r="G7454" s="11" t="s">
        <v>440</v>
      </c>
      <c r="H7454" s="2" t="s">
        <v>459</v>
      </c>
      <c r="L7454" s="18">
        <v>0</v>
      </c>
      <c r="Q7454" s="18">
        <v>0</v>
      </c>
      <c r="U7454" s="22">
        <v>0.72</v>
      </c>
      <c r="V7454" s="22">
        <f>3.66/5</f>
        <v>0.73199999999999998</v>
      </c>
      <c r="X7454" s="3">
        <v>2</v>
      </c>
      <c r="Z7454" s="23">
        <f>33/60</f>
        <v>0.55000000000000004</v>
      </c>
      <c r="AB7454" s="18">
        <f t="shared" si="232"/>
        <v>2001</v>
      </c>
      <c r="AC7454" s="22">
        <f t="shared" si="233"/>
        <v>0.61733333333333329</v>
      </c>
    </row>
    <row r="7455" spans="1:29" ht="38.25">
      <c r="A7455" s="8" t="s">
        <v>1878</v>
      </c>
      <c r="B7455" s="17" t="s">
        <v>7746</v>
      </c>
      <c r="C7455" s="13">
        <v>37149</v>
      </c>
      <c r="D7455" s="13" t="s">
        <v>8465</v>
      </c>
      <c r="E7455" s="10" t="s">
        <v>257</v>
      </c>
      <c r="F7455" s="10" t="s">
        <v>58</v>
      </c>
      <c r="G7455" s="11" t="s">
        <v>140</v>
      </c>
      <c r="H7455" s="2" t="s">
        <v>149</v>
      </c>
      <c r="L7455" s="18">
        <v>0</v>
      </c>
      <c r="Q7455" s="18">
        <v>0</v>
      </c>
      <c r="U7455" s="22">
        <v>0.81</v>
      </c>
      <c r="V7455" s="22">
        <f>4.27/5</f>
        <v>0.85399999999999987</v>
      </c>
      <c r="X7455" s="3">
        <v>3</v>
      </c>
      <c r="Z7455" s="23">
        <v>36</v>
      </c>
      <c r="AB7455" s="18">
        <f t="shared" si="232"/>
        <v>2001</v>
      </c>
      <c r="AC7455" s="22">
        <f t="shared" si="233"/>
        <v>0.7546666666666666</v>
      </c>
    </row>
    <row r="7456" spans="1:29" ht="30">
      <c r="A7456" s="8" t="s">
        <v>10488</v>
      </c>
      <c r="B7456" s="17" t="s">
        <v>7747</v>
      </c>
      <c r="C7456" s="13">
        <v>37147</v>
      </c>
      <c r="D7456" s="13" t="s">
        <v>8463</v>
      </c>
      <c r="E7456" s="10" t="s">
        <v>72</v>
      </c>
      <c r="F7456" s="10" t="s">
        <v>10489</v>
      </c>
      <c r="G7456" s="11" t="s">
        <v>2318</v>
      </c>
      <c r="H7456" s="2" t="s">
        <v>3411</v>
      </c>
      <c r="K7456" s="18">
        <v>2</v>
      </c>
      <c r="L7456" s="18">
        <v>0</v>
      </c>
      <c r="Q7456" s="18">
        <v>0</v>
      </c>
      <c r="V7456" s="22">
        <f>3.34/5</f>
        <v>0.66799999999999993</v>
      </c>
      <c r="X7456" s="3">
        <v>3</v>
      </c>
      <c r="Z7456" s="23">
        <v>12</v>
      </c>
      <c r="AB7456" s="18">
        <f t="shared" si="232"/>
        <v>2001</v>
      </c>
      <c r="AC7456" s="22">
        <f t="shared" si="233"/>
        <v>0.6339999999999999</v>
      </c>
    </row>
    <row r="7457" spans="1:29">
      <c r="A7457" s="8" t="s">
        <v>5420</v>
      </c>
      <c r="B7457" s="17" t="s">
        <v>7746</v>
      </c>
      <c r="C7457" s="13">
        <v>37146</v>
      </c>
      <c r="D7457" s="13" t="s">
        <v>8465</v>
      </c>
      <c r="E7457" s="10" t="s">
        <v>5421</v>
      </c>
      <c r="F7457" s="10" t="s">
        <v>5421</v>
      </c>
      <c r="G7457" s="11" t="s">
        <v>5420</v>
      </c>
      <c r="H7457" s="2" t="s">
        <v>78</v>
      </c>
      <c r="L7457" s="18">
        <v>0</v>
      </c>
      <c r="Q7457" s="18">
        <v>0</v>
      </c>
      <c r="U7457" s="22">
        <v>0.8</v>
      </c>
      <c r="V7457" s="22">
        <f>3.96/5</f>
        <v>0.79200000000000004</v>
      </c>
      <c r="X7457" s="3">
        <v>3</v>
      </c>
      <c r="Z7457" s="23">
        <v>6</v>
      </c>
      <c r="AB7457" s="18">
        <f t="shared" si="232"/>
        <v>2001</v>
      </c>
      <c r="AC7457" s="22">
        <f t="shared" si="233"/>
        <v>0.73066666666666669</v>
      </c>
    </row>
    <row r="7458" spans="1:29" ht="25.5">
      <c r="A7458" s="8" t="s">
        <v>14907</v>
      </c>
      <c r="B7458" s="17" t="s">
        <v>7758</v>
      </c>
      <c r="C7458" s="13">
        <v>37146</v>
      </c>
      <c r="D7458" s="13" t="s">
        <v>8465</v>
      </c>
      <c r="E7458" s="10" t="s">
        <v>72</v>
      </c>
      <c r="F7458" s="10" t="s">
        <v>72</v>
      </c>
      <c r="G7458" s="11" t="s">
        <v>14906</v>
      </c>
      <c r="H7458" s="2" t="s">
        <v>1170</v>
      </c>
      <c r="L7458" s="18">
        <v>0</v>
      </c>
      <c r="Q7458" s="18">
        <v>0</v>
      </c>
      <c r="U7458" s="22">
        <v>0.64</v>
      </c>
      <c r="V7458" s="22">
        <f>3.13/5</f>
        <v>0.626</v>
      </c>
      <c r="X7458" s="3">
        <v>2</v>
      </c>
      <c r="Z7458" s="23">
        <f>39/60</f>
        <v>0.65</v>
      </c>
      <c r="AB7458" s="18">
        <f t="shared" si="232"/>
        <v>2001</v>
      </c>
      <c r="AC7458" s="22">
        <f t="shared" si="233"/>
        <v>0.55533333333333335</v>
      </c>
    </row>
    <row r="7459" spans="1:29" ht="30">
      <c r="A7459" s="8" t="s">
        <v>2015</v>
      </c>
      <c r="B7459" s="17" t="s">
        <v>7747</v>
      </c>
      <c r="C7459" s="13">
        <v>37145</v>
      </c>
      <c r="D7459" s="13" t="s">
        <v>8465</v>
      </c>
      <c r="E7459" s="10" t="s">
        <v>158</v>
      </c>
      <c r="F7459" s="10" t="s">
        <v>63</v>
      </c>
      <c r="G7459" s="11" t="s">
        <v>1003</v>
      </c>
      <c r="H7459" s="2" t="s">
        <v>64</v>
      </c>
      <c r="L7459" s="18">
        <v>0</v>
      </c>
      <c r="Q7459" s="18">
        <v>0</v>
      </c>
      <c r="U7459" s="22">
        <v>0.83</v>
      </c>
      <c r="V7459" s="22">
        <f>3.72/5</f>
        <v>0.74399999999999999</v>
      </c>
      <c r="X7459" s="3">
        <v>3</v>
      </c>
      <c r="Z7459" s="23">
        <v>6.5</v>
      </c>
      <c r="AB7459" s="18">
        <f t="shared" si="232"/>
        <v>2001</v>
      </c>
      <c r="AC7459" s="22">
        <f t="shared" si="233"/>
        <v>0.72466666666666668</v>
      </c>
    </row>
    <row r="7460" spans="1:29" ht="30">
      <c r="A7460" s="8" t="s">
        <v>301</v>
      </c>
      <c r="B7460" s="17" t="s">
        <v>7747</v>
      </c>
      <c r="C7460" s="13">
        <v>37144</v>
      </c>
      <c r="D7460" s="13" t="s">
        <v>8465</v>
      </c>
      <c r="E7460" s="10" t="s">
        <v>86</v>
      </c>
      <c r="F7460" s="10" t="s">
        <v>1069</v>
      </c>
      <c r="G7460" s="11" t="s">
        <v>301</v>
      </c>
      <c r="H7460" s="2" t="s">
        <v>75</v>
      </c>
      <c r="L7460" s="18">
        <v>0</v>
      </c>
      <c r="Q7460" s="18">
        <v>0</v>
      </c>
      <c r="U7460" s="22">
        <v>0.92</v>
      </c>
      <c r="V7460" s="22">
        <f>4.12/5</f>
        <v>0.82400000000000007</v>
      </c>
      <c r="X7460" s="3">
        <v>4</v>
      </c>
      <c r="Y7460" s="18">
        <v>1</v>
      </c>
      <c r="Z7460" s="23">
        <v>14</v>
      </c>
      <c r="AB7460" s="18">
        <f t="shared" si="232"/>
        <v>2001</v>
      </c>
      <c r="AC7460" s="22">
        <f t="shared" si="233"/>
        <v>0.8480000000000002</v>
      </c>
    </row>
    <row r="7461" spans="1:29">
      <c r="A7461" s="8" t="s">
        <v>2959</v>
      </c>
      <c r="B7461" s="17" t="s">
        <v>7757</v>
      </c>
      <c r="C7461" s="13">
        <v>37144</v>
      </c>
      <c r="D7461" s="13" t="s">
        <v>8465</v>
      </c>
      <c r="E7461" s="10" t="s">
        <v>158</v>
      </c>
      <c r="F7461" s="10" t="s">
        <v>1379</v>
      </c>
      <c r="G7461" s="11" t="s">
        <v>1422</v>
      </c>
      <c r="H7461" s="2" t="s">
        <v>149</v>
      </c>
      <c r="L7461" s="18">
        <v>0</v>
      </c>
      <c r="Q7461" s="18">
        <v>0</v>
      </c>
      <c r="U7461" s="22">
        <v>0.79</v>
      </c>
      <c r="V7461" s="22">
        <f>4.11/5</f>
        <v>0.82200000000000006</v>
      </c>
      <c r="X7461" s="3">
        <v>3</v>
      </c>
      <c r="Z7461" s="23">
        <v>31.5</v>
      </c>
      <c r="AB7461" s="18">
        <f t="shared" si="232"/>
        <v>2001</v>
      </c>
      <c r="AC7461" s="22">
        <f t="shared" si="233"/>
        <v>0.7373333333333334</v>
      </c>
    </row>
    <row r="7462" spans="1:29">
      <c r="A7462" s="8" t="s">
        <v>12848</v>
      </c>
      <c r="B7462" s="17" t="s">
        <v>7755</v>
      </c>
      <c r="C7462" s="13">
        <v>37140</v>
      </c>
      <c r="D7462" s="13" t="s">
        <v>8463</v>
      </c>
      <c r="E7462" s="10" t="s">
        <v>3113</v>
      </c>
      <c r="F7462" s="10" t="s">
        <v>12849</v>
      </c>
      <c r="H7462" s="2" t="s">
        <v>75</v>
      </c>
      <c r="K7462" s="18">
        <v>2</v>
      </c>
      <c r="L7462" s="18">
        <v>0</v>
      </c>
      <c r="Q7462" s="18">
        <v>0</v>
      </c>
      <c r="V7462" s="22">
        <f>2.7/5</f>
        <v>0.54</v>
      </c>
      <c r="X7462" s="3">
        <v>2</v>
      </c>
      <c r="AB7462" s="18">
        <f t="shared" si="232"/>
        <v>2001</v>
      </c>
      <c r="AC7462" s="22">
        <f t="shared" si="233"/>
        <v>0.47000000000000003</v>
      </c>
    </row>
    <row r="7463" spans="1:29">
      <c r="A7463" s="8" t="s">
        <v>1836</v>
      </c>
      <c r="B7463" s="17" t="s">
        <v>7746</v>
      </c>
      <c r="C7463" s="13">
        <v>37133</v>
      </c>
      <c r="D7463" s="13" t="s">
        <v>8463</v>
      </c>
      <c r="E7463" s="10" t="s">
        <v>62</v>
      </c>
      <c r="F7463" s="10" t="s">
        <v>62</v>
      </c>
      <c r="G7463" s="11" t="s">
        <v>301</v>
      </c>
      <c r="H7463" s="2" t="s">
        <v>75</v>
      </c>
      <c r="K7463" s="18">
        <v>1</v>
      </c>
      <c r="L7463" s="18">
        <v>0</v>
      </c>
      <c r="Q7463" s="18">
        <v>0</v>
      </c>
      <c r="V7463" s="22">
        <f>3.96/5</f>
        <v>0.79200000000000004</v>
      </c>
      <c r="X7463" s="3">
        <v>3</v>
      </c>
      <c r="AB7463" s="18">
        <f t="shared" si="232"/>
        <v>2001</v>
      </c>
      <c r="AC7463" s="22">
        <f t="shared" si="233"/>
        <v>0.69599999999999995</v>
      </c>
    </row>
    <row r="7464" spans="1:29" ht="30">
      <c r="A7464" s="8" t="s">
        <v>8059</v>
      </c>
      <c r="B7464" s="17" t="s">
        <v>7758</v>
      </c>
      <c r="C7464" s="13">
        <v>37131</v>
      </c>
      <c r="D7464" s="13" t="s">
        <v>8465</v>
      </c>
      <c r="E7464" s="10" t="s">
        <v>8060</v>
      </c>
      <c r="F7464" s="10" t="s">
        <v>1474</v>
      </c>
      <c r="H7464" s="2" t="s">
        <v>1040</v>
      </c>
      <c r="L7464" s="18">
        <v>0</v>
      </c>
      <c r="Q7464" s="18">
        <v>0</v>
      </c>
      <c r="U7464" s="22">
        <v>0.60960000000000003</v>
      </c>
      <c r="V7464" s="22">
        <f>3.19/5</f>
        <v>0.63800000000000001</v>
      </c>
      <c r="X7464" s="3">
        <v>2</v>
      </c>
      <c r="Z7464" s="23">
        <v>4.5</v>
      </c>
      <c r="AB7464" s="18">
        <f t="shared" si="232"/>
        <v>2001</v>
      </c>
      <c r="AC7464" s="22">
        <f t="shared" si="233"/>
        <v>0.54920000000000002</v>
      </c>
    </row>
    <row r="7465" spans="1:29" ht="30">
      <c r="A7465" s="8" t="s">
        <v>2023</v>
      </c>
      <c r="B7465" s="17" t="s">
        <v>7747</v>
      </c>
      <c r="C7465" s="13">
        <v>37130</v>
      </c>
      <c r="D7465" s="13" t="s">
        <v>8465</v>
      </c>
      <c r="E7465" s="10" t="s">
        <v>86</v>
      </c>
      <c r="F7465" s="10" t="s">
        <v>1069</v>
      </c>
      <c r="G7465" s="11" t="s">
        <v>1135</v>
      </c>
      <c r="H7465" s="2" t="s">
        <v>150</v>
      </c>
      <c r="L7465" s="18">
        <v>0</v>
      </c>
      <c r="Q7465" s="18">
        <v>0</v>
      </c>
      <c r="U7465" s="22">
        <v>0.92</v>
      </c>
      <c r="V7465" s="22">
        <f>3.66/5</f>
        <v>0.73199999999999998</v>
      </c>
      <c r="X7465" s="3">
        <v>3</v>
      </c>
      <c r="Z7465" s="23">
        <v>4</v>
      </c>
      <c r="AB7465" s="18">
        <f t="shared" si="232"/>
        <v>2001</v>
      </c>
      <c r="AC7465" s="22">
        <f t="shared" si="233"/>
        <v>0.7506666666666667</v>
      </c>
    </row>
    <row r="7466" spans="1:29">
      <c r="A7466" s="8" t="s">
        <v>14840</v>
      </c>
      <c r="B7466" s="17" t="s">
        <v>7755</v>
      </c>
      <c r="C7466" s="13">
        <v>37126</v>
      </c>
      <c r="D7466" s="13" t="s">
        <v>8465</v>
      </c>
      <c r="E7466" s="10" t="s">
        <v>455</v>
      </c>
      <c r="F7466" s="10" t="s">
        <v>2741</v>
      </c>
      <c r="G7466" s="11" t="s">
        <v>4937</v>
      </c>
      <c r="H7466" s="2" t="s">
        <v>255</v>
      </c>
      <c r="L7466" s="18">
        <v>0</v>
      </c>
      <c r="Q7466" s="18">
        <v>0</v>
      </c>
      <c r="U7466" s="22">
        <v>0.76</v>
      </c>
      <c r="V7466" s="22">
        <f>3.65/5</f>
        <v>0.73</v>
      </c>
      <c r="X7466" s="3">
        <v>2</v>
      </c>
      <c r="AB7466" s="18">
        <f t="shared" si="232"/>
        <v>2001</v>
      </c>
      <c r="AC7466" s="22">
        <f t="shared" si="233"/>
        <v>0.63</v>
      </c>
    </row>
    <row r="7467" spans="1:29" ht="38.25">
      <c r="A7467" s="8" t="s">
        <v>6922</v>
      </c>
      <c r="B7467" s="17" t="s">
        <v>7800</v>
      </c>
      <c r="C7467" s="13">
        <v>37124</v>
      </c>
      <c r="D7467" s="13" t="s">
        <v>8465</v>
      </c>
      <c r="E7467" s="10" t="s">
        <v>6923</v>
      </c>
      <c r="F7467" s="10" t="s">
        <v>5496</v>
      </c>
      <c r="H7467" s="2" t="s">
        <v>1720</v>
      </c>
      <c r="L7467" s="18">
        <v>1</v>
      </c>
      <c r="N7467" s="13">
        <v>41770</v>
      </c>
      <c r="O7467" s="29">
        <v>1.49</v>
      </c>
      <c r="P7467" s="18" t="s">
        <v>1107</v>
      </c>
      <c r="Q7467" s="18">
        <v>0</v>
      </c>
      <c r="U7467" s="22">
        <v>0.78</v>
      </c>
      <c r="V7467" s="22">
        <f>4.21/5</f>
        <v>0.84199999999999997</v>
      </c>
      <c r="W7467" s="14" t="s">
        <v>7778</v>
      </c>
      <c r="X7467" s="3">
        <v>4</v>
      </c>
      <c r="Z7467" s="23">
        <v>31</v>
      </c>
      <c r="AB7467" s="18">
        <f t="shared" si="232"/>
        <v>2001</v>
      </c>
      <c r="AC7467" s="22">
        <f t="shared" si="233"/>
        <v>0.80733333333333324</v>
      </c>
    </row>
    <row r="7468" spans="1:29" ht="25.5">
      <c r="A7468" s="8" t="s">
        <v>7661</v>
      </c>
      <c r="B7468" s="17" t="s">
        <v>7758</v>
      </c>
      <c r="C7468" s="13">
        <v>37123</v>
      </c>
      <c r="D7468" s="13" t="s">
        <v>8465</v>
      </c>
      <c r="E7468" s="10" t="s">
        <v>3017</v>
      </c>
      <c r="F7468" s="10" t="s">
        <v>1580</v>
      </c>
      <c r="G7468" s="11" t="s">
        <v>5915</v>
      </c>
      <c r="H7468" s="2" t="s">
        <v>1168</v>
      </c>
      <c r="L7468" s="18">
        <v>0</v>
      </c>
      <c r="Q7468" s="18">
        <v>0</v>
      </c>
      <c r="U7468" s="22">
        <v>0.74</v>
      </c>
      <c r="V7468" s="22">
        <f>3.8/5</f>
        <v>0.76</v>
      </c>
      <c r="X7468" s="3">
        <v>3</v>
      </c>
      <c r="Z7468" s="23">
        <v>20.5</v>
      </c>
      <c r="AB7468" s="18">
        <f t="shared" si="232"/>
        <v>2001</v>
      </c>
      <c r="AC7468" s="22">
        <f t="shared" si="233"/>
        <v>0.70000000000000007</v>
      </c>
    </row>
    <row r="7469" spans="1:29">
      <c r="A7469" s="8" t="s">
        <v>8414</v>
      </c>
      <c r="B7469" s="17" t="s">
        <v>7757</v>
      </c>
      <c r="C7469" s="13">
        <v>37116</v>
      </c>
      <c r="D7469" s="13" t="s">
        <v>8465</v>
      </c>
      <c r="E7469" s="10" t="s">
        <v>68</v>
      </c>
      <c r="F7469" s="10" t="s">
        <v>68</v>
      </c>
      <c r="H7469" s="2" t="s">
        <v>75</v>
      </c>
      <c r="L7469" s="18">
        <v>0</v>
      </c>
      <c r="Q7469" s="18">
        <v>0</v>
      </c>
      <c r="U7469" s="22">
        <v>0.73</v>
      </c>
      <c r="V7469" s="22">
        <f>3.7/5</f>
        <v>0.74</v>
      </c>
      <c r="X7469" s="3">
        <v>3</v>
      </c>
      <c r="Z7469" s="23">
        <v>35</v>
      </c>
      <c r="AB7469" s="18">
        <f t="shared" si="232"/>
        <v>2001</v>
      </c>
      <c r="AC7469" s="22">
        <f t="shared" si="233"/>
        <v>0.69</v>
      </c>
    </row>
    <row r="7470" spans="1:29" ht="25.5">
      <c r="A7470" s="8" t="s">
        <v>11931</v>
      </c>
      <c r="B7470" s="17" t="s">
        <v>7755</v>
      </c>
      <c r="C7470" s="13">
        <v>37111</v>
      </c>
      <c r="D7470" s="13" t="s">
        <v>8463</v>
      </c>
      <c r="E7470" s="10" t="s">
        <v>73</v>
      </c>
      <c r="F7470" s="10" t="s">
        <v>73</v>
      </c>
      <c r="G7470" s="11" t="s">
        <v>11926</v>
      </c>
      <c r="H7470" s="2" t="s">
        <v>149</v>
      </c>
      <c r="K7470" s="18">
        <v>0</v>
      </c>
      <c r="L7470" s="18">
        <v>0</v>
      </c>
      <c r="Q7470" s="18">
        <v>0</v>
      </c>
      <c r="V7470" s="22">
        <f>3.75/5</f>
        <v>0.75</v>
      </c>
      <c r="X7470" s="3">
        <v>2</v>
      </c>
      <c r="AB7470" s="18">
        <f t="shared" si="232"/>
        <v>2001</v>
      </c>
      <c r="AC7470" s="22">
        <f t="shared" si="233"/>
        <v>0.57499999999999996</v>
      </c>
    </row>
    <row r="7471" spans="1:29" ht="25.5">
      <c r="A7471" s="8" t="s">
        <v>11596</v>
      </c>
      <c r="B7471" s="17" t="s">
        <v>7758</v>
      </c>
      <c r="C7471" s="13">
        <v>37109</v>
      </c>
      <c r="D7471" s="13" t="s">
        <v>8465</v>
      </c>
      <c r="E7471" s="10" t="s">
        <v>157</v>
      </c>
      <c r="F7471" s="10" t="s">
        <v>157</v>
      </c>
      <c r="G7471" s="11" t="s">
        <v>1395</v>
      </c>
      <c r="H7471" s="2" t="s">
        <v>1204</v>
      </c>
      <c r="L7471" s="18">
        <v>0</v>
      </c>
      <c r="Q7471" s="18">
        <v>0</v>
      </c>
      <c r="U7471" s="22">
        <v>0.57999999999999996</v>
      </c>
      <c r="V7471" s="22">
        <f>3.42/5</f>
        <v>0.68399999999999994</v>
      </c>
      <c r="X7471" s="3">
        <v>2</v>
      </c>
      <c r="Z7471" s="23">
        <v>6</v>
      </c>
      <c r="AB7471" s="18">
        <f t="shared" si="232"/>
        <v>2001</v>
      </c>
      <c r="AC7471" s="22">
        <f t="shared" si="233"/>
        <v>0.55466666666666653</v>
      </c>
    </row>
    <row r="7472" spans="1:29">
      <c r="A7472" s="8" t="s">
        <v>8700</v>
      </c>
      <c r="B7472" s="17" t="s">
        <v>7757</v>
      </c>
      <c r="C7472" s="13">
        <v>37105</v>
      </c>
      <c r="D7472" s="13" t="s">
        <v>8463</v>
      </c>
      <c r="E7472" s="10" t="s">
        <v>470</v>
      </c>
      <c r="F7472" s="10" t="s">
        <v>1897</v>
      </c>
      <c r="G7472" s="11" t="s">
        <v>1898</v>
      </c>
      <c r="H7472" s="2" t="s">
        <v>75</v>
      </c>
      <c r="K7472" s="18">
        <v>0</v>
      </c>
      <c r="L7472" s="18">
        <v>0</v>
      </c>
      <c r="Q7472" s="18">
        <v>0</v>
      </c>
      <c r="V7472" s="22">
        <f>4/5</f>
        <v>0.8</v>
      </c>
      <c r="X7472" s="3">
        <v>3</v>
      </c>
      <c r="AB7472" s="18">
        <f t="shared" si="232"/>
        <v>2001</v>
      </c>
      <c r="AC7472" s="22">
        <f t="shared" si="233"/>
        <v>0.7</v>
      </c>
    </row>
    <row r="7473" spans="1:29">
      <c r="A7473" s="8" t="s">
        <v>1858</v>
      </c>
      <c r="B7473" s="17" t="s">
        <v>7746</v>
      </c>
      <c r="C7473" s="13">
        <v>37101</v>
      </c>
      <c r="D7473" s="13" t="s">
        <v>8465</v>
      </c>
      <c r="E7473" s="10" t="s">
        <v>86</v>
      </c>
      <c r="F7473" s="10" t="s">
        <v>1354</v>
      </c>
      <c r="G7473" s="11" t="s">
        <v>1470</v>
      </c>
      <c r="H7473" s="2" t="s">
        <v>149</v>
      </c>
      <c r="L7473" s="18">
        <v>0</v>
      </c>
      <c r="Q7473" s="18">
        <v>0</v>
      </c>
      <c r="U7473" s="22">
        <v>0.8</v>
      </c>
      <c r="V7473" s="22">
        <f>4.38/5</f>
        <v>0.876</v>
      </c>
      <c r="X7473" s="3">
        <v>3</v>
      </c>
      <c r="Z7473" s="23">
        <v>31</v>
      </c>
      <c r="AB7473" s="18">
        <f t="shared" si="232"/>
        <v>2001</v>
      </c>
      <c r="AC7473" s="22">
        <f t="shared" si="233"/>
        <v>0.75866666666666671</v>
      </c>
    </row>
    <row r="7474" spans="1:29" ht="25.5">
      <c r="A7474" s="8" t="s">
        <v>5753</v>
      </c>
      <c r="B7474" s="17" t="s">
        <v>7758</v>
      </c>
      <c r="C7474" s="13">
        <v>37097</v>
      </c>
      <c r="D7474" s="13" t="s">
        <v>8465</v>
      </c>
      <c r="E7474" s="10" t="s">
        <v>158</v>
      </c>
      <c r="F7474" s="10" t="s">
        <v>158</v>
      </c>
      <c r="G7474" s="11" t="s">
        <v>1003</v>
      </c>
      <c r="H7474" s="2" t="s">
        <v>64</v>
      </c>
      <c r="L7474" s="18">
        <v>0</v>
      </c>
      <c r="Q7474" s="18">
        <v>0</v>
      </c>
      <c r="U7474" s="22">
        <v>0.85</v>
      </c>
      <c r="V7474" s="22">
        <f>4.19/5</f>
        <v>0.83800000000000008</v>
      </c>
      <c r="X7474" s="3">
        <v>3</v>
      </c>
      <c r="Z7474" s="23">
        <v>8</v>
      </c>
      <c r="AB7474" s="18">
        <f t="shared" si="232"/>
        <v>2001</v>
      </c>
      <c r="AC7474" s="22">
        <f t="shared" si="233"/>
        <v>0.76266666666666671</v>
      </c>
    </row>
    <row r="7475" spans="1:29">
      <c r="A7475" s="8" t="s">
        <v>15396</v>
      </c>
      <c r="B7475" s="17" t="s">
        <v>7755</v>
      </c>
      <c r="C7475" s="13">
        <v>37096</v>
      </c>
      <c r="D7475" s="13" t="s">
        <v>8465</v>
      </c>
      <c r="E7475" s="10" t="s">
        <v>455</v>
      </c>
      <c r="F7475" s="10" t="s">
        <v>456</v>
      </c>
      <c r="H7475" s="2" t="s">
        <v>1168</v>
      </c>
      <c r="L7475" s="18">
        <v>0</v>
      </c>
      <c r="Q7475" s="18">
        <v>0</v>
      </c>
      <c r="U7475" s="22">
        <v>0.73</v>
      </c>
      <c r="V7475" s="22">
        <f>4.03/5</f>
        <v>0.80600000000000005</v>
      </c>
      <c r="X7475" s="3">
        <v>3</v>
      </c>
      <c r="Z7475" s="23">
        <v>2</v>
      </c>
      <c r="AB7475" s="18">
        <f t="shared" si="232"/>
        <v>2001</v>
      </c>
      <c r="AC7475" s="22">
        <f t="shared" si="233"/>
        <v>0.71200000000000008</v>
      </c>
    </row>
    <row r="7476" spans="1:29" ht="30">
      <c r="A7476" s="8" t="s">
        <v>4406</v>
      </c>
      <c r="B7476" s="17" t="s">
        <v>7800</v>
      </c>
      <c r="C7476" s="13">
        <v>37095</v>
      </c>
      <c r="D7476" s="13" t="s">
        <v>8465</v>
      </c>
      <c r="E7476" s="10" t="s">
        <v>3120</v>
      </c>
      <c r="F7476" s="10" t="s">
        <v>3130</v>
      </c>
      <c r="G7476" s="11" t="s">
        <v>4406</v>
      </c>
      <c r="H7476" s="2" t="s">
        <v>1168</v>
      </c>
      <c r="L7476" s="18">
        <v>1</v>
      </c>
      <c r="N7476" s="13">
        <v>41105</v>
      </c>
      <c r="O7476" s="29">
        <v>1.87</v>
      </c>
      <c r="P7476" s="18" t="s">
        <v>1107</v>
      </c>
      <c r="Q7476" s="18">
        <v>0</v>
      </c>
      <c r="U7476" s="22">
        <v>0.89</v>
      </c>
      <c r="V7476" s="22">
        <f>4.22/5</f>
        <v>0.84399999999999997</v>
      </c>
      <c r="W7476" s="14" t="s">
        <v>7777</v>
      </c>
      <c r="X7476" s="3">
        <v>4</v>
      </c>
      <c r="Z7476" s="23">
        <v>8.5</v>
      </c>
      <c r="AB7476" s="18">
        <f t="shared" si="232"/>
        <v>2001</v>
      </c>
      <c r="AC7476" s="22">
        <f t="shared" si="233"/>
        <v>0.84466666666666657</v>
      </c>
    </row>
    <row r="7477" spans="1:29" ht="30">
      <c r="A7477" s="8" t="s">
        <v>3637</v>
      </c>
      <c r="B7477" s="17" t="s">
        <v>7800</v>
      </c>
      <c r="C7477" s="13">
        <v>37095</v>
      </c>
      <c r="D7477" s="13" t="s">
        <v>8465</v>
      </c>
      <c r="E7477" s="10" t="s">
        <v>60</v>
      </c>
      <c r="F7477" s="10" t="s">
        <v>3207</v>
      </c>
      <c r="G7477" s="11" t="s">
        <v>3636</v>
      </c>
      <c r="H7477" s="2" t="s">
        <v>3279</v>
      </c>
      <c r="L7477" s="18">
        <v>1</v>
      </c>
      <c r="N7477" s="13">
        <v>41744</v>
      </c>
      <c r="P7477" s="18" t="s">
        <v>1107</v>
      </c>
      <c r="Q7477" s="18">
        <v>0</v>
      </c>
      <c r="U7477" s="22">
        <v>0.8</v>
      </c>
      <c r="V7477" s="22">
        <f>3.91/5</f>
        <v>0.78200000000000003</v>
      </c>
      <c r="W7477" s="14" t="s">
        <v>7777</v>
      </c>
      <c r="X7477" s="3">
        <v>2</v>
      </c>
      <c r="Z7477" s="23">
        <v>25</v>
      </c>
      <c r="AB7477" s="18">
        <f t="shared" si="232"/>
        <v>2001</v>
      </c>
      <c r="AC7477" s="22">
        <f t="shared" si="233"/>
        <v>0.66066666666666674</v>
      </c>
    </row>
    <row r="7478" spans="1:29">
      <c r="A7478" s="8" t="s">
        <v>5720</v>
      </c>
      <c r="B7478" s="17" t="s">
        <v>7758</v>
      </c>
      <c r="C7478" s="13">
        <v>37095</v>
      </c>
      <c r="D7478" s="13" t="s">
        <v>8465</v>
      </c>
      <c r="E7478" s="10" t="s">
        <v>1290</v>
      </c>
      <c r="F7478" s="10" t="s">
        <v>5860</v>
      </c>
      <c r="H7478" s="2" t="s">
        <v>1061</v>
      </c>
      <c r="L7478" s="18">
        <v>0</v>
      </c>
      <c r="Q7478" s="18">
        <v>0</v>
      </c>
      <c r="U7478" s="22">
        <v>0.73</v>
      </c>
      <c r="V7478" s="22">
        <f>3.86/5</f>
        <v>0.77200000000000002</v>
      </c>
      <c r="X7478" s="3">
        <v>2</v>
      </c>
      <c r="Z7478" s="23">
        <v>6</v>
      </c>
      <c r="AB7478" s="18">
        <f t="shared" si="232"/>
        <v>2001</v>
      </c>
      <c r="AC7478" s="22">
        <f t="shared" si="233"/>
        <v>0.63400000000000001</v>
      </c>
    </row>
    <row r="7479" spans="1:29">
      <c r="A7479" s="8" t="s">
        <v>13575</v>
      </c>
      <c r="B7479" s="17" t="s">
        <v>7757</v>
      </c>
      <c r="C7479" s="13">
        <v>37091</v>
      </c>
      <c r="D7479" s="13" t="s">
        <v>8465</v>
      </c>
      <c r="E7479" s="10" t="s">
        <v>154</v>
      </c>
      <c r="F7479" s="10" t="s">
        <v>54</v>
      </c>
      <c r="H7479" s="2" t="s">
        <v>1334</v>
      </c>
      <c r="L7479" s="18">
        <v>0</v>
      </c>
      <c r="Q7479" s="18">
        <v>0</v>
      </c>
      <c r="V7479" s="22">
        <f>3.04/5</f>
        <v>0.60799999999999998</v>
      </c>
      <c r="X7479" s="3">
        <v>2</v>
      </c>
      <c r="AB7479" s="18">
        <f t="shared" si="232"/>
        <v>2001</v>
      </c>
      <c r="AC7479" s="22">
        <f t="shared" si="233"/>
        <v>0.504</v>
      </c>
    </row>
    <row r="7480" spans="1:29">
      <c r="A7480" s="8" t="s">
        <v>7555</v>
      </c>
      <c r="B7480" s="17" t="s">
        <v>7800</v>
      </c>
      <c r="C7480" s="13">
        <v>37089</v>
      </c>
      <c r="D7480" s="13" t="s">
        <v>8465</v>
      </c>
      <c r="E7480" s="10" t="s">
        <v>3740</v>
      </c>
      <c r="F7480" s="10" t="s">
        <v>7552</v>
      </c>
      <c r="G7480" s="11" t="s">
        <v>1433</v>
      </c>
      <c r="H7480" s="2" t="s">
        <v>3279</v>
      </c>
      <c r="L7480" s="18">
        <v>0</v>
      </c>
      <c r="Q7480" s="18">
        <v>0</v>
      </c>
      <c r="U7480" s="22">
        <v>0.79</v>
      </c>
      <c r="V7480" s="22">
        <f>4.02/5</f>
        <v>0.80399999999999994</v>
      </c>
      <c r="X7480" s="3">
        <v>3</v>
      </c>
      <c r="Z7480" s="23">
        <v>19.5</v>
      </c>
      <c r="AB7480" s="18">
        <f t="shared" si="232"/>
        <v>2001</v>
      </c>
      <c r="AC7480" s="22">
        <f t="shared" si="233"/>
        <v>0.73133333333333328</v>
      </c>
    </row>
    <row r="7481" spans="1:29" ht="30">
      <c r="A7481" s="8" t="s">
        <v>10621</v>
      </c>
      <c r="B7481" s="17" t="s">
        <v>7747</v>
      </c>
      <c r="C7481" s="13">
        <v>37085</v>
      </c>
      <c r="D7481" s="13" t="s">
        <v>8465</v>
      </c>
      <c r="E7481" s="10" t="s">
        <v>158</v>
      </c>
      <c r="F7481" s="10" t="s">
        <v>9728</v>
      </c>
      <c r="G7481" s="11" t="s">
        <v>4639</v>
      </c>
      <c r="H7481" s="2" t="s">
        <v>6510</v>
      </c>
      <c r="L7481" s="18">
        <v>1</v>
      </c>
      <c r="M7481" s="14" t="s">
        <v>10622</v>
      </c>
      <c r="N7481" s="13">
        <v>44500</v>
      </c>
      <c r="O7481" s="29">
        <v>0</v>
      </c>
      <c r="P7481" s="18" t="s">
        <v>14</v>
      </c>
      <c r="Q7481" s="18">
        <v>0</v>
      </c>
      <c r="U7481" s="22">
        <v>0.79</v>
      </c>
      <c r="V7481" s="22">
        <f>3.76/5</f>
        <v>0.752</v>
      </c>
      <c r="X7481" s="3">
        <v>1</v>
      </c>
      <c r="Z7481" s="23">
        <f>16/60</f>
        <v>0.26666666666666666</v>
      </c>
      <c r="AB7481" s="18">
        <f t="shared" si="232"/>
        <v>2001</v>
      </c>
      <c r="AC7481" s="22">
        <f t="shared" si="233"/>
        <v>0.58066666666666666</v>
      </c>
    </row>
    <row r="7482" spans="1:29">
      <c r="A7482" s="8" t="s">
        <v>8902</v>
      </c>
      <c r="B7482" s="17" t="s">
        <v>7755</v>
      </c>
      <c r="C7482" s="13">
        <v>37084</v>
      </c>
      <c r="D7482" s="13" t="s">
        <v>8463</v>
      </c>
      <c r="E7482" s="10" t="s">
        <v>8903</v>
      </c>
      <c r="F7482" s="10" t="s">
        <v>8901</v>
      </c>
      <c r="G7482" s="11" t="s">
        <v>8900</v>
      </c>
      <c r="H7482" s="2" t="s">
        <v>3411</v>
      </c>
      <c r="K7482" s="18">
        <v>0</v>
      </c>
      <c r="L7482" s="18">
        <v>0</v>
      </c>
      <c r="Q7482" s="18">
        <v>0</v>
      </c>
      <c r="V7482" s="22">
        <f>3.71/5</f>
        <v>0.74199999999999999</v>
      </c>
      <c r="X7482" s="3">
        <v>3</v>
      </c>
      <c r="AB7482" s="18">
        <f t="shared" si="232"/>
        <v>2001</v>
      </c>
      <c r="AC7482" s="22">
        <f t="shared" si="233"/>
        <v>0.67100000000000004</v>
      </c>
    </row>
    <row r="7483" spans="1:29" ht="30">
      <c r="A7483" s="8" t="s">
        <v>8020</v>
      </c>
      <c r="B7483" s="17" t="s">
        <v>7758</v>
      </c>
      <c r="C7483" s="13">
        <v>37082</v>
      </c>
      <c r="D7483" s="13" t="s">
        <v>8465</v>
      </c>
      <c r="E7483" s="10" t="s">
        <v>2908</v>
      </c>
      <c r="F7483" s="10" t="s">
        <v>8019</v>
      </c>
      <c r="G7483" s="11" t="s">
        <v>8016</v>
      </c>
      <c r="H7483" s="2" t="s">
        <v>150</v>
      </c>
      <c r="L7483" s="18">
        <v>0</v>
      </c>
      <c r="Q7483" s="18">
        <v>0</v>
      </c>
      <c r="U7483" s="22">
        <v>0.94540000000000002</v>
      </c>
      <c r="V7483" s="22">
        <f>3.99/5</f>
        <v>0.79800000000000004</v>
      </c>
      <c r="X7483" s="3">
        <v>3</v>
      </c>
      <c r="Z7483" s="23">
        <v>35.5</v>
      </c>
      <c r="AB7483" s="18">
        <f t="shared" si="232"/>
        <v>2001</v>
      </c>
      <c r="AC7483" s="22">
        <f t="shared" si="233"/>
        <v>0.78113333333333335</v>
      </c>
    </row>
    <row r="7484" spans="1:29" ht="25.5">
      <c r="A7484" s="8" t="s">
        <v>14713</v>
      </c>
      <c r="B7484" s="17" t="s">
        <v>7758</v>
      </c>
      <c r="C7484" s="13">
        <v>37080</v>
      </c>
      <c r="D7484" s="13" t="s">
        <v>8465</v>
      </c>
      <c r="E7484" s="10" t="s">
        <v>1947</v>
      </c>
      <c r="F7484" s="10" t="s">
        <v>1947</v>
      </c>
      <c r="H7484" s="2" t="s">
        <v>171</v>
      </c>
      <c r="L7484" s="18">
        <v>0</v>
      </c>
      <c r="Q7484" s="18">
        <v>0</v>
      </c>
      <c r="U7484" s="22">
        <v>0.54</v>
      </c>
      <c r="V7484" s="22">
        <f>2.62/5</f>
        <v>0.52400000000000002</v>
      </c>
      <c r="X7484" s="3">
        <v>2</v>
      </c>
      <c r="AB7484" s="18">
        <f t="shared" si="232"/>
        <v>2001</v>
      </c>
      <c r="AC7484" s="22">
        <f t="shared" si="233"/>
        <v>0.48799999999999999</v>
      </c>
    </row>
    <row r="7485" spans="1:29">
      <c r="A7485" s="8" t="s">
        <v>218</v>
      </c>
      <c r="B7485" s="17" t="s">
        <v>7746</v>
      </c>
      <c r="C7485" s="13">
        <v>37079</v>
      </c>
      <c r="D7485" s="13" t="s">
        <v>8465</v>
      </c>
      <c r="E7485" s="10" t="s">
        <v>257</v>
      </c>
      <c r="F7485" s="10" t="s">
        <v>58</v>
      </c>
      <c r="G7485" s="11" t="s">
        <v>140</v>
      </c>
      <c r="H7485" s="2" t="s">
        <v>149</v>
      </c>
      <c r="L7485" s="18">
        <v>0</v>
      </c>
      <c r="Q7485" s="18">
        <v>0</v>
      </c>
      <c r="U7485" s="22">
        <v>0.87</v>
      </c>
      <c r="V7485" s="22">
        <f>4.28/5</f>
        <v>0.85600000000000009</v>
      </c>
      <c r="X7485" s="3">
        <v>4</v>
      </c>
      <c r="Z7485" s="23">
        <v>28</v>
      </c>
      <c r="AB7485" s="18">
        <f t="shared" si="232"/>
        <v>2001</v>
      </c>
      <c r="AC7485" s="22">
        <f t="shared" si="233"/>
        <v>0.84199999999999997</v>
      </c>
    </row>
    <row r="7486" spans="1:29" ht="30">
      <c r="A7486" s="8" t="s">
        <v>10508</v>
      </c>
      <c r="B7486" s="17" t="s">
        <v>7758</v>
      </c>
      <c r="C7486" s="13">
        <v>37077</v>
      </c>
      <c r="D7486" s="13" t="s">
        <v>8463</v>
      </c>
      <c r="E7486" s="10" t="s">
        <v>2908</v>
      </c>
      <c r="F7486" s="10" t="s">
        <v>5862</v>
      </c>
      <c r="G7486" s="11" t="s">
        <v>2968</v>
      </c>
      <c r="H7486" s="2" t="s">
        <v>80</v>
      </c>
      <c r="K7486" s="18">
        <v>2</v>
      </c>
      <c r="L7486" s="18">
        <v>0</v>
      </c>
      <c r="Q7486" s="18">
        <v>0</v>
      </c>
      <c r="V7486" s="22">
        <f>4.2/5</f>
        <v>0.84000000000000008</v>
      </c>
      <c r="X7486" s="3">
        <v>3</v>
      </c>
      <c r="AB7486" s="18">
        <f t="shared" si="232"/>
        <v>2001</v>
      </c>
      <c r="AC7486" s="22">
        <f t="shared" si="233"/>
        <v>0.72</v>
      </c>
    </row>
    <row r="7487" spans="1:29" ht="30">
      <c r="A7487" s="8" t="s">
        <v>10905</v>
      </c>
      <c r="B7487" s="17" t="s">
        <v>7795</v>
      </c>
      <c r="C7487" s="13">
        <v>37077</v>
      </c>
      <c r="D7487" s="13" t="s">
        <v>8463</v>
      </c>
      <c r="E7487" s="10" t="s">
        <v>161</v>
      </c>
      <c r="F7487" s="10" t="s">
        <v>161</v>
      </c>
      <c r="H7487" s="2" t="s">
        <v>75</v>
      </c>
      <c r="K7487" s="18">
        <v>0</v>
      </c>
      <c r="L7487" s="18">
        <v>0</v>
      </c>
      <c r="Q7487" s="18">
        <v>0</v>
      </c>
      <c r="V7487" s="22">
        <f>3.06/5</f>
        <v>0.61199999999999999</v>
      </c>
      <c r="X7487" s="3">
        <v>3</v>
      </c>
      <c r="AB7487" s="18">
        <f t="shared" si="232"/>
        <v>2001</v>
      </c>
      <c r="AC7487" s="22">
        <f t="shared" si="233"/>
        <v>0.60599999999999998</v>
      </c>
    </row>
    <row r="7488" spans="1:29" ht="30">
      <c r="A7488" s="8" t="s">
        <v>8388</v>
      </c>
      <c r="B7488" s="17" t="s">
        <v>7747</v>
      </c>
      <c r="C7488" s="13">
        <v>37071</v>
      </c>
      <c r="D7488" s="13" t="s">
        <v>8465</v>
      </c>
      <c r="E7488" s="10" t="s">
        <v>1273</v>
      </c>
      <c r="F7488" s="10" t="s">
        <v>1386</v>
      </c>
      <c r="G7488" s="11" t="s">
        <v>7674</v>
      </c>
      <c r="H7488" s="2" t="s">
        <v>80</v>
      </c>
      <c r="L7488" s="18">
        <v>0</v>
      </c>
      <c r="Q7488" s="18">
        <v>0</v>
      </c>
      <c r="U7488" s="22">
        <v>0.88</v>
      </c>
      <c r="V7488" s="22">
        <f>3.72/5</f>
        <v>0.74399999999999999</v>
      </c>
      <c r="X7488" s="3">
        <v>3</v>
      </c>
      <c r="Z7488" s="23">
        <v>7</v>
      </c>
      <c r="AB7488" s="18">
        <f t="shared" si="232"/>
        <v>2001</v>
      </c>
      <c r="AC7488" s="22">
        <f t="shared" si="233"/>
        <v>0.7413333333333334</v>
      </c>
    </row>
    <row r="7489" spans="1:29" ht="25.5">
      <c r="A7489" s="8" t="s">
        <v>3044</v>
      </c>
      <c r="B7489" s="17" t="s">
        <v>7757</v>
      </c>
      <c r="C7489" s="13">
        <v>37071</v>
      </c>
      <c r="D7489" s="13" t="s">
        <v>8465</v>
      </c>
      <c r="E7489" s="10" t="s">
        <v>3045</v>
      </c>
      <c r="F7489" s="10" t="s">
        <v>161</v>
      </c>
      <c r="G7489" s="11" t="s">
        <v>126</v>
      </c>
      <c r="H7489" s="2" t="s">
        <v>149</v>
      </c>
      <c r="L7489" s="18">
        <v>1</v>
      </c>
      <c r="M7489" s="14" t="s">
        <v>8462</v>
      </c>
      <c r="N7489" s="13">
        <v>43528</v>
      </c>
      <c r="O7489" s="29">
        <v>18.989999999999998</v>
      </c>
      <c r="P7489" s="18" t="s">
        <v>14</v>
      </c>
      <c r="Q7489" s="18">
        <v>0</v>
      </c>
      <c r="U7489" s="22">
        <v>0.87</v>
      </c>
      <c r="V7489" s="22">
        <f>4.19/5</f>
        <v>0.83800000000000008</v>
      </c>
      <c r="X7489" s="3">
        <v>2</v>
      </c>
      <c r="Z7489" s="23">
        <v>45.5</v>
      </c>
      <c r="AB7489" s="18">
        <f t="shared" ref="AB7489:AB7552" si="234">IFERROR(YEAR(C7489), "Early Access")</f>
        <v>2001</v>
      </c>
      <c r="AC7489" s="22">
        <f t="shared" ref="AC7489:AC7552" si="235">AVERAGE(T7489, U7489, V7489, IF(ISBLANK(X7489), X7489, X7489/5))</f>
        <v>0.70266666666666666</v>
      </c>
    </row>
    <row r="7490" spans="1:29" ht="25.5">
      <c r="A7490" s="8" t="s">
        <v>1860</v>
      </c>
      <c r="B7490" s="17" t="s">
        <v>7746</v>
      </c>
      <c r="C7490" s="13">
        <v>37070</v>
      </c>
      <c r="D7490" s="13" t="s">
        <v>8463</v>
      </c>
      <c r="E7490" s="10" t="s">
        <v>257</v>
      </c>
      <c r="F7490" s="10" t="s">
        <v>1423</v>
      </c>
      <c r="G7490" s="11" t="s">
        <v>840</v>
      </c>
      <c r="H7490" s="2" t="s">
        <v>171</v>
      </c>
      <c r="K7490" s="18">
        <v>2</v>
      </c>
      <c r="L7490" s="18">
        <v>0</v>
      </c>
      <c r="Q7490" s="18">
        <v>0</v>
      </c>
      <c r="V7490" s="22">
        <f>4.06/5</f>
        <v>0.81199999999999994</v>
      </c>
      <c r="X7490" s="3">
        <v>4</v>
      </c>
      <c r="Z7490" s="23">
        <v>24</v>
      </c>
      <c r="AB7490" s="18">
        <f t="shared" si="234"/>
        <v>2001</v>
      </c>
      <c r="AC7490" s="22">
        <f t="shared" si="235"/>
        <v>0.80600000000000005</v>
      </c>
    </row>
    <row r="7491" spans="1:29">
      <c r="A7491" s="8" t="s">
        <v>2750</v>
      </c>
      <c r="B7491" s="17" t="s">
        <v>7755</v>
      </c>
      <c r="C7491" s="13">
        <v>37070</v>
      </c>
      <c r="D7491" s="13" t="s">
        <v>8465</v>
      </c>
      <c r="E7491" s="10" t="s">
        <v>1047</v>
      </c>
      <c r="F7491" s="10" t="s">
        <v>2769</v>
      </c>
      <c r="H7491" s="2" t="s">
        <v>67</v>
      </c>
      <c r="L7491" s="18">
        <v>0</v>
      </c>
      <c r="Q7491" s="18">
        <v>0</v>
      </c>
      <c r="U7491" s="22">
        <v>0.75</v>
      </c>
      <c r="V7491" s="22">
        <f>3.3/5</f>
        <v>0.65999999999999992</v>
      </c>
      <c r="X7491" s="3">
        <v>3</v>
      </c>
      <c r="Z7491" s="23">
        <v>4</v>
      </c>
      <c r="AB7491" s="18">
        <f t="shared" si="234"/>
        <v>2001</v>
      </c>
      <c r="AC7491" s="22">
        <f t="shared" si="235"/>
        <v>0.66999999999999993</v>
      </c>
    </row>
    <row r="7492" spans="1:29" ht="25.5">
      <c r="A7492" s="8" t="s">
        <v>7608</v>
      </c>
      <c r="B7492" s="17" t="s">
        <v>7800</v>
      </c>
      <c r="C7492" s="13">
        <v>37069</v>
      </c>
      <c r="D7492" s="13" t="s">
        <v>8465</v>
      </c>
      <c r="E7492" s="10" t="s">
        <v>1296</v>
      </c>
      <c r="F7492" s="10" t="s">
        <v>7609</v>
      </c>
      <c r="G7492" s="11" t="s">
        <v>1589</v>
      </c>
      <c r="H7492" s="2" t="s">
        <v>171</v>
      </c>
      <c r="L7492" s="18">
        <v>0</v>
      </c>
      <c r="Q7492" s="18">
        <v>0</v>
      </c>
      <c r="U7492" s="22">
        <v>0.86</v>
      </c>
      <c r="V7492" s="22">
        <f>4.4/5</f>
        <v>0.88000000000000012</v>
      </c>
      <c r="X7492" s="3">
        <v>2</v>
      </c>
      <c r="Z7492" s="23">
        <v>19.5</v>
      </c>
      <c r="AB7492" s="18">
        <f t="shared" si="234"/>
        <v>2001</v>
      </c>
      <c r="AC7492" s="22">
        <f t="shared" si="235"/>
        <v>0.71333333333333337</v>
      </c>
    </row>
    <row r="7493" spans="1:29">
      <c r="A7493" s="8" t="s">
        <v>3175</v>
      </c>
      <c r="B7493" s="17" t="s">
        <v>7800</v>
      </c>
      <c r="C7493" s="13">
        <v>37069</v>
      </c>
      <c r="D7493" s="13" t="s">
        <v>8465</v>
      </c>
      <c r="E7493" s="10" t="s">
        <v>1870</v>
      </c>
      <c r="F7493" s="10" t="s">
        <v>3176</v>
      </c>
      <c r="H7493" s="2" t="s">
        <v>149</v>
      </c>
      <c r="L7493" s="18">
        <v>1</v>
      </c>
      <c r="N7493" s="13">
        <v>41842</v>
      </c>
      <c r="P7493" s="18" t="s">
        <v>1107</v>
      </c>
      <c r="Q7493" s="18">
        <v>0</v>
      </c>
      <c r="U7493" s="22">
        <v>0.8</v>
      </c>
      <c r="V7493" s="22">
        <f>3.92/5</f>
        <v>0.78400000000000003</v>
      </c>
      <c r="W7493" s="14" t="s">
        <v>7777</v>
      </c>
      <c r="X7493" s="3">
        <v>4</v>
      </c>
      <c r="Z7493" s="23">
        <v>27.5</v>
      </c>
      <c r="AB7493" s="18">
        <f t="shared" si="234"/>
        <v>2001</v>
      </c>
      <c r="AC7493" s="22">
        <f t="shared" si="235"/>
        <v>0.79466666666666674</v>
      </c>
    </row>
    <row r="7494" spans="1:29" ht="25.5">
      <c r="A7494" s="8" t="s">
        <v>1843</v>
      </c>
      <c r="B7494" s="17" t="s">
        <v>7746</v>
      </c>
      <c r="C7494" s="13">
        <v>37069</v>
      </c>
      <c r="D7494" s="13" t="s">
        <v>8465</v>
      </c>
      <c r="E7494" s="10" t="s">
        <v>60</v>
      </c>
      <c r="F7494" s="10" t="s">
        <v>1866</v>
      </c>
      <c r="G7494" s="11" t="s">
        <v>1867</v>
      </c>
      <c r="H7494" s="2" t="s">
        <v>1061</v>
      </c>
      <c r="L7494" s="18">
        <v>0</v>
      </c>
      <c r="Q7494" s="18">
        <v>0</v>
      </c>
      <c r="U7494" s="22">
        <v>0.62</v>
      </c>
      <c r="V7494" s="22">
        <f>2.72/5</f>
        <v>0.54400000000000004</v>
      </c>
      <c r="X7494" s="3">
        <v>3</v>
      </c>
      <c r="Z7494" s="23">
        <v>8</v>
      </c>
      <c r="AB7494" s="18">
        <f t="shared" si="234"/>
        <v>2001</v>
      </c>
      <c r="AC7494" s="22">
        <f t="shared" si="235"/>
        <v>0.58800000000000008</v>
      </c>
    </row>
    <row r="7495" spans="1:29">
      <c r="A7495" s="8" t="s">
        <v>12837</v>
      </c>
      <c r="B7495" s="17" t="s">
        <v>7758</v>
      </c>
      <c r="C7495" s="13">
        <v>37067</v>
      </c>
      <c r="D7495" s="13" t="s">
        <v>8465</v>
      </c>
      <c r="E7495" s="10" t="s">
        <v>1273</v>
      </c>
      <c r="F7495" s="10" t="s">
        <v>461</v>
      </c>
      <c r="G7495" s="11" t="s">
        <v>12835</v>
      </c>
      <c r="H7495" s="2" t="s">
        <v>459</v>
      </c>
      <c r="L7495" s="18">
        <v>0</v>
      </c>
      <c r="Q7495" s="18">
        <v>0</v>
      </c>
      <c r="U7495" s="22">
        <v>0.71</v>
      </c>
      <c r="V7495" s="22">
        <f>3.57/5</f>
        <v>0.71399999999999997</v>
      </c>
      <c r="X7495" s="3">
        <v>2</v>
      </c>
      <c r="Z7495" s="23">
        <f>29/60</f>
        <v>0.48333333333333334</v>
      </c>
      <c r="AB7495" s="18">
        <f t="shared" si="234"/>
        <v>2001</v>
      </c>
      <c r="AC7495" s="22">
        <f t="shared" si="235"/>
        <v>0.60799999999999998</v>
      </c>
    </row>
    <row r="7496" spans="1:29" ht="25.5">
      <c r="A7496" s="8" t="s">
        <v>6925</v>
      </c>
      <c r="B7496" s="17" t="s">
        <v>7800</v>
      </c>
      <c r="C7496" s="13">
        <v>37064</v>
      </c>
      <c r="D7496" s="13" t="s">
        <v>8465</v>
      </c>
      <c r="E7496" s="10" t="s">
        <v>1272</v>
      </c>
      <c r="F7496" s="10" t="s">
        <v>1161</v>
      </c>
      <c r="G7496" s="11" t="s">
        <v>3253</v>
      </c>
      <c r="H7496" s="2" t="s">
        <v>1720</v>
      </c>
      <c r="L7496" s="18">
        <v>1</v>
      </c>
      <c r="N7496" s="13">
        <v>41591</v>
      </c>
      <c r="O7496" s="29">
        <v>0</v>
      </c>
      <c r="P7496" s="18" t="s">
        <v>1107</v>
      </c>
      <c r="Q7496" s="18">
        <v>0</v>
      </c>
      <c r="U7496" s="22">
        <v>0.89</v>
      </c>
      <c r="V7496" s="22">
        <f>4.36/5</f>
        <v>0.87200000000000011</v>
      </c>
      <c r="W7496" s="14" t="s">
        <v>7778</v>
      </c>
      <c r="X7496" s="3">
        <v>4</v>
      </c>
      <c r="Z7496" s="23">
        <v>19.5</v>
      </c>
      <c r="AB7496" s="18">
        <f t="shared" si="234"/>
        <v>2001</v>
      </c>
      <c r="AC7496" s="22">
        <f t="shared" si="235"/>
        <v>0.85400000000000009</v>
      </c>
    </row>
    <row r="7497" spans="1:29" ht="30">
      <c r="A7497" s="8" t="s">
        <v>2017</v>
      </c>
      <c r="B7497" s="17" t="s">
        <v>7747</v>
      </c>
      <c r="C7497" s="13">
        <v>37064</v>
      </c>
      <c r="D7497" s="13" t="s">
        <v>8467</v>
      </c>
      <c r="E7497" s="10" t="s">
        <v>86</v>
      </c>
      <c r="F7497" s="10" t="s">
        <v>461</v>
      </c>
      <c r="G7497" s="11" t="s">
        <v>1958</v>
      </c>
      <c r="H7497" s="2" t="s">
        <v>78</v>
      </c>
      <c r="L7497" s="18">
        <v>0</v>
      </c>
      <c r="Q7497" s="18">
        <v>0</v>
      </c>
      <c r="V7497" s="22">
        <f>3.71/5</f>
        <v>0.74199999999999999</v>
      </c>
      <c r="X7497" s="3">
        <v>3</v>
      </c>
      <c r="Z7497" s="23">
        <v>4</v>
      </c>
      <c r="AB7497" s="18">
        <f t="shared" si="234"/>
        <v>2001</v>
      </c>
      <c r="AC7497" s="22">
        <f t="shared" si="235"/>
        <v>0.67100000000000004</v>
      </c>
    </row>
    <row r="7498" spans="1:29" ht="30">
      <c r="A7498" s="8" t="s">
        <v>12934</v>
      </c>
      <c r="B7498" s="17" t="s">
        <v>7757</v>
      </c>
      <c r="C7498" s="13">
        <v>37062</v>
      </c>
      <c r="D7498" s="13" t="s">
        <v>8465</v>
      </c>
      <c r="E7498" s="10" t="s">
        <v>158</v>
      </c>
      <c r="F7498" s="10" t="s">
        <v>12935</v>
      </c>
      <c r="G7498" s="11" t="s">
        <v>10629</v>
      </c>
      <c r="H7498" s="2" t="s">
        <v>1170</v>
      </c>
      <c r="L7498" s="18">
        <v>0</v>
      </c>
      <c r="Q7498" s="18">
        <v>0</v>
      </c>
      <c r="U7498" s="22">
        <v>0.71</v>
      </c>
      <c r="V7498" s="22">
        <f>3.65/5</f>
        <v>0.73</v>
      </c>
      <c r="X7498" s="3">
        <v>2</v>
      </c>
      <c r="Z7498" s="23">
        <v>1</v>
      </c>
      <c r="AB7498" s="18">
        <f t="shared" si="234"/>
        <v>2001</v>
      </c>
      <c r="AC7498" s="22">
        <f t="shared" si="235"/>
        <v>0.61333333333333329</v>
      </c>
    </row>
    <row r="7499" spans="1:29">
      <c r="A7499" s="8" t="s">
        <v>9848</v>
      </c>
      <c r="B7499" s="17" t="s">
        <v>7757</v>
      </c>
      <c r="C7499" s="13">
        <v>37062</v>
      </c>
      <c r="D7499" s="13" t="s">
        <v>8465</v>
      </c>
      <c r="E7499" s="10" t="s">
        <v>3017</v>
      </c>
      <c r="F7499" s="10" t="s">
        <v>463</v>
      </c>
      <c r="H7499" s="2" t="s">
        <v>75</v>
      </c>
      <c r="L7499" s="18">
        <v>0</v>
      </c>
      <c r="Q7499" s="18">
        <v>0</v>
      </c>
      <c r="V7499" s="22">
        <f>3.57/5</f>
        <v>0.71399999999999997</v>
      </c>
      <c r="X7499" s="3">
        <v>2</v>
      </c>
      <c r="Z7499" s="23">
        <v>21</v>
      </c>
      <c r="AB7499" s="18">
        <f t="shared" si="234"/>
        <v>2001</v>
      </c>
      <c r="AC7499" s="22">
        <f t="shared" si="235"/>
        <v>0.55699999999999994</v>
      </c>
    </row>
    <row r="7500" spans="1:29" ht="30">
      <c r="A7500" s="8" t="s">
        <v>7474</v>
      </c>
      <c r="B7500" s="17" t="s">
        <v>7758</v>
      </c>
      <c r="C7500" s="13">
        <v>37060</v>
      </c>
      <c r="D7500" s="13" t="s">
        <v>8465</v>
      </c>
      <c r="E7500" s="10" t="s">
        <v>2908</v>
      </c>
      <c r="F7500" s="10" t="s">
        <v>7469</v>
      </c>
      <c r="G7500" s="11" t="s">
        <v>6067</v>
      </c>
      <c r="H7500" s="2" t="s">
        <v>1204</v>
      </c>
      <c r="L7500" s="18">
        <v>0</v>
      </c>
      <c r="Q7500" s="18">
        <v>0</v>
      </c>
      <c r="U7500" s="22">
        <v>0.89</v>
      </c>
      <c r="V7500" s="22">
        <f>3.82/5</f>
        <v>0.76400000000000001</v>
      </c>
      <c r="X7500" s="3">
        <v>3</v>
      </c>
      <c r="Z7500" s="23">
        <v>3.5</v>
      </c>
      <c r="AB7500" s="18">
        <f t="shared" si="234"/>
        <v>2001</v>
      </c>
      <c r="AC7500" s="22">
        <f t="shared" si="235"/>
        <v>0.7513333333333333</v>
      </c>
    </row>
    <row r="7501" spans="1:29" ht="25.5">
      <c r="A7501" s="8" t="s">
        <v>11142</v>
      </c>
      <c r="B7501" s="17" t="s">
        <v>7800</v>
      </c>
      <c r="C7501" s="13">
        <v>37054</v>
      </c>
      <c r="D7501" s="13" t="s">
        <v>8465</v>
      </c>
      <c r="E7501" s="10" t="s">
        <v>5010</v>
      </c>
      <c r="F7501" s="10" t="s">
        <v>11141</v>
      </c>
      <c r="G7501" s="11" t="s">
        <v>2655</v>
      </c>
      <c r="H7501" s="2" t="s">
        <v>1143</v>
      </c>
      <c r="L7501" s="18">
        <v>0</v>
      </c>
      <c r="Q7501" s="18">
        <v>0</v>
      </c>
      <c r="U7501" s="22">
        <v>0.79</v>
      </c>
      <c r="V7501" s="22">
        <f>3.74/5</f>
        <v>0.748</v>
      </c>
      <c r="X7501" s="3">
        <v>3</v>
      </c>
      <c r="Z7501" s="23">
        <v>15.5</v>
      </c>
      <c r="AB7501" s="18">
        <f t="shared" si="234"/>
        <v>2001</v>
      </c>
      <c r="AC7501" s="22">
        <f t="shared" si="235"/>
        <v>0.71266666666666667</v>
      </c>
    </row>
    <row r="7502" spans="1:29" ht="30">
      <c r="A7502" s="8" t="s">
        <v>2016</v>
      </c>
      <c r="B7502" s="17" t="s">
        <v>7747</v>
      </c>
      <c r="C7502" s="13">
        <v>37053</v>
      </c>
      <c r="D7502" s="13" t="s">
        <v>8465</v>
      </c>
      <c r="E7502" s="10" t="s">
        <v>72</v>
      </c>
      <c r="F7502" s="10" t="s">
        <v>72</v>
      </c>
      <c r="H7502" s="2" t="s">
        <v>150</v>
      </c>
      <c r="L7502" s="18">
        <v>0</v>
      </c>
      <c r="Q7502" s="18">
        <v>0</v>
      </c>
      <c r="U7502" s="22">
        <v>0.81</v>
      </c>
      <c r="V7502" s="22">
        <f>3.87/5</f>
        <v>0.77400000000000002</v>
      </c>
      <c r="X7502" s="3">
        <v>3</v>
      </c>
      <c r="Z7502" s="23">
        <v>1.5</v>
      </c>
      <c r="AB7502" s="18">
        <f t="shared" si="234"/>
        <v>2001</v>
      </c>
      <c r="AC7502" s="22">
        <f t="shared" si="235"/>
        <v>0.72800000000000009</v>
      </c>
    </row>
    <row r="7503" spans="1:29" ht="30">
      <c r="A7503" s="8" t="s">
        <v>14923</v>
      </c>
      <c r="B7503" s="17" t="s">
        <v>7747</v>
      </c>
      <c r="C7503" s="13">
        <v>37053</v>
      </c>
      <c r="D7503" s="13" t="s">
        <v>8465</v>
      </c>
      <c r="E7503" s="10" t="s">
        <v>86</v>
      </c>
      <c r="F7503" s="10" t="s">
        <v>11219</v>
      </c>
      <c r="G7503" s="11" t="s">
        <v>707</v>
      </c>
      <c r="H7503" s="2" t="s">
        <v>150</v>
      </c>
      <c r="L7503" s="18">
        <v>0</v>
      </c>
      <c r="Q7503" s="18">
        <v>0</v>
      </c>
      <c r="U7503" s="22">
        <v>0.86</v>
      </c>
      <c r="V7503" s="22">
        <f>3.38/5</f>
        <v>0.67599999999999993</v>
      </c>
      <c r="X7503" s="3">
        <v>3</v>
      </c>
      <c r="Z7503" s="23">
        <v>2.5</v>
      </c>
      <c r="AB7503" s="18">
        <f t="shared" si="234"/>
        <v>2001</v>
      </c>
      <c r="AC7503" s="22">
        <f t="shared" si="235"/>
        <v>0.71200000000000008</v>
      </c>
    </row>
    <row r="7504" spans="1:29" ht="30">
      <c r="A7504" s="8" t="s">
        <v>9727</v>
      </c>
      <c r="B7504" s="17" t="s">
        <v>7747</v>
      </c>
      <c r="C7504" s="13">
        <v>37053</v>
      </c>
      <c r="D7504" s="13" t="s">
        <v>8465</v>
      </c>
      <c r="E7504" s="10" t="s">
        <v>158</v>
      </c>
      <c r="F7504" s="10" t="s">
        <v>9728</v>
      </c>
      <c r="G7504" s="11" t="s">
        <v>9727</v>
      </c>
      <c r="H7504" s="2" t="s">
        <v>6510</v>
      </c>
      <c r="L7504" s="18">
        <v>1</v>
      </c>
      <c r="M7504" s="14" t="s">
        <v>10622</v>
      </c>
      <c r="N7504" s="13">
        <v>44220</v>
      </c>
      <c r="O7504" s="29">
        <v>5.4</v>
      </c>
      <c r="P7504" s="18" t="s">
        <v>14</v>
      </c>
      <c r="Q7504" s="18">
        <v>0</v>
      </c>
      <c r="U7504" s="22">
        <v>0.79</v>
      </c>
      <c r="V7504" s="22">
        <f>3.6/5</f>
        <v>0.72</v>
      </c>
      <c r="X7504" s="3">
        <v>1</v>
      </c>
      <c r="Z7504" s="23">
        <f>30/60</f>
        <v>0.5</v>
      </c>
      <c r="AB7504" s="18">
        <f t="shared" si="234"/>
        <v>2001</v>
      </c>
      <c r="AC7504" s="22">
        <f t="shared" si="235"/>
        <v>0.56999999999999995</v>
      </c>
    </row>
    <row r="7505" spans="1:29" ht="30">
      <c r="A7505" s="8" t="s">
        <v>15661</v>
      </c>
      <c r="B7505" s="17" t="s">
        <v>7747</v>
      </c>
      <c r="C7505" s="13">
        <v>37053</v>
      </c>
      <c r="D7505" s="13" t="s">
        <v>8465</v>
      </c>
      <c r="E7505" s="10" t="s">
        <v>2461</v>
      </c>
      <c r="F7505" s="10" t="s">
        <v>242</v>
      </c>
      <c r="G7505" s="11" t="s">
        <v>226</v>
      </c>
      <c r="H7505" s="2" t="s">
        <v>255</v>
      </c>
      <c r="L7505" s="18">
        <v>0</v>
      </c>
      <c r="Q7505" s="18">
        <v>0</v>
      </c>
      <c r="U7505" s="22">
        <v>0.79</v>
      </c>
      <c r="V7505" s="22">
        <f>3.55/5</f>
        <v>0.71</v>
      </c>
      <c r="X7505" s="3">
        <v>2</v>
      </c>
      <c r="Z7505" s="23">
        <v>1.5</v>
      </c>
      <c r="AB7505" s="18">
        <f t="shared" si="234"/>
        <v>2001</v>
      </c>
      <c r="AC7505" s="22">
        <f t="shared" si="235"/>
        <v>0.6333333333333333</v>
      </c>
    </row>
    <row r="7506" spans="1:29" ht="30">
      <c r="A7506" s="8" t="s">
        <v>2066</v>
      </c>
      <c r="B7506" s="17" t="s">
        <v>7747</v>
      </c>
      <c r="C7506" s="13">
        <v>37052</v>
      </c>
      <c r="D7506" s="13" t="s">
        <v>8465</v>
      </c>
      <c r="E7506" s="10" t="s">
        <v>86</v>
      </c>
      <c r="F7506" s="10" t="s">
        <v>86</v>
      </c>
      <c r="G7506" s="11" t="s">
        <v>137</v>
      </c>
      <c r="H7506" s="2" t="s">
        <v>64</v>
      </c>
      <c r="L7506" s="18">
        <v>0</v>
      </c>
      <c r="Q7506" s="18">
        <v>0</v>
      </c>
      <c r="U7506" s="22">
        <v>0.82</v>
      </c>
      <c r="V7506" s="22">
        <f>3.8/5</f>
        <v>0.76</v>
      </c>
      <c r="X7506" s="3">
        <v>3</v>
      </c>
      <c r="Z7506" s="23">
        <v>3.5</v>
      </c>
      <c r="AB7506" s="18">
        <f t="shared" si="234"/>
        <v>2001</v>
      </c>
      <c r="AC7506" s="22">
        <f t="shared" si="235"/>
        <v>0.72666666666666668</v>
      </c>
    </row>
    <row r="7507" spans="1:29" ht="25.5">
      <c r="A7507" s="8" t="s">
        <v>11164</v>
      </c>
      <c r="B7507" s="17" t="s">
        <v>7800</v>
      </c>
      <c r="C7507" s="13">
        <v>37051</v>
      </c>
      <c r="D7507" s="13" t="s">
        <v>8465</v>
      </c>
      <c r="E7507" s="10" t="s">
        <v>9795</v>
      </c>
      <c r="F7507" s="10" t="s">
        <v>6892</v>
      </c>
      <c r="G7507" s="11" t="s">
        <v>11165</v>
      </c>
      <c r="H7507" s="2" t="s">
        <v>67</v>
      </c>
      <c r="L7507" s="18">
        <v>1</v>
      </c>
      <c r="N7507" s="13">
        <v>44601</v>
      </c>
      <c r="O7507" s="29">
        <v>0.49</v>
      </c>
      <c r="P7507" s="18" t="s">
        <v>1107</v>
      </c>
      <c r="Q7507" s="18">
        <v>0</v>
      </c>
      <c r="V7507" s="22">
        <f>2.95/5</f>
        <v>0.59000000000000008</v>
      </c>
      <c r="W7507" s="14" t="s">
        <v>7777</v>
      </c>
      <c r="X7507" s="3">
        <v>2</v>
      </c>
      <c r="Z7507" s="23">
        <v>4.5</v>
      </c>
      <c r="AB7507" s="18">
        <f t="shared" si="234"/>
        <v>2001</v>
      </c>
      <c r="AC7507" s="22">
        <f t="shared" si="235"/>
        <v>0.49500000000000005</v>
      </c>
    </row>
    <row r="7508" spans="1:29" ht="25.5">
      <c r="A7508" s="8" t="s">
        <v>11930</v>
      </c>
      <c r="B7508" s="17" t="s">
        <v>7755</v>
      </c>
      <c r="C7508" s="13">
        <v>37048</v>
      </c>
      <c r="D7508" s="13" t="s">
        <v>8463</v>
      </c>
      <c r="E7508" s="10" t="s">
        <v>73</v>
      </c>
      <c r="F7508" s="10" t="s">
        <v>73</v>
      </c>
      <c r="G7508" s="11" t="s">
        <v>11926</v>
      </c>
      <c r="H7508" s="2" t="s">
        <v>149</v>
      </c>
      <c r="K7508" s="18">
        <v>0</v>
      </c>
      <c r="L7508" s="18">
        <v>0</v>
      </c>
      <c r="Q7508" s="18">
        <v>0</v>
      </c>
      <c r="V7508" s="22">
        <f>3.77/5</f>
        <v>0.754</v>
      </c>
      <c r="X7508" s="3">
        <v>2</v>
      </c>
      <c r="AB7508" s="18">
        <f t="shared" si="234"/>
        <v>2001</v>
      </c>
      <c r="AC7508" s="22">
        <f t="shared" si="235"/>
        <v>0.57699999999999996</v>
      </c>
    </row>
    <row r="7509" spans="1:29">
      <c r="A7509" s="8" t="s">
        <v>4075</v>
      </c>
      <c r="B7509" s="17" t="s">
        <v>7800</v>
      </c>
      <c r="C7509" s="13">
        <v>37043</v>
      </c>
      <c r="D7509" s="13" t="s">
        <v>8465</v>
      </c>
      <c r="E7509" s="10" t="s">
        <v>4070</v>
      </c>
      <c r="F7509" s="10" t="s">
        <v>3154</v>
      </c>
      <c r="G7509" s="11" t="s">
        <v>4069</v>
      </c>
      <c r="H7509" s="2" t="s">
        <v>1050</v>
      </c>
      <c r="L7509" s="18">
        <v>1</v>
      </c>
      <c r="N7509" s="13">
        <v>42002</v>
      </c>
      <c r="O7509" s="29">
        <v>2.86</v>
      </c>
      <c r="P7509" s="18" t="s">
        <v>1107</v>
      </c>
      <c r="Q7509" s="18">
        <v>0</v>
      </c>
      <c r="U7509" s="22">
        <v>0.67</v>
      </c>
      <c r="V7509" s="22">
        <f>3.55/5</f>
        <v>0.71</v>
      </c>
      <c r="W7509" s="14" t="s">
        <v>7777</v>
      </c>
      <c r="X7509" s="3">
        <v>3</v>
      </c>
      <c r="Z7509" s="23">
        <v>3</v>
      </c>
      <c r="AB7509" s="18">
        <f t="shared" si="234"/>
        <v>2001</v>
      </c>
      <c r="AC7509" s="22">
        <f t="shared" si="235"/>
        <v>0.66</v>
      </c>
    </row>
    <row r="7510" spans="1:29" ht="25.5">
      <c r="A7510" s="8" t="s">
        <v>1854</v>
      </c>
      <c r="B7510" s="17" t="s">
        <v>7746</v>
      </c>
      <c r="C7510" s="13">
        <v>37043</v>
      </c>
      <c r="D7510" s="13" t="s">
        <v>8465</v>
      </c>
      <c r="E7510" s="10" t="s">
        <v>1870</v>
      </c>
      <c r="F7510" s="10" t="s">
        <v>1282</v>
      </c>
      <c r="G7510" s="11" t="s">
        <v>1853</v>
      </c>
      <c r="H7510" s="2" t="s">
        <v>80</v>
      </c>
      <c r="L7510" s="18">
        <v>0</v>
      </c>
      <c r="Q7510" s="18">
        <v>0</v>
      </c>
      <c r="U7510" s="22">
        <v>0.77</v>
      </c>
      <c r="V7510" s="22">
        <f>3.3/5</f>
        <v>0.65999999999999992</v>
      </c>
      <c r="X7510" s="3">
        <v>3</v>
      </c>
      <c r="Z7510" s="23">
        <v>6</v>
      </c>
      <c r="AB7510" s="18">
        <f t="shared" si="234"/>
        <v>2001</v>
      </c>
      <c r="AC7510" s="22">
        <f t="shared" si="235"/>
        <v>0.67666666666666664</v>
      </c>
    </row>
    <row r="7511" spans="1:29">
      <c r="A7511" s="8" t="s">
        <v>15081</v>
      </c>
      <c r="B7511" s="17" t="s">
        <v>7758</v>
      </c>
      <c r="C7511" s="13">
        <v>37042</v>
      </c>
      <c r="D7511" s="13" t="s">
        <v>8463</v>
      </c>
      <c r="E7511" s="10" t="s">
        <v>144</v>
      </c>
      <c r="F7511" s="10" t="s">
        <v>15080</v>
      </c>
      <c r="G7511" s="11" t="s">
        <v>15079</v>
      </c>
      <c r="H7511" s="2" t="s">
        <v>1170</v>
      </c>
      <c r="K7511" s="18">
        <v>0</v>
      </c>
      <c r="L7511" s="18">
        <v>0</v>
      </c>
      <c r="Q7511" s="18">
        <v>0</v>
      </c>
      <c r="V7511" s="22">
        <f>3.64/5</f>
        <v>0.72799999999999998</v>
      </c>
      <c r="X7511" s="3">
        <v>2</v>
      </c>
      <c r="AB7511" s="18">
        <f t="shared" si="234"/>
        <v>2001</v>
      </c>
      <c r="AC7511" s="22">
        <f t="shared" si="235"/>
        <v>0.56400000000000006</v>
      </c>
    </row>
    <row r="7512" spans="1:29">
      <c r="A7512" s="8" t="s">
        <v>9236</v>
      </c>
      <c r="B7512" s="17" t="s">
        <v>7758</v>
      </c>
      <c r="C7512" s="13">
        <v>37042</v>
      </c>
      <c r="D7512" s="13" t="s">
        <v>8463</v>
      </c>
      <c r="E7512" s="10" t="s">
        <v>257</v>
      </c>
      <c r="F7512" s="10" t="s">
        <v>2304</v>
      </c>
      <c r="H7512" s="2" t="s">
        <v>67</v>
      </c>
      <c r="K7512" s="18">
        <v>0</v>
      </c>
      <c r="L7512" s="18">
        <v>0</v>
      </c>
      <c r="Q7512" s="18">
        <v>0</v>
      </c>
      <c r="V7512" s="22">
        <f>3.5/5</f>
        <v>0.7</v>
      </c>
      <c r="X7512" s="3">
        <v>2</v>
      </c>
      <c r="AB7512" s="18">
        <f t="shared" si="234"/>
        <v>2001</v>
      </c>
      <c r="AC7512" s="22">
        <f t="shared" si="235"/>
        <v>0.55000000000000004</v>
      </c>
    </row>
    <row r="7513" spans="1:29" ht="25.5">
      <c r="A7513" s="8" t="s">
        <v>7690</v>
      </c>
      <c r="B7513" s="17" t="s">
        <v>7746</v>
      </c>
      <c r="C7513" s="13">
        <v>37041</v>
      </c>
      <c r="D7513" s="13" t="s">
        <v>8465</v>
      </c>
      <c r="E7513" s="10" t="s">
        <v>1273</v>
      </c>
      <c r="F7513" s="10" t="s">
        <v>1956</v>
      </c>
      <c r="G7513" s="11" t="s">
        <v>1264</v>
      </c>
      <c r="H7513" s="2" t="s">
        <v>56</v>
      </c>
      <c r="L7513" s="18">
        <v>0</v>
      </c>
      <c r="Q7513" s="18">
        <v>0</v>
      </c>
      <c r="U7513" s="22">
        <v>0.7</v>
      </c>
      <c r="V7513" s="22">
        <f>3.67/5</f>
        <v>0.73399999999999999</v>
      </c>
      <c r="X7513" s="3">
        <v>3</v>
      </c>
      <c r="Z7513" s="23">
        <v>1.5</v>
      </c>
      <c r="AB7513" s="18">
        <f t="shared" si="234"/>
        <v>2001</v>
      </c>
      <c r="AC7513" s="22">
        <f t="shared" si="235"/>
        <v>0.67799999999999994</v>
      </c>
    </row>
    <row r="7514" spans="1:29" ht="30">
      <c r="A7514" s="8" t="s">
        <v>6889</v>
      </c>
      <c r="B7514" s="17" t="s">
        <v>7746</v>
      </c>
      <c r="C7514" s="13">
        <v>37041</v>
      </c>
      <c r="D7514" s="13" t="s">
        <v>8465</v>
      </c>
      <c r="E7514" s="10" t="s">
        <v>1273</v>
      </c>
      <c r="F7514" s="10" t="s">
        <v>7505</v>
      </c>
      <c r="G7514" s="11" t="s">
        <v>6889</v>
      </c>
      <c r="H7514" s="2" t="s">
        <v>64</v>
      </c>
      <c r="L7514" s="18">
        <v>0</v>
      </c>
      <c r="Q7514" s="18">
        <v>0</v>
      </c>
      <c r="U7514" s="22">
        <v>0.65</v>
      </c>
      <c r="V7514" s="22">
        <f>2.64/5</f>
        <v>0.52800000000000002</v>
      </c>
      <c r="X7514" s="3">
        <v>3</v>
      </c>
      <c r="AB7514" s="18">
        <f t="shared" si="234"/>
        <v>2001</v>
      </c>
      <c r="AC7514" s="22">
        <f t="shared" si="235"/>
        <v>0.59266666666666667</v>
      </c>
    </row>
    <row r="7515" spans="1:29">
      <c r="A7515" s="8" t="s">
        <v>9004</v>
      </c>
      <c r="B7515" s="17" t="s">
        <v>7757</v>
      </c>
      <c r="C7515" s="13">
        <v>37041</v>
      </c>
      <c r="D7515" s="13" t="s">
        <v>8465</v>
      </c>
      <c r="E7515" s="10" t="s">
        <v>9005</v>
      </c>
      <c r="F7515" s="10" t="s">
        <v>3372</v>
      </c>
      <c r="H7515" s="2" t="s">
        <v>67</v>
      </c>
      <c r="L7515" s="18">
        <v>0</v>
      </c>
      <c r="Q7515" s="18">
        <v>0</v>
      </c>
      <c r="V7515" s="22">
        <f>3.21/5</f>
        <v>0.64200000000000002</v>
      </c>
      <c r="X7515" s="3">
        <v>2</v>
      </c>
      <c r="Z7515" s="23">
        <v>10.5</v>
      </c>
      <c r="AB7515" s="18">
        <f t="shared" si="234"/>
        <v>2001</v>
      </c>
      <c r="AC7515" s="22">
        <f t="shared" si="235"/>
        <v>0.52100000000000002</v>
      </c>
    </row>
    <row r="7516" spans="1:29">
      <c r="A7516" s="8" t="s">
        <v>5797</v>
      </c>
      <c r="B7516" s="17" t="s">
        <v>7758</v>
      </c>
      <c r="C7516" s="13">
        <v>37040</v>
      </c>
      <c r="D7516" s="13" t="s">
        <v>8465</v>
      </c>
      <c r="E7516" s="10" t="s">
        <v>1290</v>
      </c>
      <c r="F7516" s="10" t="s">
        <v>2129</v>
      </c>
      <c r="G7516" s="11" t="s">
        <v>5797</v>
      </c>
      <c r="H7516" s="2" t="s">
        <v>171</v>
      </c>
      <c r="L7516" s="18">
        <v>0</v>
      </c>
      <c r="Q7516" s="18">
        <v>0</v>
      </c>
      <c r="U7516" s="22">
        <v>0.79</v>
      </c>
      <c r="V7516" s="22">
        <f>3.88/5</f>
        <v>0.77600000000000002</v>
      </c>
      <c r="X7516" s="3">
        <v>4</v>
      </c>
      <c r="Z7516" s="23">
        <v>31</v>
      </c>
      <c r="AB7516" s="18">
        <f t="shared" si="234"/>
        <v>2001</v>
      </c>
      <c r="AC7516" s="22">
        <f t="shared" si="235"/>
        <v>0.78866666666666674</v>
      </c>
    </row>
    <row r="7517" spans="1:29">
      <c r="A7517" s="8" t="s">
        <v>2745</v>
      </c>
      <c r="B7517" s="17" t="s">
        <v>7755</v>
      </c>
      <c r="C7517" s="13">
        <v>37039</v>
      </c>
      <c r="D7517" s="13" t="s">
        <v>8465</v>
      </c>
      <c r="E7517" s="10" t="s">
        <v>455</v>
      </c>
      <c r="F7517" s="10" t="s">
        <v>2761</v>
      </c>
      <c r="G7517" s="11" t="s">
        <v>2762</v>
      </c>
      <c r="H7517" s="2" t="s">
        <v>150</v>
      </c>
      <c r="L7517" s="18">
        <v>0</v>
      </c>
      <c r="Q7517" s="18">
        <v>0</v>
      </c>
      <c r="U7517" s="22">
        <v>0.83</v>
      </c>
      <c r="V7517" s="22">
        <f>3.9/5</f>
        <v>0.78</v>
      </c>
      <c r="X7517" s="3">
        <v>3</v>
      </c>
      <c r="Z7517" s="23">
        <v>4</v>
      </c>
      <c r="AB7517" s="18">
        <f t="shared" si="234"/>
        <v>2001</v>
      </c>
      <c r="AC7517" s="22">
        <f t="shared" si="235"/>
        <v>0.73666666666666669</v>
      </c>
    </row>
    <row r="7518" spans="1:29">
      <c r="A7518" s="8" t="s">
        <v>2997</v>
      </c>
      <c r="B7518" s="17" t="s">
        <v>7757</v>
      </c>
      <c r="C7518" s="13">
        <v>37035</v>
      </c>
      <c r="D7518" s="13" t="s">
        <v>8463</v>
      </c>
      <c r="E7518" s="10" t="s">
        <v>3041</v>
      </c>
      <c r="F7518" s="10" t="s">
        <v>3042</v>
      </c>
      <c r="G7518" s="11" t="s">
        <v>2997</v>
      </c>
      <c r="H7518" s="2" t="s">
        <v>75</v>
      </c>
      <c r="K7518" s="18">
        <v>2</v>
      </c>
      <c r="L7518" s="18">
        <v>0</v>
      </c>
      <c r="Q7518" s="18">
        <v>0</v>
      </c>
      <c r="V7518" s="22">
        <f>4.06/5</f>
        <v>0.81199999999999994</v>
      </c>
      <c r="X7518" s="3">
        <v>4</v>
      </c>
      <c r="Z7518" s="23">
        <v>40.5</v>
      </c>
      <c r="AB7518" s="18">
        <f t="shared" si="234"/>
        <v>2001</v>
      </c>
      <c r="AC7518" s="22">
        <f t="shared" si="235"/>
        <v>0.80600000000000005</v>
      </c>
    </row>
    <row r="7519" spans="1:29" ht="30">
      <c r="A7519" s="8" t="s">
        <v>11452</v>
      </c>
      <c r="B7519" s="17" t="s">
        <v>7758</v>
      </c>
      <c r="C7519" s="13">
        <v>37035</v>
      </c>
      <c r="D7519" s="13" t="s">
        <v>8463</v>
      </c>
      <c r="E7519" s="10" t="s">
        <v>2908</v>
      </c>
      <c r="F7519" s="10" t="s">
        <v>2908</v>
      </c>
      <c r="G7519" s="11" t="s">
        <v>10121</v>
      </c>
      <c r="H7519" s="2" t="s">
        <v>1061</v>
      </c>
      <c r="K7519" s="18">
        <v>0</v>
      </c>
      <c r="L7519" s="18">
        <v>0</v>
      </c>
      <c r="Q7519" s="18">
        <v>0</v>
      </c>
      <c r="V7519" s="22">
        <f>3.71/5</f>
        <v>0.74199999999999999</v>
      </c>
      <c r="X7519" s="3">
        <v>2</v>
      </c>
      <c r="Z7519" s="23">
        <v>4.5</v>
      </c>
      <c r="AB7519" s="18">
        <f t="shared" si="234"/>
        <v>2001</v>
      </c>
      <c r="AC7519" s="22">
        <f t="shared" si="235"/>
        <v>0.57099999999999995</v>
      </c>
    </row>
    <row r="7520" spans="1:29" ht="38.25">
      <c r="A7520" s="8" t="s">
        <v>11680</v>
      </c>
      <c r="B7520" s="17" t="s">
        <v>7757</v>
      </c>
      <c r="C7520" s="13">
        <v>37035</v>
      </c>
      <c r="D7520" s="13" t="s">
        <v>8463</v>
      </c>
      <c r="E7520" s="10" t="s">
        <v>73</v>
      </c>
      <c r="F7520" s="10" t="s">
        <v>1905</v>
      </c>
      <c r="G7520" s="11" t="s">
        <v>11681</v>
      </c>
      <c r="H7520" s="2" t="s">
        <v>1057</v>
      </c>
      <c r="K7520" s="18">
        <v>0</v>
      </c>
      <c r="L7520" s="18">
        <v>0</v>
      </c>
      <c r="Q7520" s="18">
        <v>0</v>
      </c>
      <c r="V7520" s="22">
        <f>3/5</f>
        <v>0.6</v>
      </c>
      <c r="X7520" s="3">
        <v>2</v>
      </c>
      <c r="AB7520" s="18">
        <f t="shared" si="234"/>
        <v>2001</v>
      </c>
      <c r="AC7520" s="22">
        <f t="shared" si="235"/>
        <v>0.5</v>
      </c>
    </row>
    <row r="7521" spans="1:29">
      <c r="A7521" s="8" t="s">
        <v>8879</v>
      </c>
      <c r="B7521" s="17" t="s">
        <v>7757</v>
      </c>
      <c r="C7521" s="13">
        <v>37030</v>
      </c>
      <c r="D7521" s="13" t="s">
        <v>8465</v>
      </c>
      <c r="E7521" s="10" t="s">
        <v>157</v>
      </c>
      <c r="F7521" s="10" t="s">
        <v>1366</v>
      </c>
      <c r="G7521" s="11" t="s">
        <v>8877</v>
      </c>
      <c r="H7521" s="2" t="s">
        <v>149</v>
      </c>
      <c r="L7521" s="18">
        <v>0</v>
      </c>
      <c r="Q7521" s="18">
        <v>0</v>
      </c>
      <c r="U7521" s="22">
        <v>0.42</v>
      </c>
      <c r="V7521" s="22">
        <f>3.76/5</f>
        <v>0.752</v>
      </c>
      <c r="X7521" s="3">
        <v>2</v>
      </c>
      <c r="Z7521" s="23">
        <v>65</v>
      </c>
      <c r="AB7521" s="18">
        <f t="shared" si="234"/>
        <v>2001</v>
      </c>
      <c r="AC7521" s="22">
        <f t="shared" si="235"/>
        <v>0.52400000000000002</v>
      </c>
    </row>
    <row r="7522" spans="1:29" ht="25.5">
      <c r="A7522" s="8" t="s">
        <v>1833</v>
      </c>
      <c r="B7522" s="17" t="s">
        <v>7746</v>
      </c>
      <c r="C7522" s="13">
        <v>37028</v>
      </c>
      <c r="D7522" s="13" t="s">
        <v>8466</v>
      </c>
      <c r="E7522" s="10" t="s">
        <v>1868</v>
      </c>
      <c r="F7522" s="10" t="s">
        <v>1869</v>
      </c>
      <c r="H7522" s="2" t="s">
        <v>64</v>
      </c>
      <c r="K7522" s="18">
        <v>2</v>
      </c>
      <c r="L7522" s="18">
        <v>0</v>
      </c>
      <c r="Q7522" s="18">
        <v>0</v>
      </c>
      <c r="V7522" s="22">
        <f>2/5</f>
        <v>0.4</v>
      </c>
      <c r="X7522" s="3">
        <v>3</v>
      </c>
      <c r="Z7522" s="23">
        <v>1.5</v>
      </c>
      <c r="AB7522" s="18">
        <f t="shared" si="234"/>
        <v>2001</v>
      </c>
      <c r="AC7522" s="22">
        <f t="shared" si="235"/>
        <v>0.5</v>
      </c>
    </row>
    <row r="7523" spans="1:29">
      <c r="A7523" s="8" t="s">
        <v>10128</v>
      </c>
      <c r="B7523" s="17" t="s">
        <v>7755</v>
      </c>
      <c r="C7523" s="13">
        <v>37027</v>
      </c>
      <c r="D7523" s="13" t="s">
        <v>8465</v>
      </c>
      <c r="E7523" s="10" t="s">
        <v>73</v>
      </c>
      <c r="F7523" s="10" t="s">
        <v>73</v>
      </c>
      <c r="G7523" s="11" t="s">
        <v>10127</v>
      </c>
      <c r="H7523" s="2" t="s">
        <v>459</v>
      </c>
      <c r="L7523" s="18">
        <v>0</v>
      </c>
      <c r="Q7523" s="18">
        <v>0</v>
      </c>
      <c r="U7523" s="22">
        <v>0.8</v>
      </c>
      <c r="V7523" s="22">
        <f>3.77/5</f>
        <v>0.754</v>
      </c>
      <c r="X7523" s="3">
        <v>3</v>
      </c>
      <c r="Z7523" s="23">
        <v>1</v>
      </c>
      <c r="AB7523" s="18">
        <f t="shared" si="234"/>
        <v>2001</v>
      </c>
      <c r="AC7523" s="22">
        <f t="shared" si="235"/>
        <v>0.71799999999999997</v>
      </c>
    </row>
    <row r="7524" spans="1:29">
      <c r="A7524" s="8" t="s">
        <v>12943</v>
      </c>
      <c r="B7524" s="17" t="s">
        <v>7757</v>
      </c>
      <c r="C7524" s="13">
        <v>37027</v>
      </c>
      <c r="D7524" s="13" t="s">
        <v>8465</v>
      </c>
      <c r="E7524" s="10" t="s">
        <v>158</v>
      </c>
      <c r="F7524" s="10" t="s">
        <v>7406</v>
      </c>
      <c r="G7524" s="11" t="s">
        <v>12941</v>
      </c>
      <c r="H7524" s="2" t="s">
        <v>1170</v>
      </c>
      <c r="L7524" s="18">
        <v>0</v>
      </c>
      <c r="Q7524" s="18">
        <v>0</v>
      </c>
      <c r="U7524" s="22">
        <v>0.78</v>
      </c>
      <c r="V7524" s="22">
        <f>4.06/5</f>
        <v>0.81199999999999994</v>
      </c>
      <c r="X7524" s="3">
        <v>2</v>
      </c>
      <c r="Z7524" s="23">
        <f>20/60</f>
        <v>0.33333333333333331</v>
      </c>
      <c r="AB7524" s="18">
        <f t="shared" si="234"/>
        <v>2001</v>
      </c>
      <c r="AC7524" s="22">
        <f t="shared" si="235"/>
        <v>0.66400000000000003</v>
      </c>
    </row>
    <row r="7525" spans="1:29">
      <c r="A7525" s="8" t="s">
        <v>14892</v>
      </c>
      <c r="B7525" s="17" t="s">
        <v>7755</v>
      </c>
      <c r="C7525" s="13">
        <v>37025</v>
      </c>
      <c r="D7525" s="13" t="s">
        <v>8465</v>
      </c>
      <c r="E7525" s="10" t="s">
        <v>455</v>
      </c>
      <c r="F7525" s="10" t="s">
        <v>2761</v>
      </c>
      <c r="H7525" s="2" t="s">
        <v>1170</v>
      </c>
      <c r="L7525" s="18">
        <v>0</v>
      </c>
      <c r="Q7525" s="18">
        <v>0</v>
      </c>
      <c r="U7525" s="22">
        <v>0.7</v>
      </c>
      <c r="V7525" s="22">
        <f>3.72/5</f>
        <v>0.74399999999999999</v>
      </c>
      <c r="X7525" s="3">
        <v>3</v>
      </c>
      <c r="Z7525" s="23">
        <f>40/60</f>
        <v>0.66666666666666663</v>
      </c>
      <c r="AB7525" s="18">
        <f t="shared" si="234"/>
        <v>2001</v>
      </c>
      <c r="AC7525" s="22">
        <f t="shared" si="235"/>
        <v>0.68133333333333335</v>
      </c>
    </row>
    <row r="7526" spans="1:29" ht="30">
      <c r="A7526" s="8" t="s">
        <v>14369</v>
      </c>
      <c r="B7526" s="17" t="s">
        <v>7746</v>
      </c>
      <c r="C7526" s="13">
        <v>37022</v>
      </c>
      <c r="D7526" s="13" t="s">
        <v>8463</v>
      </c>
      <c r="E7526" s="10" t="s">
        <v>86</v>
      </c>
      <c r="F7526" s="10" t="s">
        <v>1160</v>
      </c>
      <c r="G7526" s="11" t="s">
        <v>875</v>
      </c>
      <c r="H7526" s="2" t="s">
        <v>255</v>
      </c>
      <c r="K7526" s="18">
        <v>2</v>
      </c>
      <c r="L7526" s="18">
        <v>0</v>
      </c>
      <c r="Q7526" s="18">
        <v>0</v>
      </c>
      <c r="V7526" s="22">
        <f>4.05/5</f>
        <v>0.80999999999999994</v>
      </c>
      <c r="X7526" s="3">
        <v>3</v>
      </c>
      <c r="AB7526" s="18">
        <f t="shared" si="234"/>
        <v>2001</v>
      </c>
      <c r="AC7526" s="22">
        <f t="shared" si="235"/>
        <v>0.70499999999999996</v>
      </c>
    </row>
    <row r="7527" spans="1:29">
      <c r="A7527" s="8" t="s">
        <v>15411</v>
      </c>
      <c r="B7527" s="17" t="s">
        <v>7800</v>
      </c>
      <c r="C7527" s="13">
        <v>37019</v>
      </c>
      <c r="D7527" s="13" t="s">
        <v>8465</v>
      </c>
      <c r="E7527" s="10" t="s">
        <v>1047</v>
      </c>
      <c r="F7527" s="10" t="s">
        <v>13944</v>
      </c>
      <c r="G7527" s="11" t="s">
        <v>15400</v>
      </c>
      <c r="H7527" s="2" t="s">
        <v>67</v>
      </c>
      <c r="L7527" s="18">
        <v>1</v>
      </c>
      <c r="N7527" s="13">
        <v>45128</v>
      </c>
      <c r="O7527" s="29">
        <v>0</v>
      </c>
      <c r="P7527" s="18" t="s">
        <v>1107</v>
      </c>
      <c r="Q7527" s="18">
        <v>0</v>
      </c>
      <c r="U7527" s="22">
        <v>0.83</v>
      </c>
      <c r="V7527" s="22">
        <f>4.02/5</f>
        <v>0.80399999999999994</v>
      </c>
      <c r="W7527" s="14" t="s">
        <v>7777</v>
      </c>
      <c r="X7527" s="3">
        <v>3</v>
      </c>
      <c r="Z7527" s="23">
        <v>7.5</v>
      </c>
      <c r="AB7527" s="18">
        <f t="shared" si="234"/>
        <v>2001</v>
      </c>
      <c r="AC7527" s="22">
        <f t="shared" si="235"/>
        <v>0.7446666666666667</v>
      </c>
    </row>
    <row r="7528" spans="1:29">
      <c r="A7528" s="8" t="s">
        <v>862</v>
      </c>
      <c r="B7528" s="20" t="s">
        <v>7739</v>
      </c>
      <c r="C7528" s="13">
        <v>37018</v>
      </c>
      <c r="D7528" s="13" t="s">
        <v>8465</v>
      </c>
      <c r="E7528" s="10" t="s">
        <v>86</v>
      </c>
      <c r="F7528" s="10" t="s">
        <v>62</v>
      </c>
      <c r="G7528" s="11" t="s">
        <v>860</v>
      </c>
      <c r="H7528" s="2" t="s">
        <v>1469</v>
      </c>
      <c r="L7528" s="18">
        <v>0</v>
      </c>
      <c r="Q7528" s="18">
        <v>0</v>
      </c>
      <c r="U7528" s="22">
        <v>0.74</v>
      </c>
      <c r="V7528" s="22">
        <f>3.9/5</f>
        <v>0.78</v>
      </c>
      <c r="X7528" s="3">
        <v>3</v>
      </c>
      <c r="Z7528" s="23">
        <v>8.5</v>
      </c>
      <c r="AB7528" s="18">
        <f t="shared" si="234"/>
        <v>2001</v>
      </c>
      <c r="AC7528" s="22">
        <f t="shared" si="235"/>
        <v>0.70666666666666667</v>
      </c>
    </row>
    <row r="7529" spans="1:29" ht="25.5">
      <c r="A7529" s="8" t="s">
        <v>12114</v>
      </c>
      <c r="B7529" s="17" t="s">
        <v>7757</v>
      </c>
      <c r="C7529" s="13">
        <v>37017</v>
      </c>
      <c r="D7529" s="13" t="s">
        <v>8465</v>
      </c>
      <c r="E7529" s="10" t="s">
        <v>3014</v>
      </c>
      <c r="F7529" s="10" t="s">
        <v>160</v>
      </c>
      <c r="G7529" s="11" t="s">
        <v>208</v>
      </c>
      <c r="H7529" s="2" t="s">
        <v>80</v>
      </c>
      <c r="L7529" s="18">
        <v>0</v>
      </c>
      <c r="Q7529" s="18">
        <v>0</v>
      </c>
      <c r="V7529" s="22">
        <f>3.53/5</f>
        <v>0.70599999999999996</v>
      </c>
      <c r="X7529" s="3">
        <v>3</v>
      </c>
      <c r="Z7529" s="23">
        <v>10</v>
      </c>
      <c r="AB7529" s="18">
        <f t="shared" si="234"/>
        <v>2001</v>
      </c>
      <c r="AC7529" s="22">
        <f t="shared" si="235"/>
        <v>0.65300000000000002</v>
      </c>
    </row>
    <row r="7530" spans="1:29">
      <c r="A7530" s="8" t="s">
        <v>6578</v>
      </c>
      <c r="B7530" s="17" t="s">
        <v>7758</v>
      </c>
      <c r="C7530" s="13">
        <v>37012</v>
      </c>
      <c r="D7530" s="13" t="s">
        <v>8465</v>
      </c>
      <c r="E7530" s="10" t="s">
        <v>1466</v>
      </c>
      <c r="F7530" s="10" t="s">
        <v>1466</v>
      </c>
      <c r="G7530" s="11" t="s">
        <v>3967</v>
      </c>
      <c r="H7530" s="2" t="s">
        <v>1059</v>
      </c>
      <c r="L7530" s="18">
        <v>0</v>
      </c>
      <c r="Q7530" s="18">
        <v>0</v>
      </c>
      <c r="U7530" s="22">
        <v>0.71</v>
      </c>
      <c r="V7530" s="22">
        <f>3.89/5</f>
        <v>0.77800000000000002</v>
      </c>
      <c r="X7530" s="3">
        <v>2</v>
      </c>
      <c r="Z7530" s="23">
        <v>13</v>
      </c>
      <c r="AB7530" s="18">
        <f t="shared" si="234"/>
        <v>2001</v>
      </c>
      <c r="AC7530" s="22">
        <f t="shared" si="235"/>
        <v>0.6293333333333333</v>
      </c>
    </row>
    <row r="7531" spans="1:29" ht="25.5">
      <c r="A7531" s="8" t="s">
        <v>11003</v>
      </c>
      <c r="B7531" s="17" t="s">
        <v>7755</v>
      </c>
      <c r="C7531" s="13">
        <v>37011</v>
      </c>
      <c r="D7531" s="13" t="s">
        <v>8465</v>
      </c>
      <c r="E7531" s="10" t="s">
        <v>73</v>
      </c>
      <c r="F7531" s="10" t="s">
        <v>475</v>
      </c>
      <c r="H7531" s="2" t="s">
        <v>21</v>
      </c>
      <c r="L7531" s="18">
        <v>0</v>
      </c>
      <c r="Q7531" s="18">
        <v>0</v>
      </c>
      <c r="U7531" s="22">
        <v>0.78</v>
      </c>
      <c r="V7531" s="22">
        <f>3.63/5</f>
        <v>0.72599999999999998</v>
      </c>
      <c r="X7531" s="3">
        <v>3</v>
      </c>
      <c r="Z7531" s="23">
        <v>1</v>
      </c>
      <c r="AB7531" s="18">
        <f t="shared" si="234"/>
        <v>2001</v>
      </c>
      <c r="AC7531" s="22">
        <f t="shared" si="235"/>
        <v>0.70199999999999996</v>
      </c>
    </row>
    <row r="7532" spans="1:29" ht="30">
      <c r="A7532" s="8" t="s">
        <v>7660</v>
      </c>
      <c r="B7532" s="17" t="s">
        <v>7758</v>
      </c>
      <c r="C7532" s="13">
        <v>37011</v>
      </c>
      <c r="D7532" s="13" t="s">
        <v>8465</v>
      </c>
      <c r="E7532" s="10" t="s">
        <v>3017</v>
      </c>
      <c r="F7532" s="10" t="s">
        <v>1580</v>
      </c>
      <c r="G7532" s="11" t="s">
        <v>7660</v>
      </c>
      <c r="H7532" s="2" t="s">
        <v>80</v>
      </c>
      <c r="L7532" s="18">
        <v>0</v>
      </c>
      <c r="Q7532" s="18">
        <v>0</v>
      </c>
      <c r="U7532" s="22">
        <v>0.78</v>
      </c>
      <c r="V7532" s="22">
        <f>3.42/5</f>
        <v>0.68399999999999994</v>
      </c>
      <c r="X7532" s="3">
        <v>3</v>
      </c>
      <c r="Z7532" s="23">
        <v>4</v>
      </c>
      <c r="AB7532" s="18">
        <f t="shared" si="234"/>
        <v>2001</v>
      </c>
      <c r="AC7532" s="22">
        <f t="shared" si="235"/>
        <v>0.68800000000000006</v>
      </c>
    </row>
    <row r="7533" spans="1:29" ht="30">
      <c r="A7533" s="8" t="s">
        <v>1856</v>
      </c>
      <c r="B7533" s="17" t="s">
        <v>7746</v>
      </c>
      <c r="C7533" s="13">
        <v>37009</v>
      </c>
      <c r="D7533" s="13" t="s">
        <v>8465</v>
      </c>
      <c r="E7533" s="10" t="s">
        <v>1876</v>
      </c>
      <c r="F7533" s="10" t="s">
        <v>1084</v>
      </c>
      <c r="H7533" s="2" t="s">
        <v>21</v>
      </c>
      <c r="L7533" s="18">
        <v>0</v>
      </c>
      <c r="Q7533" s="18">
        <v>0</v>
      </c>
      <c r="U7533" s="22">
        <v>0.82</v>
      </c>
      <c r="V7533" s="22">
        <f>3.43/5</f>
        <v>0.68600000000000005</v>
      </c>
      <c r="X7533" s="3">
        <v>3</v>
      </c>
      <c r="Z7533" s="23">
        <v>0.62</v>
      </c>
      <c r="AB7533" s="18">
        <f t="shared" si="234"/>
        <v>2001</v>
      </c>
      <c r="AC7533" s="22">
        <f t="shared" si="235"/>
        <v>0.70199999999999996</v>
      </c>
    </row>
    <row r="7534" spans="1:29">
      <c r="A7534" s="8" t="s">
        <v>7687</v>
      </c>
      <c r="B7534" s="17" t="s">
        <v>7746</v>
      </c>
      <c r="C7534" s="13">
        <v>37009</v>
      </c>
      <c r="D7534" s="13" t="s">
        <v>8465</v>
      </c>
      <c r="E7534" s="10" t="s">
        <v>66</v>
      </c>
      <c r="F7534" s="10" t="s">
        <v>66</v>
      </c>
      <c r="G7534" s="11" t="s">
        <v>118</v>
      </c>
      <c r="H7534" s="2" t="s">
        <v>56</v>
      </c>
      <c r="L7534" s="18">
        <v>0</v>
      </c>
      <c r="Q7534" s="18">
        <v>0</v>
      </c>
      <c r="U7534" s="22">
        <v>0.7</v>
      </c>
      <c r="V7534" s="22">
        <f>3.31/5</f>
        <v>0.66200000000000003</v>
      </c>
      <c r="X7534" s="3">
        <v>3</v>
      </c>
      <c r="Z7534" s="23">
        <v>1.5</v>
      </c>
      <c r="AB7534" s="18">
        <f t="shared" si="234"/>
        <v>2001</v>
      </c>
      <c r="AC7534" s="22">
        <f t="shared" si="235"/>
        <v>0.65400000000000003</v>
      </c>
    </row>
    <row r="7535" spans="1:29">
      <c r="A7535" s="8" t="s">
        <v>14616</v>
      </c>
      <c r="B7535" s="17" t="s">
        <v>7800</v>
      </c>
      <c r="C7535" s="13">
        <v>37007</v>
      </c>
      <c r="D7535" s="13" t="s">
        <v>8463</v>
      </c>
      <c r="E7535" s="10" t="s">
        <v>14617</v>
      </c>
      <c r="F7535" s="10" t="s">
        <v>14617</v>
      </c>
      <c r="H7535" s="2" t="s">
        <v>1061</v>
      </c>
      <c r="K7535" s="18">
        <v>2</v>
      </c>
      <c r="L7535" s="18">
        <v>0</v>
      </c>
      <c r="Q7535" s="18">
        <v>0</v>
      </c>
      <c r="X7535" s="3">
        <v>2</v>
      </c>
      <c r="AB7535" s="18">
        <f t="shared" si="234"/>
        <v>2001</v>
      </c>
      <c r="AC7535" s="22">
        <f t="shared" si="235"/>
        <v>0.4</v>
      </c>
    </row>
    <row r="7536" spans="1:29" ht="25.5">
      <c r="A7536" s="8" t="s">
        <v>8061</v>
      </c>
      <c r="B7536" s="17" t="s">
        <v>7758</v>
      </c>
      <c r="C7536" s="13">
        <v>37004</v>
      </c>
      <c r="D7536" s="13" t="s">
        <v>8465</v>
      </c>
      <c r="E7536" s="10" t="s">
        <v>2701</v>
      </c>
      <c r="F7536" s="10" t="s">
        <v>1512</v>
      </c>
      <c r="G7536" s="11" t="s">
        <v>2690</v>
      </c>
      <c r="H7536" s="2" t="s">
        <v>21</v>
      </c>
      <c r="L7536" s="18">
        <v>0</v>
      </c>
      <c r="Q7536" s="18">
        <v>0</v>
      </c>
      <c r="U7536" s="22">
        <v>0.61529999999999996</v>
      </c>
      <c r="V7536" s="22">
        <f>3.44/5</f>
        <v>0.68799999999999994</v>
      </c>
      <c r="X7536" s="3">
        <v>2</v>
      </c>
      <c r="Z7536" s="23">
        <v>2.5</v>
      </c>
      <c r="AB7536" s="18">
        <f t="shared" si="234"/>
        <v>2001</v>
      </c>
      <c r="AC7536" s="22">
        <f t="shared" si="235"/>
        <v>0.56776666666666664</v>
      </c>
    </row>
    <row r="7537" spans="1:29">
      <c r="A7537" s="8" t="s">
        <v>8629</v>
      </c>
      <c r="B7537" s="17" t="s">
        <v>7800</v>
      </c>
      <c r="C7537" s="13">
        <v>36999</v>
      </c>
      <c r="D7537" s="13" t="s">
        <v>8465</v>
      </c>
      <c r="E7537" s="10" t="s">
        <v>60</v>
      </c>
      <c r="F7537" s="10" t="s">
        <v>6884</v>
      </c>
      <c r="G7537" s="11" t="s">
        <v>5594</v>
      </c>
      <c r="H7537" s="2" t="s">
        <v>1168</v>
      </c>
      <c r="L7537" s="18">
        <v>1</v>
      </c>
      <c r="N7537" s="13">
        <v>43955</v>
      </c>
      <c r="O7537" s="29">
        <v>0.75</v>
      </c>
      <c r="P7537" s="18" t="s">
        <v>1107</v>
      </c>
      <c r="Q7537" s="18">
        <v>0</v>
      </c>
      <c r="U7537" s="22">
        <v>0.65</v>
      </c>
      <c r="V7537" s="22">
        <f>2.7/5</f>
        <v>0.54</v>
      </c>
      <c r="W7537" s="14" t="s">
        <v>7777</v>
      </c>
      <c r="X7537" s="3">
        <v>3</v>
      </c>
      <c r="Z7537" s="23">
        <v>4</v>
      </c>
      <c r="AB7537" s="18">
        <f t="shared" si="234"/>
        <v>2001</v>
      </c>
      <c r="AC7537" s="22">
        <f t="shared" si="235"/>
        <v>0.59666666666666668</v>
      </c>
    </row>
    <row r="7538" spans="1:29" ht="38.25">
      <c r="A7538" s="8" t="s">
        <v>7559</v>
      </c>
      <c r="B7538" s="17" t="s">
        <v>7758</v>
      </c>
      <c r="C7538" s="13">
        <v>36999</v>
      </c>
      <c r="D7538" s="13" t="s">
        <v>8465</v>
      </c>
      <c r="E7538" s="10" t="s">
        <v>1195</v>
      </c>
      <c r="F7538" s="10" t="s">
        <v>2659</v>
      </c>
      <c r="G7538" s="11" t="s">
        <v>1864</v>
      </c>
      <c r="H7538" s="2" t="s">
        <v>149</v>
      </c>
      <c r="L7538" s="18">
        <v>0</v>
      </c>
      <c r="Q7538" s="18">
        <v>0</v>
      </c>
      <c r="U7538" s="22">
        <v>0.6</v>
      </c>
      <c r="V7538" s="22">
        <f>2.79/5</f>
        <v>0.55800000000000005</v>
      </c>
      <c r="X7538" s="3">
        <v>2</v>
      </c>
      <c r="Z7538" s="23">
        <v>10</v>
      </c>
      <c r="AB7538" s="18">
        <f t="shared" si="234"/>
        <v>2001</v>
      </c>
      <c r="AC7538" s="22">
        <f t="shared" si="235"/>
        <v>0.51933333333333331</v>
      </c>
    </row>
    <row r="7539" spans="1:29">
      <c r="A7539" s="8" t="s">
        <v>2748</v>
      </c>
      <c r="B7539" s="17" t="s">
        <v>7755</v>
      </c>
      <c r="C7539" s="13">
        <v>36997</v>
      </c>
      <c r="D7539" s="13" t="s">
        <v>8465</v>
      </c>
      <c r="E7539" s="10" t="s">
        <v>2765</v>
      </c>
      <c r="F7539" s="10" t="s">
        <v>2766</v>
      </c>
      <c r="H7539" s="2" t="s">
        <v>1061</v>
      </c>
      <c r="L7539" s="18">
        <v>0</v>
      </c>
      <c r="Q7539" s="18">
        <v>0</v>
      </c>
      <c r="U7539" s="22">
        <v>0.65</v>
      </c>
      <c r="V7539" s="22">
        <f>4.1/5</f>
        <v>0.82</v>
      </c>
      <c r="X7539" s="3">
        <v>3</v>
      </c>
      <c r="Z7539" s="23">
        <v>9.5</v>
      </c>
      <c r="AB7539" s="18">
        <f t="shared" si="234"/>
        <v>2001</v>
      </c>
      <c r="AC7539" s="22">
        <f t="shared" si="235"/>
        <v>0.69</v>
      </c>
    </row>
    <row r="7540" spans="1:29">
      <c r="A7540" s="8" t="s">
        <v>14924</v>
      </c>
      <c r="B7540" s="17" t="s">
        <v>7739</v>
      </c>
      <c r="C7540" s="13">
        <v>36995</v>
      </c>
      <c r="D7540" s="13" t="s">
        <v>8463</v>
      </c>
      <c r="E7540" s="10" t="s">
        <v>86</v>
      </c>
      <c r="F7540" s="10" t="s">
        <v>86</v>
      </c>
      <c r="G7540" s="11" t="s">
        <v>901</v>
      </c>
      <c r="H7540" s="2" t="s">
        <v>1334</v>
      </c>
      <c r="K7540" s="18">
        <v>2</v>
      </c>
      <c r="L7540" s="18">
        <v>0</v>
      </c>
      <c r="Q7540" s="18">
        <v>0</v>
      </c>
      <c r="V7540" s="22">
        <f>4.06/5</f>
        <v>0.81199999999999994</v>
      </c>
      <c r="X7540" s="3">
        <v>3</v>
      </c>
      <c r="Z7540" s="23">
        <v>68</v>
      </c>
      <c r="AB7540" s="18">
        <f t="shared" si="234"/>
        <v>2001</v>
      </c>
      <c r="AC7540" s="22">
        <f t="shared" si="235"/>
        <v>0.70599999999999996</v>
      </c>
    </row>
    <row r="7541" spans="1:29">
      <c r="A7541" s="8" t="s">
        <v>2919</v>
      </c>
      <c r="B7541" s="17" t="s">
        <v>7757</v>
      </c>
      <c r="C7541" s="13">
        <v>36994</v>
      </c>
      <c r="D7541" s="13" t="s">
        <v>8465</v>
      </c>
      <c r="E7541" s="10" t="s">
        <v>3016</v>
      </c>
      <c r="F7541" s="10" t="s">
        <v>2890</v>
      </c>
      <c r="G7541" s="11" t="s">
        <v>2918</v>
      </c>
      <c r="H7541" s="2" t="s">
        <v>1061</v>
      </c>
      <c r="L7541" s="18">
        <v>0</v>
      </c>
      <c r="Q7541" s="18">
        <v>0</v>
      </c>
      <c r="U7541" s="22">
        <v>0.56999999999999995</v>
      </c>
      <c r="V7541" s="22">
        <f>3.66/5</f>
        <v>0.73199999999999998</v>
      </c>
      <c r="X7541" s="3">
        <v>3</v>
      </c>
      <c r="Z7541" s="23">
        <v>13.5</v>
      </c>
      <c r="AB7541" s="18">
        <f t="shared" si="234"/>
        <v>2001</v>
      </c>
      <c r="AC7541" s="22">
        <f t="shared" si="235"/>
        <v>0.63400000000000001</v>
      </c>
    </row>
    <row r="7542" spans="1:29" ht="25.5">
      <c r="A7542" s="8" t="s">
        <v>10667</v>
      </c>
      <c r="B7542" s="17" t="s">
        <v>7746</v>
      </c>
      <c r="C7542" s="13">
        <v>36993</v>
      </c>
      <c r="D7542" s="13" t="s">
        <v>8463</v>
      </c>
      <c r="E7542" s="10" t="s">
        <v>72</v>
      </c>
      <c r="F7542" s="10" t="s">
        <v>234</v>
      </c>
      <c r="G7542" s="11" t="s">
        <v>10668</v>
      </c>
      <c r="H7542" s="2" t="s">
        <v>56</v>
      </c>
      <c r="K7542" s="18">
        <v>0</v>
      </c>
      <c r="L7542" s="18">
        <v>0</v>
      </c>
      <c r="Q7542" s="18">
        <v>0</v>
      </c>
      <c r="V7542" s="22">
        <f>3.92/5</f>
        <v>0.78400000000000003</v>
      </c>
      <c r="X7542" s="3">
        <v>2</v>
      </c>
      <c r="AB7542" s="18">
        <f t="shared" si="234"/>
        <v>2001</v>
      </c>
      <c r="AC7542" s="22">
        <f t="shared" si="235"/>
        <v>0.59200000000000008</v>
      </c>
    </row>
    <row r="7543" spans="1:29" ht="25.5">
      <c r="A7543" s="8" t="s">
        <v>11929</v>
      </c>
      <c r="B7543" s="17" t="s">
        <v>7755</v>
      </c>
      <c r="C7543" s="13">
        <v>36993</v>
      </c>
      <c r="D7543" s="13" t="s">
        <v>8463</v>
      </c>
      <c r="E7543" s="10" t="s">
        <v>73</v>
      </c>
      <c r="F7543" s="10" t="s">
        <v>73</v>
      </c>
      <c r="G7543" s="11" t="s">
        <v>11926</v>
      </c>
      <c r="H7543" s="2" t="s">
        <v>149</v>
      </c>
      <c r="K7543" s="18">
        <v>0</v>
      </c>
      <c r="L7543" s="18">
        <v>0</v>
      </c>
      <c r="Q7543" s="18">
        <v>0</v>
      </c>
      <c r="V7543" s="22">
        <f>3.92/5</f>
        <v>0.78400000000000003</v>
      </c>
      <c r="X7543" s="3">
        <v>2</v>
      </c>
      <c r="AB7543" s="18">
        <f t="shared" si="234"/>
        <v>2001</v>
      </c>
      <c r="AC7543" s="22">
        <f t="shared" si="235"/>
        <v>0.59200000000000008</v>
      </c>
    </row>
    <row r="7544" spans="1:29">
      <c r="A7544" s="8" t="s">
        <v>7679</v>
      </c>
      <c r="B7544" s="17" t="s">
        <v>7746</v>
      </c>
      <c r="C7544" s="13">
        <v>36992</v>
      </c>
      <c r="D7544" s="13" t="s">
        <v>8465</v>
      </c>
      <c r="E7544" s="10" t="s">
        <v>86</v>
      </c>
      <c r="F7544" s="10" t="s">
        <v>30</v>
      </c>
      <c r="G7544" s="11" t="s">
        <v>223</v>
      </c>
      <c r="H7544" s="2" t="s">
        <v>31</v>
      </c>
      <c r="L7544" s="18">
        <v>0</v>
      </c>
      <c r="Q7544" s="18">
        <v>0</v>
      </c>
      <c r="U7544" s="22">
        <v>0.83</v>
      </c>
      <c r="V7544" s="22">
        <f>3.5/5</f>
        <v>0.7</v>
      </c>
      <c r="X7544" s="3">
        <v>3</v>
      </c>
      <c r="Z7544" s="23">
        <v>2.5</v>
      </c>
      <c r="AB7544" s="18">
        <f t="shared" si="234"/>
        <v>2001</v>
      </c>
      <c r="AC7544" s="22">
        <f t="shared" si="235"/>
        <v>0.71</v>
      </c>
    </row>
    <row r="7545" spans="1:29">
      <c r="A7545" s="8" t="s">
        <v>6567</v>
      </c>
      <c r="B7545" s="20" t="s">
        <v>7739</v>
      </c>
      <c r="C7545" s="13">
        <v>36989</v>
      </c>
      <c r="D7545" s="13" t="s">
        <v>8465</v>
      </c>
      <c r="E7545" s="10" t="s">
        <v>86</v>
      </c>
      <c r="F7545" s="10" t="s">
        <v>86</v>
      </c>
      <c r="G7545" s="11" t="s">
        <v>6568</v>
      </c>
      <c r="H7545" s="2" t="s">
        <v>78</v>
      </c>
      <c r="L7545" s="18">
        <v>0</v>
      </c>
      <c r="Q7545" s="18">
        <v>0</v>
      </c>
      <c r="U7545" s="22">
        <v>0.7</v>
      </c>
      <c r="V7545" s="22">
        <f>3.68/5</f>
        <v>0.73599999999999999</v>
      </c>
      <c r="X7545" s="3">
        <v>3</v>
      </c>
      <c r="Z7545" s="23">
        <v>1</v>
      </c>
      <c r="AB7545" s="18">
        <f t="shared" si="234"/>
        <v>2001</v>
      </c>
      <c r="AC7545" s="22">
        <f t="shared" si="235"/>
        <v>0.67866666666666664</v>
      </c>
    </row>
    <row r="7546" spans="1:29" ht="25.5">
      <c r="A7546" s="8" t="s">
        <v>14997</v>
      </c>
      <c r="B7546" s="17" t="s">
        <v>7800</v>
      </c>
      <c r="C7546" s="13">
        <v>36980</v>
      </c>
      <c r="D7546" s="13" t="s">
        <v>8465</v>
      </c>
      <c r="E7546" s="10" t="s">
        <v>14998</v>
      </c>
      <c r="F7546" s="10" t="s">
        <v>14999</v>
      </c>
      <c r="G7546" s="11" t="s">
        <v>4305</v>
      </c>
      <c r="H7546" s="2" t="s">
        <v>80</v>
      </c>
      <c r="L7546" s="18">
        <v>0</v>
      </c>
      <c r="Q7546" s="18">
        <v>0</v>
      </c>
      <c r="V7546" s="22">
        <f>3.3/5</f>
        <v>0.65999999999999992</v>
      </c>
      <c r="X7546" s="3">
        <v>2</v>
      </c>
      <c r="Z7546" s="23">
        <v>3</v>
      </c>
      <c r="AB7546" s="18">
        <f t="shared" si="234"/>
        <v>2001</v>
      </c>
      <c r="AC7546" s="22">
        <f t="shared" si="235"/>
        <v>0.53</v>
      </c>
    </row>
    <row r="7547" spans="1:29">
      <c r="A7547" s="8" t="s">
        <v>2760</v>
      </c>
      <c r="B7547" s="17" t="s">
        <v>7755</v>
      </c>
      <c r="C7547" s="13">
        <v>36979</v>
      </c>
      <c r="D7547" s="13" t="s">
        <v>8463</v>
      </c>
      <c r="E7547" s="10" t="s">
        <v>455</v>
      </c>
      <c r="F7547" s="10" t="s">
        <v>2761</v>
      </c>
      <c r="H7547" s="2" t="s">
        <v>149</v>
      </c>
      <c r="K7547" s="18">
        <v>1</v>
      </c>
      <c r="L7547" s="18">
        <v>0</v>
      </c>
      <c r="Q7547" s="18">
        <v>0</v>
      </c>
      <c r="V7547" s="22">
        <f>4.25/5</f>
        <v>0.85</v>
      </c>
      <c r="X7547" s="3">
        <v>4</v>
      </c>
      <c r="AB7547" s="18">
        <f t="shared" si="234"/>
        <v>2001</v>
      </c>
      <c r="AC7547" s="22">
        <f t="shared" si="235"/>
        <v>0.82499999999999996</v>
      </c>
    </row>
    <row r="7548" spans="1:29" ht="25.5">
      <c r="A7548" s="8" t="s">
        <v>2955</v>
      </c>
      <c r="B7548" s="17" t="s">
        <v>7757</v>
      </c>
      <c r="C7548" s="13">
        <v>36979</v>
      </c>
      <c r="D7548" s="13" t="s">
        <v>8463</v>
      </c>
      <c r="E7548" s="10" t="s">
        <v>470</v>
      </c>
      <c r="F7548" s="10" t="s">
        <v>470</v>
      </c>
      <c r="G7548" s="11" t="s">
        <v>299</v>
      </c>
      <c r="H7548" s="2" t="s">
        <v>75</v>
      </c>
      <c r="K7548" s="18">
        <v>1</v>
      </c>
      <c r="L7548" s="18">
        <v>0</v>
      </c>
      <c r="Q7548" s="18">
        <v>0</v>
      </c>
      <c r="V7548" s="22">
        <f>4.18/5</f>
        <v>0.83599999999999997</v>
      </c>
      <c r="X7548" s="3">
        <v>3</v>
      </c>
      <c r="AB7548" s="18">
        <f t="shared" si="234"/>
        <v>2001</v>
      </c>
      <c r="AC7548" s="22">
        <f t="shared" si="235"/>
        <v>0.71799999999999997</v>
      </c>
    </row>
    <row r="7549" spans="1:29" ht="30">
      <c r="A7549" s="8" t="s">
        <v>10906</v>
      </c>
      <c r="B7549" s="17" t="s">
        <v>7795</v>
      </c>
      <c r="C7549" s="13">
        <v>36979</v>
      </c>
      <c r="D7549" s="13" t="s">
        <v>8463</v>
      </c>
      <c r="E7549" s="10" t="s">
        <v>161</v>
      </c>
      <c r="F7549" s="10" t="s">
        <v>161</v>
      </c>
      <c r="H7549" s="2" t="s">
        <v>149</v>
      </c>
      <c r="K7549" s="18">
        <v>0</v>
      </c>
      <c r="L7549" s="18">
        <v>0</v>
      </c>
      <c r="Q7549" s="18">
        <v>0</v>
      </c>
      <c r="V7549" s="22">
        <f>3.73/5</f>
        <v>0.746</v>
      </c>
      <c r="X7549" s="3">
        <v>2</v>
      </c>
      <c r="AB7549" s="18">
        <f t="shared" si="234"/>
        <v>2001</v>
      </c>
      <c r="AC7549" s="22">
        <f t="shared" si="235"/>
        <v>0.57299999999999995</v>
      </c>
    </row>
    <row r="7550" spans="1:29" ht="38.25">
      <c r="A7550" s="8" t="s">
        <v>7683</v>
      </c>
      <c r="B7550" s="17" t="s">
        <v>7746</v>
      </c>
      <c r="C7550" s="13">
        <v>36978</v>
      </c>
      <c r="D7550" s="13" t="s">
        <v>8463</v>
      </c>
      <c r="E7550" s="10" t="s">
        <v>7684</v>
      </c>
      <c r="F7550" s="10" t="s">
        <v>62</v>
      </c>
      <c r="G7550" s="11" t="s">
        <v>1470</v>
      </c>
      <c r="H7550" s="2" t="s">
        <v>3411</v>
      </c>
      <c r="K7550" s="18">
        <v>2</v>
      </c>
      <c r="L7550" s="18">
        <v>0</v>
      </c>
      <c r="Q7550" s="18">
        <v>0</v>
      </c>
      <c r="V7550" s="22">
        <f>4.02/5</f>
        <v>0.80399999999999994</v>
      </c>
      <c r="X7550" s="3">
        <v>3</v>
      </c>
      <c r="Z7550" s="23">
        <v>12</v>
      </c>
      <c r="AB7550" s="18">
        <f t="shared" si="234"/>
        <v>2001</v>
      </c>
      <c r="AC7550" s="22">
        <f t="shared" si="235"/>
        <v>0.70199999999999996</v>
      </c>
    </row>
    <row r="7551" spans="1:29" ht="30">
      <c r="A7551" s="8" t="s">
        <v>7440</v>
      </c>
      <c r="B7551" s="17" t="s">
        <v>7757</v>
      </c>
      <c r="C7551" s="13">
        <v>36977</v>
      </c>
      <c r="D7551" s="13" t="s">
        <v>8465</v>
      </c>
      <c r="E7551" s="10" t="s">
        <v>6607</v>
      </c>
      <c r="F7551" s="10" t="s">
        <v>7441</v>
      </c>
      <c r="G7551" s="11" t="s">
        <v>6608</v>
      </c>
      <c r="H7551" s="2" t="s">
        <v>1168</v>
      </c>
      <c r="L7551" s="18">
        <v>0</v>
      </c>
      <c r="Q7551" s="18">
        <v>0</v>
      </c>
      <c r="U7551" s="22">
        <v>0.6</v>
      </c>
      <c r="V7551" s="22">
        <f>3.96/5</f>
        <v>0.79200000000000004</v>
      </c>
      <c r="X7551" s="3">
        <v>2</v>
      </c>
      <c r="Z7551" s="23">
        <v>13</v>
      </c>
      <c r="AB7551" s="18">
        <f t="shared" si="234"/>
        <v>2001</v>
      </c>
      <c r="AC7551" s="22">
        <f t="shared" si="235"/>
        <v>0.59733333333333327</v>
      </c>
    </row>
    <row r="7552" spans="1:29">
      <c r="A7552" s="8" t="s">
        <v>1980</v>
      </c>
      <c r="B7552" s="17" t="s">
        <v>7758</v>
      </c>
      <c r="C7552" s="13">
        <v>36976</v>
      </c>
      <c r="D7552" s="13" t="s">
        <v>8465</v>
      </c>
      <c r="E7552" s="10" t="s">
        <v>72</v>
      </c>
      <c r="F7552" s="10" t="s">
        <v>72</v>
      </c>
      <c r="G7552" s="11" t="s">
        <v>1980</v>
      </c>
      <c r="H7552" s="2" t="s">
        <v>1059</v>
      </c>
      <c r="L7552" s="18">
        <v>0</v>
      </c>
      <c r="Q7552" s="18">
        <v>0</v>
      </c>
      <c r="U7552" s="22">
        <v>0.77</v>
      </c>
      <c r="V7552" s="22">
        <f>3.9/5</f>
        <v>0.78</v>
      </c>
      <c r="X7552" s="3">
        <v>3</v>
      </c>
      <c r="Z7552" s="23">
        <v>5</v>
      </c>
      <c r="AB7552" s="18">
        <f t="shared" si="234"/>
        <v>2001</v>
      </c>
      <c r="AC7552" s="22">
        <f t="shared" si="235"/>
        <v>0.71666666666666667</v>
      </c>
    </row>
    <row r="7553" spans="1:29">
      <c r="A7553" s="8" t="s">
        <v>865</v>
      </c>
      <c r="B7553" s="20" t="s">
        <v>7739</v>
      </c>
      <c r="C7553" s="13">
        <v>36976</v>
      </c>
      <c r="D7553" s="13" t="s">
        <v>8465</v>
      </c>
      <c r="E7553" s="10" t="s">
        <v>86</v>
      </c>
      <c r="F7553" s="10" t="s">
        <v>87</v>
      </c>
      <c r="G7553" s="11" t="s">
        <v>1470</v>
      </c>
      <c r="H7553" s="2" t="s">
        <v>149</v>
      </c>
      <c r="L7553" s="18">
        <v>0</v>
      </c>
      <c r="Q7553" s="18">
        <v>0</v>
      </c>
      <c r="U7553" s="22">
        <v>0.73</v>
      </c>
      <c r="V7553" s="22">
        <f>3.93/5</f>
        <v>0.78600000000000003</v>
      </c>
      <c r="X7553" s="3">
        <v>3</v>
      </c>
      <c r="Z7553" s="23">
        <v>19</v>
      </c>
      <c r="AB7553" s="18">
        <f t="shared" ref="AB7553:AB7616" si="236">IFERROR(YEAR(C7553), "Early Access")</f>
        <v>2001</v>
      </c>
      <c r="AC7553" s="22">
        <f t="shared" ref="AC7553:AC7616" si="237">AVERAGE(T7553, U7553, V7553, IF(ISBLANK(X7553), X7553, X7553/5))</f>
        <v>0.70533333333333337</v>
      </c>
    </row>
    <row r="7554" spans="1:29" ht="25.5">
      <c r="A7554" s="8" t="s">
        <v>8691</v>
      </c>
      <c r="B7554" s="17" t="s">
        <v>7755</v>
      </c>
      <c r="C7554" s="13">
        <v>36972</v>
      </c>
      <c r="D7554" s="13" t="s">
        <v>8463</v>
      </c>
      <c r="E7554" s="10" t="s">
        <v>455</v>
      </c>
      <c r="F7554" s="10" t="s">
        <v>1318</v>
      </c>
      <c r="G7554" s="11" t="s">
        <v>5874</v>
      </c>
      <c r="H7554" s="2" t="s">
        <v>75</v>
      </c>
      <c r="K7554" s="18">
        <v>0</v>
      </c>
      <c r="L7554" s="18">
        <v>0</v>
      </c>
      <c r="Q7554" s="18">
        <v>0</v>
      </c>
      <c r="V7554" s="22">
        <f>4.23/5</f>
        <v>0.84600000000000009</v>
      </c>
      <c r="X7554" s="3">
        <v>3</v>
      </c>
      <c r="Z7554" s="23">
        <v>25.5</v>
      </c>
      <c r="AB7554" s="18">
        <f t="shared" si="236"/>
        <v>2001</v>
      </c>
      <c r="AC7554" s="22">
        <f t="shared" si="237"/>
        <v>0.72300000000000009</v>
      </c>
    </row>
    <row r="7555" spans="1:29" ht="38.25">
      <c r="A7555" s="8" t="s">
        <v>10486</v>
      </c>
      <c r="B7555" s="17" t="s">
        <v>7757</v>
      </c>
      <c r="C7555" s="13">
        <v>36972</v>
      </c>
      <c r="D7555" s="13" t="s">
        <v>8463</v>
      </c>
      <c r="E7555" s="10" t="s">
        <v>72</v>
      </c>
      <c r="F7555" s="10" t="s">
        <v>6310</v>
      </c>
      <c r="G7555" s="11" t="s">
        <v>2318</v>
      </c>
      <c r="H7555" s="2" t="s">
        <v>1057</v>
      </c>
      <c r="K7555" s="18">
        <v>2</v>
      </c>
      <c r="L7555" s="18">
        <v>0</v>
      </c>
      <c r="Q7555" s="18">
        <v>0</v>
      </c>
      <c r="V7555" s="22">
        <f>3.12/5</f>
        <v>0.624</v>
      </c>
      <c r="X7555" s="3">
        <v>3</v>
      </c>
      <c r="Z7555" s="23">
        <v>5</v>
      </c>
      <c r="AB7555" s="18">
        <f t="shared" si="236"/>
        <v>2001</v>
      </c>
      <c r="AC7555" s="22">
        <f t="shared" si="237"/>
        <v>0.61199999999999999</v>
      </c>
    </row>
    <row r="7556" spans="1:29" ht="25.5">
      <c r="A7556" s="8" t="s">
        <v>7692</v>
      </c>
      <c r="B7556" s="17" t="s">
        <v>7746</v>
      </c>
      <c r="C7556" s="13">
        <v>36972</v>
      </c>
      <c r="D7556" s="13" t="s">
        <v>8465</v>
      </c>
      <c r="E7556" s="10" t="s">
        <v>1342</v>
      </c>
      <c r="F7556" s="10" t="s">
        <v>7693</v>
      </c>
      <c r="G7556" s="11" t="s">
        <v>442</v>
      </c>
      <c r="H7556" s="2" t="s">
        <v>2138</v>
      </c>
      <c r="L7556" s="18">
        <v>0</v>
      </c>
      <c r="Q7556" s="18">
        <v>0</v>
      </c>
      <c r="U7556" s="22">
        <v>0.5</v>
      </c>
      <c r="V7556" s="22">
        <f>2.59/5</f>
        <v>0.51800000000000002</v>
      </c>
      <c r="X7556" s="3">
        <v>2</v>
      </c>
      <c r="AB7556" s="18">
        <f t="shared" si="236"/>
        <v>2001</v>
      </c>
      <c r="AC7556" s="22">
        <f t="shared" si="237"/>
        <v>0.47266666666666673</v>
      </c>
    </row>
    <row r="7557" spans="1:29" ht="25.5">
      <c r="A7557" s="8" t="s">
        <v>4949</v>
      </c>
      <c r="B7557" s="17" t="s">
        <v>7800</v>
      </c>
      <c r="C7557" s="13">
        <v>36971</v>
      </c>
      <c r="D7557" s="13" t="s">
        <v>8465</v>
      </c>
      <c r="E7557" s="10" t="s">
        <v>3063</v>
      </c>
      <c r="F7557" s="10" t="s">
        <v>4942</v>
      </c>
      <c r="G7557" s="11" t="s">
        <v>4943</v>
      </c>
      <c r="H7557" s="2" t="s">
        <v>1050</v>
      </c>
      <c r="L7557" s="18">
        <v>1</v>
      </c>
      <c r="N7557" s="13">
        <v>41431</v>
      </c>
      <c r="P7557" s="18" t="s">
        <v>1107</v>
      </c>
      <c r="Q7557" s="18">
        <v>0</v>
      </c>
      <c r="U7557" s="22">
        <v>0.84</v>
      </c>
      <c r="V7557" s="22">
        <f>3.81/5</f>
        <v>0.76200000000000001</v>
      </c>
      <c r="W7557" s="14" t="s">
        <v>7777</v>
      </c>
      <c r="X7557" s="3">
        <v>3</v>
      </c>
      <c r="Z7557" s="23">
        <v>6</v>
      </c>
      <c r="AB7557" s="18">
        <f t="shared" si="236"/>
        <v>2001</v>
      </c>
      <c r="AC7557" s="22">
        <f t="shared" si="237"/>
        <v>0.73399999999999999</v>
      </c>
    </row>
    <row r="7558" spans="1:29" ht="30">
      <c r="A7558" s="8" t="s">
        <v>9838</v>
      </c>
      <c r="B7558" s="17" t="s">
        <v>7747</v>
      </c>
      <c r="C7558" s="13">
        <v>36971</v>
      </c>
      <c r="D7558" s="13" t="s">
        <v>8463</v>
      </c>
      <c r="E7558" s="10" t="s">
        <v>72</v>
      </c>
      <c r="F7558" s="10" t="s">
        <v>72</v>
      </c>
      <c r="G7558" s="11" t="s">
        <v>1449</v>
      </c>
      <c r="H7558" s="2" t="s">
        <v>1057</v>
      </c>
      <c r="K7558" s="18">
        <v>2</v>
      </c>
      <c r="L7558" s="18">
        <v>0</v>
      </c>
      <c r="Q7558" s="18">
        <v>0</v>
      </c>
      <c r="V7558" s="22">
        <f>2.96/5</f>
        <v>0.59199999999999997</v>
      </c>
      <c r="X7558" s="3">
        <v>3</v>
      </c>
      <c r="Z7558" s="23">
        <v>1.5</v>
      </c>
      <c r="AB7558" s="18">
        <f t="shared" si="236"/>
        <v>2001</v>
      </c>
      <c r="AC7558" s="22">
        <f t="shared" si="237"/>
        <v>0.59599999999999997</v>
      </c>
    </row>
    <row r="7559" spans="1:29">
      <c r="A7559" s="8" t="s">
        <v>5180</v>
      </c>
      <c r="B7559" s="17" t="s">
        <v>7800</v>
      </c>
      <c r="C7559" s="13">
        <v>36969</v>
      </c>
      <c r="D7559" s="13" t="s">
        <v>8465</v>
      </c>
      <c r="E7559" s="10" t="s">
        <v>1342</v>
      </c>
      <c r="F7559" s="10" t="s">
        <v>1655</v>
      </c>
      <c r="G7559" s="11" t="s">
        <v>5180</v>
      </c>
      <c r="H7559" s="2" t="s">
        <v>171</v>
      </c>
      <c r="L7559" s="18">
        <v>1</v>
      </c>
      <c r="N7559" s="13">
        <v>41919</v>
      </c>
      <c r="P7559" s="18" t="s">
        <v>1107</v>
      </c>
      <c r="Q7559" s="18">
        <v>0</v>
      </c>
      <c r="U7559" s="22">
        <v>0.76</v>
      </c>
      <c r="V7559" s="22">
        <f>3.63/5</f>
        <v>0.72599999999999998</v>
      </c>
      <c r="W7559" s="14" t="s">
        <v>7777</v>
      </c>
      <c r="X7559" s="3">
        <v>2</v>
      </c>
      <c r="Z7559" s="23">
        <v>30</v>
      </c>
      <c r="AB7559" s="18">
        <f t="shared" si="236"/>
        <v>2001</v>
      </c>
      <c r="AC7559" s="22">
        <f t="shared" si="237"/>
        <v>0.62866666666666671</v>
      </c>
    </row>
    <row r="7560" spans="1:29" ht="25.5">
      <c r="A7560" s="8" t="s">
        <v>7557</v>
      </c>
      <c r="B7560" s="17" t="s">
        <v>7758</v>
      </c>
      <c r="C7560" s="13">
        <v>36967</v>
      </c>
      <c r="D7560" s="13" t="s">
        <v>8465</v>
      </c>
      <c r="E7560" s="10" t="s">
        <v>1195</v>
      </c>
      <c r="F7560" s="10" t="s">
        <v>1195</v>
      </c>
      <c r="G7560" s="11" t="s">
        <v>1864</v>
      </c>
      <c r="H7560" s="2" t="s">
        <v>171</v>
      </c>
      <c r="L7560" s="18">
        <v>0</v>
      </c>
      <c r="Q7560" s="18">
        <v>0</v>
      </c>
      <c r="U7560" s="22">
        <v>0.49</v>
      </c>
      <c r="V7560" s="22">
        <f>2.55/5</f>
        <v>0.51</v>
      </c>
      <c r="X7560" s="3">
        <v>2</v>
      </c>
      <c r="Z7560" s="23">
        <v>5</v>
      </c>
      <c r="AB7560" s="18">
        <f t="shared" si="236"/>
        <v>2001</v>
      </c>
      <c r="AC7560" s="22">
        <f t="shared" si="237"/>
        <v>0.46666666666666662</v>
      </c>
    </row>
    <row r="7561" spans="1:29">
      <c r="A7561" s="8" t="s">
        <v>1848</v>
      </c>
      <c r="B7561" s="17" t="s">
        <v>7746</v>
      </c>
      <c r="C7561" s="13">
        <v>36965</v>
      </c>
      <c r="D7561" s="13" t="s">
        <v>8465</v>
      </c>
      <c r="E7561" s="10" t="s">
        <v>1872</v>
      </c>
      <c r="F7561" s="10" t="s">
        <v>1873</v>
      </c>
      <c r="H7561" s="2" t="s">
        <v>149</v>
      </c>
      <c r="L7561" s="18">
        <v>0</v>
      </c>
      <c r="Q7561" s="18">
        <v>0</v>
      </c>
      <c r="U7561" s="22">
        <v>0.86</v>
      </c>
      <c r="V7561" s="22">
        <f>3.95/5</f>
        <v>0.79</v>
      </c>
      <c r="X7561" s="3">
        <v>3</v>
      </c>
      <c r="Z7561" s="23">
        <v>16</v>
      </c>
      <c r="AB7561" s="18">
        <f t="shared" si="236"/>
        <v>2001</v>
      </c>
      <c r="AC7561" s="22">
        <f t="shared" si="237"/>
        <v>0.75</v>
      </c>
    </row>
    <row r="7562" spans="1:29" ht="25.5">
      <c r="A7562" s="8" t="s">
        <v>3865</v>
      </c>
      <c r="B7562" s="17" t="s">
        <v>7800</v>
      </c>
      <c r="C7562" s="13">
        <v>36965</v>
      </c>
      <c r="D7562" s="13" t="s">
        <v>8465</v>
      </c>
      <c r="E7562" s="10" t="s">
        <v>3866</v>
      </c>
      <c r="F7562" s="10" t="s">
        <v>3867</v>
      </c>
      <c r="G7562" s="11" t="s">
        <v>3864</v>
      </c>
      <c r="H7562" s="2" t="s">
        <v>1720</v>
      </c>
      <c r="L7562" s="18">
        <v>1</v>
      </c>
      <c r="N7562" s="13">
        <v>41204</v>
      </c>
      <c r="O7562" s="29">
        <v>3.39</v>
      </c>
      <c r="P7562" s="18" t="s">
        <v>1107</v>
      </c>
      <c r="Q7562" s="18">
        <v>0</v>
      </c>
      <c r="U7562" s="22">
        <v>0.81</v>
      </c>
      <c r="V7562" s="22">
        <f>3.43/5</f>
        <v>0.68600000000000005</v>
      </c>
      <c r="W7562" s="14" t="s">
        <v>7777</v>
      </c>
      <c r="X7562" s="3">
        <v>3</v>
      </c>
      <c r="Z7562" s="23">
        <v>32.5</v>
      </c>
      <c r="AB7562" s="18">
        <f t="shared" si="236"/>
        <v>2001</v>
      </c>
      <c r="AC7562" s="22">
        <f t="shared" si="237"/>
        <v>0.69866666666666666</v>
      </c>
    </row>
    <row r="7563" spans="1:29" ht="30">
      <c r="A7563" s="8" t="s">
        <v>8412</v>
      </c>
      <c r="B7563" s="17" t="s">
        <v>7755</v>
      </c>
      <c r="C7563" s="13">
        <v>36964</v>
      </c>
      <c r="D7563" s="13" t="s">
        <v>8465</v>
      </c>
      <c r="E7563" s="10" t="s">
        <v>8060</v>
      </c>
      <c r="F7563" s="10" t="s">
        <v>1269</v>
      </c>
      <c r="G7563" s="11" t="s">
        <v>8413</v>
      </c>
      <c r="H7563" s="2" t="s">
        <v>171</v>
      </c>
      <c r="L7563" s="18">
        <v>0</v>
      </c>
      <c r="Q7563" s="18">
        <v>0</v>
      </c>
      <c r="U7563" s="22">
        <v>0.76</v>
      </c>
      <c r="V7563" s="22">
        <f>3.86/5</f>
        <v>0.77200000000000002</v>
      </c>
      <c r="X7563" s="3">
        <v>3</v>
      </c>
      <c r="Z7563" s="23">
        <v>23.5</v>
      </c>
      <c r="AB7563" s="18">
        <f t="shared" si="236"/>
        <v>2001</v>
      </c>
      <c r="AC7563" s="22">
        <f t="shared" si="237"/>
        <v>0.71066666666666667</v>
      </c>
    </row>
    <row r="7564" spans="1:29" ht="25.5">
      <c r="A7564" s="8" t="s">
        <v>10396</v>
      </c>
      <c r="B7564" s="17" t="s">
        <v>7739</v>
      </c>
      <c r="C7564" s="13">
        <v>36964</v>
      </c>
      <c r="D7564" s="13" t="s">
        <v>8465</v>
      </c>
      <c r="E7564" s="10" t="s">
        <v>1342</v>
      </c>
      <c r="F7564" s="10" t="s">
        <v>10397</v>
      </c>
      <c r="H7564" s="2" t="s">
        <v>149</v>
      </c>
      <c r="L7564" s="18">
        <v>0</v>
      </c>
      <c r="Q7564" s="18">
        <v>0</v>
      </c>
      <c r="U7564" s="22">
        <v>0.53</v>
      </c>
      <c r="V7564" s="22">
        <f>3.12/5</f>
        <v>0.624</v>
      </c>
      <c r="X7564" s="3">
        <v>2</v>
      </c>
      <c r="AB7564" s="18">
        <f t="shared" si="236"/>
        <v>2001</v>
      </c>
      <c r="AC7564" s="22">
        <f t="shared" si="237"/>
        <v>0.5179999999999999</v>
      </c>
    </row>
    <row r="7565" spans="1:29">
      <c r="A7565" s="8" t="s">
        <v>9078</v>
      </c>
      <c r="B7565" s="17" t="s">
        <v>7758</v>
      </c>
      <c r="C7565" s="13">
        <v>36962</v>
      </c>
      <c r="D7565" s="13" t="s">
        <v>8465</v>
      </c>
      <c r="E7565" s="10" t="s">
        <v>72</v>
      </c>
      <c r="F7565" s="10" t="s">
        <v>72</v>
      </c>
      <c r="H7565" s="2" t="s">
        <v>75</v>
      </c>
      <c r="L7565" s="18">
        <v>0</v>
      </c>
      <c r="Q7565" s="18">
        <v>0</v>
      </c>
      <c r="U7565" s="22">
        <v>0.82</v>
      </c>
      <c r="V7565" s="22">
        <f>3.84/5</f>
        <v>0.76800000000000002</v>
      </c>
      <c r="X7565" s="3">
        <v>3</v>
      </c>
      <c r="Z7565" s="23">
        <v>54.5</v>
      </c>
      <c r="AB7565" s="18">
        <f t="shared" si="236"/>
        <v>2001</v>
      </c>
      <c r="AC7565" s="22">
        <f t="shared" si="237"/>
        <v>0.72933333333333339</v>
      </c>
    </row>
    <row r="7566" spans="1:29" ht="30">
      <c r="A7566" s="8" t="s">
        <v>9683</v>
      </c>
      <c r="B7566" s="17" t="s">
        <v>7758</v>
      </c>
      <c r="C7566" s="13">
        <v>36956</v>
      </c>
      <c r="D7566" s="13" t="s">
        <v>8465</v>
      </c>
      <c r="E7566" s="10" t="s">
        <v>72</v>
      </c>
      <c r="F7566" s="10" t="s">
        <v>6310</v>
      </c>
      <c r="H7566" s="2" t="s">
        <v>67</v>
      </c>
      <c r="L7566" s="18">
        <v>0</v>
      </c>
      <c r="Q7566" s="18">
        <v>0</v>
      </c>
      <c r="U7566" s="22">
        <v>0.78</v>
      </c>
      <c r="V7566" s="22">
        <f>3.85/5</f>
        <v>0.77</v>
      </c>
      <c r="X7566" s="3">
        <v>3</v>
      </c>
      <c r="Z7566" s="23">
        <v>4.5</v>
      </c>
      <c r="AB7566" s="18">
        <f t="shared" si="236"/>
        <v>2001</v>
      </c>
      <c r="AC7566" s="22">
        <f t="shared" si="237"/>
        <v>0.71666666666666667</v>
      </c>
    </row>
    <row r="7567" spans="1:29">
      <c r="A7567" s="8" t="s">
        <v>9525</v>
      </c>
      <c r="B7567" s="17" t="s">
        <v>7758</v>
      </c>
      <c r="C7567" s="13">
        <v>36956</v>
      </c>
      <c r="D7567" s="13" t="s">
        <v>8465</v>
      </c>
      <c r="E7567" s="10" t="s">
        <v>3045</v>
      </c>
      <c r="F7567" s="10" t="s">
        <v>161</v>
      </c>
      <c r="H7567" s="2" t="s">
        <v>153</v>
      </c>
      <c r="L7567" s="18">
        <v>0</v>
      </c>
      <c r="Q7567" s="18">
        <v>0</v>
      </c>
      <c r="U7567" s="22">
        <v>0.66</v>
      </c>
      <c r="V7567" s="22">
        <f>3.39/5</f>
        <v>0.67800000000000005</v>
      </c>
      <c r="X7567" s="3">
        <v>2</v>
      </c>
      <c r="Z7567" s="23">
        <v>1.5</v>
      </c>
      <c r="AB7567" s="18">
        <f t="shared" si="236"/>
        <v>2001</v>
      </c>
      <c r="AC7567" s="22">
        <f t="shared" si="237"/>
        <v>0.57933333333333337</v>
      </c>
    </row>
    <row r="7568" spans="1:29">
      <c r="A7568" s="8" t="s">
        <v>10339</v>
      </c>
      <c r="B7568" s="17" t="s">
        <v>7757</v>
      </c>
      <c r="C7568" s="13">
        <v>36944</v>
      </c>
      <c r="D7568" s="13" t="s">
        <v>8463</v>
      </c>
      <c r="E7568" s="10" t="s">
        <v>158</v>
      </c>
      <c r="F7568" s="10" t="s">
        <v>158</v>
      </c>
      <c r="H7568" s="2" t="s">
        <v>75</v>
      </c>
      <c r="K7568" s="18">
        <v>0</v>
      </c>
      <c r="L7568" s="18">
        <v>0</v>
      </c>
      <c r="Q7568" s="18">
        <v>0</v>
      </c>
      <c r="V7568" s="22">
        <f>3.56/5</f>
        <v>0.71199999999999997</v>
      </c>
      <c r="X7568" s="3">
        <v>2</v>
      </c>
      <c r="AB7568" s="18">
        <f t="shared" si="236"/>
        <v>2001</v>
      </c>
      <c r="AC7568" s="22">
        <f t="shared" si="237"/>
        <v>0.55600000000000005</v>
      </c>
    </row>
    <row r="7569" spans="1:29" ht="25.5">
      <c r="A7569" s="8" t="s">
        <v>6952</v>
      </c>
      <c r="B7569" s="17" t="s">
        <v>7800</v>
      </c>
      <c r="C7569" s="13">
        <v>36943</v>
      </c>
      <c r="D7569" s="13" t="s">
        <v>8465</v>
      </c>
      <c r="E7569" s="10" t="s">
        <v>1272</v>
      </c>
      <c r="F7569" s="10" t="s">
        <v>5864</v>
      </c>
      <c r="G7569" s="11" t="s">
        <v>4161</v>
      </c>
      <c r="H7569" s="2" t="s">
        <v>1720</v>
      </c>
      <c r="L7569" s="18">
        <v>1</v>
      </c>
      <c r="N7569" s="13">
        <v>41803</v>
      </c>
      <c r="O7569" s="29">
        <v>0</v>
      </c>
      <c r="P7569" s="18" t="s">
        <v>1107</v>
      </c>
      <c r="Q7569" s="18">
        <v>0</v>
      </c>
      <c r="U7569" s="22">
        <v>0.75</v>
      </c>
      <c r="V7569" s="22">
        <f>3.9/5</f>
        <v>0.78</v>
      </c>
      <c r="W7569" s="14" t="s">
        <v>7778</v>
      </c>
      <c r="X7569" s="3">
        <v>4</v>
      </c>
      <c r="Z7569" s="23">
        <v>7</v>
      </c>
      <c r="AB7569" s="18">
        <f t="shared" si="236"/>
        <v>2001</v>
      </c>
      <c r="AC7569" s="22">
        <f t="shared" si="237"/>
        <v>0.77666666666666673</v>
      </c>
    </row>
    <row r="7570" spans="1:29">
      <c r="A7570" s="8" t="s">
        <v>5710</v>
      </c>
      <c r="B7570" s="17" t="s">
        <v>7800</v>
      </c>
      <c r="C7570" s="13">
        <v>36943</v>
      </c>
      <c r="D7570" s="13" t="s">
        <v>8465</v>
      </c>
      <c r="E7570" s="10" t="s">
        <v>5010</v>
      </c>
      <c r="F7570" s="10" t="s">
        <v>1039</v>
      </c>
      <c r="H7570" s="2" t="s">
        <v>1061</v>
      </c>
      <c r="L7570" s="18">
        <v>0</v>
      </c>
      <c r="Q7570" s="18">
        <v>0</v>
      </c>
      <c r="U7570" s="22">
        <v>0.84</v>
      </c>
      <c r="V7570" s="22">
        <f>3.88/5</f>
        <v>0.77600000000000002</v>
      </c>
      <c r="W7570" s="14" t="s">
        <v>7778</v>
      </c>
      <c r="X7570" s="3">
        <v>3</v>
      </c>
      <c r="Z7570" s="23">
        <v>10.5</v>
      </c>
      <c r="AB7570" s="18">
        <f t="shared" si="236"/>
        <v>2001</v>
      </c>
      <c r="AC7570" s="22">
        <f t="shared" si="237"/>
        <v>0.73866666666666669</v>
      </c>
    </row>
    <row r="7571" spans="1:29" ht="30">
      <c r="A7571" s="8" t="s">
        <v>2932</v>
      </c>
      <c r="B7571" s="17" t="s">
        <v>7757</v>
      </c>
      <c r="C7571" s="13">
        <v>36943</v>
      </c>
      <c r="D7571" s="13" t="s">
        <v>8465</v>
      </c>
      <c r="E7571" s="10" t="s">
        <v>1870</v>
      </c>
      <c r="F7571" s="10" t="s">
        <v>3020</v>
      </c>
      <c r="G7571" s="11" t="s">
        <v>2931</v>
      </c>
      <c r="H7571" s="2" t="s">
        <v>80</v>
      </c>
      <c r="L7571" s="18">
        <v>0</v>
      </c>
      <c r="Q7571" s="18">
        <v>0</v>
      </c>
      <c r="U7571" s="22">
        <v>0.82</v>
      </c>
      <c r="V7571" s="22">
        <f>3.63/5</f>
        <v>0.72599999999999998</v>
      </c>
      <c r="X7571" s="3">
        <v>3</v>
      </c>
      <c r="Z7571" s="23">
        <v>8</v>
      </c>
      <c r="AB7571" s="18">
        <f t="shared" si="236"/>
        <v>2001</v>
      </c>
      <c r="AC7571" s="22">
        <f t="shared" si="237"/>
        <v>0.71533333333333327</v>
      </c>
    </row>
    <row r="7572" spans="1:29">
      <c r="A7572" s="8" t="s">
        <v>11970</v>
      </c>
      <c r="B7572" s="17" t="s">
        <v>7755</v>
      </c>
      <c r="C7572" s="13">
        <v>36935</v>
      </c>
      <c r="D7572" s="13" t="s">
        <v>8465</v>
      </c>
      <c r="E7572" s="10" t="s">
        <v>1285</v>
      </c>
      <c r="F7572" s="10" t="s">
        <v>11971</v>
      </c>
      <c r="G7572" s="11" t="s">
        <v>11970</v>
      </c>
      <c r="H7572" s="2" t="s">
        <v>1040</v>
      </c>
      <c r="L7572" s="18">
        <v>0</v>
      </c>
      <c r="Q7572" s="18">
        <v>0</v>
      </c>
      <c r="U7572" s="22">
        <v>0.63</v>
      </c>
      <c r="V7572" s="22">
        <f>3.04/5</f>
        <v>0.60799999999999998</v>
      </c>
      <c r="X7572" s="3">
        <v>2</v>
      </c>
      <c r="Z7572" s="23">
        <v>5.5</v>
      </c>
      <c r="AB7572" s="18">
        <f t="shared" si="236"/>
        <v>2001</v>
      </c>
      <c r="AC7572" s="22">
        <f t="shared" si="237"/>
        <v>0.54599999999999993</v>
      </c>
    </row>
    <row r="7573" spans="1:29">
      <c r="A7573" s="8" t="s">
        <v>1850</v>
      </c>
      <c r="B7573" s="17" t="s">
        <v>7746</v>
      </c>
      <c r="C7573" s="13">
        <v>36928</v>
      </c>
      <c r="D7573" s="13" t="s">
        <v>8465</v>
      </c>
      <c r="E7573" s="10" t="s">
        <v>73</v>
      </c>
      <c r="F7573" s="10" t="s">
        <v>73</v>
      </c>
      <c r="H7573" s="2" t="s">
        <v>149</v>
      </c>
      <c r="L7573" s="18">
        <v>0</v>
      </c>
      <c r="Q7573" s="18">
        <v>0</v>
      </c>
      <c r="U7573" s="22">
        <v>0.83</v>
      </c>
      <c r="V7573" s="22">
        <f>3.59/5</f>
        <v>0.71799999999999997</v>
      </c>
      <c r="X7573" s="3">
        <v>3</v>
      </c>
      <c r="Z7573" s="23">
        <v>10.5</v>
      </c>
      <c r="AB7573" s="18">
        <f t="shared" si="236"/>
        <v>2001</v>
      </c>
      <c r="AC7573" s="22">
        <f t="shared" si="237"/>
        <v>0.71600000000000008</v>
      </c>
    </row>
    <row r="7574" spans="1:29" ht="25.5">
      <c r="A7574" s="8" t="s">
        <v>1830</v>
      </c>
      <c r="B7574" s="17" t="s">
        <v>7746</v>
      </c>
      <c r="C7574" s="13">
        <v>36928</v>
      </c>
      <c r="D7574" s="13" t="s">
        <v>8465</v>
      </c>
      <c r="E7574" s="10" t="s">
        <v>1342</v>
      </c>
      <c r="F7574" s="10" t="s">
        <v>66</v>
      </c>
      <c r="G7574" s="11" t="s">
        <v>1888</v>
      </c>
      <c r="H7574" s="2" t="s">
        <v>56</v>
      </c>
      <c r="L7574" s="18">
        <v>0</v>
      </c>
      <c r="Q7574" s="18">
        <v>0</v>
      </c>
      <c r="U7574" s="22">
        <v>0.68</v>
      </c>
      <c r="V7574" s="22">
        <f>2.93/5</f>
        <v>0.58600000000000008</v>
      </c>
      <c r="X7574" s="3">
        <v>3</v>
      </c>
      <c r="AB7574" s="18">
        <f t="shared" si="236"/>
        <v>2001</v>
      </c>
      <c r="AC7574" s="22">
        <f t="shared" si="237"/>
        <v>0.622</v>
      </c>
    </row>
    <row r="7575" spans="1:29">
      <c r="A7575" s="8" t="s">
        <v>880</v>
      </c>
      <c r="B7575" s="20" t="s">
        <v>7739</v>
      </c>
      <c r="C7575" s="13">
        <v>36927</v>
      </c>
      <c r="D7575" s="13" t="s">
        <v>8465</v>
      </c>
      <c r="E7575" s="10" t="s">
        <v>86</v>
      </c>
      <c r="F7575" s="10" t="s">
        <v>1069</v>
      </c>
      <c r="G7575" s="11" t="s">
        <v>880</v>
      </c>
      <c r="H7575" s="2" t="s">
        <v>149</v>
      </c>
      <c r="L7575" s="18">
        <v>0</v>
      </c>
      <c r="Q7575" s="18">
        <v>0</v>
      </c>
      <c r="U7575" s="22">
        <v>0.89</v>
      </c>
      <c r="V7575" s="22">
        <f>4.37/5</f>
        <v>0.874</v>
      </c>
      <c r="X7575" s="3">
        <v>3</v>
      </c>
      <c r="Y7575" s="18">
        <v>1</v>
      </c>
      <c r="Z7575" s="23">
        <v>23</v>
      </c>
      <c r="AB7575" s="18">
        <f t="shared" si="236"/>
        <v>2001</v>
      </c>
      <c r="AC7575" s="22">
        <f t="shared" si="237"/>
        <v>0.78799999999999992</v>
      </c>
    </row>
    <row r="7576" spans="1:29">
      <c r="A7576" s="8" t="s">
        <v>11761</v>
      </c>
      <c r="B7576" s="17" t="s">
        <v>7746</v>
      </c>
      <c r="C7576" s="13">
        <v>36924</v>
      </c>
      <c r="D7576" s="13" t="s">
        <v>8463</v>
      </c>
      <c r="E7576" s="10" t="s">
        <v>68</v>
      </c>
      <c r="F7576" s="10" t="s">
        <v>1778</v>
      </c>
      <c r="H7576" s="2" t="s">
        <v>56</v>
      </c>
      <c r="K7576" s="18">
        <v>2</v>
      </c>
      <c r="L7576" s="18">
        <v>0</v>
      </c>
      <c r="Q7576" s="18">
        <v>0</v>
      </c>
      <c r="V7576" s="22">
        <f>3.77/5</f>
        <v>0.754</v>
      </c>
      <c r="X7576" s="3">
        <v>3</v>
      </c>
      <c r="Z7576" s="23">
        <v>8</v>
      </c>
      <c r="AB7576" s="18">
        <f t="shared" si="236"/>
        <v>2001</v>
      </c>
      <c r="AC7576" s="22">
        <f t="shared" si="237"/>
        <v>0.67700000000000005</v>
      </c>
    </row>
    <row r="7577" spans="1:29" ht="25.5">
      <c r="A7577" s="8" t="s">
        <v>11928</v>
      </c>
      <c r="B7577" s="17" t="s">
        <v>7755</v>
      </c>
      <c r="C7577" s="13">
        <v>36924</v>
      </c>
      <c r="D7577" s="13" t="s">
        <v>8463</v>
      </c>
      <c r="E7577" s="10" t="s">
        <v>73</v>
      </c>
      <c r="F7577" s="10" t="s">
        <v>73</v>
      </c>
      <c r="G7577" s="11" t="s">
        <v>11926</v>
      </c>
      <c r="H7577" s="2" t="s">
        <v>149</v>
      </c>
      <c r="K7577" s="18">
        <v>0</v>
      </c>
      <c r="L7577" s="18">
        <v>0</v>
      </c>
      <c r="Q7577" s="18">
        <v>0</v>
      </c>
      <c r="V7577" s="22">
        <f>3.8/5</f>
        <v>0.76</v>
      </c>
      <c r="X7577" s="3">
        <v>2</v>
      </c>
      <c r="AB7577" s="18">
        <f t="shared" si="236"/>
        <v>2001</v>
      </c>
      <c r="AC7577" s="22">
        <f t="shared" si="237"/>
        <v>0.58000000000000007</v>
      </c>
    </row>
    <row r="7578" spans="1:29">
      <c r="A7578" s="8" t="s">
        <v>2946</v>
      </c>
      <c r="B7578" s="17" t="s">
        <v>7757</v>
      </c>
      <c r="C7578" s="13">
        <v>36923</v>
      </c>
      <c r="D7578" s="13" t="s">
        <v>8465</v>
      </c>
      <c r="E7578" s="10" t="s">
        <v>73</v>
      </c>
      <c r="F7578" s="10" t="s">
        <v>73</v>
      </c>
      <c r="G7578" s="11" t="s">
        <v>601</v>
      </c>
      <c r="H7578" s="2" t="s">
        <v>56</v>
      </c>
      <c r="L7578" s="18">
        <v>0</v>
      </c>
      <c r="Q7578" s="18">
        <v>0</v>
      </c>
      <c r="U7578" s="22">
        <v>0.73</v>
      </c>
      <c r="V7578" s="22">
        <f>3.87/5</f>
        <v>0.77400000000000002</v>
      </c>
      <c r="X7578" s="3">
        <v>3</v>
      </c>
      <c r="Z7578" s="23">
        <v>4</v>
      </c>
      <c r="AB7578" s="18">
        <f t="shared" si="236"/>
        <v>2001</v>
      </c>
      <c r="AC7578" s="22">
        <f t="shared" si="237"/>
        <v>0.70133333333333336</v>
      </c>
    </row>
    <row r="7579" spans="1:29">
      <c r="A7579" s="8" t="s">
        <v>8159</v>
      </c>
      <c r="B7579" s="17" t="s">
        <v>7758</v>
      </c>
      <c r="C7579" s="13">
        <v>36920</v>
      </c>
      <c r="D7579" s="13" t="s">
        <v>8465</v>
      </c>
      <c r="E7579" s="10" t="s">
        <v>1618</v>
      </c>
      <c r="F7579" s="10" t="s">
        <v>8160</v>
      </c>
      <c r="H7579" s="2" t="s">
        <v>1059</v>
      </c>
      <c r="L7579" s="18">
        <v>0</v>
      </c>
      <c r="Q7579" s="18">
        <v>0</v>
      </c>
      <c r="U7579" s="22">
        <v>0.68689999999999996</v>
      </c>
      <c r="V7579" s="22">
        <f>3.08/5</f>
        <v>0.61599999999999999</v>
      </c>
      <c r="X7579" s="3">
        <v>3</v>
      </c>
      <c r="Z7579" s="23">
        <v>10</v>
      </c>
      <c r="AB7579" s="18">
        <f t="shared" si="236"/>
        <v>2001</v>
      </c>
      <c r="AC7579" s="22">
        <f t="shared" si="237"/>
        <v>0.63429999999999997</v>
      </c>
    </row>
    <row r="7580" spans="1:29">
      <c r="A7580" s="8" t="s">
        <v>11453</v>
      </c>
      <c r="B7580" s="17" t="s">
        <v>7758</v>
      </c>
      <c r="C7580" s="13">
        <v>36920</v>
      </c>
      <c r="D7580" s="13" t="s">
        <v>8465</v>
      </c>
      <c r="E7580" s="10" t="s">
        <v>3045</v>
      </c>
      <c r="F7580" s="10" t="s">
        <v>11454</v>
      </c>
      <c r="H7580" s="2" t="s">
        <v>150</v>
      </c>
      <c r="L7580" s="18">
        <v>0</v>
      </c>
      <c r="Q7580" s="18">
        <v>0</v>
      </c>
      <c r="U7580" s="22">
        <v>0.55000000000000004</v>
      </c>
      <c r="V7580" s="22">
        <f>2.59/5</f>
        <v>0.51800000000000002</v>
      </c>
      <c r="X7580" s="3">
        <v>2</v>
      </c>
      <c r="Z7580" s="23">
        <v>5</v>
      </c>
      <c r="AB7580" s="18">
        <f t="shared" si="236"/>
        <v>2001</v>
      </c>
      <c r="AC7580" s="22">
        <f t="shared" si="237"/>
        <v>0.48933333333333334</v>
      </c>
    </row>
    <row r="7581" spans="1:29">
      <c r="A7581" s="8" t="s">
        <v>13750</v>
      </c>
      <c r="B7581" s="17" t="s">
        <v>6317</v>
      </c>
      <c r="C7581" s="13">
        <v>36909</v>
      </c>
      <c r="D7581" s="13" t="s">
        <v>8465</v>
      </c>
      <c r="E7581" s="10" t="s">
        <v>455</v>
      </c>
      <c r="F7581" s="10" t="s">
        <v>1494</v>
      </c>
      <c r="G7581" s="11" t="s">
        <v>13745</v>
      </c>
      <c r="H7581" s="2" t="s">
        <v>1170</v>
      </c>
      <c r="L7581" s="18">
        <v>0</v>
      </c>
      <c r="Q7581" s="18">
        <v>0</v>
      </c>
      <c r="V7581" s="22">
        <f>3.17/5</f>
        <v>0.63400000000000001</v>
      </c>
      <c r="X7581" s="3">
        <v>2</v>
      </c>
      <c r="AB7581" s="18">
        <f t="shared" si="236"/>
        <v>2001</v>
      </c>
      <c r="AC7581" s="22">
        <f t="shared" si="237"/>
        <v>0.51700000000000002</v>
      </c>
    </row>
    <row r="7582" spans="1:29">
      <c r="A7582" s="8" t="s">
        <v>12387</v>
      </c>
      <c r="B7582" s="17" t="s">
        <v>7757</v>
      </c>
      <c r="C7582" s="13">
        <v>36909</v>
      </c>
      <c r="D7582" s="13" t="s">
        <v>8463</v>
      </c>
      <c r="E7582" s="10" t="s">
        <v>12388</v>
      </c>
      <c r="F7582" s="10" t="s">
        <v>12388</v>
      </c>
      <c r="G7582" s="11" t="s">
        <v>12387</v>
      </c>
      <c r="H7582" s="2" t="s">
        <v>1057</v>
      </c>
      <c r="K7582" s="18">
        <v>0</v>
      </c>
      <c r="L7582" s="18">
        <v>0</v>
      </c>
      <c r="Q7582" s="18">
        <v>0</v>
      </c>
      <c r="V7582" s="22">
        <f>3.06/5</f>
        <v>0.61199999999999999</v>
      </c>
      <c r="X7582" s="3">
        <v>2</v>
      </c>
      <c r="AB7582" s="18">
        <f t="shared" si="236"/>
        <v>2001</v>
      </c>
      <c r="AC7582" s="22">
        <f t="shared" si="237"/>
        <v>0.50600000000000001</v>
      </c>
    </row>
    <row r="7583" spans="1:29">
      <c r="A7583" s="8" t="s">
        <v>396</v>
      </c>
      <c r="B7583" s="17" t="s">
        <v>6317</v>
      </c>
      <c r="C7583" s="13">
        <v>36908</v>
      </c>
      <c r="D7583" s="13" t="s">
        <v>8465</v>
      </c>
      <c r="E7583" s="10" t="s">
        <v>73</v>
      </c>
      <c r="F7583" s="10" t="s">
        <v>467</v>
      </c>
      <c r="H7583" s="2" t="s">
        <v>21</v>
      </c>
      <c r="L7583" s="18">
        <v>0</v>
      </c>
      <c r="Q7583" s="18">
        <v>0</v>
      </c>
      <c r="V7583" s="22">
        <f>4.07/5</f>
        <v>0.81400000000000006</v>
      </c>
      <c r="X7583" s="3">
        <v>3</v>
      </c>
      <c r="Z7583" s="23">
        <v>0.47</v>
      </c>
      <c r="AB7583" s="18">
        <f t="shared" si="236"/>
        <v>2001</v>
      </c>
      <c r="AC7583" s="22">
        <f t="shared" si="237"/>
        <v>0.70700000000000007</v>
      </c>
    </row>
    <row r="7584" spans="1:29" ht="30">
      <c r="A7584" s="8" t="s">
        <v>877</v>
      </c>
      <c r="B7584" s="17" t="s">
        <v>7746</v>
      </c>
      <c r="C7584" s="13">
        <v>36907</v>
      </c>
      <c r="D7584" s="13" t="s">
        <v>8465</v>
      </c>
      <c r="E7584" s="10" t="s">
        <v>86</v>
      </c>
      <c r="F7584" s="10" t="s">
        <v>1160</v>
      </c>
      <c r="G7584" s="11" t="s">
        <v>877</v>
      </c>
      <c r="H7584" s="2" t="s">
        <v>255</v>
      </c>
      <c r="L7584" s="18">
        <v>0</v>
      </c>
      <c r="Q7584" s="18">
        <v>0</v>
      </c>
      <c r="U7584" s="22">
        <v>0.91</v>
      </c>
      <c r="V7584" s="22">
        <f>4.01/5</f>
        <v>0.80199999999999994</v>
      </c>
      <c r="X7584" s="3">
        <v>3</v>
      </c>
      <c r="Z7584" s="23">
        <v>9.5</v>
      </c>
      <c r="AB7584" s="18">
        <f t="shared" si="236"/>
        <v>2001</v>
      </c>
      <c r="AC7584" s="22">
        <f t="shared" si="237"/>
        <v>0.77066666666666661</v>
      </c>
    </row>
    <row r="7585" spans="1:29">
      <c r="A7585" s="8" t="s">
        <v>8693</v>
      </c>
      <c r="B7585" s="17" t="s">
        <v>7746</v>
      </c>
      <c r="C7585" s="13">
        <v>36894</v>
      </c>
      <c r="D7585" s="13" t="s">
        <v>8465</v>
      </c>
      <c r="E7585" s="10" t="s">
        <v>160</v>
      </c>
      <c r="F7585" s="10" t="s">
        <v>8694</v>
      </c>
      <c r="H7585" s="2" t="s">
        <v>21</v>
      </c>
      <c r="L7585" s="18">
        <v>0</v>
      </c>
      <c r="Q7585" s="18">
        <v>0</v>
      </c>
      <c r="V7585" s="22">
        <f>3.52/5</f>
        <v>0.70399999999999996</v>
      </c>
      <c r="X7585" s="3">
        <v>3</v>
      </c>
      <c r="Z7585" s="23">
        <f>51/60</f>
        <v>0.85</v>
      </c>
      <c r="AB7585" s="18">
        <f t="shared" si="236"/>
        <v>2001</v>
      </c>
      <c r="AC7585" s="22">
        <f t="shared" si="237"/>
        <v>0.65199999999999991</v>
      </c>
    </row>
    <row r="7586" spans="1:29">
      <c r="A7586" s="8" t="s">
        <v>12332</v>
      </c>
      <c r="B7586" s="17" t="s">
        <v>7800</v>
      </c>
      <c r="C7586" s="24">
        <v>36892</v>
      </c>
      <c r="D7586" s="13" t="s">
        <v>8463</v>
      </c>
      <c r="E7586" s="10" t="s">
        <v>1412</v>
      </c>
      <c r="F7586" s="10" t="s">
        <v>1412</v>
      </c>
      <c r="G7586" s="11" t="s">
        <v>5566</v>
      </c>
      <c r="H7586" s="2" t="s">
        <v>149</v>
      </c>
      <c r="K7586" s="18">
        <v>2</v>
      </c>
      <c r="L7586" s="18">
        <v>0</v>
      </c>
      <c r="Q7586" s="18">
        <v>0</v>
      </c>
      <c r="V7586" s="22">
        <f>2.88/5</f>
        <v>0.57599999999999996</v>
      </c>
      <c r="X7586" s="3">
        <v>3</v>
      </c>
      <c r="AB7586" s="18">
        <f t="shared" si="236"/>
        <v>2001</v>
      </c>
      <c r="AC7586" s="22">
        <f t="shared" si="237"/>
        <v>0.58799999999999997</v>
      </c>
    </row>
    <row r="7587" spans="1:29">
      <c r="A7587" s="8" t="s">
        <v>14916</v>
      </c>
      <c r="B7587" s="17" t="s">
        <v>6317</v>
      </c>
      <c r="C7587" s="24">
        <v>36892</v>
      </c>
      <c r="D7587" s="13" t="s">
        <v>8463</v>
      </c>
      <c r="E7587" s="10" t="s">
        <v>72</v>
      </c>
      <c r="F7587" s="10" t="s">
        <v>72</v>
      </c>
      <c r="G7587" s="11" t="s">
        <v>2569</v>
      </c>
      <c r="H7587" s="2" t="s">
        <v>1170</v>
      </c>
      <c r="K7587" s="18">
        <v>0</v>
      </c>
      <c r="L7587" s="18">
        <v>0</v>
      </c>
      <c r="Q7587" s="18">
        <v>0</v>
      </c>
      <c r="V7587" s="22">
        <f>3.79/5</f>
        <v>0.75800000000000001</v>
      </c>
      <c r="X7587" s="3">
        <v>2</v>
      </c>
      <c r="AB7587" s="18">
        <f t="shared" si="236"/>
        <v>2001</v>
      </c>
      <c r="AC7587" s="22">
        <f t="shared" si="237"/>
        <v>0.57899999999999996</v>
      </c>
    </row>
    <row r="7588" spans="1:29">
      <c r="A7588" s="8" t="s">
        <v>12314</v>
      </c>
      <c r="B7588" s="17" t="s">
        <v>7755</v>
      </c>
      <c r="C7588" s="24">
        <v>36892</v>
      </c>
      <c r="D7588" s="13" t="s">
        <v>8467</v>
      </c>
      <c r="E7588" s="10" t="s">
        <v>455</v>
      </c>
      <c r="F7588" s="10" t="s">
        <v>456</v>
      </c>
      <c r="G7588" s="11" t="s">
        <v>12304</v>
      </c>
      <c r="H7588" s="2" t="s">
        <v>459</v>
      </c>
      <c r="L7588" s="18">
        <v>0</v>
      </c>
      <c r="Q7588" s="18">
        <v>0</v>
      </c>
      <c r="V7588" s="22">
        <f>3.78/5</f>
        <v>0.75600000000000001</v>
      </c>
      <c r="X7588" s="3">
        <v>2</v>
      </c>
      <c r="Z7588" s="23">
        <f>27/60</f>
        <v>0.45</v>
      </c>
      <c r="AB7588" s="18">
        <f t="shared" si="236"/>
        <v>2001</v>
      </c>
      <c r="AC7588" s="22">
        <f t="shared" si="237"/>
        <v>0.57800000000000007</v>
      </c>
    </row>
    <row r="7589" spans="1:29">
      <c r="A7589" s="8" t="s">
        <v>14905</v>
      </c>
      <c r="B7589" s="17" t="s">
        <v>6317</v>
      </c>
      <c r="C7589" s="24">
        <v>36892</v>
      </c>
      <c r="D7589" s="13" t="s">
        <v>8467</v>
      </c>
      <c r="E7589" s="10" t="s">
        <v>72</v>
      </c>
      <c r="F7589" s="10" t="s">
        <v>72</v>
      </c>
      <c r="G7589" s="11" t="s">
        <v>14903</v>
      </c>
      <c r="H7589" s="2" t="s">
        <v>1170</v>
      </c>
      <c r="L7589" s="18">
        <v>0</v>
      </c>
      <c r="Q7589" s="18">
        <v>0</v>
      </c>
      <c r="V7589" s="22">
        <f>3.73/5</f>
        <v>0.746</v>
      </c>
      <c r="X7589" s="3">
        <v>2</v>
      </c>
      <c r="AB7589" s="18">
        <f t="shared" si="236"/>
        <v>2001</v>
      </c>
      <c r="AC7589" s="22">
        <f t="shared" si="237"/>
        <v>0.57299999999999995</v>
      </c>
    </row>
    <row r="7590" spans="1:29">
      <c r="A7590" s="8" t="s">
        <v>12894</v>
      </c>
      <c r="B7590" s="17" t="s">
        <v>6317</v>
      </c>
      <c r="C7590" s="24">
        <v>36892</v>
      </c>
      <c r="D7590" s="13" t="s">
        <v>8465</v>
      </c>
      <c r="E7590" s="10" t="s">
        <v>455</v>
      </c>
      <c r="F7590" s="10" t="s">
        <v>2761</v>
      </c>
      <c r="H7590" s="2" t="s">
        <v>1170</v>
      </c>
      <c r="L7590" s="18">
        <v>0</v>
      </c>
      <c r="Q7590" s="18">
        <v>0</v>
      </c>
      <c r="V7590" s="22">
        <f>3.25/5</f>
        <v>0.65</v>
      </c>
      <c r="X7590" s="3">
        <v>2</v>
      </c>
      <c r="AB7590" s="18">
        <f t="shared" si="236"/>
        <v>2001</v>
      </c>
      <c r="AC7590" s="22">
        <f t="shared" si="237"/>
        <v>0.52500000000000002</v>
      </c>
    </row>
    <row r="7591" spans="1:29" ht="30">
      <c r="A7591" s="8" t="s">
        <v>907</v>
      </c>
      <c r="B7591" s="17" t="s">
        <v>7740</v>
      </c>
      <c r="C7591" s="13">
        <v>37228</v>
      </c>
      <c r="D7591" s="13" t="s">
        <v>8465</v>
      </c>
      <c r="E7591" s="10" t="s">
        <v>86</v>
      </c>
      <c r="F7591" s="10" t="s">
        <v>30</v>
      </c>
      <c r="G7591" s="11" t="s">
        <v>892</v>
      </c>
      <c r="H7591" s="2" t="s">
        <v>459</v>
      </c>
      <c r="L7591" s="18">
        <v>0</v>
      </c>
      <c r="Q7591" s="18">
        <v>1</v>
      </c>
      <c r="T7591" s="22">
        <v>1</v>
      </c>
      <c r="U7591" s="22">
        <v>0.91</v>
      </c>
      <c r="V7591" s="22">
        <f>4.49/5</f>
        <v>0.89800000000000002</v>
      </c>
      <c r="Y7591" s="18">
        <v>1</v>
      </c>
      <c r="AB7591" s="18">
        <f t="shared" si="236"/>
        <v>2001</v>
      </c>
      <c r="AC7591" s="22">
        <f t="shared" si="237"/>
        <v>0.93600000000000005</v>
      </c>
    </row>
    <row r="7592" spans="1:29" ht="30">
      <c r="A7592" s="8" t="s">
        <v>908</v>
      </c>
      <c r="B7592" s="17" t="s">
        <v>7740</v>
      </c>
      <c r="C7592" s="13">
        <v>37213</v>
      </c>
      <c r="D7592" s="13" t="s">
        <v>8465</v>
      </c>
      <c r="E7592" s="10" t="s">
        <v>86</v>
      </c>
      <c r="F7592" s="10" t="s">
        <v>87</v>
      </c>
      <c r="G7592" s="11" t="s">
        <v>908</v>
      </c>
      <c r="H7592" s="2" t="s">
        <v>80</v>
      </c>
      <c r="L7592" s="18">
        <v>0</v>
      </c>
      <c r="Q7592" s="18">
        <v>1</v>
      </c>
      <c r="T7592" s="22">
        <v>0.9</v>
      </c>
      <c r="U7592" s="22">
        <v>0.79</v>
      </c>
      <c r="V7592" s="22">
        <f>4.02/5</f>
        <v>0.80399999999999994</v>
      </c>
      <c r="Y7592" s="18">
        <v>1</v>
      </c>
      <c r="AB7592" s="18">
        <f t="shared" si="236"/>
        <v>2001</v>
      </c>
      <c r="AC7592" s="22">
        <f t="shared" si="237"/>
        <v>0.83133333333333326</v>
      </c>
    </row>
    <row r="7593" spans="1:29">
      <c r="A7593" s="8" t="s">
        <v>6340</v>
      </c>
      <c r="B7593" s="17" t="s">
        <v>7764</v>
      </c>
      <c r="C7593" s="13">
        <v>37210</v>
      </c>
      <c r="D7593" s="13" t="s">
        <v>8465</v>
      </c>
      <c r="E7593" s="10" t="s">
        <v>3116</v>
      </c>
      <c r="F7593" s="10" t="s">
        <v>6342</v>
      </c>
      <c r="G7593" s="11" t="s">
        <v>4079</v>
      </c>
      <c r="H7593" s="2" t="s">
        <v>1050</v>
      </c>
      <c r="L7593" s="18">
        <v>0</v>
      </c>
      <c r="Q7593" s="18">
        <v>1</v>
      </c>
      <c r="T7593" s="22">
        <v>0.8</v>
      </c>
      <c r="U7593" s="22">
        <v>0.96</v>
      </c>
      <c r="V7593" s="22">
        <f>4.23/5</f>
        <v>0.84600000000000009</v>
      </c>
      <c r="AB7593" s="18">
        <f t="shared" si="236"/>
        <v>2001</v>
      </c>
      <c r="AC7593" s="22">
        <f t="shared" si="237"/>
        <v>0.86866666666666659</v>
      </c>
    </row>
    <row r="7594" spans="1:29" ht="30">
      <c r="A7594" s="8" t="s">
        <v>1926</v>
      </c>
      <c r="B7594" s="17" t="s">
        <v>7747</v>
      </c>
      <c r="C7594" s="13">
        <v>37207</v>
      </c>
      <c r="D7594" s="13" t="s">
        <v>8465</v>
      </c>
      <c r="E7594" s="10" t="s">
        <v>72</v>
      </c>
      <c r="F7594" s="10" t="s">
        <v>1899</v>
      </c>
      <c r="G7594" s="11" t="s">
        <v>123</v>
      </c>
      <c r="H7594" s="2" t="s">
        <v>21</v>
      </c>
      <c r="L7594" s="18">
        <v>0</v>
      </c>
      <c r="Q7594" s="18">
        <v>1</v>
      </c>
      <c r="T7594" s="22">
        <v>0.6</v>
      </c>
      <c r="U7594" s="22">
        <v>0.77</v>
      </c>
      <c r="V7594" s="22">
        <f>3.64/5</f>
        <v>0.72799999999999998</v>
      </c>
      <c r="AB7594" s="18">
        <f t="shared" si="236"/>
        <v>2001</v>
      </c>
      <c r="AC7594" s="22">
        <f t="shared" si="237"/>
        <v>0.69933333333333325</v>
      </c>
    </row>
    <row r="7595" spans="1:29" ht="30">
      <c r="A7595" s="8" t="s">
        <v>1904</v>
      </c>
      <c r="B7595" s="17" t="s">
        <v>7747</v>
      </c>
      <c r="C7595" s="13">
        <v>37195</v>
      </c>
      <c r="D7595" s="13" t="s">
        <v>8465</v>
      </c>
      <c r="E7595" s="10" t="s">
        <v>73</v>
      </c>
      <c r="F7595" s="10" t="s">
        <v>73</v>
      </c>
      <c r="G7595" s="11" t="s">
        <v>1904</v>
      </c>
      <c r="H7595" s="2" t="s">
        <v>75</v>
      </c>
      <c r="L7595" s="18">
        <v>0</v>
      </c>
      <c r="Q7595" s="18">
        <v>1</v>
      </c>
      <c r="T7595" s="22">
        <v>0.8</v>
      </c>
      <c r="U7595" s="22">
        <v>0.8</v>
      </c>
      <c r="V7595" s="22">
        <f>3.78/5</f>
        <v>0.75600000000000001</v>
      </c>
      <c r="AB7595" s="18">
        <f t="shared" si="236"/>
        <v>2001</v>
      </c>
      <c r="AC7595" s="22">
        <f t="shared" si="237"/>
        <v>0.78533333333333333</v>
      </c>
    </row>
    <row r="7596" spans="1:29" ht="30">
      <c r="A7596" s="8" t="s">
        <v>1923</v>
      </c>
      <c r="B7596" s="17" t="s">
        <v>7747</v>
      </c>
      <c r="C7596" s="13">
        <v>37194</v>
      </c>
      <c r="D7596" s="13" t="s">
        <v>8465</v>
      </c>
      <c r="E7596" s="10" t="s">
        <v>73</v>
      </c>
      <c r="F7596" s="10" t="s">
        <v>73</v>
      </c>
      <c r="G7596" s="11" t="s">
        <v>227</v>
      </c>
      <c r="H7596" s="2" t="s">
        <v>459</v>
      </c>
      <c r="L7596" s="18">
        <v>0</v>
      </c>
      <c r="Q7596" s="18">
        <v>1</v>
      </c>
      <c r="T7596" s="22">
        <v>0.7</v>
      </c>
      <c r="U7596" s="22">
        <v>0.83</v>
      </c>
      <c r="V7596" s="22">
        <f>3.84/5</f>
        <v>0.76800000000000002</v>
      </c>
      <c r="AB7596" s="18">
        <f t="shared" si="236"/>
        <v>2001</v>
      </c>
      <c r="AC7596" s="22">
        <f t="shared" si="237"/>
        <v>0.76600000000000001</v>
      </c>
    </row>
    <row r="7597" spans="1:29" ht="30">
      <c r="A7597" s="8" t="s">
        <v>1890</v>
      </c>
      <c r="B7597" s="17" t="s">
        <v>7747</v>
      </c>
      <c r="C7597" s="13">
        <v>37192</v>
      </c>
      <c r="D7597" s="13" t="s">
        <v>8465</v>
      </c>
      <c r="E7597" s="10" t="s">
        <v>1273</v>
      </c>
      <c r="F7597" s="10" t="s">
        <v>1889</v>
      </c>
      <c r="G7597" s="11" t="s">
        <v>1890</v>
      </c>
      <c r="H7597" s="2" t="s">
        <v>1050</v>
      </c>
      <c r="L7597" s="18">
        <v>0</v>
      </c>
      <c r="Q7597" s="18">
        <v>1</v>
      </c>
      <c r="T7597" s="22">
        <v>0.6</v>
      </c>
      <c r="U7597" s="22">
        <v>0.8</v>
      </c>
      <c r="V7597" s="22">
        <f>3.63/5</f>
        <v>0.72599999999999998</v>
      </c>
      <c r="AB7597" s="18">
        <f t="shared" si="236"/>
        <v>2001</v>
      </c>
      <c r="AC7597" s="22">
        <f t="shared" si="237"/>
        <v>0.70866666666666667</v>
      </c>
    </row>
    <row r="7598" spans="1:29" ht="38.25">
      <c r="A7598" s="8" t="s">
        <v>6545</v>
      </c>
      <c r="B7598" s="17" t="s">
        <v>7800</v>
      </c>
      <c r="C7598" s="13">
        <v>37174</v>
      </c>
      <c r="D7598" s="13" t="s">
        <v>8465</v>
      </c>
      <c r="E7598" s="10" t="s">
        <v>5010</v>
      </c>
      <c r="F7598" s="10" t="s">
        <v>6544</v>
      </c>
      <c r="G7598" s="11" t="s">
        <v>3043</v>
      </c>
      <c r="H7598" s="2" t="s">
        <v>1143</v>
      </c>
      <c r="L7598" s="18">
        <v>1</v>
      </c>
      <c r="N7598" s="13">
        <v>41627</v>
      </c>
      <c r="O7598" s="29">
        <v>0.33</v>
      </c>
      <c r="P7598" s="18" t="s">
        <v>1107</v>
      </c>
      <c r="Q7598" s="18">
        <v>1</v>
      </c>
      <c r="T7598" s="22">
        <v>1</v>
      </c>
      <c r="U7598" s="22">
        <v>0.85</v>
      </c>
      <c r="V7598" s="22">
        <f>4.18/5</f>
        <v>0.83599999999999997</v>
      </c>
      <c r="W7598" s="14" t="s">
        <v>7796</v>
      </c>
      <c r="AB7598" s="18">
        <f t="shared" si="236"/>
        <v>2001</v>
      </c>
      <c r="AC7598" s="22">
        <f t="shared" si="237"/>
        <v>0.89533333333333331</v>
      </c>
    </row>
    <row r="7599" spans="1:29">
      <c r="A7599" s="8" t="s">
        <v>487</v>
      </c>
      <c r="B7599" s="17" t="s">
        <v>7731</v>
      </c>
      <c r="C7599" s="13">
        <v>37151</v>
      </c>
      <c r="D7599" s="13" t="s">
        <v>8465</v>
      </c>
      <c r="E7599" s="10" t="s">
        <v>170</v>
      </c>
      <c r="F7599" s="10" t="s">
        <v>170</v>
      </c>
      <c r="G7599" s="11" t="s">
        <v>450</v>
      </c>
      <c r="H7599" s="2" t="s">
        <v>147</v>
      </c>
      <c r="L7599" s="18">
        <v>0</v>
      </c>
      <c r="Q7599" s="18">
        <v>1</v>
      </c>
      <c r="T7599" s="22">
        <v>0.8</v>
      </c>
      <c r="V7599" s="22">
        <f>4.25/5</f>
        <v>0.85</v>
      </c>
      <c r="AB7599" s="18">
        <f t="shared" si="236"/>
        <v>2001</v>
      </c>
      <c r="AC7599" s="22">
        <f t="shared" si="237"/>
        <v>0.82499999999999996</v>
      </c>
    </row>
    <row r="7600" spans="1:29">
      <c r="A7600" s="8" t="s">
        <v>1646</v>
      </c>
      <c r="B7600" s="17" t="s">
        <v>7800</v>
      </c>
      <c r="C7600" s="13">
        <v>37151</v>
      </c>
      <c r="D7600" s="13" t="s">
        <v>8465</v>
      </c>
      <c r="E7600" s="10" t="s">
        <v>1342</v>
      </c>
      <c r="F7600" s="10" t="s">
        <v>1655</v>
      </c>
      <c r="G7600" s="11" t="s">
        <v>1646</v>
      </c>
      <c r="H7600" s="2" t="s">
        <v>1050</v>
      </c>
      <c r="L7600" s="18">
        <v>1</v>
      </c>
      <c r="N7600" s="13">
        <v>41568</v>
      </c>
      <c r="P7600" s="18" t="s">
        <v>1107</v>
      </c>
      <c r="Q7600" s="18">
        <v>1</v>
      </c>
      <c r="R7600" s="13">
        <v>44807</v>
      </c>
      <c r="S7600" s="21">
        <f>3+56/60</f>
        <v>3.9333333333333336</v>
      </c>
      <c r="T7600" s="22">
        <v>0.75</v>
      </c>
      <c r="U7600" s="22">
        <v>0.78</v>
      </c>
      <c r="V7600" s="22">
        <f>3.72/5</f>
        <v>0.74399999999999999</v>
      </c>
      <c r="W7600" s="14" t="s">
        <v>7777</v>
      </c>
      <c r="AB7600" s="18">
        <f t="shared" si="236"/>
        <v>2001</v>
      </c>
      <c r="AC7600" s="22">
        <f t="shared" si="237"/>
        <v>0.75800000000000001</v>
      </c>
    </row>
    <row r="7601" spans="1:29">
      <c r="A7601" s="8" t="s">
        <v>335</v>
      </c>
      <c r="B7601" s="17" t="s">
        <v>6317</v>
      </c>
      <c r="C7601" s="12">
        <v>37104</v>
      </c>
      <c r="D7601" s="13" t="s">
        <v>8463</v>
      </c>
      <c r="E7601" s="10" t="s">
        <v>560</v>
      </c>
      <c r="F7601" s="10" t="s">
        <v>560</v>
      </c>
      <c r="G7601" s="11" t="s">
        <v>334</v>
      </c>
      <c r="H7601" s="2" t="s">
        <v>21</v>
      </c>
      <c r="K7601" s="18">
        <v>0</v>
      </c>
      <c r="L7601" s="18">
        <v>0</v>
      </c>
      <c r="Q7601" s="18">
        <v>1</v>
      </c>
      <c r="T7601" s="22">
        <v>0.6</v>
      </c>
      <c r="V7601" s="22">
        <f>3.78/5</f>
        <v>0.75600000000000001</v>
      </c>
      <c r="AB7601" s="18">
        <f t="shared" si="236"/>
        <v>2001</v>
      </c>
      <c r="AC7601" s="22">
        <f t="shared" si="237"/>
        <v>0.67799999999999994</v>
      </c>
    </row>
    <row r="7602" spans="1:29">
      <c r="A7602" s="8" t="s">
        <v>581</v>
      </c>
      <c r="B7602" s="17" t="s">
        <v>7757</v>
      </c>
      <c r="C7602" s="13">
        <v>37071</v>
      </c>
      <c r="D7602" s="13" t="s">
        <v>8463</v>
      </c>
      <c r="E7602" s="10" t="s">
        <v>1082</v>
      </c>
      <c r="F7602" s="10" t="s">
        <v>58</v>
      </c>
      <c r="G7602" s="11" t="s">
        <v>1251</v>
      </c>
      <c r="H7602" s="2" t="s">
        <v>149</v>
      </c>
      <c r="K7602" s="18">
        <v>2</v>
      </c>
      <c r="L7602" s="18">
        <v>0</v>
      </c>
      <c r="Q7602" s="18">
        <v>1</v>
      </c>
      <c r="T7602" s="22">
        <v>0.9</v>
      </c>
      <c r="V7602" s="22">
        <f>4.37/5</f>
        <v>0.874</v>
      </c>
      <c r="Y7602" s="18">
        <v>1</v>
      </c>
      <c r="AB7602" s="18">
        <f t="shared" si="236"/>
        <v>2001</v>
      </c>
      <c r="AC7602" s="22">
        <f t="shared" si="237"/>
        <v>0.88700000000000001</v>
      </c>
    </row>
    <row r="7603" spans="1:29" ht="30">
      <c r="A7603" s="8" t="s">
        <v>2078</v>
      </c>
      <c r="B7603" s="17" t="s">
        <v>7747</v>
      </c>
      <c r="C7603" s="13">
        <v>37053</v>
      </c>
      <c r="D7603" s="13" t="s">
        <v>8465</v>
      </c>
      <c r="E7603" s="10" t="s">
        <v>72</v>
      </c>
      <c r="F7603" s="10" t="s">
        <v>72</v>
      </c>
      <c r="G7603" s="11" t="s">
        <v>113</v>
      </c>
      <c r="H7603" s="2" t="s">
        <v>151</v>
      </c>
      <c r="L7603" s="18">
        <v>0</v>
      </c>
      <c r="Q7603" s="18">
        <v>1</v>
      </c>
      <c r="R7603" s="13">
        <v>44510</v>
      </c>
      <c r="S7603" s="21">
        <f>7+55/60+54/3600</f>
        <v>7.9316666666666666</v>
      </c>
      <c r="T7603" s="22">
        <v>0.8</v>
      </c>
      <c r="U7603" s="22">
        <v>0.88</v>
      </c>
      <c r="V7603" s="22">
        <f>4.01/5</f>
        <v>0.80199999999999994</v>
      </c>
      <c r="Y7603" s="18">
        <v>1</v>
      </c>
      <c r="AB7603" s="18">
        <f t="shared" si="236"/>
        <v>2001</v>
      </c>
      <c r="AC7603" s="22">
        <f t="shared" si="237"/>
        <v>0.82733333333333337</v>
      </c>
    </row>
    <row r="7604" spans="1:29" ht="30">
      <c r="A7604" s="8" t="s">
        <v>1928</v>
      </c>
      <c r="B7604" s="17" t="s">
        <v>7747</v>
      </c>
      <c r="C7604" s="13">
        <v>37040</v>
      </c>
      <c r="D7604" s="13" t="s">
        <v>8465</v>
      </c>
      <c r="E7604" s="10" t="s">
        <v>1900</v>
      </c>
      <c r="F7604" s="10" t="s">
        <v>1901</v>
      </c>
      <c r="G7604" s="11" t="s">
        <v>1902</v>
      </c>
      <c r="H7604" s="2" t="s">
        <v>1170</v>
      </c>
      <c r="L7604" s="18">
        <v>0</v>
      </c>
      <c r="Q7604" s="18">
        <v>1</v>
      </c>
      <c r="T7604" s="22">
        <v>0.5</v>
      </c>
      <c r="U7604" s="22">
        <v>0.56000000000000005</v>
      </c>
      <c r="V7604" s="22">
        <f>2.92/5</f>
        <v>0.58399999999999996</v>
      </c>
      <c r="AB7604" s="18">
        <f t="shared" si="236"/>
        <v>2001</v>
      </c>
      <c r="AC7604" s="22">
        <f t="shared" si="237"/>
        <v>0.54800000000000004</v>
      </c>
    </row>
    <row r="7605" spans="1:29">
      <c r="A7605" s="8" t="s">
        <v>2752</v>
      </c>
      <c r="B7605" s="17" t="s">
        <v>7755</v>
      </c>
      <c r="C7605" s="13">
        <v>37027</v>
      </c>
      <c r="D7605" s="13" t="s">
        <v>8465</v>
      </c>
      <c r="E7605" s="10" t="s">
        <v>73</v>
      </c>
      <c r="F7605" s="10" t="s">
        <v>2770</v>
      </c>
      <c r="G7605" s="11" t="s">
        <v>313</v>
      </c>
      <c r="H7605" s="2" t="s">
        <v>21</v>
      </c>
      <c r="L7605" s="18">
        <v>0</v>
      </c>
      <c r="Q7605" s="18">
        <v>1</v>
      </c>
      <c r="R7605" s="13">
        <v>43896</v>
      </c>
      <c r="S7605" s="21">
        <f>23/60+15/3600</f>
        <v>0.38750000000000001</v>
      </c>
      <c r="T7605" s="22">
        <v>0.6</v>
      </c>
      <c r="U7605" s="22">
        <v>0.64</v>
      </c>
      <c r="V7605" s="22">
        <f>3.59/5</f>
        <v>0.71799999999999997</v>
      </c>
      <c r="AB7605" s="18">
        <f t="shared" si="236"/>
        <v>2001</v>
      </c>
      <c r="AC7605" s="22">
        <f t="shared" si="237"/>
        <v>0.65266666666666662</v>
      </c>
    </row>
    <row r="7606" spans="1:29" ht="25.5">
      <c r="A7606" s="8" t="s">
        <v>1821</v>
      </c>
      <c r="B7606" s="17" t="s">
        <v>7746</v>
      </c>
      <c r="C7606" s="13">
        <v>37025</v>
      </c>
      <c r="D7606" s="13" t="s">
        <v>8465</v>
      </c>
      <c r="E7606" s="10" t="s">
        <v>86</v>
      </c>
      <c r="F7606" s="10" t="s">
        <v>73</v>
      </c>
      <c r="G7606" s="11" t="s">
        <v>85</v>
      </c>
      <c r="H7606" s="2" t="s">
        <v>80</v>
      </c>
      <c r="L7606" s="18">
        <v>1</v>
      </c>
      <c r="M7606" s="14" t="s">
        <v>10622</v>
      </c>
      <c r="N7606" s="13">
        <v>43322</v>
      </c>
      <c r="O7606" s="29">
        <v>15</v>
      </c>
      <c r="P7606" s="18" t="s">
        <v>14</v>
      </c>
      <c r="Q7606" s="18">
        <v>1</v>
      </c>
      <c r="T7606" s="22">
        <v>0.9</v>
      </c>
      <c r="U7606" s="22">
        <v>0.92</v>
      </c>
      <c r="V7606" s="22">
        <f>4.15/5</f>
        <v>0.83000000000000007</v>
      </c>
      <c r="AB7606" s="18">
        <f t="shared" si="236"/>
        <v>2001</v>
      </c>
      <c r="AC7606" s="22">
        <f t="shared" si="237"/>
        <v>0.88333333333333341</v>
      </c>
    </row>
    <row r="7607" spans="1:29" ht="25.5">
      <c r="A7607" s="8" t="s">
        <v>1822</v>
      </c>
      <c r="B7607" s="17" t="s">
        <v>7746</v>
      </c>
      <c r="C7607" s="13">
        <v>37025</v>
      </c>
      <c r="D7607" s="13" t="s">
        <v>8465</v>
      </c>
      <c r="E7607" s="10" t="s">
        <v>86</v>
      </c>
      <c r="F7607" s="10" t="s">
        <v>73</v>
      </c>
      <c r="G7607" s="11" t="s">
        <v>85</v>
      </c>
      <c r="H7607" s="2" t="s">
        <v>80</v>
      </c>
      <c r="L7607" s="18">
        <v>1</v>
      </c>
      <c r="M7607" s="14" t="s">
        <v>10622</v>
      </c>
      <c r="N7607" s="13">
        <v>43520</v>
      </c>
      <c r="O7607" s="29">
        <v>19.989999999999998</v>
      </c>
      <c r="P7607" s="18" t="s">
        <v>14</v>
      </c>
      <c r="Q7607" s="18">
        <v>1</v>
      </c>
      <c r="T7607" s="22">
        <v>0.9</v>
      </c>
      <c r="U7607" s="22">
        <v>0.91</v>
      </c>
      <c r="V7607" s="22">
        <f>4.15/5</f>
        <v>0.83000000000000007</v>
      </c>
      <c r="AB7607" s="18">
        <f t="shared" si="236"/>
        <v>2001</v>
      </c>
      <c r="AC7607" s="22">
        <f t="shared" si="237"/>
        <v>0.88</v>
      </c>
    </row>
    <row r="7608" spans="1:29">
      <c r="A7608" s="8" t="s">
        <v>899</v>
      </c>
      <c r="B7608" s="20" t="s">
        <v>7739</v>
      </c>
      <c r="C7608" s="13">
        <v>36955</v>
      </c>
      <c r="D7608" s="13" t="s">
        <v>8465</v>
      </c>
      <c r="E7608" s="10" t="s">
        <v>163</v>
      </c>
      <c r="F7608" s="10" t="s">
        <v>163</v>
      </c>
      <c r="G7608" s="11" t="s">
        <v>1483</v>
      </c>
      <c r="H7608" s="2" t="s">
        <v>1040</v>
      </c>
      <c r="L7608" s="18">
        <v>0</v>
      </c>
      <c r="Q7608" s="18">
        <v>1</v>
      </c>
      <c r="T7608" s="22">
        <v>0.7</v>
      </c>
      <c r="U7608" s="22">
        <v>0.89</v>
      </c>
      <c r="V7608" s="22">
        <f>4.19/5</f>
        <v>0.83800000000000008</v>
      </c>
      <c r="AB7608" s="18">
        <f t="shared" si="236"/>
        <v>2001</v>
      </c>
      <c r="AC7608" s="22">
        <f t="shared" si="237"/>
        <v>0.80933333333333335</v>
      </c>
    </row>
    <row r="7609" spans="1:29">
      <c r="A7609" s="8" t="s">
        <v>1826</v>
      </c>
      <c r="B7609" s="17" t="s">
        <v>7746</v>
      </c>
      <c r="C7609" s="12">
        <v>36901</v>
      </c>
      <c r="D7609" s="13" t="s">
        <v>8465</v>
      </c>
      <c r="E7609" s="10" t="s">
        <v>73</v>
      </c>
      <c r="F7609" s="10" t="s">
        <v>73</v>
      </c>
      <c r="G7609" s="11" t="s">
        <v>601</v>
      </c>
      <c r="H7609" s="2" t="s">
        <v>56</v>
      </c>
      <c r="L7609" s="18">
        <v>0</v>
      </c>
      <c r="Q7609" s="18">
        <v>1</v>
      </c>
      <c r="T7609" s="22">
        <v>0.7</v>
      </c>
      <c r="U7609" s="22">
        <v>0.77</v>
      </c>
      <c r="V7609" s="22">
        <f>3.68/5</f>
        <v>0.73599999999999999</v>
      </c>
      <c r="AB7609" s="18">
        <f t="shared" si="236"/>
        <v>2001</v>
      </c>
      <c r="AC7609" s="22">
        <f t="shared" si="237"/>
        <v>0.73533333333333328</v>
      </c>
    </row>
    <row r="7610" spans="1:29" ht="25.5">
      <c r="A7610" s="8" t="s">
        <v>3009</v>
      </c>
      <c r="B7610" s="17" t="s">
        <v>7757</v>
      </c>
      <c r="C7610" s="13">
        <v>36882</v>
      </c>
      <c r="D7610" s="13" t="s">
        <v>8465</v>
      </c>
      <c r="E7610" s="10" t="s">
        <v>228</v>
      </c>
      <c r="F7610" s="10" t="s">
        <v>228</v>
      </c>
      <c r="G7610" s="11" t="s">
        <v>3038</v>
      </c>
      <c r="H7610" s="2" t="s">
        <v>149</v>
      </c>
      <c r="L7610" s="18">
        <v>0</v>
      </c>
      <c r="Q7610" s="18">
        <v>0</v>
      </c>
      <c r="U7610" s="22">
        <v>0.84</v>
      </c>
      <c r="V7610" s="22">
        <f>3.85/5</f>
        <v>0.77</v>
      </c>
      <c r="X7610" s="3">
        <v>4</v>
      </c>
      <c r="Y7610" s="18">
        <v>1</v>
      </c>
      <c r="Z7610" s="23">
        <v>53</v>
      </c>
      <c r="AB7610" s="18">
        <f t="shared" si="236"/>
        <v>2000</v>
      </c>
      <c r="AC7610" s="22">
        <f t="shared" si="237"/>
        <v>0.80333333333333334</v>
      </c>
    </row>
    <row r="7611" spans="1:29" ht="25.5">
      <c r="A7611" s="8" t="s">
        <v>12331</v>
      </c>
      <c r="B7611" s="17" t="s">
        <v>7746</v>
      </c>
      <c r="C7611" s="13">
        <v>36882</v>
      </c>
      <c r="D7611" s="13" t="s">
        <v>8463</v>
      </c>
      <c r="E7611" s="10" t="s">
        <v>11819</v>
      </c>
      <c r="F7611" s="10" t="s">
        <v>11819</v>
      </c>
      <c r="G7611" s="11" t="s">
        <v>5566</v>
      </c>
      <c r="H7611" s="2" t="s">
        <v>149</v>
      </c>
      <c r="K7611" s="18">
        <v>2</v>
      </c>
      <c r="L7611" s="18">
        <v>0</v>
      </c>
      <c r="Q7611" s="18">
        <v>0</v>
      </c>
      <c r="V7611" s="22">
        <f>4.03/5</f>
        <v>0.80600000000000005</v>
      </c>
      <c r="X7611" s="3">
        <v>3</v>
      </c>
      <c r="AB7611" s="18">
        <f t="shared" si="236"/>
        <v>2000</v>
      </c>
      <c r="AC7611" s="22">
        <f t="shared" si="237"/>
        <v>0.70300000000000007</v>
      </c>
    </row>
    <row r="7612" spans="1:29" ht="25.5">
      <c r="A7612" s="8" t="s">
        <v>1846</v>
      </c>
      <c r="B7612" s="17" t="s">
        <v>7746</v>
      </c>
      <c r="C7612" s="13">
        <v>36882</v>
      </c>
      <c r="D7612" s="13" t="s">
        <v>8463</v>
      </c>
      <c r="E7612" s="10" t="s">
        <v>62</v>
      </c>
      <c r="F7612" s="10" t="s">
        <v>1512</v>
      </c>
      <c r="G7612" s="11" t="s">
        <v>1871</v>
      </c>
      <c r="H7612" s="2" t="s">
        <v>149</v>
      </c>
      <c r="K7612" s="18">
        <v>2</v>
      </c>
      <c r="L7612" s="18">
        <v>0</v>
      </c>
      <c r="Q7612" s="18">
        <v>0</v>
      </c>
      <c r="V7612" s="22">
        <f>3.92/5</f>
        <v>0.78400000000000003</v>
      </c>
      <c r="X7612" s="3">
        <v>3</v>
      </c>
      <c r="AB7612" s="18">
        <f t="shared" si="236"/>
        <v>2000</v>
      </c>
      <c r="AC7612" s="22">
        <f t="shared" si="237"/>
        <v>0.69199999999999995</v>
      </c>
    </row>
    <row r="7613" spans="1:29" ht="25.5">
      <c r="A7613" s="8" t="s">
        <v>14278</v>
      </c>
      <c r="B7613" s="17" t="s">
        <v>7800</v>
      </c>
      <c r="C7613" s="13">
        <v>36882</v>
      </c>
      <c r="D7613" s="13" t="s">
        <v>8463</v>
      </c>
      <c r="E7613" s="10" t="s">
        <v>14279</v>
      </c>
      <c r="F7613" s="10" t="s">
        <v>14279</v>
      </c>
      <c r="G7613" s="11" t="s">
        <v>14280</v>
      </c>
      <c r="H7613" s="2" t="s">
        <v>75</v>
      </c>
      <c r="K7613" s="18">
        <v>2</v>
      </c>
      <c r="L7613" s="18">
        <v>0</v>
      </c>
      <c r="Q7613" s="18">
        <v>0</v>
      </c>
      <c r="V7613" s="22">
        <f>2.25/5</f>
        <v>0.45</v>
      </c>
      <c r="X7613" s="3">
        <v>2</v>
      </c>
      <c r="AB7613" s="18">
        <f t="shared" si="236"/>
        <v>2000</v>
      </c>
      <c r="AC7613" s="22">
        <f t="shared" si="237"/>
        <v>0.42500000000000004</v>
      </c>
    </row>
    <row r="7614" spans="1:29" ht="38.25">
      <c r="A7614" s="8" t="s">
        <v>1837</v>
      </c>
      <c r="B7614" s="17" t="s">
        <v>7746</v>
      </c>
      <c r="C7614" s="13">
        <v>36881</v>
      </c>
      <c r="D7614" s="13" t="s">
        <v>8463</v>
      </c>
      <c r="E7614" s="10" t="s">
        <v>72</v>
      </c>
      <c r="F7614" s="10" t="s">
        <v>72</v>
      </c>
      <c r="G7614" s="11" t="s">
        <v>1242</v>
      </c>
      <c r="H7614" s="2" t="s">
        <v>80</v>
      </c>
      <c r="K7614" s="18">
        <v>0</v>
      </c>
      <c r="L7614" s="18">
        <v>0</v>
      </c>
      <c r="Q7614" s="18">
        <v>0</v>
      </c>
      <c r="V7614" s="22">
        <f>3.82/5</f>
        <v>0.76400000000000001</v>
      </c>
      <c r="X7614" s="3">
        <v>3</v>
      </c>
      <c r="AB7614" s="18">
        <f t="shared" si="236"/>
        <v>2000</v>
      </c>
      <c r="AC7614" s="22">
        <f t="shared" si="237"/>
        <v>0.68199999999999994</v>
      </c>
    </row>
    <row r="7615" spans="1:29" ht="25.5">
      <c r="A7615" s="8" t="s">
        <v>12107</v>
      </c>
      <c r="B7615" s="17" t="s">
        <v>7758</v>
      </c>
      <c r="C7615" s="13">
        <v>36881</v>
      </c>
      <c r="D7615" s="13" t="s">
        <v>8463</v>
      </c>
      <c r="E7615" s="10" t="s">
        <v>72</v>
      </c>
      <c r="F7615" s="10" t="s">
        <v>72</v>
      </c>
      <c r="G7615" s="11" t="s">
        <v>1242</v>
      </c>
      <c r="H7615" s="2" t="s">
        <v>171</v>
      </c>
      <c r="K7615" s="18">
        <v>0</v>
      </c>
      <c r="L7615" s="18">
        <v>0</v>
      </c>
      <c r="Q7615" s="18">
        <v>0</v>
      </c>
      <c r="V7615" s="22">
        <f>4.09/5</f>
        <v>0.81799999999999995</v>
      </c>
      <c r="X7615" s="3">
        <v>2</v>
      </c>
      <c r="AB7615" s="18">
        <f t="shared" si="236"/>
        <v>2000</v>
      </c>
      <c r="AC7615" s="22">
        <f t="shared" si="237"/>
        <v>0.60899999999999999</v>
      </c>
    </row>
    <row r="7616" spans="1:29">
      <c r="A7616" s="8" t="s">
        <v>13161</v>
      </c>
      <c r="B7616" s="17" t="s">
        <v>7757</v>
      </c>
      <c r="C7616" s="13">
        <v>36881</v>
      </c>
      <c r="D7616" s="13" t="s">
        <v>8463</v>
      </c>
      <c r="E7616" s="10" t="s">
        <v>62</v>
      </c>
      <c r="F7616" s="10" t="s">
        <v>62</v>
      </c>
      <c r="G7616" s="11" t="s">
        <v>7674</v>
      </c>
      <c r="H7616" s="2" t="s">
        <v>31</v>
      </c>
      <c r="K7616" s="18">
        <v>0</v>
      </c>
      <c r="L7616" s="18">
        <v>0</v>
      </c>
      <c r="Q7616" s="18">
        <v>0</v>
      </c>
      <c r="V7616" s="22">
        <f>4.08/5</f>
        <v>0.81600000000000006</v>
      </c>
      <c r="X7616" s="3">
        <v>2</v>
      </c>
      <c r="Z7616" s="23">
        <v>8</v>
      </c>
      <c r="AB7616" s="18">
        <f t="shared" si="236"/>
        <v>2000</v>
      </c>
      <c r="AC7616" s="22">
        <f t="shared" si="237"/>
        <v>0.6080000000000001</v>
      </c>
    </row>
    <row r="7617" spans="1:29" ht="25.5">
      <c r="A7617" s="8" t="s">
        <v>529</v>
      </c>
      <c r="B7617" s="17" t="s">
        <v>7731</v>
      </c>
      <c r="C7617" s="13">
        <v>36881</v>
      </c>
      <c r="D7617" s="13" t="s">
        <v>8465</v>
      </c>
      <c r="E7617" s="10" t="s">
        <v>170</v>
      </c>
      <c r="F7617" s="10" t="s">
        <v>170</v>
      </c>
      <c r="G7617" s="11" t="s">
        <v>567</v>
      </c>
      <c r="H7617" s="2" t="s">
        <v>459</v>
      </c>
      <c r="L7617" s="18">
        <v>0</v>
      </c>
      <c r="Q7617" s="18">
        <v>0</v>
      </c>
      <c r="V7617" s="22">
        <f>4.04/5</f>
        <v>0.80800000000000005</v>
      </c>
      <c r="X7617" s="3">
        <v>2</v>
      </c>
      <c r="Z7617" s="23">
        <v>0.9</v>
      </c>
      <c r="AB7617" s="18">
        <f t="shared" ref="AB7617:AB7680" si="238">IFERROR(YEAR(C7617), "Early Access")</f>
        <v>2000</v>
      </c>
      <c r="AC7617" s="22">
        <f t="shared" ref="AC7617:AC7680" si="239">AVERAGE(T7617, U7617, V7617, IF(ISBLANK(X7617), X7617, X7617/5))</f>
        <v>0.60400000000000009</v>
      </c>
    </row>
    <row r="7618" spans="1:29" ht="25.5">
      <c r="A7618" s="8" t="s">
        <v>7855</v>
      </c>
      <c r="B7618" s="17" t="s">
        <v>7758</v>
      </c>
      <c r="C7618" s="13">
        <v>36881</v>
      </c>
      <c r="D7618" s="13" t="s">
        <v>8463</v>
      </c>
      <c r="E7618" s="10" t="s">
        <v>2285</v>
      </c>
      <c r="F7618" s="10" t="s">
        <v>2285</v>
      </c>
      <c r="G7618" s="11" t="s">
        <v>2907</v>
      </c>
      <c r="H7618" s="2" t="s">
        <v>149</v>
      </c>
      <c r="K7618" s="18">
        <v>0</v>
      </c>
      <c r="L7618" s="18">
        <v>0</v>
      </c>
      <c r="Q7618" s="18">
        <v>0</v>
      </c>
      <c r="V7618" s="22">
        <f>3.79/5</f>
        <v>0.75800000000000001</v>
      </c>
      <c r="X7618" s="3">
        <v>2</v>
      </c>
      <c r="AB7618" s="18">
        <f t="shared" si="238"/>
        <v>2000</v>
      </c>
      <c r="AC7618" s="22">
        <f t="shared" si="239"/>
        <v>0.57899999999999996</v>
      </c>
    </row>
    <row r="7619" spans="1:29" ht="25.5">
      <c r="A7619" s="8" t="s">
        <v>887</v>
      </c>
      <c r="B7619" s="20" t="s">
        <v>7739</v>
      </c>
      <c r="C7619" s="13">
        <v>36878</v>
      </c>
      <c r="D7619" s="13" t="s">
        <v>8465</v>
      </c>
      <c r="E7619" s="10" t="s">
        <v>1284</v>
      </c>
      <c r="F7619" s="10" t="s">
        <v>1322</v>
      </c>
      <c r="G7619" s="11" t="s">
        <v>1481</v>
      </c>
      <c r="H7619" s="2" t="s">
        <v>6563</v>
      </c>
      <c r="L7619" s="18">
        <v>0</v>
      </c>
      <c r="Q7619" s="18">
        <v>0</v>
      </c>
      <c r="U7619" s="22">
        <v>0.82</v>
      </c>
      <c r="V7619" s="22">
        <f>3.6/5</f>
        <v>0.72</v>
      </c>
      <c r="X7619" s="3">
        <v>3</v>
      </c>
      <c r="Z7619" s="23">
        <v>5.5</v>
      </c>
      <c r="AB7619" s="18">
        <f t="shared" si="238"/>
        <v>2000</v>
      </c>
      <c r="AC7619" s="22">
        <f t="shared" si="239"/>
        <v>0.71333333333333337</v>
      </c>
    </row>
    <row r="7620" spans="1:29" ht="25.5">
      <c r="A7620" s="8" t="s">
        <v>2979</v>
      </c>
      <c r="B7620" s="17" t="s">
        <v>7757</v>
      </c>
      <c r="C7620" s="13">
        <v>36875</v>
      </c>
      <c r="D7620" s="13" t="s">
        <v>8465</v>
      </c>
      <c r="E7620" s="10" t="s">
        <v>2701</v>
      </c>
      <c r="F7620" s="10" t="s">
        <v>1512</v>
      </c>
      <c r="G7620" s="11" t="s">
        <v>1960</v>
      </c>
      <c r="H7620" s="2" t="s">
        <v>149</v>
      </c>
      <c r="L7620" s="18">
        <v>0</v>
      </c>
      <c r="Q7620" s="18">
        <v>0</v>
      </c>
      <c r="U7620" s="22">
        <v>0.83</v>
      </c>
      <c r="V7620" s="22">
        <f>4.18/5</f>
        <v>0.83599999999999997</v>
      </c>
      <c r="X7620" s="3">
        <v>4</v>
      </c>
      <c r="Z7620" s="23">
        <v>35</v>
      </c>
      <c r="AB7620" s="18">
        <f t="shared" si="238"/>
        <v>2000</v>
      </c>
      <c r="AC7620" s="22">
        <f t="shared" si="239"/>
        <v>0.82200000000000006</v>
      </c>
    </row>
    <row r="7621" spans="1:29" ht="25.5">
      <c r="A7621" s="8" t="s">
        <v>7702</v>
      </c>
      <c r="B7621" s="20" t="s">
        <v>7739</v>
      </c>
      <c r="C7621" s="13">
        <v>36875</v>
      </c>
      <c r="D7621" s="13" t="s">
        <v>8465</v>
      </c>
      <c r="E7621" s="10" t="s">
        <v>1284</v>
      </c>
      <c r="F7621" s="10" t="s">
        <v>1284</v>
      </c>
      <c r="G7621" s="11" t="s">
        <v>6893</v>
      </c>
      <c r="H7621" s="2" t="s">
        <v>80</v>
      </c>
      <c r="L7621" s="18">
        <v>0</v>
      </c>
      <c r="Q7621" s="18">
        <v>0</v>
      </c>
      <c r="U7621" s="22">
        <v>0.71</v>
      </c>
      <c r="V7621" s="22">
        <f>3.69/5</f>
        <v>0.73799999999999999</v>
      </c>
      <c r="X7621" s="3">
        <v>3</v>
      </c>
      <c r="Z7621" s="23">
        <v>16</v>
      </c>
      <c r="AB7621" s="18">
        <f t="shared" si="238"/>
        <v>2000</v>
      </c>
      <c r="AC7621" s="22">
        <f t="shared" si="239"/>
        <v>0.68266666666666664</v>
      </c>
    </row>
    <row r="7622" spans="1:29" ht="25.5">
      <c r="A7622" s="8" t="s">
        <v>13962</v>
      </c>
      <c r="B7622" s="17" t="s">
        <v>7757</v>
      </c>
      <c r="C7622" s="13">
        <v>36874</v>
      </c>
      <c r="D7622" s="13" t="s">
        <v>8463</v>
      </c>
      <c r="E7622" s="10" t="s">
        <v>11883</v>
      </c>
      <c r="F7622" s="10" t="s">
        <v>13963</v>
      </c>
      <c r="G7622" s="11" t="s">
        <v>13964</v>
      </c>
      <c r="H7622" s="2" t="s">
        <v>1377</v>
      </c>
      <c r="K7622" s="18">
        <v>0</v>
      </c>
      <c r="L7622" s="18">
        <v>0</v>
      </c>
      <c r="Q7622" s="18">
        <v>0</v>
      </c>
      <c r="V7622" s="22">
        <f>3.63/5</f>
        <v>0.72599999999999998</v>
      </c>
      <c r="X7622" s="3">
        <v>2</v>
      </c>
      <c r="AB7622" s="18">
        <f t="shared" si="238"/>
        <v>2000</v>
      </c>
      <c r="AC7622" s="22">
        <f t="shared" si="239"/>
        <v>0.56299999999999994</v>
      </c>
    </row>
    <row r="7623" spans="1:29" ht="25.5">
      <c r="A7623" s="8" t="s">
        <v>15903</v>
      </c>
      <c r="B7623" s="17" t="s">
        <v>7739</v>
      </c>
      <c r="C7623" s="13">
        <v>36873</v>
      </c>
      <c r="D7623" s="13" t="s">
        <v>8465</v>
      </c>
      <c r="E7623" s="10" t="s">
        <v>1047</v>
      </c>
      <c r="F7623" s="10" t="s">
        <v>59</v>
      </c>
      <c r="G7623" s="11" t="s">
        <v>207</v>
      </c>
      <c r="H7623" s="2" t="s">
        <v>153</v>
      </c>
      <c r="L7623" s="18">
        <v>0</v>
      </c>
      <c r="Q7623" s="18">
        <v>0</v>
      </c>
      <c r="U7623" s="22">
        <v>0.24</v>
      </c>
      <c r="V7623" s="22">
        <f>2.16/5</f>
        <v>0.43200000000000005</v>
      </c>
      <c r="X7623" s="3">
        <v>2</v>
      </c>
      <c r="Z7623" s="23">
        <f>57/60</f>
        <v>0.95</v>
      </c>
      <c r="AB7623" s="18">
        <f t="shared" si="238"/>
        <v>2000</v>
      </c>
      <c r="AC7623" s="22">
        <f t="shared" si="239"/>
        <v>0.35733333333333334</v>
      </c>
    </row>
    <row r="7624" spans="1:29" ht="25.5">
      <c r="A7624" s="8" t="s">
        <v>11927</v>
      </c>
      <c r="B7624" s="17" t="s">
        <v>7755</v>
      </c>
      <c r="C7624" s="13">
        <v>36872</v>
      </c>
      <c r="D7624" s="13" t="s">
        <v>8463</v>
      </c>
      <c r="E7624" s="10" t="s">
        <v>73</v>
      </c>
      <c r="F7624" s="10" t="s">
        <v>73</v>
      </c>
      <c r="G7624" s="11" t="s">
        <v>11926</v>
      </c>
      <c r="H7624" s="2" t="s">
        <v>149</v>
      </c>
      <c r="K7624" s="18">
        <v>0</v>
      </c>
      <c r="L7624" s="18">
        <v>0</v>
      </c>
      <c r="Q7624" s="18">
        <v>0</v>
      </c>
      <c r="V7624" s="22">
        <f>3.71/5</f>
        <v>0.74199999999999999</v>
      </c>
      <c r="X7624" s="3">
        <v>2</v>
      </c>
      <c r="AB7624" s="18">
        <f t="shared" si="238"/>
        <v>2000</v>
      </c>
      <c r="AC7624" s="22">
        <f t="shared" si="239"/>
        <v>0.57099999999999995</v>
      </c>
    </row>
    <row r="7625" spans="1:29" ht="30">
      <c r="A7625" s="8" t="s">
        <v>14048</v>
      </c>
      <c r="B7625" s="17" t="s">
        <v>7795</v>
      </c>
      <c r="C7625" s="13">
        <v>36869</v>
      </c>
      <c r="D7625" s="13" t="s">
        <v>8463</v>
      </c>
      <c r="E7625" s="10" t="s">
        <v>157</v>
      </c>
      <c r="F7625" s="10" t="s">
        <v>2509</v>
      </c>
      <c r="G7625" s="11" t="s">
        <v>8877</v>
      </c>
      <c r="H7625" s="2" t="s">
        <v>149</v>
      </c>
      <c r="K7625" s="18">
        <v>2</v>
      </c>
      <c r="L7625" s="18">
        <v>0</v>
      </c>
      <c r="Q7625" s="18">
        <v>0</v>
      </c>
      <c r="V7625" s="22">
        <f>3.55/5</f>
        <v>0.71</v>
      </c>
      <c r="X7625" s="3">
        <v>2</v>
      </c>
      <c r="AB7625" s="18">
        <f t="shared" si="238"/>
        <v>2000</v>
      </c>
      <c r="AC7625" s="22">
        <f t="shared" si="239"/>
        <v>0.55499999999999994</v>
      </c>
    </row>
    <row r="7626" spans="1:29" ht="30">
      <c r="A7626" s="8" t="s">
        <v>12883</v>
      </c>
      <c r="B7626" s="17" t="s">
        <v>7757</v>
      </c>
      <c r="C7626" s="13">
        <v>36868</v>
      </c>
      <c r="D7626" s="13" t="s">
        <v>8467</v>
      </c>
      <c r="E7626" s="10" t="s">
        <v>12884</v>
      </c>
      <c r="F7626" s="10" t="s">
        <v>8140</v>
      </c>
      <c r="G7626" s="11" t="s">
        <v>12882</v>
      </c>
      <c r="H7626" s="2" t="s">
        <v>1061</v>
      </c>
      <c r="L7626" s="18">
        <v>0</v>
      </c>
      <c r="Q7626" s="18">
        <v>0</v>
      </c>
      <c r="V7626" s="22">
        <f>3.5/5</f>
        <v>0.7</v>
      </c>
      <c r="X7626" s="3">
        <v>2</v>
      </c>
      <c r="Z7626" s="23">
        <v>3</v>
      </c>
      <c r="AB7626" s="18">
        <f t="shared" si="238"/>
        <v>2000</v>
      </c>
      <c r="AC7626" s="22">
        <f t="shared" si="239"/>
        <v>0.55000000000000004</v>
      </c>
    </row>
    <row r="7627" spans="1:29" ht="38.25">
      <c r="A7627" s="8" t="s">
        <v>13568</v>
      </c>
      <c r="B7627" s="17" t="s">
        <v>7755</v>
      </c>
      <c r="C7627" s="13">
        <v>36867</v>
      </c>
      <c r="D7627" s="13" t="s">
        <v>8463</v>
      </c>
      <c r="E7627" s="10" t="s">
        <v>455</v>
      </c>
      <c r="F7627" s="10" t="s">
        <v>455</v>
      </c>
      <c r="H7627" s="2" t="s">
        <v>80</v>
      </c>
      <c r="K7627" s="18">
        <v>2</v>
      </c>
      <c r="L7627" s="18">
        <v>0</v>
      </c>
      <c r="Q7627" s="18">
        <v>0</v>
      </c>
      <c r="V7627" s="22">
        <f>3.5/5</f>
        <v>0.7</v>
      </c>
      <c r="X7627" s="3">
        <v>2</v>
      </c>
      <c r="AB7627" s="18">
        <f t="shared" si="238"/>
        <v>2000</v>
      </c>
      <c r="AC7627" s="22">
        <f t="shared" si="239"/>
        <v>0.55000000000000004</v>
      </c>
    </row>
    <row r="7628" spans="1:29">
      <c r="A7628" s="8" t="s">
        <v>2753</v>
      </c>
      <c r="B7628" s="17" t="s">
        <v>7755</v>
      </c>
      <c r="C7628" s="13">
        <v>36866</v>
      </c>
      <c r="D7628" s="13" t="s">
        <v>8465</v>
      </c>
      <c r="E7628" s="10" t="s">
        <v>1047</v>
      </c>
      <c r="F7628" s="10" t="s">
        <v>1512</v>
      </c>
      <c r="G7628" s="11" t="s">
        <v>1871</v>
      </c>
      <c r="H7628" s="2" t="s">
        <v>149</v>
      </c>
      <c r="L7628" s="18">
        <v>0</v>
      </c>
      <c r="Q7628" s="18">
        <v>0</v>
      </c>
      <c r="U7628" s="22">
        <v>0.89</v>
      </c>
      <c r="V7628" s="22">
        <f>4.16/5</f>
        <v>0.83200000000000007</v>
      </c>
      <c r="X7628" s="3">
        <v>4</v>
      </c>
      <c r="Z7628" s="23">
        <v>33.5</v>
      </c>
      <c r="AB7628" s="18">
        <f t="shared" si="238"/>
        <v>2000</v>
      </c>
      <c r="AC7628" s="22">
        <f t="shared" si="239"/>
        <v>0.84066666666666678</v>
      </c>
    </row>
    <row r="7629" spans="1:29">
      <c r="A7629" s="8" t="s">
        <v>6946</v>
      </c>
      <c r="B7629" s="17" t="s">
        <v>7800</v>
      </c>
      <c r="C7629" s="13">
        <v>36866</v>
      </c>
      <c r="D7629" s="13" t="s">
        <v>8465</v>
      </c>
      <c r="E7629" s="10" t="s">
        <v>1272</v>
      </c>
      <c r="F7629" s="10" t="s">
        <v>6947</v>
      </c>
      <c r="H7629" s="2" t="s">
        <v>1168</v>
      </c>
      <c r="L7629" s="18">
        <v>1</v>
      </c>
      <c r="N7629" s="13">
        <v>42349</v>
      </c>
      <c r="O7629" s="29">
        <v>0</v>
      </c>
      <c r="P7629" s="18" t="s">
        <v>1107</v>
      </c>
      <c r="Q7629" s="18">
        <v>0</v>
      </c>
      <c r="U7629" s="22">
        <v>0.86</v>
      </c>
      <c r="V7629" s="22">
        <f>3.82/5</f>
        <v>0.76400000000000001</v>
      </c>
      <c r="W7629" s="14" t="s">
        <v>7778</v>
      </c>
      <c r="X7629" s="3">
        <v>3</v>
      </c>
      <c r="Z7629" s="23">
        <v>10</v>
      </c>
      <c r="AB7629" s="18">
        <f t="shared" si="238"/>
        <v>2000</v>
      </c>
      <c r="AC7629" s="22">
        <f t="shared" si="239"/>
        <v>0.7413333333333334</v>
      </c>
    </row>
    <row r="7630" spans="1:29" ht="30">
      <c r="A7630" s="8" t="s">
        <v>1215</v>
      </c>
      <c r="B7630" s="17" t="s">
        <v>7795</v>
      </c>
      <c r="C7630" s="13">
        <v>36866</v>
      </c>
      <c r="D7630" s="13" t="s">
        <v>8463</v>
      </c>
      <c r="E7630" s="10" t="s">
        <v>157</v>
      </c>
      <c r="F7630" s="10" t="s">
        <v>1219</v>
      </c>
      <c r="H7630" s="2" t="s">
        <v>1220</v>
      </c>
      <c r="K7630" s="18">
        <v>0</v>
      </c>
      <c r="L7630" s="18">
        <v>0</v>
      </c>
      <c r="Q7630" s="18">
        <v>0</v>
      </c>
      <c r="V7630" s="22">
        <f>3.3/5</f>
        <v>0.65999999999999992</v>
      </c>
      <c r="X7630" s="3">
        <v>3</v>
      </c>
      <c r="Z7630" s="23">
        <f>34/60</f>
        <v>0.56666666666666665</v>
      </c>
      <c r="AB7630" s="18">
        <f t="shared" si="238"/>
        <v>2000</v>
      </c>
      <c r="AC7630" s="22">
        <f t="shared" si="239"/>
        <v>0.62999999999999989</v>
      </c>
    </row>
    <row r="7631" spans="1:29" ht="25.5">
      <c r="A7631" s="8" t="s">
        <v>10683</v>
      </c>
      <c r="B7631" s="17" t="s">
        <v>7757</v>
      </c>
      <c r="C7631" s="13">
        <v>36865</v>
      </c>
      <c r="D7631" s="13" t="s">
        <v>8465</v>
      </c>
      <c r="E7631" s="10" t="s">
        <v>1342</v>
      </c>
      <c r="F7631" s="10" t="s">
        <v>10684</v>
      </c>
      <c r="G7631" s="11" t="s">
        <v>10685</v>
      </c>
      <c r="H7631" s="2" t="s">
        <v>1061</v>
      </c>
      <c r="L7631" s="18">
        <v>0</v>
      </c>
      <c r="Q7631" s="18">
        <v>0</v>
      </c>
      <c r="U7631" s="22">
        <v>0.51</v>
      </c>
      <c r="V7631" s="22">
        <f>2.99/5</f>
        <v>0.59800000000000009</v>
      </c>
      <c r="X7631" s="3">
        <v>2</v>
      </c>
      <c r="Z7631" s="23">
        <v>8</v>
      </c>
      <c r="AB7631" s="18">
        <f t="shared" si="238"/>
        <v>2000</v>
      </c>
      <c r="AC7631" s="22">
        <f t="shared" si="239"/>
        <v>0.50266666666666671</v>
      </c>
    </row>
    <row r="7632" spans="1:29" ht="25.5">
      <c r="A7632" s="8" t="s">
        <v>7685</v>
      </c>
      <c r="B7632" s="17" t="s">
        <v>7746</v>
      </c>
      <c r="C7632" s="13">
        <v>36864</v>
      </c>
      <c r="D7632" s="13" t="s">
        <v>8465</v>
      </c>
      <c r="E7632" s="10" t="s">
        <v>86</v>
      </c>
      <c r="F7632" s="10" t="s">
        <v>1069</v>
      </c>
      <c r="G7632" s="11" t="s">
        <v>1470</v>
      </c>
      <c r="H7632" s="2" t="s">
        <v>78</v>
      </c>
      <c r="L7632" s="18">
        <v>0</v>
      </c>
      <c r="Q7632" s="18">
        <v>0</v>
      </c>
      <c r="U7632" s="22">
        <v>0.83</v>
      </c>
      <c r="V7632" s="22">
        <f>3.81/5</f>
        <v>0.76200000000000001</v>
      </c>
      <c r="X7632" s="3">
        <v>3</v>
      </c>
      <c r="Z7632" s="23">
        <v>7</v>
      </c>
      <c r="AB7632" s="18">
        <f t="shared" si="238"/>
        <v>2000</v>
      </c>
      <c r="AC7632" s="22">
        <f t="shared" si="239"/>
        <v>0.73066666666666669</v>
      </c>
    </row>
    <row r="7633" spans="1:29">
      <c r="A7633" s="8" t="s">
        <v>1880</v>
      </c>
      <c r="B7633" s="17" t="s">
        <v>7746</v>
      </c>
      <c r="C7633" s="13">
        <v>36864</v>
      </c>
      <c r="D7633" s="13" t="s">
        <v>8465</v>
      </c>
      <c r="E7633" s="10" t="s">
        <v>228</v>
      </c>
      <c r="F7633" s="10" t="s">
        <v>62</v>
      </c>
      <c r="G7633" s="11" t="s">
        <v>1862</v>
      </c>
      <c r="H7633" s="2" t="s">
        <v>149</v>
      </c>
      <c r="L7633" s="18">
        <v>0</v>
      </c>
      <c r="Q7633" s="18">
        <v>0</v>
      </c>
      <c r="U7633" s="22">
        <v>0.38</v>
      </c>
      <c r="V7633" s="22">
        <f>3.65/5</f>
        <v>0.73</v>
      </c>
      <c r="X7633" s="3">
        <v>3</v>
      </c>
      <c r="Z7633" s="23">
        <v>35.5</v>
      </c>
      <c r="AB7633" s="18">
        <f t="shared" si="238"/>
        <v>2000</v>
      </c>
      <c r="AC7633" s="22">
        <f t="shared" si="239"/>
        <v>0.56999999999999995</v>
      </c>
    </row>
    <row r="7634" spans="1:29" ht="25.5">
      <c r="A7634" s="8" t="s">
        <v>1839</v>
      </c>
      <c r="B7634" s="17" t="s">
        <v>7746</v>
      </c>
      <c r="C7634" s="12">
        <v>36861</v>
      </c>
      <c r="D7634" s="13" t="s">
        <v>8465</v>
      </c>
      <c r="E7634" s="10" t="s">
        <v>1195</v>
      </c>
      <c r="F7634" s="10" t="s">
        <v>1863</v>
      </c>
      <c r="G7634" s="11" t="s">
        <v>1864</v>
      </c>
      <c r="H7634" s="2" t="s">
        <v>1720</v>
      </c>
      <c r="L7634" s="18">
        <v>0</v>
      </c>
      <c r="Q7634" s="18">
        <v>0</v>
      </c>
      <c r="U7634" s="22">
        <v>0.77</v>
      </c>
      <c r="V7634" s="22">
        <f>3.71/5</f>
        <v>0.74199999999999999</v>
      </c>
      <c r="X7634" s="3">
        <v>3</v>
      </c>
      <c r="Z7634" s="23">
        <v>50</v>
      </c>
      <c r="AB7634" s="18">
        <f t="shared" si="238"/>
        <v>2000</v>
      </c>
      <c r="AC7634" s="22">
        <f t="shared" si="239"/>
        <v>0.70400000000000007</v>
      </c>
    </row>
    <row r="7635" spans="1:29" ht="25.5">
      <c r="A7635" s="8" t="s">
        <v>10066</v>
      </c>
      <c r="B7635" s="17" t="s">
        <v>7800</v>
      </c>
      <c r="C7635" s="12">
        <v>36861</v>
      </c>
      <c r="D7635" s="13" t="s">
        <v>10067</v>
      </c>
      <c r="E7635" s="10" t="s">
        <v>10068</v>
      </c>
      <c r="F7635" s="10" t="s">
        <v>10069</v>
      </c>
      <c r="H7635" s="2" t="s">
        <v>171</v>
      </c>
      <c r="K7635" s="18">
        <v>1</v>
      </c>
      <c r="L7635" s="18">
        <v>0</v>
      </c>
      <c r="Q7635" s="18">
        <v>0</v>
      </c>
      <c r="V7635" s="22">
        <f>3.63/5</f>
        <v>0.72599999999999998</v>
      </c>
      <c r="X7635" s="3">
        <v>3</v>
      </c>
      <c r="Z7635" s="23">
        <v>65</v>
      </c>
      <c r="AB7635" s="18">
        <f t="shared" si="238"/>
        <v>2000</v>
      </c>
      <c r="AC7635" s="22">
        <f t="shared" si="239"/>
        <v>0.66300000000000003</v>
      </c>
    </row>
    <row r="7636" spans="1:29">
      <c r="A7636" s="8" t="s">
        <v>12385</v>
      </c>
      <c r="B7636" s="17" t="s">
        <v>7757</v>
      </c>
      <c r="C7636" s="13">
        <v>36860</v>
      </c>
      <c r="D7636" s="13" t="s">
        <v>8463</v>
      </c>
      <c r="E7636" s="10" t="s">
        <v>12386</v>
      </c>
      <c r="F7636" s="10" t="s">
        <v>12386</v>
      </c>
      <c r="H7636" s="2" t="s">
        <v>75</v>
      </c>
      <c r="K7636" s="18">
        <v>0</v>
      </c>
      <c r="L7636" s="18">
        <v>0</v>
      </c>
      <c r="Q7636" s="18">
        <v>0</v>
      </c>
      <c r="V7636" s="22">
        <f>4/5</f>
        <v>0.8</v>
      </c>
      <c r="X7636" s="3">
        <v>2</v>
      </c>
      <c r="AB7636" s="18">
        <f t="shared" si="238"/>
        <v>2000</v>
      </c>
      <c r="AC7636" s="22">
        <f t="shared" si="239"/>
        <v>0.60000000000000009</v>
      </c>
    </row>
    <row r="7637" spans="1:29">
      <c r="A7637" s="8" t="s">
        <v>14677</v>
      </c>
      <c r="B7637" s="17" t="s">
        <v>6317</v>
      </c>
      <c r="C7637" s="13">
        <v>36860</v>
      </c>
      <c r="D7637" s="13" t="s">
        <v>8463</v>
      </c>
      <c r="E7637" s="10" t="s">
        <v>455</v>
      </c>
      <c r="F7637" s="10" t="s">
        <v>1494</v>
      </c>
      <c r="G7637" s="11" t="s">
        <v>14674</v>
      </c>
      <c r="H7637" s="2" t="s">
        <v>153</v>
      </c>
      <c r="K7637" s="18">
        <v>0</v>
      </c>
      <c r="L7637" s="18">
        <v>0</v>
      </c>
      <c r="Q7637" s="18">
        <v>0</v>
      </c>
      <c r="V7637" s="22">
        <f>3.33/5</f>
        <v>0.66600000000000004</v>
      </c>
      <c r="X7637" s="3">
        <v>2</v>
      </c>
      <c r="AB7637" s="18">
        <f t="shared" si="238"/>
        <v>2000</v>
      </c>
      <c r="AC7637" s="22">
        <f t="shared" si="239"/>
        <v>0.53300000000000003</v>
      </c>
    </row>
    <row r="7638" spans="1:29">
      <c r="A7638" s="8" t="s">
        <v>2923</v>
      </c>
      <c r="B7638" s="17" t="s">
        <v>7757</v>
      </c>
      <c r="C7638" s="13">
        <v>36858</v>
      </c>
      <c r="D7638" s="13" t="s">
        <v>8465</v>
      </c>
      <c r="E7638" s="10" t="s">
        <v>73</v>
      </c>
      <c r="F7638" s="10" t="s">
        <v>73</v>
      </c>
      <c r="G7638" s="11" t="s">
        <v>700</v>
      </c>
      <c r="H7638" s="2" t="s">
        <v>149</v>
      </c>
      <c r="L7638" s="18">
        <v>0</v>
      </c>
      <c r="Q7638" s="18">
        <v>0</v>
      </c>
      <c r="U7638" s="22">
        <v>0.82</v>
      </c>
      <c r="V7638" s="22">
        <f>4.08/5</f>
        <v>0.81600000000000006</v>
      </c>
      <c r="X7638" s="3">
        <v>3</v>
      </c>
      <c r="Z7638" s="23">
        <v>36.5</v>
      </c>
      <c r="AB7638" s="18">
        <f t="shared" si="238"/>
        <v>2000</v>
      </c>
      <c r="AC7638" s="22">
        <f t="shared" si="239"/>
        <v>0.7453333333333334</v>
      </c>
    </row>
    <row r="7639" spans="1:29" ht="25.5">
      <c r="A7639" s="8" t="s">
        <v>7551</v>
      </c>
      <c r="B7639" s="17" t="s">
        <v>7800</v>
      </c>
      <c r="C7639" s="13">
        <v>36853</v>
      </c>
      <c r="D7639" s="13" t="s">
        <v>8465</v>
      </c>
      <c r="E7639" s="10" t="s">
        <v>3740</v>
      </c>
      <c r="F7639" s="10" t="s">
        <v>7552</v>
      </c>
      <c r="G7639" s="11" t="s">
        <v>1433</v>
      </c>
      <c r="H7639" s="2" t="s">
        <v>1204</v>
      </c>
      <c r="L7639" s="18">
        <v>0</v>
      </c>
      <c r="Q7639" s="18">
        <v>0</v>
      </c>
      <c r="U7639" s="22">
        <v>0.86</v>
      </c>
      <c r="V7639" s="22">
        <f>4.04/5</f>
        <v>0.80800000000000005</v>
      </c>
      <c r="X7639" s="3">
        <v>3</v>
      </c>
      <c r="Z7639" s="23">
        <v>10.5</v>
      </c>
      <c r="AB7639" s="18">
        <f t="shared" si="238"/>
        <v>2000</v>
      </c>
      <c r="AC7639" s="22">
        <f t="shared" si="239"/>
        <v>0.75600000000000012</v>
      </c>
    </row>
    <row r="7640" spans="1:29" ht="30">
      <c r="A7640" s="8" t="s">
        <v>9233</v>
      </c>
      <c r="B7640" s="17" t="s">
        <v>7733</v>
      </c>
      <c r="C7640" s="13">
        <v>36853</v>
      </c>
      <c r="D7640" s="13" t="s">
        <v>8463</v>
      </c>
      <c r="E7640" s="10" t="s">
        <v>9234</v>
      </c>
      <c r="F7640" s="10" t="s">
        <v>9234</v>
      </c>
      <c r="H7640" s="2" t="s">
        <v>149</v>
      </c>
      <c r="K7640" s="18">
        <v>2</v>
      </c>
      <c r="L7640" s="18">
        <v>0</v>
      </c>
      <c r="Q7640" s="18">
        <v>0</v>
      </c>
      <c r="V7640" s="22">
        <f>2.67/5</f>
        <v>0.53400000000000003</v>
      </c>
      <c r="X7640" s="3">
        <v>3</v>
      </c>
      <c r="AB7640" s="18">
        <f t="shared" si="238"/>
        <v>2000</v>
      </c>
      <c r="AC7640" s="22">
        <f t="shared" si="239"/>
        <v>0.56699999999999995</v>
      </c>
    </row>
    <row r="7641" spans="1:29" ht="25.5">
      <c r="A7641" s="8" t="s">
        <v>885</v>
      </c>
      <c r="B7641" s="20" t="s">
        <v>7739</v>
      </c>
      <c r="C7641" s="13">
        <v>36851</v>
      </c>
      <c r="D7641" s="13" t="s">
        <v>8463</v>
      </c>
      <c r="E7641" s="10" t="s">
        <v>86</v>
      </c>
      <c r="F7641" s="10" t="s">
        <v>1474</v>
      </c>
      <c r="G7641" s="11" t="s">
        <v>1479</v>
      </c>
      <c r="H7641" s="2" t="s">
        <v>1170</v>
      </c>
      <c r="K7641" s="18">
        <v>2</v>
      </c>
      <c r="L7641" s="18">
        <v>0</v>
      </c>
      <c r="Q7641" s="18">
        <v>0</v>
      </c>
      <c r="U7641" s="22">
        <v>0.86</v>
      </c>
      <c r="V7641" s="22">
        <f>4.08/5</f>
        <v>0.81600000000000006</v>
      </c>
      <c r="X7641" s="3">
        <v>4</v>
      </c>
      <c r="Z7641" s="23">
        <v>2</v>
      </c>
      <c r="AB7641" s="18">
        <f t="shared" si="238"/>
        <v>2000</v>
      </c>
      <c r="AC7641" s="22">
        <f t="shared" si="239"/>
        <v>0.82533333333333336</v>
      </c>
    </row>
    <row r="7642" spans="1:29" ht="25.5">
      <c r="A7642" s="8" t="s">
        <v>5436</v>
      </c>
      <c r="B7642" s="17" t="s">
        <v>7800</v>
      </c>
      <c r="C7642" s="13">
        <v>36851</v>
      </c>
      <c r="D7642" s="13" t="s">
        <v>8465</v>
      </c>
      <c r="E7642" s="10" t="s">
        <v>1870</v>
      </c>
      <c r="F7642" s="10" t="s">
        <v>1282</v>
      </c>
      <c r="G7642" s="11" t="s">
        <v>1853</v>
      </c>
      <c r="H7642" s="2" t="s">
        <v>80</v>
      </c>
      <c r="L7642" s="18">
        <v>1</v>
      </c>
      <c r="N7642" s="13">
        <v>43325</v>
      </c>
      <c r="O7642" s="29">
        <v>0.97</v>
      </c>
      <c r="P7642" s="18" t="s">
        <v>1107</v>
      </c>
      <c r="Q7642" s="18">
        <v>0</v>
      </c>
      <c r="U7642" s="22">
        <v>0.6</v>
      </c>
      <c r="V7642" s="22">
        <f>3.44/5</f>
        <v>0.68799999999999994</v>
      </c>
      <c r="W7642" s="14" t="s">
        <v>7777</v>
      </c>
      <c r="X7642" s="3">
        <v>3</v>
      </c>
      <c r="Z7642" s="23">
        <v>11</v>
      </c>
      <c r="AB7642" s="18">
        <f t="shared" si="238"/>
        <v>2000</v>
      </c>
      <c r="AC7642" s="22">
        <f t="shared" si="239"/>
        <v>0.6293333333333333</v>
      </c>
    </row>
    <row r="7643" spans="1:29">
      <c r="A7643" s="8" t="s">
        <v>869</v>
      </c>
      <c r="B7643" s="20" t="s">
        <v>7739</v>
      </c>
      <c r="C7643" s="13">
        <v>36850</v>
      </c>
      <c r="D7643" s="13" t="s">
        <v>8465</v>
      </c>
      <c r="E7643" s="10" t="s">
        <v>163</v>
      </c>
      <c r="F7643" s="10" t="s">
        <v>163</v>
      </c>
      <c r="G7643" s="11" t="s">
        <v>852</v>
      </c>
      <c r="H7643" s="2" t="s">
        <v>1040</v>
      </c>
      <c r="L7643" s="18">
        <v>0</v>
      </c>
      <c r="Q7643" s="18">
        <v>0</v>
      </c>
      <c r="U7643" s="22">
        <v>0.91</v>
      </c>
      <c r="V7643" s="22">
        <f>4.31/5</f>
        <v>0.86199999999999988</v>
      </c>
      <c r="X7643" s="3">
        <v>4</v>
      </c>
      <c r="Z7643" s="23">
        <v>16</v>
      </c>
      <c r="AB7643" s="18">
        <f t="shared" si="238"/>
        <v>2000</v>
      </c>
      <c r="AC7643" s="22">
        <f t="shared" si="239"/>
        <v>0.85733333333333339</v>
      </c>
    </row>
    <row r="7644" spans="1:29">
      <c r="A7644" s="8" t="s">
        <v>4122</v>
      </c>
      <c r="B7644" s="17" t="s">
        <v>7800</v>
      </c>
      <c r="C7644" s="13">
        <v>36849</v>
      </c>
      <c r="D7644" s="13" t="s">
        <v>8465</v>
      </c>
      <c r="E7644" s="10" t="s">
        <v>1870</v>
      </c>
      <c r="F7644" s="10" t="s">
        <v>4118</v>
      </c>
      <c r="G7644" s="11" t="s">
        <v>4117</v>
      </c>
      <c r="H7644" s="2" t="s">
        <v>245</v>
      </c>
      <c r="L7644" s="18">
        <v>1</v>
      </c>
      <c r="N7644" s="13">
        <v>41105</v>
      </c>
      <c r="O7644" s="29">
        <v>2.08</v>
      </c>
      <c r="P7644" s="18" t="s">
        <v>1107</v>
      </c>
      <c r="Q7644" s="18">
        <v>0</v>
      </c>
      <c r="U7644" s="22">
        <v>0.74</v>
      </c>
      <c r="V7644" s="22">
        <f>3.5/5</f>
        <v>0.7</v>
      </c>
      <c r="W7644" s="14" t="s">
        <v>7777</v>
      </c>
      <c r="X7644" s="3">
        <v>3</v>
      </c>
      <c r="Z7644" s="23">
        <v>11</v>
      </c>
      <c r="AB7644" s="18">
        <f t="shared" si="238"/>
        <v>2000</v>
      </c>
      <c r="AC7644" s="22">
        <f t="shared" si="239"/>
        <v>0.68</v>
      </c>
    </row>
    <row r="7645" spans="1:29" ht="38.25">
      <c r="A7645" s="8" t="s">
        <v>9068</v>
      </c>
      <c r="B7645" s="17" t="s">
        <v>7746</v>
      </c>
      <c r="C7645" s="13">
        <v>36847</v>
      </c>
      <c r="D7645" s="13" t="s">
        <v>8463</v>
      </c>
      <c r="E7645" s="10" t="s">
        <v>228</v>
      </c>
      <c r="F7645" s="10" t="s">
        <v>7817</v>
      </c>
      <c r="G7645" s="11" t="s">
        <v>1171</v>
      </c>
      <c r="H7645" s="2" t="s">
        <v>149</v>
      </c>
      <c r="K7645" s="18">
        <v>2</v>
      </c>
      <c r="L7645" s="18">
        <v>0</v>
      </c>
      <c r="Q7645" s="18">
        <v>0</v>
      </c>
      <c r="V7645" s="22">
        <f>1.45/5</f>
        <v>0.28999999999999998</v>
      </c>
      <c r="X7645" s="3">
        <v>3</v>
      </c>
      <c r="Z7645" s="23">
        <v>11.5</v>
      </c>
      <c r="AB7645" s="18">
        <f t="shared" si="238"/>
        <v>2000</v>
      </c>
      <c r="AC7645" s="22">
        <f t="shared" si="239"/>
        <v>0.44499999999999995</v>
      </c>
    </row>
    <row r="7646" spans="1:29">
      <c r="A7646" s="8" t="s">
        <v>5340</v>
      </c>
      <c r="B7646" s="17" t="s">
        <v>7800</v>
      </c>
      <c r="C7646" s="13">
        <v>36846</v>
      </c>
      <c r="D7646" s="13" t="s">
        <v>8465</v>
      </c>
      <c r="E7646" s="10" t="s">
        <v>1943</v>
      </c>
      <c r="F7646" s="10" t="s">
        <v>4501</v>
      </c>
      <c r="G7646" s="11" t="s">
        <v>3713</v>
      </c>
      <c r="H7646" s="2" t="s">
        <v>67</v>
      </c>
      <c r="L7646" s="18">
        <v>1</v>
      </c>
      <c r="N7646" s="13">
        <v>41793</v>
      </c>
      <c r="P7646" s="18" t="s">
        <v>1107</v>
      </c>
      <c r="Q7646" s="18">
        <v>0</v>
      </c>
      <c r="U7646" s="22">
        <v>0.88</v>
      </c>
      <c r="V7646" s="22">
        <f>4.2/5</f>
        <v>0.84000000000000008</v>
      </c>
      <c r="W7646" s="14" t="s">
        <v>7777</v>
      </c>
      <c r="X7646" s="3">
        <v>3</v>
      </c>
      <c r="Z7646" s="23">
        <v>17</v>
      </c>
      <c r="AB7646" s="18">
        <f t="shared" si="238"/>
        <v>2000</v>
      </c>
      <c r="AC7646" s="22">
        <f t="shared" si="239"/>
        <v>0.77333333333333343</v>
      </c>
    </row>
    <row r="7647" spans="1:29">
      <c r="A7647" s="8" t="s">
        <v>10992</v>
      </c>
      <c r="B7647" s="17" t="s">
        <v>7755</v>
      </c>
      <c r="C7647" s="13">
        <v>36845</v>
      </c>
      <c r="D7647" s="13" t="s">
        <v>8465</v>
      </c>
      <c r="E7647" s="10" t="s">
        <v>73</v>
      </c>
      <c r="F7647" s="10" t="s">
        <v>473</v>
      </c>
      <c r="H7647" s="2" t="s">
        <v>21</v>
      </c>
      <c r="L7647" s="18">
        <v>0</v>
      </c>
      <c r="Q7647" s="18">
        <v>0</v>
      </c>
      <c r="U7647" s="22">
        <v>0.73</v>
      </c>
      <c r="V7647" s="22">
        <f>4.12/5</f>
        <v>0.82400000000000007</v>
      </c>
      <c r="X7647" s="3">
        <v>3</v>
      </c>
      <c r="Z7647" s="23">
        <v>2</v>
      </c>
      <c r="AB7647" s="18">
        <f t="shared" si="238"/>
        <v>2000</v>
      </c>
      <c r="AC7647" s="22">
        <f t="shared" si="239"/>
        <v>0.71799999999999997</v>
      </c>
    </row>
    <row r="7648" spans="1:29">
      <c r="A7648" s="8" t="s">
        <v>10119</v>
      </c>
      <c r="B7648" s="17" t="s">
        <v>7758</v>
      </c>
      <c r="C7648" s="13">
        <v>36845</v>
      </c>
      <c r="D7648" s="13" t="s">
        <v>8465</v>
      </c>
      <c r="E7648" s="10" t="s">
        <v>1273</v>
      </c>
      <c r="F7648" s="10" t="s">
        <v>10120</v>
      </c>
      <c r="H7648" s="2" t="s">
        <v>7594</v>
      </c>
      <c r="L7648" s="18">
        <v>0</v>
      </c>
      <c r="Q7648" s="18">
        <v>0</v>
      </c>
      <c r="U7648" s="22">
        <v>0.79</v>
      </c>
      <c r="V7648" s="22">
        <f>3.72/5</f>
        <v>0.74399999999999999</v>
      </c>
      <c r="X7648" s="3">
        <v>2</v>
      </c>
      <c r="Z7648" s="23">
        <v>3.5</v>
      </c>
      <c r="AB7648" s="18">
        <f t="shared" si="238"/>
        <v>2000</v>
      </c>
      <c r="AC7648" s="22">
        <f t="shared" si="239"/>
        <v>0.64466666666666672</v>
      </c>
    </row>
    <row r="7649" spans="1:29" ht="25.5">
      <c r="A7649" s="8" t="s">
        <v>2352</v>
      </c>
      <c r="B7649" s="17" t="s">
        <v>7757</v>
      </c>
      <c r="C7649" s="13">
        <v>36845</v>
      </c>
      <c r="D7649" s="13" t="s">
        <v>8465</v>
      </c>
      <c r="E7649" s="10" t="s">
        <v>257</v>
      </c>
      <c r="F7649" s="10" t="s">
        <v>164</v>
      </c>
      <c r="G7649" s="11" t="s">
        <v>140</v>
      </c>
      <c r="H7649" s="2" t="s">
        <v>1377</v>
      </c>
      <c r="L7649" s="18">
        <v>0</v>
      </c>
      <c r="Q7649" s="18">
        <v>0</v>
      </c>
      <c r="U7649" s="22">
        <v>0.51</v>
      </c>
      <c r="V7649" s="22">
        <f>3.73/5</f>
        <v>0.746</v>
      </c>
      <c r="X7649" s="3">
        <v>2</v>
      </c>
      <c r="Z7649" s="23">
        <v>7</v>
      </c>
      <c r="AB7649" s="18">
        <f t="shared" si="238"/>
        <v>2000</v>
      </c>
      <c r="AC7649" s="22">
        <f t="shared" si="239"/>
        <v>0.55200000000000005</v>
      </c>
    </row>
    <row r="7650" spans="1:29">
      <c r="A7650" s="8" t="s">
        <v>12920</v>
      </c>
      <c r="B7650" s="17" t="s">
        <v>7755</v>
      </c>
      <c r="C7650" s="13">
        <v>36844</v>
      </c>
      <c r="D7650" s="13" t="s">
        <v>8465</v>
      </c>
      <c r="E7650" s="10" t="s">
        <v>455</v>
      </c>
      <c r="F7650" s="10" t="s">
        <v>455</v>
      </c>
      <c r="G7650" s="11" t="s">
        <v>1688</v>
      </c>
      <c r="H7650" s="2" t="s">
        <v>1469</v>
      </c>
      <c r="L7650" s="18">
        <v>0</v>
      </c>
      <c r="Q7650" s="18">
        <v>0</v>
      </c>
      <c r="U7650" s="22">
        <v>0.54</v>
      </c>
      <c r="V7650" s="22">
        <f>2.91/5</f>
        <v>0.58200000000000007</v>
      </c>
      <c r="X7650" s="3">
        <v>2</v>
      </c>
      <c r="Z7650" s="23">
        <v>9.5</v>
      </c>
      <c r="AB7650" s="18">
        <f t="shared" si="238"/>
        <v>2000</v>
      </c>
      <c r="AC7650" s="22">
        <f t="shared" si="239"/>
        <v>0.50733333333333341</v>
      </c>
    </row>
    <row r="7651" spans="1:29" ht="25.5">
      <c r="A7651" s="8" t="s">
        <v>15412</v>
      </c>
      <c r="B7651" s="17" t="s">
        <v>7800</v>
      </c>
      <c r="C7651" s="13">
        <v>36844</v>
      </c>
      <c r="D7651" s="13" t="s">
        <v>8465</v>
      </c>
      <c r="E7651" s="10" t="s">
        <v>1047</v>
      </c>
      <c r="F7651" s="10" t="s">
        <v>6967</v>
      </c>
      <c r="G7651" s="11" t="s">
        <v>15400</v>
      </c>
      <c r="H7651" s="2" t="s">
        <v>67</v>
      </c>
      <c r="L7651" s="18">
        <v>1</v>
      </c>
      <c r="N7651" s="13">
        <v>45128</v>
      </c>
      <c r="O7651" s="29">
        <v>0</v>
      </c>
      <c r="P7651" s="18" t="s">
        <v>1107</v>
      </c>
      <c r="Q7651" s="18">
        <v>0</v>
      </c>
      <c r="V7651" s="22">
        <f>3.69/5</f>
        <v>0.73799999999999999</v>
      </c>
      <c r="W7651" s="14" t="s">
        <v>7777</v>
      </c>
      <c r="X7651" s="3">
        <v>3</v>
      </c>
      <c r="Z7651" s="23">
        <v>6</v>
      </c>
      <c r="AB7651" s="18">
        <f t="shared" si="238"/>
        <v>2000</v>
      </c>
      <c r="AC7651" s="22">
        <f t="shared" si="239"/>
        <v>0.66900000000000004</v>
      </c>
    </row>
    <row r="7652" spans="1:29" ht="25.5">
      <c r="A7652" s="8" t="s">
        <v>15781</v>
      </c>
      <c r="B7652" s="17" t="s">
        <v>7739</v>
      </c>
      <c r="C7652" s="13">
        <v>36843</v>
      </c>
      <c r="D7652" s="13" t="s">
        <v>8465</v>
      </c>
      <c r="E7652" s="10" t="s">
        <v>86</v>
      </c>
      <c r="F7652" s="10" t="s">
        <v>163</v>
      </c>
      <c r="G7652" s="11" t="s">
        <v>1286</v>
      </c>
      <c r="H7652" s="2" t="s">
        <v>150</v>
      </c>
      <c r="L7652" s="18">
        <v>0</v>
      </c>
      <c r="Q7652" s="18">
        <v>0</v>
      </c>
      <c r="U7652" s="22">
        <v>0.71</v>
      </c>
      <c r="V7652" s="22">
        <f>3.65/5</f>
        <v>0.73</v>
      </c>
      <c r="X7652" s="3">
        <v>2</v>
      </c>
      <c r="Z7652" s="23">
        <v>6</v>
      </c>
      <c r="AB7652" s="18">
        <f t="shared" si="238"/>
        <v>2000</v>
      </c>
      <c r="AC7652" s="22">
        <f t="shared" si="239"/>
        <v>0.61333333333333329</v>
      </c>
    </row>
    <row r="7653" spans="1:29" ht="25.5">
      <c r="A7653" s="8" t="s">
        <v>7185</v>
      </c>
      <c r="B7653" s="17" t="s">
        <v>7800</v>
      </c>
      <c r="C7653" s="13">
        <v>36839</v>
      </c>
      <c r="D7653" s="13" t="s">
        <v>8465</v>
      </c>
      <c r="E7653" s="10" t="s">
        <v>7246</v>
      </c>
      <c r="F7653" s="10" t="s">
        <v>3487</v>
      </c>
      <c r="G7653" s="11" t="s">
        <v>7241</v>
      </c>
      <c r="H7653" s="2" t="s">
        <v>245</v>
      </c>
      <c r="L7653" s="18">
        <v>0</v>
      </c>
      <c r="Q7653" s="18">
        <v>0</v>
      </c>
      <c r="U7653" s="22">
        <v>0.88</v>
      </c>
      <c r="V7653" s="22">
        <f>4.19/5</f>
        <v>0.83800000000000008</v>
      </c>
      <c r="X7653" s="3">
        <v>4</v>
      </c>
      <c r="Z7653" s="23">
        <v>13</v>
      </c>
      <c r="AB7653" s="18">
        <f t="shared" si="238"/>
        <v>2000</v>
      </c>
      <c r="AC7653" s="22">
        <f t="shared" si="239"/>
        <v>0.83933333333333326</v>
      </c>
    </row>
    <row r="7654" spans="1:29" ht="30">
      <c r="A7654" s="8" t="s">
        <v>6672</v>
      </c>
      <c r="B7654" s="17" t="s">
        <v>7755</v>
      </c>
      <c r="C7654" s="13">
        <v>36839</v>
      </c>
      <c r="D7654" s="13" t="s">
        <v>8465</v>
      </c>
      <c r="E7654" s="10" t="s">
        <v>73</v>
      </c>
      <c r="F7654" s="10" t="s">
        <v>1140</v>
      </c>
      <c r="G7654" s="11" t="s">
        <v>6671</v>
      </c>
      <c r="H7654" s="2" t="s">
        <v>459</v>
      </c>
      <c r="L7654" s="18">
        <v>0</v>
      </c>
      <c r="Q7654" s="18">
        <v>0</v>
      </c>
      <c r="U7654" s="22">
        <v>0.81</v>
      </c>
      <c r="V7654" s="22">
        <f>4.1/5</f>
        <v>0.82</v>
      </c>
      <c r="X7654" s="3">
        <v>4</v>
      </c>
      <c r="Z7654" s="23">
        <v>0.35</v>
      </c>
      <c r="AB7654" s="18">
        <f t="shared" si="238"/>
        <v>2000</v>
      </c>
      <c r="AC7654" s="22">
        <f t="shared" si="239"/>
        <v>0.80999999999999994</v>
      </c>
    </row>
    <row r="7655" spans="1:29">
      <c r="A7655" s="8" t="s">
        <v>2758</v>
      </c>
      <c r="B7655" s="17" t="s">
        <v>7755</v>
      </c>
      <c r="C7655" s="13">
        <v>36838</v>
      </c>
      <c r="D7655" s="13" t="s">
        <v>8465</v>
      </c>
      <c r="E7655" s="10" t="s">
        <v>455</v>
      </c>
      <c r="F7655" s="10" t="s">
        <v>455</v>
      </c>
      <c r="G7655" s="11" t="s">
        <v>2758</v>
      </c>
      <c r="H7655" s="2" t="s">
        <v>80</v>
      </c>
      <c r="L7655" s="18">
        <v>0</v>
      </c>
      <c r="Q7655" s="18">
        <v>0</v>
      </c>
      <c r="U7655" s="22">
        <v>0.89</v>
      </c>
      <c r="V7655" s="22">
        <f>4.34/5</f>
        <v>0.86799999999999999</v>
      </c>
      <c r="X7655" s="3">
        <v>4</v>
      </c>
      <c r="Z7655" s="23">
        <v>20</v>
      </c>
      <c r="AB7655" s="18">
        <f t="shared" si="238"/>
        <v>2000</v>
      </c>
      <c r="AC7655" s="22">
        <f t="shared" si="239"/>
        <v>0.85266666666666657</v>
      </c>
    </row>
    <row r="7656" spans="1:29" ht="25.5">
      <c r="A7656" s="8" t="s">
        <v>7178</v>
      </c>
      <c r="B7656" s="17" t="s">
        <v>7800</v>
      </c>
      <c r="C7656" s="13">
        <v>36838</v>
      </c>
      <c r="D7656" s="13" t="s">
        <v>8465</v>
      </c>
      <c r="E7656" s="10" t="s">
        <v>1284</v>
      </c>
      <c r="F7656" s="10" t="s">
        <v>1284</v>
      </c>
      <c r="G7656" s="11" t="s">
        <v>4472</v>
      </c>
      <c r="H7656" s="2" t="s">
        <v>67</v>
      </c>
      <c r="L7656" s="18">
        <v>1</v>
      </c>
      <c r="N7656" s="13">
        <v>44713</v>
      </c>
      <c r="O7656" s="29">
        <v>0</v>
      </c>
      <c r="P7656" s="18" t="s">
        <v>1107</v>
      </c>
      <c r="Q7656" s="18">
        <v>0</v>
      </c>
      <c r="U7656" s="22">
        <v>0.84</v>
      </c>
      <c r="V7656" s="22">
        <f>3.71/5</f>
        <v>0.74199999999999999</v>
      </c>
      <c r="W7656" s="14" t="s">
        <v>7799</v>
      </c>
      <c r="X7656" s="3">
        <v>4</v>
      </c>
      <c r="Z7656" s="23">
        <v>10</v>
      </c>
      <c r="AB7656" s="18">
        <f t="shared" si="238"/>
        <v>2000</v>
      </c>
      <c r="AC7656" s="22">
        <f t="shared" si="239"/>
        <v>0.79399999999999993</v>
      </c>
    </row>
    <row r="7657" spans="1:29" ht="30">
      <c r="A7657" s="8" t="s">
        <v>13092</v>
      </c>
      <c r="B7657" s="17" t="s">
        <v>7757</v>
      </c>
      <c r="C7657" s="13">
        <v>36838</v>
      </c>
      <c r="D7657" s="13" t="s">
        <v>8465</v>
      </c>
      <c r="E7657" s="10" t="s">
        <v>2908</v>
      </c>
      <c r="F7657" s="10" t="s">
        <v>11071</v>
      </c>
      <c r="G7657" s="11" t="s">
        <v>1576</v>
      </c>
      <c r="H7657" s="2" t="s">
        <v>1469</v>
      </c>
      <c r="L7657" s="18">
        <v>0</v>
      </c>
      <c r="Q7657" s="18">
        <v>0</v>
      </c>
      <c r="U7657" s="22">
        <v>0.68</v>
      </c>
      <c r="V7657" s="22">
        <f>3.63/5</f>
        <v>0.72599999999999998</v>
      </c>
      <c r="X7657" s="3">
        <v>2</v>
      </c>
      <c r="Z7657" s="23">
        <v>6.5</v>
      </c>
      <c r="AB7657" s="18">
        <f t="shared" si="238"/>
        <v>2000</v>
      </c>
      <c r="AC7657" s="22">
        <f t="shared" si="239"/>
        <v>0.60199999999999998</v>
      </c>
    </row>
    <row r="7658" spans="1:29">
      <c r="A7658" s="8" t="s">
        <v>15105</v>
      </c>
      <c r="B7658" s="17" t="s">
        <v>7746</v>
      </c>
      <c r="C7658" s="13">
        <v>36838</v>
      </c>
      <c r="D7658" s="13" t="s">
        <v>8465</v>
      </c>
      <c r="E7658" s="10" t="s">
        <v>1273</v>
      </c>
      <c r="F7658" s="10" t="s">
        <v>15106</v>
      </c>
      <c r="G7658" s="11" t="s">
        <v>440</v>
      </c>
      <c r="H7658" s="2" t="s">
        <v>153</v>
      </c>
      <c r="L7658" s="18">
        <v>0</v>
      </c>
      <c r="Q7658" s="18">
        <v>0</v>
      </c>
      <c r="V7658" s="22">
        <f>2.69/5</f>
        <v>0.53800000000000003</v>
      </c>
      <c r="X7658" s="3">
        <v>2</v>
      </c>
      <c r="Z7658" s="23">
        <v>1</v>
      </c>
      <c r="AB7658" s="18">
        <f t="shared" si="238"/>
        <v>2000</v>
      </c>
      <c r="AC7658" s="22">
        <f t="shared" si="239"/>
        <v>0.46900000000000003</v>
      </c>
    </row>
    <row r="7659" spans="1:29">
      <c r="A7659" s="8" t="s">
        <v>7677</v>
      </c>
      <c r="B7659" s="17" t="s">
        <v>7746</v>
      </c>
      <c r="C7659" s="13">
        <v>36837</v>
      </c>
      <c r="D7659" s="13" t="s">
        <v>8465</v>
      </c>
      <c r="E7659" s="10" t="s">
        <v>66</v>
      </c>
      <c r="F7659" s="10" t="s">
        <v>1468</v>
      </c>
      <c r="G7659" s="11" t="s">
        <v>710</v>
      </c>
      <c r="H7659" s="2" t="s">
        <v>1334</v>
      </c>
      <c r="L7659" s="18">
        <v>0</v>
      </c>
      <c r="Q7659" s="18">
        <v>0</v>
      </c>
      <c r="U7659" s="22">
        <v>0.78</v>
      </c>
      <c r="V7659" s="22">
        <f>3.76/5</f>
        <v>0.752</v>
      </c>
      <c r="X7659" s="3">
        <v>3</v>
      </c>
      <c r="Z7659" s="23">
        <v>20.5</v>
      </c>
      <c r="AB7659" s="18">
        <f t="shared" si="238"/>
        <v>2000</v>
      </c>
      <c r="AC7659" s="22">
        <f t="shared" si="239"/>
        <v>0.71066666666666667</v>
      </c>
    </row>
    <row r="7660" spans="1:29" ht="30">
      <c r="A7660" s="8" t="s">
        <v>4881</v>
      </c>
      <c r="B7660" s="17" t="s">
        <v>7800</v>
      </c>
      <c r="C7660" s="13">
        <v>36837</v>
      </c>
      <c r="D7660" s="13" t="s">
        <v>8465</v>
      </c>
      <c r="E7660" s="10" t="s">
        <v>3120</v>
      </c>
      <c r="F7660" s="10" t="s">
        <v>4882</v>
      </c>
      <c r="G7660" s="11" t="s">
        <v>4881</v>
      </c>
      <c r="H7660" s="2" t="s">
        <v>80</v>
      </c>
      <c r="L7660" s="18">
        <v>1</v>
      </c>
      <c r="N7660" s="13">
        <v>41582</v>
      </c>
      <c r="P7660" s="18" t="s">
        <v>1107</v>
      </c>
      <c r="Q7660" s="18">
        <v>0</v>
      </c>
      <c r="U7660" s="22">
        <v>0.77</v>
      </c>
      <c r="V7660" s="22">
        <f>3.7/5</f>
        <v>0.74</v>
      </c>
      <c r="W7660" s="14" t="s">
        <v>7777</v>
      </c>
      <c r="X7660" s="3">
        <v>3</v>
      </c>
      <c r="Z7660" s="23">
        <v>9</v>
      </c>
      <c r="AB7660" s="18">
        <f t="shared" si="238"/>
        <v>2000</v>
      </c>
      <c r="AC7660" s="22">
        <f t="shared" si="239"/>
        <v>0.70333333333333325</v>
      </c>
    </row>
    <row r="7661" spans="1:29">
      <c r="A7661" s="8" t="s">
        <v>2935</v>
      </c>
      <c r="B7661" s="17" t="s">
        <v>7757</v>
      </c>
      <c r="C7661" s="13">
        <v>36836</v>
      </c>
      <c r="D7661" s="13" t="s">
        <v>8465</v>
      </c>
      <c r="E7661" s="10" t="s">
        <v>1285</v>
      </c>
      <c r="F7661" s="10" t="s">
        <v>2348</v>
      </c>
      <c r="H7661" s="2" t="s">
        <v>143</v>
      </c>
      <c r="L7661" s="18">
        <v>0</v>
      </c>
      <c r="Q7661" s="18">
        <v>0</v>
      </c>
      <c r="U7661" s="22">
        <v>0.77</v>
      </c>
      <c r="V7661" s="22">
        <f>3.73/5</f>
        <v>0.746</v>
      </c>
      <c r="X7661" s="3">
        <v>3</v>
      </c>
      <c r="Z7661" s="23">
        <v>2</v>
      </c>
      <c r="AB7661" s="18">
        <f t="shared" si="238"/>
        <v>2000</v>
      </c>
      <c r="AC7661" s="22">
        <f t="shared" si="239"/>
        <v>0.70533333333333337</v>
      </c>
    </row>
    <row r="7662" spans="1:29">
      <c r="A7662" s="8" t="s">
        <v>11597</v>
      </c>
      <c r="B7662" s="17" t="s">
        <v>7757</v>
      </c>
      <c r="C7662" s="13">
        <v>36836</v>
      </c>
      <c r="D7662" s="13" t="s">
        <v>8465</v>
      </c>
      <c r="E7662" s="10" t="s">
        <v>157</v>
      </c>
      <c r="F7662" s="10" t="s">
        <v>66</v>
      </c>
      <c r="G7662" s="11" t="s">
        <v>1395</v>
      </c>
      <c r="H7662" s="2" t="s">
        <v>459</v>
      </c>
      <c r="L7662" s="18">
        <v>0</v>
      </c>
      <c r="Q7662" s="18">
        <v>0</v>
      </c>
      <c r="U7662" s="22">
        <v>0.61</v>
      </c>
      <c r="V7662" s="22">
        <f>3.56/5</f>
        <v>0.71199999999999997</v>
      </c>
      <c r="X7662" s="3">
        <v>2</v>
      </c>
      <c r="Z7662" s="23">
        <f>26/60</f>
        <v>0.43333333333333335</v>
      </c>
      <c r="AB7662" s="18">
        <f t="shared" si="238"/>
        <v>2000</v>
      </c>
      <c r="AC7662" s="22">
        <f t="shared" si="239"/>
        <v>0.57399999999999995</v>
      </c>
    </row>
    <row r="7663" spans="1:29">
      <c r="A7663" s="8" t="s">
        <v>7700</v>
      </c>
      <c r="B7663" s="20" t="s">
        <v>7739</v>
      </c>
      <c r="C7663" s="13">
        <v>36836</v>
      </c>
      <c r="D7663" s="13" t="s">
        <v>8465</v>
      </c>
      <c r="E7663" s="10" t="s">
        <v>86</v>
      </c>
      <c r="F7663" s="10" t="s">
        <v>7701</v>
      </c>
      <c r="G7663" s="11" t="s">
        <v>1470</v>
      </c>
      <c r="H7663" s="2" t="s">
        <v>1334</v>
      </c>
      <c r="L7663" s="18">
        <v>0</v>
      </c>
      <c r="Q7663" s="18">
        <v>0</v>
      </c>
      <c r="U7663" s="22">
        <v>0.55000000000000004</v>
      </c>
      <c r="V7663" s="22">
        <f>2.9/5</f>
        <v>0.57999999999999996</v>
      </c>
      <c r="X7663" s="3">
        <v>2</v>
      </c>
      <c r="Z7663" s="23">
        <v>7</v>
      </c>
      <c r="AB7663" s="18">
        <f t="shared" si="238"/>
        <v>2000</v>
      </c>
      <c r="AC7663" s="22">
        <f t="shared" si="239"/>
        <v>0.5099999999999999</v>
      </c>
    </row>
    <row r="7664" spans="1:29">
      <c r="A7664" s="8" t="s">
        <v>589</v>
      </c>
      <c r="B7664" s="17" t="s">
        <v>7746</v>
      </c>
      <c r="C7664" s="13">
        <v>36834</v>
      </c>
      <c r="D7664" s="13" t="s">
        <v>8465</v>
      </c>
      <c r="E7664" s="10" t="s">
        <v>86</v>
      </c>
      <c r="F7664" s="10" t="s">
        <v>163</v>
      </c>
      <c r="G7664" s="11" t="s">
        <v>1254</v>
      </c>
      <c r="H7664" s="2" t="s">
        <v>64</v>
      </c>
      <c r="L7664" s="18">
        <v>0</v>
      </c>
      <c r="Q7664" s="18">
        <v>0</v>
      </c>
      <c r="U7664" s="22">
        <v>0.9</v>
      </c>
      <c r="V7664" s="22">
        <f>3.74/5</f>
        <v>0.748</v>
      </c>
      <c r="X7664" s="3">
        <v>3</v>
      </c>
      <c r="Z7664" s="23">
        <v>4</v>
      </c>
      <c r="AB7664" s="18">
        <f t="shared" si="238"/>
        <v>2000</v>
      </c>
      <c r="AC7664" s="22">
        <f t="shared" si="239"/>
        <v>0.74933333333333341</v>
      </c>
    </row>
    <row r="7665" spans="1:29" ht="25.5">
      <c r="A7665" s="8" t="s">
        <v>13057</v>
      </c>
      <c r="B7665" s="17" t="s">
        <v>7746</v>
      </c>
      <c r="C7665" s="13">
        <v>36833</v>
      </c>
      <c r="D7665" s="13" t="s">
        <v>8463</v>
      </c>
      <c r="E7665" s="10" t="s">
        <v>13058</v>
      </c>
      <c r="F7665" s="10" t="s">
        <v>66</v>
      </c>
      <c r="G7665" s="11" t="s">
        <v>13059</v>
      </c>
      <c r="H7665" s="2" t="s">
        <v>149</v>
      </c>
      <c r="K7665" s="18">
        <v>1</v>
      </c>
      <c r="L7665" s="18">
        <v>0</v>
      </c>
      <c r="Q7665" s="18">
        <v>0</v>
      </c>
      <c r="V7665" s="22">
        <f>3.93/5</f>
        <v>0.78600000000000003</v>
      </c>
      <c r="X7665" s="3">
        <v>2</v>
      </c>
      <c r="Z7665" s="23">
        <v>10.5</v>
      </c>
      <c r="AB7665" s="18">
        <f t="shared" si="238"/>
        <v>2000</v>
      </c>
      <c r="AC7665" s="22">
        <f t="shared" si="239"/>
        <v>0.59299999999999997</v>
      </c>
    </row>
    <row r="7666" spans="1:29">
      <c r="A7666" s="8" t="s">
        <v>9241</v>
      </c>
      <c r="B7666" s="17" t="s">
        <v>7755</v>
      </c>
      <c r="C7666" s="13">
        <v>36832</v>
      </c>
      <c r="D7666" s="13" t="s">
        <v>8463</v>
      </c>
      <c r="E7666" s="10" t="s">
        <v>9240</v>
      </c>
      <c r="F7666" s="10" t="s">
        <v>3034</v>
      </c>
      <c r="H7666" s="2" t="s">
        <v>1334</v>
      </c>
      <c r="K7666" s="18">
        <v>2</v>
      </c>
      <c r="L7666" s="18">
        <v>0</v>
      </c>
      <c r="Q7666" s="18">
        <v>0</v>
      </c>
      <c r="V7666" s="22">
        <f>3.87/5</f>
        <v>0.77400000000000002</v>
      </c>
      <c r="X7666" s="3">
        <v>3</v>
      </c>
      <c r="Z7666" s="23">
        <v>3</v>
      </c>
      <c r="AB7666" s="18">
        <f t="shared" si="238"/>
        <v>2000</v>
      </c>
      <c r="AC7666" s="22">
        <f t="shared" si="239"/>
        <v>0.68700000000000006</v>
      </c>
    </row>
    <row r="7667" spans="1:29" ht="25.5">
      <c r="A7667" s="8" t="s">
        <v>15361</v>
      </c>
      <c r="B7667" s="17" t="s">
        <v>7755</v>
      </c>
      <c r="C7667" s="13">
        <v>36831</v>
      </c>
      <c r="D7667" s="13" t="s">
        <v>8465</v>
      </c>
      <c r="E7667" s="10" t="s">
        <v>1480</v>
      </c>
      <c r="F7667" s="10" t="s">
        <v>15362</v>
      </c>
      <c r="G7667" s="11" t="s">
        <v>15363</v>
      </c>
      <c r="H7667" s="2" t="s">
        <v>1050</v>
      </c>
      <c r="L7667" s="18">
        <v>0</v>
      </c>
      <c r="Q7667" s="18">
        <v>0</v>
      </c>
      <c r="U7667" s="22">
        <v>0.59</v>
      </c>
      <c r="V7667" s="22">
        <f>2.77/5</f>
        <v>0.55400000000000005</v>
      </c>
      <c r="X7667" s="3">
        <v>2</v>
      </c>
      <c r="Z7667" s="23">
        <v>8</v>
      </c>
      <c r="AB7667" s="18">
        <f t="shared" si="238"/>
        <v>2000</v>
      </c>
      <c r="AC7667" s="22">
        <f t="shared" si="239"/>
        <v>0.51466666666666672</v>
      </c>
    </row>
    <row r="7668" spans="1:29">
      <c r="A7668" s="8" t="s">
        <v>2930</v>
      </c>
      <c r="B7668" s="17" t="s">
        <v>7757</v>
      </c>
      <c r="C7668" s="13">
        <v>36830</v>
      </c>
      <c r="D7668" s="13" t="s">
        <v>8465</v>
      </c>
      <c r="E7668" s="10" t="s">
        <v>3014</v>
      </c>
      <c r="F7668" s="10" t="s">
        <v>3019</v>
      </c>
      <c r="H7668" s="2" t="s">
        <v>149</v>
      </c>
      <c r="L7668" s="18">
        <v>0</v>
      </c>
      <c r="Q7668" s="18">
        <v>0</v>
      </c>
      <c r="U7668" s="22">
        <v>0.46</v>
      </c>
      <c r="V7668" s="22">
        <f>3.2/5</f>
        <v>0.64</v>
      </c>
      <c r="X7668" s="3">
        <v>3</v>
      </c>
      <c r="Z7668" s="23">
        <v>13.5</v>
      </c>
      <c r="AB7668" s="18">
        <f t="shared" si="238"/>
        <v>2000</v>
      </c>
      <c r="AC7668" s="22">
        <f t="shared" si="239"/>
        <v>0.56666666666666676</v>
      </c>
    </row>
    <row r="7669" spans="1:29">
      <c r="A7669" s="8" t="s">
        <v>2757</v>
      </c>
      <c r="B7669" s="17" t="s">
        <v>7755</v>
      </c>
      <c r="C7669" s="13">
        <v>36829</v>
      </c>
      <c r="D7669" s="13" t="s">
        <v>8465</v>
      </c>
      <c r="E7669" s="10" t="s">
        <v>455</v>
      </c>
      <c r="F7669" s="10" t="s">
        <v>2772</v>
      </c>
      <c r="G7669" s="11" t="s">
        <v>2757</v>
      </c>
      <c r="H7669" s="2" t="s">
        <v>143</v>
      </c>
      <c r="L7669" s="18">
        <v>0</v>
      </c>
      <c r="Q7669" s="18">
        <v>0</v>
      </c>
      <c r="U7669" s="22">
        <v>0.92</v>
      </c>
      <c r="V7669" s="22">
        <f>4.16/5</f>
        <v>0.83200000000000007</v>
      </c>
      <c r="X7669" s="3">
        <v>4</v>
      </c>
      <c r="Z7669" s="23">
        <v>7</v>
      </c>
      <c r="AB7669" s="18">
        <f t="shared" si="238"/>
        <v>2000</v>
      </c>
      <c r="AC7669" s="22">
        <f t="shared" si="239"/>
        <v>0.85066666666666679</v>
      </c>
    </row>
    <row r="7670" spans="1:29">
      <c r="A7670" s="8" t="s">
        <v>6021</v>
      </c>
      <c r="B7670" s="17" t="s">
        <v>7758</v>
      </c>
      <c r="C7670" s="13">
        <v>36829</v>
      </c>
      <c r="D7670" s="13" t="s">
        <v>8465</v>
      </c>
      <c r="E7670" s="10" t="s">
        <v>6732</v>
      </c>
      <c r="F7670" s="10" t="s">
        <v>6023</v>
      </c>
      <c r="G7670" s="11" t="s">
        <v>6021</v>
      </c>
      <c r="H7670" s="2" t="s">
        <v>255</v>
      </c>
      <c r="L7670" s="18">
        <v>0</v>
      </c>
      <c r="Q7670" s="18">
        <v>0</v>
      </c>
      <c r="U7670" s="22">
        <v>0.92</v>
      </c>
      <c r="V7670" s="22">
        <f>3.73/5</f>
        <v>0.746</v>
      </c>
      <c r="X7670" s="3">
        <v>4</v>
      </c>
      <c r="Z7670" s="23">
        <v>12.5</v>
      </c>
      <c r="AB7670" s="18">
        <f t="shared" si="238"/>
        <v>2000</v>
      </c>
      <c r="AC7670" s="22">
        <f t="shared" si="239"/>
        <v>0.82200000000000006</v>
      </c>
    </row>
    <row r="7671" spans="1:29" ht="25.5">
      <c r="A7671" s="8" t="s">
        <v>7696</v>
      </c>
      <c r="B7671" s="17" t="s">
        <v>7746</v>
      </c>
      <c r="C7671" s="13">
        <v>36829</v>
      </c>
      <c r="D7671" s="13" t="s">
        <v>8465</v>
      </c>
      <c r="E7671" s="10" t="s">
        <v>76</v>
      </c>
      <c r="F7671" s="10" t="s">
        <v>76</v>
      </c>
      <c r="G7671" s="11" t="s">
        <v>7681</v>
      </c>
      <c r="H7671" s="2" t="s">
        <v>78</v>
      </c>
      <c r="L7671" s="18">
        <v>0</v>
      </c>
      <c r="Q7671" s="18">
        <v>0</v>
      </c>
      <c r="U7671" s="22">
        <v>0.69</v>
      </c>
      <c r="V7671" s="22">
        <f>3.16/5</f>
        <v>0.63200000000000001</v>
      </c>
      <c r="X7671" s="3">
        <v>2</v>
      </c>
      <c r="AB7671" s="18">
        <f t="shared" si="238"/>
        <v>2000</v>
      </c>
      <c r="AC7671" s="22">
        <f t="shared" si="239"/>
        <v>0.57399999999999995</v>
      </c>
    </row>
    <row r="7672" spans="1:29" ht="38.25">
      <c r="A7672" s="8" t="s">
        <v>7844</v>
      </c>
      <c r="B7672" s="17" t="s">
        <v>7757</v>
      </c>
      <c r="C7672" s="13">
        <v>36825</v>
      </c>
      <c r="D7672" s="13" t="s">
        <v>8463</v>
      </c>
      <c r="E7672" s="10" t="s">
        <v>157</v>
      </c>
      <c r="F7672" s="10" t="s">
        <v>66</v>
      </c>
      <c r="G7672" s="11" t="s">
        <v>7845</v>
      </c>
      <c r="H7672" s="2" t="s">
        <v>153</v>
      </c>
      <c r="K7672" s="18">
        <v>0</v>
      </c>
      <c r="L7672" s="18">
        <v>0</v>
      </c>
      <c r="Q7672" s="18">
        <v>0</v>
      </c>
      <c r="U7672" s="22">
        <v>1</v>
      </c>
      <c r="V7672" s="22">
        <f>4.02/5</f>
        <v>0.80399999999999994</v>
      </c>
      <c r="X7672" s="3">
        <v>3</v>
      </c>
      <c r="Z7672" s="23">
        <v>6</v>
      </c>
      <c r="AB7672" s="18">
        <f t="shared" si="238"/>
        <v>2000</v>
      </c>
      <c r="AC7672" s="22">
        <f t="shared" si="239"/>
        <v>0.80133333333333334</v>
      </c>
    </row>
    <row r="7673" spans="1:29" ht="25.5">
      <c r="A7673" s="8" t="s">
        <v>8084</v>
      </c>
      <c r="B7673" s="17" t="s">
        <v>7758</v>
      </c>
      <c r="C7673" s="13">
        <v>36825</v>
      </c>
      <c r="D7673" s="13" t="s">
        <v>8465</v>
      </c>
      <c r="E7673" s="10" t="s">
        <v>158</v>
      </c>
      <c r="F7673" s="10" t="s">
        <v>158</v>
      </c>
      <c r="G7673" s="11" t="s">
        <v>8076</v>
      </c>
      <c r="H7673" s="2" t="s">
        <v>459</v>
      </c>
      <c r="L7673" s="18">
        <v>0</v>
      </c>
      <c r="Q7673" s="18">
        <v>0</v>
      </c>
      <c r="U7673" s="22">
        <v>0.85750000000000004</v>
      </c>
      <c r="V7673" s="22">
        <f>4.05/5</f>
        <v>0.80999999999999994</v>
      </c>
      <c r="X7673" s="3">
        <v>3</v>
      </c>
      <c r="Z7673" s="23">
        <v>2</v>
      </c>
      <c r="AB7673" s="18">
        <f t="shared" si="238"/>
        <v>2000</v>
      </c>
      <c r="AC7673" s="22">
        <f t="shared" si="239"/>
        <v>0.75583333333333336</v>
      </c>
    </row>
    <row r="7674" spans="1:29">
      <c r="A7674" s="8" t="s">
        <v>7659</v>
      </c>
      <c r="B7674" s="17" t="s">
        <v>7758</v>
      </c>
      <c r="C7674" s="13">
        <v>36825</v>
      </c>
      <c r="D7674" s="13" t="s">
        <v>8465</v>
      </c>
      <c r="E7674" s="10" t="s">
        <v>3017</v>
      </c>
      <c r="F7674" s="10" t="s">
        <v>1580</v>
      </c>
      <c r="G7674" s="11" t="s">
        <v>5915</v>
      </c>
      <c r="H7674" s="2" t="s">
        <v>1168</v>
      </c>
      <c r="L7674" s="18">
        <v>0</v>
      </c>
      <c r="Q7674" s="18">
        <v>0</v>
      </c>
      <c r="U7674" s="22">
        <v>0.75</v>
      </c>
      <c r="V7674" s="22">
        <f>3.7/5</f>
        <v>0.74</v>
      </c>
      <c r="X7674" s="3">
        <v>3</v>
      </c>
      <c r="Z7674" s="23">
        <v>10.5</v>
      </c>
      <c r="AB7674" s="18">
        <f t="shared" si="238"/>
        <v>2000</v>
      </c>
      <c r="AC7674" s="22">
        <f t="shared" si="239"/>
        <v>0.69666666666666666</v>
      </c>
    </row>
    <row r="7675" spans="1:29">
      <c r="A7675" s="8" t="s">
        <v>9677</v>
      </c>
      <c r="B7675" s="17" t="s">
        <v>7758</v>
      </c>
      <c r="C7675" s="13">
        <v>36825</v>
      </c>
      <c r="D7675" s="13" t="s">
        <v>8465</v>
      </c>
      <c r="E7675" s="10" t="s">
        <v>231</v>
      </c>
      <c r="F7675" s="10" t="s">
        <v>68</v>
      </c>
      <c r="G7675" s="11" t="s">
        <v>9677</v>
      </c>
      <c r="H7675" s="2" t="s">
        <v>3279</v>
      </c>
      <c r="L7675" s="18">
        <v>0</v>
      </c>
      <c r="Q7675" s="18">
        <v>0</v>
      </c>
      <c r="U7675" s="22">
        <v>0.75</v>
      </c>
      <c r="V7675" s="22">
        <f>3.5/5</f>
        <v>0.7</v>
      </c>
      <c r="X7675" s="3">
        <v>3</v>
      </c>
      <c r="Z7675" s="23">
        <v>12.5</v>
      </c>
      <c r="AB7675" s="18">
        <f t="shared" si="238"/>
        <v>2000</v>
      </c>
      <c r="AC7675" s="22">
        <f t="shared" si="239"/>
        <v>0.68333333333333324</v>
      </c>
    </row>
    <row r="7676" spans="1:29" ht="25.5">
      <c r="A7676" s="8" t="s">
        <v>8196</v>
      </c>
      <c r="B7676" s="17" t="s">
        <v>7758</v>
      </c>
      <c r="C7676" s="13">
        <v>36825</v>
      </c>
      <c r="D7676" s="13" t="s">
        <v>8465</v>
      </c>
      <c r="E7676" s="10" t="s">
        <v>1618</v>
      </c>
      <c r="F7676" s="10" t="s">
        <v>8197</v>
      </c>
      <c r="G7676" s="11" t="s">
        <v>8198</v>
      </c>
      <c r="H7676" s="2" t="s">
        <v>150</v>
      </c>
      <c r="L7676" s="18">
        <v>0</v>
      </c>
      <c r="Q7676" s="18">
        <v>0</v>
      </c>
      <c r="U7676" s="22">
        <v>0.76990000000000003</v>
      </c>
      <c r="V7676" s="22">
        <f>3.33/5</f>
        <v>0.66600000000000004</v>
      </c>
      <c r="X7676" s="3">
        <v>3</v>
      </c>
      <c r="Z7676" s="23">
        <v>8.5</v>
      </c>
      <c r="AB7676" s="18">
        <f t="shared" si="238"/>
        <v>2000</v>
      </c>
      <c r="AC7676" s="22">
        <f t="shared" si="239"/>
        <v>0.67863333333333342</v>
      </c>
    </row>
    <row r="7677" spans="1:29">
      <c r="A7677" s="8" t="s">
        <v>7657</v>
      </c>
      <c r="B7677" s="17" t="s">
        <v>7758</v>
      </c>
      <c r="C7677" s="13">
        <v>36825</v>
      </c>
      <c r="D7677" s="13" t="s">
        <v>8465</v>
      </c>
      <c r="E7677" s="10" t="s">
        <v>3017</v>
      </c>
      <c r="F7677" s="10" t="s">
        <v>1580</v>
      </c>
      <c r="H7677" s="2" t="s">
        <v>171</v>
      </c>
      <c r="L7677" s="18">
        <v>0</v>
      </c>
      <c r="Q7677" s="18">
        <v>0</v>
      </c>
      <c r="U7677" s="22">
        <v>0.56000000000000005</v>
      </c>
      <c r="V7677" s="22">
        <f>3.13/5</f>
        <v>0.626</v>
      </c>
      <c r="X7677" s="3">
        <v>3</v>
      </c>
      <c r="Z7677" s="23">
        <v>11.5</v>
      </c>
      <c r="AB7677" s="18">
        <f t="shared" si="238"/>
        <v>2000</v>
      </c>
      <c r="AC7677" s="22">
        <f t="shared" si="239"/>
        <v>0.59533333333333338</v>
      </c>
    </row>
    <row r="7678" spans="1:29">
      <c r="A7678" s="8" t="s">
        <v>7658</v>
      </c>
      <c r="B7678" s="17" t="s">
        <v>7758</v>
      </c>
      <c r="C7678" s="13">
        <v>36825</v>
      </c>
      <c r="D7678" s="13" t="s">
        <v>8465</v>
      </c>
      <c r="E7678" s="10" t="s">
        <v>3017</v>
      </c>
      <c r="F7678" s="10" t="s">
        <v>1580</v>
      </c>
      <c r="G7678" s="11" t="s">
        <v>7658</v>
      </c>
      <c r="H7678" s="2" t="s">
        <v>171</v>
      </c>
      <c r="L7678" s="18">
        <v>0</v>
      </c>
      <c r="Q7678" s="18">
        <v>0</v>
      </c>
      <c r="U7678" s="22">
        <v>0.51</v>
      </c>
      <c r="V7678" s="22">
        <f>2.91/5</f>
        <v>0.58200000000000007</v>
      </c>
      <c r="X7678" s="3">
        <v>3</v>
      </c>
      <c r="Z7678" s="23">
        <v>10.5</v>
      </c>
      <c r="AB7678" s="18">
        <f t="shared" si="238"/>
        <v>2000</v>
      </c>
      <c r="AC7678" s="22">
        <f t="shared" si="239"/>
        <v>0.56400000000000006</v>
      </c>
    </row>
    <row r="7679" spans="1:29">
      <c r="A7679" s="8" t="s">
        <v>7936</v>
      </c>
      <c r="B7679" s="17" t="s">
        <v>7758</v>
      </c>
      <c r="C7679" s="13">
        <v>36825</v>
      </c>
      <c r="D7679" s="13" t="s">
        <v>8465</v>
      </c>
      <c r="E7679" s="10" t="s">
        <v>68</v>
      </c>
      <c r="F7679" s="10" t="s">
        <v>1471</v>
      </c>
      <c r="G7679" s="11" t="s">
        <v>7935</v>
      </c>
      <c r="H7679" s="2" t="s">
        <v>1059</v>
      </c>
      <c r="L7679" s="18">
        <v>0</v>
      </c>
      <c r="Q7679" s="18">
        <v>0</v>
      </c>
      <c r="U7679" s="22">
        <v>0.71879999999999999</v>
      </c>
      <c r="V7679" s="22">
        <f>3.55/5</f>
        <v>0.71</v>
      </c>
      <c r="X7679" s="3">
        <v>2</v>
      </c>
      <c r="Z7679" s="23">
        <v>7.5</v>
      </c>
      <c r="AB7679" s="18">
        <f t="shared" si="238"/>
        <v>2000</v>
      </c>
      <c r="AC7679" s="22">
        <f t="shared" si="239"/>
        <v>0.60959999999999992</v>
      </c>
    </row>
    <row r="7680" spans="1:29" ht="30">
      <c r="A7680" s="8" t="s">
        <v>11721</v>
      </c>
      <c r="B7680" s="17" t="s">
        <v>7758</v>
      </c>
      <c r="C7680" s="13">
        <v>36825</v>
      </c>
      <c r="D7680" s="13" t="s">
        <v>8465</v>
      </c>
      <c r="E7680" s="10" t="s">
        <v>2908</v>
      </c>
      <c r="F7680" s="10" t="s">
        <v>2908</v>
      </c>
      <c r="H7680" s="2" t="s">
        <v>78</v>
      </c>
      <c r="L7680" s="18">
        <v>0</v>
      </c>
      <c r="Q7680" s="18">
        <v>0</v>
      </c>
      <c r="U7680" s="22">
        <v>0.72</v>
      </c>
      <c r="V7680" s="22">
        <f>3.1/5</f>
        <v>0.62</v>
      </c>
      <c r="X7680" s="3">
        <v>2</v>
      </c>
      <c r="Z7680" s="23">
        <v>2.5</v>
      </c>
      <c r="AB7680" s="18">
        <f t="shared" si="238"/>
        <v>2000</v>
      </c>
      <c r="AC7680" s="22">
        <f t="shared" si="239"/>
        <v>0.57999999999999996</v>
      </c>
    </row>
    <row r="7681" spans="1:29">
      <c r="A7681" s="8" t="s">
        <v>14906</v>
      </c>
      <c r="B7681" s="17" t="s">
        <v>7758</v>
      </c>
      <c r="C7681" s="13">
        <v>36825</v>
      </c>
      <c r="D7681" s="13" t="s">
        <v>8465</v>
      </c>
      <c r="E7681" s="10" t="s">
        <v>72</v>
      </c>
      <c r="F7681" s="10" t="s">
        <v>72</v>
      </c>
      <c r="G7681" s="11" t="s">
        <v>14906</v>
      </c>
      <c r="H7681" s="2" t="s">
        <v>1170</v>
      </c>
      <c r="L7681" s="18">
        <v>0</v>
      </c>
      <c r="Q7681" s="18">
        <v>0</v>
      </c>
      <c r="U7681" s="22">
        <v>0.63</v>
      </c>
      <c r="V7681" s="22">
        <f>3.15/5</f>
        <v>0.63</v>
      </c>
      <c r="X7681" s="3">
        <v>2</v>
      </c>
      <c r="Z7681" s="23">
        <f>19/60</f>
        <v>0.31666666666666665</v>
      </c>
      <c r="AB7681" s="18">
        <f t="shared" ref="AB7681:AB7744" si="240">IFERROR(YEAR(C7681), "Early Access")</f>
        <v>2000</v>
      </c>
      <c r="AC7681" s="22">
        <f t="shared" ref="AC7681:AC7744" si="241">AVERAGE(T7681, U7681, V7681, IF(ISBLANK(X7681), X7681, X7681/5))</f>
        <v>0.55333333333333334</v>
      </c>
    </row>
    <row r="7682" spans="1:29">
      <c r="A7682" s="8" t="s">
        <v>14718</v>
      </c>
      <c r="B7682" s="17" t="s">
        <v>7758</v>
      </c>
      <c r="C7682" s="13">
        <v>36825</v>
      </c>
      <c r="D7682" s="13" t="s">
        <v>8465</v>
      </c>
      <c r="E7682" s="10" t="s">
        <v>231</v>
      </c>
      <c r="F7682" s="10" t="s">
        <v>14719</v>
      </c>
      <c r="H7682" s="2" t="s">
        <v>1168</v>
      </c>
      <c r="L7682" s="18">
        <v>0</v>
      </c>
      <c r="Q7682" s="18">
        <v>0</v>
      </c>
      <c r="U7682" s="22">
        <v>0.64</v>
      </c>
      <c r="V7682" s="22">
        <f>2.85/5</f>
        <v>0.57000000000000006</v>
      </c>
      <c r="X7682" s="3">
        <v>2</v>
      </c>
      <c r="Z7682" s="23">
        <v>6</v>
      </c>
      <c r="AB7682" s="18">
        <f t="shared" si="240"/>
        <v>2000</v>
      </c>
      <c r="AC7682" s="22">
        <f t="shared" si="241"/>
        <v>0.53666666666666663</v>
      </c>
    </row>
    <row r="7683" spans="1:29" ht="25.5">
      <c r="A7683" s="8" t="s">
        <v>8053</v>
      </c>
      <c r="B7683" s="17" t="s">
        <v>7758</v>
      </c>
      <c r="C7683" s="13">
        <v>36825</v>
      </c>
      <c r="D7683" s="13" t="s">
        <v>8465</v>
      </c>
      <c r="E7683" s="10" t="s">
        <v>1273</v>
      </c>
      <c r="F7683" s="10" t="s">
        <v>1085</v>
      </c>
      <c r="H7683" s="2" t="s">
        <v>171</v>
      </c>
      <c r="L7683" s="18">
        <v>0</v>
      </c>
      <c r="Q7683" s="18">
        <v>0</v>
      </c>
      <c r="U7683" s="22">
        <v>0.55730000000000002</v>
      </c>
      <c r="V7683" s="22">
        <f>2.92/5</f>
        <v>0.58399999999999996</v>
      </c>
      <c r="X7683" s="3">
        <v>2</v>
      </c>
      <c r="Z7683" s="23">
        <v>5</v>
      </c>
      <c r="AB7683" s="18">
        <f t="shared" si="240"/>
        <v>2000</v>
      </c>
      <c r="AC7683" s="22">
        <f t="shared" si="241"/>
        <v>0.5137666666666667</v>
      </c>
    </row>
    <row r="7684" spans="1:29">
      <c r="A7684" s="8" t="s">
        <v>5889</v>
      </c>
      <c r="B7684" s="17" t="s">
        <v>7758</v>
      </c>
      <c r="C7684" s="13">
        <v>36825</v>
      </c>
      <c r="D7684" s="13" t="s">
        <v>8465</v>
      </c>
      <c r="E7684" s="10" t="s">
        <v>1870</v>
      </c>
      <c r="F7684" s="10" t="s">
        <v>5888</v>
      </c>
      <c r="G7684" s="11" t="s">
        <v>5889</v>
      </c>
      <c r="H7684" s="2" t="s">
        <v>1050</v>
      </c>
      <c r="L7684" s="18">
        <v>0</v>
      </c>
      <c r="Q7684" s="18">
        <v>0</v>
      </c>
      <c r="U7684" s="22">
        <v>0.84</v>
      </c>
      <c r="V7684" s="22">
        <f>3.61/5</f>
        <v>0.72199999999999998</v>
      </c>
      <c r="X7684" s="3">
        <v>4</v>
      </c>
      <c r="Z7684" s="23">
        <v>1.5</v>
      </c>
      <c r="AB7684" s="18">
        <f t="shared" si="240"/>
        <v>2000</v>
      </c>
      <c r="AC7684" s="22">
        <f t="shared" si="241"/>
        <v>0.78733333333333333</v>
      </c>
    </row>
    <row r="7685" spans="1:29">
      <c r="A7685" s="8" t="s">
        <v>15488</v>
      </c>
      <c r="B7685" s="17" t="s">
        <v>7758</v>
      </c>
      <c r="C7685" s="13">
        <v>36825</v>
      </c>
      <c r="D7685" s="13" t="s">
        <v>8465</v>
      </c>
      <c r="E7685" s="10" t="s">
        <v>73</v>
      </c>
      <c r="F7685" s="10" t="s">
        <v>1046</v>
      </c>
      <c r="G7685" s="11" t="s">
        <v>227</v>
      </c>
      <c r="H7685" s="2" t="s">
        <v>459</v>
      </c>
      <c r="L7685" s="18">
        <v>0</v>
      </c>
      <c r="Q7685" s="18">
        <v>0</v>
      </c>
      <c r="U7685" s="22">
        <v>0.64</v>
      </c>
      <c r="V7685" s="22">
        <f>3.43/5</f>
        <v>0.68600000000000005</v>
      </c>
      <c r="X7685" s="3">
        <v>2</v>
      </c>
      <c r="Z7685" s="23">
        <f>38/60</f>
        <v>0.6333333333333333</v>
      </c>
      <c r="AB7685" s="18">
        <f t="shared" si="240"/>
        <v>2000</v>
      </c>
      <c r="AC7685" s="22">
        <f t="shared" si="241"/>
        <v>0.57533333333333336</v>
      </c>
    </row>
    <row r="7686" spans="1:29">
      <c r="A7686" s="8" t="s">
        <v>8042</v>
      </c>
      <c r="B7686" s="17" t="s">
        <v>7758</v>
      </c>
      <c r="C7686" s="13">
        <v>36824</v>
      </c>
      <c r="D7686" s="13" t="s">
        <v>8465</v>
      </c>
      <c r="E7686" s="10" t="s">
        <v>158</v>
      </c>
      <c r="F7686" s="10" t="s">
        <v>158</v>
      </c>
      <c r="G7686" s="11" t="s">
        <v>8037</v>
      </c>
      <c r="H7686" s="2" t="s">
        <v>150</v>
      </c>
      <c r="L7686" s="18">
        <v>0</v>
      </c>
      <c r="Q7686" s="18">
        <v>0</v>
      </c>
      <c r="U7686" s="22">
        <v>0.80030000000000001</v>
      </c>
      <c r="V7686" s="22">
        <f>3.71/5</f>
        <v>0.74199999999999999</v>
      </c>
      <c r="X7686" s="3">
        <v>3</v>
      </c>
      <c r="Z7686" s="23">
        <v>5.5</v>
      </c>
      <c r="AB7686" s="18">
        <f t="shared" si="240"/>
        <v>2000</v>
      </c>
      <c r="AC7686" s="22">
        <f t="shared" si="241"/>
        <v>0.71410000000000007</v>
      </c>
    </row>
    <row r="7687" spans="1:29" ht="25.5">
      <c r="A7687" s="8" t="s">
        <v>2949</v>
      </c>
      <c r="B7687" s="17" t="s">
        <v>7757</v>
      </c>
      <c r="C7687" s="13">
        <v>36824</v>
      </c>
      <c r="D7687" s="13" t="s">
        <v>8465</v>
      </c>
      <c r="E7687" s="10" t="s">
        <v>2701</v>
      </c>
      <c r="F7687" s="10" t="s">
        <v>54</v>
      </c>
      <c r="G7687" s="11" t="s">
        <v>556</v>
      </c>
      <c r="H7687" s="2" t="s">
        <v>21</v>
      </c>
      <c r="L7687" s="18">
        <v>0</v>
      </c>
      <c r="Q7687" s="18">
        <v>0</v>
      </c>
      <c r="U7687" s="22">
        <v>0.56000000000000005</v>
      </c>
      <c r="V7687" s="22">
        <f>2.84/5</f>
        <v>0.56799999999999995</v>
      </c>
      <c r="X7687" s="3">
        <v>3</v>
      </c>
      <c r="Z7687" s="23">
        <f>29/60</f>
        <v>0.48333333333333334</v>
      </c>
      <c r="AB7687" s="18">
        <f t="shared" si="240"/>
        <v>2000</v>
      </c>
      <c r="AC7687" s="22">
        <f t="shared" si="241"/>
        <v>0.57600000000000007</v>
      </c>
    </row>
    <row r="7688" spans="1:29" ht="25.5">
      <c r="A7688" s="8" t="s">
        <v>6695</v>
      </c>
      <c r="B7688" s="17" t="s">
        <v>7757</v>
      </c>
      <c r="C7688" s="13">
        <v>36823</v>
      </c>
      <c r="D7688" s="13" t="s">
        <v>8465</v>
      </c>
      <c r="E7688" s="10" t="s">
        <v>1290</v>
      </c>
      <c r="F7688" s="10" t="s">
        <v>3039</v>
      </c>
      <c r="G7688" s="11" t="s">
        <v>1975</v>
      </c>
      <c r="H7688" s="2" t="s">
        <v>1040</v>
      </c>
      <c r="L7688" s="18">
        <v>0</v>
      </c>
      <c r="Q7688" s="18">
        <v>0</v>
      </c>
      <c r="U7688" s="22">
        <v>0.91</v>
      </c>
      <c r="V7688" s="22">
        <f>4.16/5</f>
        <v>0.83200000000000007</v>
      </c>
      <c r="X7688" s="3">
        <v>4</v>
      </c>
      <c r="Z7688" s="23">
        <v>9</v>
      </c>
      <c r="AB7688" s="18">
        <f t="shared" si="240"/>
        <v>2000</v>
      </c>
      <c r="AC7688" s="22">
        <f t="shared" si="241"/>
        <v>0.84733333333333327</v>
      </c>
    </row>
    <row r="7689" spans="1:29">
      <c r="A7689" s="8" t="s">
        <v>2982</v>
      </c>
      <c r="B7689" s="17" t="s">
        <v>7757</v>
      </c>
      <c r="C7689" s="13">
        <v>36823</v>
      </c>
      <c r="D7689" s="13" t="s">
        <v>8465</v>
      </c>
      <c r="E7689" s="10" t="s">
        <v>73</v>
      </c>
      <c r="F7689" s="10" t="s">
        <v>73</v>
      </c>
      <c r="G7689" s="11" t="s">
        <v>3006</v>
      </c>
      <c r="H7689" s="2" t="s">
        <v>171</v>
      </c>
      <c r="L7689" s="18">
        <v>0</v>
      </c>
      <c r="Q7689" s="18">
        <v>0</v>
      </c>
      <c r="U7689" s="22">
        <v>0.77</v>
      </c>
      <c r="V7689" s="22">
        <f>4.21/5</f>
        <v>0.84199999999999997</v>
      </c>
      <c r="X7689" s="3">
        <v>4</v>
      </c>
      <c r="Z7689" s="23">
        <v>10</v>
      </c>
      <c r="AB7689" s="18">
        <f t="shared" si="240"/>
        <v>2000</v>
      </c>
      <c r="AC7689" s="22">
        <f t="shared" si="241"/>
        <v>0.80399999999999994</v>
      </c>
    </row>
    <row r="7690" spans="1:29" ht="25.5">
      <c r="A7690" s="8" t="s">
        <v>6704</v>
      </c>
      <c r="B7690" s="17" t="s">
        <v>7757</v>
      </c>
      <c r="C7690" s="13">
        <v>36822</v>
      </c>
      <c r="D7690" s="13" t="s">
        <v>8465</v>
      </c>
      <c r="E7690" s="10" t="s">
        <v>231</v>
      </c>
      <c r="F7690" s="10" t="s">
        <v>2669</v>
      </c>
      <c r="G7690" s="11" t="s">
        <v>2944</v>
      </c>
      <c r="H7690" s="2" t="s">
        <v>1050</v>
      </c>
      <c r="L7690" s="18">
        <v>0</v>
      </c>
      <c r="Q7690" s="18">
        <v>0</v>
      </c>
      <c r="U7690" s="22">
        <v>0.87</v>
      </c>
      <c r="V7690" s="22">
        <f>4.02/5</f>
        <v>0.80399999999999994</v>
      </c>
      <c r="X7690" s="3">
        <v>3</v>
      </c>
      <c r="Z7690" s="23">
        <v>12</v>
      </c>
      <c r="AB7690" s="18">
        <f t="shared" si="240"/>
        <v>2000</v>
      </c>
      <c r="AC7690" s="22">
        <f t="shared" si="241"/>
        <v>0.75800000000000001</v>
      </c>
    </row>
    <row r="7691" spans="1:29">
      <c r="A7691" s="8" t="s">
        <v>14887</v>
      </c>
      <c r="B7691" s="17" t="s">
        <v>7757</v>
      </c>
      <c r="C7691" s="13">
        <v>36819</v>
      </c>
      <c r="D7691" s="13" t="s">
        <v>8465</v>
      </c>
      <c r="E7691" s="10" t="s">
        <v>7246</v>
      </c>
      <c r="F7691" s="10" t="s">
        <v>11260</v>
      </c>
      <c r="G7691" s="11" t="s">
        <v>442</v>
      </c>
      <c r="H7691" s="2" t="s">
        <v>1050</v>
      </c>
      <c r="L7691" s="18">
        <v>0</v>
      </c>
      <c r="Q7691" s="18">
        <v>0</v>
      </c>
      <c r="U7691" s="22">
        <v>0.61</v>
      </c>
      <c r="V7691" s="22">
        <f>3.51/5</f>
        <v>0.70199999999999996</v>
      </c>
      <c r="X7691" s="3">
        <v>3</v>
      </c>
      <c r="Z7691" s="23">
        <v>6.5</v>
      </c>
      <c r="AB7691" s="18">
        <f t="shared" si="240"/>
        <v>2000</v>
      </c>
      <c r="AC7691" s="22">
        <f t="shared" si="241"/>
        <v>0.63733333333333331</v>
      </c>
    </row>
    <row r="7692" spans="1:29" ht="25.5">
      <c r="A7692" s="8" t="s">
        <v>2749</v>
      </c>
      <c r="B7692" s="17" t="s">
        <v>7755</v>
      </c>
      <c r="C7692" s="13">
        <v>36818</v>
      </c>
      <c r="D7692" s="13" t="s">
        <v>8463</v>
      </c>
      <c r="E7692" s="10" t="s">
        <v>455</v>
      </c>
      <c r="F7692" s="10" t="s">
        <v>2768</v>
      </c>
      <c r="H7692" s="2" t="s">
        <v>64</v>
      </c>
      <c r="K7692" s="18">
        <v>2</v>
      </c>
      <c r="L7692" s="18">
        <v>0</v>
      </c>
      <c r="Q7692" s="18">
        <v>0</v>
      </c>
      <c r="V7692" s="22">
        <f>3.76/5</f>
        <v>0.752</v>
      </c>
      <c r="X7692" s="3">
        <v>3</v>
      </c>
      <c r="Z7692" s="23">
        <v>12</v>
      </c>
      <c r="AB7692" s="18">
        <f t="shared" si="240"/>
        <v>2000</v>
      </c>
      <c r="AC7692" s="22">
        <f t="shared" si="241"/>
        <v>0.67599999999999993</v>
      </c>
    </row>
    <row r="7693" spans="1:29" ht="25.5">
      <c r="A7693" s="8" t="s">
        <v>10808</v>
      </c>
      <c r="B7693" s="17" t="s">
        <v>7739</v>
      </c>
      <c r="C7693" s="13">
        <v>36816</v>
      </c>
      <c r="D7693" s="13" t="s">
        <v>8465</v>
      </c>
      <c r="E7693" s="10" t="s">
        <v>5010</v>
      </c>
      <c r="F7693" s="10" t="s">
        <v>241</v>
      </c>
      <c r="G7693" s="11" t="s">
        <v>1482</v>
      </c>
      <c r="H7693" s="2" t="s">
        <v>1050</v>
      </c>
      <c r="L7693" s="18">
        <v>0</v>
      </c>
      <c r="Q7693" s="18">
        <v>0</v>
      </c>
      <c r="U7693" s="22">
        <v>0.81</v>
      </c>
      <c r="V7693" s="22">
        <f>3.53/5</f>
        <v>0.70599999999999996</v>
      </c>
      <c r="X7693" s="3">
        <v>3</v>
      </c>
      <c r="Z7693" s="23">
        <v>5.5</v>
      </c>
      <c r="AB7693" s="18">
        <f t="shared" si="240"/>
        <v>2000</v>
      </c>
      <c r="AC7693" s="22">
        <f t="shared" si="241"/>
        <v>0.70533333333333337</v>
      </c>
    </row>
    <row r="7694" spans="1:29">
      <c r="A7694" s="8" t="s">
        <v>11812</v>
      </c>
      <c r="B7694" s="17" t="s">
        <v>7757</v>
      </c>
      <c r="C7694" s="13">
        <v>36815</v>
      </c>
      <c r="D7694" s="13" t="s">
        <v>8465</v>
      </c>
      <c r="E7694" s="10" t="s">
        <v>158</v>
      </c>
      <c r="F7694" s="10" t="s">
        <v>158</v>
      </c>
      <c r="H7694" s="2" t="s">
        <v>171</v>
      </c>
      <c r="L7694" s="18">
        <v>0</v>
      </c>
      <c r="Q7694" s="18">
        <v>0</v>
      </c>
      <c r="U7694" s="22">
        <v>0.56999999999999995</v>
      </c>
      <c r="V7694" s="22">
        <f>3.72/5</f>
        <v>0.74399999999999999</v>
      </c>
      <c r="X7694" s="3">
        <v>2</v>
      </c>
      <c r="Z7694" s="23">
        <v>7</v>
      </c>
      <c r="AB7694" s="18">
        <f t="shared" si="240"/>
        <v>2000</v>
      </c>
      <c r="AC7694" s="22">
        <f t="shared" si="241"/>
        <v>0.57133333333333336</v>
      </c>
    </row>
    <row r="7695" spans="1:29" ht="25.5">
      <c r="A7695" s="8" t="s">
        <v>7929</v>
      </c>
      <c r="B7695" s="17" t="s">
        <v>7757</v>
      </c>
      <c r="C7695" s="13">
        <v>36815</v>
      </c>
      <c r="D7695" s="13" t="s">
        <v>8465</v>
      </c>
      <c r="E7695" s="10" t="s">
        <v>1480</v>
      </c>
      <c r="F7695" s="10" t="s">
        <v>2454</v>
      </c>
      <c r="G7695" s="11" t="s">
        <v>3723</v>
      </c>
      <c r="H7695" s="2" t="s">
        <v>1168</v>
      </c>
      <c r="L7695" s="18">
        <v>0</v>
      </c>
      <c r="Q7695" s="18">
        <v>0</v>
      </c>
      <c r="U7695" s="22">
        <v>0.59570000000000001</v>
      </c>
      <c r="V7695" s="22">
        <f>3.14/5</f>
        <v>0.628</v>
      </c>
      <c r="X7695" s="3">
        <v>2</v>
      </c>
      <c r="Z7695" s="23">
        <v>6</v>
      </c>
      <c r="AB7695" s="18">
        <f t="shared" si="240"/>
        <v>2000</v>
      </c>
      <c r="AC7695" s="22">
        <f t="shared" si="241"/>
        <v>0.54123333333333334</v>
      </c>
    </row>
    <row r="7696" spans="1:29">
      <c r="A7696" s="8" t="s">
        <v>1884</v>
      </c>
      <c r="B7696" s="17" t="s">
        <v>7746</v>
      </c>
      <c r="C7696" s="13">
        <v>36813</v>
      </c>
      <c r="D7696" s="13" t="s">
        <v>8465</v>
      </c>
      <c r="E7696" s="10" t="s">
        <v>86</v>
      </c>
      <c r="F7696" s="10" t="s">
        <v>1354</v>
      </c>
      <c r="G7696" s="11" t="s">
        <v>1470</v>
      </c>
      <c r="H7696" s="2" t="s">
        <v>149</v>
      </c>
      <c r="L7696" s="18">
        <v>0</v>
      </c>
      <c r="Q7696" s="18">
        <v>0</v>
      </c>
      <c r="U7696" s="22">
        <v>0.9</v>
      </c>
      <c r="V7696" s="22">
        <f>4.35/5</f>
        <v>0.86999999999999988</v>
      </c>
      <c r="X7696" s="3">
        <v>3</v>
      </c>
      <c r="Z7696" s="23">
        <v>30.5</v>
      </c>
      <c r="AB7696" s="18">
        <f t="shared" si="240"/>
        <v>2000</v>
      </c>
      <c r="AC7696" s="22">
        <f t="shared" si="241"/>
        <v>0.79</v>
      </c>
    </row>
    <row r="7697" spans="1:29" ht="25.5">
      <c r="A7697" s="8" t="s">
        <v>11925</v>
      </c>
      <c r="B7697" s="17" t="s">
        <v>7755</v>
      </c>
      <c r="C7697" s="13">
        <v>36809</v>
      </c>
      <c r="D7697" s="13" t="s">
        <v>8463</v>
      </c>
      <c r="E7697" s="10" t="s">
        <v>73</v>
      </c>
      <c r="F7697" s="10" t="s">
        <v>73</v>
      </c>
      <c r="G7697" s="11" t="s">
        <v>11926</v>
      </c>
      <c r="H7697" s="2" t="s">
        <v>149</v>
      </c>
      <c r="K7697" s="18">
        <v>0</v>
      </c>
      <c r="L7697" s="18">
        <v>0</v>
      </c>
      <c r="Q7697" s="18">
        <v>0</v>
      </c>
      <c r="V7697" s="22">
        <f>3.74/5</f>
        <v>0.748</v>
      </c>
      <c r="X7697" s="3">
        <v>2</v>
      </c>
      <c r="AB7697" s="18">
        <f t="shared" si="240"/>
        <v>2000</v>
      </c>
      <c r="AC7697" s="22">
        <f t="shared" si="241"/>
        <v>0.57400000000000007</v>
      </c>
    </row>
    <row r="7698" spans="1:29" ht="30">
      <c r="A7698" s="8" t="s">
        <v>570</v>
      </c>
      <c r="B7698" s="17" t="s">
        <v>7733</v>
      </c>
      <c r="C7698" s="13">
        <v>36807</v>
      </c>
      <c r="D7698" s="13" t="s">
        <v>8463</v>
      </c>
      <c r="E7698" s="10" t="s">
        <v>170</v>
      </c>
      <c r="F7698" s="10" t="s">
        <v>1228</v>
      </c>
      <c r="H7698" s="2" t="s">
        <v>78</v>
      </c>
      <c r="K7698" s="18">
        <v>0</v>
      </c>
      <c r="L7698" s="18">
        <v>0</v>
      </c>
      <c r="Q7698" s="18">
        <v>0</v>
      </c>
      <c r="V7698" s="22">
        <f>3.88/5</f>
        <v>0.77600000000000002</v>
      </c>
      <c r="X7698" s="3">
        <v>2</v>
      </c>
      <c r="AB7698" s="18">
        <f t="shared" si="240"/>
        <v>2000</v>
      </c>
      <c r="AC7698" s="22">
        <f t="shared" si="241"/>
        <v>0.58800000000000008</v>
      </c>
    </row>
    <row r="7699" spans="1:29" ht="25.5">
      <c r="A7699" s="8" t="s">
        <v>879</v>
      </c>
      <c r="B7699" s="20" t="s">
        <v>7739</v>
      </c>
      <c r="C7699" s="13">
        <v>36806</v>
      </c>
      <c r="D7699" s="13" t="s">
        <v>8465</v>
      </c>
      <c r="E7699" s="10" t="s">
        <v>228</v>
      </c>
      <c r="F7699" s="10" t="s">
        <v>1230</v>
      </c>
      <c r="G7699" s="11" t="s">
        <v>1231</v>
      </c>
      <c r="H7699" s="2" t="s">
        <v>75</v>
      </c>
      <c r="L7699" s="18">
        <v>0</v>
      </c>
      <c r="Q7699" s="18">
        <v>0</v>
      </c>
      <c r="U7699" s="22">
        <v>0.86</v>
      </c>
      <c r="V7699" s="22">
        <f>4.29/5</f>
        <v>0.85799999999999998</v>
      </c>
      <c r="X7699" s="3">
        <v>4</v>
      </c>
      <c r="Z7699" s="23">
        <v>40</v>
      </c>
      <c r="AB7699" s="18">
        <f t="shared" si="240"/>
        <v>2000</v>
      </c>
      <c r="AC7699" s="22">
        <f t="shared" si="241"/>
        <v>0.83933333333333326</v>
      </c>
    </row>
    <row r="7700" spans="1:29">
      <c r="A7700" s="8" t="s">
        <v>8073</v>
      </c>
      <c r="B7700" s="17" t="s">
        <v>7757</v>
      </c>
      <c r="C7700" s="13">
        <v>36804</v>
      </c>
      <c r="D7700" s="13" t="s">
        <v>8463</v>
      </c>
      <c r="E7700" s="10" t="s">
        <v>1268</v>
      </c>
      <c r="F7700" s="10" t="s">
        <v>8074</v>
      </c>
      <c r="G7700" s="11" t="s">
        <v>8075</v>
      </c>
      <c r="H7700" s="2" t="s">
        <v>459</v>
      </c>
      <c r="K7700" s="18">
        <v>0</v>
      </c>
      <c r="L7700" s="18">
        <v>0</v>
      </c>
      <c r="Q7700" s="18">
        <v>0</v>
      </c>
      <c r="V7700" s="22">
        <f>3.31/5</f>
        <v>0.66200000000000003</v>
      </c>
      <c r="X7700" s="3">
        <v>2</v>
      </c>
      <c r="AB7700" s="18">
        <f t="shared" si="240"/>
        <v>2000</v>
      </c>
      <c r="AC7700" s="22">
        <f t="shared" si="241"/>
        <v>0.53100000000000003</v>
      </c>
    </row>
    <row r="7701" spans="1:29">
      <c r="A7701" s="8" t="s">
        <v>1842</v>
      </c>
      <c r="B7701" s="17" t="s">
        <v>7746</v>
      </c>
      <c r="C7701" s="13">
        <v>36803</v>
      </c>
      <c r="D7701" s="13" t="s">
        <v>8465</v>
      </c>
      <c r="E7701" s="10" t="s">
        <v>1532</v>
      </c>
      <c r="F7701" s="10" t="s">
        <v>1865</v>
      </c>
      <c r="G7701" s="11" t="s">
        <v>1842</v>
      </c>
      <c r="H7701" s="2" t="s">
        <v>64</v>
      </c>
      <c r="L7701" s="18">
        <v>0</v>
      </c>
      <c r="Q7701" s="18">
        <v>0</v>
      </c>
      <c r="U7701" s="22">
        <v>0.74</v>
      </c>
      <c r="V7701" s="22">
        <f>2.77/5</f>
        <v>0.55400000000000005</v>
      </c>
      <c r="X7701" s="3">
        <v>3</v>
      </c>
      <c r="Z7701" s="23">
        <v>3.5</v>
      </c>
      <c r="AB7701" s="18">
        <f t="shared" si="240"/>
        <v>2000</v>
      </c>
      <c r="AC7701" s="22">
        <f t="shared" si="241"/>
        <v>0.63133333333333341</v>
      </c>
    </row>
    <row r="7702" spans="1:29">
      <c r="A7702" s="8" t="s">
        <v>14995</v>
      </c>
      <c r="B7702" s="17" t="s">
        <v>7800</v>
      </c>
      <c r="C7702" s="13">
        <v>36803</v>
      </c>
      <c r="D7702" s="13" t="s">
        <v>8465</v>
      </c>
      <c r="E7702" s="10" t="s">
        <v>14992</v>
      </c>
      <c r="F7702" s="10" t="s">
        <v>14996</v>
      </c>
      <c r="G7702" s="11" t="s">
        <v>4305</v>
      </c>
      <c r="H7702" s="2" t="s">
        <v>31</v>
      </c>
      <c r="L7702" s="18">
        <v>0</v>
      </c>
      <c r="Q7702" s="18">
        <v>0</v>
      </c>
      <c r="V7702" s="22">
        <f>3.52/5</f>
        <v>0.70399999999999996</v>
      </c>
      <c r="X7702" s="3">
        <v>2</v>
      </c>
      <c r="Z7702" s="23">
        <v>4.5</v>
      </c>
      <c r="AB7702" s="18">
        <f t="shared" si="240"/>
        <v>2000</v>
      </c>
      <c r="AC7702" s="22">
        <f t="shared" si="241"/>
        <v>0.55200000000000005</v>
      </c>
    </row>
    <row r="7703" spans="1:29" ht="25.5">
      <c r="A7703" s="8" t="s">
        <v>15803</v>
      </c>
      <c r="B7703" s="17" t="s">
        <v>7755</v>
      </c>
      <c r="C7703" s="13">
        <v>36803</v>
      </c>
      <c r="D7703" s="13" t="s">
        <v>8465</v>
      </c>
      <c r="E7703" s="10" t="s">
        <v>1273</v>
      </c>
      <c r="F7703" s="10" t="s">
        <v>1309</v>
      </c>
      <c r="G7703" s="11" t="s">
        <v>15802</v>
      </c>
      <c r="H7703" s="2" t="s">
        <v>1040</v>
      </c>
      <c r="L7703" s="18">
        <v>0</v>
      </c>
      <c r="Q7703" s="18">
        <v>0</v>
      </c>
      <c r="U7703" s="22">
        <v>0.55000000000000004</v>
      </c>
      <c r="V7703" s="22">
        <f>3.48/5</f>
        <v>0.69599999999999995</v>
      </c>
      <c r="X7703" s="3">
        <v>2</v>
      </c>
      <c r="AB7703" s="18">
        <f t="shared" si="240"/>
        <v>2000</v>
      </c>
      <c r="AC7703" s="22">
        <f t="shared" si="241"/>
        <v>0.54866666666666664</v>
      </c>
    </row>
    <row r="7704" spans="1:29" ht="30">
      <c r="A7704" s="8" t="s">
        <v>11066</v>
      </c>
      <c r="B7704" s="17" t="s">
        <v>7746</v>
      </c>
      <c r="C7704" s="13">
        <v>36799</v>
      </c>
      <c r="D7704" s="13" t="s">
        <v>8465</v>
      </c>
      <c r="E7704" s="10" t="s">
        <v>1342</v>
      </c>
      <c r="F7704" s="10" t="s">
        <v>11068</v>
      </c>
      <c r="G7704" s="11" t="s">
        <v>11066</v>
      </c>
      <c r="H7704" s="2" t="s">
        <v>153</v>
      </c>
      <c r="L7704" s="18">
        <v>0</v>
      </c>
      <c r="Q7704" s="18">
        <v>0</v>
      </c>
      <c r="V7704" s="22">
        <f>2.58/5</f>
        <v>0.51600000000000001</v>
      </c>
      <c r="X7704" s="3">
        <v>2</v>
      </c>
      <c r="Z7704" s="23">
        <v>2</v>
      </c>
      <c r="AB7704" s="18">
        <f t="shared" si="240"/>
        <v>2000</v>
      </c>
      <c r="AC7704" s="22">
        <f t="shared" si="241"/>
        <v>0.45800000000000002</v>
      </c>
    </row>
    <row r="7705" spans="1:29">
      <c r="A7705" s="8" t="s">
        <v>3540</v>
      </c>
      <c r="B7705" s="17" t="s">
        <v>7746</v>
      </c>
      <c r="C7705" s="13">
        <v>36798</v>
      </c>
      <c r="D7705" s="13" t="s">
        <v>8467</v>
      </c>
      <c r="E7705" s="10" t="s">
        <v>59</v>
      </c>
      <c r="F7705" s="10" t="s">
        <v>10489</v>
      </c>
      <c r="G7705" s="11" t="s">
        <v>3540</v>
      </c>
      <c r="H7705" s="2" t="s">
        <v>80</v>
      </c>
      <c r="L7705" s="18">
        <v>0</v>
      </c>
      <c r="Q7705" s="18">
        <v>0</v>
      </c>
      <c r="V7705" s="22">
        <f>3.58/5</f>
        <v>0.71599999999999997</v>
      </c>
      <c r="X7705" s="3">
        <v>3</v>
      </c>
      <c r="Z7705" s="23">
        <v>2.5</v>
      </c>
      <c r="AB7705" s="18">
        <f t="shared" si="240"/>
        <v>2000</v>
      </c>
      <c r="AC7705" s="22">
        <f t="shared" si="241"/>
        <v>0.65799999999999992</v>
      </c>
    </row>
    <row r="7706" spans="1:29">
      <c r="A7706" s="8" t="s">
        <v>5893</v>
      </c>
      <c r="B7706" s="17" t="s">
        <v>7757</v>
      </c>
      <c r="C7706" s="13">
        <v>36798</v>
      </c>
      <c r="D7706" s="13" t="s">
        <v>8465</v>
      </c>
      <c r="E7706" s="10" t="s">
        <v>73</v>
      </c>
      <c r="F7706" s="10" t="s">
        <v>73</v>
      </c>
      <c r="G7706" s="11" t="s">
        <v>2927</v>
      </c>
      <c r="H7706" s="2" t="s">
        <v>80</v>
      </c>
      <c r="L7706" s="18">
        <v>0</v>
      </c>
      <c r="Q7706" s="18">
        <v>0</v>
      </c>
      <c r="U7706" s="22">
        <v>0.81</v>
      </c>
      <c r="V7706" s="22">
        <f>4.02/5</f>
        <v>0.80399999999999994</v>
      </c>
      <c r="X7706" s="3">
        <v>2</v>
      </c>
      <c r="Z7706" s="23">
        <v>5.5</v>
      </c>
      <c r="AB7706" s="18">
        <f t="shared" si="240"/>
        <v>2000</v>
      </c>
      <c r="AC7706" s="22">
        <f t="shared" si="241"/>
        <v>0.67133333333333323</v>
      </c>
    </row>
    <row r="7707" spans="1:29" ht="30">
      <c r="A7707" s="8" t="s">
        <v>11006</v>
      </c>
      <c r="B7707" s="17" t="s">
        <v>7755</v>
      </c>
      <c r="C7707" s="13">
        <v>36798</v>
      </c>
      <c r="D7707" s="13" t="s">
        <v>8465</v>
      </c>
      <c r="E7707" s="10" t="s">
        <v>60</v>
      </c>
      <c r="F7707" s="10" t="s">
        <v>8394</v>
      </c>
      <c r="G7707" s="11" t="s">
        <v>11007</v>
      </c>
      <c r="H7707" s="2" t="s">
        <v>1061</v>
      </c>
      <c r="L7707" s="18">
        <v>0</v>
      </c>
      <c r="Q7707" s="18">
        <v>0</v>
      </c>
      <c r="V7707" s="22">
        <f>2.83/5</f>
        <v>0.56600000000000006</v>
      </c>
      <c r="X7707" s="3">
        <v>2</v>
      </c>
      <c r="Z7707" s="23">
        <v>6.5</v>
      </c>
      <c r="AB7707" s="18">
        <f t="shared" si="240"/>
        <v>2000</v>
      </c>
      <c r="AC7707" s="22">
        <f t="shared" si="241"/>
        <v>0.48300000000000004</v>
      </c>
    </row>
    <row r="7708" spans="1:29" ht="30">
      <c r="A7708" s="8" t="s">
        <v>12795</v>
      </c>
      <c r="B7708" s="17" t="s">
        <v>7757</v>
      </c>
      <c r="C7708" s="13">
        <v>36797</v>
      </c>
      <c r="D7708" s="13" t="s">
        <v>8463</v>
      </c>
      <c r="E7708" s="10" t="s">
        <v>2908</v>
      </c>
      <c r="F7708" s="10" t="s">
        <v>1375</v>
      </c>
      <c r="H7708" s="2" t="s">
        <v>171</v>
      </c>
      <c r="K7708" s="18">
        <v>0</v>
      </c>
      <c r="L7708" s="18">
        <v>0</v>
      </c>
      <c r="Q7708" s="18">
        <v>0</v>
      </c>
      <c r="V7708" s="22">
        <f>3.71/5</f>
        <v>0.74199999999999999</v>
      </c>
      <c r="X7708" s="3">
        <v>2</v>
      </c>
      <c r="AB7708" s="18">
        <f t="shared" si="240"/>
        <v>2000</v>
      </c>
      <c r="AC7708" s="22">
        <f t="shared" si="241"/>
        <v>0.57099999999999995</v>
      </c>
    </row>
    <row r="7709" spans="1:29">
      <c r="A7709" s="8" t="s">
        <v>1834</v>
      </c>
      <c r="B7709" s="17" t="s">
        <v>7746</v>
      </c>
      <c r="C7709" s="13">
        <v>36796</v>
      </c>
      <c r="D7709" s="13" t="s">
        <v>8465</v>
      </c>
      <c r="E7709" s="10" t="s">
        <v>257</v>
      </c>
      <c r="F7709" s="10" t="s">
        <v>58</v>
      </c>
      <c r="G7709" s="11" t="s">
        <v>140</v>
      </c>
      <c r="H7709" s="2" t="s">
        <v>149</v>
      </c>
      <c r="L7709" s="18">
        <v>0</v>
      </c>
      <c r="Q7709" s="18">
        <v>0</v>
      </c>
      <c r="U7709" s="22">
        <v>0.82</v>
      </c>
      <c r="V7709" s="22">
        <f>3.94/5</f>
        <v>0.78800000000000003</v>
      </c>
      <c r="X7709" s="3">
        <v>3</v>
      </c>
      <c r="Z7709" s="23">
        <v>28</v>
      </c>
      <c r="AB7709" s="18">
        <f t="shared" si="240"/>
        <v>2000</v>
      </c>
      <c r="AC7709" s="22">
        <f t="shared" si="241"/>
        <v>0.7360000000000001</v>
      </c>
    </row>
    <row r="7710" spans="1:29" ht="51">
      <c r="A7710" s="8" t="s">
        <v>10507</v>
      </c>
      <c r="B7710" s="17" t="s">
        <v>7739</v>
      </c>
      <c r="C7710" s="13">
        <v>36796</v>
      </c>
      <c r="D7710" s="13" t="s">
        <v>8463</v>
      </c>
      <c r="E7710" s="10" t="s">
        <v>86</v>
      </c>
      <c r="F7710" s="10" t="s">
        <v>164</v>
      </c>
      <c r="G7710" s="11" t="s">
        <v>11001</v>
      </c>
      <c r="H7710" s="2" t="s">
        <v>1377</v>
      </c>
      <c r="K7710" s="18">
        <v>2</v>
      </c>
      <c r="L7710" s="18">
        <v>0</v>
      </c>
      <c r="Q7710" s="18">
        <v>0</v>
      </c>
      <c r="V7710" s="22">
        <f>3.76/5</f>
        <v>0.752</v>
      </c>
      <c r="X7710" s="3">
        <v>3</v>
      </c>
      <c r="Z7710" s="23">
        <v>13</v>
      </c>
      <c r="AB7710" s="18">
        <f t="shared" si="240"/>
        <v>2000</v>
      </c>
      <c r="AC7710" s="22">
        <f t="shared" si="241"/>
        <v>0.67599999999999993</v>
      </c>
    </row>
    <row r="7711" spans="1:29">
      <c r="A7711" s="8" t="s">
        <v>15360</v>
      </c>
      <c r="B7711" s="17" t="s">
        <v>7800</v>
      </c>
      <c r="C7711" s="13">
        <v>36795</v>
      </c>
      <c r="D7711" s="13" t="s">
        <v>8465</v>
      </c>
      <c r="E7711" s="10" t="s">
        <v>7246</v>
      </c>
      <c r="F7711" s="10" t="s">
        <v>3487</v>
      </c>
      <c r="H7711" s="2" t="s">
        <v>80</v>
      </c>
      <c r="L7711" s="18">
        <v>0</v>
      </c>
      <c r="Q7711" s="18">
        <v>0</v>
      </c>
      <c r="U7711" s="22">
        <v>0.73</v>
      </c>
      <c r="V7711" s="22">
        <f>3.4/5</f>
        <v>0.67999999999999994</v>
      </c>
      <c r="X7711" s="3">
        <v>2</v>
      </c>
      <c r="AB7711" s="18">
        <f t="shared" si="240"/>
        <v>2000</v>
      </c>
      <c r="AC7711" s="22">
        <f t="shared" si="241"/>
        <v>0.60333333333333339</v>
      </c>
    </row>
    <row r="7712" spans="1:29" ht="25.5">
      <c r="A7712" s="8" t="s">
        <v>863</v>
      </c>
      <c r="B7712" s="20" t="s">
        <v>7739</v>
      </c>
      <c r="C7712" s="13">
        <v>36794</v>
      </c>
      <c r="D7712" s="13" t="s">
        <v>8465</v>
      </c>
      <c r="E7712" s="10" t="s">
        <v>86</v>
      </c>
      <c r="F7712" s="10" t="s">
        <v>1069</v>
      </c>
      <c r="G7712" s="11" t="s">
        <v>1470</v>
      </c>
      <c r="H7712" s="2" t="s">
        <v>78</v>
      </c>
      <c r="L7712" s="18">
        <v>0</v>
      </c>
      <c r="Q7712" s="18">
        <v>0</v>
      </c>
      <c r="U7712" s="22">
        <v>0.83</v>
      </c>
      <c r="V7712" s="22">
        <f>3.89/5</f>
        <v>0.77800000000000002</v>
      </c>
      <c r="X7712" s="3">
        <v>3</v>
      </c>
      <c r="Z7712" s="23">
        <v>5</v>
      </c>
      <c r="AB7712" s="18">
        <f t="shared" si="240"/>
        <v>2000</v>
      </c>
      <c r="AC7712" s="22">
        <f t="shared" si="241"/>
        <v>0.7360000000000001</v>
      </c>
    </row>
    <row r="7713" spans="1:29">
      <c r="A7713" s="8" t="s">
        <v>8093</v>
      </c>
      <c r="B7713" s="17" t="s">
        <v>7757</v>
      </c>
      <c r="C7713" s="13">
        <v>36794</v>
      </c>
      <c r="D7713" s="13" t="s">
        <v>8465</v>
      </c>
      <c r="E7713" s="10" t="s">
        <v>70</v>
      </c>
      <c r="F7713" s="10" t="s">
        <v>1468</v>
      </c>
      <c r="G7713" s="11" t="s">
        <v>8093</v>
      </c>
      <c r="H7713" s="2" t="s">
        <v>1061</v>
      </c>
      <c r="L7713" s="18">
        <v>0</v>
      </c>
      <c r="Q7713" s="18">
        <v>0</v>
      </c>
      <c r="U7713" s="22">
        <v>0.52290000000000003</v>
      </c>
      <c r="V7713" s="22">
        <f>3.1/5</f>
        <v>0.62</v>
      </c>
      <c r="X7713" s="3">
        <v>3</v>
      </c>
      <c r="Z7713" s="23">
        <v>10.5</v>
      </c>
      <c r="AB7713" s="18">
        <f t="shared" si="240"/>
        <v>2000</v>
      </c>
      <c r="AC7713" s="22">
        <f t="shared" si="241"/>
        <v>0.58096666666666674</v>
      </c>
    </row>
    <row r="7714" spans="1:29" ht="25.5">
      <c r="A7714" s="8" t="s">
        <v>7694</v>
      </c>
      <c r="B7714" s="17" t="s">
        <v>7746</v>
      </c>
      <c r="C7714" s="13">
        <v>36793</v>
      </c>
      <c r="D7714" s="13" t="s">
        <v>8465</v>
      </c>
      <c r="E7714" s="10" t="s">
        <v>160</v>
      </c>
      <c r="F7714" s="10" t="s">
        <v>160</v>
      </c>
      <c r="G7714" s="11" t="s">
        <v>208</v>
      </c>
      <c r="H7714" s="2" t="s">
        <v>151</v>
      </c>
      <c r="L7714" s="18">
        <v>0</v>
      </c>
      <c r="Q7714" s="18">
        <v>0</v>
      </c>
      <c r="U7714" s="22">
        <v>0.76</v>
      </c>
      <c r="V7714" s="22">
        <f>3.71/5</f>
        <v>0.74199999999999999</v>
      </c>
      <c r="X7714" s="3">
        <v>3</v>
      </c>
      <c r="Z7714" s="23">
        <v>5</v>
      </c>
      <c r="AB7714" s="18">
        <f t="shared" si="240"/>
        <v>2000</v>
      </c>
      <c r="AC7714" s="22">
        <f t="shared" si="241"/>
        <v>0.70066666666666666</v>
      </c>
    </row>
    <row r="7715" spans="1:29" ht="25.5">
      <c r="A7715" s="8" t="s">
        <v>6924</v>
      </c>
      <c r="B7715" s="17" t="s">
        <v>7800</v>
      </c>
      <c r="C7715" s="13">
        <v>36790</v>
      </c>
      <c r="D7715" s="13" t="s">
        <v>8465</v>
      </c>
      <c r="E7715" s="10" t="s">
        <v>1272</v>
      </c>
      <c r="F7715" s="10" t="s">
        <v>1161</v>
      </c>
      <c r="G7715" s="11" t="s">
        <v>3253</v>
      </c>
      <c r="H7715" s="2" t="s">
        <v>1720</v>
      </c>
      <c r="L7715" s="18">
        <v>1</v>
      </c>
      <c r="N7715" s="13">
        <v>41591</v>
      </c>
      <c r="O7715" s="29">
        <v>1.99</v>
      </c>
      <c r="P7715" s="18" t="s">
        <v>1107</v>
      </c>
      <c r="Q7715" s="18">
        <v>0</v>
      </c>
      <c r="U7715" s="22">
        <v>0.94</v>
      </c>
      <c r="V7715" s="22">
        <f>4.41/5</f>
        <v>0.88200000000000001</v>
      </c>
      <c r="W7715" s="14" t="s">
        <v>7778</v>
      </c>
      <c r="X7715" s="3">
        <v>4</v>
      </c>
      <c r="Z7715" s="23">
        <v>72.5</v>
      </c>
      <c r="AB7715" s="18">
        <f t="shared" si="240"/>
        <v>2000</v>
      </c>
      <c r="AC7715" s="22">
        <f t="shared" si="241"/>
        <v>0.874</v>
      </c>
    </row>
    <row r="7716" spans="1:29" ht="38.25">
      <c r="A7716" s="8" t="s">
        <v>10485</v>
      </c>
      <c r="B7716" s="17" t="s">
        <v>7757</v>
      </c>
      <c r="C7716" s="13">
        <v>36790</v>
      </c>
      <c r="D7716" s="13" t="s">
        <v>8463</v>
      </c>
      <c r="E7716" s="10" t="s">
        <v>72</v>
      </c>
      <c r="F7716" s="10" t="s">
        <v>6310</v>
      </c>
      <c r="G7716" s="11" t="s">
        <v>2318</v>
      </c>
      <c r="H7716" s="2" t="s">
        <v>1057</v>
      </c>
      <c r="K7716" s="18">
        <v>2</v>
      </c>
      <c r="L7716" s="18">
        <v>0</v>
      </c>
      <c r="Q7716" s="18">
        <v>0</v>
      </c>
      <c r="V7716" s="22">
        <f>3.48/5</f>
        <v>0.69599999999999995</v>
      </c>
      <c r="X7716" s="3">
        <v>3</v>
      </c>
      <c r="Z7716" s="23">
        <v>3.5</v>
      </c>
      <c r="AB7716" s="18">
        <f t="shared" si="240"/>
        <v>2000</v>
      </c>
      <c r="AC7716" s="22">
        <f t="shared" si="241"/>
        <v>0.64799999999999991</v>
      </c>
    </row>
    <row r="7717" spans="1:29">
      <c r="A7717" s="8" t="s">
        <v>10969</v>
      </c>
      <c r="B7717" s="17" t="s">
        <v>7794</v>
      </c>
      <c r="C7717" s="13">
        <v>36790</v>
      </c>
      <c r="D7717" s="13" t="s">
        <v>8463</v>
      </c>
      <c r="E7717" s="10" t="s">
        <v>161</v>
      </c>
      <c r="F7717" s="10" t="s">
        <v>161</v>
      </c>
      <c r="G7717" s="11" t="s">
        <v>126</v>
      </c>
      <c r="H7717" s="2" t="s">
        <v>1334</v>
      </c>
      <c r="K7717" s="18">
        <v>2</v>
      </c>
      <c r="L7717" s="18">
        <v>0</v>
      </c>
      <c r="Q7717" s="18">
        <v>0</v>
      </c>
      <c r="V7717" s="22">
        <f>3.29/5</f>
        <v>0.65800000000000003</v>
      </c>
      <c r="X7717" s="3">
        <v>3</v>
      </c>
      <c r="AB7717" s="18">
        <f t="shared" si="240"/>
        <v>2000</v>
      </c>
      <c r="AC7717" s="22">
        <f t="shared" si="241"/>
        <v>0.629</v>
      </c>
    </row>
    <row r="7718" spans="1:29" ht="25.5">
      <c r="A7718" s="8" t="s">
        <v>6605</v>
      </c>
      <c r="B7718" s="17" t="s">
        <v>7757</v>
      </c>
      <c r="C7718" s="13">
        <v>36789</v>
      </c>
      <c r="D7718" s="13" t="s">
        <v>8465</v>
      </c>
      <c r="E7718" s="10" t="s">
        <v>1273</v>
      </c>
      <c r="F7718" s="10" t="s">
        <v>6604</v>
      </c>
      <c r="G7718" s="11" t="s">
        <v>6603</v>
      </c>
      <c r="H7718" s="2" t="s">
        <v>255</v>
      </c>
      <c r="L7718" s="18">
        <v>0</v>
      </c>
      <c r="Q7718" s="18">
        <v>0</v>
      </c>
      <c r="U7718" s="22">
        <v>0.95</v>
      </c>
      <c r="V7718" s="22">
        <f>4.09/5</f>
        <v>0.81799999999999995</v>
      </c>
      <c r="X7718" s="3">
        <v>4</v>
      </c>
      <c r="Z7718" s="23">
        <v>9.5</v>
      </c>
      <c r="AB7718" s="18">
        <f t="shared" si="240"/>
        <v>2000</v>
      </c>
      <c r="AC7718" s="22">
        <f t="shared" si="241"/>
        <v>0.85599999999999987</v>
      </c>
    </row>
    <row r="7719" spans="1:29">
      <c r="A7719" s="8" t="s">
        <v>3008</v>
      </c>
      <c r="B7719" s="17" t="s">
        <v>7757</v>
      </c>
      <c r="C7719" s="13">
        <v>36781</v>
      </c>
      <c r="D7719" s="13" t="s">
        <v>8465</v>
      </c>
      <c r="E7719" s="10" t="s">
        <v>161</v>
      </c>
      <c r="F7719" s="10" t="s">
        <v>161</v>
      </c>
      <c r="G7719" s="11" t="s">
        <v>3007</v>
      </c>
      <c r="H7719" s="2" t="s">
        <v>171</v>
      </c>
      <c r="L7719" s="18">
        <v>0</v>
      </c>
      <c r="Q7719" s="18">
        <v>0</v>
      </c>
      <c r="U7719" s="22">
        <v>0.78</v>
      </c>
      <c r="V7719" s="22">
        <f>4.01/5</f>
        <v>0.80199999999999994</v>
      </c>
      <c r="X7719" s="3">
        <v>4</v>
      </c>
      <c r="Z7719" s="23">
        <v>11</v>
      </c>
      <c r="AB7719" s="18">
        <f t="shared" si="240"/>
        <v>2000</v>
      </c>
      <c r="AC7719" s="22">
        <f t="shared" si="241"/>
        <v>0.79399999999999993</v>
      </c>
    </row>
    <row r="7720" spans="1:29" ht="25.5">
      <c r="A7720" s="8" t="s">
        <v>2681</v>
      </c>
      <c r="B7720" s="17" t="s">
        <v>7755</v>
      </c>
      <c r="C7720" s="13">
        <v>36779</v>
      </c>
      <c r="D7720" s="13" t="s">
        <v>8465</v>
      </c>
      <c r="E7720" s="10" t="s">
        <v>455</v>
      </c>
      <c r="F7720" s="10" t="s">
        <v>2680</v>
      </c>
      <c r="G7720" s="11" t="s">
        <v>2656</v>
      </c>
      <c r="H7720" s="2" t="s">
        <v>80</v>
      </c>
      <c r="L7720" s="18">
        <v>0</v>
      </c>
      <c r="Q7720" s="18">
        <v>0</v>
      </c>
      <c r="U7720" s="22">
        <v>0.81</v>
      </c>
      <c r="V7720" s="22">
        <f>3.74/5</f>
        <v>0.748</v>
      </c>
      <c r="X7720" s="3">
        <v>2</v>
      </c>
      <c r="Z7720" s="23">
        <v>9</v>
      </c>
      <c r="AB7720" s="18">
        <f t="shared" si="240"/>
        <v>2000</v>
      </c>
      <c r="AC7720" s="22">
        <f t="shared" si="241"/>
        <v>0.65266666666666673</v>
      </c>
    </row>
    <row r="7721" spans="1:29">
      <c r="A7721" s="8" t="s">
        <v>14574</v>
      </c>
      <c r="B7721" s="17" t="s">
        <v>7757</v>
      </c>
      <c r="C7721" s="13">
        <v>36770</v>
      </c>
      <c r="D7721" s="13" t="s">
        <v>8467</v>
      </c>
      <c r="E7721" s="10" t="s">
        <v>1290</v>
      </c>
      <c r="F7721" s="10" t="s">
        <v>1219</v>
      </c>
      <c r="G7721" s="11" t="s">
        <v>14574</v>
      </c>
      <c r="H7721" s="2" t="s">
        <v>1220</v>
      </c>
      <c r="L7721" s="18">
        <v>0</v>
      </c>
      <c r="Q7721" s="18">
        <v>0</v>
      </c>
      <c r="U7721" s="22">
        <v>0.7</v>
      </c>
      <c r="V7721" s="22">
        <f>3.94/5</f>
        <v>0.78800000000000003</v>
      </c>
      <c r="X7721" s="3">
        <v>3</v>
      </c>
      <c r="Z7721" s="23">
        <v>1</v>
      </c>
      <c r="AB7721" s="18">
        <f t="shared" si="240"/>
        <v>2000</v>
      </c>
      <c r="AC7721" s="22">
        <f t="shared" si="241"/>
        <v>0.69600000000000006</v>
      </c>
    </row>
    <row r="7722" spans="1:29" ht="30">
      <c r="A7722" s="8" t="s">
        <v>12370</v>
      </c>
      <c r="B7722" s="17" t="s">
        <v>7747</v>
      </c>
      <c r="C7722" s="12">
        <v>36770</v>
      </c>
      <c r="D7722" s="13" t="s">
        <v>8465</v>
      </c>
      <c r="E7722" s="10" t="s">
        <v>158</v>
      </c>
      <c r="F7722" s="10" t="s">
        <v>158</v>
      </c>
      <c r="G7722" s="11" t="s">
        <v>7502</v>
      </c>
      <c r="H7722" s="2" t="s">
        <v>78</v>
      </c>
      <c r="L7722" s="18">
        <v>0</v>
      </c>
      <c r="Q7722" s="18">
        <v>0</v>
      </c>
      <c r="U7722" s="22">
        <v>0.62</v>
      </c>
      <c r="V7722" s="22">
        <f>3.59/5</f>
        <v>0.71799999999999997</v>
      </c>
      <c r="X7722" s="3">
        <v>2</v>
      </c>
      <c r="Z7722" s="23">
        <v>17</v>
      </c>
      <c r="AB7722" s="18">
        <f t="shared" si="240"/>
        <v>2000</v>
      </c>
      <c r="AC7722" s="22">
        <f t="shared" si="241"/>
        <v>0.57933333333333337</v>
      </c>
    </row>
    <row r="7723" spans="1:29" ht="25.5">
      <c r="A7723" s="8" t="s">
        <v>851</v>
      </c>
      <c r="B7723" s="20" t="s">
        <v>7739</v>
      </c>
      <c r="C7723" s="13">
        <v>36769</v>
      </c>
      <c r="D7723" s="13" t="s">
        <v>8465</v>
      </c>
      <c r="E7723" s="10" t="s">
        <v>154</v>
      </c>
      <c r="F7723" s="10" t="s">
        <v>154</v>
      </c>
      <c r="G7723" s="11" t="s">
        <v>1465</v>
      </c>
      <c r="H7723" s="2" t="s">
        <v>1050</v>
      </c>
      <c r="L7723" s="18">
        <v>0</v>
      </c>
      <c r="Q7723" s="18">
        <v>0</v>
      </c>
      <c r="U7723" s="22">
        <v>0.78</v>
      </c>
      <c r="V7723" s="22">
        <f>3.45/5</f>
        <v>0.69000000000000006</v>
      </c>
      <c r="X7723" s="3">
        <v>3</v>
      </c>
      <c r="Z7723" s="23">
        <v>6</v>
      </c>
      <c r="AB7723" s="18">
        <f t="shared" si="240"/>
        <v>2000</v>
      </c>
      <c r="AC7723" s="22">
        <f t="shared" si="241"/>
        <v>0.69000000000000006</v>
      </c>
    </row>
    <row r="7724" spans="1:29">
      <c r="A7724" s="8" t="s">
        <v>1264</v>
      </c>
      <c r="B7724" s="17" t="s">
        <v>7757</v>
      </c>
      <c r="C7724" s="13">
        <v>36768</v>
      </c>
      <c r="D7724" s="13" t="s">
        <v>8465</v>
      </c>
      <c r="E7724" s="10" t="s">
        <v>1273</v>
      </c>
      <c r="F7724" s="10" t="s">
        <v>6604</v>
      </c>
      <c r="G7724" s="11" t="s">
        <v>1264</v>
      </c>
      <c r="H7724" s="2" t="s">
        <v>80</v>
      </c>
      <c r="L7724" s="18">
        <v>0</v>
      </c>
      <c r="Q7724" s="18">
        <v>0</v>
      </c>
      <c r="U7724" s="22">
        <v>0.87</v>
      </c>
      <c r="V7724" s="22">
        <f>3.93/5</f>
        <v>0.78600000000000003</v>
      </c>
      <c r="X7724" s="3">
        <v>3</v>
      </c>
      <c r="Z7724" s="23">
        <v>16.5</v>
      </c>
      <c r="AB7724" s="18">
        <f t="shared" si="240"/>
        <v>2000</v>
      </c>
      <c r="AC7724" s="22">
        <f t="shared" si="241"/>
        <v>0.75200000000000011</v>
      </c>
    </row>
    <row r="7725" spans="1:29">
      <c r="A7725" s="8" t="s">
        <v>6078</v>
      </c>
      <c r="B7725" s="17" t="s">
        <v>7757</v>
      </c>
      <c r="C7725" s="13">
        <v>36768</v>
      </c>
      <c r="D7725" s="13" t="s">
        <v>8465</v>
      </c>
      <c r="E7725" s="10" t="s">
        <v>73</v>
      </c>
      <c r="F7725" s="10" t="s">
        <v>73</v>
      </c>
      <c r="G7725" s="11" t="s">
        <v>943</v>
      </c>
      <c r="H7725" s="2" t="s">
        <v>1170</v>
      </c>
      <c r="L7725" s="18">
        <v>0</v>
      </c>
      <c r="Q7725" s="18">
        <v>0</v>
      </c>
      <c r="U7725" s="22">
        <v>0.42</v>
      </c>
      <c r="V7725" s="22">
        <f>2.88/5</f>
        <v>0.57599999999999996</v>
      </c>
      <c r="X7725" s="3">
        <v>3</v>
      </c>
      <c r="Z7725" s="23">
        <v>0.83</v>
      </c>
      <c r="AB7725" s="18">
        <f t="shared" si="240"/>
        <v>2000</v>
      </c>
      <c r="AC7725" s="22">
        <f t="shared" si="241"/>
        <v>0.53200000000000003</v>
      </c>
    </row>
    <row r="7726" spans="1:29">
      <c r="A7726" s="8" t="s">
        <v>2295</v>
      </c>
      <c r="B7726" s="17" t="s">
        <v>7757</v>
      </c>
      <c r="C7726" s="13">
        <v>36767</v>
      </c>
      <c r="D7726" s="13" t="s">
        <v>8465</v>
      </c>
      <c r="E7726" s="10" t="s">
        <v>257</v>
      </c>
      <c r="F7726" s="10" t="s">
        <v>1423</v>
      </c>
      <c r="G7726" s="11" t="s">
        <v>2295</v>
      </c>
      <c r="H7726" s="2" t="s">
        <v>149</v>
      </c>
      <c r="L7726" s="18">
        <v>0</v>
      </c>
      <c r="Q7726" s="18">
        <v>0</v>
      </c>
      <c r="U7726" s="22">
        <v>0.83</v>
      </c>
      <c r="V7726" s="22">
        <f>4.24/5</f>
        <v>0.84800000000000009</v>
      </c>
      <c r="X7726" s="3">
        <v>4</v>
      </c>
      <c r="Z7726" s="23">
        <v>32</v>
      </c>
      <c r="AB7726" s="18">
        <f t="shared" si="240"/>
        <v>2000</v>
      </c>
      <c r="AC7726" s="22">
        <f t="shared" si="241"/>
        <v>0.82599999999999996</v>
      </c>
    </row>
    <row r="7727" spans="1:29" ht="30">
      <c r="A7727" s="8" t="s">
        <v>877</v>
      </c>
      <c r="B7727" s="20" t="s">
        <v>7739</v>
      </c>
      <c r="C7727" s="13">
        <v>36766</v>
      </c>
      <c r="D7727" s="13" t="s">
        <v>8465</v>
      </c>
      <c r="E7727" s="10" t="s">
        <v>86</v>
      </c>
      <c r="F7727" s="10" t="s">
        <v>1160</v>
      </c>
      <c r="G7727" s="11" t="s">
        <v>877</v>
      </c>
      <c r="H7727" s="2" t="s">
        <v>255</v>
      </c>
      <c r="L7727" s="18">
        <v>0</v>
      </c>
      <c r="Q7727" s="18">
        <v>0</v>
      </c>
      <c r="U7727" s="22">
        <v>0.87</v>
      </c>
      <c r="V7727" s="22">
        <f>3.91/5</f>
        <v>0.78200000000000003</v>
      </c>
      <c r="X7727" s="3">
        <v>4</v>
      </c>
      <c r="Z7727" s="23">
        <v>7.5</v>
      </c>
      <c r="AB7727" s="18">
        <f t="shared" si="240"/>
        <v>2000</v>
      </c>
      <c r="AC7727" s="22">
        <f t="shared" si="241"/>
        <v>0.81733333333333336</v>
      </c>
    </row>
    <row r="7728" spans="1:29">
      <c r="A7728" s="8" t="s">
        <v>895</v>
      </c>
      <c r="B7728" s="17" t="s">
        <v>7746</v>
      </c>
      <c r="C7728" s="13">
        <v>36766</v>
      </c>
      <c r="D7728" s="13" t="s">
        <v>8465</v>
      </c>
      <c r="E7728" s="10" t="s">
        <v>86</v>
      </c>
      <c r="F7728" s="10" t="s">
        <v>163</v>
      </c>
      <c r="G7728" s="11" t="s">
        <v>895</v>
      </c>
      <c r="H7728" s="2" t="s">
        <v>143</v>
      </c>
      <c r="L7728" s="18">
        <v>0</v>
      </c>
      <c r="Q7728" s="18">
        <v>0</v>
      </c>
      <c r="U7728" s="22">
        <v>0.66</v>
      </c>
      <c r="V7728" s="22">
        <f>3.11/5</f>
        <v>0.622</v>
      </c>
      <c r="X7728" s="3">
        <v>3</v>
      </c>
      <c r="Z7728" s="23">
        <v>8.5</v>
      </c>
      <c r="AB7728" s="18">
        <f t="shared" si="240"/>
        <v>2000</v>
      </c>
      <c r="AC7728" s="22">
        <f t="shared" si="241"/>
        <v>0.62733333333333341</v>
      </c>
    </row>
    <row r="7729" spans="1:29">
      <c r="A7729" s="8" t="s">
        <v>2755</v>
      </c>
      <c r="B7729" s="17" t="s">
        <v>7755</v>
      </c>
      <c r="C7729" s="13">
        <v>36761</v>
      </c>
      <c r="D7729" s="13" t="s">
        <v>8465</v>
      </c>
      <c r="E7729" s="10" t="s">
        <v>73</v>
      </c>
      <c r="F7729" s="10" t="s">
        <v>73</v>
      </c>
      <c r="G7729" s="11" t="s">
        <v>2754</v>
      </c>
      <c r="H7729" s="2" t="s">
        <v>459</v>
      </c>
      <c r="L7729" s="18">
        <v>0</v>
      </c>
      <c r="Q7729" s="18">
        <v>0</v>
      </c>
      <c r="U7729" s="22">
        <v>0.87</v>
      </c>
      <c r="V7729" s="22">
        <f>4.15/5</f>
        <v>0.83000000000000007</v>
      </c>
      <c r="X7729" s="3">
        <v>3</v>
      </c>
      <c r="Z7729" s="23">
        <v>2.5</v>
      </c>
      <c r="AB7729" s="18">
        <f t="shared" si="240"/>
        <v>2000</v>
      </c>
      <c r="AC7729" s="22">
        <f t="shared" si="241"/>
        <v>0.76666666666666672</v>
      </c>
    </row>
    <row r="7730" spans="1:29">
      <c r="A7730" s="8" t="s">
        <v>2746</v>
      </c>
      <c r="B7730" s="17" t="s">
        <v>7755</v>
      </c>
      <c r="C7730" s="13">
        <v>36760</v>
      </c>
      <c r="D7730" s="13" t="s">
        <v>8465</v>
      </c>
      <c r="E7730" s="10" t="s">
        <v>455</v>
      </c>
      <c r="F7730" s="10" t="s">
        <v>2736</v>
      </c>
      <c r="G7730" s="11" t="s">
        <v>2737</v>
      </c>
      <c r="H7730" s="2" t="s">
        <v>1061</v>
      </c>
      <c r="L7730" s="18">
        <v>0</v>
      </c>
      <c r="Q7730" s="18">
        <v>0</v>
      </c>
      <c r="U7730" s="22">
        <v>0.65</v>
      </c>
      <c r="V7730" s="22">
        <f>4.01/5</f>
        <v>0.80199999999999994</v>
      </c>
      <c r="X7730" s="3">
        <v>3</v>
      </c>
      <c r="Z7730" s="23">
        <v>8.5</v>
      </c>
      <c r="AB7730" s="18">
        <f t="shared" si="240"/>
        <v>2000</v>
      </c>
      <c r="AC7730" s="22">
        <f t="shared" si="241"/>
        <v>0.68400000000000005</v>
      </c>
    </row>
    <row r="7731" spans="1:29">
      <c r="A7731" s="8" t="s">
        <v>2913</v>
      </c>
      <c r="B7731" s="17" t="s">
        <v>7757</v>
      </c>
      <c r="C7731" s="13">
        <v>36759</v>
      </c>
      <c r="D7731" s="13" t="s">
        <v>8465</v>
      </c>
      <c r="E7731" s="10" t="s">
        <v>157</v>
      </c>
      <c r="F7731" s="10" t="s">
        <v>1246</v>
      </c>
      <c r="H7731" s="2" t="s">
        <v>1061</v>
      </c>
      <c r="L7731" s="18">
        <v>0</v>
      </c>
      <c r="Q7731" s="18">
        <v>0</v>
      </c>
      <c r="U7731" s="22">
        <v>0.55000000000000004</v>
      </c>
      <c r="V7731" s="22">
        <f>3.08/5</f>
        <v>0.61599999999999999</v>
      </c>
      <c r="X7731" s="3">
        <v>3</v>
      </c>
      <c r="Z7731" s="23">
        <v>10.5</v>
      </c>
      <c r="AB7731" s="18">
        <f t="shared" si="240"/>
        <v>2000</v>
      </c>
      <c r="AC7731" s="22">
        <f t="shared" si="241"/>
        <v>0.58866666666666667</v>
      </c>
    </row>
    <row r="7732" spans="1:29">
      <c r="A7732" s="8" t="s">
        <v>15470</v>
      </c>
      <c r="B7732" s="17" t="s">
        <v>7755</v>
      </c>
      <c r="C7732" s="13">
        <v>36748</v>
      </c>
      <c r="D7732" s="13" t="s">
        <v>8463</v>
      </c>
      <c r="E7732" s="10" t="s">
        <v>170</v>
      </c>
      <c r="F7732" s="10" t="s">
        <v>170</v>
      </c>
      <c r="G7732" s="11" t="s">
        <v>15470</v>
      </c>
      <c r="H7732" s="2" t="s">
        <v>1220</v>
      </c>
      <c r="K7732" s="18">
        <v>2</v>
      </c>
      <c r="L7732" s="18">
        <v>0</v>
      </c>
      <c r="Q7732" s="18">
        <v>0</v>
      </c>
      <c r="V7732" s="22">
        <f>3.69/5</f>
        <v>0.73799999999999999</v>
      </c>
      <c r="X7732" s="3">
        <v>2</v>
      </c>
      <c r="AB7732" s="18">
        <f t="shared" si="240"/>
        <v>2000</v>
      </c>
      <c r="AC7732" s="22">
        <f t="shared" si="241"/>
        <v>0.56899999999999995</v>
      </c>
    </row>
    <row r="7733" spans="1:29">
      <c r="A7733" s="8" t="s">
        <v>11168</v>
      </c>
      <c r="B7733" s="17" t="s">
        <v>7755</v>
      </c>
      <c r="C7733" s="13">
        <v>36747</v>
      </c>
      <c r="D7733" s="13" t="s">
        <v>8465</v>
      </c>
      <c r="E7733" s="10" t="s">
        <v>455</v>
      </c>
      <c r="F7733" s="10" t="s">
        <v>6655</v>
      </c>
      <c r="G7733" s="11" t="s">
        <v>11168</v>
      </c>
      <c r="H7733" s="2" t="s">
        <v>1334</v>
      </c>
      <c r="L7733" s="18">
        <v>0</v>
      </c>
      <c r="Q7733" s="18">
        <v>0</v>
      </c>
      <c r="U7733" s="22">
        <v>0.82</v>
      </c>
      <c r="V7733" s="22">
        <f>3.53/5</f>
        <v>0.70599999999999996</v>
      </c>
      <c r="X7733" s="3">
        <v>3</v>
      </c>
      <c r="Z7733" s="23">
        <v>6.5</v>
      </c>
      <c r="AB7733" s="18">
        <f t="shared" si="240"/>
        <v>2000</v>
      </c>
      <c r="AC7733" s="22">
        <f t="shared" si="241"/>
        <v>0.70866666666666667</v>
      </c>
    </row>
    <row r="7734" spans="1:29" ht="25.5">
      <c r="A7734" s="8" t="s">
        <v>2960</v>
      </c>
      <c r="B7734" s="17" t="s">
        <v>7757</v>
      </c>
      <c r="C7734" s="13">
        <v>36745</v>
      </c>
      <c r="D7734" s="13" t="s">
        <v>8465</v>
      </c>
      <c r="E7734" s="10" t="s">
        <v>1273</v>
      </c>
      <c r="F7734" s="10" t="s">
        <v>3029</v>
      </c>
      <c r="G7734" s="11" t="s">
        <v>3030</v>
      </c>
      <c r="H7734" s="2" t="s">
        <v>245</v>
      </c>
      <c r="L7734" s="18">
        <v>0</v>
      </c>
      <c r="Q7734" s="18">
        <v>0</v>
      </c>
      <c r="U7734" s="22">
        <v>0.8</v>
      </c>
      <c r="V7734" s="22">
        <f>4.03/5</f>
        <v>0.80600000000000005</v>
      </c>
      <c r="X7734" s="3">
        <v>3</v>
      </c>
      <c r="Z7734" s="23">
        <v>9</v>
      </c>
      <c r="AB7734" s="18">
        <f t="shared" si="240"/>
        <v>2000</v>
      </c>
      <c r="AC7734" s="22">
        <f t="shared" si="241"/>
        <v>0.73533333333333328</v>
      </c>
    </row>
    <row r="7735" spans="1:29" ht="25.5">
      <c r="A7735" s="8" t="s">
        <v>11865</v>
      </c>
      <c r="B7735" s="17" t="s">
        <v>7746</v>
      </c>
      <c r="C7735" s="13">
        <v>36742</v>
      </c>
      <c r="D7735" s="13" t="s">
        <v>8463</v>
      </c>
      <c r="E7735" s="10" t="s">
        <v>1468</v>
      </c>
      <c r="F7735" s="10" t="s">
        <v>58</v>
      </c>
      <c r="G7735" s="11" t="s">
        <v>9850</v>
      </c>
      <c r="H7735" s="2" t="s">
        <v>255</v>
      </c>
      <c r="K7735" s="18">
        <v>2</v>
      </c>
      <c r="L7735" s="18">
        <v>0</v>
      </c>
      <c r="Q7735" s="18">
        <v>0</v>
      </c>
      <c r="V7735" s="22">
        <f>3.96/5</f>
        <v>0.79200000000000004</v>
      </c>
      <c r="X7735" s="3">
        <v>2</v>
      </c>
      <c r="AB7735" s="18">
        <f t="shared" si="240"/>
        <v>2000</v>
      </c>
      <c r="AC7735" s="22">
        <f t="shared" si="241"/>
        <v>0.59600000000000009</v>
      </c>
    </row>
    <row r="7736" spans="1:29">
      <c r="A7736" s="8" t="s">
        <v>11741</v>
      </c>
      <c r="B7736" s="17" t="s">
        <v>7757</v>
      </c>
      <c r="C7736" s="13">
        <v>36741</v>
      </c>
      <c r="D7736" s="13" t="s">
        <v>8463</v>
      </c>
      <c r="E7736" s="10" t="s">
        <v>1456</v>
      </c>
      <c r="F7736" s="10" t="s">
        <v>1456</v>
      </c>
      <c r="H7736" s="2" t="s">
        <v>75</v>
      </c>
      <c r="K7736" s="18">
        <v>0</v>
      </c>
      <c r="L7736" s="18">
        <v>0</v>
      </c>
      <c r="Q7736" s="18">
        <v>0</v>
      </c>
      <c r="V7736" s="22">
        <f>3.83/5</f>
        <v>0.76600000000000001</v>
      </c>
      <c r="X7736" s="3">
        <v>3</v>
      </c>
      <c r="AB7736" s="18">
        <f t="shared" si="240"/>
        <v>2000</v>
      </c>
      <c r="AC7736" s="22">
        <f t="shared" si="241"/>
        <v>0.68300000000000005</v>
      </c>
    </row>
    <row r="7737" spans="1:29" ht="25.5">
      <c r="A7737" s="8" t="s">
        <v>14047</v>
      </c>
      <c r="B7737" s="17" t="s">
        <v>7794</v>
      </c>
      <c r="C7737" s="13">
        <v>36741</v>
      </c>
      <c r="D7737" s="13" t="s">
        <v>8463</v>
      </c>
      <c r="E7737" s="10" t="s">
        <v>157</v>
      </c>
      <c r="F7737" s="10" t="s">
        <v>2509</v>
      </c>
      <c r="G7737" s="11" t="s">
        <v>8877</v>
      </c>
      <c r="H7737" s="2" t="s">
        <v>149</v>
      </c>
      <c r="K7737" s="18">
        <v>2</v>
      </c>
      <c r="L7737" s="18">
        <v>0</v>
      </c>
      <c r="Q7737" s="18">
        <v>0</v>
      </c>
      <c r="V7737" s="22">
        <f>3.34/5</f>
        <v>0.66799999999999993</v>
      </c>
      <c r="X7737" s="3">
        <v>2</v>
      </c>
      <c r="AB7737" s="18">
        <f t="shared" si="240"/>
        <v>2000</v>
      </c>
      <c r="AC7737" s="22">
        <f t="shared" si="241"/>
        <v>0.53400000000000003</v>
      </c>
    </row>
    <row r="7738" spans="1:29">
      <c r="A7738" s="8" t="s">
        <v>2993</v>
      </c>
      <c r="B7738" s="17" t="s">
        <v>7757</v>
      </c>
      <c r="C7738" s="13">
        <v>36736</v>
      </c>
      <c r="D7738" s="13" t="s">
        <v>8465</v>
      </c>
      <c r="E7738" s="10" t="s">
        <v>73</v>
      </c>
      <c r="F7738" s="10" t="s">
        <v>73</v>
      </c>
      <c r="G7738" s="11" t="s">
        <v>2630</v>
      </c>
      <c r="H7738" s="2" t="s">
        <v>56</v>
      </c>
      <c r="L7738" s="18">
        <v>0</v>
      </c>
      <c r="Q7738" s="18">
        <v>0</v>
      </c>
      <c r="U7738" s="22">
        <v>0.75</v>
      </c>
      <c r="V7738" s="22">
        <f>3.85/5</f>
        <v>0.77</v>
      </c>
      <c r="X7738" s="3">
        <v>4</v>
      </c>
      <c r="Z7738" s="23">
        <v>0.75</v>
      </c>
      <c r="AB7738" s="18">
        <f t="shared" si="240"/>
        <v>2000</v>
      </c>
      <c r="AC7738" s="22">
        <f t="shared" si="241"/>
        <v>0.77333333333333343</v>
      </c>
    </row>
    <row r="7739" spans="1:29" ht="25.5">
      <c r="A7739" s="8" t="s">
        <v>851</v>
      </c>
      <c r="B7739" s="17" t="s">
        <v>7746</v>
      </c>
      <c r="C7739" s="13">
        <v>36734</v>
      </c>
      <c r="D7739" s="13" t="s">
        <v>8465</v>
      </c>
      <c r="E7739" s="10" t="s">
        <v>154</v>
      </c>
      <c r="F7739" s="10" t="s">
        <v>1886</v>
      </c>
      <c r="G7739" s="11" t="s">
        <v>1465</v>
      </c>
      <c r="H7739" s="2" t="s">
        <v>56</v>
      </c>
      <c r="L7739" s="18">
        <v>0</v>
      </c>
      <c r="Q7739" s="18">
        <v>0</v>
      </c>
      <c r="U7739" s="22">
        <v>0.62</v>
      </c>
      <c r="V7739" s="22">
        <f>3.21/5</f>
        <v>0.64200000000000002</v>
      </c>
      <c r="X7739" s="3">
        <v>3</v>
      </c>
      <c r="Z7739" s="23">
        <v>6</v>
      </c>
      <c r="AB7739" s="18">
        <f t="shared" si="240"/>
        <v>2000</v>
      </c>
      <c r="AC7739" s="22">
        <f t="shared" si="241"/>
        <v>0.6206666666666667</v>
      </c>
    </row>
    <row r="7740" spans="1:29" ht="30">
      <c r="A7740" s="8" t="s">
        <v>572</v>
      </c>
      <c r="B7740" s="17" t="s">
        <v>7733</v>
      </c>
      <c r="C7740" s="13">
        <v>36733</v>
      </c>
      <c r="D7740" s="13" t="s">
        <v>8463</v>
      </c>
      <c r="E7740" s="10" t="s">
        <v>73</v>
      </c>
      <c r="F7740" s="10" t="s">
        <v>73</v>
      </c>
      <c r="G7740" s="11" t="s">
        <v>89</v>
      </c>
      <c r="H7740" s="2" t="s">
        <v>143</v>
      </c>
      <c r="K7740" s="18">
        <v>2</v>
      </c>
      <c r="L7740" s="18">
        <v>0</v>
      </c>
      <c r="Q7740" s="18">
        <v>0</v>
      </c>
      <c r="V7740" s="22">
        <f>4.39/5</f>
        <v>0.87799999999999989</v>
      </c>
      <c r="X7740" s="3">
        <v>3</v>
      </c>
      <c r="Z7740" s="23">
        <f>40/60</f>
        <v>0.66666666666666663</v>
      </c>
      <c r="AB7740" s="18">
        <f t="shared" si="240"/>
        <v>2000</v>
      </c>
      <c r="AC7740" s="22">
        <f t="shared" si="241"/>
        <v>0.73899999999999988</v>
      </c>
    </row>
    <row r="7741" spans="1:29">
      <c r="A7741" s="8" t="s">
        <v>7691</v>
      </c>
      <c r="B7741" s="17" t="s">
        <v>7746</v>
      </c>
      <c r="C7741" s="13">
        <v>36731</v>
      </c>
      <c r="D7741" s="13" t="s">
        <v>8465</v>
      </c>
      <c r="E7741" s="10" t="s">
        <v>86</v>
      </c>
      <c r="F7741" s="10" t="s">
        <v>1258</v>
      </c>
      <c r="H7741" s="2" t="s">
        <v>1143</v>
      </c>
      <c r="L7741" s="18">
        <v>0</v>
      </c>
      <c r="Q7741" s="18">
        <v>0</v>
      </c>
      <c r="U7741" s="22">
        <v>0.86</v>
      </c>
      <c r="V7741" s="22">
        <f>3.81/5</f>
        <v>0.76200000000000001</v>
      </c>
      <c r="X7741" s="3">
        <v>3</v>
      </c>
      <c r="AB7741" s="18">
        <f t="shared" si="240"/>
        <v>2000</v>
      </c>
      <c r="AC7741" s="22">
        <f t="shared" si="241"/>
        <v>0.7406666666666667</v>
      </c>
    </row>
    <row r="7742" spans="1:29">
      <c r="A7742" s="8" t="s">
        <v>2962</v>
      </c>
      <c r="B7742" s="17" t="s">
        <v>7757</v>
      </c>
      <c r="C7742" s="13">
        <v>36726</v>
      </c>
      <c r="D7742" s="13" t="s">
        <v>8465</v>
      </c>
      <c r="E7742" s="10" t="s">
        <v>161</v>
      </c>
      <c r="F7742" s="10" t="s">
        <v>161</v>
      </c>
      <c r="H7742" s="2" t="s">
        <v>171</v>
      </c>
      <c r="L7742" s="18">
        <v>0</v>
      </c>
      <c r="Q7742" s="18">
        <v>0</v>
      </c>
      <c r="U7742" s="22">
        <v>0.76</v>
      </c>
      <c r="V7742" s="22">
        <f>3.87/5</f>
        <v>0.77400000000000002</v>
      </c>
      <c r="X7742" s="3">
        <v>3</v>
      </c>
      <c r="Z7742" s="23">
        <v>14.5</v>
      </c>
      <c r="AB7742" s="18">
        <f t="shared" si="240"/>
        <v>2000</v>
      </c>
      <c r="AC7742" s="22">
        <f t="shared" si="241"/>
        <v>0.71133333333333326</v>
      </c>
    </row>
    <row r="7743" spans="1:29" ht="25.5">
      <c r="A7743" s="8" t="s">
        <v>15111</v>
      </c>
      <c r="B7743" s="17" t="s">
        <v>7757</v>
      </c>
      <c r="C7743" s="13">
        <v>36721</v>
      </c>
      <c r="D7743" s="13" t="s">
        <v>8465</v>
      </c>
      <c r="E7743" s="10" t="s">
        <v>1273</v>
      </c>
      <c r="F7743" s="10" t="s">
        <v>15112</v>
      </c>
      <c r="G7743" s="11" t="s">
        <v>440</v>
      </c>
      <c r="H7743" s="2" t="s">
        <v>459</v>
      </c>
      <c r="L7743" s="18">
        <v>0</v>
      </c>
      <c r="Q7743" s="18">
        <v>0</v>
      </c>
      <c r="U7743" s="22">
        <v>0.75</v>
      </c>
      <c r="V7743" s="22">
        <f>3.18/5</f>
        <v>0.63600000000000001</v>
      </c>
      <c r="X7743" s="3">
        <v>2</v>
      </c>
      <c r="Z7743" s="23">
        <f>21/60</f>
        <v>0.35</v>
      </c>
      <c r="AB7743" s="18">
        <f t="shared" si="240"/>
        <v>2000</v>
      </c>
      <c r="AC7743" s="22">
        <f t="shared" si="241"/>
        <v>0.59533333333333338</v>
      </c>
    </row>
    <row r="7744" spans="1:29">
      <c r="A7744" s="8" t="s">
        <v>6574</v>
      </c>
      <c r="B7744" s="20" t="s">
        <v>7739</v>
      </c>
      <c r="C7744" s="13">
        <v>36721</v>
      </c>
      <c r="D7744" s="13" t="s">
        <v>8465</v>
      </c>
      <c r="E7744" s="10" t="s">
        <v>5506</v>
      </c>
      <c r="F7744" s="10" t="s">
        <v>6575</v>
      </c>
      <c r="G7744" s="11" t="s">
        <v>6573</v>
      </c>
      <c r="H7744" s="2" t="s">
        <v>459</v>
      </c>
      <c r="L7744" s="18">
        <v>0</v>
      </c>
      <c r="Q7744" s="18">
        <v>0</v>
      </c>
      <c r="U7744" s="22">
        <v>0.55000000000000004</v>
      </c>
      <c r="V7744" s="22">
        <f>3.49/5</f>
        <v>0.69800000000000006</v>
      </c>
      <c r="X7744" s="3">
        <v>2</v>
      </c>
      <c r="Z7744" s="23">
        <v>7</v>
      </c>
      <c r="AB7744" s="18">
        <f t="shared" si="240"/>
        <v>2000</v>
      </c>
      <c r="AC7744" s="22">
        <f t="shared" si="241"/>
        <v>0.54933333333333334</v>
      </c>
    </row>
    <row r="7745" spans="1:29">
      <c r="A7745" s="8" t="s">
        <v>12289</v>
      </c>
      <c r="B7745" s="17" t="s">
        <v>7757</v>
      </c>
      <c r="C7745" s="13">
        <v>36713</v>
      </c>
      <c r="D7745" s="13" t="s">
        <v>8463</v>
      </c>
      <c r="E7745" s="10" t="s">
        <v>8933</v>
      </c>
      <c r="F7745" s="10" t="s">
        <v>12290</v>
      </c>
      <c r="G7745" s="11" t="s">
        <v>12291</v>
      </c>
      <c r="H7745" s="2" t="s">
        <v>149</v>
      </c>
      <c r="K7745" s="18">
        <v>0</v>
      </c>
      <c r="L7745" s="18">
        <v>0</v>
      </c>
      <c r="Q7745" s="18">
        <v>0</v>
      </c>
      <c r="V7745" s="22">
        <f>3.63/5</f>
        <v>0.72599999999999998</v>
      </c>
      <c r="X7745" s="3">
        <v>2</v>
      </c>
      <c r="AB7745" s="18">
        <f t="shared" ref="AB7745:AB7808" si="242">IFERROR(YEAR(C7745), "Early Access")</f>
        <v>2000</v>
      </c>
      <c r="AC7745" s="22">
        <f t="shared" ref="AC7745:AC7808" si="243">AVERAGE(T7745, U7745, V7745, IF(ISBLANK(X7745), X7745, X7745/5))</f>
        <v>0.56299999999999994</v>
      </c>
    </row>
    <row r="7746" spans="1:29">
      <c r="A7746" s="8" t="s">
        <v>380</v>
      </c>
      <c r="B7746" s="17" t="s">
        <v>6317</v>
      </c>
      <c r="C7746" s="12">
        <v>36708</v>
      </c>
      <c r="D7746" s="13" t="s">
        <v>8463</v>
      </c>
      <c r="E7746" s="10" t="s">
        <v>252</v>
      </c>
      <c r="F7746" s="10" t="s">
        <v>479</v>
      </c>
      <c r="G7746" s="11" t="s">
        <v>447</v>
      </c>
      <c r="H7746" s="2" t="s">
        <v>459</v>
      </c>
      <c r="K7746" s="18">
        <v>0</v>
      </c>
      <c r="L7746" s="18">
        <v>0</v>
      </c>
      <c r="Q7746" s="18">
        <v>0</v>
      </c>
      <c r="V7746" s="22">
        <f>4.25/5</f>
        <v>0.85</v>
      </c>
      <c r="X7746" s="3">
        <v>3</v>
      </c>
      <c r="Z7746" s="23">
        <v>1.5</v>
      </c>
      <c r="AB7746" s="18">
        <f t="shared" si="242"/>
        <v>2000</v>
      </c>
      <c r="AC7746" s="22">
        <f t="shared" si="243"/>
        <v>0.72499999999999998</v>
      </c>
    </row>
    <row r="7747" spans="1:29" ht="25.5">
      <c r="A7747" s="8" t="s">
        <v>6716</v>
      </c>
      <c r="B7747" s="17" t="s">
        <v>7757</v>
      </c>
      <c r="C7747" s="13">
        <v>36707</v>
      </c>
      <c r="D7747" s="13" t="s">
        <v>8465</v>
      </c>
      <c r="E7747" s="10" t="s">
        <v>1466</v>
      </c>
      <c r="F7747" s="10" t="s">
        <v>1466</v>
      </c>
      <c r="G7747" s="11" t="s">
        <v>17</v>
      </c>
      <c r="H7747" s="2" t="s">
        <v>80</v>
      </c>
      <c r="L7747" s="18">
        <v>0</v>
      </c>
      <c r="Q7747" s="18">
        <v>0</v>
      </c>
      <c r="U7747" s="22">
        <v>0.4</v>
      </c>
      <c r="V7747" s="22">
        <f>2.34/5</f>
        <v>0.46799999999999997</v>
      </c>
      <c r="X7747" s="3">
        <v>2</v>
      </c>
      <c r="Z7747" s="23">
        <v>4</v>
      </c>
      <c r="AB7747" s="18">
        <f t="shared" si="242"/>
        <v>2000</v>
      </c>
      <c r="AC7747" s="22">
        <f t="shared" si="243"/>
        <v>0.42266666666666669</v>
      </c>
    </row>
    <row r="7748" spans="1:29">
      <c r="A7748" s="8" t="s">
        <v>7181</v>
      </c>
      <c r="B7748" s="17" t="s">
        <v>7800</v>
      </c>
      <c r="C7748" s="13">
        <v>36706</v>
      </c>
      <c r="D7748" s="13" t="s">
        <v>8465</v>
      </c>
      <c r="E7748" s="10" t="s">
        <v>1296</v>
      </c>
      <c r="F7748" s="10" t="s">
        <v>1296</v>
      </c>
      <c r="G7748" s="11" t="s">
        <v>1589</v>
      </c>
      <c r="H7748" s="2" t="s">
        <v>171</v>
      </c>
      <c r="L7748" s="18">
        <v>0</v>
      </c>
      <c r="Q7748" s="18">
        <v>0</v>
      </c>
      <c r="U7748" s="22">
        <v>0.86</v>
      </c>
      <c r="V7748" s="22">
        <f>4.28/5</f>
        <v>0.85600000000000009</v>
      </c>
      <c r="X7748" s="3">
        <v>2</v>
      </c>
      <c r="Z7748" s="23">
        <v>35</v>
      </c>
      <c r="AB7748" s="18">
        <f t="shared" si="242"/>
        <v>2000</v>
      </c>
      <c r="AC7748" s="22">
        <f t="shared" si="243"/>
        <v>0.70533333333333337</v>
      </c>
    </row>
    <row r="7749" spans="1:29">
      <c r="A7749" s="8" t="s">
        <v>4161</v>
      </c>
      <c r="B7749" s="17" t="s">
        <v>7800</v>
      </c>
      <c r="C7749" s="13">
        <v>36706</v>
      </c>
      <c r="D7749" s="13" t="s">
        <v>8465</v>
      </c>
      <c r="E7749" s="10" t="s">
        <v>1272</v>
      </c>
      <c r="F7749" s="10" t="s">
        <v>5864</v>
      </c>
      <c r="G7749" s="11" t="s">
        <v>4161</v>
      </c>
      <c r="H7749" s="2" t="s">
        <v>1720</v>
      </c>
      <c r="L7749" s="18">
        <v>1</v>
      </c>
      <c r="N7749" s="13">
        <v>41803</v>
      </c>
      <c r="O7749" s="29">
        <v>1.99</v>
      </c>
      <c r="P7749" s="18" t="s">
        <v>1107</v>
      </c>
      <c r="Q7749" s="18">
        <v>0</v>
      </c>
      <c r="U7749" s="22">
        <v>0.86</v>
      </c>
      <c r="V7749" s="22">
        <f>3.9/5</f>
        <v>0.78</v>
      </c>
      <c r="W7749" s="14" t="s">
        <v>7778</v>
      </c>
      <c r="X7749" s="3">
        <v>4</v>
      </c>
      <c r="Z7749" s="23">
        <v>34</v>
      </c>
      <c r="AB7749" s="18">
        <f t="shared" si="242"/>
        <v>2000</v>
      </c>
      <c r="AC7749" s="22">
        <f t="shared" si="243"/>
        <v>0.81333333333333346</v>
      </c>
    </row>
    <row r="7750" spans="1:29" ht="25.5">
      <c r="A7750" s="8" t="s">
        <v>11000</v>
      </c>
      <c r="B7750" s="17" t="s">
        <v>7755</v>
      </c>
      <c r="C7750" s="13">
        <v>36706</v>
      </c>
      <c r="D7750" s="13" t="s">
        <v>8465</v>
      </c>
      <c r="E7750" s="10" t="s">
        <v>1047</v>
      </c>
      <c r="F7750" s="10" t="s">
        <v>1416</v>
      </c>
      <c r="G7750" s="11" t="s">
        <v>10999</v>
      </c>
      <c r="H7750" s="2" t="s">
        <v>1377</v>
      </c>
      <c r="L7750" s="18">
        <v>0</v>
      </c>
      <c r="Q7750" s="18">
        <v>0</v>
      </c>
      <c r="V7750" s="22">
        <f>3.53/5</f>
        <v>0.70599999999999996</v>
      </c>
      <c r="X7750" s="3">
        <v>3</v>
      </c>
      <c r="Z7750" s="23">
        <v>15</v>
      </c>
      <c r="AB7750" s="18">
        <f t="shared" si="242"/>
        <v>2000</v>
      </c>
      <c r="AC7750" s="22">
        <f t="shared" si="243"/>
        <v>0.65300000000000002</v>
      </c>
    </row>
    <row r="7751" spans="1:29">
      <c r="A7751" s="8" t="s">
        <v>2939</v>
      </c>
      <c r="B7751" s="17" t="s">
        <v>7757</v>
      </c>
      <c r="C7751" s="13">
        <v>36706</v>
      </c>
      <c r="D7751" s="13" t="s">
        <v>8465</v>
      </c>
      <c r="E7751" s="10" t="s">
        <v>60</v>
      </c>
      <c r="F7751" s="10" t="s">
        <v>3022</v>
      </c>
      <c r="G7751" s="11" t="s">
        <v>5832</v>
      </c>
      <c r="H7751" s="2" t="s">
        <v>149</v>
      </c>
      <c r="L7751" s="18">
        <v>0</v>
      </c>
      <c r="Q7751" s="18">
        <v>0</v>
      </c>
      <c r="U7751" s="22">
        <v>0.6</v>
      </c>
      <c r="V7751" s="22">
        <f>3.72/5</f>
        <v>0.74399999999999999</v>
      </c>
      <c r="X7751" s="3">
        <v>3</v>
      </c>
      <c r="Z7751" s="23">
        <v>12</v>
      </c>
      <c r="AB7751" s="18">
        <f t="shared" si="242"/>
        <v>2000</v>
      </c>
      <c r="AC7751" s="22">
        <f t="shared" si="243"/>
        <v>0.64800000000000002</v>
      </c>
    </row>
    <row r="7752" spans="1:29" ht="25.5">
      <c r="A7752" s="8" t="s">
        <v>874</v>
      </c>
      <c r="B7752" s="20" t="s">
        <v>7739</v>
      </c>
      <c r="C7752" s="13">
        <v>36703</v>
      </c>
      <c r="D7752" s="13" t="s">
        <v>8465</v>
      </c>
      <c r="E7752" s="10" t="s">
        <v>86</v>
      </c>
      <c r="F7752" s="10" t="s">
        <v>30</v>
      </c>
      <c r="G7752" s="11" t="s">
        <v>223</v>
      </c>
      <c r="H7752" s="2" t="s">
        <v>64</v>
      </c>
      <c r="L7752" s="18">
        <v>0</v>
      </c>
      <c r="Q7752" s="18">
        <v>0</v>
      </c>
      <c r="U7752" s="22">
        <v>0.74</v>
      </c>
      <c r="V7752" s="22">
        <f>3.95/5</f>
        <v>0.79</v>
      </c>
      <c r="X7752" s="3">
        <v>4</v>
      </c>
      <c r="Z7752" s="23">
        <v>4</v>
      </c>
      <c r="AB7752" s="18">
        <f t="shared" si="242"/>
        <v>2000</v>
      </c>
      <c r="AC7752" s="22">
        <f t="shared" si="243"/>
        <v>0.77666666666666673</v>
      </c>
    </row>
    <row r="7753" spans="1:29" ht="30">
      <c r="A7753" s="8" t="s">
        <v>136</v>
      </c>
      <c r="B7753" s="17" t="s">
        <v>7746</v>
      </c>
      <c r="C7753" s="13">
        <v>36703</v>
      </c>
      <c r="D7753" s="13" t="s">
        <v>8465</v>
      </c>
      <c r="E7753" s="10" t="s">
        <v>86</v>
      </c>
      <c r="F7753" s="10" t="s">
        <v>1506</v>
      </c>
      <c r="G7753" s="11" t="s">
        <v>136</v>
      </c>
      <c r="H7753" s="2" t="s">
        <v>171</v>
      </c>
      <c r="L7753" s="18">
        <v>0</v>
      </c>
      <c r="Q7753" s="18">
        <v>0</v>
      </c>
      <c r="U7753" s="22">
        <v>0.74</v>
      </c>
      <c r="V7753" s="22">
        <f>3.69/5</f>
        <v>0.73799999999999999</v>
      </c>
      <c r="X7753" s="3">
        <v>3</v>
      </c>
      <c r="Z7753" s="23">
        <v>8.5</v>
      </c>
      <c r="AB7753" s="18">
        <f t="shared" si="242"/>
        <v>2000</v>
      </c>
      <c r="AC7753" s="22">
        <f t="shared" si="243"/>
        <v>0.69266666666666665</v>
      </c>
    </row>
    <row r="7754" spans="1:29" ht="38.25">
      <c r="A7754" s="8" t="s">
        <v>573</v>
      </c>
      <c r="B7754" s="17" t="s">
        <v>7733</v>
      </c>
      <c r="C7754" s="13">
        <v>36699</v>
      </c>
      <c r="D7754" s="13" t="s">
        <v>8463</v>
      </c>
      <c r="E7754" s="10" t="s">
        <v>170</v>
      </c>
      <c r="F7754" s="10" t="s">
        <v>1230</v>
      </c>
      <c r="G7754" s="11" t="s">
        <v>1231</v>
      </c>
      <c r="H7754" s="2" t="s">
        <v>75</v>
      </c>
      <c r="K7754" s="18">
        <v>1</v>
      </c>
      <c r="L7754" s="18">
        <v>0</v>
      </c>
      <c r="Q7754" s="18">
        <v>0</v>
      </c>
      <c r="V7754" s="22">
        <f>4.14/5</f>
        <v>0.82799999999999996</v>
      </c>
      <c r="X7754" s="3">
        <v>3</v>
      </c>
      <c r="AB7754" s="18">
        <f t="shared" si="242"/>
        <v>2000</v>
      </c>
      <c r="AC7754" s="22">
        <f t="shared" si="243"/>
        <v>0.71399999999999997</v>
      </c>
    </row>
    <row r="7755" spans="1:29" ht="25.5">
      <c r="A7755" s="8" t="s">
        <v>15203</v>
      </c>
      <c r="B7755" s="17" t="s">
        <v>7755</v>
      </c>
      <c r="C7755" s="13">
        <v>36699</v>
      </c>
      <c r="D7755" s="13" t="s">
        <v>8465</v>
      </c>
      <c r="E7755" s="10" t="s">
        <v>3014</v>
      </c>
      <c r="F7755" s="10" t="s">
        <v>1508</v>
      </c>
      <c r="H7755" s="2" t="s">
        <v>80</v>
      </c>
      <c r="L7755" s="18">
        <v>0</v>
      </c>
      <c r="Q7755" s="18">
        <v>0</v>
      </c>
      <c r="V7755" s="22">
        <f>3.59/5</f>
        <v>0.71799999999999997</v>
      </c>
      <c r="X7755" s="3">
        <v>2</v>
      </c>
      <c r="Z7755" s="23">
        <v>10.5</v>
      </c>
      <c r="AB7755" s="18">
        <f t="shared" si="242"/>
        <v>2000</v>
      </c>
      <c r="AC7755" s="22">
        <f t="shared" si="243"/>
        <v>0.55899999999999994</v>
      </c>
    </row>
    <row r="7756" spans="1:29">
      <c r="A7756" s="8" t="s">
        <v>3645</v>
      </c>
      <c r="B7756" s="17" t="s">
        <v>7800</v>
      </c>
      <c r="C7756" s="13">
        <v>36694</v>
      </c>
      <c r="D7756" s="13" t="s">
        <v>8465</v>
      </c>
      <c r="E7756" s="10" t="s">
        <v>1870</v>
      </c>
      <c r="F7756" s="10" t="s">
        <v>3176</v>
      </c>
      <c r="G7756" s="11" t="s">
        <v>3645</v>
      </c>
      <c r="H7756" s="2" t="s">
        <v>171</v>
      </c>
      <c r="L7756" s="18">
        <v>1</v>
      </c>
      <c r="N7756" s="13">
        <v>41725</v>
      </c>
      <c r="O7756" s="29">
        <v>1.29</v>
      </c>
      <c r="P7756" s="18" t="s">
        <v>1107</v>
      </c>
      <c r="Q7756" s="18">
        <v>0</v>
      </c>
      <c r="U7756" s="22">
        <v>0.91</v>
      </c>
      <c r="V7756" s="22">
        <f>4.4/5</f>
        <v>0.88000000000000012</v>
      </c>
      <c r="W7756" s="14" t="s">
        <v>7777</v>
      </c>
      <c r="X7756" s="3">
        <v>4</v>
      </c>
      <c r="Z7756" s="23">
        <v>23</v>
      </c>
      <c r="AB7756" s="18">
        <f t="shared" si="242"/>
        <v>2000</v>
      </c>
      <c r="AC7756" s="22">
        <f t="shared" si="243"/>
        <v>0.86333333333333329</v>
      </c>
    </row>
    <row r="7757" spans="1:29" ht="30">
      <c r="A7757" s="8" t="s">
        <v>13525</v>
      </c>
      <c r="B7757" s="17" t="s">
        <v>7733</v>
      </c>
      <c r="C7757" s="13">
        <v>36693</v>
      </c>
      <c r="D7757" s="13" t="s">
        <v>8467</v>
      </c>
      <c r="E7757" s="10" t="s">
        <v>170</v>
      </c>
      <c r="F7757" s="10" t="s">
        <v>463</v>
      </c>
      <c r="H7757" s="2" t="s">
        <v>78</v>
      </c>
      <c r="L7757" s="18">
        <v>0</v>
      </c>
      <c r="Q7757" s="18">
        <v>0</v>
      </c>
      <c r="V7757" s="22">
        <f>3.8/5</f>
        <v>0.76</v>
      </c>
      <c r="X7757" s="3">
        <v>2</v>
      </c>
      <c r="AB7757" s="18">
        <f t="shared" si="242"/>
        <v>2000</v>
      </c>
      <c r="AC7757" s="22">
        <f t="shared" si="243"/>
        <v>0.58000000000000007</v>
      </c>
    </row>
    <row r="7758" spans="1:29">
      <c r="A7758" s="8" t="s">
        <v>11947</v>
      </c>
      <c r="B7758" s="17" t="s">
        <v>7755</v>
      </c>
      <c r="C7758" s="13">
        <v>36692</v>
      </c>
      <c r="D7758" s="13" t="s">
        <v>8465</v>
      </c>
      <c r="E7758" s="10" t="s">
        <v>73</v>
      </c>
      <c r="F7758" s="10" t="s">
        <v>73</v>
      </c>
      <c r="H7758" s="2" t="s">
        <v>459</v>
      </c>
      <c r="L7758" s="18">
        <v>0</v>
      </c>
      <c r="Q7758" s="18">
        <v>0</v>
      </c>
      <c r="V7758" s="22">
        <f>4.08/5</f>
        <v>0.81600000000000006</v>
      </c>
      <c r="X7758" s="3">
        <v>3</v>
      </c>
      <c r="Z7758" s="23">
        <f>44/60</f>
        <v>0.73333333333333328</v>
      </c>
      <c r="AB7758" s="18">
        <f t="shared" si="242"/>
        <v>2000</v>
      </c>
      <c r="AC7758" s="22">
        <f t="shared" si="243"/>
        <v>0.70799999999999996</v>
      </c>
    </row>
    <row r="7759" spans="1:29" ht="25.5">
      <c r="A7759" s="8" t="s">
        <v>15055</v>
      </c>
      <c r="B7759" s="17" t="s">
        <v>7757</v>
      </c>
      <c r="C7759" s="13">
        <v>36691</v>
      </c>
      <c r="D7759" s="13" t="s">
        <v>8465</v>
      </c>
      <c r="E7759" s="10" t="s">
        <v>1273</v>
      </c>
      <c r="F7759" s="10" t="s">
        <v>15056</v>
      </c>
      <c r="H7759" s="2" t="s">
        <v>1168</v>
      </c>
      <c r="L7759" s="18">
        <v>0</v>
      </c>
      <c r="Q7759" s="18">
        <v>0</v>
      </c>
      <c r="V7759" s="22">
        <f>3.33/5</f>
        <v>0.66600000000000004</v>
      </c>
      <c r="X7759" s="3">
        <v>2</v>
      </c>
      <c r="Z7759" s="23">
        <v>11</v>
      </c>
      <c r="AB7759" s="18">
        <f t="shared" si="242"/>
        <v>2000</v>
      </c>
      <c r="AC7759" s="22">
        <f t="shared" si="243"/>
        <v>0.53300000000000003</v>
      </c>
    </row>
    <row r="7760" spans="1:29" ht="25.5">
      <c r="A7760" s="8" t="s">
        <v>2999</v>
      </c>
      <c r="B7760" s="17" t="s">
        <v>7757</v>
      </c>
      <c r="C7760" s="13">
        <v>36690</v>
      </c>
      <c r="D7760" s="13" t="s">
        <v>8465</v>
      </c>
      <c r="E7760" s="10" t="s">
        <v>1290</v>
      </c>
      <c r="F7760" s="10" t="s">
        <v>1290</v>
      </c>
      <c r="H7760" s="2" t="s">
        <v>149</v>
      </c>
      <c r="L7760" s="18">
        <v>0</v>
      </c>
      <c r="Q7760" s="18">
        <v>0</v>
      </c>
      <c r="U7760" s="22">
        <v>0.77</v>
      </c>
      <c r="V7760" s="22">
        <f>4.17/5</f>
        <v>0.83399999999999996</v>
      </c>
      <c r="X7760" s="3">
        <v>4</v>
      </c>
      <c r="Z7760" s="23">
        <v>47.5</v>
      </c>
      <c r="AB7760" s="18">
        <f t="shared" si="242"/>
        <v>2000</v>
      </c>
      <c r="AC7760" s="22">
        <f t="shared" si="243"/>
        <v>0.80133333333333334</v>
      </c>
    </row>
    <row r="7761" spans="1:29">
      <c r="A7761" s="8" t="s">
        <v>6598</v>
      </c>
      <c r="B7761" s="20" t="s">
        <v>7739</v>
      </c>
      <c r="C7761" s="13">
        <v>36690</v>
      </c>
      <c r="D7761" s="13" t="s">
        <v>8465</v>
      </c>
      <c r="E7761" s="10" t="s">
        <v>1296</v>
      </c>
      <c r="F7761" s="10" t="s">
        <v>1296</v>
      </c>
      <c r="G7761" s="11" t="s">
        <v>6599</v>
      </c>
      <c r="H7761" s="2" t="s">
        <v>1143</v>
      </c>
      <c r="L7761" s="18">
        <v>0</v>
      </c>
      <c r="Q7761" s="18">
        <v>0</v>
      </c>
      <c r="U7761" s="22">
        <v>0.77</v>
      </c>
      <c r="V7761" s="22">
        <f>3.52/5</f>
        <v>0.70399999999999996</v>
      </c>
      <c r="X7761" s="3">
        <v>3</v>
      </c>
      <c r="Z7761" s="23">
        <v>87.5</v>
      </c>
      <c r="AB7761" s="18">
        <f t="shared" si="242"/>
        <v>2000</v>
      </c>
      <c r="AC7761" s="22">
        <f t="shared" si="243"/>
        <v>0.69133333333333324</v>
      </c>
    </row>
    <row r="7762" spans="1:29">
      <c r="A7762" s="8" t="s">
        <v>1853</v>
      </c>
      <c r="B7762" s="17" t="s">
        <v>7746</v>
      </c>
      <c r="C7762" s="13">
        <v>36685</v>
      </c>
      <c r="D7762" s="13" t="s">
        <v>8465</v>
      </c>
      <c r="E7762" s="10" t="s">
        <v>1870</v>
      </c>
      <c r="F7762" s="10" t="s">
        <v>1282</v>
      </c>
      <c r="G7762" s="11" t="s">
        <v>1853</v>
      </c>
      <c r="H7762" s="2" t="s">
        <v>80</v>
      </c>
      <c r="L7762" s="18">
        <v>0</v>
      </c>
      <c r="Q7762" s="18">
        <v>0</v>
      </c>
      <c r="U7762" s="22">
        <v>0.79</v>
      </c>
      <c r="V7762" s="22">
        <f>2.9/5</f>
        <v>0.57999999999999996</v>
      </c>
      <c r="X7762" s="3">
        <v>3</v>
      </c>
      <c r="Z7762" s="23">
        <v>6</v>
      </c>
      <c r="AB7762" s="18">
        <f t="shared" si="242"/>
        <v>2000</v>
      </c>
      <c r="AC7762" s="22">
        <f t="shared" si="243"/>
        <v>0.65666666666666673</v>
      </c>
    </row>
    <row r="7763" spans="1:29" ht="25.5">
      <c r="A7763" s="8" t="s">
        <v>10993</v>
      </c>
      <c r="B7763" s="17" t="s">
        <v>7755</v>
      </c>
      <c r="C7763" s="13">
        <v>36684</v>
      </c>
      <c r="D7763" s="13" t="s">
        <v>8465</v>
      </c>
      <c r="E7763" s="10" t="s">
        <v>1273</v>
      </c>
      <c r="F7763" s="10" t="s">
        <v>10994</v>
      </c>
      <c r="G7763" s="11" t="s">
        <v>2901</v>
      </c>
      <c r="H7763" s="2" t="s">
        <v>143</v>
      </c>
      <c r="L7763" s="18">
        <v>0</v>
      </c>
      <c r="Q7763" s="18">
        <v>0</v>
      </c>
      <c r="V7763" s="22">
        <f>3.9/5</f>
        <v>0.78</v>
      </c>
      <c r="X7763" s="3">
        <v>3</v>
      </c>
      <c r="Z7763" s="23">
        <v>5</v>
      </c>
      <c r="AB7763" s="18">
        <f t="shared" si="242"/>
        <v>2000</v>
      </c>
      <c r="AC7763" s="22">
        <f t="shared" si="243"/>
        <v>0.69</v>
      </c>
    </row>
    <row r="7764" spans="1:29" ht="38.25">
      <c r="A7764" s="8" t="s">
        <v>13459</v>
      </c>
      <c r="B7764" s="17" t="s">
        <v>7800</v>
      </c>
      <c r="C7764" s="13">
        <v>36684</v>
      </c>
      <c r="D7764" s="13" t="s">
        <v>8465</v>
      </c>
      <c r="E7764" s="10" t="s">
        <v>1273</v>
      </c>
      <c r="F7764" s="10" t="s">
        <v>6284</v>
      </c>
      <c r="G7764" s="11" t="s">
        <v>5497</v>
      </c>
      <c r="H7764" s="2" t="s">
        <v>1720</v>
      </c>
      <c r="L7764" s="18">
        <v>0</v>
      </c>
      <c r="Q7764" s="18">
        <v>0</v>
      </c>
      <c r="U7764" s="22">
        <v>0.74</v>
      </c>
      <c r="V7764" s="22">
        <f>3.68/5</f>
        <v>0.73599999999999999</v>
      </c>
      <c r="X7764" s="3">
        <v>3</v>
      </c>
      <c r="Z7764" s="23">
        <v>18.5</v>
      </c>
      <c r="AB7764" s="18">
        <f t="shared" si="242"/>
        <v>2000</v>
      </c>
      <c r="AC7764" s="22">
        <f t="shared" si="243"/>
        <v>0.69200000000000006</v>
      </c>
    </row>
    <row r="7765" spans="1:29">
      <c r="A7765" s="8" t="s">
        <v>2942</v>
      </c>
      <c r="B7765" s="17" t="s">
        <v>7757</v>
      </c>
      <c r="C7765" s="13">
        <v>36683</v>
      </c>
      <c r="D7765" s="13" t="s">
        <v>8465</v>
      </c>
      <c r="E7765" s="10" t="s">
        <v>161</v>
      </c>
      <c r="F7765" s="10" t="s">
        <v>161</v>
      </c>
      <c r="G7765" s="11" t="s">
        <v>1253</v>
      </c>
      <c r="H7765" s="2" t="s">
        <v>171</v>
      </c>
      <c r="L7765" s="18">
        <v>0</v>
      </c>
      <c r="Q7765" s="18">
        <v>0</v>
      </c>
      <c r="U7765" s="22">
        <v>0.73</v>
      </c>
      <c r="V7765" s="22">
        <f>4.08/5</f>
        <v>0.81600000000000006</v>
      </c>
      <c r="X7765" s="3">
        <v>3</v>
      </c>
      <c r="Z7765" s="23">
        <v>18</v>
      </c>
      <c r="AB7765" s="18">
        <f t="shared" si="242"/>
        <v>2000</v>
      </c>
      <c r="AC7765" s="22">
        <f t="shared" si="243"/>
        <v>0.71533333333333327</v>
      </c>
    </row>
    <row r="7766" spans="1:29">
      <c r="A7766" s="8" t="s">
        <v>13208</v>
      </c>
      <c r="B7766" s="17" t="s">
        <v>7746</v>
      </c>
      <c r="C7766" s="13">
        <v>36683</v>
      </c>
      <c r="D7766" s="13" t="s">
        <v>8465</v>
      </c>
      <c r="E7766" s="10" t="s">
        <v>1342</v>
      </c>
      <c r="F7766" s="10" t="s">
        <v>13209</v>
      </c>
      <c r="G7766" s="11" t="s">
        <v>13208</v>
      </c>
      <c r="H7766" s="2" t="s">
        <v>64</v>
      </c>
      <c r="L7766" s="18">
        <v>0</v>
      </c>
      <c r="Q7766" s="18">
        <v>0</v>
      </c>
      <c r="V7766" s="22">
        <f>3.13/5</f>
        <v>0.626</v>
      </c>
      <c r="X7766" s="3">
        <v>2</v>
      </c>
      <c r="Z7766" s="23">
        <v>2</v>
      </c>
      <c r="AB7766" s="18">
        <f t="shared" si="242"/>
        <v>2000</v>
      </c>
      <c r="AC7766" s="22">
        <f t="shared" si="243"/>
        <v>0.51300000000000001</v>
      </c>
    </row>
    <row r="7767" spans="1:29">
      <c r="A7767" s="8" t="s">
        <v>2756</v>
      </c>
      <c r="B7767" s="17" t="s">
        <v>7755</v>
      </c>
      <c r="C7767" s="13">
        <v>36681</v>
      </c>
      <c r="D7767" s="13" t="s">
        <v>8465</v>
      </c>
      <c r="E7767" s="10" t="s">
        <v>455</v>
      </c>
      <c r="F7767" s="10" t="s">
        <v>2771</v>
      </c>
      <c r="G7767" s="11" t="s">
        <v>2756</v>
      </c>
      <c r="H7767" s="2" t="s">
        <v>1220</v>
      </c>
      <c r="L7767" s="18">
        <v>0</v>
      </c>
      <c r="Q7767" s="18">
        <v>0</v>
      </c>
      <c r="U7767" s="22">
        <v>0.84</v>
      </c>
      <c r="V7767" s="22">
        <f>3.7/5</f>
        <v>0.74</v>
      </c>
      <c r="X7767" s="3">
        <v>3</v>
      </c>
      <c r="Z7767" s="23">
        <v>1.5</v>
      </c>
      <c r="AB7767" s="18">
        <f t="shared" si="242"/>
        <v>2000</v>
      </c>
      <c r="AC7767" s="22">
        <f t="shared" si="243"/>
        <v>0.72666666666666668</v>
      </c>
    </row>
    <row r="7768" spans="1:29" ht="30">
      <c r="A7768" s="8" t="s">
        <v>11817</v>
      </c>
      <c r="B7768" s="17" t="s">
        <v>7733</v>
      </c>
      <c r="C7768" s="12">
        <v>36678</v>
      </c>
      <c r="D7768" s="13" t="s">
        <v>8467</v>
      </c>
      <c r="E7768" s="10" t="s">
        <v>170</v>
      </c>
      <c r="F7768" s="10" t="s">
        <v>3022</v>
      </c>
      <c r="H7768" s="2" t="s">
        <v>75</v>
      </c>
      <c r="L7768" s="18">
        <v>0</v>
      </c>
      <c r="Q7768" s="18">
        <v>0</v>
      </c>
      <c r="V7768" s="22">
        <f>4.11/5</f>
        <v>0.82200000000000006</v>
      </c>
      <c r="X7768" s="3">
        <v>3</v>
      </c>
      <c r="Z7768" s="23">
        <v>10</v>
      </c>
      <c r="AB7768" s="18">
        <f t="shared" si="242"/>
        <v>2000</v>
      </c>
      <c r="AC7768" s="22">
        <f t="shared" si="243"/>
        <v>0.71100000000000008</v>
      </c>
    </row>
    <row r="7769" spans="1:29">
      <c r="A7769" s="8" t="s">
        <v>13678</v>
      </c>
      <c r="B7769" s="17" t="s">
        <v>7736</v>
      </c>
      <c r="C7769" s="13">
        <v>36678</v>
      </c>
      <c r="D7769" s="13" t="s">
        <v>8463</v>
      </c>
      <c r="E7769" s="10" t="s">
        <v>86</v>
      </c>
      <c r="F7769" s="10" t="s">
        <v>1794</v>
      </c>
      <c r="G7769" s="11" t="s">
        <v>10286</v>
      </c>
      <c r="H7769" s="2" t="s">
        <v>78</v>
      </c>
      <c r="K7769" s="18">
        <v>0</v>
      </c>
      <c r="L7769" s="18">
        <v>0</v>
      </c>
      <c r="Q7769" s="18">
        <v>0</v>
      </c>
      <c r="V7769" s="22">
        <f>3.9/5</f>
        <v>0.78</v>
      </c>
      <c r="W7769" s="14" t="s">
        <v>13672</v>
      </c>
      <c r="X7769" s="3">
        <v>3</v>
      </c>
      <c r="AB7769" s="18">
        <f t="shared" si="242"/>
        <v>2000</v>
      </c>
      <c r="AC7769" s="22">
        <f t="shared" si="243"/>
        <v>0.69</v>
      </c>
    </row>
    <row r="7770" spans="1:29" ht="30">
      <c r="A7770" s="8" t="s">
        <v>10461</v>
      </c>
      <c r="B7770" s="17" t="s">
        <v>7757</v>
      </c>
      <c r="C7770" s="13">
        <v>36678</v>
      </c>
      <c r="D7770" s="13" t="s">
        <v>8463</v>
      </c>
      <c r="E7770" s="10" t="s">
        <v>2908</v>
      </c>
      <c r="F7770" s="10" t="s">
        <v>2908</v>
      </c>
      <c r="H7770" s="2" t="s">
        <v>67</v>
      </c>
      <c r="K7770" s="18">
        <v>2</v>
      </c>
      <c r="L7770" s="18">
        <v>0</v>
      </c>
      <c r="Q7770" s="18">
        <v>0</v>
      </c>
      <c r="V7770" s="22">
        <f>3.93/5</f>
        <v>0.78600000000000003</v>
      </c>
      <c r="X7770" s="3">
        <v>2</v>
      </c>
      <c r="Z7770" s="23">
        <v>3.5</v>
      </c>
      <c r="AB7770" s="18">
        <f t="shared" si="242"/>
        <v>2000</v>
      </c>
      <c r="AC7770" s="22">
        <f t="shared" si="243"/>
        <v>0.59299999999999997</v>
      </c>
    </row>
    <row r="7771" spans="1:29" ht="25.5">
      <c r="A7771" s="8" t="s">
        <v>12261</v>
      </c>
      <c r="B7771" s="17" t="s">
        <v>7746</v>
      </c>
      <c r="C7771" s="12">
        <v>36678</v>
      </c>
      <c r="D7771" s="13" t="s">
        <v>8465</v>
      </c>
      <c r="E7771" s="10" t="s">
        <v>2763</v>
      </c>
      <c r="F7771" s="10" t="s">
        <v>12262</v>
      </c>
      <c r="G7771" s="11" t="s">
        <v>12263</v>
      </c>
      <c r="H7771" s="2" t="s">
        <v>1377</v>
      </c>
      <c r="L7771" s="18">
        <v>0</v>
      </c>
      <c r="Q7771" s="18">
        <v>0</v>
      </c>
      <c r="V7771" s="22">
        <f>3.15/5</f>
        <v>0.63</v>
      </c>
      <c r="X7771" s="3">
        <v>2</v>
      </c>
      <c r="Z7771" s="23">
        <v>15.5</v>
      </c>
      <c r="AB7771" s="18">
        <f t="shared" si="242"/>
        <v>2000</v>
      </c>
      <c r="AC7771" s="22">
        <f t="shared" si="243"/>
        <v>0.51500000000000001</v>
      </c>
    </row>
    <row r="7772" spans="1:29">
      <c r="A7772" s="8" t="s">
        <v>1855</v>
      </c>
      <c r="B7772" s="17" t="s">
        <v>7746</v>
      </c>
      <c r="C7772" s="13">
        <v>36676</v>
      </c>
      <c r="D7772" s="13" t="s">
        <v>8465</v>
      </c>
      <c r="E7772" s="10" t="s">
        <v>86</v>
      </c>
      <c r="F7772" s="10" t="s">
        <v>142</v>
      </c>
      <c r="G7772" s="11" t="s">
        <v>1428</v>
      </c>
      <c r="H7772" s="2" t="s">
        <v>56</v>
      </c>
      <c r="L7772" s="18">
        <v>0</v>
      </c>
      <c r="Q7772" s="18">
        <v>0</v>
      </c>
      <c r="U7772" s="22">
        <v>0.9</v>
      </c>
      <c r="V7772" s="22">
        <f>3.98/5</f>
        <v>0.79600000000000004</v>
      </c>
      <c r="X7772" s="3">
        <v>3</v>
      </c>
      <c r="Z7772" s="23">
        <v>12</v>
      </c>
      <c r="AB7772" s="18">
        <f t="shared" si="242"/>
        <v>2000</v>
      </c>
      <c r="AC7772" s="22">
        <f t="shared" si="243"/>
        <v>0.76533333333333342</v>
      </c>
    </row>
    <row r="7773" spans="1:29" ht="25.5">
      <c r="A7773" s="8" t="s">
        <v>8391</v>
      </c>
      <c r="B7773" s="17" t="s">
        <v>7739</v>
      </c>
      <c r="C7773" s="13">
        <v>36674</v>
      </c>
      <c r="D7773" s="13" t="s">
        <v>8465</v>
      </c>
      <c r="E7773" s="10" t="s">
        <v>2763</v>
      </c>
      <c r="F7773" s="10" t="s">
        <v>62</v>
      </c>
      <c r="G7773" s="11" t="s">
        <v>7674</v>
      </c>
      <c r="H7773" s="2" t="s">
        <v>80</v>
      </c>
      <c r="L7773" s="18">
        <v>0</v>
      </c>
      <c r="Q7773" s="18">
        <v>0</v>
      </c>
      <c r="V7773" s="22">
        <f>3.97/5</f>
        <v>0.79400000000000004</v>
      </c>
      <c r="X7773" s="3">
        <v>3</v>
      </c>
      <c r="Z7773" s="23">
        <v>6</v>
      </c>
      <c r="AB7773" s="18">
        <f t="shared" si="242"/>
        <v>2000</v>
      </c>
      <c r="AC7773" s="22">
        <f t="shared" si="243"/>
        <v>0.69700000000000006</v>
      </c>
    </row>
    <row r="7774" spans="1:29" ht="25.5">
      <c r="A7774" s="8" t="s">
        <v>8923</v>
      </c>
      <c r="B7774" s="17" t="s">
        <v>7757</v>
      </c>
      <c r="C7774" s="13">
        <v>36671</v>
      </c>
      <c r="D7774" s="13" t="s">
        <v>8463</v>
      </c>
      <c r="E7774" s="10" t="s">
        <v>470</v>
      </c>
      <c r="F7774" s="10" t="s">
        <v>470</v>
      </c>
      <c r="G7774" s="11" t="s">
        <v>299</v>
      </c>
      <c r="H7774" s="2" t="s">
        <v>75</v>
      </c>
      <c r="K7774" s="18">
        <v>0</v>
      </c>
      <c r="L7774" s="18">
        <v>0</v>
      </c>
      <c r="Q7774" s="18">
        <v>0</v>
      </c>
      <c r="V7774" s="22">
        <f>4.15/5</f>
        <v>0.83000000000000007</v>
      </c>
      <c r="X7774" s="3">
        <v>3</v>
      </c>
      <c r="AB7774" s="18">
        <f t="shared" si="242"/>
        <v>2000</v>
      </c>
      <c r="AC7774" s="22">
        <f t="shared" si="243"/>
        <v>0.71500000000000008</v>
      </c>
    </row>
    <row r="7775" spans="1:29">
      <c r="A7775" s="8" t="s">
        <v>14597</v>
      </c>
      <c r="B7775" s="17" t="s">
        <v>7755</v>
      </c>
      <c r="C7775" s="13">
        <v>36671</v>
      </c>
      <c r="D7775" s="13" t="s">
        <v>8463</v>
      </c>
      <c r="E7775" s="10" t="s">
        <v>455</v>
      </c>
      <c r="F7775" s="10" t="s">
        <v>2510</v>
      </c>
      <c r="G7775" s="11" t="s">
        <v>13569</v>
      </c>
      <c r="H7775" s="2" t="s">
        <v>171</v>
      </c>
      <c r="K7775" s="18">
        <v>2</v>
      </c>
      <c r="L7775" s="18">
        <v>0</v>
      </c>
      <c r="Q7775" s="18">
        <v>0</v>
      </c>
      <c r="V7775" s="22">
        <f>3.75/5</f>
        <v>0.75</v>
      </c>
      <c r="X7775" s="3">
        <v>2</v>
      </c>
      <c r="Z7775" s="23">
        <v>16</v>
      </c>
      <c r="AB7775" s="18">
        <f t="shared" si="242"/>
        <v>2000</v>
      </c>
      <c r="AC7775" s="22">
        <f t="shared" si="243"/>
        <v>0.57499999999999996</v>
      </c>
    </row>
    <row r="7776" spans="1:29">
      <c r="A7776" s="8" t="s">
        <v>6612</v>
      </c>
      <c r="B7776" s="17" t="s">
        <v>7757</v>
      </c>
      <c r="C7776" s="13">
        <v>36669</v>
      </c>
      <c r="D7776" s="13" t="s">
        <v>8465</v>
      </c>
      <c r="E7776" s="10" t="s">
        <v>72</v>
      </c>
      <c r="F7776" s="10" t="s">
        <v>6611</v>
      </c>
      <c r="G7776" s="11" t="s">
        <v>6610</v>
      </c>
      <c r="H7776" s="2" t="s">
        <v>1061</v>
      </c>
      <c r="L7776" s="18">
        <v>0</v>
      </c>
      <c r="Q7776" s="18">
        <v>0</v>
      </c>
      <c r="U7776" s="22">
        <v>0.64</v>
      </c>
      <c r="V7776" s="22">
        <f>3.5/5</f>
        <v>0.7</v>
      </c>
      <c r="X7776" s="3">
        <v>3</v>
      </c>
      <c r="Z7776" s="23">
        <v>5</v>
      </c>
      <c r="AB7776" s="18">
        <f t="shared" si="242"/>
        <v>2000</v>
      </c>
      <c r="AC7776" s="22">
        <f t="shared" si="243"/>
        <v>0.64666666666666661</v>
      </c>
    </row>
    <row r="7777" spans="1:29">
      <c r="A7777" s="8" t="s">
        <v>8878</v>
      </c>
      <c r="B7777" s="17" t="s">
        <v>7757</v>
      </c>
      <c r="C7777" s="13">
        <v>36669</v>
      </c>
      <c r="D7777" s="13" t="s">
        <v>8465</v>
      </c>
      <c r="E7777" s="10" t="s">
        <v>157</v>
      </c>
      <c r="F7777" s="10" t="s">
        <v>157</v>
      </c>
      <c r="G7777" s="11" t="s">
        <v>8877</v>
      </c>
      <c r="H7777" s="2" t="s">
        <v>149</v>
      </c>
      <c r="L7777" s="18">
        <v>0</v>
      </c>
      <c r="Q7777" s="18">
        <v>0</v>
      </c>
      <c r="V7777" s="22">
        <f>3.9/5</f>
        <v>0.78</v>
      </c>
      <c r="X7777" s="3">
        <v>2</v>
      </c>
      <c r="Z7777" s="23">
        <v>36</v>
      </c>
      <c r="AB7777" s="18">
        <f t="shared" si="242"/>
        <v>2000</v>
      </c>
      <c r="AC7777" s="22">
        <f t="shared" si="243"/>
        <v>0.59000000000000008</v>
      </c>
    </row>
    <row r="7778" spans="1:29">
      <c r="A7778" s="8" t="s">
        <v>3540</v>
      </c>
      <c r="B7778" s="17" t="s">
        <v>7800</v>
      </c>
      <c r="C7778" s="13">
        <v>36668</v>
      </c>
      <c r="D7778" s="13" t="s">
        <v>8465</v>
      </c>
      <c r="E7778" s="10" t="s">
        <v>1870</v>
      </c>
      <c r="F7778" s="10" t="s">
        <v>3176</v>
      </c>
      <c r="G7778" s="11" t="s">
        <v>3540</v>
      </c>
      <c r="H7778" s="2" t="s">
        <v>1050</v>
      </c>
      <c r="L7778" s="18">
        <v>1</v>
      </c>
      <c r="N7778" s="13">
        <v>41842</v>
      </c>
      <c r="P7778" s="18" t="s">
        <v>1107</v>
      </c>
      <c r="Q7778" s="18">
        <v>0</v>
      </c>
      <c r="U7778" s="22">
        <v>0.54</v>
      </c>
      <c r="V7778" s="22">
        <f>2.2/5</f>
        <v>0.44000000000000006</v>
      </c>
      <c r="W7778" s="14" t="s">
        <v>7777</v>
      </c>
      <c r="X7778" s="3">
        <v>3</v>
      </c>
      <c r="Z7778" s="23">
        <v>12.5</v>
      </c>
      <c r="AB7778" s="18">
        <f t="shared" si="242"/>
        <v>2000</v>
      </c>
      <c r="AC7778" s="22">
        <f t="shared" si="243"/>
        <v>0.52666666666666673</v>
      </c>
    </row>
    <row r="7779" spans="1:29" ht="30">
      <c r="A7779" s="8" t="s">
        <v>571</v>
      </c>
      <c r="B7779" s="17" t="s">
        <v>7733</v>
      </c>
      <c r="C7779" s="13">
        <v>36668</v>
      </c>
      <c r="D7779" s="13" t="s">
        <v>8465</v>
      </c>
      <c r="E7779" s="10" t="s">
        <v>170</v>
      </c>
      <c r="F7779" s="10" t="s">
        <v>1229</v>
      </c>
      <c r="G7779" s="11" t="s">
        <v>450</v>
      </c>
      <c r="H7779" s="2" t="s">
        <v>147</v>
      </c>
      <c r="L7779" s="18">
        <v>0</v>
      </c>
      <c r="Q7779" s="18">
        <v>0</v>
      </c>
      <c r="V7779" s="22">
        <f>3.99/5</f>
        <v>0.79800000000000004</v>
      </c>
      <c r="X7779" s="3">
        <v>3</v>
      </c>
      <c r="Z7779" s="23">
        <v>1.5</v>
      </c>
      <c r="AB7779" s="18">
        <f t="shared" si="242"/>
        <v>2000</v>
      </c>
      <c r="AC7779" s="22">
        <f t="shared" si="243"/>
        <v>0.69900000000000007</v>
      </c>
    </row>
    <row r="7780" spans="1:29" ht="30">
      <c r="A7780" s="8" t="s">
        <v>9628</v>
      </c>
      <c r="B7780" s="17" t="s">
        <v>7785</v>
      </c>
      <c r="C7780" s="13">
        <v>36668</v>
      </c>
      <c r="D7780" s="13" t="s">
        <v>8465</v>
      </c>
      <c r="E7780" s="10" t="s">
        <v>9629</v>
      </c>
      <c r="F7780" s="10" t="s">
        <v>3152</v>
      </c>
      <c r="H7780" s="2" t="s">
        <v>1204</v>
      </c>
      <c r="L7780" s="18">
        <v>0</v>
      </c>
      <c r="Q7780" s="18">
        <v>0</v>
      </c>
      <c r="V7780" s="22">
        <f>4.43/5</f>
        <v>0.8859999999999999</v>
      </c>
      <c r="X7780" s="3">
        <v>2</v>
      </c>
      <c r="AB7780" s="18">
        <f t="shared" si="242"/>
        <v>2000</v>
      </c>
      <c r="AC7780" s="22">
        <f t="shared" si="243"/>
        <v>0.64300000000000002</v>
      </c>
    </row>
    <row r="7781" spans="1:29">
      <c r="A7781" s="8" t="s">
        <v>3011</v>
      </c>
      <c r="B7781" s="17" t="s">
        <v>7757</v>
      </c>
      <c r="C7781" s="13">
        <v>36661</v>
      </c>
      <c r="D7781" s="13" t="s">
        <v>8465</v>
      </c>
      <c r="E7781" s="10" t="s">
        <v>161</v>
      </c>
      <c r="F7781" s="10" t="s">
        <v>161</v>
      </c>
      <c r="H7781" s="2" t="s">
        <v>171</v>
      </c>
      <c r="L7781" s="18">
        <v>0</v>
      </c>
      <c r="Q7781" s="18">
        <v>0</v>
      </c>
      <c r="U7781" s="22">
        <v>0.92</v>
      </c>
      <c r="V7781" s="22">
        <f>4.12/5</f>
        <v>0.82400000000000007</v>
      </c>
      <c r="X7781" s="3">
        <v>5</v>
      </c>
      <c r="Y7781" s="18">
        <v>1</v>
      </c>
      <c r="Z7781" s="23">
        <v>23</v>
      </c>
      <c r="AB7781" s="18">
        <f t="shared" si="242"/>
        <v>2000</v>
      </c>
      <c r="AC7781" s="22">
        <f t="shared" si="243"/>
        <v>0.91466666666666674</v>
      </c>
    </row>
    <row r="7782" spans="1:29" ht="25.5">
      <c r="A7782" s="8" t="s">
        <v>7675</v>
      </c>
      <c r="B7782" s="17" t="s">
        <v>7746</v>
      </c>
      <c r="C7782" s="13">
        <v>36660</v>
      </c>
      <c r="D7782" s="13" t="s">
        <v>8465</v>
      </c>
      <c r="E7782" s="10" t="s">
        <v>62</v>
      </c>
      <c r="F7782" s="10" t="s">
        <v>62</v>
      </c>
      <c r="G7782" s="11" t="s">
        <v>7674</v>
      </c>
      <c r="H7782" s="2" t="s">
        <v>143</v>
      </c>
      <c r="L7782" s="18">
        <v>0</v>
      </c>
      <c r="Q7782" s="18">
        <v>0</v>
      </c>
      <c r="U7782" s="22">
        <v>0.75</v>
      </c>
      <c r="V7782" s="22">
        <f>3.73/5</f>
        <v>0.746</v>
      </c>
      <c r="X7782" s="3">
        <v>2</v>
      </c>
      <c r="Z7782" s="23">
        <v>3.5</v>
      </c>
      <c r="AB7782" s="18">
        <f t="shared" si="242"/>
        <v>2000</v>
      </c>
      <c r="AC7782" s="22">
        <f t="shared" si="243"/>
        <v>0.63200000000000001</v>
      </c>
    </row>
    <row r="7783" spans="1:29">
      <c r="A7783" s="8" t="s">
        <v>7502</v>
      </c>
      <c r="B7783" s="17" t="s">
        <v>7757</v>
      </c>
      <c r="C7783" s="13">
        <v>36655</v>
      </c>
      <c r="D7783" s="13" t="s">
        <v>8465</v>
      </c>
      <c r="E7783" s="10" t="s">
        <v>158</v>
      </c>
      <c r="F7783" s="10" t="s">
        <v>158</v>
      </c>
      <c r="G7783" s="11" t="s">
        <v>7502</v>
      </c>
      <c r="H7783" s="2" t="s">
        <v>78</v>
      </c>
      <c r="L7783" s="18">
        <v>0</v>
      </c>
      <c r="Q7783" s="18">
        <v>0</v>
      </c>
      <c r="V7783" s="22">
        <f>3.63/5</f>
        <v>0.72599999999999998</v>
      </c>
      <c r="X7783" s="3">
        <v>2</v>
      </c>
      <c r="Z7783" s="23">
        <v>1</v>
      </c>
      <c r="AB7783" s="18">
        <f t="shared" si="242"/>
        <v>2000</v>
      </c>
      <c r="AC7783" s="22">
        <f t="shared" si="243"/>
        <v>0.56299999999999994</v>
      </c>
    </row>
    <row r="7784" spans="1:29">
      <c r="A7784" s="8" t="s">
        <v>16041</v>
      </c>
      <c r="B7784" s="17" t="s">
        <v>7800</v>
      </c>
      <c r="C7784" s="12">
        <v>36647</v>
      </c>
      <c r="D7784" s="13" t="s">
        <v>8465</v>
      </c>
      <c r="E7784" s="10" t="s">
        <v>1480</v>
      </c>
      <c r="F7784" s="10" t="s">
        <v>16042</v>
      </c>
      <c r="G7784" s="11" t="s">
        <v>16035</v>
      </c>
      <c r="H7784" s="2" t="s">
        <v>31</v>
      </c>
      <c r="L7784" s="18">
        <v>0</v>
      </c>
      <c r="Q7784" s="18">
        <v>0</v>
      </c>
      <c r="V7784" s="22">
        <f>3.63/5</f>
        <v>0.72599999999999998</v>
      </c>
      <c r="X7784" s="3">
        <v>2</v>
      </c>
      <c r="AB7784" s="18">
        <f t="shared" si="242"/>
        <v>2000</v>
      </c>
      <c r="AC7784" s="22">
        <f t="shared" si="243"/>
        <v>0.56299999999999994</v>
      </c>
    </row>
    <row r="7785" spans="1:29" ht="25.5">
      <c r="A7785" s="8" t="s">
        <v>3000</v>
      </c>
      <c r="B7785" s="17" t="s">
        <v>7757</v>
      </c>
      <c r="C7785" s="13">
        <v>36646</v>
      </c>
      <c r="D7785" s="13" t="s">
        <v>8465</v>
      </c>
      <c r="E7785" s="10" t="s">
        <v>73</v>
      </c>
      <c r="F7785" s="10" t="s">
        <v>73</v>
      </c>
      <c r="G7785" s="11" t="s">
        <v>3006</v>
      </c>
      <c r="H7785" s="2" t="s">
        <v>143</v>
      </c>
      <c r="L7785" s="18">
        <v>0</v>
      </c>
      <c r="Q7785" s="18">
        <v>0</v>
      </c>
      <c r="U7785" s="22">
        <v>0.77</v>
      </c>
      <c r="V7785" s="22">
        <f>4.16/5</f>
        <v>0.83200000000000007</v>
      </c>
      <c r="X7785" s="3">
        <v>4</v>
      </c>
      <c r="Z7785" s="23">
        <v>8.5</v>
      </c>
      <c r="AB7785" s="18">
        <f t="shared" si="242"/>
        <v>2000</v>
      </c>
      <c r="AC7785" s="22">
        <f t="shared" si="243"/>
        <v>0.80066666666666675</v>
      </c>
    </row>
    <row r="7786" spans="1:29">
      <c r="A7786" s="8" t="s">
        <v>3004</v>
      </c>
      <c r="B7786" s="17" t="s">
        <v>7757</v>
      </c>
      <c r="C7786" s="13">
        <v>36646</v>
      </c>
      <c r="D7786" s="13" t="s">
        <v>8465</v>
      </c>
      <c r="E7786" s="10" t="s">
        <v>1290</v>
      </c>
      <c r="F7786" s="10" t="s">
        <v>3037</v>
      </c>
      <c r="G7786" s="11" t="s">
        <v>3003</v>
      </c>
      <c r="H7786" s="2" t="s">
        <v>149</v>
      </c>
      <c r="L7786" s="18">
        <v>0</v>
      </c>
      <c r="Q7786" s="18">
        <v>0</v>
      </c>
      <c r="U7786" s="22">
        <v>0.68</v>
      </c>
      <c r="V7786" s="22">
        <f>3.98/5</f>
        <v>0.79600000000000004</v>
      </c>
      <c r="X7786" s="3">
        <v>4</v>
      </c>
      <c r="Z7786" s="23">
        <v>41</v>
      </c>
      <c r="AB7786" s="18">
        <f t="shared" si="242"/>
        <v>2000</v>
      </c>
      <c r="AC7786" s="22">
        <f t="shared" si="243"/>
        <v>0.7586666666666666</v>
      </c>
    </row>
    <row r="7787" spans="1:29">
      <c r="A7787" s="8" t="s">
        <v>855</v>
      </c>
      <c r="B7787" s="20" t="s">
        <v>7739</v>
      </c>
      <c r="C7787" s="13">
        <v>36646</v>
      </c>
      <c r="D7787" s="13" t="s">
        <v>8465</v>
      </c>
      <c r="E7787" s="10" t="s">
        <v>86</v>
      </c>
      <c r="F7787" s="10" t="s">
        <v>1467</v>
      </c>
      <c r="G7787" s="11" t="s">
        <v>138</v>
      </c>
      <c r="H7787" s="2" t="s">
        <v>150</v>
      </c>
      <c r="L7787" s="18">
        <v>0</v>
      </c>
      <c r="Q7787" s="18">
        <v>0</v>
      </c>
      <c r="U7787" s="22">
        <v>0.89</v>
      </c>
      <c r="V7787" s="22">
        <f>3.61/5</f>
        <v>0.72199999999999998</v>
      </c>
      <c r="X7787" s="3">
        <v>3</v>
      </c>
      <c r="Z7787" s="23">
        <v>2</v>
      </c>
      <c r="AB7787" s="18">
        <f t="shared" si="242"/>
        <v>2000</v>
      </c>
      <c r="AC7787" s="22">
        <f t="shared" si="243"/>
        <v>0.7373333333333334</v>
      </c>
    </row>
    <row r="7788" spans="1:29" ht="30">
      <c r="A7788" s="8" t="s">
        <v>7994</v>
      </c>
      <c r="B7788" s="17" t="s">
        <v>7757</v>
      </c>
      <c r="C7788" s="13">
        <v>36646</v>
      </c>
      <c r="D7788" s="13" t="s">
        <v>8465</v>
      </c>
      <c r="E7788" s="10" t="s">
        <v>2908</v>
      </c>
      <c r="F7788" s="10" t="s">
        <v>7993</v>
      </c>
      <c r="G7788" s="11" t="s">
        <v>7991</v>
      </c>
      <c r="H7788" s="2" t="s">
        <v>80</v>
      </c>
      <c r="L7788" s="18">
        <v>0</v>
      </c>
      <c r="Q7788" s="18">
        <v>0</v>
      </c>
      <c r="U7788" s="22">
        <v>0.79469999999999996</v>
      </c>
      <c r="V7788" s="22">
        <f>3.7/5</f>
        <v>0.74</v>
      </c>
      <c r="X7788" s="3">
        <v>3</v>
      </c>
      <c r="Z7788" s="23">
        <v>5.5</v>
      </c>
      <c r="AB7788" s="18">
        <f t="shared" si="242"/>
        <v>2000</v>
      </c>
      <c r="AC7788" s="22">
        <f t="shared" si="243"/>
        <v>0.71156666666666668</v>
      </c>
    </row>
    <row r="7789" spans="1:29">
      <c r="A7789" s="8" t="s">
        <v>2966</v>
      </c>
      <c r="B7789" s="17" t="s">
        <v>7757</v>
      </c>
      <c r="C7789" s="13">
        <v>36645</v>
      </c>
      <c r="D7789" s="13" t="s">
        <v>8465</v>
      </c>
      <c r="E7789" s="10" t="s">
        <v>2701</v>
      </c>
      <c r="F7789" s="10" t="s">
        <v>81</v>
      </c>
      <c r="H7789" s="2" t="s">
        <v>75</v>
      </c>
      <c r="L7789" s="18">
        <v>0</v>
      </c>
      <c r="Q7789" s="18">
        <v>0</v>
      </c>
      <c r="U7789" s="22">
        <v>0.68</v>
      </c>
      <c r="V7789" s="22">
        <f>3.87/5</f>
        <v>0.77400000000000002</v>
      </c>
      <c r="X7789" s="3">
        <v>3</v>
      </c>
      <c r="Z7789" s="23">
        <v>17</v>
      </c>
      <c r="AB7789" s="18">
        <f t="shared" si="242"/>
        <v>2000</v>
      </c>
      <c r="AC7789" s="22">
        <f t="shared" si="243"/>
        <v>0.68466666666666676</v>
      </c>
    </row>
    <row r="7790" spans="1:29" ht="25.5">
      <c r="A7790" s="8" t="s">
        <v>1838</v>
      </c>
      <c r="B7790" s="17" t="s">
        <v>7746</v>
      </c>
      <c r="C7790" s="13">
        <v>36645</v>
      </c>
      <c r="D7790" s="13" t="s">
        <v>8465</v>
      </c>
      <c r="E7790" s="10" t="s">
        <v>1195</v>
      </c>
      <c r="F7790" s="10" t="s">
        <v>1863</v>
      </c>
      <c r="G7790" s="11" t="s">
        <v>1864</v>
      </c>
      <c r="H7790" s="2" t="s">
        <v>1720</v>
      </c>
      <c r="L7790" s="18">
        <v>0</v>
      </c>
      <c r="Q7790" s="18">
        <v>0</v>
      </c>
      <c r="U7790" s="22">
        <v>0.63</v>
      </c>
      <c r="V7790" s="22">
        <f>3.38/5</f>
        <v>0.67599999999999993</v>
      </c>
      <c r="X7790" s="3">
        <v>3</v>
      </c>
      <c r="Z7790" s="23">
        <v>26.5</v>
      </c>
      <c r="AB7790" s="18">
        <f t="shared" si="242"/>
        <v>2000</v>
      </c>
      <c r="AC7790" s="22">
        <f t="shared" si="243"/>
        <v>0.63533333333333342</v>
      </c>
    </row>
    <row r="7791" spans="1:29" ht="38.25">
      <c r="A7791" s="8" t="s">
        <v>11002</v>
      </c>
      <c r="B7791" s="17" t="s">
        <v>7755</v>
      </c>
      <c r="C7791" s="13">
        <v>36644</v>
      </c>
      <c r="D7791" s="13" t="s">
        <v>8465</v>
      </c>
      <c r="E7791" s="10" t="s">
        <v>157</v>
      </c>
      <c r="F7791" s="10" t="s">
        <v>157</v>
      </c>
      <c r="G7791" s="11" t="s">
        <v>1395</v>
      </c>
      <c r="H7791" s="2" t="s">
        <v>143</v>
      </c>
      <c r="L7791" s="18">
        <v>0</v>
      </c>
      <c r="Q7791" s="18">
        <v>0</v>
      </c>
      <c r="V7791" s="22">
        <f>4/5</f>
        <v>0.8</v>
      </c>
      <c r="X7791" s="3">
        <v>3</v>
      </c>
      <c r="Z7791" s="23">
        <v>4.5</v>
      </c>
      <c r="AB7791" s="18">
        <f t="shared" si="242"/>
        <v>2000</v>
      </c>
      <c r="AC7791" s="22">
        <f t="shared" si="243"/>
        <v>0.7</v>
      </c>
    </row>
    <row r="7792" spans="1:29">
      <c r="A7792" s="8" t="s">
        <v>15630</v>
      </c>
      <c r="B7792" s="17" t="s">
        <v>7758</v>
      </c>
      <c r="C7792" s="13">
        <v>36643</v>
      </c>
      <c r="D7792" s="13" t="s">
        <v>8463</v>
      </c>
      <c r="E7792" s="10" t="s">
        <v>257</v>
      </c>
      <c r="F7792" s="10" t="s">
        <v>15631</v>
      </c>
      <c r="H7792" s="2" t="s">
        <v>1194</v>
      </c>
      <c r="K7792" s="18">
        <v>0</v>
      </c>
      <c r="L7792" s="18">
        <v>0</v>
      </c>
      <c r="Q7792" s="18">
        <v>0</v>
      </c>
      <c r="V7792" s="22">
        <f>3.56/5</f>
        <v>0.71199999999999997</v>
      </c>
      <c r="X7792" s="3">
        <v>2</v>
      </c>
      <c r="AB7792" s="18">
        <f t="shared" si="242"/>
        <v>2000</v>
      </c>
      <c r="AC7792" s="22">
        <f t="shared" si="243"/>
        <v>0.55600000000000005</v>
      </c>
    </row>
    <row r="7793" spans="1:29">
      <c r="A7793" s="8" t="s">
        <v>7808</v>
      </c>
      <c r="B7793" s="17" t="s">
        <v>7755</v>
      </c>
      <c r="C7793" s="13">
        <v>36642</v>
      </c>
      <c r="D7793" s="13" t="s">
        <v>8465</v>
      </c>
      <c r="E7793" s="10" t="s">
        <v>455</v>
      </c>
      <c r="F7793" s="10" t="s">
        <v>228</v>
      </c>
      <c r="G7793" s="11" t="s">
        <v>7809</v>
      </c>
      <c r="H7793" s="2" t="s">
        <v>1059</v>
      </c>
      <c r="L7793" s="18">
        <v>0</v>
      </c>
      <c r="Q7793" s="18">
        <v>0</v>
      </c>
      <c r="U7793" s="22">
        <v>0.71289999999999998</v>
      </c>
      <c r="V7793" s="22">
        <f>3.93/5</f>
        <v>0.78600000000000003</v>
      </c>
      <c r="X7793" s="3">
        <v>2</v>
      </c>
      <c r="Z7793" s="23">
        <v>6</v>
      </c>
      <c r="AB7793" s="18">
        <f t="shared" si="242"/>
        <v>2000</v>
      </c>
      <c r="AC7793" s="22">
        <f t="shared" si="243"/>
        <v>0.63296666666666657</v>
      </c>
    </row>
    <row r="7794" spans="1:29">
      <c r="A7794" s="8" t="s">
        <v>1857</v>
      </c>
      <c r="B7794" s="17" t="s">
        <v>7746</v>
      </c>
      <c r="C7794" s="13">
        <v>36640</v>
      </c>
      <c r="D7794" s="13" t="s">
        <v>8465</v>
      </c>
      <c r="E7794" s="10" t="s">
        <v>72</v>
      </c>
      <c r="F7794" s="10" t="s">
        <v>58</v>
      </c>
      <c r="G7794" s="11" t="s">
        <v>220</v>
      </c>
      <c r="H7794" s="2" t="s">
        <v>245</v>
      </c>
      <c r="L7794" s="18">
        <v>0</v>
      </c>
      <c r="Q7794" s="18">
        <v>0</v>
      </c>
      <c r="U7794" s="22">
        <v>0.96</v>
      </c>
      <c r="V7794" s="22">
        <f>4.09/5</f>
        <v>0.81799999999999995</v>
      </c>
      <c r="X7794" s="3">
        <v>4</v>
      </c>
      <c r="Z7794" s="23">
        <v>4.5</v>
      </c>
      <c r="AB7794" s="18">
        <f t="shared" si="242"/>
        <v>2000</v>
      </c>
      <c r="AC7794" s="22">
        <f t="shared" si="243"/>
        <v>0.85933333333333339</v>
      </c>
    </row>
    <row r="7795" spans="1:29">
      <c r="A7795" s="8" t="s">
        <v>14541</v>
      </c>
      <c r="B7795" s="17" t="s">
        <v>14542</v>
      </c>
      <c r="C7795" s="13">
        <v>36637</v>
      </c>
      <c r="D7795" s="13" t="s">
        <v>8463</v>
      </c>
      <c r="E7795" s="10" t="s">
        <v>86</v>
      </c>
      <c r="F7795" s="10" t="s">
        <v>86</v>
      </c>
      <c r="G7795" s="11" t="s">
        <v>707</v>
      </c>
      <c r="H7795" s="2" t="s">
        <v>150</v>
      </c>
      <c r="K7795" s="18">
        <v>2</v>
      </c>
      <c r="L7795" s="18">
        <v>0</v>
      </c>
      <c r="Q7795" s="18">
        <v>0</v>
      </c>
      <c r="V7795" s="22">
        <f>4.15/5</f>
        <v>0.83000000000000007</v>
      </c>
      <c r="X7795" s="3">
        <v>2</v>
      </c>
      <c r="AB7795" s="18">
        <f t="shared" si="242"/>
        <v>2000</v>
      </c>
      <c r="AC7795" s="22">
        <f t="shared" si="243"/>
        <v>0.61499999999999999</v>
      </c>
    </row>
    <row r="7796" spans="1:29" ht="25.5">
      <c r="A7796" s="8" t="s">
        <v>8176</v>
      </c>
      <c r="B7796" s="17" t="s">
        <v>7757</v>
      </c>
      <c r="C7796" s="13">
        <v>36634</v>
      </c>
      <c r="D7796" s="13" t="s">
        <v>8465</v>
      </c>
      <c r="E7796" s="10" t="s">
        <v>170</v>
      </c>
      <c r="F7796" s="10" t="s">
        <v>170</v>
      </c>
      <c r="G7796" s="11" t="s">
        <v>519</v>
      </c>
      <c r="H7796" s="2" t="s">
        <v>459</v>
      </c>
      <c r="L7796" s="18">
        <v>0</v>
      </c>
      <c r="Q7796" s="18">
        <v>0</v>
      </c>
      <c r="U7796" s="22">
        <v>0.42399999999999999</v>
      </c>
      <c r="V7796" s="22">
        <f>3.21/5</f>
        <v>0.64200000000000002</v>
      </c>
      <c r="X7796" s="3">
        <v>2</v>
      </c>
      <c r="Z7796" s="23">
        <v>0.53333333333333333</v>
      </c>
      <c r="AB7796" s="18">
        <f t="shared" si="242"/>
        <v>2000</v>
      </c>
      <c r="AC7796" s="22">
        <f t="shared" si="243"/>
        <v>0.48866666666666675</v>
      </c>
    </row>
    <row r="7797" spans="1:29" ht="30">
      <c r="A7797" s="8" t="s">
        <v>14539</v>
      </c>
      <c r="B7797" s="17" t="s">
        <v>7733</v>
      </c>
      <c r="C7797" s="13">
        <v>36632</v>
      </c>
      <c r="D7797" s="13" t="s">
        <v>8465</v>
      </c>
      <c r="E7797" s="10" t="s">
        <v>170</v>
      </c>
      <c r="F7797" s="10" t="s">
        <v>3022</v>
      </c>
      <c r="H7797" s="2" t="s">
        <v>149</v>
      </c>
      <c r="L7797" s="18">
        <v>0</v>
      </c>
      <c r="Q7797" s="18">
        <v>0</v>
      </c>
      <c r="V7797" s="22">
        <f>2.72/5</f>
        <v>0.54400000000000004</v>
      </c>
      <c r="X7797" s="3">
        <v>2</v>
      </c>
      <c r="Z7797" s="23">
        <v>4.5</v>
      </c>
      <c r="AB7797" s="18">
        <f t="shared" si="242"/>
        <v>2000</v>
      </c>
      <c r="AC7797" s="22">
        <f t="shared" si="243"/>
        <v>0.47200000000000003</v>
      </c>
    </row>
    <row r="7798" spans="1:29">
      <c r="A7798" s="8" t="s">
        <v>7841</v>
      </c>
      <c r="B7798" s="17" t="s">
        <v>7757</v>
      </c>
      <c r="C7798" s="13">
        <v>36629</v>
      </c>
      <c r="D7798" s="13" t="s">
        <v>8463</v>
      </c>
      <c r="E7798" s="10" t="s">
        <v>157</v>
      </c>
      <c r="F7798" s="10" t="s">
        <v>157</v>
      </c>
      <c r="G7798" s="11" t="s">
        <v>7841</v>
      </c>
      <c r="H7798" s="2" t="s">
        <v>80</v>
      </c>
      <c r="K7798" s="18">
        <v>0</v>
      </c>
      <c r="L7798" s="18">
        <v>0</v>
      </c>
      <c r="Q7798" s="18">
        <v>0</v>
      </c>
      <c r="V7798" s="22">
        <f>2.63/5</f>
        <v>0.52600000000000002</v>
      </c>
      <c r="X7798" s="3">
        <v>2</v>
      </c>
      <c r="Z7798" s="23">
        <v>7</v>
      </c>
      <c r="AB7798" s="18">
        <f t="shared" si="242"/>
        <v>2000</v>
      </c>
      <c r="AC7798" s="22">
        <f t="shared" si="243"/>
        <v>0.46300000000000002</v>
      </c>
    </row>
    <row r="7799" spans="1:29" ht="25.5">
      <c r="A7799" s="8" t="s">
        <v>1851</v>
      </c>
      <c r="B7799" s="17" t="s">
        <v>7746</v>
      </c>
      <c r="C7799" s="13">
        <v>36626</v>
      </c>
      <c r="D7799" s="13" t="s">
        <v>8465</v>
      </c>
      <c r="E7799" s="10" t="s">
        <v>86</v>
      </c>
      <c r="F7799" s="10" t="s">
        <v>62</v>
      </c>
      <c r="G7799" s="11" t="s">
        <v>1470</v>
      </c>
      <c r="H7799" s="2" t="s">
        <v>3411</v>
      </c>
      <c r="L7799" s="18">
        <v>0</v>
      </c>
      <c r="Q7799" s="18">
        <v>0</v>
      </c>
      <c r="U7799" s="22">
        <v>0.81</v>
      </c>
      <c r="V7799" s="22">
        <f>3.77/5</f>
        <v>0.754</v>
      </c>
      <c r="X7799" s="3">
        <v>3</v>
      </c>
      <c r="Z7799" s="23">
        <v>10</v>
      </c>
      <c r="AB7799" s="18">
        <f t="shared" si="242"/>
        <v>2000</v>
      </c>
      <c r="AC7799" s="22">
        <f t="shared" si="243"/>
        <v>0.72133333333333338</v>
      </c>
    </row>
    <row r="7800" spans="1:29">
      <c r="A7800" s="8" t="s">
        <v>10674</v>
      </c>
      <c r="B7800" s="17" t="s">
        <v>7800</v>
      </c>
      <c r="C7800" s="13">
        <v>36619</v>
      </c>
      <c r="D7800" s="13" t="s">
        <v>8465</v>
      </c>
      <c r="E7800" s="10" t="s">
        <v>1273</v>
      </c>
      <c r="F7800" s="10" t="s">
        <v>5017</v>
      </c>
      <c r="G7800" s="11" t="s">
        <v>10674</v>
      </c>
      <c r="H7800" s="2" t="s">
        <v>1050</v>
      </c>
      <c r="L7800" s="18">
        <v>0</v>
      </c>
      <c r="Q7800" s="18">
        <v>0</v>
      </c>
      <c r="V7800" s="22">
        <f>3.76/5</f>
        <v>0.752</v>
      </c>
      <c r="W7800" s="14" t="s">
        <v>7778</v>
      </c>
      <c r="X7800" s="3">
        <v>3</v>
      </c>
      <c r="Z7800" s="23">
        <v>7</v>
      </c>
      <c r="AB7800" s="18">
        <f t="shared" si="242"/>
        <v>2000</v>
      </c>
      <c r="AC7800" s="22">
        <f t="shared" si="243"/>
        <v>0.67599999999999993</v>
      </c>
    </row>
    <row r="7801" spans="1:29">
      <c r="A7801" s="8" t="s">
        <v>13677</v>
      </c>
      <c r="B7801" s="17" t="s">
        <v>7736</v>
      </c>
      <c r="C7801" s="13">
        <v>36617</v>
      </c>
      <c r="D7801" s="13" t="s">
        <v>8463</v>
      </c>
      <c r="E7801" s="10" t="s">
        <v>86</v>
      </c>
      <c r="F7801" s="10" t="s">
        <v>1794</v>
      </c>
      <c r="G7801" s="11" t="s">
        <v>10286</v>
      </c>
      <c r="H7801" s="2" t="s">
        <v>78</v>
      </c>
      <c r="K7801" s="18">
        <v>0</v>
      </c>
      <c r="L7801" s="18">
        <v>0</v>
      </c>
      <c r="Q7801" s="18">
        <v>0</v>
      </c>
      <c r="V7801" s="22">
        <f>3.9/5</f>
        <v>0.78</v>
      </c>
      <c r="W7801" s="14" t="s">
        <v>13672</v>
      </c>
      <c r="X7801" s="3">
        <v>3</v>
      </c>
      <c r="AB7801" s="18">
        <f t="shared" si="242"/>
        <v>2000</v>
      </c>
      <c r="AC7801" s="22">
        <f t="shared" si="243"/>
        <v>0.69</v>
      </c>
    </row>
    <row r="7802" spans="1:29" ht="25.5">
      <c r="A7802" s="8" t="s">
        <v>7680</v>
      </c>
      <c r="B7802" s="17" t="s">
        <v>7746</v>
      </c>
      <c r="C7802" s="12">
        <v>36617</v>
      </c>
      <c r="D7802" s="13" t="s">
        <v>8465</v>
      </c>
      <c r="E7802" s="10" t="s">
        <v>76</v>
      </c>
      <c r="F7802" s="10" t="s">
        <v>1393</v>
      </c>
      <c r="G7802" s="11" t="s">
        <v>7681</v>
      </c>
      <c r="H7802" s="2" t="s">
        <v>3411</v>
      </c>
      <c r="L7802" s="18">
        <v>0</v>
      </c>
      <c r="Q7802" s="18">
        <v>0</v>
      </c>
      <c r="U7802" s="22">
        <v>0.64</v>
      </c>
      <c r="V7802" s="22">
        <f>3.49/5</f>
        <v>0.69800000000000006</v>
      </c>
      <c r="X7802" s="3">
        <v>3</v>
      </c>
      <c r="Z7802" s="23">
        <v>8</v>
      </c>
      <c r="AB7802" s="18">
        <f t="shared" si="242"/>
        <v>2000</v>
      </c>
      <c r="AC7802" s="22">
        <f t="shared" si="243"/>
        <v>0.64600000000000002</v>
      </c>
    </row>
    <row r="7803" spans="1:29" ht="25.5">
      <c r="A7803" s="8" t="s">
        <v>11005</v>
      </c>
      <c r="B7803" s="17" t="s">
        <v>7755</v>
      </c>
      <c r="C7803" s="12">
        <v>36617</v>
      </c>
      <c r="D7803" s="13" t="s">
        <v>8465</v>
      </c>
      <c r="E7803" s="10" t="s">
        <v>73</v>
      </c>
      <c r="F7803" s="10" t="s">
        <v>73</v>
      </c>
      <c r="G7803" s="11" t="s">
        <v>11004</v>
      </c>
      <c r="H7803" s="2" t="s">
        <v>459</v>
      </c>
      <c r="L7803" s="18">
        <v>0</v>
      </c>
      <c r="Q7803" s="18">
        <v>0</v>
      </c>
      <c r="V7803" s="22">
        <f>3.62/5</f>
        <v>0.72399999999999998</v>
      </c>
      <c r="X7803" s="3">
        <v>2</v>
      </c>
      <c r="Z7803" s="23">
        <v>1</v>
      </c>
      <c r="AB7803" s="18">
        <f t="shared" si="242"/>
        <v>2000</v>
      </c>
      <c r="AC7803" s="22">
        <f t="shared" si="243"/>
        <v>0.56200000000000006</v>
      </c>
    </row>
    <row r="7804" spans="1:29" ht="30">
      <c r="A7804" s="8" t="s">
        <v>12945</v>
      </c>
      <c r="B7804" s="17" t="s">
        <v>7757</v>
      </c>
      <c r="C7804" s="12">
        <v>36617</v>
      </c>
      <c r="D7804" s="13" t="s">
        <v>8467</v>
      </c>
      <c r="E7804" s="10" t="s">
        <v>2908</v>
      </c>
      <c r="F7804" s="10" t="s">
        <v>461</v>
      </c>
      <c r="G7804" s="11" t="s">
        <v>12941</v>
      </c>
      <c r="H7804" s="2" t="s">
        <v>1170</v>
      </c>
      <c r="L7804" s="18">
        <v>0</v>
      </c>
      <c r="Q7804" s="18">
        <v>0</v>
      </c>
      <c r="V7804" s="22">
        <f>3.38/5</f>
        <v>0.67599999999999993</v>
      </c>
      <c r="X7804" s="3">
        <v>2</v>
      </c>
      <c r="Z7804" s="23">
        <v>1</v>
      </c>
      <c r="AB7804" s="18">
        <f t="shared" si="242"/>
        <v>2000</v>
      </c>
      <c r="AC7804" s="22">
        <f t="shared" si="243"/>
        <v>0.53800000000000003</v>
      </c>
    </row>
    <row r="7805" spans="1:29" ht="38.25">
      <c r="A7805" s="8" t="s">
        <v>6950</v>
      </c>
      <c r="B7805" s="17" t="s">
        <v>7800</v>
      </c>
      <c r="C7805" s="13">
        <v>36616</v>
      </c>
      <c r="D7805" s="13" t="s">
        <v>8465</v>
      </c>
      <c r="E7805" s="10" t="s">
        <v>1195</v>
      </c>
      <c r="F7805" s="10" t="s">
        <v>2659</v>
      </c>
      <c r="G7805" s="11" t="s">
        <v>1864</v>
      </c>
      <c r="H7805" s="2" t="s">
        <v>1720</v>
      </c>
      <c r="L7805" s="18">
        <v>1</v>
      </c>
      <c r="N7805" s="13">
        <v>41748</v>
      </c>
      <c r="O7805" s="29">
        <v>0</v>
      </c>
      <c r="P7805" s="18" t="s">
        <v>1107</v>
      </c>
      <c r="Q7805" s="18">
        <v>0</v>
      </c>
      <c r="U7805" s="22">
        <v>0.79</v>
      </c>
      <c r="V7805" s="22">
        <f>4.32/5</f>
        <v>0.8640000000000001</v>
      </c>
      <c r="W7805" s="14" t="s">
        <v>7778</v>
      </c>
      <c r="X7805" s="3">
        <v>3</v>
      </c>
      <c r="Z7805" s="23">
        <v>39</v>
      </c>
      <c r="AB7805" s="18">
        <f t="shared" si="242"/>
        <v>2000</v>
      </c>
      <c r="AC7805" s="22">
        <f t="shared" si="243"/>
        <v>0.7513333333333333</v>
      </c>
    </row>
    <row r="7806" spans="1:29">
      <c r="A7806" s="8" t="s">
        <v>2902</v>
      </c>
      <c r="B7806" s="17" t="s">
        <v>7755</v>
      </c>
      <c r="C7806" s="13">
        <v>36616</v>
      </c>
      <c r="D7806" s="13" t="s">
        <v>8465</v>
      </c>
      <c r="E7806" s="10" t="s">
        <v>1272</v>
      </c>
      <c r="F7806" s="10" t="s">
        <v>1161</v>
      </c>
      <c r="G7806" s="11" t="s">
        <v>2767</v>
      </c>
      <c r="H7806" s="2" t="s">
        <v>1168</v>
      </c>
      <c r="L7806" s="18">
        <v>0</v>
      </c>
      <c r="Q7806" s="18">
        <v>0</v>
      </c>
      <c r="U7806" s="22">
        <v>0.88</v>
      </c>
      <c r="V7806" s="22">
        <f>3.5/5</f>
        <v>0.7</v>
      </c>
      <c r="X7806" s="3">
        <v>3</v>
      </c>
      <c r="Z7806" s="23">
        <v>8.5</v>
      </c>
      <c r="AB7806" s="18">
        <f t="shared" si="242"/>
        <v>2000</v>
      </c>
      <c r="AC7806" s="22">
        <f t="shared" si="243"/>
        <v>0.72666666666666668</v>
      </c>
    </row>
    <row r="7807" spans="1:29" ht="51">
      <c r="A7807" s="8" t="s">
        <v>14475</v>
      </c>
      <c r="B7807" s="17" t="s">
        <v>7757</v>
      </c>
      <c r="C7807" s="13">
        <v>36616</v>
      </c>
      <c r="D7807" s="13" t="s">
        <v>8465</v>
      </c>
      <c r="E7807" s="10" t="s">
        <v>68</v>
      </c>
      <c r="F7807" s="10" t="s">
        <v>68</v>
      </c>
      <c r="G7807" s="11" t="s">
        <v>40</v>
      </c>
      <c r="H7807" s="2" t="s">
        <v>69</v>
      </c>
      <c r="L7807" s="18">
        <v>0</v>
      </c>
      <c r="Q7807" s="18">
        <v>0</v>
      </c>
      <c r="V7807" s="22">
        <f>3.79/5</f>
        <v>0.75800000000000001</v>
      </c>
      <c r="X7807" s="3">
        <v>2</v>
      </c>
      <c r="AB7807" s="18">
        <f t="shared" si="242"/>
        <v>2000</v>
      </c>
      <c r="AC7807" s="22">
        <f t="shared" si="243"/>
        <v>0.57899999999999996</v>
      </c>
    </row>
    <row r="7808" spans="1:29" ht="25.5">
      <c r="A7808" s="8" t="s">
        <v>11635</v>
      </c>
      <c r="B7808" s="17" t="s">
        <v>7746</v>
      </c>
      <c r="C7808" s="13">
        <v>36616</v>
      </c>
      <c r="D7808" s="13" t="s">
        <v>8463</v>
      </c>
      <c r="E7808" s="10" t="s">
        <v>167</v>
      </c>
      <c r="F7808" s="10" t="s">
        <v>167</v>
      </c>
      <c r="G7808" s="11" t="s">
        <v>1211</v>
      </c>
      <c r="H7808" s="2" t="s">
        <v>149</v>
      </c>
      <c r="K7808" s="18">
        <v>2</v>
      </c>
      <c r="L7808" s="18">
        <v>0</v>
      </c>
      <c r="Q7808" s="18">
        <v>0</v>
      </c>
      <c r="V7808" s="22">
        <f>3.65/5</f>
        <v>0.73</v>
      </c>
      <c r="X7808" s="3">
        <v>2</v>
      </c>
      <c r="AB7808" s="18">
        <f t="shared" si="242"/>
        <v>2000</v>
      </c>
      <c r="AC7808" s="22">
        <f t="shared" si="243"/>
        <v>0.56499999999999995</v>
      </c>
    </row>
    <row r="7809" spans="1:29" ht="25.5">
      <c r="A7809" s="8" t="s">
        <v>8068</v>
      </c>
      <c r="B7809" s="17" t="s">
        <v>7757</v>
      </c>
      <c r="C7809" s="13">
        <v>36616</v>
      </c>
      <c r="D7809" s="13" t="s">
        <v>8465</v>
      </c>
      <c r="E7809" s="10" t="s">
        <v>1284</v>
      </c>
      <c r="F7809" s="10" t="s">
        <v>1284</v>
      </c>
      <c r="G7809" s="11" t="s">
        <v>1481</v>
      </c>
      <c r="H7809" s="2" t="s">
        <v>153</v>
      </c>
      <c r="L7809" s="18">
        <v>0</v>
      </c>
      <c r="Q7809" s="18">
        <v>0</v>
      </c>
      <c r="U7809" s="22">
        <v>0.56930000000000003</v>
      </c>
      <c r="V7809" s="22">
        <f>3.3/5</f>
        <v>0.65999999999999992</v>
      </c>
      <c r="X7809" s="3">
        <v>2</v>
      </c>
      <c r="Z7809" s="23">
        <v>5</v>
      </c>
      <c r="AB7809" s="18">
        <f t="shared" ref="AB7809:AB7872" si="244">IFERROR(YEAR(C7809), "Early Access")</f>
        <v>2000</v>
      </c>
      <c r="AC7809" s="22">
        <f t="shared" ref="AC7809:AC7872" si="245">AVERAGE(T7809, U7809, V7809, IF(ISBLANK(X7809), X7809, X7809/5))</f>
        <v>0.54309999999999992</v>
      </c>
    </row>
    <row r="7810" spans="1:29">
      <c r="A7810" s="8" t="s">
        <v>2718</v>
      </c>
      <c r="B7810" s="17" t="s">
        <v>7754</v>
      </c>
      <c r="C7810" s="13">
        <v>36615</v>
      </c>
      <c r="D7810" s="13" t="s">
        <v>8463</v>
      </c>
      <c r="E7810" s="10" t="s">
        <v>73</v>
      </c>
      <c r="F7810" s="10" t="s">
        <v>73</v>
      </c>
      <c r="G7810" s="11" t="s">
        <v>225</v>
      </c>
      <c r="H7810" s="2" t="s">
        <v>459</v>
      </c>
      <c r="K7810" s="18">
        <v>0</v>
      </c>
      <c r="L7810" s="18">
        <v>0</v>
      </c>
      <c r="Q7810" s="18">
        <v>0</v>
      </c>
      <c r="V7810" s="22">
        <f>3.09/5</f>
        <v>0.61799999999999999</v>
      </c>
      <c r="X7810" s="3">
        <v>2</v>
      </c>
      <c r="Z7810" s="23">
        <v>0.42</v>
      </c>
      <c r="AB7810" s="18">
        <f t="shared" si="244"/>
        <v>2000</v>
      </c>
      <c r="AC7810" s="22">
        <f t="shared" si="245"/>
        <v>0.50900000000000001</v>
      </c>
    </row>
    <row r="7811" spans="1:29">
      <c r="A7811" s="8" t="s">
        <v>2934</v>
      </c>
      <c r="B7811" s="17" t="s">
        <v>7757</v>
      </c>
      <c r="C7811" s="13">
        <v>36614</v>
      </c>
      <c r="D7811" s="13" t="s">
        <v>8465</v>
      </c>
      <c r="E7811" s="10" t="s">
        <v>3014</v>
      </c>
      <c r="F7811" s="10" t="s">
        <v>2348</v>
      </c>
      <c r="G7811" s="11" t="s">
        <v>2934</v>
      </c>
      <c r="H7811" s="2" t="s">
        <v>1061</v>
      </c>
      <c r="L7811" s="18">
        <v>0</v>
      </c>
      <c r="Q7811" s="18">
        <v>0</v>
      </c>
      <c r="U7811" s="22">
        <v>0.68</v>
      </c>
      <c r="V7811" s="22">
        <f>3.64/5</f>
        <v>0.72799999999999998</v>
      </c>
      <c r="X7811" s="3">
        <v>3</v>
      </c>
      <c r="Z7811" s="23">
        <v>4.5</v>
      </c>
      <c r="AB7811" s="18">
        <f t="shared" si="244"/>
        <v>2000</v>
      </c>
      <c r="AC7811" s="22">
        <f t="shared" si="245"/>
        <v>0.66933333333333334</v>
      </c>
    </row>
    <row r="7812" spans="1:29" ht="30">
      <c r="A7812" s="8" t="s">
        <v>11760</v>
      </c>
      <c r="B7812" s="17" t="s">
        <v>7757</v>
      </c>
      <c r="C7812" s="13">
        <v>36608</v>
      </c>
      <c r="D7812" s="13" t="s">
        <v>8463</v>
      </c>
      <c r="E7812" s="10" t="s">
        <v>8394</v>
      </c>
      <c r="F7812" s="10" t="s">
        <v>2893</v>
      </c>
      <c r="H7812" s="2" t="s">
        <v>1377</v>
      </c>
      <c r="K7812" s="18">
        <v>0</v>
      </c>
      <c r="L7812" s="18">
        <v>0</v>
      </c>
      <c r="Q7812" s="18">
        <v>0</v>
      </c>
      <c r="V7812" s="22">
        <f>3/5</f>
        <v>0.6</v>
      </c>
      <c r="X7812" s="3">
        <v>2</v>
      </c>
      <c r="AB7812" s="18">
        <f t="shared" si="244"/>
        <v>2000</v>
      </c>
      <c r="AC7812" s="22">
        <f t="shared" si="245"/>
        <v>0.5</v>
      </c>
    </row>
    <row r="7813" spans="1:29" ht="25.5">
      <c r="A7813" s="8" t="s">
        <v>7666</v>
      </c>
      <c r="B7813" s="17" t="s">
        <v>7757</v>
      </c>
      <c r="C7813" s="13">
        <v>36601</v>
      </c>
      <c r="D7813" s="13" t="s">
        <v>8465</v>
      </c>
      <c r="E7813" s="10" t="s">
        <v>3017</v>
      </c>
      <c r="F7813" s="10" t="s">
        <v>1580</v>
      </c>
      <c r="G7813" s="11" t="s">
        <v>5915</v>
      </c>
      <c r="H7813" s="2" t="s">
        <v>1168</v>
      </c>
      <c r="L7813" s="18">
        <v>0</v>
      </c>
      <c r="Q7813" s="18">
        <v>0</v>
      </c>
      <c r="U7813" s="22">
        <v>0.7</v>
      </c>
      <c r="V7813" s="22">
        <f>3.93/5</f>
        <v>0.78600000000000003</v>
      </c>
      <c r="X7813" s="3">
        <v>3</v>
      </c>
      <c r="Z7813" s="23">
        <v>5.5</v>
      </c>
      <c r="AB7813" s="18">
        <f t="shared" si="244"/>
        <v>2000</v>
      </c>
      <c r="AC7813" s="22">
        <f t="shared" si="245"/>
        <v>0.69533333333333325</v>
      </c>
    </row>
    <row r="7814" spans="1:29" ht="25.5">
      <c r="A7814" s="8" t="s">
        <v>7986</v>
      </c>
      <c r="B7814" s="17" t="s">
        <v>7755</v>
      </c>
      <c r="C7814" s="13">
        <v>36601</v>
      </c>
      <c r="D7814" s="13" t="s">
        <v>8465</v>
      </c>
      <c r="E7814" s="10" t="s">
        <v>1367</v>
      </c>
      <c r="F7814" s="10" t="s">
        <v>7985</v>
      </c>
      <c r="G7814" s="11" t="s">
        <v>7967</v>
      </c>
      <c r="H7814" s="2" t="s">
        <v>1059</v>
      </c>
      <c r="L7814" s="18">
        <v>0</v>
      </c>
      <c r="Q7814" s="18">
        <v>0</v>
      </c>
      <c r="U7814" s="22">
        <v>0.73950000000000005</v>
      </c>
      <c r="V7814" s="22">
        <f>3.55/5</f>
        <v>0.71</v>
      </c>
      <c r="X7814" s="3">
        <v>3</v>
      </c>
      <c r="Z7814" s="23">
        <v>4</v>
      </c>
      <c r="AB7814" s="18">
        <f t="shared" si="244"/>
        <v>2000</v>
      </c>
      <c r="AC7814" s="22">
        <f t="shared" si="245"/>
        <v>0.6831666666666667</v>
      </c>
    </row>
    <row r="7815" spans="1:29">
      <c r="A7815" s="8" t="s">
        <v>2956</v>
      </c>
      <c r="B7815" s="17" t="s">
        <v>7757</v>
      </c>
      <c r="C7815" s="13">
        <v>36599</v>
      </c>
      <c r="D7815" s="13" t="s">
        <v>8465</v>
      </c>
      <c r="E7815" s="10" t="s">
        <v>3026</v>
      </c>
      <c r="F7815" s="10" t="s">
        <v>3027</v>
      </c>
      <c r="G7815" s="11" t="s">
        <v>2996</v>
      </c>
      <c r="H7815" s="2" t="s">
        <v>245</v>
      </c>
      <c r="L7815" s="18">
        <v>0</v>
      </c>
      <c r="Q7815" s="18">
        <v>0</v>
      </c>
      <c r="U7815" s="22">
        <v>0.81</v>
      </c>
      <c r="V7815" s="22">
        <f>4.07/5</f>
        <v>0.81400000000000006</v>
      </c>
      <c r="X7815" s="3">
        <v>3</v>
      </c>
      <c r="Z7815" s="23">
        <v>9.5</v>
      </c>
      <c r="AB7815" s="18">
        <f t="shared" si="244"/>
        <v>2000</v>
      </c>
      <c r="AC7815" s="22">
        <f t="shared" si="245"/>
        <v>0.7413333333333334</v>
      </c>
    </row>
    <row r="7816" spans="1:29" ht="38.25">
      <c r="A7816" s="8" t="s">
        <v>6549</v>
      </c>
      <c r="B7816" s="17" t="s">
        <v>7800</v>
      </c>
      <c r="C7816" s="13">
        <v>36592</v>
      </c>
      <c r="D7816" s="13" t="s">
        <v>8465</v>
      </c>
      <c r="E7816" s="10" t="s">
        <v>231</v>
      </c>
      <c r="F7816" s="10" t="s">
        <v>2654</v>
      </c>
      <c r="G7816" s="11" t="s">
        <v>3043</v>
      </c>
      <c r="H7816" s="2" t="s">
        <v>1143</v>
      </c>
      <c r="L7816" s="18">
        <v>1</v>
      </c>
      <c r="N7816" s="13">
        <v>41627</v>
      </c>
      <c r="O7816" s="29">
        <v>0.33</v>
      </c>
      <c r="P7816" s="18" t="s">
        <v>1107</v>
      </c>
      <c r="Q7816" s="18">
        <v>0</v>
      </c>
      <c r="U7816" s="22">
        <v>0.73</v>
      </c>
      <c r="V7816" s="22">
        <f>3.84/5</f>
        <v>0.76800000000000002</v>
      </c>
      <c r="W7816" s="14" t="s">
        <v>7796</v>
      </c>
      <c r="X7816" s="3">
        <v>4</v>
      </c>
      <c r="Z7816" s="23">
        <v>14</v>
      </c>
      <c r="AB7816" s="18">
        <f t="shared" si="244"/>
        <v>2000</v>
      </c>
      <c r="AC7816" s="22">
        <f t="shared" si="245"/>
        <v>0.76600000000000001</v>
      </c>
    </row>
    <row r="7817" spans="1:29">
      <c r="A7817" s="8" t="s">
        <v>2744</v>
      </c>
      <c r="B7817" s="17" t="s">
        <v>7755</v>
      </c>
      <c r="C7817" s="13">
        <v>36592</v>
      </c>
      <c r="D7817" s="13" t="s">
        <v>8465</v>
      </c>
      <c r="E7817" s="10" t="s">
        <v>455</v>
      </c>
      <c r="F7817" s="10" t="s">
        <v>1492</v>
      </c>
      <c r="G7817" s="11" t="s">
        <v>2744</v>
      </c>
      <c r="H7817" s="2" t="s">
        <v>78</v>
      </c>
      <c r="L7817" s="18">
        <v>0</v>
      </c>
      <c r="Q7817" s="18">
        <v>0</v>
      </c>
      <c r="U7817" s="22">
        <v>0.86</v>
      </c>
      <c r="V7817" s="22">
        <f>3.98/5</f>
        <v>0.79600000000000004</v>
      </c>
      <c r="X7817" s="3">
        <v>3</v>
      </c>
      <c r="Z7817" s="23">
        <v>2.5</v>
      </c>
      <c r="AB7817" s="18">
        <f t="shared" si="244"/>
        <v>2000</v>
      </c>
      <c r="AC7817" s="22">
        <f t="shared" si="245"/>
        <v>0.75200000000000011</v>
      </c>
    </row>
    <row r="7818" spans="1:29" ht="30">
      <c r="A7818" s="8" t="s">
        <v>11030</v>
      </c>
      <c r="B7818" s="17" t="s">
        <v>7757</v>
      </c>
      <c r="C7818" s="13">
        <v>36592</v>
      </c>
      <c r="D7818" s="13" t="s">
        <v>8465</v>
      </c>
      <c r="E7818" s="10" t="s">
        <v>2908</v>
      </c>
      <c r="F7818" s="10" t="s">
        <v>10091</v>
      </c>
      <c r="G7818" s="11" t="s">
        <v>11029</v>
      </c>
      <c r="H7818" s="2" t="s">
        <v>255</v>
      </c>
      <c r="L7818" s="18">
        <v>0</v>
      </c>
      <c r="Q7818" s="18">
        <v>0</v>
      </c>
      <c r="V7818" s="22">
        <f>3.76/5</f>
        <v>0.752</v>
      </c>
      <c r="X7818" s="3">
        <v>2</v>
      </c>
      <c r="Z7818" s="23">
        <v>17</v>
      </c>
      <c r="AB7818" s="18">
        <f t="shared" si="244"/>
        <v>2000</v>
      </c>
      <c r="AC7818" s="22">
        <f t="shared" si="245"/>
        <v>0.57600000000000007</v>
      </c>
    </row>
    <row r="7819" spans="1:29" ht="25.5">
      <c r="A7819" s="8" t="s">
        <v>7907</v>
      </c>
      <c r="B7819" s="17" t="s">
        <v>7757</v>
      </c>
      <c r="C7819" s="13">
        <v>36587</v>
      </c>
      <c r="D7819" s="13" t="s">
        <v>8465</v>
      </c>
      <c r="E7819" s="10" t="s">
        <v>158</v>
      </c>
      <c r="F7819" s="10" t="s">
        <v>158</v>
      </c>
      <c r="G7819" s="11" t="s">
        <v>3101</v>
      </c>
      <c r="H7819" s="2" t="s">
        <v>7594</v>
      </c>
      <c r="L7819" s="18">
        <v>0</v>
      </c>
      <c r="Q7819" s="18">
        <v>0</v>
      </c>
      <c r="U7819" s="22">
        <v>0.73919999999999997</v>
      </c>
      <c r="V7819" s="22">
        <f>4.02/5</f>
        <v>0.80399999999999994</v>
      </c>
      <c r="X7819" s="3">
        <v>2</v>
      </c>
      <c r="Z7819" s="23">
        <v>4.5</v>
      </c>
      <c r="AB7819" s="18">
        <f t="shared" si="244"/>
        <v>2000</v>
      </c>
      <c r="AC7819" s="22">
        <f t="shared" si="245"/>
        <v>0.64773333333333338</v>
      </c>
    </row>
    <row r="7820" spans="1:29" ht="25.5">
      <c r="A7820" s="8" t="s">
        <v>11337</v>
      </c>
      <c r="B7820" s="17" t="s">
        <v>7757</v>
      </c>
      <c r="C7820" s="13">
        <v>36586</v>
      </c>
      <c r="D7820" s="13" t="s">
        <v>8465</v>
      </c>
      <c r="E7820" s="10" t="s">
        <v>76</v>
      </c>
      <c r="F7820" s="10" t="s">
        <v>76</v>
      </c>
      <c r="G7820" s="11" t="s">
        <v>11335</v>
      </c>
      <c r="H7820" s="2" t="s">
        <v>75</v>
      </c>
      <c r="L7820" s="18">
        <v>0</v>
      </c>
      <c r="Q7820" s="18">
        <v>0</v>
      </c>
      <c r="V7820" s="22">
        <f>4.06/5</f>
        <v>0.81199999999999994</v>
      </c>
      <c r="X7820" s="3">
        <v>2</v>
      </c>
      <c r="Z7820" s="23">
        <v>10</v>
      </c>
      <c r="AB7820" s="18">
        <f t="shared" si="244"/>
        <v>2000</v>
      </c>
      <c r="AC7820" s="22">
        <f t="shared" si="245"/>
        <v>0.60599999999999998</v>
      </c>
    </row>
    <row r="7821" spans="1:29">
      <c r="A7821" s="8" t="s">
        <v>5402</v>
      </c>
      <c r="B7821" s="17" t="s">
        <v>7800</v>
      </c>
      <c r="C7821" s="13">
        <v>36585</v>
      </c>
      <c r="D7821" s="13" t="s">
        <v>8465</v>
      </c>
      <c r="E7821" s="10" t="s">
        <v>1870</v>
      </c>
      <c r="F7821" s="10" t="s">
        <v>5234</v>
      </c>
      <c r="G7821" s="11" t="s">
        <v>5401</v>
      </c>
      <c r="H7821" s="2" t="s">
        <v>245</v>
      </c>
      <c r="L7821" s="18">
        <v>1</v>
      </c>
      <c r="N7821" s="13">
        <v>41500</v>
      </c>
      <c r="O7821" s="29">
        <v>1.58</v>
      </c>
      <c r="P7821" s="18" t="s">
        <v>1107</v>
      </c>
      <c r="Q7821" s="18">
        <v>0</v>
      </c>
      <c r="U7821" s="22">
        <v>0.89</v>
      </c>
      <c r="V7821" s="22">
        <f>4.37/5</f>
        <v>0.874</v>
      </c>
      <c r="W7821" s="14" t="s">
        <v>7777</v>
      </c>
      <c r="X7821" s="3">
        <v>4</v>
      </c>
      <c r="Z7821" s="23">
        <v>21</v>
      </c>
      <c r="AB7821" s="18">
        <f t="shared" si="244"/>
        <v>2000</v>
      </c>
      <c r="AC7821" s="22">
        <f t="shared" si="245"/>
        <v>0.85466666666666669</v>
      </c>
    </row>
    <row r="7822" spans="1:29" ht="25.5">
      <c r="A7822" s="8" t="s">
        <v>2967</v>
      </c>
      <c r="B7822" s="17" t="s">
        <v>7757</v>
      </c>
      <c r="C7822" s="13">
        <v>36585</v>
      </c>
      <c r="D7822" s="13" t="s">
        <v>8465</v>
      </c>
      <c r="E7822" s="10" t="s">
        <v>1273</v>
      </c>
      <c r="F7822" s="10" t="s">
        <v>1083</v>
      </c>
      <c r="G7822" s="11" t="s">
        <v>5897</v>
      </c>
      <c r="H7822" s="2" t="s">
        <v>80</v>
      </c>
      <c r="L7822" s="18">
        <v>0</v>
      </c>
      <c r="Q7822" s="18">
        <v>0</v>
      </c>
      <c r="U7822" s="22">
        <v>0.69</v>
      </c>
      <c r="V7822" s="22">
        <f>3.4/5</f>
        <v>0.67999999999999994</v>
      </c>
      <c r="X7822" s="3">
        <v>4</v>
      </c>
      <c r="Z7822" s="23">
        <v>22</v>
      </c>
      <c r="AB7822" s="18">
        <f t="shared" si="244"/>
        <v>2000</v>
      </c>
      <c r="AC7822" s="22">
        <f t="shared" si="245"/>
        <v>0.72333333333333327</v>
      </c>
    </row>
    <row r="7823" spans="1:29">
      <c r="A7823" s="8" t="s">
        <v>2933</v>
      </c>
      <c r="B7823" s="17" t="s">
        <v>7757</v>
      </c>
      <c r="C7823" s="13">
        <v>36585</v>
      </c>
      <c r="D7823" s="13" t="s">
        <v>8465</v>
      </c>
      <c r="E7823" s="10" t="s">
        <v>161</v>
      </c>
      <c r="F7823" s="10" t="s">
        <v>161</v>
      </c>
      <c r="G7823" s="11" t="s">
        <v>812</v>
      </c>
      <c r="H7823" s="2" t="s">
        <v>75</v>
      </c>
      <c r="L7823" s="18">
        <v>0</v>
      </c>
      <c r="Q7823" s="18">
        <v>0</v>
      </c>
      <c r="U7823" s="22">
        <v>0.84</v>
      </c>
      <c r="V7823" s="22">
        <f>4.16/5</f>
        <v>0.83200000000000007</v>
      </c>
      <c r="X7823" s="3">
        <v>3</v>
      </c>
      <c r="Z7823" s="23">
        <v>38</v>
      </c>
      <c r="AB7823" s="18">
        <f t="shared" si="244"/>
        <v>2000</v>
      </c>
      <c r="AC7823" s="22">
        <f t="shared" si="245"/>
        <v>0.75733333333333341</v>
      </c>
    </row>
    <row r="7824" spans="1:29">
      <c r="A7824" s="8" t="s">
        <v>864</v>
      </c>
      <c r="B7824" s="20" t="s">
        <v>7739</v>
      </c>
      <c r="C7824" s="13">
        <v>36585</v>
      </c>
      <c r="D7824" s="13" t="s">
        <v>8465</v>
      </c>
      <c r="E7824" s="10" t="s">
        <v>86</v>
      </c>
      <c r="F7824" s="10" t="s">
        <v>87</v>
      </c>
      <c r="G7824" s="11" t="s">
        <v>1470</v>
      </c>
      <c r="H7824" s="2" t="s">
        <v>149</v>
      </c>
      <c r="L7824" s="18">
        <v>0</v>
      </c>
      <c r="Q7824" s="18">
        <v>0</v>
      </c>
      <c r="U7824" s="22">
        <v>0.79</v>
      </c>
      <c r="V7824" s="22">
        <f>3.73/5</f>
        <v>0.746</v>
      </c>
      <c r="X7824" s="3">
        <v>3</v>
      </c>
      <c r="Z7824" s="23">
        <v>11</v>
      </c>
      <c r="AB7824" s="18">
        <f t="shared" si="244"/>
        <v>2000</v>
      </c>
      <c r="AC7824" s="22">
        <f t="shared" si="245"/>
        <v>0.71200000000000008</v>
      </c>
    </row>
    <row r="7825" spans="1:29">
      <c r="A7825" s="8" t="s">
        <v>11073</v>
      </c>
      <c r="B7825" s="17" t="s">
        <v>7755</v>
      </c>
      <c r="C7825" s="13">
        <v>36585</v>
      </c>
      <c r="D7825" s="13" t="s">
        <v>8465</v>
      </c>
      <c r="E7825" s="10" t="s">
        <v>76</v>
      </c>
      <c r="F7825" s="10" t="s">
        <v>1136</v>
      </c>
      <c r="G7825" s="11" t="s">
        <v>10281</v>
      </c>
      <c r="H7825" s="2" t="s">
        <v>459</v>
      </c>
      <c r="L7825" s="18">
        <v>0</v>
      </c>
      <c r="Q7825" s="18">
        <v>0</v>
      </c>
      <c r="V7825" s="22">
        <f>4.04/5</f>
        <v>0.80800000000000005</v>
      </c>
      <c r="X7825" s="3">
        <v>2</v>
      </c>
      <c r="Z7825" s="23">
        <v>1</v>
      </c>
      <c r="AB7825" s="18">
        <f t="shared" si="244"/>
        <v>2000</v>
      </c>
      <c r="AC7825" s="22">
        <f t="shared" si="245"/>
        <v>0.60400000000000009</v>
      </c>
    </row>
    <row r="7826" spans="1:29" ht="25.5">
      <c r="A7826" s="8" t="s">
        <v>7479</v>
      </c>
      <c r="B7826" s="17" t="s">
        <v>7757</v>
      </c>
      <c r="C7826" s="13">
        <v>36585</v>
      </c>
      <c r="D7826" s="13" t="s">
        <v>8465</v>
      </c>
      <c r="E7826" s="10" t="s">
        <v>231</v>
      </c>
      <c r="F7826" s="10" t="s">
        <v>7480</v>
      </c>
      <c r="G7826" s="11" t="s">
        <v>4518</v>
      </c>
      <c r="H7826" s="2" t="s">
        <v>150</v>
      </c>
      <c r="L7826" s="18">
        <v>0</v>
      </c>
      <c r="Q7826" s="18">
        <v>0</v>
      </c>
      <c r="U7826" s="22">
        <v>0.75</v>
      </c>
      <c r="V7826" s="22">
        <f>3.54/5</f>
        <v>0.70799999999999996</v>
      </c>
      <c r="X7826" s="3">
        <v>2</v>
      </c>
      <c r="Z7826" s="23">
        <v>22</v>
      </c>
      <c r="AB7826" s="18">
        <f t="shared" si="244"/>
        <v>2000</v>
      </c>
      <c r="AC7826" s="22">
        <f t="shared" si="245"/>
        <v>0.6193333333333334</v>
      </c>
    </row>
    <row r="7827" spans="1:29" ht="25.5">
      <c r="A7827" s="8" t="s">
        <v>7556</v>
      </c>
      <c r="B7827" s="17" t="s">
        <v>7757</v>
      </c>
      <c r="C7827" s="13">
        <v>36585</v>
      </c>
      <c r="D7827" s="13" t="s">
        <v>8465</v>
      </c>
      <c r="E7827" s="10" t="s">
        <v>1195</v>
      </c>
      <c r="F7827" s="10" t="s">
        <v>1195</v>
      </c>
      <c r="G7827" s="11" t="s">
        <v>1864</v>
      </c>
      <c r="H7827" s="2" t="s">
        <v>171</v>
      </c>
      <c r="L7827" s="18">
        <v>0</v>
      </c>
      <c r="Q7827" s="18">
        <v>0</v>
      </c>
      <c r="U7827" s="22">
        <v>0.6</v>
      </c>
      <c r="V7827" s="22">
        <f>2.74/5</f>
        <v>0.54800000000000004</v>
      </c>
      <c r="X7827" s="3">
        <v>2</v>
      </c>
      <c r="Z7827" s="23">
        <v>6.5</v>
      </c>
      <c r="AB7827" s="18">
        <f t="shared" si="244"/>
        <v>2000</v>
      </c>
      <c r="AC7827" s="22">
        <f t="shared" si="245"/>
        <v>0.51600000000000001</v>
      </c>
    </row>
    <row r="7828" spans="1:29" ht="25.5">
      <c r="A7828" s="8" t="s">
        <v>535</v>
      </c>
      <c r="B7828" s="17" t="s">
        <v>7731</v>
      </c>
      <c r="C7828" s="13">
        <v>36581</v>
      </c>
      <c r="D7828" s="13" t="s">
        <v>8465</v>
      </c>
      <c r="E7828" s="10" t="s">
        <v>170</v>
      </c>
      <c r="F7828" s="10" t="s">
        <v>170</v>
      </c>
      <c r="G7828" s="11" t="s">
        <v>563</v>
      </c>
      <c r="H7828" s="2" t="s">
        <v>459</v>
      </c>
      <c r="L7828" s="18">
        <v>0</v>
      </c>
      <c r="Q7828" s="18">
        <v>0</v>
      </c>
      <c r="V7828" s="22">
        <f>4.43/5</f>
        <v>0.8859999999999999</v>
      </c>
      <c r="X7828" s="3">
        <v>3</v>
      </c>
      <c r="Z7828" s="23">
        <v>1.5</v>
      </c>
      <c r="AB7828" s="18">
        <f t="shared" si="244"/>
        <v>2000</v>
      </c>
      <c r="AC7828" s="22">
        <f t="shared" si="245"/>
        <v>0.74299999999999988</v>
      </c>
    </row>
    <row r="7829" spans="1:29" ht="30">
      <c r="A7829" s="8" t="s">
        <v>2931</v>
      </c>
      <c r="B7829" s="17" t="s">
        <v>7757</v>
      </c>
      <c r="C7829" s="13">
        <v>36580</v>
      </c>
      <c r="D7829" s="13" t="s">
        <v>8465</v>
      </c>
      <c r="E7829" s="10" t="s">
        <v>1870</v>
      </c>
      <c r="F7829" s="10" t="s">
        <v>3020</v>
      </c>
      <c r="G7829" s="11" t="s">
        <v>2931</v>
      </c>
      <c r="H7829" s="2" t="s">
        <v>80</v>
      </c>
      <c r="L7829" s="18">
        <v>0</v>
      </c>
      <c r="Q7829" s="18">
        <v>0</v>
      </c>
      <c r="U7829" s="22">
        <v>0.85</v>
      </c>
      <c r="V7829" s="22">
        <f>3.63/5</f>
        <v>0.72599999999999998</v>
      </c>
      <c r="X7829" s="3">
        <v>3</v>
      </c>
      <c r="Z7829" s="23">
        <v>6.5</v>
      </c>
      <c r="AB7829" s="18">
        <f t="shared" si="244"/>
        <v>2000</v>
      </c>
      <c r="AC7829" s="22">
        <f t="shared" si="245"/>
        <v>0.72533333333333339</v>
      </c>
    </row>
    <row r="7830" spans="1:29" ht="30">
      <c r="A7830" s="8" t="s">
        <v>15783</v>
      </c>
      <c r="B7830" s="17" t="s">
        <v>7746</v>
      </c>
      <c r="C7830" s="13">
        <v>36578</v>
      </c>
      <c r="D7830" s="13" t="s">
        <v>8465</v>
      </c>
      <c r="E7830" s="10" t="s">
        <v>60</v>
      </c>
      <c r="F7830" s="10" t="s">
        <v>3152</v>
      </c>
      <c r="G7830" s="11" t="s">
        <v>15783</v>
      </c>
      <c r="H7830" s="2" t="s">
        <v>245</v>
      </c>
      <c r="L7830" s="18">
        <v>0</v>
      </c>
      <c r="Q7830" s="18">
        <v>0</v>
      </c>
      <c r="V7830" s="22">
        <f>2.55/5</f>
        <v>0.51</v>
      </c>
      <c r="X7830" s="3">
        <v>2</v>
      </c>
      <c r="AB7830" s="18">
        <f t="shared" si="244"/>
        <v>2000</v>
      </c>
      <c r="AC7830" s="22">
        <f t="shared" si="245"/>
        <v>0.45500000000000002</v>
      </c>
    </row>
    <row r="7831" spans="1:29" ht="25.5">
      <c r="A7831" s="8" t="s">
        <v>15921</v>
      </c>
      <c r="B7831" s="17" t="s">
        <v>7746</v>
      </c>
      <c r="C7831" s="13">
        <v>36572</v>
      </c>
      <c r="D7831" s="13" t="s">
        <v>8465</v>
      </c>
      <c r="E7831" s="10" t="s">
        <v>1047</v>
      </c>
      <c r="F7831" s="10" t="s">
        <v>1865</v>
      </c>
      <c r="G7831" s="11" t="s">
        <v>207</v>
      </c>
      <c r="H7831" s="2" t="s">
        <v>56</v>
      </c>
      <c r="L7831" s="18">
        <v>0</v>
      </c>
      <c r="Q7831" s="18">
        <v>0</v>
      </c>
      <c r="V7831" s="22">
        <f>2.95/5</f>
        <v>0.59000000000000008</v>
      </c>
      <c r="X7831" s="3">
        <v>2</v>
      </c>
      <c r="AB7831" s="18">
        <f t="shared" si="244"/>
        <v>2000</v>
      </c>
      <c r="AC7831" s="22">
        <f t="shared" si="245"/>
        <v>0.49500000000000005</v>
      </c>
    </row>
    <row r="7832" spans="1:29" ht="30">
      <c r="A7832" s="8" t="s">
        <v>8048</v>
      </c>
      <c r="B7832" s="17" t="s">
        <v>7739</v>
      </c>
      <c r="C7832" s="13">
        <v>36570</v>
      </c>
      <c r="D7832" s="13" t="s">
        <v>8465</v>
      </c>
      <c r="E7832" s="10" t="s">
        <v>86</v>
      </c>
      <c r="F7832" s="10" t="s">
        <v>1506</v>
      </c>
      <c r="G7832" s="11" t="s">
        <v>8037</v>
      </c>
      <c r="H7832" s="2" t="s">
        <v>150</v>
      </c>
      <c r="L7832" s="18">
        <v>0</v>
      </c>
      <c r="Q7832" s="18">
        <v>0</v>
      </c>
      <c r="U7832" s="22">
        <v>0.84550000000000003</v>
      </c>
      <c r="V7832" s="22">
        <f>3.74/5</f>
        <v>0.748</v>
      </c>
      <c r="X7832" s="3">
        <v>3</v>
      </c>
      <c r="AB7832" s="18">
        <f t="shared" si="244"/>
        <v>2000</v>
      </c>
      <c r="AC7832" s="22">
        <f t="shared" si="245"/>
        <v>0.73116666666666674</v>
      </c>
    </row>
    <row r="7833" spans="1:29" ht="25.5">
      <c r="A7833" s="8" t="s">
        <v>13376</v>
      </c>
      <c r="B7833" s="17" t="s">
        <v>7794</v>
      </c>
      <c r="C7833" s="13">
        <v>36566</v>
      </c>
      <c r="D7833" s="13" t="s">
        <v>8463</v>
      </c>
      <c r="E7833" s="10" t="s">
        <v>157</v>
      </c>
      <c r="F7833" s="10" t="s">
        <v>11675</v>
      </c>
      <c r="G7833" s="11" t="s">
        <v>1362</v>
      </c>
      <c r="H7833" s="2" t="s">
        <v>149</v>
      </c>
      <c r="K7833" s="18">
        <v>0</v>
      </c>
      <c r="L7833" s="18">
        <v>0</v>
      </c>
      <c r="Q7833" s="18">
        <v>0</v>
      </c>
      <c r="V7833" s="22">
        <f>2.5/5</f>
        <v>0.5</v>
      </c>
      <c r="X7833" s="3">
        <v>2</v>
      </c>
      <c r="AB7833" s="18">
        <f t="shared" si="244"/>
        <v>2000</v>
      </c>
      <c r="AC7833" s="22">
        <f t="shared" si="245"/>
        <v>0.45</v>
      </c>
    </row>
    <row r="7834" spans="1:29" ht="30">
      <c r="A7834" s="8" t="s">
        <v>11766</v>
      </c>
      <c r="B7834" s="17" t="s">
        <v>7757</v>
      </c>
      <c r="C7834" s="13">
        <v>36559</v>
      </c>
      <c r="D7834" s="13" t="s">
        <v>8463</v>
      </c>
      <c r="E7834" s="10" t="s">
        <v>2908</v>
      </c>
      <c r="F7834" s="10" t="s">
        <v>11767</v>
      </c>
      <c r="H7834" s="2" t="s">
        <v>67</v>
      </c>
      <c r="K7834" s="18">
        <v>2</v>
      </c>
      <c r="L7834" s="18">
        <v>0</v>
      </c>
      <c r="Q7834" s="18">
        <v>0</v>
      </c>
      <c r="V7834" s="22">
        <f>4.08/5</f>
        <v>0.81600000000000006</v>
      </c>
      <c r="X7834" s="3">
        <v>2</v>
      </c>
      <c r="AB7834" s="18">
        <f t="shared" si="244"/>
        <v>2000</v>
      </c>
      <c r="AC7834" s="22">
        <f t="shared" si="245"/>
        <v>0.6080000000000001</v>
      </c>
    </row>
    <row r="7835" spans="1:29">
      <c r="A7835" s="8" t="s">
        <v>13676</v>
      </c>
      <c r="B7835" s="17" t="s">
        <v>7736</v>
      </c>
      <c r="C7835" s="13">
        <v>36557</v>
      </c>
      <c r="D7835" s="13" t="s">
        <v>8463</v>
      </c>
      <c r="E7835" s="10" t="s">
        <v>86</v>
      </c>
      <c r="F7835" s="10" t="s">
        <v>1794</v>
      </c>
      <c r="G7835" s="11" t="s">
        <v>10286</v>
      </c>
      <c r="H7835" s="2" t="s">
        <v>78</v>
      </c>
      <c r="K7835" s="18">
        <v>0</v>
      </c>
      <c r="L7835" s="18">
        <v>0</v>
      </c>
      <c r="Q7835" s="18">
        <v>0</v>
      </c>
      <c r="V7835" s="22">
        <f>3.7/5</f>
        <v>0.74</v>
      </c>
      <c r="W7835" s="14" t="s">
        <v>13672</v>
      </c>
      <c r="X7835" s="3">
        <v>3</v>
      </c>
      <c r="AB7835" s="18">
        <f t="shared" si="244"/>
        <v>2000</v>
      </c>
      <c r="AC7835" s="22">
        <f t="shared" si="245"/>
        <v>0.66999999999999993</v>
      </c>
    </row>
    <row r="7836" spans="1:29">
      <c r="A7836" s="8" t="s">
        <v>1831</v>
      </c>
      <c r="B7836" s="17" t="s">
        <v>7746</v>
      </c>
      <c r="C7836" s="12">
        <v>36557</v>
      </c>
      <c r="D7836" s="13" t="s">
        <v>8465</v>
      </c>
      <c r="E7836" s="10" t="s">
        <v>72</v>
      </c>
      <c r="F7836" s="10" t="s">
        <v>72</v>
      </c>
      <c r="G7836" s="11" t="s">
        <v>1831</v>
      </c>
      <c r="H7836" s="2" t="s">
        <v>1518</v>
      </c>
      <c r="L7836" s="18">
        <v>0</v>
      </c>
      <c r="Q7836" s="18">
        <v>0</v>
      </c>
      <c r="U7836" s="22">
        <v>0.7</v>
      </c>
      <c r="V7836" s="22">
        <f>3.84/5</f>
        <v>0.76800000000000002</v>
      </c>
      <c r="X7836" s="3">
        <v>3</v>
      </c>
      <c r="Z7836" s="23">
        <v>31.5</v>
      </c>
      <c r="AB7836" s="18">
        <f t="shared" si="244"/>
        <v>2000</v>
      </c>
      <c r="AC7836" s="22">
        <f t="shared" si="245"/>
        <v>0.68933333333333335</v>
      </c>
    </row>
    <row r="7837" spans="1:29">
      <c r="A7837" s="8" t="s">
        <v>5586</v>
      </c>
      <c r="B7837" s="17" t="s">
        <v>7800</v>
      </c>
      <c r="C7837" s="13">
        <v>36557</v>
      </c>
      <c r="D7837" s="13" t="s">
        <v>8465</v>
      </c>
      <c r="E7837" s="10" t="s">
        <v>1342</v>
      </c>
      <c r="F7837" s="10" t="s">
        <v>5587</v>
      </c>
      <c r="G7837" s="11" t="s">
        <v>5588</v>
      </c>
      <c r="H7837" s="2" t="s">
        <v>1334</v>
      </c>
      <c r="L7837" s="18">
        <v>1</v>
      </c>
      <c r="N7837" s="13">
        <v>41536</v>
      </c>
      <c r="P7837" s="18" t="s">
        <v>1107</v>
      </c>
      <c r="Q7837" s="18">
        <v>0</v>
      </c>
      <c r="U7837" s="22">
        <v>0.67</v>
      </c>
      <c r="V7837" s="22">
        <f>3.59/5</f>
        <v>0.71799999999999997</v>
      </c>
      <c r="W7837" s="14" t="s">
        <v>7777</v>
      </c>
      <c r="X7837" s="3">
        <v>2</v>
      </c>
      <c r="Z7837" s="23">
        <v>17.5</v>
      </c>
      <c r="AB7837" s="18">
        <f t="shared" si="244"/>
        <v>2000</v>
      </c>
      <c r="AC7837" s="22">
        <f t="shared" si="245"/>
        <v>0.59599999999999997</v>
      </c>
    </row>
    <row r="7838" spans="1:29">
      <c r="A7838" s="8" t="s">
        <v>2952</v>
      </c>
      <c r="B7838" s="17" t="s">
        <v>7757</v>
      </c>
      <c r="C7838" s="13">
        <v>36556</v>
      </c>
      <c r="D7838" s="13" t="s">
        <v>8465</v>
      </c>
      <c r="E7838" s="10" t="s">
        <v>161</v>
      </c>
      <c r="F7838" s="10" t="s">
        <v>161</v>
      </c>
      <c r="G7838" s="11" t="s">
        <v>9517</v>
      </c>
      <c r="H7838" s="2" t="s">
        <v>149</v>
      </c>
      <c r="L7838" s="18">
        <v>0</v>
      </c>
      <c r="Q7838" s="18">
        <v>0</v>
      </c>
      <c r="U7838" s="22">
        <v>0.74</v>
      </c>
      <c r="V7838" s="22">
        <f>3.6/5</f>
        <v>0.72</v>
      </c>
      <c r="X7838" s="3">
        <v>3</v>
      </c>
      <c r="Z7838" s="23">
        <v>31.5</v>
      </c>
      <c r="AB7838" s="18">
        <f t="shared" si="244"/>
        <v>2000</v>
      </c>
      <c r="AC7838" s="22">
        <f t="shared" si="245"/>
        <v>0.68666666666666665</v>
      </c>
    </row>
    <row r="7839" spans="1:29">
      <c r="A7839" s="8" t="s">
        <v>2743</v>
      </c>
      <c r="B7839" s="17" t="s">
        <v>7755</v>
      </c>
      <c r="C7839" s="13">
        <v>36556</v>
      </c>
      <c r="D7839" s="13" t="s">
        <v>8465</v>
      </c>
      <c r="E7839" s="10" t="s">
        <v>1240</v>
      </c>
      <c r="F7839" s="10" t="s">
        <v>1240</v>
      </c>
      <c r="H7839" s="2" t="s">
        <v>1061</v>
      </c>
      <c r="L7839" s="18">
        <v>0</v>
      </c>
      <c r="Q7839" s="18">
        <v>0</v>
      </c>
      <c r="U7839" s="22">
        <v>0.7</v>
      </c>
      <c r="V7839" s="22">
        <f>3.41/5</f>
        <v>0.68200000000000005</v>
      </c>
      <c r="X7839" s="3">
        <v>3</v>
      </c>
      <c r="Z7839" s="23">
        <v>9.5</v>
      </c>
      <c r="AB7839" s="18">
        <f t="shared" si="244"/>
        <v>2000</v>
      </c>
      <c r="AC7839" s="22">
        <f t="shared" si="245"/>
        <v>0.66066666666666674</v>
      </c>
    </row>
    <row r="7840" spans="1:29" ht="30">
      <c r="A7840" s="8" t="s">
        <v>11301</v>
      </c>
      <c r="B7840" s="17" t="s">
        <v>7757</v>
      </c>
      <c r="C7840" s="13">
        <v>36552</v>
      </c>
      <c r="D7840" s="13" t="s">
        <v>8463</v>
      </c>
      <c r="E7840" s="10" t="s">
        <v>6107</v>
      </c>
      <c r="F7840" s="10" t="s">
        <v>6265</v>
      </c>
      <c r="G7840" s="11" t="s">
        <v>11300</v>
      </c>
      <c r="H7840" s="2" t="s">
        <v>75</v>
      </c>
      <c r="K7840" s="18">
        <v>1</v>
      </c>
      <c r="L7840" s="18">
        <v>0</v>
      </c>
      <c r="Q7840" s="18">
        <v>0</v>
      </c>
      <c r="V7840" s="22">
        <f>3.93/5</f>
        <v>0.78600000000000003</v>
      </c>
      <c r="X7840" s="3">
        <v>3</v>
      </c>
      <c r="AB7840" s="18">
        <f t="shared" si="244"/>
        <v>2000</v>
      </c>
      <c r="AC7840" s="22">
        <f t="shared" si="245"/>
        <v>0.69300000000000006</v>
      </c>
    </row>
    <row r="7841" spans="1:29" ht="25.5">
      <c r="A7841" s="8" t="s">
        <v>1845</v>
      </c>
      <c r="B7841" s="17" t="s">
        <v>7746</v>
      </c>
      <c r="C7841" s="13">
        <v>36550</v>
      </c>
      <c r="D7841" s="13" t="s">
        <v>8465</v>
      </c>
      <c r="E7841" s="10" t="s">
        <v>1870</v>
      </c>
      <c r="F7841" s="10" t="s">
        <v>58</v>
      </c>
      <c r="G7841" s="11" t="s">
        <v>140</v>
      </c>
      <c r="H7841" s="2" t="s">
        <v>149</v>
      </c>
      <c r="L7841" s="18">
        <v>0</v>
      </c>
      <c r="Q7841" s="18">
        <v>0</v>
      </c>
      <c r="U7841" s="22">
        <v>0.8</v>
      </c>
      <c r="V7841" s="22">
        <f>4.09/5</f>
        <v>0.81799999999999995</v>
      </c>
      <c r="X7841" s="3">
        <v>3</v>
      </c>
      <c r="Z7841" s="23">
        <v>31.5</v>
      </c>
      <c r="AB7841" s="18">
        <f t="shared" si="244"/>
        <v>2000</v>
      </c>
      <c r="AC7841" s="22">
        <f t="shared" si="245"/>
        <v>0.73933333333333329</v>
      </c>
    </row>
    <row r="7842" spans="1:29">
      <c r="A7842" s="8" t="s">
        <v>10150</v>
      </c>
      <c r="B7842" s="17" t="s">
        <v>7755</v>
      </c>
      <c r="C7842" s="13">
        <v>36550</v>
      </c>
      <c r="D7842" s="13" t="s">
        <v>8465</v>
      </c>
      <c r="E7842" s="10" t="s">
        <v>455</v>
      </c>
      <c r="F7842" s="10" t="s">
        <v>455</v>
      </c>
      <c r="G7842" s="11" t="s">
        <v>1524</v>
      </c>
      <c r="H7842" s="2" t="s">
        <v>153</v>
      </c>
      <c r="L7842" s="18">
        <v>0</v>
      </c>
      <c r="Q7842" s="18">
        <v>0</v>
      </c>
      <c r="U7842" s="22">
        <v>0.6</v>
      </c>
      <c r="V7842" s="22">
        <f>3.37/5</f>
        <v>0.67400000000000004</v>
      </c>
      <c r="X7842" s="3">
        <v>2</v>
      </c>
      <c r="Z7842" s="23">
        <v>1</v>
      </c>
      <c r="AB7842" s="18">
        <f t="shared" si="244"/>
        <v>2000</v>
      </c>
      <c r="AC7842" s="22">
        <f t="shared" si="245"/>
        <v>0.55799999999999994</v>
      </c>
    </row>
    <row r="7843" spans="1:29" ht="30">
      <c r="A7843" s="8" t="s">
        <v>1844</v>
      </c>
      <c r="B7843" s="17" t="s">
        <v>7746</v>
      </c>
      <c r="C7843" s="13">
        <v>36549</v>
      </c>
      <c r="D7843" s="13" t="s">
        <v>8465</v>
      </c>
      <c r="E7843" s="10" t="s">
        <v>86</v>
      </c>
      <c r="F7843" s="10" t="s">
        <v>1506</v>
      </c>
      <c r="G7843" s="11" t="s">
        <v>15</v>
      </c>
      <c r="H7843" s="2" t="s">
        <v>56</v>
      </c>
      <c r="L7843" s="18">
        <v>0</v>
      </c>
      <c r="Q7843" s="18">
        <v>0</v>
      </c>
      <c r="U7843" s="22">
        <v>0.84</v>
      </c>
      <c r="V7843" s="22">
        <f>3.67/5</f>
        <v>0.73399999999999999</v>
      </c>
      <c r="X7843" s="3">
        <v>3</v>
      </c>
      <c r="Z7843" s="23">
        <v>3.5</v>
      </c>
      <c r="AB7843" s="18">
        <f t="shared" si="244"/>
        <v>2000</v>
      </c>
      <c r="AC7843" s="22">
        <f t="shared" si="245"/>
        <v>0.72466666666666668</v>
      </c>
    </row>
    <row r="7844" spans="1:29">
      <c r="A7844" s="8" t="s">
        <v>861</v>
      </c>
      <c r="B7844" s="20" t="s">
        <v>7739</v>
      </c>
      <c r="C7844" s="13">
        <v>36549</v>
      </c>
      <c r="D7844" s="13" t="s">
        <v>8465</v>
      </c>
      <c r="E7844" s="10" t="s">
        <v>86</v>
      </c>
      <c r="F7844" s="10" t="s">
        <v>62</v>
      </c>
      <c r="G7844" s="11" t="s">
        <v>860</v>
      </c>
      <c r="H7844" s="2" t="s">
        <v>1469</v>
      </c>
      <c r="L7844" s="18">
        <v>0</v>
      </c>
      <c r="Q7844" s="18">
        <v>0</v>
      </c>
      <c r="U7844" s="22">
        <v>0.76</v>
      </c>
      <c r="V7844" s="22">
        <f>3.98/5</f>
        <v>0.79600000000000004</v>
      </c>
      <c r="X7844" s="3">
        <v>3</v>
      </c>
      <c r="Z7844" s="23">
        <v>7</v>
      </c>
      <c r="AB7844" s="18">
        <f t="shared" si="244"/>
        <v>2000</v>
      </c>
      <c r="AC7844" s="22">
        <f t="shared" si="245"/>
        <v>0.71866666666666668</v>
      </c>
    </row>
    <row r="7845" spans="1:29" ht="25.5">
      <c r="A7845" s="8" t="s">
        <v>834</v>
      </c>
      <c r="B7845" s="17" t="s">
        <v>7736</v>
      </c>
      <c r="C7845" s="13">
        <v>36546</v>
      </c>
      <c r="D7845" s="13" t="s">
        <v>8463</v>
      </c>
      <c r="E7845" s="10" t="s">
        <v>86</v>
      </c>
      <c r="F7845" s="10" t="s">
        <v>1069</v>
      </c>
      <c r="G7845" s="11" t="s">
        <v>305</v>
      </c>
      <c r="H7845" s="2" t="s">
        <v>75</v>
      </c>
      <c r="K7845" s="18">
        <v>2</v>
      </c>
      <c r="L7845" s="18">
        <v>0</v>
      </c>
      <c r="Q7845" s="18">
        <v>0</v>
      </c>
      <c r="U7845" s="22">
        <v>0.99</v>
      </c>
      <c r="V7845" s="22">
        <f>4.2/5</f>
        <v>0.84000000000000008</v>
      </c>
      <c r="X7845" s="3">
        <v>4</v>
      </c>
      <c r="Z7845" s="23">
        <v>29.5</v>
      </c>
      <c r="AB7845" s="18">
        <f t="shared" si="244"/>
        <v>2000</v>
      </c>
      <c r="AC7845" s="22">
        <f t="shared" si="245"/>
        <v>0.87666666666666659</v>
      </c>
    </row>
    <row r="7846" spans="1:29" ht="25.5">
      <c r="A7846" s="8" t="s">
        <v>9574</v>
      </c>
      <c r="B7846" s="17" t="s">
        <v>7755</v>
      </c>
      <c r="C7846" s="13">
        <v>36545</v>
      </c>
      <c r="D7846" s="13" t="s">
        <v>8463</v>
      </c>
      <c r="E7846" s="10" t="s">
        <v>68</v>
      </c>
      <c r="F7846" s="10" t="s">
        <v>68</v>
      </c>
      <c r="H7846" s="2" t="s">
        <v>1061</v>
      </c>
      <c r="K7846" s="18">
        <v>2</v>
      </c>
      <c r="L7846" s="18">
        <v>0</v>
      </c>
      <c r="Q7846" s="18">
        <v>0</v>
      </c>
      <c r="V7846" s="22">
        <f>3.1/5</f>
        <v>0.62</v>
      </c>
      <c r="X7846" s="3">
        <v>3</v>
      </c>
      <c r="Z7846" s="23">
        <v>5</v>
      </c>
      <c r="AB7846" s="18">
        <f t="shared" si="244"/>
        <v>2000</v>
      </c>
      <c r="AC7846" s="22">
        <f t="shared" si="245"/>
        <v>0.61</v>
      </c>
    </row>
    <row r="7847" spans="1:29" ht="30">
      <c r="A7847" s="8" t="s">
        <v>14540</v>
      </c>
      <c r="B7847" s="17" t="s">
        <v>7733</v>
      </c>
      <c r="C7847" s="13">
        <v>36545</v>
      </c>
      <c r="D7847" s="13" t="s">
        <v>8463</v>
      </c>
      <c r="E7847" s="10" t="s">
        <v>170</v>
      </c>
      <c r="F7847" s="10" t="s">
        <v>1223</v>
      </c>
      <c r="G7847" s="11" t="s">
        <v>569</v>
      </c>
      <c r="H7847" s="2" t="s">
        <v>149</v>
      </c>
      <c r="K7847" s="18">
        <v>1</v>
      </c>
      <c r="L7847" s="18">
        <v>0</v>
      </c>
      <c r="Q7847" s="18">
        <v>0</v>
      </c>
      <c r="V7847" s="22">
        <f>3.83/5</f>
        <v>0.76600000000000001</v>
      </c>
      <c r="X7847" s="3">
        <v>2</v>
      </c>
      <c r="AB7847" s="18">
        <f t="shared" si="244"/>
        <v>2000</v>
      </c>
      <c r="AC7847" s="22">
        <f t="shared" si="245"/>
        <v>0.58299999999999996</v>
      </c>
    </row>
    <row r="7848" spans="1:29">
      <c r="A7848" s="8" t="s">
        <v>10447</v>
      </c>
      <c r="B7848" s="17" t="s">
        <v>7755</v>
      </c>
      <c r="C7848" s="13">
        <v>36545</v>
      </c>
      <c r="D7848" s="13" t="s">
        <v>8463</v>
      </c>
      <c r="E7848" s="10" t="s">
        <v>463</v>
      </c>
      <c r="F7848" s="10" t="s">
        <v>463</v>
      </c>
      <c r="G7848" s="11" t="s">
        <v>443</v>
      </c>
      <c r="H7848" s="2" t="s">
        <v>1170</v>
      </c>
      <c r="K7848" s="18">
        <v>2</v>
      </c>
      <c r="L7848" s="18">
        <v>0</v>
      </c>
      <c r="Q7848" s="18">
        <v>0</v>
      </c>
      <c r="V7848" s="22">
        <f>3.48/5</f>
        <v>0.69599999999999995</v>
      </c>
      <c r="X7848" s="3">
        <v>2</v>
      </c>
      <c r="AB7848" s="18">
        <f t="shared" si="244"/>
        <v>2000</v>
      </c>
      <c r="AC7848" s="22">
        <f t="shared" si="245"/>
        <v>0.54800000000000004</v>
      </c>
    </row>
    <row r="7849" spans="1:29" ht="30">
      <c r="A7849" s="8" t="s">
        <v>8884</v>
      </c>
      <c r="B7849" s="17" t="s">
        <v>7795</v>
      </c>
      <c r="C7849" s="13">
        <v>36545</v>
      </c>
      <c r="D7849" s="13" t="s">
        <v>8463</v>
      </c>
      <c r="E7849" s="10" t="s">
        <v>157</v>
      </c>
      <c r="F7849" s="10" t="s">
        <v>157</v>
      </c>
      <c r="G7849" s="11" t="s">
        <v>8877</v>
      </c>
      <c r="H7849" s="2" t="s">
        <v>75</v>
      </c>
      <c r="K7849" s="18">
        <v>2</v>
      </c>
      <c r="L7849" s="18">
        <v>0</v>
      </c>
      <c r="Q7849" s="18">
        <v>0</v>
      </c>
      <c r="V7849" s="22">
        <f>3.44/5</f>
        <v>0.68799999999999994</v>
      </c>
      <c r="X7849" s="3">
        <v>2</v>
      </c>
      <c r="AB7849" s="18">
        <f t="shared" si="244"/>
        <v>2000</v>
      </c>
      <c r="AC7849" s="22">
        <f t="shared" si="245"/>
        <v>0.54400000000000004</v>
      </c>
    </row>
    <row r="7850" spans="1:29">
      <c r="A7850" s="8" t="s">
        <v>1898</v>
      </c>
      <c r="B7850" s="17" t="s">
        <v>7757</v>
      </c>
      <c r="C7850" s="13">
        <v>36531</v>
      </c>
      <c r="D7850" s="13" t="s">
        <v>8463</v>
      </c>
      <c r="E7850" s="10" t="s">
        <v>470</v>
      </c>
      <c r="F7850" s="10" t="s">
        <v>1897</v>
      </c>
      <c r="G7850" s="11" t="s">
        <v>1898</v>
      </c>
      <c r="H7850" s="2" t="s">
        <v>75</v>
      </c>
      <c r="K7850" s="18">
        <v>0</v>
      </c>
      <c r="L7850" s="18">
        <v>0</v>
      </c>
      <c r="Q7850" s="18">
        <v>0</v>
      </c>
      <c r="V7850" s="22">
        <f>4.02/5</f>
        <v>0.80399999999999994</v>
      </c>
      <c r="X7850" s="3">
        <v>3</v>
      </c>
      <c r="Z7850" s="23">
        <v>26.5</v>
      </c>
      <c r="AB7850" s="18">
        <f t="shared" si="244"/>
        <v>2000</v>
      </c>
      <c r="AC7850" s="22">
        <f t="shared" si="245"/>
        <v>0.70199999999999996</v>
      </c>
    </row>
    <row r="7851" spans="1:29">
      <c r="A7851" s="8" t="s">
        <v>2953</v>
      </c>
      <c r="B7851" s="17" t="s">
        <v>7757</v>
      </c>
      <c r="C7851" s="13">
        <v>36530</v>
      </c>
      <c r="D7851" s="13" t="s">
        <v>8465</v>
      </c>
      <c r="E7851" s="10" t="s">
        <v>2701</v>
      </c>
      <c r="F7851" s="10" t="s">
        <v>1474</v>
      </c>
      <c r="H7851" s="2" t="s">
        <v>143</v>
      </c>
      <c r="L7851" s="18">
        <v>0</v>
      </c>
      <c r="Q7851" s="18">
        <v>0</v>
      </c>
      <c r="U7851" s="22">
        <v>0.73</v>
      </c>
      <c r="V7851" s="22">
        <f>3.83/5</f>
        <v>0.76600000000000001</v>
      </c>
      <c r="X7851" s="3">
        <v>3</v>
      </c>
      <c r="Z7851" s="23">
        <v>3</v>
      </c>
      <c r="AB7851" s="18">
        <f t="shared" si="244"/>
        <v>2000</v>
      </c>
      <c r="AC7851" s="22">
        <f t="shared" si="245"/>
        <v>0.69866666666666666</v>
      </c>
    </row>
    <row r="7852" spans="1:29" ht="25.5">
      <c r="A7852" s="8" t="s">
        <v>12334</v>
      </c>
      <c r="B7852" s="17" t="s">
        <v>7800</v>
      </c>
      <c r="C7852" s="24">
        <v>36526</v>
      </c>
      <c r="D7852" s="13" t="s">
        <v>8463</v>
      </c>
      <c r="E7852" s="10" t="s">
        <v>11819</v>
      </c>
      <c r="F7852" s="10" t="s">
        <v>11819</v>
      </c>
      <c r="G7852" s="11" t="s">
        <v>5566</v>
      </c>
      <c r="H7852" s="2" t="s">
        <v>149</v>
      </c>
      <c r="K7852" s="18">
        <v>1</v>
      </c>
      <c r="L7852" s="18">
        <v>0</v>
      </c>
      <c r="Q7852" s="18">
        <v>0</v>
      </c>
      <c r="V7852" s="22">
        <f>4.1/5</f>
        <v>0.82</v>
      </c>
      <c r="X7852" s="3">
        <v>3</v>
      </c>
      <c r="AB7852" s="18">
        <f t="shared" si="244"/>
        <v>2000</v>
      </c>
      <c r="AC7852" s="22">
        <f t="shared" si="245"/>
        <v>0.71</v>
      </c>
    </row>
    <row r="7853" spans="1:29">
      <c r="A7853" s="8" t="s">
        <v>372</v>
      </c>
      <c r="B7853" s="17" t="s">
        <v>6317</v>
      </c>
      <c r="C7853" s="12">
        <v>36526</v>
      </c>
      <c r="D7853" s="13" t="s">
        <v>8465</v>
      </c>
      <c r="E7853" s="10" t="s">
        <v>473</v>
      </c>
      <c r="F7853" s="10" t="s">
        <v>473</v>
      </c>
      <c r="H7853" s="2" t="s">
        <v>21</v>
      </c>
      <c r="L7853" s="18">
        <v>0</v>
      </c>
      <c r="Q7853" s="18">
        <v>0</v>
      </c>
      <c r="V7853" s="22">
        <f>3.58/5</f>
        <v>0.71599999999999997</v>
      </c>
      <c r="X7853" s="3">
        <v>3</v>
      </c>
      <c r="Z7853" s="23">
        <v>1.5</v>
      </c>
      <c r="AB7853" s="18">
        <f t="shared" si="244"/>
        <v>2000</v>
      </c>
      <c r="AC7853" s="22">
        <f t="shared" si="245"/>
        <v>0.65799999999999992</v>
      </c>
    </row>
    <row r="7854" spans="1:29">
      <c r="A7854" s="8" t="s">
        <v>11919</v>
      </c>
      <c r="B7854" s="17" t="s">
        <v>6317</v>
      </c>
      <c r="C7854" s="24">
        <v>36526</v>
      </c>
      <c r="D7854" s="13" t="s">
        <v>8465</v>
      </c>
      <c r="E7854" s="10" t="s">
        <v>73</v>
      </c>
      <c r="F7854" s="10" t="s">
        <v>11920</v>
      </c>
      <c r="G7854" s="11" t="s">
        <v>11921</v>
      </c>
      <c r="H7854" s="2" t="s">
        <v>21</v>
      </c>
      <c r="L7854" s="18">
        <v>0</v>
      </c>
      <c r="Q7854" s="18">
        <v>0</v>
      </c>
      <c r="V7854" s="22">
        <f>3.72/5</f>
        <v>0.74399999999999999</v>
      </c>
      <c r="X7854" s="3">
        <v>2</v>
      </c>
      <c r="Z7854" s="23">
        <f>26/60</f>
        <v>0.43333333333333335</v>
      </c>
      <c r="AB7854" s="18">
        <f t="shared" si="244"/>
        <v>2000</v>
      </c>
      <c r="AC7854" s="22">
        <f t="shared" si="245"/>
        <v>0.57200000000000006</v>
      </c>
    </row>
    <row r="7855" spans="1:29">
      <c r="A7855" s="8" t="s">
        <v>9703</v>
      </c>
      <c r="B7855" s="17" t="s">
        <v>7758</v>
      </c>
      <c r="C7855" s="12">
        <v>36526</v>
      </c>
      <c r="D7855" s="13" t="s">
        <v>8465</v>
      </c>
      <c r="E7855" s="10" t="s">
        <v>2701</v>
      </c>
      <c r="F7855" s="10" t="s">
        <v>1512</v>
      </c>
      <c r="G7855" s="11" t="s">
        <v>11208</v>
      </c>
      <c r="H7855" s="2" t="s">
        <v>1204</v>
      </c>
      <c r="L7855" s="18">
        <v>0</v>
      </c>
      <c r="Q7855" s="18">
        <v>0</v>
      </c>
      <c r="U7855" s="22">
        <v>0.73</v>
      </c>
      <c r="V7855" s="22">
        <f>3.27/5</f>
        <v>0.65400000000000003</v>
      </c>
      <c r="X7855" s="3">
        <v>2</v>
      </c>
      <c r="Z7855" s="23">
        <v>2</v>
      </c>
      <c r="AB7855" s="18">
        <f t="shared" si="244"/>
        <v>2000</v>
      </c>
      <c r="AC7855" s="22">
        <f t="shared" si="245"/>
        <v>0.59466666666666657</v>
      </c>
    </row>
    <row r="7856" spans="1:29">
      <c r="A7856" s="8" t="s">
        <v>6615</v>
      </c>
      <c r="B7856" s="17" t="s">
        <v>7746</v>
      </c>
      <c r="C7856" s="12">
        <v>36526</v>
      </c>
      <c r="D7856" s="13" t="s">
        <v>8465</v>
      </c>
      <c r="E7856" s="10" t="s">
        <v>160</v>
      </c>
      <c r="F7856" s="10" t="s">
        <v>1365</v>
      </c>
      <c r="G7856" s="11" t="s">
        <v>1828</v>
      </c>
      <c r="H7856" s="2" t="s">
        <v>149</v>
      </c>
      <c r="L7856" s="18">
        <v>0</v>
      </c>
      <c r="Q7856" s="18">
        <v>0</v>
      </c>
      <c r="U7856" s="22">
        <v>0.45</v>
      </c>
      <c r="V7856" s="22">
        <f>3.13/5</f>
        <v>0.626</v>
      </c>
      <c r="X7856" s="3">
        <v>2</v>
      </c>
      <c r="Z7856" s="23">
        <v>10.5</v>
      </c>
      <c r="AB7856" s="18">
        <f t="shared" si="244"/>
        <v>2000</v>
      </c>
      <c r="AC7856" s="22">
        <f t="shared" si="245"/>
        <v>0.49199999999999999</v>
      </c>
    </row>
    <row r="7857" spans="1:29">
      <c r="A7857" s="8" t="s">
        <v>3012</v>
      </c>
      <c r="B7857" s="17" t="s">
        <v>7757</v>
      </c>
      <c r="C7857" s="13">
        <v>36843</v>
      </c>
      <c r="D7857" s="13" t="s">
        <v>8465</v>
      </c>
      <c r="E7857" s="10" t="s">
        <v>161</v>
      </c>
      <c r="F7857" s="10" t="s">
        <v>161</v>
      </c>
      <c r="G7857" s="11" t="s">
        <v>126</v>
      </c>
      <c r="H7857" s="2" t="s">
        <v>149</v>
      </c>
      <c r="L7857" s="18">
        <v>1</v>
      </c>
      <c r="M7857" s="14" t="s">
        <v>8462</v>
      </c>
      <c r="N7857" s="13">
        <v>43110</v>
      </c>
      <c r="O7857" s="29">
        <v>14.95</v>
      </c>
      <c r="P7857" s="18" t="s">
        <v>14</v>
      </c>
      <c r="Q7857" s="18">
        <v>1</v>
      </c>
      <c r="R7857" s="13">
        <v>43990</v>
      </c>
      <c r="S7857" s="21">
        <f>40+40/60+46/60</f>
        <v>41.43333333333333</v>
      </c>
      <c r="T7857" s="22">
        <v>0.8</v>
      </c>
      <c r="U7857" s="22">
        <v>0.93</v>
      </c>
      <c r="V7857" s="22">
        <f>4.39/5</f>
        <v>0.87799999999999989</v>
      </c>
      <c r="W7857" s="14" t="s">
        <v>8841</v>
      </c>
      <c r="AB7857" s="18">
        <f t="shared" si="244"/>
        <v>2000</v>
      </c>
      <c r="AC7857" s="22">
        <f t="shared" si="245"/>
        <v>0.86933333333333318</v>
      </c>
    </row>
    <row r="7858" spans="1:29" ht="25.5">
      <c r="A7858" s="8" t="s">
        <v>898</v>
      </c>
      <c r="B7858" s="20" t="s">
        <v>7739</v>
      </c>
      <c r="C7858" s="13">
        <v>36825</v>
      </c>
      <c r="D7858" s="13" t="s">
        <v>8465</v>
      </c>
      <c r="E7858" s="10" t="s">
        <v>86</v>
      </c>
      <c r="F7858" s="10" t="s">
        <v>87</v>
      </c>
      <c r="G7858" s="11" t="s">
        <v>85</v>
      </c>
      <c r="H7858" s="2" t="s">
        <v>80</v>
      </c>
      <c r="L7858" s="18">
        <v>1</v>
      </c>
      <c r="M7858" s="14" t="s">
        <v>10622</v>
      </c>
      <c r="N7858" s="13">
        <v>43520</v>
      </c>
      <c r="O7858" s="29">
        <v>25</v>
      </c>
      <c r="P7858" s="18" t="s">
        <v>14</v>
      </c>
      <c r="Q7858" s="18">
        <v>1</v>
      </c>
      <c r="T7858" s="22">
        <v>0.8</v>
      </c>
      <c r="U7858" s="22">
        <v>0.92</v>
      </c>
      <c r="V7858" s="22">
        <f>4.42/5</f>
        <v>0.88400000000000001</v>
      </c>
      <c r="AB7858" s="18">
        <f t="shared" si="244"/>
        <v>2000</v>
      </c>
      <c r="AC7858" s="22">
        <f t="shared" si="245"/>
        <v>0.86799999999999999</v>
      </c>
    </row>
    <row r="7859" spans="1:29" ht="25.5">
      <c r="A7859" s="8" t="s">
        <v>6543</v>
      </c>
      <c r="B7859" s="17" t="s">
        <v>7800</v>
      </c>
      <c r="C7859" s="13">
        <v>36822</v>
      </c>
      <c r="D7859" s="13" t="s">
        <v>8465</v>
      </c>
      <c r="E7859" s="10" t="s">
        <v>5010</v>
      </c>
      <c r="F7859" s="10" t="s">
        <v>6544</v>
      </c>
      <c r="G7859" s="11" t="s">
        <v>3043</v>
      </c>
      <c r="H7859" s="2" t="s">
        <v>1143</v>
      </c>
      <c r="L7859" s="18">
        <v>1</v>
      </c>
      <c r="N7859" s="13">
        <v>41627</v>
      </c>
      <c r="O7859" s="29">
        <v>0.33</v>
      </c>
      <c r="P7859" s="18" t="s">
        <v>1107</v>
      </c>
      <c r="Q7859" s="18">
        <v>1</v>
      </c>
      <c r="T7859" s="22">
        <v>1</v>
      </c>
      <c r="U7859" s="22">
        <v>0.86</v>
      </c>
      <c r="V7859" s="22">
        <f>4.2/5</f>
        <v>0.84000000000000008</v>
      </c>
      <c r="W7859" s="14" t="s">
        <v>7796</v>
      </c>
      <c r="AB7859" s="18">
        <f t="shared" si="244"/>
        <v>2000</v>
      </c>
      <c r="AC7859" s="22">
        <f t="shared" si="245"/>
        <v>0.9</v>
      </c>
    </row>
    <row r="7860" spans="1:29">
      <c r="A7860" s="8" t="s">
        <v>2904</v>
      </c>
      <c r="B7860" s="17" t="s">
        <v>7757</v>
      </c>
      <c r="C7860" s="13">
        <v>36753</v>
      </c>
      <c r="D7860" s="13" t="s">
        <v>8465</v>
      </c>
      <c r="E7860" s="10" t="s">
        <v>161</v>
      </c>
      <c r="F7860" s="10" t="s">
        <v>161</v>
      </c>
      <c r="G7860" s="11" t="s">
        <v>1251</v>
      </c>
      <c r="H7860" s="2" t="s">
        <v>149</v>
      </c>
      <c r="L7860" s="18">
        <v>1</v>
      </c>
      <c r="M7860" s="14" t="s">
        <v>8462</v>
      </c>
      <c r="N7860" s="13">
        <v>43110</v>
      </c>
      <c r="O7860" s="29">
        <v>9.99</v>
      </c>
      <c r="P7860" s="18" t="s">
        <v>14</v>
      </c>
      <c r="Q7860" s="18">
        <v>1</v>
      </c>
      <c r="T7860" s="22">
        <v>0.9</v>
      </c>
      <c r="U7860" s="22">
        <v>0.92</v>
      </c>
      <c r="V7860" s="22">
        <f>4.2/5</f>
        <v>0.84000000000000008</v>
      </c>
      <c r="W7860" s="14" t="s">
        <v>8841</v>
      </c>
      <c r="AB7860" s="18">
        <f t="shared" si="244"/>
        <v>2000</v>
      </c>
      <c r="AC7860" s="22">
        <f t="shared" si="245"/>
        <v>0.88666666666666671</v>
      </c>
    </row>
    <row r="7861" spans="1:29">
      <c r="A7861" s="8" t="s">
        <v>1825</v>
      </c>
      <c r="B7861" s="17" t="s">
        <v>7746</v>
      </c>
      <c r="C7861" s="13">
        <v>36742</v>
      </c>
      <c r="D7861" s="13" t="s">
        <v>8463</v>
      </c>
      <c r="E7861" s="10" t="s">
        <v>1200</v>
      </c>
      <c r="F7861" s="10" t="s">
        <v>1828</v>
      </c>
      <c r="G7861" s="11" t="s">
        <v>1829</v>
      </c>
      <c r="H7861" s="2" t="s">
        <v>21</v>
      </c>
      <c r="K7861" s="18">
        <v>2</v>
      </c>
      <c r="L7861" s="18">
        <v>0</v>
      </c>
      <c r="Q7861" s="18">
        <v>1</v>
      </c>
      <c r="T7861" s="22">
        <v>0.7</v>
      </c>
      <c r="V7861" s="22">
        <f>3.6/5</f>
        <v>0.72</v>
      </c>
      <c r="AB7861" s="18">
        <f t="shared" si="244"/>
        <v>2000</v>
      </c>
      <c r="AC7861" s="22">
        <f t="shared" si="245"/>
        <v>0.71</v>
      </c>
    </row>
    <row r="7862" spans="1:29">
      <c r="A7862" s="8" t="s">
        <v>327</v>
      </c>
      <c r="B7862" s="17" t="s">
        <v>6317</v>
      </c>
      <c r="C7862" s="13">
        <v>36697</v>
      </c>
      <c r="D7862" s="13" t="s">
        <v>8465</v>
      </c>
      <c r="E7862" s="10" t="s">
        <v>73</v>
      </c>
      <c r="F7862" s="10" t="s">
        <v>461</v>
      </c>
      <c r="G7862" s="11" t="s">
        <v>441</v>
      </c>
      <c r="H7862" s="2" t="s">
        <v>21</v>
      </c>
      <c r="L7862" s="18">
        <v>0</v>
      </c>
      <c r="Q7862" s="18">
        <v>1</v>
      </c>
      <c r="T7862" s="22">
        <v>0.7</v>
      </c>
      <c r="V7862" s="22">
        <f>3.91/5</f>
        <v>0.78200000000000003</v>
      </c>
      <c r="AB7862" s="18">
        <f t="shared" si="244"/>
        <v>2000</v>
      </c>
      <c r="AC7862" s="22">
        <f t="shared" si="245"/>
        <v>0.74099999999999999</v>
      </c>
    </row>
    <row r="7863" spans="1:29">
      <c r="A7863" s="8" t="s">
        <v>895</v>
      </c>
      <c r="B7863" s="20" t="s">
        <v>7739</v>
      </c>
      <c r="C7863" s="13">
        <v>36668</v>
      </c>
      <c r="D7863" s="13" t="s">
        <v>8465</v>
      </c>
      <c r="E7863" s="10" t="s">
        <v>163</v>
      </c>
      <c r="F7863" s="10" t="s">
        <v>163</v>
      </c>
      <c r="G7863" s="11" t="s">
        <v>895</v>
      </c>
      <c r="H7863" s="2" t="s">
        <v>1050</v>
      </c>
      <c r="L7863" s="18">
        <v>0</v>
      </c>
      <c r="Q7863" s="18">
        <v>1</v>
      </c>
      <c r="T7863" s="22">
        <v>0.9</v>
      </c>
      <c r="U7863" s="22">
        <v>0.94</v>
      </c>
      <c r="V7863" s="22">
        <f>4.32/5</f>
        <v>0.8640000000000001</v>
      </c>
      <c r="Y7863" s="18">
        <v>1</v>
      </c>
      <c r="AB7863" s="18">
        <f t="shared" si="244"/>
        <v>2000</v>
      </c>
      <c r="AC7863" s="22">
        <f t="shared" si="245"/>
        <v>0.90133333333333321</v>
      </c>
    </row>
    <row r="7864" spans="1:29" ht="25.5">
      <c r="A7864" s="8" t="s">
        <v>2144</v>
      </c>
      <c r="B7864" s="17" t="s">
        <v>7757</v>
      </c>
      <c r="C7864" s="13">
        <v>36615</v>
      </c>
      <c r="D7864" s="13" t="s">
        <v>8465</v>
      </c>
      <c r="E7864" s="10" t="s">
        <v>228</v>
      </c>
      <c r="F7864" s="10" t="s">
        <v>2285</v>
      </c>
      <c r="G7864" s="11" t="s">
        <v>2907</v>
      </c>
      <c r="H7864" s="2" t="s">
        <v>75</v>
      </c>
      <c r="L7864" s="18">
        <v>0</v>
      </c>
      <c r="Q7864" s="18">
        <v>1</v>
      </c>
      <c r="R7864" s="13">
        <v>41502</v>
      </c>
      <c r="S7864" s="21">
        <v>7.3</v>
      </c>
      <c r="T7864" s="22">
        <v>0.6</v>
      </c>
      <c r="U7864" s="22">
        <v>0.68</v>
      </c>
      <c r="V7864" s="22">
        <f>3.69/5</f>
        <v>0.73799999999999999</v>
      </c>
      <c r="AB7864" s="18">
        <f t="shared" si="244"/>
        <v>2000</v>
      </c>
      <c r="AC7864" s="22">
        <f t="shared" si="245"/>
        <v>0.67266666666666663</v>
      </c>
    </row>
    <row r="7865" spans="1:29">
      <c r="A7865" s="8" t="s">
        <v>8171</v>
      </c>
      <c r="B7865" s="17" t="s">
        <v>6317</v>
      </c>
      <c r="C7865" s="12">
        <v>36586</v>
      </c>
      <c r="D7865" s="13" t="s">
        <v>8463</v>
      </c>
      <c r="E7865" s="10" t="s">
        <v>54</v>
      </c>
      <c r="F7865" s="10" t="s">
        <v>8169</v>
      </c>
      <c r="G7865" s="11" t="s">
        <v>1644</v>
      </c>
      <c r="H7865" s="2" t="s">
        <v>21</v>
      </c>
      <c r="K7865" s="18">
        <v>0</v>
      </c>
      <c r="L7865" s="18">
        <v>0</v>
      </c>
      <c r="Q7865" s="18">
        <v>1</v>
      </c>
      <c r="R7865" s="13">
        <v>43898</v>
      </c>
      <c r="S7865" s="21">
        <f>20/60+13/3600</f>
        <v>0.33694444444444444</v>
      </c>
      <c r="T7865" s="22">
        <v>0.6</v>
      </c>
      <c r="V7865" s="22">
        <f>3.4/5</f>
        <v>0.67999999999999994</v>
      </c>
      <c r="AB7865" s="18">
        <f t="shared" si="244"/>
        <v>2000</v>
      </c>
      <c r="AC7865" s="22">
        <f t="shared" si="245"/>
        <v>0.6399999999999999</v>
      </c>
    </row>
    <row r="7866" spans="1:29">
      <c r="A7866" s="8" t="s">
        <v>334</v>
      </c>
      <c r="B7866" s="17" t="s">
        <v>6317</v>
      </c>
      <c r="C7866" s="12">
        <v>36526</v>
      </c>
      <c r="D7866" s="13" t="s">
        <v>8463</v>
      </c>
      <c r="E7866" s="10" t="s">
        <v>560</v>
      </c>
      <c r="F7866" s="10" t="s">
        <v>560</v>
      </c>
      <c r="G7866" s="11" t="s">
        <v>334</v>
      </c>
      <c r="H7866" s="2" t="s">
        <v>21</v>
      </c>
      <c r="K7866" s="18">
        <v>0</v>
      </c>
      <c r="L7866" s="18">
        <v>0</v>
      </c>
      <c r="Q7866" s="18">
        <v>1</v>
      </c>
      <c r="T7866" s="22">
        <v>0.6</v>
      </c>
      <c r="V7866" s="22">
        <f>3.82/5</f>
        <v>0.76400000000000001</v>
      </c>
      <c r="AB7866" s="18">
        <f t="shared" si="244"/>
        <v>2000</v>
      </c>
      <c r="AC7866" s="22">
        <f t="shared" si="245"/>
        <v>0.68199999999999994</v>
      </c>
    </row>
    <row r="7867" spans="1:29">
      <c r="A7867" s="8" t="s">
        <v>12105</v>
      </c>
      <c r="B7867" s="17" t="s">
        <v>7800</v>
      </c>
      <c r="C7867" s="13">
        <v>36525</v>
      </c>
      <c r="D7867" s="13" t="s">
        <v>8465</v>
      </c>
      <c r="E7867" s="10" t="s">
        <v>1272</v>
      </c>
      <c r="F7867" s="10" t="s">
        <v>12106</v>
      </c>
      <c r="G7867" s="11" t="s">
        <v>12104</v>
      </c>
      <c r="H7867" s="2" t="s">
        <v>1050</v>
      </c>
      <c r="L7867" s="18">
        <v>0</v>
      </c>
      <c r="Q7867" s="18">
        <v>0</v>
      </c>
      <c r="V7867" s="22">
        <f>2.78/5</f>
        <v>0.55599999999999994</v>
      </c>
      <c r="X7867" s="3">
        <v>2</v>
      </c>
      <c r="Z7867" s="23">
        <v>3</v>
      </c>
      <c r="AB7867" s="18">
        <f t="shared" si="244"/>
        <v>1999</v>
      </c>
      <c r="AC7867" s="22">
        <f t="shared" si="245"/>
        <v>0.47799999999999998</v>
      </c>
    </row>
    <row r="7868" spans="1:29" ht="25.5">
      <c r="A7868" s="8" t="s">
        <v>2964</v>
      </c>
      <c r="B7868" s="17" t="s">
        <v>7757</v>
      </c>
      <c r="C7868" s="13">
        <v>36525</v>
      </c>
      <c r="D7868" s="13" t="s">
        <v>8465</v>
      </c>
      <c r="E7868" s="10" t="s">
        <v>1290</v>
      </c>
      <c r="F7868" s="10" t="s">
        <v>3031</v>
      </c>
      <c r="G7868" s="11" t="s">
        <v>3001</v>
      </c>
      <c r="H7868" s="2" t="s">
        <v>64</v>
      </c>
      <c r="L7868" s="18">
        <v>0</v>
      </c>
      <c r="Q7868" s="18">
        <v>0</v>
      </c>
      <c r="U7868" s="22">
        <v>0.83</v>
      </c>
      <c r="V7868" s="22">
        <f>4.02/5</f>
        <v>0.80399999999999994</v>
      </c>
      <c r="X7868" s="3">
        <v>3</v>
      </c>
      <c r="Z7868" s="23">
        <v>12</v>
      </c>
      <c r="AB7868" s="18">
        <f t="shared" si="244"/>
        <v>1999</v>
      </c>
      <c r="AC7868" s="22">
        <f t="shared" si="245"/>
        <v>0.7446666666666667</v>
      </c>
    </row>
    <row r="7869" spans="1:29" ht="25.5">
      <c r="A7869" s="8" t="s">
        <v>2747</v>
      </c>
      <c r="B7869" s="17" t="s">
        <v>7755</v>
      </c>
      <c r="C7869" s="13">
        <v>36525</v>
      </c>
      <c r="D7869" s="13" t="s">
        <v>8465</v>
      </c>
      <c r="E7869" s="10" t="s">
        <v>2763</v>
      </c>
      <c r="F7869" s="10" t="s">
        <v>2764</v>
      </c>
      <c r="H7869" s="2" t="s">
        <v>171</v>
      </c>
      <c r="L7869" s="18">
        <v>0</v>
      </c>
      <c r="Q7869" s="18">
        <v>0</v>
      </c>
      <c r="U7869" s="22">
        <v>0.71</v>
      </c>
      <c r="V7869" s="22">
        <f>4/5</f>
        <v>0.8</v>
      </c>
      <c r="X7869" s="3">
        <v>3</v>
      </c>
      <c r="Z7869" s="23">
        <v>15.5</v>
      </c>
      <c r="AB7869" s="18">
        <f t="shared" si="244"/>
        <v>1999</v>
      </c>
      <c r="AC7869" s="22">
        <f t="shared" si="245"/>
        <v>0.70333333333333325</v>
      </c>
    </row>
    <row r="7870" spans="1:29">
      <c r="A7870" s="8" t="s">
        <v>2909</v>
      </c>
      <c r="B7870" s="17" t="s">
        <v>7757</v>
      </c>
      <c r="C7870" s="13">
        <v>36524</v>
      </c>
      <c r="D7870" s="13" t="s">
        <v>8467</v>
      </c>
      <c r="E7870" s="10" t="s">
        <v>72</v>
      </c>
      <c r="F7870" s="10" t="s">
        <v>228</v>
      </c>
      <c r="H7870" s="2" t="s">
        <v>1061</v>
      </c>
      <c r="L7870" s="18">
        <v>0</v>
      </c>
      <c r="Q7870" s="18">
        <v>0</v>
      </c>
      <c r="V7870" s="22">
        <f>3.41/5</f>
        <v>0.68200000000000005</v>
      </c>
      <c r="X7870" s="3">
        <v>2</v>
      </c>
      <c r="Z7870" s="23">
        <v>6</v>
      </c>
      <c r="AB7870" s="18">
        <f t="shared" si="244"/>
        <v>1999</v>
      </c>
      <c r="AC7870" s="22">
        <f t="shared" si="245"/>
        <v>0.54100000000000004</v>
      </c>
    </row>
    <row r="7871" spans="1:29">
      <c r="A7871" s="8" t="s">
        <v>15487</v>
      </c>
      <c r="B7871" s="17" t="s">
        <v>7757</v>
      </c>
      <c r="C7871" s="13">
        <v>36518</v>
      </c>
      <c r="D7871" s="13" t="s">
        <v>8465</v>
      </c>
      <c r="E7871" s="10" t="s">
        <v>73</v>
      </c>
      <c r="F7871" s="10" t="s">
        <v>1046</v>
      </c>
      <c r="G7871" s="11" t="s">
        <v>227</v>
      </c>
      <c r="H7871" s="2" t="s">
        <v>459</v>
      </c>
      <c r="L7871" s="18">
        <v>0</v>
      </c>
      <c r="Q7871" s="18">
        <v>0</v>
      </c>
      <c r="V7871" s="22">
        <f>3.89/5</f>
        <v>0.77800000000000002</v>
      </c>
      <c r="X7871" s="3">
        <v>2</v>
      </c>
      <c r="Z7871" s="23">
        <f>39/60</f>
        <v>0.65</v>
      </c>
      <c r="AB7871" s="18">
        <f t="shared" si="244"/>
        <v>1999</v>
      </c>
      <c r="AC7871" s="22">
        <f t="shared" si="245"/>
        <v>0.58899999999999997</v>
      </c>
    </row>
    <row r="7872" spans="1:29" ht="38.25">
      <c r="A7872" s="8" t="s">
        <v>15788</v>
      </c>
      <c r="B7872" s="17" t="s">
        <v>7739</v>
      </c>
      <c r="C7872" s="13">
        <v>36518</v>
      </c>
      <c r="D7872" s="13" t="s">
        <v>8463</v>
      </c>
      <c r="E7872" s="10" t="s">
        <v>62</v>
      </c>
      <c r="F7872" s="10" t="s">
        <v>1318</v>
      </c>
      <c r="G7872" s="11" t="s">
        <v>1862</v>
      </c>
      <c r="H7872" s="2" t="s">
        <v>149</v>
      </c>
      <c r="K7872" s="18">
        <v>0</v>
      </c>
      <c r="L7872" s="18">
        <v>0</v>
      </c>
      <c r="Q7872" s="18">
        <v>0</v>
      </c>
      <c r="V7872" s="22">
        <f>3.76/5</f>
        <v>0.752</v>
      </c>
      <c r="X7872" s="3">
        <v>2</v>
      </c>
      <c r="AB7872" s="18">
        <f t="shared" si="244"/>
        <v>1999</v>
      </c>
      <c r="AC7872" s="22">
        <f t="shared" si="245"/>
        <v>0.57600000000000007</v>
      </c>
    </row>
    <row r="7873" spans="1:29" ht="30">
      <c r="A7873" s="8" t="s">
        <v>8018</v>
      </c>
      <c r="B7873" s="17" t="s">
        <v>7757</v>
      </c>
      <c r="C7873" s="13">
        <v>36517</v>
      </c>
      <c r="D7873" s="13" t="s">
        <v>8465</v>
      </c>
      <c r="E7873" s="10" t="s">
        <v>2908</v>
      </c>
      <c r="F7873" s="10" t="s">
        <v>8019</v>
      </c>
      <c r="G7873" s="11" t="s">
        <v>8016</v>
      </c>
      <c r="H7873" s="2" t="s">
        <v>150</v>
      </c>
      <c r="L7873" s="18">
        <v>0</v>
      </c>
      <c r="Q7873" s="18">
        <v>0</v>
      </c>
      <c r="U7873" s="22">
        <v>0.92420000000000002</v>
      </c>
      <c r="V7873" s="22">
        <f>4.12/5</f>
        <v>0.82400000000000007</v>
      </c>
      <c r="X7873" s="3">
        <v>2</v>
      </c>
      <c r="Z7873" s="23">
        <v>28.5</v>
      </c>
      <c r="AB7873" s="18">
        <f t="shared" ref="AB7873:AB7936" si="246">IFERROR(YEAR(C7873), "Early Access")</f>
        <v>1999</v>
      </c>
      <c r="AC7873" s="22">
        <f t="shared" ref="AC7873:AC7936" si="247">AVERAGE(T7873, U7873, V7873, IF(ISBLANK(X7873), X7873, X7873/5))</f>
        <v>0.71606666666666674</v>
      </c>
    </row>
    <row r="7874" spans="1:29">
      <c r="A7874" s="8" t="s">
        <v>858</v>
      </c>
      <c r="B7874" s="20" t="s">
        <v>7739</v>
      </c>
      <c r="C7874" s="13">
        <v>36516</v>
      </c>
      <c r="D7874" s="13" t="s">
        <v>8465</v>
      </c>
      <c r="E7874" s="10" t="s">
        <v>66</v>
      </c>
      <c r="F7874" s="10" t="s">
        <v>1468</v>
      </c>
      <c r="G7874" s="11" t="s">
        <v>710</v>
      </c>
      <c r="H7874" s="2" t="s">
        <v>1334</v>
      </c>
      <c r="L7874" s="18">
        <v>0</v>
      </c>
      <c r="Q7874" s="18">
        <v>0</v>
      </c>
      <c r="U7874" s="22">
        <v>0.84</v>
      </c>
      <c r="V7874" s="22">
        <f>4.28/5</f>
        <v>0.85600000000000009</v>
      </c>
      <c r="X7874" s="3">
        <v>3</v>
      </c>
      <c r="Z7874" s="23">
        <v>44</v>
      </c>
      <c r="AB7874" s="18">
        <f t="shared" si="246"/>
        <v>1999</v>
      </c>
      <c r="AC7874" s="22">
        <f t="shared" si="247"/>
        <v>0.76533333333333342</v>
      </c>
    </row>
    <row r="7875" spans="1:29">
      <c r="A7875" s="8" t="s">
        <v>10967</v>
      </c>
      <c r="B7875" s="17" t="s">
        <v>7757</v>
      </c>
      <c r="C7875" s="13">
        <v>36516</v>
      </c>
      <c r="D7875" s="13" t="s">
        <v>8463</v>
      </c>
      <c r="E7875" s="10" t="s">
        <v>161</v>
      </c>
      <c r="F7875" s="10" t="s">
        <v>10968</v>
      </c>
      <c r="G7875" s="11" t="s">
        <v>126</v>
      </c>
      <c r="H7875" s="2" t="s">
        <v>1469</v>
      </c>
      <c r="K7875" s="18">
        <v>0</v>
      </c>
      <c r="L7875" s="18">
        <v>0</v>
      </c>
      <c r="Q7875" s="18">
        <v>0</v>
      </c>
      <c r="V7875" s="22">
        <f>3.36/5</f>
        <v>0.67199999999999993</v>
      </c>
      <c r="X7875" s="3">
        <v>2</v>
      </c>
      <c r="AB7875" s="18">
        <f t="shared" si="246"/>
        <v>1999</v>
      </c>
      <c r="AC7875" s="22">
        <f t="shared" si="247"/>
        <v>0.53600000000000003</v>
      </c>
    </row>
    <row r="7876" spans="1:29">
      <c r="A7876" s="8" t="s">
        <v>10966</v>
      </c>
      <c r="B7876" s="17" t="s">
        <v>7757</v>
      </c>
      <c r="C7876" s="13">
        <v>36516</v>
      </c>
      <c r="D7876" s="13" t="s">
        <v>8463</v>
      </c>
      <c r="E7876" s="10" t="s">
        <v>161</v>
      </c>
      <c r="F7876" s="10" t="s">
        <v>161</v>
      </c>
      <c r="G7876" s="11" t="s">
        <v>126</v>
      </c>
      <c r="H7876" s="2" t="s">
        <v>1334</v>
      </c>
      <c r="K7876" s="18">
        <v>0</v>
      </c>
      <c r="L7876" s="18">
        <v>0</v>
      </c>
      <c r="Q7876" s="18">
        <v>0</v>
      </c>
      <c r="V7876" s="22">
        <f>3.12/5</f>
        <v>0.624</v>
      </c>
      <c r="X7876" s="3">
        <v>2</v>
      </c>
      <c r="AB7876" s="18">
        <f t="shared" si="246"/>
        <v>1999</v>
      </c>
      <c r="AC7876" s="22">
        <f t="shared" si="247"/>
        <v>0.51200000000000001</v>
      </c>
    </row>
    <row r="7877" spans="1:29">
      <c r="A7877" s="8" t="s">
        <v>10616</v>
      </c>
      <c r="B7877" s="17" t="s">
        <v>7785</v>
      </c>
      <c r="C7877" s="13">
        <v>36514</v>
      </c>
      <c r="D7877" s="13" t="s">
        <v>8465</v>
      </c>
      <c r="E7877" s="10" t="s">
        <v>9629</v>
      </c>
      <c r="F7877" s="10" t="s">
        <v>1690</v>
      </c>
      <c r="G7877" s="11" t="s">
        <v>10617</v>
      </c>
      <c r="H7877" s="2" t="s">
        <v>21</v>
      </c>
      <c r="L7877" s="18">
        <v>0</v>
      </c>
      <c r="Q7877" s="18">
        <v>0</v>
      </c>
      <c r="V7877" s="22">
        <f>3.74/5</f>
        <v>0.748</v>
      </c>
      <c r="X7877" s="3">
        <v>2</v>
      </c>
      <c r="AB7877" s="18">
        <f t="shared" si="246"/>
        <v>1999</v>
      </c>
      <c r="AC7877" s="22">
        <f t="shared" si="247"/>
        <v>0.57400000000000007</v>
      </c>
    </row>
    <row r="7878" spans="1:29" ht="30">
      <c r="A7878" s="8" t="s">
        <v>8011</v>
      </c>
      <c r="B7878" s="17" t="s">
        <v>7757</v>
      </c>
      <c r="C7878" s="13">
        <v>36510</v>
      </c>
      <c r="D7878" s="13" t="s">
        <v>8463</v>
      </c>
      <c r="E7878" s="10" t="s">
        <v>2908</v>
      </c>
      <c r="F7878" s="10" t="s">
        <v>8012</v>
      </c>
      <c r="H7878" s="2" t="s">
        <v>1168</v>
      </c>
      <c r="K7878" s="18">
        <v>0</v>
      </c>
      <c r="L7878" s="18">
        <v>0</v>
      </c>
      <c r="Q7878" s="18">
        <v>0</v>
      </c>
      <c r="V7878" s="22">
        <f>4.2/5</f>
        <v>0.84000000000000008</v>
      </c>
      <c r="X7878" s="3">
        <v>3</v>
      </c>
      <c r="AB7878" s="18">
        <f t="shared" si="246"/>
        <v>1999</v>
      </c>
      <c r="AC7878" s="22">
        <f t="shared" si="247"/>
        <v>0.72</v>
      </c>
    </row>
    <row r="7879" spans="1:29" ht="25.5">
      <c r="A7879" s="8" t="s">
        <v>10998</v>
      </c>
      <c r="B7879" s="17" t="s">
        <v>7755</v>
      </c>
      <c r="C7879" s="13">
        <v>36510</v>
      </c>
      <c r="D7879" s="13" t="s">
        <v>8465</v>
      </c>
      <c r="E7879" s="10" t="s">
        <v>1047</v>
      </c>
      <c r="F7879" s="10" t="s">
        <v>1416</v>
      </c>
      <c r="G7879" s="11" t="s">
        <v>10999</v>
      </c>
      <c r="H7879" s="2" t="s">
        <v>1377</v>
      </c>
      <c r="L7879" s="18">
        <v>0</v>
      </c>
      <c r="Q7879" s="18">
        <v>0</v>
      </c>
      <c r="V7879" s="22">
        <f>3.47/5</f>
        <v>0.69400000000000006</v>
      </c>
      <c r="X7879" s="3">
        <v>3</v>
      </c>
      <c r="Z7879" s="23">
        <v>32</v>
      </c>
      <c r="AB7879" s="18">
        <f t="shared" si="246"/>
        <v>1999</v>
      </c>
      <c r="AC7879" s="22">
        <f t="shared" si="247"/>
        <v>0.64700000000000002</v>
      </c>
    </row>
    <row r="7880" spans="1:29" ht="38.25">
      <c r="A7880" s="8" t="s">
        <v>13212</v>
      </c>
      <c r="B7880" s="17" t="s">
        <v>7746</v>
      </c>
      <c r="C7880" s="13">
        <v>36510</v>
      </c>
      <c r="D7880" s="13" t="s">
        <v>8463</v>
      </c>
      <c r="E7880" s="10" t="s">
        <v>72</v>
      </c>
      <c r="F7880" s="10" t="s">
        <v>72</v>
      </c>
      <c r="G7880" s="11" t="s">
        <v>302</v>
      </c>
      <c r="H7880" s="2" t="s">
        <v>149</v>
      </c>
      <c r="K7880" s="18">
        <v>0</v>
      </c>
      <c r="L7880" s="18">
        <v>0</v>
      </c>
      <c r="Q7880" s="18">
        <v>0</v>
      </c>
      <c r="V7880" s="22">
        <f>4.05/5</f>
        <v>0.80999999999999994</v>
      </c>
      <c r="X7880" s="3">
        <v>2</v>
      </c>
      <c r="AB7880" s="18">
        <f t="shared" si="246"/>
        <v>1999</v>
      </c>
      <c r="AC7880" s="22">
        <f t="shared" si="247"/>
        <v>0.60499999999999998</v>
      </c>
    </row>
    <row r="7881" spans="1:29">
      <c r="A7881" s="8" t="s">
        <v>11625</v>
      </c>
      <c r="B7881" s="17" t="s">
        <v>7755</v>
      </c>
      <c r="C7881" s="13">
        <v>36510</v>
      </c>
      <c r="D7881" s="13" t="s">
        <v>8463</v>
      </c>
      <c r="E7881" s="10" t="s">
        <v>455</v>
      </c>
      <c r="F7881" s="10" t="s">
        <v>167</v>
      </c>
      <c r="G7881" s="11" t="s">
        <v>1211</v>
      </c>
      <c r="H7881" s="2" t="s">
        <v>1220</v>
      </c>
      <c r="K7881" s="18">
        <v>0</v>
      </c>
      <c r="L7881" s="18">
        <v>0</v>
      </c>
      <c r="Q7881" s="18">
        <v>0</v>
      </c>
      <c r="V7881" s="22">
        <f>3.94/5</f>
        <v>0.78800000000000003</v>
      </c>
      <c r="X7881" s="3">
        <v>2</v>
      </c>
      <c r="Z7881" s="23">
        <v>1.5</v>
      </c>
      <c r="AB7881" s="18">
        <f t="shared" si="246"/>
        <v>1999</v>
      </c>
      <c r="AC7881" s="22">
        <f t="shared" si="247"/>
        <v>0.59400000000000008</v>
      </c>
    </row>
    <row r="7882" spans="1:29">
      <c r="A7882" s="8" t="s">
        <v>13243</v>
      </c>
      <c r="B7882" s="17" t="s">
        <v>7755</v>
      </c>
      <c r="C7882" s="13">
        <v>36507</v>
      </c>
      <c r="D7882" s="13" t="s">
        <v>8465</v>
      </c>
      <c r="E7882" s="10" t="s">
        <v>1870</v>
      </c>
      <c r="F7882" s="10" t="s">
        <v>1282</v>
      </c>
      <c r="G7882" s="11" t="s">
        <v>13242</v>
      </c>
      <c r="H7882" s="2" t="s">
        <v>153</v>
      </c>
      <c r="L7882" s="18">
        <v>0</v>
      </c>
      <c r="Q7882" s="18">
        <v>0</v>
      </c>
      <c r="V7882" s="22">
        <f>2.44/5</f>
        <v>0.48799999999999999</v>
      </c>
      <c r="X7882" s="3">
        <v>2</v>
      </c>
      <c r="Z7882" s="23">
        <v>6</v>
      </c>
      <c r="AB7882" s="18">
        <f t="shared" si="246"/>
        <v>1999</v>
      </c>
      <c r="AC7882" s="22">
        <f t="shared" si="247"/>
        <v>0.44400000000000001</v>
      </c>
    </row>
    <row r="7883" spans="1:29">
      <c r="A7883" s="8" t="s">
        <v>6968</v>
      </c>
      <c r="B7883" s="17" t="s">
        <v>7800</v>
      </c>
      <c r="C7883" s="13">
        <v>36506</v>
      </c>
      <c r="D7883" s="13" t="s">
        <v>8465</v>
      </c>
      <c r="E7883" s="10" t="s">
        <v>1272</v>
      </c>
      <c r="F7883" s="10" t="s">
        <v>5864</v>
      </c>
      <c r="G7883" s="11" t="s">
        <v>4713</v>
      </c>
      <c r="H7883" s="2" t="s">
        <v>1720</v>
      </c>
      <c r="L7883" s="18">
        <v>1</v>
      </c>
      <c r="N7883" s="13">
        <v>41591</v>
      </c>
      <c r="O7883" s="29">
        <v>1.99</v>
      </c>
      <c r="P7883" s="18" t="s">
        <v>1107</v>
      </c>
      <c r="Q7883" s="18">
        <v>0</v>
      </c>
      <c r="U7883" s="22">
        <v>0.91</v>
      </c>
      <c r="V7883" s="22">
        <f>4.4/5</f>
        <v>0.88000000000000012</v>
      </c>
      <c r="W7883" s="14" t="s">
        <v>7778</v>
      </c>
      <c r="X7883" s="3">
        <v>4</v>
      </c>
      <c r="Z7883" s="23">
        <v>33.5</v>
      </c>
      <c r="AB7883" s="18">
        <f t="shared" si="246"/>
        <v>1999</v>
      </c>
      <c r="AC7883" s="22">
        <f t="shared" si="247"/>
        <v>0.86333333333333329</v>
      </c>
    </row>
    <row r="7884" spans="1:29" ht="25.5">
      <c r="A7884" s="8" t="s">
        <v>15799</v>
      </c>
      <c r="B7884" s="17" t="s">
        <v>7739</v>
      </c>
      <c r="C7884" s="13">
        <v>36503</v>
      </c>
      <c r="D7884" s="13" t="s">
        <v>8465</v>
      </c>
      <c r="E7884" s="10" t="s">
        <v>154</v>
      </c>
      <c r="F7884" s="10" t="s">
        <v>15800</v>
      </c>
      <c r="H7884" s="2" t="s">
        <v>1050</v>
      </c>
      <c r="L7884" s="18">
        <v>0</v>
      </c>
      <c r="Q7884" s="18">
        <v>0</v>
      </c>
      <c r="V7884" s="22">
        <f>2.97/5</f>
        <v>0.59400000000000008</v>
      </c>
      <c r="X7884" s="3">
        <v>2</v>
      </c>
      <c r="AB7884" s="18">
        <f t="shared" si="246"/>
        <v>1999</v>
      </c>
      <c r="AC7884" s="22">
        <f t="shared" si="247"/>
        <v>0.49700000000000005</v>
      </c>
    </row>
    <row r="7885" spans="1:29">
      <c r="A7885" s="8" t="s">
        <v>849</v>
      </c>
      <c r="B7885" s="20" t="s">
        <v>7739</v>
      </c>
      <c r="C7885" s="13">
        <v>36502</v>
      </c>
      <c r="D7885" s="13" t="s">
        <v>8463</v>
      </c>
      <c r="E7885" s="10" t="s">
        <v>86</v>
      </c>
      <c r="F7885" s="10" t="s">
        <v>1464</v>
      </c>
      <c r="G7885" s="11" t="s">
        <v>849</v>
      </c>
      <c r="H7885" s="2" t="s">
        <v>171</v>
      </c>
      <c r="K7885" s="18">
        <v>2</v>
      </c>
      <c r="L7885" s="18">
        <v>0</v>
      </c>
      <c r="Q7885" s="18">
        <v>0</v>
      </c>
      <c r="U7885" s="22">
        <v>0.85</v>
      </c>
      <c r="V7885" s="22">
        <f>3.95/5</f>
        <v>0.79</v>
      </c>
      <c r="X7885" s="3">
        <v>3</v>
      </c>
      <c r="Z7885" s="23">
        <v>7</v>
      </c>
      <c r="AB7885" s="18">
        <f t="shared" si="246"/>
        <v>1999</v>
      </c>
      <c r="AC7885" s="22">
        <f t="shared" si="247"/>
        <v>0.7466666666666667</v>
      </c>
    </row>
    <row r="7886" spans="1:29" ht="38.25">
      <c r="A7886" s="8" t="s">
        <v>15792</v>
      </c>
      <c r="B7886" s="17" t="s">
        <v>7739</v>
      </c>
      <c r="C7886" s="13">
        <v>36501</v>
      </c>
      <c r="D7886" s="13" t="s">
        <v>8465</v>
      </c>
      <c r="E7886" s="10" t="s">
        <v>12471</v>
      </c>
      <c r="F7886" s="10" t="s">
        <v>15003</v>
      </c>
      <c r="G7886" s="11" t="s">
        <v>15793</v>
      </c>
      <c r="H7886" s="2" t="s">
        <v>459</v>
      </c>
      <c r="L7886" s="18">
        <v>0</v>
      </c>
      <c r="Q7886" s="18">
        <v>0</v>
      </c>
      <c r="V7886" s="22">
        <f>2.87/5</f>
        <v>0.57400000000000007</v>
      </c>
      <c r="X7886" s="3">
        <v>2</v>
      </c>
      <c r="Z7886" s="23">
        <f>38/60</f>
        <v>0.6333333333333333</v>
      </c>
      <c r="AB7886" s="18">
        <f t="shared" si="246"/>
        <v>1999</v>
      </c>
      <c r="AC7886" s="22">
        <f t="shared" si="247"/>
        <v>0.48700000000000004</v>
      </c>
    </row>
    <row r="7887" spans="1:29">
      <c r="A7887" s="8" t="s">
        <v>6933</v>
      </c>
      <c r="B7887" s="17" t="s">
        <v>7800</v>
      </c>
      <c r="C7887" s="13">
        <v>36497</v>
      </c>
      <c r="D7887" s="13" t="s">
        <v>8465</v>
      </c>
      <c r="E7887" s="10" t="s">
        <v>1272</v>
      </c>
      <c r="F7887" s="10" t="s">
        <v>6932</v>
      </c>
      <c r="G7887" s="11" t="s">
        <v>6929</v>
      </c>
      <c r="H7887" s="2" t="s">
        <v>2138</v>
      </c>
      <c r="L7887" s="18">
        <v>1</v>
      </c>
      <c r="N7887" s="13">
        <v>39715</v>
      </c>
      <c r="O7887" s="29">
        <v>0</v>
      </c>
      <c r="P7887" s="18" t="s">
        <v>1107</v>
      </c>
      <c r="Q7887" s="18">
        <v>0</v>
      </c>
      <c r="U7887" s="22">
        <v>0.83</v>
      </c>
      <c r="V7887" s="22">
        <f>4.06/5</f>
        <v>0.81199999999999994</v>
      </c>
      <c r="W7887" s="14" t="s">
        <v>7778</v>
      </c>
      <c r="X7887" s="3">
        <v>3</v>
      </c>
      <c r="Z7887" s="23">
        <v>6.5</v>
      </c>
      <c r="AB7887" s="18">
        <f t="shared" si="246"/>
        <v>1999</v>
      </c>
      <c r="AC7887" s="22">
        <f t="shared" si="247"/>
        <v>0.74733333333333329</v>
      </c>
    </row>
    <row r="7888" spans="1:29">
      <c r="A7888" s="8" t="s">
        <v>13675</v>
      </c>
      <c r="B7888" s="17" t="s">
        <v>7736</v>
      </c>
      <c r="C7888" s="13">
        <v>36495</v>
      </c>
      <c r="D7888" s="13" t="s">
        <v>8463</v>
      </c>
      <c r="E7888" s="10" t="s">
        <v>86</v>
      </c>
      <c r="F7888" s="10" t="s">
        <v>1794</v>
      </c>
      <c r="G7888" s="11" t="s">
        <v>10286</v>
      </c>
      <c r="H7888" s="2" t="s">
        <v>78</v>
      </c>
      <c r="K7888" s="18">
        <v>0</v>
      </c>
      <c r="L7888" s="18">
        <v>0</v>
      </c>
      <c r="Q7888" s="18">
        <v>0</v>
      </c>
      <c r="V7888" s="22">
        <f>3.7/5</f>
        <v>0.74</v>
      </c>
      <c r="W7888" s="14" t="s">
        <v>13672</v>
      </c>
      <c r="X7888" s="3">
        <v>3</v>
      </c>
      <c r="AB7888" s="18">
        <f t="shared" si="246"/>
        <v>1999</v>
      </c>
      <c r="AC7888" s="22">
        <f t="shared" si="247"/>
        <v>0.66999999999999993</v>
      </c>
    </row>
    <row r="7889" spans="1:29">
      <c r="A7889" s="8" t="s">
        <v>13916</v>
      </c>
      <c r="B7889" s="17" t="s">
        <v>13887</v>
      </c>
      <c r="C7889" s="13">
        <v>36495</v>
      </c>
      <c r="D7889" s="13" t="s">
        <v>8465</v>
      </c>
      <c r="E7889" s="10" t="s">
        <v>13917</v>
      </c>
      <c r="F7889" s="10" t="s">
        <v>13917</v>
      </c>
      <c r="G7889" s="11" t="s">
        <v>13916</v>
      </c>
      <c r="H7889" s="2" t="s">
        <v>1040</v>
      </c>
      <c r="L7889" s="18">
        <v>0</v>
      </c>
      <c r="Q7889" s="18">
        <v>0</v>
      </c>
      <c r="V7889" s="22">
        <f>3.45/5</f>
        <v>0.69000000000000006</v>
      </c>
      <c r="X7889" s="3">
        <v>2</v>
      </c>
      <c r="Z7889" s="23">
        <v>2</v>
      </c>
      <c r="AB7889" s="18">
        <f t="shared" si="246"/>
        <v>1999</v>
      </c>
      <c r="AC7889" s="22">
        <f t="shared" si="247"/>
        <v>0.54500000000000004</v>
      </c>
    </row>
    <row r="7890" spans="1:29" ht="38.25">
      <c r="A7890" s="8" t="s">
        <v>6670</v>
      </c>
      <c r="B7890" s="17" t="s">
        <v>7733</v>
      </c>
      <c r="C7890" s="13">
        <v>36494</v>
      </c>
      <c r="D7890" s="13" t="s">
        <v>8465</v>
      </c>
      <c r="E7890" s="10" t="s">
        <v>170</v>
      </c>
      <c r="F7890" s="10" t="s">
        <v>170</v>
      </c>
      <c r="G7890" s="11" t="s">
        <v>6671</v>
      </c>
      <c r="H7890" s="2" t="s">
        <v>459</v>
      </c>
      <c r="L7890" s="18">
        <v>0</v>
      </c>
      <c r="Q7890" s="18">
        <v>0</v>
      </c>
      <c r="V7890" s="22">
        <f>4.01/5</f>
        <v>0.80199999999999994</v>
      </c>
      <c r="X7890" s="3">
        <v>3</v>
      </c>
      <c r="Z7890" s="23">
        <v>2</v>
      </c>
      <c r="AB7890" s="18">
        <f t="shared" si="246"/>
        <v>1999</v>
      </c>
      <c r="AC7890" s="22">
        <f t="shared" si="247"/>
        <v>0.70099999999999996</v>
      </c>
    </row>
    <row r="7891" spans="1:29">
      <c r="A7891" s="8" t="s">
        <v>6083</v>
      </c>
      <c r="B7891" s="17" t="s">
        <v>7757</v>
      </c>
      <c r="C7891" s="13">
        <v>36494</v>
      </c>
      <c r="D7891" s="13" t="s">
        <v>8465</v>
      </c>
      <c r="E7891" s="10" t="s">
        <v>72</v>
      </c>
      <c r="F7891" s="10" t="s">
        <v>72</v>
      </c>
      <c r="G7891" s="11" t="s">
        <v>3002</v>
      </c>
      <c r="H7891" s="2" t="s">
        <v>75</v>
      </c>
      <c r="L7891" s="18">
        <v>0</v>
      </c>
      <c r="Q7891" s="18">
        <v>0</v>
      </c>
      <c r="U7891" s="22">
        <v>0.75</v>
      </c>
      <c r="V7891" s="22">
        <f>3.83/5</f>
        <v>0.76600000000000001</v>
      </c>
      <c r="X7891" s="3">
        <v>3</v>
      </c>
      <c r="Z7891" s="23">
        <v>39.5</v>
      </c>
      <c r="AB7891" s="18">
        <f t="shared" si="246"/>
        <v>1999</v>
      </c>
      <c r="AC7891" s="22">
        <f t="shared" si="247"/>
        <v>0.70533333333333337</v>
      </c>
    </row>
    <row r="7892" spans="1:29">
      <c r="A7892" s="8" t="s">
        <v>8743</v>
      </c>
      <c r="B7892" s="17" t="s">
        <v>7757</v>
      </c>
      <c r="C7892" s="13">
        <v>36494</v>
      </c>
      <c r="D7892" s="13" t="s">
        <v>8465</v>
      </c>
      <c r="E7892" s="10" t="s">
        <v>161</v>
      </c>
      <c r="F7892" s="10" t="s">
        <v>161</v>
      </c>
      <c r="G7892" s="11" t="s">
        <v>126</v>
      </c>
      <c r="H7892" s="2" t="s">
        <v>1377</v>
      </c>
      <c r="L7892" s="18">
        <v>0</v>
      </c>
      <c r="Q7892" s="18">
        <v>0</v>
      </c>
      <c r="V7892" s="22">
        <f>3.67/5</f>
        <v>0.73399999999999999</v>
      </c>
      <c r="X7892" s="3">
        <v>3</v>
      </c>
      <c r="Z7892" s="23">
        <v>18</v>
      </c>
      <c r="AB7892" s="18">
        <f t="shared" si="246"/>
        <v>1999</v>
      </c>
      <c r="AC7892" s="22">
        <f t="shared" si="247"/>
        <v>0.66700000000000004</v>
      </c>
    </row>
    <row r="7893" spans="1:29" ht="25.5">
      <c r="A7893" s="8" t="s">
        <v>854</v>
      </c>
      <c r="B7893" s="20" t="s">
        <v>7739</v>
      </c>
      <c r="C7893" s="13">
        <v>36494</v>
      </c>
      <c r="D7893" s="13" t="s">
        <v>8465</v>
      </c>
      <c r="E7893" s="10" t="s">
        <v>72</v>
      </c>
      <c r="F7893" s="10" t="s">
        <v>72</v>
      </c>
      <c r="G7893" s="11" t="s">
        <v>113</v>
      </c>
      <c r="H7893" s="2" t="s">
        <v>151</v>
      </c>
      <c r="L7893" s="18">
        <v>0</v>
      </c>
      <c r="Q7893" s="18">
        <v>0</v>
      </c>
      <c r="U7893" s="22">
        <v>0.64</v>
      </c>
      <c r="V7893" s="22">
        <f>3.6/5</f>
        <v>0.72</v>
      </c>
      <c r="X7893" s="3">
        <v>3</v>
      </c>
      <c r="Z7893" s="23">
        <v>10</v>
      </c>
      <c r="AB7893" s="18">
        <f t="shared" si="246"/>
        <v>1999</v>
      </c>
      <c r="AC7893" s="22">
        <f t="shared" si="247"/>
        <v>0.65333333333333332</v>
      </c>
    </row>
    <row r="7894" spans="1:29">
      <c r="A7894" s="8" t="s">
        <v>4011</v>
      </c>
      <c r="B7894" s="17" t="s">
        <v>7800</v>
      </c>
      <c r="C7894" s="13">
        <v>36494</v>
      </c>
      <c r="D7894" s="13" t="s">
        <v>8465</v>
      </c>
      <c r="E7894" s="10" t="s">
        <v>4012</v>
      </c>
      <c r="F7894" s="10" t="s">
        <v>4013</v>
      </c>
      <c r="G7894" s="11" t="s">
        <v>4014</v>
      </c>
      <c r="H7894" s="2" t="s">
        <v>1720</v>
      </c>
      <c r="L7894" s="18">
        <v>1</v>
      </c>
      <c r="N7894" s="13">
        <v>41560</v>
      </c>
      <c r="P7894" s="18" t="s">
        <v>1107</v>
      </c>
      <c r="Q7894" s="18">
        <v>0</v>
      </c>
      <c r="U7894" s="22">
        <v>0.71</v>
      </c>
      <c r="V7894" s="22">
        <f>3.66/5</f>
        <v>0.73199999999999998</v>
      </c>
      <c r="W7894" s="14" t="s">
        <v>7777</v>
      </c>
      <c r="X7894" s="3">
        <v>2</v>
      </c>
      <c r="Z7894" s="23">
        <v>9</v>
      </c>
      <c r="AB7894" s="18">
        <f t="shared" si="246"/>
        <v>1999</v>
      </c>
      <c r="AC7894" s="22">
        <f t="shared" si="247"/>
        <v>0.61399999999999999</v>
      </c>
    </row>
    <row r="7895" spans="1:29" ht="25.5">
      <c r="A7895" s="8" t="s">
        <v>7968</v>
      </c>
      <c r="B7895" s="17" t="s">
        <v>7757</v>
      </c>
      <c r="C7895" s="13">
        <v>36494</v>
      </c>
      <c r="D7895" s="13" t="s">
        <v>8465</v>
      </c>
      <c r="E7895" s="10" t="s">
        <v>170</v>
      </c>
      <c r="F7895" s="10" t="s">
        <v>170</v>
      </c>
      <c r="G7895" s="11" t="s">
        <v>563</v>
      </c>
      <c r="H7895" s="2" t="s">
        <v>459</v>
      </c>
      <c r="L7895" s="18">
        <v>0</v>
      </c>
      <c r="Q7895" s="18">
        <v>0</v>
      </c>
      <c r="U7895" s="22">
        <v>0.60099999999999998</v>
      </c>
      <c r="V7895" s="22">
        <f>3.28/5</f>
        <v>0.65599999999999992</v>
      </c>
      <c r="X7895" s="3">
        <v>2</v>
      </c>
      <c r="Z7895" s="23">
        <v>0.75</v>
      </c>
      <c r="AB7895" s="18">
        <f t="shared" si="246"/>
        <v>1999</v>
      </c>
      <c r="AC7895" s="22">
        <f t="shared" si="247"/>
        <v>0.55233333333333334</v>
      </c>
    </row>
    <row r="7896" spans="1:29" ht="38.25">
      <c r="A7896" s="8" t="s">
        <v>7854</v>
      </c>
      <c r="B7896" s="17" t="s">
        <v>7757</v>
      </c>
      <c r="C7896" s="13">
        <v>36489</v>
      </c>
      <c r="D7896" s="13" t="s">
        <v>8463</v>
      </c>
      <c r="E7896" s="10" t="s">
        <v>3203</v>
      </c>
      <c r="F7896" s="10" t="s">
        <v>2285</v>
      </c>
      <c r="G7896" s="11" t="s">
        <v>2907</v>
      </c>
      <c r="H7896" s="2" t="s">
        <v>149</v>
      </c>
      <c r="K7896" s="18">
        <v>0</v>
      </c>
      <c r="L7896" s="18">
        <v>0</v>
      </c>
      <c r="Q7896" s="18">
        <v>0</v>
      </c>
      <c r="V7896" s="22">
        <f>3.78/5</f>
        <v>0.75600000000000001</v>
      </c>
      <c r="X7896" s="3">
        <v>2</v>
      </c>
      <c r="Z7896" s="23">
        <v>18</v>
      </c>
      <c r="AB7896" s="18">
        <f t="shared" si="246"/>
        <v>1999</v>
      </c>
      <c r="AC7896" s="22">
        <f t="shared" si="247"/>
        <v>0.57800000000000007</v>
      </c>
    </row>
    <row r="7897" spans="1:29">
      <c r="A7897" s="8" t="s">
        <v>14040</v>
      </c>
      <c r="B7897" s="17" t="s">
        <v>7757</v>
      </c>
      <c r="C7897" s="13">
        <v>36489</v>
      </c>
      <c r="D7897" s="13" t="s">
        <v>8463</v>
      </c>
      <c r="E7897" s="10" t="s">
        <v>6575</v>
      </c>
      <c r="F7897" s="10" t="s">
        <v>66</v>
      </c>
      <c r="G7897" s="11" t="s">
        <v>9086</v>
      </c>
      <c r="H7897" s="2" t="s">
        <v>149</v>
      </c>
      <c r="K7897" s="18">
        <v>2</v>
      </c>
      <c r="L7897" s="18">
        <v>0</v>
      </c>
      <c r="Q7897" s="18">
        <v>0</v>
      </c>
      <c r="V7897" s="22">
        <f>3.76/5</f>
        <v>0.752</v>
      </c>
      <c r="X7897" s="3">
        <v>2</v>
      </c>
      <c r="AB7897" s="18">
        <f t="shared" si="246"/>
        <v>1999</v>
      </c>
      <c r="AC7897" s="22">
        <f t="shared" si="247"/>
        <v>0.57600000000000007</v>
      </c>
    </row>
    <row r="7898" spans="1:29" ht="30">
      <c r="A7898" s="8" t="s">
        <v>6606</v>
      </c>
      <c r="B7898" s="17" t="s">
        <v>7757</v>
      </c>
      <c r="C7898" s="13">
        <v>36487</v>
      </c>
      <c r="D7898" s="13" t="s">
        <v>8465</v>
      </c>
      <c r="E7898" s="10" t="s">
        <v>6607</v>
      </c>
      <c r="F7898" s="10" t="s">
        <v>3152</v>
      </c>
      <c r="G7898" s="11" t="s">
        <v>6608</v>
      </c>
      <c r="H7898" s="2" t="s">
        <v>1050</v>
      </c>
      <c r="L7898" s="18">
        <v>0</v>
      </c>
      <c r="Q7898" s="18">
        <v>0</v>
      </c>
      <c r="U7898" s="22">
        <v>0.48</v>
      </c>
      <c r="V7898" s="22">
        <f>2.9/5</f>
        <v>0.57999999999999996</v>
      </c>
      <c r="X7898" s="3">
        <v>3</v>
      </c>
      <c r="Z7898" s="23">
        <v>13</v>
      </c>
      <c r="AB7898" s="18">
        <f t="shared" si="246"/>
        <v>1999</v>
      </c>
      <c r="AC7898" s="22">
        <f t="shared" si="247"/>
        <v>0.55333333333333334</v>
      </c>
    </row>
    <row r="7899" spans="1:29" ht="30">
      <c r="A7899" s="8" t="s">
        <v>14550</v>
      </c>
      <c r="B7899" s="17" t="s">
        <v>7733</v>
      </c>
      <c r="C7899" s="13">
        <v>36487</v>
      </c>
      <c r="D7899" s="13" t="s">
        <v>8465</v>
      </c>
      <c r="E7899" s="10" t="s">
        <v>170</v>
      </c>
      <c r="F7899" s="10" t="s">
        <v>474</v>
      </c>
      <c r="G7899" s="11" t="s">
        <v>11806</v>
      </c>
      <c r="H7899" s="2" t="s">
        <v>171</v>
      </c>
      <c r="L7899" s="18">
        <v>0</v>
      </c>
      <c r="Q7899" s="18">
        <v>0</v>
      </c>
      <c r="V7899" s="22">
        <f>3.87/5</f>
        <v>0.77400000000000002</v>
      </c>
      <c r="X7899" s="3">
        <v>3</v>
      </c>
      <c r="Z7899" s="23">
        <v>4</v>
      </c>
      <c r="AB7899" s="18">
        <f t="shared" si="246"/>
        <v>1999</v>
      </c>
      <c r="AC7899" s="22">
        <f t="shared" si="247"/>
        <v>0.68700000000000006</v>
      </c>
    </row>
    <row r="7900" spans="1:29" ht="25.5">
      <c r="A7900" s="8" t="s">
        <v>5439</v>
      </c>
      <c r="B7900" s="17" t="s">
        <v>7800</v>
      </c>
      <c r="C7900" s="13">
        <v>36487</v>
      </c>
      <c r="D7900" s="13" t="s">
        <v>8465</v>
      </c>
      <c r="E7900" s="10" t="s">
        <v>1870</v>
      </c>
      <c r="F7900" s="10" t="s">
        <v>1282</v>
      </c>
      <c r="G7900" s="11" t="s">
        <v>1853</v>
      </c>
      <c r="H7900" s="2" t="s">
        <v>80</v>
      </c>
      <c r="L7900" s="18">
        <v>1</v>
      </c>
      <c r="N7900" s="13">
        <v>43325</v>
      </c>
      <c r="O7900" s="29">
        <v>0.97</v>
      </c>
      <c r="P7900" s="18" t="s">
        <v>1107</v>
      </c>
      <c r="Q7900" s="18">
        <v>0</v>
      </c>
      <c r="U7900" s="22">
        <v>0.75</v>
      </c>
      <c r="V7900" s="22">
        <f>3.64/5</f>
        <v>0.72799999999999998</v>
      </c>
      <c r="W7900" s="14" t="s">
        <v>7777</v>
      </c>
      <c r="X7900" s="3">
        <v>3</v>
      </c>
      <c r="Z7900" s="23">
        <v>16.5</v>
      </c>
      <c r="AB7900" s="18">
        <f t="shared" si="246"/>
        <v>1999</v>
      </c>
      <c r="AC7900" s="22">
        <f t="shared" si="247"/>
        <v>0.69266666666666665</v>
      </c>
    </row>
    <row r="7901" spans="1:29">
      <c r="A7901" s="8" t="s">
        <v>7592</v>
      </c>
      <c r="B7901" s="17" t="s">
        <v>7800</v>
      </c>
      <c r="C7901" s="13">
        <v>36487</v>
      </c>
      <c r="D7901" s="13" t="s">
        <v>8465</v>
      </c>
      <c r="E7901" s="10" t="s">
        <v>231</v>
      </c>
      <c r="F7901" s="10" t="s">
        <v>1784</v>
      </c>
      <c r="G7901" s="11" t="s">
        <v>1785</v>
      </c>
      <c r="H7901" s="2" t="s">
        <v>1720</v>
      </c>
      <c r="L7901" s="18">
        <v>0</v>
      </c>
      <c r="Q7901" s="18">
        <v>0</v>
      </c>
      <c r="U7901" s="22">
        <v>0.63</v>
      </c>
      <c r="V7901" s="22">
        <f>3.02/5</f>
        <v>0.60399999999999998</v>
      </c>
      <c r="W7901" s="14" t="s">
        <v>7778</v>
      </c>
      <c r="X7901" s="3">
        <v>2</v>
      </c>
      <c r="Z7901" s="23">
        <v>46</v>
      </c>
      <c r="AB7901" s="18">
        <f t="shared" si="246"/>
        <v>1999</v>
      </c>
      <c r="AC7901" s="22">
        <f t="shared" si="247"/>
        <v>0.54466666666666663</v>
      </c>
    </row>
    <row r="7902" spans="1:29">
      <c r="A7902" s="8" t="s">
        <v>872</v>
      </c>
      <c r="B7902" s="20" t="s">
        <v>7739</v>
      </c>
      <c r="C7902" s="13">
        <v>36486</v>
      </c>
      <c r="D7902" s="13" t="s">
        <v>8465</v>
      </c>
      <c r="E7902" s="10" t="s">
        <v>86</v>
      </c>
      <c r="F7902" s="10" t="s">
        <v>163</v>
      </c>
      <c r="G7902" s="11" t="s">
        <v>1254</v>
      </c>
      <c r="H7902" s="2" t="s">
        <v>1040</v>
      </c>
      <c r="L7902" s="18">
        <v>0</v>
      </c>
      <c r="Q7902" s="18">
        <v>0</v>
      </c>
      <c r="U7902" s="22">
        <v>0.87</v>
      </c>
      <c r="V7902" s="22">
        <f>4/5</f>
        <v>0.8</v>
      </c>
      <c r="X7902" s="3">
        <v>4</v>
      </c>
      <c r="Z7902" s="23">
        <v>30</v>
      </c>
      <c r="AB7902" s="18">
        <f t="shared" si="246"/>
        <v>1999</v>
      </c>
      <c r="AC7902" s="22">
        <f t="shared" si="247"/>
        <v>0.82333333333333325</v>
      </c>
    </row>
    <row r="7903" spans="1:29">
      <c r="A7903" s="8" t="s">
        <v>12247</v>
      </c>
      <c r="B7903" s="17" t="s">
        <v>7755</v>
      </c>
      <c r="C7903" s="13">
        <v>36486</v>
      </c>
      <c r="D7903" s="13" t="s">
        <v>8465</v>
      </c>
      <c r="E7903" s="10" t="s">
        <v>12248</v>
      </c>
      <c r="F7903" s="10" t="s">
        <v>12249</v>
      </c>
      <c r="H7903" s="2" t="s">
        <v>153</v>
      </c>
      <c r="L7903" s="18">
        <v>0</v>
      </c>
      <c r="Q7903" s="18">
        <v>0</v>
      </c>
      <c r="V7903" s="22">
        <f>2.34/5</f>
        <v>0.46799999999999997</v>
      </c>
      <c r="X7903" s="3">
        <v>2</v>
      </c>
      <c r="AB7903" s="18">
        <f t="shared" si="246"/>
        <v>1999</v>
      </c>
      <c r="AC7903" s="22">
        <f t="shared" si="247"/>
        <v>0.434</v>
      </c>
    </row>
    <row r="7904" spans="1:29" ht="25.5">
      <c r="A7904" s="8" t="s">
        <v>15782</v>
      </c>
      <c r="B7904" s="17" t="s">
        <v>7746</v>
      </c>
      <c r="C7904" s="13">
        <v>36486</v>
      </c>
      <c r="D7904" s="13" t="s">
        <v>8465</v>
      </c>
      <c r="E7904" s="10" t="s">
        <v>86</v>
      </c>
      <c r="F7904" s="10" t="s">
        <v>163</v>
      </c>
      <c r="G7904" s="11" t="s">
        <v>1286</v>
      </c>
      <c r="H7904" s="2" t="s">
        <v>150</v>
      </c>
      <c r="L7904" s="18">
        <v>0</v>
      </c>
      <c r="Q7904" s="18">
        <v>0</v>
      </c>
      <c r="V7904" s="22">
        <f>3.54/5</f>
        <v>0.70799999999999996</v>
      </c>
      <c r="X7904" s="3">
        <v>2</v>
      </c>
      <c r="Z7904" s="23">
        <v>6</v>
      </c>
      <c r="AB7904" s="18">
        <f t="shared" si="246"/>
        <v>1999</v>
      </c>
      <c r="AC7904" s="22">
        <f t="shared" si="247"/>
        <v>0.55400000000000005</v>
      </c>
    </row>
    <row r="7905" spans="1:29">
      <c r="A7905" s="8" t="s">
        <v>15783</v>
      </c>
      <c r="B7905" s="17" t="s">
        <v>7757</v>
      </c>
      <c r="C7905" s="13">
        <v>36486</v>
      </c>
      <c r="D7905" s="13" t="s">
        <v>8465</v>
      </c>
      <c r="E7905" s="10" t="s">
        <v>60</v>
      </c>
      <c r="F7905" s="10" t="s">
        <v>60</v>
      </c>
      <c r="G7905" s="11" t="s">
        <v>15783</v>
      </c>
      <c r="H7905" s="2" t="s">
        <v>245</v>
      </c>
      <c r="L7905" s="18">
        <v>0</v>
      </c>
      <c r="Q7905" s="18">
        <v>0</v>
      </c>
      <c r="U7905" s="22">
        <v>0.61</v>
      </c>
      <c r="V7905" s="22">
        <f>3.15/5</f>
        <v>0.63</v>
      </c>
      <c r="X7905" s="3">
        <v>2</v>
      </c>
      <c r="Z7905" s="23">
        <v>9.5</v>
      </c>
      <c r="AB7905" s="18">
        <f t="shared" si="246"/>
        <v>1999</v>
      </c>
      <c r="AC7905" s="22">
        <f t="shared" si="247"/>
        <v>0.54666666666666675</v>
      </c>
    </row>
    <row r="7906" spans="1:29" ht="38.25">
      <c r="A7906" s="8" t="s">
        <v>6944</v>
      </c>
      <c r="B7906" s="17" t="s">
        <v>7800</v>
      </c>
      <c r="C7906" s="13">
        <v>36483</v>
      </c>
      <c r="D7906" s="13" t="s">
        <v>8465</v>
      </c>
      <c r="E7906" s="10" t="s">
        <v>6945</v>
      </c>
      <c r="F7906" s="10" t="s">
        <v>6945</v>
      </c>
      <c r="G7906" s="11" t="s">
        <v>6916</v>
      </c>
      <c r="H7906" s="2" t="s">
        <v>67</v>
      </c>
      <c r="L7906" s="18">
        <v>1</v>
      </c>
      <c r="N7906" s="13">
        <v>41748</v>
      </c>
      <c r="O7906" s="29">
        <v>1.49</v>
      </c>
      <c r="P7906" s="18" t="s">
        <v>1107</v>
      </c>
      <c r="Q7906" s="18">
        <v>0</v>
      </c>
      <c r="U7906" s="22">
        <v>0.78</v>
      </c>
      <c r="V7906" s="22">
        <f>3.81/5</f>
        <v>0.76200000000000001</v>
      </c>
      <c r="W7906" s="14" t="s">
        <v>7778</v>
      </c>
      <c r="X7906" s="3">
        <v>3</v>
      </c>
      <c r="Z7906" s="23">
        <v>12.5</v>
      </c>
      <c r="AB7906" s="18">
        <f t="shared" si="246"/>
        <v>1999</v>
      </c>
      <c r="AC7906" s="22">
        <f t="shared" si="247"/>
        <v>0.71399999999999997</v>
      </c>
    </row>
    <row r="7907" spans="1:29">
      <c r="A7907" s="8" t="s">
        <v>7653</v>
      </c>
      <c r="B7907" s="17" t="s">
        <v>7757</v>
      </c>
      <c r="C7907" s="13">
        <v>36483</v>
      </c>
      <c r="D7907" s="13" t="s">
        <v>8465</v>
      </c>
      <c r="E7907" s="10" t="s">
        <v>3017</v>
      </c>
      <c r="F7907" s="10" t="s">
        <v>1580</v>
      </c>
      <c r="G7907" s="11" t="s">
        <v>7653</v>
      </c>
      <c r="H7907" s="2" t="s">
        <v>171</v>
      </c>
      <c r="L7907" s="18">
        <v>0</v>
      </c>
      <c r="Q7907" s="18">
        <v>0</v>
      </c>
      <c r="U7907" s="22">
        <v>0.49</v>
      </c>
      <c r="V7907" s="22">
        <f>3.73/5</f>
        <v>0.746</v>
      </c>
      <c r="X7907" s="3">
        <v>3</v>
      </c>
      <c r="Y7907" s="18">
        <v>1</v>
      </c>
      <c r="Z7907" s="23">
        <v>14.5</v>
      </c>
      <c r="AB7907" s="18">
        <f t="shared" si="246"/>
        <v>1999</v>
      </c>
      <c r="AC7907" s="22">
        <f t="shared" si="247"/>
        <v>0.61199999999999999</v>
      </c>
    </row>
    <row r="7908" spans="1:29" ht="25.5">
      <c r="A7908" s="8" t="s">
        <v>8096</v>
      </c>
      <c r="B7908" s="17" t="s">
        <v>7757</v>
      </c>
      <c r="C7908" s="13">
        <v>36482</v>
      </c>
      <c r="D7908" s="13" t="s">
        <v>8465</v>
      </c>
      <c r="E7908" s="10" t="s">
        <v>1273</v>
      </c>
      <c r="F7908" s="10" t="s">
        <v>8095</v>
      </c>
      <c r="G7908" s="11" t="s">
        <v>8094</v>
      </c>
      <c r="H7908" s="2" t="s">
        <v>1204</v>
      </c>
      <c r="L7908" s="18">
        <v>0</v>
      </c>
      <c r="Q7908" s="18">
        <v>0</v>
      </c>
      <c r="U7908" s="22">
        <v>0.81579999999999997</v>
      </c>
      <c r="V7908" s="22">
        <f>3.84/5</f>
        <v>0.76800000000000002</v>
      </c>
      <c r="X7908" s="3">
        <v>3</v>
      </c>
      <c r="Z7908" s="23">
        <v>19</v>
      </c>
      <c r="AB7908" s="18">
        <f t="shared" si="246"/>
        <v>1999</v>
      </c>
      <c r="AC7908" s="22">
        <f t="shared" si="247"/>
        <v>0.72793333333333343</v>
      </c>
    </row>
    <row r="7909" spans="1:29">
      <c r="A7909" s="8" t="s">
        <v>14993</v>
      </c>
      <c r="B7909" s="17" t="s">
        <v>7800</v>
      </c>
      <c r="C7909" s="13">
        <v>36482</v>
      </c>
      <c r="D7909" s="13" t="s">
        <v>8465</v>
      </c>
      <c r="E7909" s="10" t="s">
        <v>14992</v>
      </c>
      <c r="F7909" s="10" t="s">
        <v>14994</v>
      </c>
      <c r="G7909" s="11" t="s">
        <v>4305</v>
      </c>
      <c r="H7909" s="2" t="s">
        <v>1143</v>
      </c>
      <c r="L7909" s="18">
        <v>0</v>
      </c>
      <c r="Q7909" s="18">
        <v>0</v>
      </c>
      <c r="V7909" s="22">
        <f>3.83/5</f>
        <v>0.76600000000000001</v>
      </c>
      <c r="X7909" s="3">
        <v>2</v>
      </c>
      <c r="Z7909" s="23">
        <v>12.5</v>
      </c>
      <c r="AB7909" s="18">
        <f t="shared" si="246"/>
        <v>1999</v>
      </c>
      <c r="AC7909" s="22">
        <f t="shared" si="247"/>
        <v>0.58299999999999996</v>
      </c>
    </row>
    <row r="7910" spans="1:29" ht="38.25">
      <c r="A7910" s="8" t="s">
        <v>15804</v>
      </c>
      <c r="B7910" s="17" t="s">
        <v>7757</v>
      </c>
      <c r="C7910" s="13">
        <v>36480</v>
      </c>
      <c r="D7910" s="13" t="s">
        <v>8465</v>
      </c>
      <c r="E7910" s="10" t="s">
        <v>1273</v>
      </c>
      <c r="F7910" s="10" t="s">
        <v>1309</v>
      </c>
      <c r="G7910" s="11" t="s">
        <v>15802</v>
      </c>
      <c r="H7910" s="2" t="s">
        <v>1040</v>
      </c>
      <c r="L7910" s="18">
        <v>0</v>
      </c>
      <c r="Q7910" s="18">
        <v>0</v>
      </c>
      <c r="U7910" s="22">
        <v>0.75</v>
      </c>
      <c r="V7910" s="22">
        <f>3.76/5</f>
        <v>0.752</v>
      </c>
      <c r="X7910" s="3">
        <v>3</v>
      </c>
      <c r="Z7910" s="23">
        <v>7</v>
      </c>
      <c r="AB7910" s="18">
        <f t="shared" si="246"/>
        <v>1999</v>
      </c>
      <c r="AC7910" s="22">
        <f t="shared" si="247"/>
        <v>0.70066666666666666</v>
      </c>
    </row>
    <row r="7911" spans="1:29" ht="25.5">
      <c r="A7911" s="8" t="s">
        <v>7695</v>
      </c>
      <c r="B7911" s="17" t="s">
        <v>7746</v>
      </c>
      <c r="C7911" s="13">
        <v>36479</v>
      </c>
      <c r="D7911" s="13" t="s">
        <v>8465</v>
      </c>
      <c r="E7911" s="10" t="s">
        <v>1870</v>
      </c>
      <c r="F7911" s="10" t="s">
        <v>1198</v>
      </c>
      <c r="G7911" s="11" t="s">
        <v>1186</v>
      </c>
      <c r="H7911" s="2" t="s">
        <v>64</v>
      </c>
      <c r="L7911" s="18">
        <v>0</v>
      </c>
      <c r="Q7911" s="18">
        <v>0</v>
      </c>
      <c r="U7911" s="22">
        <v>0.71</v>
      </c>
      <c r="V7911" s="22">
        <f>3.38/5</f>
        <v>0.67599999999999993</v>
      </c>
      <c r="X7911" s="3">
        <v>2</v>
      </c>
      <c r="AB7911" s="18">
        <f t="shared" si="246"/>
        <v>1999</v>
      </c>
      <c r="AC7911" s="22">
        <f t="shared" si="247"/>
        <v>0.59533333333333338</v>
      </c>
    </row>
    <row r="7912" spans="1:29" ht="25.5">
      <c r="A7912" s="8" t="s">
        <v>2988</v>
      </c>
      <c r="B7912" s="17" t="s">
        <v>7757</v>
      </c>
      <c r="C7912" s="13">
        <v>36475</v>
      </c>
      <c r="D7912" s="13" t="s">
        <v>8465</v>
      </c>
      <c r="E7912" s="10" t="s">
        <v>73</v>
      </c>
      <c r="F7912" s="10" t="s">
        <v>73</v>
      </c>
      <c r="G7912" s="11" t="s">
        <v>943</v>
      </c>
      <c r="H7912" s="2" t="s">
        <v>1061</v>
      </c>
      <c r="L7912" s="18">
        <v>0</v>
      </c>
      <c r="Q7912" s="18">
        <v>0</v>
      </c>
      <c r="U7912" s="22">
        <v>0.88</v>
      </c>
      <c r="V7912" s="22">
        <f>4.16/5</f>
        <v>0.83200000000000007</v>
      </c>
      <c r="X7912" s="3">
        <v>3</v>
      </c>
      <c r="Y7912" s="18">
        <v>1</v>
      </c>
      <c r="Z7912" s="23">
        <v>6.5</v>
      </c>
      <c r="AB7912" s="18">
        <f t="shared" si="246"/>
        <v>1999</v>
      </c>
      <c r="AC7912" s="22">
        <f t="shared" si="247"/>
        <v>0.77066666666666672</v>
      </c>
    </row>
    <row r="7913" spans="1:29" ht="25.5">
      <c r="A7913" s="8" t="s">
        <v>882</v>
      </c>
      <c r="B7913" s="20" t="s">
        <v>7739</v>
      </c>
      <c r="C7913" s="13">
        <v>36470</v>
      </c>
      <c r="D7913" s="13" t="s">
        <v>8465</v>
      </c>
      <c r="E7913" s="10" t="s">
        <v>1047</v>
      </c>
      <c r="F7913" s="10" t="s">
        <v>1047</v>
      </c>
      <c r="G7913" s="11" t="s">
        <v>1477</v>
      </c>
      <c r="H7913" s="2" t="s">
        <v>1040</v>
      </c>
      <c r="L7913" s="18">
        <v>0</v>
      </c>
      <c r="Q7913" s="18">
        <v>0</v>
      </c>
      <c r="U7913" s="22">
        <v>0.89</v>
      </c>
      <c r="V7913" s="22">
        <f>3.92/5</f>
        <v>0.78400000000000003</v>
      </c>
      <c r="X7913" s="3">
        <v>4</v>
      </c>
      <c r="Z7913" s="23">
        <v>8</v>
      </c>
      <c r="AB7913" s="18">
        <f t="shared" si="246"/>
        <v>1999</v>
      </c>
      <c r="AC7913" s="22">
        <f t="shared" si="247"/>
        <v>0.82466666666666677</v>
      </c>
    </row>
    <row r="7914" spans="1:29">
      <c r="A7914" s="8" t="s">
        <v>2315</v>
      </c>
      <c r="B7914" s="17" t="s">
        <v>7757</v>
      </c>
      <c r="C7914" s="13">
        <v>36467</v>
      </c>
      <c r="D7914" s="13" t="s">
        <v>8465</v>
      </c>
      <c r="E7914" s="10" t="s">
        <v>228</v>
      </c>
      <c r="F7914" s="10" t="s">
        <v>2314</v>
      </c>
      <c r="G7914" s="11" t="s">
        <v>10377</v>
      </c>
      <c r="H7914" s="2" t="s">
        <v>56</v>
      </c>
      <c r="L7914" s="18">
        <v>0</v>
      </c>
      <c r="Q7914" s="18">
        <v>0</v>
      </c>
      <c r="U7914" s="22">
        <v>0.73</v>
      </c>
      <c r="V7914" s="22">
        <f>3.78/5</f>
        <v>0.75600000000000001</v>
      </c>
      <c r="X7914" s="3">
        <v>4</v>
      </c>
      <c r="Z7914" s="23">
        <v>5</v>
      </c>
      <c r="AB7914" s="18">
        <f t="shared" si="246"/>
        <v>1999</v>
      </c>
      <c r="AC7914" s="22">
        <f t="shared" si="247"/>
        <v>0.76200000000000001</v>
      </c>
    </row>
    <row r="7915" spans="1:29">
      <c r="A7915" s="8" t="s">
        <v>12312</v>
      </c>
      <c r="B7915" s="17" t="s">
        <v>7755</v>
      </c>
      <c r="C7915" s="13">
        <v>36467</v>
      </c>
      <c r="D7915" s="13" t="s">
        <v>8465</v>
      </c>
      <c r="E7915" s="10" t="s">
        <v>455</v>
      </c>
      <c r="F7915" s="10" t="s">
        <v>476</v>
      </c>
      <c r="H7915" s="2" t="s">
        <v>153</v>
      </c>
      <c r="L7915" s="18">
        <v>0</v>
      </c>
      <c r="Q7915" s="18">
        <v>0</v>
      </c>
      <c r="V7915" s="22">
        <f>3.96/5</f>
        <v>0.79200000000000004</v>
      </c>
      <c r="X7915" s="3">
        <v>2</v>
      </c>
      <c r="Z7915" s="23">
        <v>1</v>
      </c>
      <c r="AB7915" s="18">
        <f t="shared" si="246"/>
        <v>1999</v>
      </c>
      <c r="AC7915" s="22">
        <f t="shared" si="247"/>
        <v>0.59600000000000009</v>
      </c>
    </row>
    <row r="7916" spans="1:29">
      <c r="A7916" s="8" t="s">
        <v>2990</v>
      </c>
      <c r="B7916" s="17" t="s">
        <v>7757</v>
      </c>
      <c r="C7916" s="13">
        <v>36466</v>
      </c>
      <c r="D7916" s="13" t="s">
        <v>8465</v>
      </c>
      <c r="E7916" s="10" t="s">
        <v>1290</v>
      </c>
      <c r="F7916" s="10" t="s">
        <v>3039</v>
      </c>
      <c r="G7916" s="11" t="s">
        <v>1975</v>
      </c>
      <c r="H7916" s="2" t="s">
        <v>1040</v>
      </c>
      <c r="L7916" s="18">
        <v>0</v>
      </c>
      <c r="Q7916" s="18">
        <v>0</v>
      </c>
      <c r="U7916" s="22">
        <v>0.87</v>
      </c>
      <c r="V7916" s="22">
        <f>4.18/5</f>
        <v>0.83599999999999997</v>
      </c>
      <c r="X7916" s="3">
        <v>4</v>
      </c>
      <c r="Z7916" s="23">
        <v>7</v>
      </c>
      <c r="AB7916" s="18">
        <f t="shared" si="246"/>
        <v>1999</v>
      </c>
      <c r="AC7916" s="22">
        <f t="shared" si="247"/>
        <v>0.83533333333333337</v>
      </c>
    </row>
    <row r="7917" spans="1:29" ht="25.5">
      <c r="A7917" s="8" t="s">
        <v>4591</v>
      </c>
      <c r="B7917" s="17" t="s">
        <v>7800</v>
      </c>
      <c r="C7917" s="13">
        <v>36466</v>
      </c>
      <c r="D7917" s="13" t="s">
        <v>8465</v>
      </c>
      <c r="E7917" s="10" t="s">
        <v>1082</v>
      </c>
      <c r="F7917" s="10" t="s">
        <v>4592</v>
      </c>
      <c r="H7917" s="2" t="s">
        <v>67</v>
      </c>
      <c r="L7917" s="18">
        <v>1</v>
      </c>
      <c r="N7917" s="13">
        <v>43642</v>
      </c>
      <c r="O7917" s="29">
        <v>1.49</v>
      </c>
      <c r="P7917" s="18" t="s">
        <v>1107</v>
      </c>
      <c r="Q7917" s="18">
        <v>0</v>
      </c>
      <c r="U7917" s="22">
        <v>0.75</v>
      </c>
      <c r="V7917" s="22">
        <f>3.53/5</f>
        <v>0.70599999999999996</v>
      </c>
      <c r="W7917" s="14" t="s">
        <v>7777</v>
      </c>
      <c r="X7917" s="3">
        <v>3</v>
      </c>
      <c r="Z7917" s="23">
        <v>12.5</v>
      </c>
      <c r="AB7917" s="18">
        <f t="shared" si="246"/>
        <v>1999</v>
      </c>
      <c r="AC7917" s="22">
        <f t="shared" si="247"/>
        <v>0.68533333333333335</v>
      </c>
    </row>
    <row r="7918" spans="1:29" ht="25.5">
      <c r="A7918" s="8" t="s">
        <v>4076</v>
      </c>
      <c r="B7918" s="17" t="s">
        <v>7800</v>
      </c>
      <c r="C7918" s="13">
        <v>36465</v>
      </c>
      <c r="D7918" s="13" t="s">
        <v>8465</v>
      </c>
      <c r="E7918" s="10" t="s">
        <v>4070</v>
      </c>
      <c r="F7918" s="10" t="s">
        <v>3154</v>
      </c>
      <c r="G7918" s="11" t="s">
        <v>4069</v>
      </c>
      <c r="H7918" s="2" t="s">
        <v>1050</v>
      </c>
      <c r="L7918" s="18">
        <v>1</v>
      </c>
      <c r="N7918" s="13">
        <v>42002</v>
      </c>
      <c r="O7918" s="29">
        <v>2.86</v>
      </c>
      <c r="P7918" s="18" t="s">
        <v>1107</v>
      </c>
      <c r="Q7918" s="18">
        <v>0</v>
      </c>
      <c r="U7918" s="22">
        <v>0.85</v>
      </c>
      <c r="V7918" s="22">
        <f>3.89/5</f>
        <v>0.77800000000000002</v>
      </c>
      <c r="W7918" s="14" t="s">
        <v>7777</v>
      </c>
      <c r="X7918" s="3">
        <v>3</v>
      </c>
      <c r="Z7918" s="23">
        <v>5.5</v>
      </c>
      <c r="AB7918" s="18">
        <f t="shared" si="246"/>
        <v>1999</v>
      </c>
      <c r="AC7918" s="22">
        <f t="shared" si="247"/>
        <v>0.7426666666666667</v>
      </c>
    </row>
    <row r="7919" spans="1:29">
      <c r="A7919" s="8" t="s">
        <v>7682</v>
      </c>
      <c r="B7919" s="17" t="s">
        <v>7746</v>
      </c>
      <c r="C7919" s="12">
        <v>36465</v>
      </c>
      <c r="D7919" s="13" t="s">
        <v>8465</v>
      </c>
      <c r="E7919" s="10" t="s">
        <v>6906</v>
      </c>
      <c r="F7919" s="10" t="s">
        <v>7441</v>
      </c>
      <c r="G7919" s="11" t="s">
        <v>4578</v>
      </c>
      <c r="H7919" s="2" t="s">
        <v>64</v>
      </c>
      <c r="L7919" s="18">
        <v>0</v>
      </c>
      <c r="Q7919" s="18">
        <v>0</v>
      </c>
      <c r="U7919" s="22">
        <v>0.66</v>
      </c>
      <c r="V7919" s="22">
        <f>3.28/5</f>
        <v>0.65599999999999992</v>
      </c>
      <c r="X7919" s="3">
        <v>3</v>
      </c>
      <c r="Z7919" s="23">
        <v>1.5</v>
      </c>
      <c r="AB7919" s="18">
        <f t="shared" si="246"/>
        <v>1999</v>
      </c>
      <c r="AC7919" s="22">
        <f t="shared" si="247"/>
        <v>0.6386666666666666</v>
      </c>
    </row>
    <row r="7920" spans="1:29">
      <c r="A7920" s="8" t="s">
        <v>1887</v>
      </c>
      <c r="B7920" s="17" t="s">
        <v>7746</v>
      </c>
      <c r="C7920" s="12">
        <v>36465</v>
      </c>
      <c r="D7920" s="13" t="s">
        <v>8465</v>
      </c>
      <c r="E7920" s="10" t="s">
        <v>154</v>
      </c>
      <c r="F7920" s="10" t="s">
        <v>1886</v>
      </c>
      <c r="G7920" s="11" t="s">
        <v>1465</v>
      </c>
      <c r="H7920" s="2" t="s">
        <v>56</v>
      </c>
      <c r="L7920" s="18">
        <v>0</v>
      </c>
      <c r="Q7920" s="18">
        <v>0</v>
      </c>
      <c r="U7920" s="22">
        <v>0.64</v>
      </c>
      <c r="V7920" s="22">
        <f>2.88/5</f>
        <v>0.57599999999999996</v>
      </c>
      <c r="X7920" s="3">
        <v>3</v>
      </c>
      <c r="Z7920" s="23">
        <v>1</v>
      </c>
      <c r="AB7920" s="18">
        <f t="shared" si="246"/>
        <v>1999</v>
      </c>
      <c r="AC7920" s="22">
        <f t="shared" si="247"/>
        <v>0.60533333333333328</v>
      </c>
    </row>
    <row r="7921" spans="1:29">
      <c r="A7921" s="8" t="s">
        <v>1887</v>
      </c>
      <c r="B7921" s="20" t="s">
        <v>7739</v>
      </c>
      <c r="C7921" s="13">
        <v>36464</v>
      </c>
      <c r="D7921" s="13" t="s">
        <v>8465</v>
      </c>
      <c r="E7921" s="10" t="s">
        <v>154</v>
      </c>
      <c r="F7921" s="10" t="s">
        <v>6600</v>
      </c>
      <c r="G7921" s="11" t="s">
        <v>1465</v>
      </c>
      <c r="H7921" s="2" t="s">
        <v>1050</v>
      </c>
      <c r="L7921" s="18">
        <v>0</v>
      </c>
      <c r="Q7921" s="18">
        <v>0</v>
      </c>
      <c r="U7921" s="22">
        <v>0.72</v>
      </c>
      <c r="V7921" s="22">
        <f>3.5/5</f>
        <v>0.7</v>
      </c>
      <c r="X7921" s="3">
        <v>2</v>
      </c>
      <c r="Z7921" s="23">
        <v>10</v>
      </c>
      <c r="AB7921" s="18">
        <f t="shared" si="246"/>
        <v>1999</v>
      </c>
      <c r="AC7921" s="22">
        <f t="shared" si="247"/>
        <v>0.60666666666666658</v>
      </c>
    </row>
    <row r="7922" spans="1:29">
      <c r="A7922" s="8" t="s">
        <v>2944</v>
      </c>
      <c r="B7922" s="17" t="s">
        <v>7757</v>
      </c>
      <c r="C7922" s="13">
        <v>36464</v>
      </c>
      <c r="D7922" s="13" t="s">
        <v>8465</v>
      </c>
      <c r="E7922" s="10" t="s">
        <v>231</v>
      </c>
      <c r="F7922" s="10" t="s">
        <v>2669</v>
      </c>
      <c r="G7922" s="11" t="s">
        <v>2944</v>
      </c>
      <c r="H7922" s="2" t="s">
        <v>1050</v>
      </c>
      <c r="L7922" s="18">
        <v>0</v>
      </c>
      <c r="Q7922" s="18">
        <v>0</v>
      </c>
      <c r="U7922" s="22">
        <v>0.87</v>
      </c>
      <c r="V7922" s="22">
        <f>3.86/5</f>
        <v>0.77200000000000002</v>
      </c>
      <c r="X7922" s="3">
        <v>3</v>
      </c>
      <c r="Z7922" s="23">
        <v>5</v>
      </c>
      <c r="AB7922" s="18">
        <f t="shared" si="246"/>
        <v>1999</v>
      </c>
      <c r="AC7922" s="22">
        <f t="shared" si="247"/>
        <v>0.74733333333333329</v>
      </c>
    </row>
    <row r="7923" spans="1:29" ht="25.5">
      <c r="A7923" s="8" t="s">
        <v>884</v>
      </c>
      <c r="B7923" s="20" t="s">
        <v>7739</v>
      </c>
      <c r="C7923" s="13">
        <v>36464</v>
      </c>
      <c r="D7923" s="13" t="s">
        <v>8465</v>
      </c>
      <c r="E7923" s="10" t="s">
        <v>1047</v>
      </c>
      <c r="F7923" s="10" t="s">
        <v>1478</v>
      </c>
      <c r="H7923" s="2" t="s">
        <v>1040</v>
      </c>
      <c r="L7923" s="18">
        <v>0</v>
      </c>
      <c r="Q7923" s="18">
        <v>0</v>
      </c>
      <c r="U7923" s="22">
        <v>0.82</v>
      </c>
      <c r="V7923" s="22">
        <f>3.94/5</f>
        <v>0.78800000000000003</v>
      </c>
      <c r="X7923" s="3">
        <v>4</v>
      </c>
      <c r="Z7923" s="23">
        <v>3</v>
      </c>
      <c r="AB7923" s="18">
        <f t="shared" si="246"/>
        <v>1999</v>
      </c>
      <c r="AC7923" s="22">
        <f t="shared" si="247"/>
        <v>0.80266666666666675</v>
      </c>
    </row>
    <row r="7924" spans="1:29" ht="25.5">
      <c r="A7924" s="8" t="s">
        <v>4939</v>
      </c>
      <c r="B7924" s="17" t="s">
        <v>7800</v>
      </c>
      <c r="C7924" s="13">
        <v>36464</v>
      </c>
      <c r="D7924" s="13" t="s">
        <v>8465</v>
      </c>
      <c r="E7924" s="10" t="s">
        <v>3487</v>
      </c>
      <c r="F7924" s="10" t="s">
        <v>4940</v>
      </c>
      <c r="H7924" s="2" t="s">
        <v>149</v>
      </c>
      <c r="L7924" s="18">
        <v>1</v>
      </c>
      <c r="N7924" s="13">
        <v>41555</v>
      </c>
      <c r="P7924" s="18" t="s">
        <v>1107</v>
      </c>
      <c r="Q7924" s="18">
        <v>0</v>
      </c>
      <c r="U7924" s="22">
        <v>0.74</v>
      </c>
      <c r="V7924" s="22">
        <f>3.83/5</f>
        <v>0.76600000000000001</v>
      </c>
      <c r="W7924" s="14" t="s">
        <v>7777</v>
      </c>
      <c r="X7924" s="3">
        <v>4</v>
      </c>
      <c r="Z7924" s="23">
        <v>49</v>
      </c>
      <c r="AB7924" s="18">
        <f t="shared" si="246"/>
        <v>1999</v>
      </c>
      <c r="AC7924" s="22">
        <f t="shared" si="247"/>
        <v>0.76866666666666672</v>
      </c>
    </row>
    <row r="7925" spans="1:29">
      <c r="A7925" s="8" t="s">
        <v>883</v>
      </c>
      <c r="B7925" s="20" t="s">
        <v>7739</v>
      </c>
      <c r="C7925" s="13">
        <v>36464</v>
      </c>
      <c r="D7925" s="13" t="s">
        <v>8465</v>
      </c>
      <c r="E7925" s="10" t="s">
        <v>73</v>
      </c>
      <c r="F7925" s="10" t="s">
        <v>73</v>
      </c>
      <c r="G7925" s="11" t="s">
        <v>943</v>
      </c>
      <c r="H7925" s="2" t="s">
        <v>1061</v>
      </c>
      <c r="L7925" s="18">
        <v>0</v>
      </c>
      <c r="Q7925" s="18">
        <v>0</v>
      </c>
      <c r="U7925" s="22">
        <v>0.87</v>
      </c>
      <c r="V7925" s="22">
        <f>4.19/5</f>
        <v>0.83800000000000008</v>
      </c>
      <c r="X7925" s="3">
        <v>3</v>
      </c>
      <c r="Y7925" s="18">
        <v>1</v>
      </c>
      <c r="Z7925" s="23">
        <v>5.5</v>
      </c>
      <c r="AB7925" s="18">
        <f t="shared" si="246"/>
        <v>1999</v>
      </c>
      <c r="AC7925" s="22">
        <f t="shared" si="247"/>
        <v>0.76933333333333342</v>
      </c>
    </row>
    <row r="7926" spans="1:29" ht="30">
      <c r="A7926" s="8" t="s">
        <v>3119</v>
      </c>
      <c r="B7926" s="17" t="s">
        <v>7800</v>
      </c>
      <c r="C7926" s="13">
        <v>36464</v>
      </c>
      <c r="D7926" s="13" t="s">
        <v>8465</v>
      </c>
      <c r="E7926" s="10" t="s">
        <v>3120</v>
      </c>
      <c r="F7926" s="10" t="s">
        <v>3121</v>
      </c>
      <c r="G7926" s="11" t="s">
        <v>3119</v>
      </c>
      <c r="H7926" s="2" t="s">
        <v>69</v>
      </c>
      <c r="L7926" s="18">
        <v>1</v>
      </c>
      <c r="N7926" s="13">
        <v>41782</v>
      </c>
      <c r="P7926" s="18" t="s">
        <v>1107</v>
      </c>
      <c r="Q7926" s="18">
        <v>0</v>
      </c>
      <c r="U7926" s="22">
        <v>0.82</v>
      </c>
      <c r="V7926" s="22">
        <f>4.06/5</f>
        <v>0.81199999999999994</v>
      </c>
      <c r="W7926" s="14" t="s">
        <v>7777</v>
      </c>
      <c r="X7926" s="3">
        <v>3</v>
      </c>
      <c r="Z7926" s="23">
        <v>21</v>
      </c>
      <c r="AB7926" s="18">
        <f t="shared" si="246"/>
        <v>1999</v>
      </c>
      <c r="AC7926" s="22">
        <f t="shared" si="247"/>
        <v>0.74399999999999988</v>
      </c>
    </row>
    <row r="7927" spans="1:29" ht="30">
      <c r="A7927" s="8" t="s">
        <v>7473</v>
      </c>
      <c r="B7927" s="17" t="s">
        <v>7757</v>
      </c>
      <c r="C7927" s="13">
        <v>36464</v>
      </c>
      <c r="D7927" s="13" t="s">
        <v>8465</v>
      </c>
      <c r="E7927" s="10" t="s">
        <v>2908</v>
      </c>
      <c r="F7927" s="10" t="s">
        <v>3026</v>
      </c>
      <c r="G7927" s="11" t="s">
        <v>6067</v>
      </c>
      <c r="H7927" s="2" t="s">
        <v>1204</v>
      </c>
      <c r="L7927" s="18">
        <v>0</v>
      </c>
      <c r="Q7927" s="18">
        <v>0</v>
      </c>
      <c r="U7927" s="22">
        <v>0.68</v>
      </c>
      <c r="V7927" s="22">
        <f>3.48/5</f>
        <v>0.69599999999999995</v>
      </c>
      <c r="X7927" s="3">
        <v>3</v>
      </c>
      <c r="Z7927" s="23">
        <v>3</v>
      </c>
      <c r="AB7927" s="18">
        <f t="shared" si="246"/>
        <v>1999</v>
      </c>
      <c r="AC7927" s="22">
        <f t="shared" si="247"/>
        <v>0.65866666666666662</v>
      </c>
    </row>
    <row r="7928" spans="1:29">
      <c r="A7928" s="8" t="s">
        <v>5035</v>
      </c>
      <c r="B7928" s="17" t="s">
        <v>7800</v>
      </c>
      <c r="C7928" s="13">
        <v>36464</v>
      </c>
      <c r="D7928" s="13" t="s">
        <v>8465</v>
      </c>
      <c r="E7928" s="10" t="s">
        <v>8722</v>
      </c>
      <c r="F7928" s="10" t="s">
        <v>5036</v>
      </c>
      <c r="H7928" s="2" t="s">
        <v>1168</v>
      </c>
      <c r="L7928" s="18">
        <v>1</v>
      </c>
      <c r="N7928" s="13">
        <v>42017</v>
      </c>
      <c r="P7928" s="18" t="s">
        <v>1107</v>
      </c>
      <c r="Q7928" s="18">
        <v>0</v>
      </c>
      <c r="U7928" s="22">
        <v>0.72</v>
      </c>
      <c r="V7928" s="22">
        <f>3.5/5</f>
        <v>0.7</v>
      </c>
      <c r="W7928" s="14" t="s">
        <v>7777</v>
      </c>
      <c r="X7928" s="3">
        <v>2</v>
      </c>
      <c r="Z7928" s="23">
        <v>5</v>
      </c>
      <c r="AB7928" s="18">
        <f t="shared" si="246"/>
        <v>1999</v>
      </c>
      <c r="AC7928" s="22">
        <f t="shared" si="247"/>
        <v>0.60666666666666658</v>
      </c>
    </row>
    <row r="7929" spans="1:29">
      <c r="A7929" s="8" t="s">
        <v>6571</v>
      </c>
      <c r="B7929" s="20" t="s">
        <v>7739</v>
      </c>
      <c r="C7929" s="13">
        <v>36464</v>
      </c>
      <c r="D7929" s="13" t="s">
        <v>8465</v>
      </c>
      <c r="E7929" s="10" t="s">
        <v>1618</v>
      </c>
      <c r="F7929" s="10" t="s">
        <v>6572</v>
      </c>
      <c r="G7929" s="11" t="s">
        <v>703</v>
      </c>
      <c r="H7929" s="2" t="s">
        <v>1040</v>
      </c>
      <c r="L7929" s="18">
        <v>0</v>
      </c>
      <c r="Q7929" s="18">
        <v>0</v>
      </c>
      <c r="U7929" s="22">
        <v>0.59</v>
      </c>
      <c r="V7929" s="22">
        <f>2.99/5</f>
        <v>0.59800000000000009</v>
      </c>
      <c r="X7929" s="3">
        <v>2</v>
      </c>
      <c r="Z7929" s="23">
        <v>9</v>
      </c>
      <c r="AB7929" s="18">
        <f t="shared" si="246"/>
        <v>1999</v>
      </c>
      <c r="AC7929" s="22">
        <f t="shared" si="247"/>
        <v>0.52933333333333332</v>
      </c>
    </row>
    <row r="7930" spans="1:29">
      <c r="A7930" s="8" t="s">
        <v>12330</v>
      </c>
      <c r="B7930" s="17" t="s">
        <v>7746</v>
      </c>
      <c r="C7930" s="13">
        <v>36462</v>
      </c>
      <c r="D7930" s="13" t="s">
        <v>8463</v>
      </c>
      <c r="E7930" s="10" t="s">
        <v>11819</v>
      </c>
      <c r="F7930" s="10" t="s">
        <v>11819</v>
      </c>
      <c r="G7930" s="11" t="s">
        <v>5566</v>
      </c>
      <c r="H7930" s="2" t="s">
        <v>149</v>
      </c>
      <c r="K7930" s="18">
        <v>2</v>
      </c>
      <c r="L7930" s="18">
        <v>0</v>
      </c>
      <c r="Q7930" s="18">
        <v>0</v>
      </c>
      <c r="V7930" s="22">
        <f>3.86/5</f>
        <v>0.77200000000000002</v>
      </c>
      <c r="X7930" s="3">
        <v>3</v>
      </c>
      <c r="AB7930" s="18">
        <f t="shared" si="246"/>
        <v>1999</v>
      </c>
      <c r="AC7930" s="22">
        <f t="shared" si="247"/>
        <v>0.68599999999999994</v>
      </c>
    </row>
    <row r="7931" spans="1:29">
      <c r="A7931" s="8" t="s">
        <v>13151</v>
      </c>
      <c r="B7931" s="17" t="s">
        <v>7739</v>
      </c>
      <c r="C7931" s="13">
        <v>36462</v>
      </c>
      <c r="D7931" s="13" t="s">
        <v>8463</v>
      </c>
      <c r="E7931" s="10" t="s">
        <v>470</v>
      </c>
      <c r="F7931" s="10" t="s">
        <v>1402</v>
      </c>
      <c r="G7931" s="11" t="s">
        <v>299</v>
      </c>
      <c r="H7931" s="2" t="s">
        <v>75</v>
      </c>
      <c r="K7931" s="18">
        <v>0</v>
      </c>
      <c r="L7931" s="18">
        <v>0</v>
      </c>
      <c r="Q7931" s="18">
        <v>0</v>
      </c>
      <c r="V7931" s="22">
        <f>4.08/5</f>
        <v>0.81600000000000006</v>
      </c>
      <c r="X7931" s="3">
        <v>2</v>
      </c>
      <c r="AB7931" s="18">
        <f t="shared" si="246"/>
        <v>1999</v>
      </c>
      <c r="AC7931" s="22">
        <f t="shared" si="247"/>
        <v>0.6080000000000001</v>
      </c>
    </row>
    <row r="7932" spans="1:29">
      <c r="A7932" s="8" t="s">
        <v>979</v>
      </c>
      <c r="B7932" s="17" t="s">
        <v>7757</v>
      </c>
      <c r="C7932" s="13">
        <v>36461</v>
      </c>
      <c r="D7932" s="13" t="s">
        <v>8463</v>
      </c>
      <c r="E7932" s="10" t="s">
        <v>1416</v>
      </c>
      <c r="F7932" s="10" t="s">
        <v>1416</v>
      </c>
      <c r="G7932" s="11" t="s">
        <v>979</v>
      </c>
      <c r="H7932" s="2" t="s">
        <v>1518</v>
      </c>
      <c r="K7932" s="18">
        <v>2</v>
      </c>
      <c r="L7932" s="18">
        <v>0</v>
      </c>
      <c r="Q7932" s="18">
        <v>0</v>
      </c>
      <c r="V7932" s="22">
        <f>3.79/5</f>
        <v>0.75800000000000001</v>
      </c>
      <c r="X7932" s="3">
        <v>2</v>
      </c>
      <c r="AB7932" s="18">
        <f t="shared" si="246"/>
        <v>1999</v>
      </c>
      <c r="AC7932" s="22">
        <f t="shared" si="247"/>
        <v>0.57899999999999996</v>
      </c>
    </row>
    <row r="7933" spans="1:29" ht="25.5">
      <c r="A7933" s="8" t="s">
        <v>13961</v>
      </c>
      <c r="B7933" s="17" t="s">
        <v>7757</v>
      </c>
      <c r="C7933" s="13">
        <v>36461</v>
      </c>
      <c r="D7933" s="13" t="s">
        <v>8463</v>
      </c>
      <c r="E7933" s="10" t="s">
        <v>11127</v>
      </c>
      <c r="F7933" s="10" t="s">
        <v>10334</v>
      </c>
      <c r="H7933" s="2" t="s">
        <v>1377</v>
      </c>
      <c r="K7933" s="18">
        <v>0</v>
      </c>
      <c r="L7933" s="18">
        <v>0</v>
      </c>
      <c r="Q7933" s="18">
        <v>0</v>
      </c>
      <c r="V7933" s="22">
        <f>3.75/5</f>
        <v>0.75</v>
      </c>
      <c r="X7933" s="3">
        <v>2</v>
      </c>
      <c r="AB7933" s="18">
        <f t="shared" si="246"/>
        <v>1999</v>
      </c>
      <c r="AC7933" s="22">
        <f t="shared" si="247"/>
        <v>0.57499999999999996</v>
      </c>
    </row>
    <row r="7934" spans="1:29" ht="30">
      <c r="A7934" s="8" t="s">
        <v>7175</v>
      </c>
      <c r="B7934" s="17" t="s">
        <v>7800</v>
      </c>
      <c r="C7934" s="13">
        <v>36458</v>
      </c>
      <c r="D7934" s="13" t="s">
        <v>8465</v>
      </c>
      <c r="E7934" s="10" t="s">
        <v>3120</v>
      </c>
      <c r="F7934" s="10" t="s">
        <v>1536</v>
      </c>
      <c r="H7934" s="2" t="s">
        <v>1061</v>
      </c>
      <c r="L7934" s="18">
        <v>0</v>
      </c>
      <c r="Q7934" s="18">
        <v>0</v>
      </c>
      <c r="U7934" s="22">
        <v>0.75</v>
      </c>
      <c r="V7934" s="22">
        <f>3.24/5</f>
        <v>0.64800000000000002</v>
      </c>
      <c r="X7934" s="3">
        <v>3</v>
      </c>
      <c r="Z7934" s="23">
        <v>11</v>
      </c>
      <c r="AB7934" s="18">
        <f t="shared" si="246"/>
        <v>1999</v>
      </c>
      <c r="AC7934" s="22">
        <f t="shared" si="247"/>
        <v>0.66600000000000004</v>
      </c>
    </row>
    <row r="7935" spans="1:29">
      <c r="A7935" s="8" t="s">
        <v>4016</v>
      </c>
      <c r="B7935" s="17" t="s">
        <v>7800</v>
      </c>
      <c r="C7935" s="13">
        <v>36455</v>
      </c>
      <c r="D7935" s="13" t="s">
        <v>8465</v>
      </c>
      <c r="E7935" s="10" t="s">
        <v>1618</v>
      </c>
      <c r="F7935" s="10" t="s">
        <v>1327</v>
      </c>
      <c r="G7935" s="11" t="s">
        <v>2306</v>
      </c>
      <c r="H7935" s="2" t="s">
        <v>80</v>
      </c>
      <c r="L7935" s="18">
        <v>1</v>
      </c>
      <c r="N7935" s="13">
        <v>41107</v>
      </c>
      <c r="O7935" s="29">
        <v>2.08</v>
      </c>
      <c r="P7935" s="18" t="s">
        <v>1107</v>
      </c>
      <c r="Q7935" s="18">
        <v>0</v>
      </c>
      <c r="U7935" s="22">
        <v>0.72</v>
      </c>
      <c r="V7935" s="22">
        <f>3.59/5</f>
        <v>0.71799999999999997</v>
      </c>
      <c r="W7935" s="14" t="s">
        <v>7777</v>
      </c>
      <c r="X7935" s="3">
        <v>3</v>
      </c>
      <c r="Z7935" s="23">
        <v>12</v>
      </c>
      <c r="AB7935" s="18">
        <f t="shared" si="246"/>
        <v>1999</v>
      </c>
      <c r="AC7935" s="22">
        <f t="shared" si="247"/>
        <v>0.67933333333333323</v>
      </c>
    </row>
    <row r="7936" spans="1:29" ht="38.25">
      <c r="A7936" s="8" t="s">
        <v>1210</v>
      </c>
      <c r="B7936" s="17" t="s">
        <v>7794</v>
      </c>
      <c r="C7936" s="13">
        <v>36454</v>
      </c>
      <c r="D7936" s="13" t="s">
        <v>8463</v>
      </c>
      <c r="E7936" s="10" t="s">
        <v>157</v>
      </c>
      <c r="F7936" s="10" t="s">
        <v>1212</v>
      </c>
      <c r="G7936" s="11" t="s">
        <v>89</v>
      </c>
      <c r="H7936" s="2" t="s">
        <v>56</v>
      </c>
      <c r="K7936" s="18">
        <v>2</v>
      </c>
      <c r="L7936" s="18">
        <v>0</v>
      </c>
      <c r="Q7936" s="18">
        <v>0</v>
      </c>
      <c r="V7936" s="22">
        <f>4/5</f>
        <v>0.8</v>
      </c>
      <c r="X7936" s="3">
        <v>3</v>
      </c>
      <c r="Z7936" s="23">
        <v>1.5</v>
      </c>
      <c r="AB7936" s="18">
        <f t="shared" si="246"/>
        <v>1999</v>
      </c>
      <c r="AC7936" s="22">
        <f t="shared" si="247"/>
        <v>0.7</v>
      </c>
    </row>
    <row r="7937" spans="1:29" ht="38.25">
      <c r="A7937" s="8" t="s">
        <v>2943</v>
      </c>
      <c r="B7937" s="17" t="s">
        <v>7757</v>
      </c>
      <c r="C7937" s="13">
        <v>36454</v>
      </c>
      <c r="D7937" s="13" t="s">
        <v>8463</v>
      </c>
      <c r="E7937" s="10" t="s">
        <v>57</v>
      </c>
      <c r="F7937" s="10" t="s">
        <v>1368</v>
      </c>
      <c r="G7937" s="11" t="s">
        <v>566</v>
      </c>
      <c r="H7937" s="2" t="s">
        <v>78</v>
      </c>
      <c r="K7937" s="18">
        <v>0</v>
      </c>
      <c r="L7937" s="18">
        <v>0</v>
      </c>
      <c r="Q7937" s="18">
        <v>0</v>
      </c>
      <c r="U7937" s="22">
        <v>0.75</v>
      </c>
      <c r="V7937" s="22">
        <f>4.1/5</f>
        <v>0.82</v>
      </c>
      <c r="X7937" s="3">
        <v>3</v>
      </c>
      <c r="AB7937" s="18">
        <f t="shared" ref="AB7937:AB8000" si="248">IFERROR(YEAR(C7937), "Early Access")</f>
        <v>1999</v>
      </c>
      <c r="AC7937" s="22">
        <f t="shared" ref="AC7937:AC8000" si="249">AVERAGE(T7937, U7937, V7937, IF(ISBLANK(X7937), X7937, X7937/5))</f>
        <v>0.72333333333333327</v>
      </c>
    </row>
    <row r="7938" spans="1:29">
      <c r="A7938" s="8" t="s">
        <v>8052</v>
      </c>
      <c r="B7938" s="17" t="s">
        <v>7757</v>
      </c>
      <c r="C7938" s="13">
        <v>36454</v>
      </c>
      <c r="D7938" s="13" t="s">
        <v>8463</v>
      </c>
      <c r="E7938" s="10" t="s">
        <v>257</v>
      </c>
      <c r="F7938" s="10" t="s">
        <v>1252</v>
      </c>
      <c r="H7938" s="2" t="s">
        <v>171</v>
      </c>
      <c r="K7938" s="18">
        <v>2</v>
      </c>
      <c r="L7938" s="18">
        <v>0</v>
      </c>
      <c r="Q7938" s="18">
        <v>0</v>
      </c>
      <c r="U7938" s="22">
        <v>0.61</v>
      </c>
      <c r="V7938" s="22">
        <f>3.66/5</f>
        <v>0.73199999999999998</v>
      </c>
      <c r="X7938" s="3">
        <v>3</v>
      </c>
      <c r="Z7938" s="23">
        <v>12</v>
      </c>
      <c r="AB7938" s="18">
        <f t="shared" si="248"/>
        <v>1999</v>
      </c>
      <c r="AC7938" s="22">
        <f t="shared" si="249"/>
        <v>0.64733333333333343</v>
      </c>
    </row>
    <row r="7939" spans="1:29" ht="30">
      <c r="A7939" s="8" t="s">
        <v>12278</v>
      </c>
      <c r="B7939" s="17" t="s">
        <v>7757</v>
      </c>
      <c r="C7939" s="13">
        <v>36454</v>
      </c>
      <c r="D7939" s="13" t="s">
        <v>8463</v>
      </c>
      <c r="E7939" s="10" t="s">
        <v>2290</v>
      </c>
      <c r="F7939" s="10" t="s">
        <v>2290</v>
      </c>
      <c r="G7939" s="11" t="s">
        <v>12278</v>
      </c>
      <c r="H7939" s="2" t="s">
        <v>67</v>
      </c>
      <c r="K7939" s="18">
        <v>0</v>
      </c>
      <c r="L7939" s="18">
        <v>0</v>
      </c>
      <c r="Q7939" s="18">
        <v>0</v>
      </c>
      <c r="V7939" s="22">
        <f>3.38/5</f>
        <v>0.67599999999999993</v>
      </c>
      <c r="X7939" s="3">
        <v>2</v>
      </c>
      <c r="AB7939" s="18">
        <f t="shared" si="248"/>
        <v>1999</v>
      </c>
      <c r="AC7939" s="22">
        <f t="shared" si="249"/>
        <v>0.53800000000000003</v>
      </c>
    </row>
    <row r="7940" spans="1:29" ht="38.25">
      <c r="A7940" s="8" t="s">
        <v>1859</v>
      </c>
      <c r="B7940" s="17" t="s">
        <v>7745</v>
      </c>
      <c r="C7940" s="13">
        <v>36451</v>
      </c>
      <c r="D7940" s="13" t="s">
        <v>8465</v>
      </c>
      <c r="E7940" s="10" t="s">
        <v>86</v>
      </c>
      <c r="F7940" s="10" t="s">
        <v>1354</v>
      </c>
      <c r="G7940" s="11" t="s">
        <v>1470</v>
      </c>
      <c r="H7940" s="2" t="s">
        <v>149</v>
      </c>
      <c r="L7940" s="18">
        <v>0</v>
      </c>
      <c r="Q7940" s="18">
        <v>0</v>
      </c>
      <c r="U7940" s="22">
        <v>0.85</v>
      </c>
      <c r="V7940" s="22">
        <f>4.22/5</f>
        <v>0.84399999999999997</v>
      </c>
      <c r="X7940" s="3">
        <v>3</v>
      </c>
      <c r="Z7940" s="23">
        <v>28</v>
      </c>
      <c r="AB7940" s="18">
        <f t="shared" si="248"/>
        <v>1999</v>
      </c>
      <c r="AC7940" s="22">
        <f t="shared" si="249"/>
        <v>0.76466666666666672</v>
      </c>
    </row>
    <row r="7941" spans="1:29" ht="38.25">
      <c r="A7941" s="8" t="s">
        <v>13727</v>
      </c>
      <c r="B7941" s="17" t="s">
        <v>7746</v>
      </c>
      <c r="C7941" s="13">
        <v>36448</v>
      </c>
      <c r="D7941" s="13" t="s">
        <v>8463</v>
      </c>
      <c r="E7941" s="10" t="s">
        <v>11883</v>
      </c>
      <c r="F7941" s="10" t="s">
        <v>11883</v>
      </c>
      <c r="G7941" s="11" t="s">
        <v>11884</v>
      </c>
      <c r="H7941" s="2" t="s">
        <v>1334</v>
      </c>
      <c r="K7941" s="18">
        <v>2</v>
      </c>
      <c r="L7941" s="18">
        <v>0</v>
      </c>
      <c r="Q7941" s="18">
        <v>0</v>
      </c>
      <c r="V7941" s="22">
        <f>3.9/5</f>
        <v>0.78</v>
      </c>
      <c r="X7941" s="3">
        <v>2</v>
      </c>
      <c r="AB7941" s="18">
        <f t="shared" si="248"/>
        <v>1999</v>
      </c>
      <c r="AC7941" s="22">
        <f t="shared" si="249"/>
        <v>0.59000000000000008</v>
      </c>
    </row>
    <row r="7942" spans="1:29">
      <c r="A7942" s="8" t="s">
        <v>2961</v>
      </c>
      <c r="B7942" s="17" t="s">
        <v>7757</v>
      </c>
      <c r="C7942" s="13">
        <v>36446</v>
      </c>
      <c r="D7942" s="13" t="s">
        <v>8465</v>
      </c>
      <c r="E7942" s="10" t="s">
        <v>228</v>
      </c>
      <c r="F7942" s="10" t="s">
        <v>1318</v>
      </c>
      <c r="H7942" s="2" t="s">
        <v>149</v>
      </c>
      <c r="L7942" s="18">
        <v>0</v>
      </c>
      <c r="Q7942" s="18">
        <v>0</v>
      </c>
      <c r="U7942" s="22">
        <v>0.77</v>
      </c>
      <c r="V7942" s="22">
        <f>3.65/5</f>
        <v>0.73</v>
      </c>
      <c r="X7942" s="3">
        <v>3</v>
      </c>
      <c r="Z7942" s="23">
        <v>26</v>
      </c>
      <c r="AB7942" s="18">
        <f t="shared" si="248"/>
        <v>1999</v>
      </c>
      <c r="AC7942" s="22">
        <f t="shared" si="249"/>
        <v>0.70000000000000007</v>
      </c>
    </row>
    <row r="7943" spans="1:29">
      <c r="A7943" s="8" t="s">
        <v>11022</v>
      </c>
      <c r="B7943" s="17" t="s">
        <v>7757</v>
      </c>
      <c r="C7943" s="13">
        <v>36446</v>
      </c>
      <c r="D7943" s="13" t="s">
        <v>8465</v>
      </c>
      <c r="E7943" s="10" t="s">
        <v>7246</v>
      </c>
      <c r="F7943" s="10" t="s">
        <v>11023</v>
      </c>
      <c r="G7943" s="11" t="s">
        <v>11024</v>
      </c>
      <c r="H7943" s="2" t="s">
        <v>1194</v>
      </c>
      <c r="L7943" s="18">
        <v>0</v>
      </c>
      <c r="Q7943" s="18">
        <v>0</v>
      </c>
      <c r="V7943" s="22">
        <f>3.17/5</f>
        <v>0.63400000000000001</v>
      </c>
      <c r="X7943" s="3">
        <v>2</v>
      </c>
      <c r="Z7943" s="23">
        <v>6.5</v>
      </c>
      <c r="AB7943" s="18">
        <f t="shared" si="248"/>
        <v>1999</v>
      </c>
      <c r="AC7943" s="22">
        <f t="shared" si="249"/>
        <v>0.51700000000000002</v>
      </c>
    </row>
    <row r="7944" spans="1:29">
      <c r="A7944" s="8" t="s">
        <v>14991</v>
      </c>
      <c r="B7944" s="17" t="s">
        <v>7739</v>
      </c>
      <c r="C7944" s="13">
        <v>36445</v>
      </c>
      <c r="D7944" s="13" t="s">
        <v>8465</v>
      </c>
      <c r="E7944" s="10" t="s">
        <v>14992</v>
      </c>
      <c r="F7944" s="10" t="s">
        <v>1055</v>
      </c>
      <c r="G7944" s="11" t="s">
        <v>4305</v>
      </c>
      <c r="H7944" s="2" t="s">
        <v>150</v>
      </c>
      <c r="L7944" s="18">
        <v>0</v>
      </c>
      <c r="Q7944" s="18">
        <v>0</v>
      </c>
      <c r="V7944" s="22">
        <f>3.35/5</f>
        <v>0.67</v>
      </c>
      <c r="X7944" s="3">
        <v>2</v>
      </c>
      <c r="Z7944" s="23">
        <v>3.5</v>
      </c>
      <c r="AB7944" s="18">
        <f t="shared" si="248"/>
        <v>1999</v>
      </c>
      <c r="AC7944" s="22">
        <f t="shared" si="249"/>
        <v>0.53500000000000003</v>
      </c>
    </row>
    <row r="7945" spans="1:29">
      <c r="A7945" s="8" t="s">
        <v>891</v>
      </c>
      <c r="B7945" s="20" t="s">
        <v>7739</v>
      </c>
      <c r="C7945" s="13">
        <v>36444</v>
      </c>
      <c r="D7945" s="13" t="s">
        <v>8465</v>
      </c>
      <c r="E7945" s="10" t="s">
        <v>163</v>
      </c>
      <c r="F7945" s="10" t="s">
        <v>163</v>
      </c>
      <c r="H7945" s="2" t="s">
        <v>1168</v>
      </c>
      <c r="L7945" s="18">
        <v>0</v>
      </c>
      <c r="Q7945" s="18">
        <v>0</v>
      </c>
      <c r="U7945" s="22">
        <v>0.79</v>
      </c>
      <c r="V7945" s="22">
        <f>3.91/5</f>
        <v>0.78200000000000003</v>
      </c>
      <c r="X7945" s="3">
        <v>4</v>
      </c>
      <c r="Z7945" s="23">
        <v>16</v>
      </c>
      <c r="AB7945" s="18">
        <f t="shared" si="248"/>
        <v>1999</v>
      </c>
      <c r="AC7945" s="22">
        <f t="shared" si="249"/>
        <v>0.79066666666666663</v>
      </c>
    </row>
    <row r="7946" spans="1:29">
      <c r="A7946" s="8" t="s">
        <v>14548</v>
      </c>
      <c r="B7946" s="17" t="s">
        <v>7757</v>
      </c>
      <c r="C7946" s="13">
        <v>36440</v>
      </c>
      <c r="D7946" s="13" t="s">
        <v>8463</v>
      </c>
      <c r="E7946" s="10" t="s">
        <v>10468</v>
      </c>
      <c r="F7946" s="10" t="s">
        <v>10468</v>
      </c>
      <c r="H7946" s="2" t="s">
        <v>67</v>
      </c>
      <c r="K7946" s="18">
        <v>0</v>
      </c>
      <c r="L7946" s="18">
        <v>0</v>
      </c>
      <c r="Q7946" s="18">
        <v>0</v>
      </c>
      <c r="V7946" s="22">
        <f>3.31/5</f>
        <v>0.66200000000000003</v>
      </c>
      <c r="X7946" s="3">
        <v>3</v>
      </c>
      <c r="AB7946" s="18">
        <f t="shared" si="248"/>
        <v>1999</v>
      </c>
      <c r="AC7946" s="22">
        <f t="shared" si="249"/>
        <v>0.63100000000000001</v>
      </c>
    </row>
    <row r="7947" spans="1:29" ht="30">
      <c r="A7947" s="8" t="s">
        <v>875</v>
      </c>
      <c r="B7947" s="17" t="s">
        <v>7746</v>
      </c>
      <c r="C7947" s="13">
        <v>36438</v>
      </c>
      <c r="D7947" s="13" t="s">
        <v>8465</v>
      </c>
      <c r="E7947" s="10" t="s">
        <v>86</v>
      </c>
      <c r="F7947" s="10" t="s">
        <v>1160</v>
      </c>
      <c r="G7947" s="11" t="s">
        <v>875</v>
      </c>
      <c r="H7947" s="2" t="s">
        <v>255</v>
      </c>
      <c r="L7947" s="18">
        <v>0</v>
      </c>
      <c r="Q7947" s="18">
        <v>0</v>
      </c>
      <c r="U7947" s="22">
        <v>0.88</v>
      </c>
      <c r="V7947" s="22">
        <f>3.8/5</f>
        <v>0.76</v>
      </c>
      <c r="X7947" s="3">
        <v>3</v>
      </c>
      <c r="Z7947" s="23">
        <v>12</v>
      </c>
      <c r="AB7947" s="18">
        <f t="shared" si="248"/>
        <v>1999</v>
      </c>
      <c r="AC7947" s="22">
        <f t="shared" si="249"/>
        <v>0.7466666666666667</v>
      </c>
    </row>
    <row r="7948" spans="1:29">
      <c r="A7948" s="8" t="s">
        <v>6953</v>
      </c>
      <c r="B7948" s="17" t="s">
        <v>7800</v>
      </c>
      <c r="C7948" s="13">
        <v>36434</v>
      </c>
      <c r="D7948" s="13" t="s">
        <v>8465</v>
      </c>
      <c r="E7948" s="10" t="s">
        <v>6954</v>
      </c>
      <c r="F7948" s="10" t="s">
        <v>6954</v>
      </c>
      <c r="H7948" s="2" t="s">
        <v>1720</v>
      </c>
      <c r="L7948" s="18">
        <v>1</v>
      </c>
      <c r="N7948" s="13">
        <v>41591</v>
      </c>
      <c r="O7948" s="29">
        <v>1.49</v>
      </c>
      <c r="P7948" s="18" t="s">
        <v>1107</v>
      </c>
      <c r="Q7948" s="18">
        <v>0</v>
      </c>
      <c r="U7948" s="22">
        <v>0.86</v>
      </c>
      <c r="V7948" s="22">
        <f>4.31/5</f>
        <v>0.86199999999999988</v>
      </c>
      <c r="W7948" s="14" t="s">
        <v>7778</v>
      </c>
      <c r="X7948" s="3">
        <v>3</v>
      </c>
      <c r="Z7948" s="23">
        <v>7.5</v>
      </c>
      <c r="AB7948" s="18">
        <f t="shared" si="248"/>
        <v>1999</v>
      </c>
      <c r="AC7948" s="22">
        <f t="shared" si="249"/>
        <v>0.77400000000000002</v>
      </c>
    </row>
    <row r="7949" spans="1:29">
      <c r="A7949" s="8" t="s">
        <v>13674</v>
      </c>
      <c r="B7949" s="17" t="s">
        <v>7736</v>
      </c>
      <c r="C7949" s="13">
        <v>36434</v>
      </c>
      <c r="D7949" s="13" t="s">
        <v>8463</v>
      </c>
      <c r="E7949" s="10" t="s">
        <v>86</v>
      </c>
      <c r="F7949" s="10" t="s">
        <v>1794</v>
      </c>
      <c r="G7949" s="11" t="s">
        <v>10286</v>
      </c>
      <c r="H7949" s="2" t="s">
        <v>78</v>
      </c>
      <c r="K7949" s="18">
        <v>0</v>
      </c>
      <c r="L7949" s="18">
        <v>0</v>
      </c>
      <c r="Q7949" s="18">
        <v>0</v>
      </c>
      <c r="V7949" s="22">
        <f>3.7/5</f>
        <v>0.74</v>
      </c>
      <c r="W7949" s="14" t="s">
        <v>13672</v>
      </c>
      <c r="X7949" s="3">
        <v>3</v>
      </c>
      <c r="AB7949" s="18">
        <f t="shared" si="248"/>
        <v>1999</v>
      </c>
      <c r="AC7949" s="22">
        <f t="shared" si="249"/>
        <v>0.66999999999999993</v>
      </c>
    </row>
    <row r="7950" spans="1:29">
      <c r="A7950" s="8" t="s">
        <v>7426</v>
      </c>
      <c r="B7950" s="17" t="s">
        <v>7746</v>
      </c>
      <c r="C7950" s="12">
        <v>36434</v>
      </c>
      <c r="D7950" s="13" t="s">
        <v>8465</v>
      </c>
      <c r="E7950" s="10" t="s">
        <v>72</v>
      </c>
      <c r="F7950" s="10" t="s">
        <v>72</v>
      </c>
      <c r="G7950" s="11" t="s">
        <v>7409</v>
      </c>
      <c r="H7950" s="2" t="s">
        <v>1334</v>
      </c>
      <c r="L7950" s="18">
        <v>0</v>
      </c>
      <c r="Q7950" s="18">
        <v>0</v>
      </c>
      <c r="U7950" s="22">
        <v>0.83</v>
      </c>
      <c r="V7950" s="22">
        <f>3.98/5</f>
        <v>0.79600000000000004</v>
      </c>
      <c r="X7950" s="3">
        <v>2</v>
      </c>
      <c r="Z7950" s="23">
        <v>3.5</v>
      </c>
      <c r="AB7950" s="18">
        <f t="shared" si="248"/>
        <v>1999</v>
      </c>
      <c r="AC7950" s="22">
        <f t="shared" si="249"/>
        <v>0.67533333333333323</v>
      </c>
    </row>
    <row r="7951" spans="1:29" ht="25.5">
      <c r="A7951" s="8" t="s">
        <v>2924</v>
      </c>
      <c r="B7951" s="17" t="s">
        <v>7757</v>
      </c>
      <c r="C7951" s="13">
        <v>36434</v>
      </c>
      <c r="D7951" s="13" t="s">
        <v>8465</v>
      </c>
      <c r="E7951" s="10" t="s">
        <v>3017</v>
      </c>
      <c r="F7951" s="10" t="s">
        <v>81</v>
      </c>
      <c r="G7951" s="11" t="s">
        <v>810</v>
      </c>
      <c r="H7951" s="2" t="s">
        <v>1061</v>
      </c>
      <c r="L7951" s="18">
        <v>0</v>
      </c>
      <c r="Q7951" s="18">
        <v>0</v>
      </c>
      <c r="U7951" s="22">
        <v>0.52</v>
      </c>
      <c r="V7951" s="22">
        <f>3.15/5</f>
        <v>0.63</v>
      </c>
      <c r="X7951" s="3">
        <v>3</v>
      </c>
      <c r="Z7951" s="23">
        <v>5</v>
      </c>
      <c r="AB7951" s="18">
        <f t="shared" si="248"/>
        <v>1999</v>
      </c>
      <c r="AC7951" s="22">
        <f t="shared" si="249"/>
        <v>0.58333333333333337</v>
      </c>
    </row>
    <row r="7952" spans="1:29" ht="25.5">
      <c r="A7952" s="8" t="s">
        <v>7166</v>
      </c>
      <c r="B7952" s="17" t="s">
        <v>7800</v>
      </c>
      <c r="C7952" s="13">
        <v>36434</v>
      </c>
      <c r="D7952" s="13" t="s">
        <v>8465</v>
      </c>
      <c r="E7952" s="10" t="s">
        <v>7236</v>
      </c>
      <c r="F7952" s="10" t="s">
        <v>7237</v>
      </c>
      <c r="H7952" s="2" t="s">
        <v>67</v>
      </c>
      <c r="L7952" s="18">
        <v>0</v>
      </c>
      <c r="Q7952" s="18">
        <v>0</v>
      </c>
      <c r="U7952" s="22">
        <v>0.51</v>
      </c>
      <c r="V7952" s="22">
        <f>2.25/5</f>
        <v>0.45</v>
      </c>
      <c r="X7952" s="3">
        <v>3</v>
      </c>
      <c r="AB7952" s="18">
        <f t="shared" si="248"/>
        <v>1999</v>
      </c>
      <c r="AC7952" s="22">
        <f t="shared" si="249"/>
        <v>0.52</v>
      </c>
    </row>
    <row r="7953" spans="1:29">
      <c r="A7953" s="8" t="s">
        <v>6942</v>
      </c>
      <c r="B7953" s="17" t="s">
        <v>7800</v>
      </c>
      <c r="C7953" s="13">
        <v>36433</v>
      </c>
      <c r="D7953" s="13" t="s">
        <v>8465</v>
      </c>
      <c r="E7953" s="10" t="s">
        <v>1272</v>
      </c>
      <c r="F7953" s="10" t="s">
        <v>1655</v>
      </c>
      <c r="G7953" s="11" t="s">
        <v>6943</v>
      </c>
      <c r="H7953" s="2" t="s">
        <v>6563</v>
      </c>
      <c r="L7953" s="18">
        <v>1</v>
      </c>
      <c r="N7953" s="13">
        <v>39705</v>
      </c>
      <c r="O7953" s="29">
        <v>5.99</v>
      </c>
      <c r="P7953" s="18" t="s">
        <v>1107</v>
      </c>
      <c r="Q7953" s="18">
        <v>0</v>
      </c>
      <c r="U7953" s="22">
        <v>0.92</v>
      </c>
      <c r="V7953" s="22">
        <f>4.32/5</f>
        <v>0.8640000000000001</v>
      </c>
      <c r="W7953" s="14" t="s">
        <v>7778</v>
      </c>
      <c r="X7953" s="3">
        <v>3</v>
      </c>
      <c r="Z7953" s="23">
        <v>15.5</v>
      </c>
      <c r="AB7953" s="18">
        <f t="shared" si="248"/>
        <v>1999</v>
      </c>
      <c r="AC7953" s="22">
        <f t="shared" si="249"/>
        <v>0.79466666666666674</v>
      </c>
    </row>
    <row r="7954" spans="1:29" ht="38.25">
      <c r="A7954" s="8" t="s">
        <v>6948</v>
      </c>
      <c r="B7954" s="17" t="s">
        <v>7800</v>
      </c>
      <c r="C7954" s="13">
        <v>36433</v>
      </c>
      <c r="D7954" s="13" t="s">
        <v>8465</v>
      </c>
      <c r="E7954" s="10" t="s">
        <v>1195</v>
      </c>
      <c r="F7954" s="10" t="s">
        <v>2659</v>
      </c>
      <c r="G7954" s="11" t="s">
        <v>1864</v>
      </c>
      <c r="H7954" s="2" t="s">
        <v>1720</v>
      </c>
      <c r="L7954" s="18">
        <v>1</v>
      </c>
      <c r="N7954" s="13">
        <v>41748</v>
      </c>
      <c r="O7954" s="29">
        <v>0</v>
      </c>
      <c r="P7954" s="18" t="s">
        <v>1107</v>
      </c>
      <c r="Q7954" s="18">
        <v>0</v>
      </c>
      <c r="U7954" s="22">
        <v>0.88</v>
      </c>
      <c r="V7954" s="22">
        <f>4.31/5</f>
        <v>0.86199999999999988</v>
      </c>
      <c r="W7954" s="14" t="s">
        <v>7778</v>
      </c>
      <c r="X7954" s="3">
        <v>3</v>
      </c>
      <c r="Z7954" s="23">
        <v>42.5</v>
      </c>
      <c r="AB7954" s="18">
        <f t="shared" si="248"/>
        <v>1999</v>
      </c>
      <c r="AC7954" s="22">
        <f t="shared" si="249"/>
        <v>0.78066666666666673</v>
      </c>
    </row>
    <row r="7955" spans="1:29">
      <c r="A7955" s="8" t="s">
        <v>7827</v>
      </c>
      <c r="B7955" s="17" t="s">
        <v>7757</v>
      </c>
      <c r="C7955" s="13">
        <v>36433</v>
      </c>
      <c r="D7955" s="13" t="s">
        <v>8465</v>
      </c>
      <c r="E7955" s="10" t="s">
        <v>7826</v>
      </c>
      <c r="F7955" s="10" t="s">
        <v>7826</v>
      </c>
      <c r="G7955" s="11" t="s">
        <v>6050</v>
      </c>
      <c r="H7955" s="2" t="s">
        <v>150</v>
      </c>
      <c r="L7955" s="18">
        <v>0</v>
      </c>
      <c r="Q7955" s="18">
        <v>0</v>
      </c>
      <c r="U7955" s="22">
        <v>0.87170000000000003</v>
      </c>
      <c r="V7955" s="22">
        <f>4.04/5</f>
        <v>0.80800000000000005</v>
      </c>
      <c r="X7955" s="3">
        <v>3</v>
      </c>
      <c r="Z7955" s="23">
        <v>12</v>
      </c>
      <c r="AB7955" s="18">
        <f t="shared" si="248"/>
        <v>1999</v>
      </c>
      <c r="AC7955" s="22">
        <f t="shared" si="249"/>
        <v>0.75990000000000002</v>
      </c>
    </row>
    <row r="7956" spans="1:29" ht="25.5">
      <c r="A7956" s="8" t="s">
        <v>867</v>
      </c>
      <c r="B7956" s="20" t="s">
        <v>7739</v>
      </c>
      <c r="C7956" s="13">
        <v>36433</v>
      </c>
      <c r="D7956" s="13" t="s">
        <v>8465</v>
      </c>
      <c r="E7956" s="10" t="s">
        <v>68</v>
      </c>
      <c r="F7956" s="10" t="s">
        <v>1471</v>
      </c>
      <c r="G7956" s="11" t="s">
        <v>1485</v>
      </c>
      <c r="H7956" s="2" t="s">
        <v>1168</v>
      </c>
      <c r="L7956" s="18">
        <v>0</v>
      </c>
      <c r="Q7956" s="18">
        <v>0</v>
      </c>
      <c r="U7956" s="22">
        <v>0.75</v>
      </c>
      <c r="V7956" s="22">
        <f>3.7/5</f>
        <v>0.74</v>
      </c>
      <c r="X7956" s="3">
        <v>3</v>
      </c>
      <c r="Z7956" s="23">
        <v>16</v>
      </c>
      <c r="AB7956" s="18">
        <f t="shared" si="248"/>
        <v>1999</v>
      </c>
      <c r="AC7956" s="22">
        <f t="shared" si="249"/>
        <v>0.69666666666666666</v>
      </c>
    </row>
    <row r="7957" spans="1:29">
      <c r="A7957" s="8" t="s">
        <v>2917</v>
      </c>
      <c r="B7957" s="17" t="s">
        <v>7757</v>
      </c>
      <c r="C7957" s="13">
        <v>36433</v>
      </c>
      <c r="D7957" s="13" t="s">
        <v>8465</v>
      </c>
      <c r="E7957" s="10" t="s">
        <v>1240</v>
      </c>
      <c r="F7957" s="10" t="s">
        <v>1240</v>
      </c>
      <c r="H7957" s="2" t="s">
        <v>1194</v>
      </c>
      <c r="L7957" s="18">
        <v>0</v>
      </c>
      <c r="Q7957" s="18">
        <v>0</v>
      </c>
      <c r="U7957" s="22">
        <v>0.56000000000000005</v>
      </c>
      <c r="V7957" s="22">
        <f>3.48/5</f>
        <v>0.69599999999999995</v>
      </c>
      <c r="X7957" s="3">
        <v>3</v>
      </c>
      <c r="Z7957" s="23">
        <v>2.5</v>
      </c>
      <c r="AB7957" s="18">
        <f t="shared" si="248"/>
        <v>1999</v>
      </c>
      <c r="AC7957" s="22">
        <f t="shared" si="249"/>
        <v>0.61866666666666659</v>
      </c>
    </row>
    <row r="7958" spans="1:29" ht="25.5">
      <c r="A7958" s="8" t="s">
        <v>10462</v>
      </c>
      <c r="B7958" s="17" t="s">
        <v>7757</v>
      </c>
      <c r="C7958" s="13">
        <v>36433</v>
      </c>
      <c r="D7958" s="13" t="s">
        <v>8465</v>
      </c>
      <c r="E7958" s="10" t="s">
        <v>3017</v>
      </c>
      <c r="F7958" s="10" t="s">
        <v>10463</v>
      </c>
      <c r="H7958" s="2" t="s">
        <v>80</v>
      </c>
      <c r="L7958" s="18">
        <v>0</v>
      </c>
      <c r="Q7958" s="18">
        <v>0</v>
      </c>
      <c r="V7958" s="22">
        <f>3.41/5</f>
        <v>0.68200000000000005</v>
      </c>
      <c r="X7958" s="3">
        <v>2</v>
      </c>
      <c r="Z7958" s="23">
        <v>3</v>
      </c>
      <c r="AB7958" s="18">
        <f t="shared" si="248"/>
        <v>1999</v>
      </c>
      <c r="AC7958" s="22">
        <f t="shared" si="249"/>
        <v>0.54100000000000004</v>
      </c>
    </row>
    <row r="7959" spans="1:29">
      <c r="A7959" s="8" t="s">
        <v>5898</v>
      </c>
      <c r="B7959" s="17" t="s">
        <v>7755</v>
      </c>
      <c r="C7959" s="13">
        <v>36433</v>
      </c>
      <c r="D7959" s="13" t="s">
        <v>8465</v>
      </c>
      <c r="E7959" s="10" t="s">
        <v>455</v>
      </c>
      <c r="F7959" s="10" t="s">
        <v>1387</v>
      </c>
      <c r="G7959" s="11" t="s">
        <v>5897</v>
      </c>
      <c r="H7959" s="2" t="s">
        <v>1518</v>
      </c>
      <c r="L7959" s="18">
        <v>0</v>
      </c>
      <c r="Q7959" s="18">
        <v>0</v>
      </c>
      <c r="U7959" s="22">
        <v>0.52</v>
      </c>
      <c r="V7959" s="22">
        <f>3.34/5</f>
        <v>0.66799999999999993</v>
      </c>
      <c r="X7959" s="3">
        <v>2</v>
      </c>
      <c r="Z7959" s="23">
        <v>16</v>
      </c>
      <c r="AB7959" s="18">
        <f t="shared" si="248"/>
        <v>1999</v>
      </c>
      <c r="AC7959" s="22">
        <f t="shared" si="249"/>
        <v>0.52933333333333332</v>
      </c>
    </row>
    <row r="7960" spans="1:29">
      <c r="A7960" s="8" t="s">
        <v>4133</v>
      </c>
      <c r="B7960" s="17" t="s">
        <v>7800</v>
      </c>
      <c r="C7960" s="13">
        <v>36431</v>
      </c>
      <c r="D7960" s="13" t="s">
        <v>8465</v>
      </c>
      <c r="E7960" s="10" t="s">
        <v>1496</v>
      </c>
      <c r="F7960" s="10" t="s">
        <v>3480</v>
      </c>
      <c r="G7960" s="11" t="s">
        <v>4133</v>
      </c>
      <c r="H7960" s="2" t="s">
        <v>1143</v>
      </c>
      <c r="L7960" s="18">
        <v>0</v>
      </c>
      <c r="Q7960" s="18">
        <v>0</v>
      </c>
      <c r="U7960" s="22">
        <v>0.89</v>
      </c>
      <c r="V7960" s="22">
        <f>4.26/5</f>
        <v>0.85199999999999998</v>
      </c>
      <c r="X7960" s="3">
        <v>4</v>
      </c>
      <c r="Z7960" s="23">
        <v>16.5</v>
      </c>
      <c r="AB7960" s="18">
        <f t="shared" si="248"/>
        <v>1999</v>
      </c>
      <c r="AC7960" s="22">
        <f t="shared" si="249"/>
        <v>0.84733333333333327</v>
      </c>
    </row>
    <row r="7961" spans="1:29" ht="25.5">
      <c r="A7961" s="8" t="s">
        <v>8067</v>
      </c>
      <c r="B7961" s="17" t="s">
        <v>7757</v>
      </c>
      <c r="C7961" s="13">
        <v>36427</v>
      </c>
      <c r="D7961" s="13" t="s">
        <v>8465</v>
      </c>
      <c r="E7961" s="10" t="s">
        <v>1284</v>
      </c>
      <c r="F7961" s="10" t="s">
        <v>8069</v>
      </c>
      <c r="G7961" s="11" t="s">
        <v>1481</v>
      </c>
      <c r="H7961" s="2" t="s">
        <v>80</v>
      </c>
      <c r="L7961" s="18">
        <v>0</v>
      </c>
      <c r="Q7961" s="18">
        <v>0</v>
      </c>
      <c r="U7961" s="22">
        <v>0.54390000000000005</v>
      </c>
      <c r="V7961" s="22">
        <f>2.92/5</f>
        <v>0.58399999999999996</v>
      </c>
      <c r="X7961" s="3">
        <v>2</v>
      </c>
      <c r="Z7961" s="23">
        <v>7</v>
      </c>
      <c r="AB7961" s="18">
        <f t="shared" si="248"/>
        <v>1999</v>
      </c>
      <c r="AC7961" s="22">
        <f t="shared" si="249"/>
        <v>0.50929999999999997</v>
      </c>
    </row>
    <row r="7962" spans="1:29" ht="25.5">
      <c r="A7962" s="8" t="s">
        <v>1227</v>
      </c>
      <c r="B7962" s="17" t="s">
        <v>7731</v>
      </c>
      <c r="C7962" s="13">
        <v>36426</v>
      </c>
      <c r="D7962" s="13" t="s">
        <v>8465</v>
      </c>
      <c r="E7962" s="10" t="s">
        <v>170</v>
      </c>
      <c r="F7962" s="10" t="s">
        <v>170</v>
      </c>
      <c r="G7962" s="11" t="s">
        <v>567</v>
      </c>
      <c r="H7962" s="2" t="s">
        <v>459</v>
      </c>
      <c r="L7962" s="18">
        <v>0</v>
      </c>
      <c r="Q7962" s="18">
        <v>0</v>
      </c>
      <c r="V7962" s="22">
        <f>3.92/5</f>
        <v>0.78400000000000003</v>
      </c>
      <c r="X7962" s="3">
        <v>3</v>
      </c>
      <c r="Z7962" s="23">
        <v>1</v>
      </c>
      <c r="AB7962" s="18">
        <f t="shared" si="248"/>
        <v>1999</v>
      </c>
      <c r="AC7962" s="22">
        <f t="shared" si="249"/>
        <v>0.69199999999999995</v>
      </c>
    </row>
    <row r="7963" spans="1:29" ht="25.5">
      <c r="A7963" s="8" t="s">
        <v>857</v>
      </c>
      <c r="B7963" s="20" t="s">
        <v>7739</v>
      </c>
      <c r="C7963" s="13">
        <v>36418</v>
      </c>
      <c r="D7963" s="13" t="s">
        <v>8465</v>
      </c>
      <c r="E7963" s="10" t="s">
        <v>72</v>
      </c>
      <c r="F7963" s="10" t="s">
        <v>72</v>
      </c>
      <c r="G7963" s="11" t="s">
        <v>1242</v>
      </c>
      <c r="H7963" s="2" t="s">
        <v>1040</v>
      </c>
      <c r="L7963" s="18">
        <v>0</v>
      </c>
      <c r="Q7963" s="18">
        <v>0</v>
      </c>
      <c r="U7963" s="22">
        <v>0.81</v>
      </c>
      <c r="V7963" s="22">
        <f>4/5</f>
        <v>0.8</v>
      </c>
      <c r="X7963" s="3">
        <v>3</v>
      </c>
      <c r="Z7963" s="23">
        <v>10</v>
      </c>
      <c r="AB7963" s="18">
        <f t="shared" si="248"/>
        <v>1999</v>
      </c>
      <c r="AC7963" s="22">
        <f t="shared" si="249"/>
        <v>0.73666666666666669</v>
      </c>
    </row>
    <row r="7964" spans="1:29" ht="30">
      <c r="A7964" s="8" t="s">
        <v>11605</v>
      </c>
      <c r="B7964" s="17" t="s">
        <v>7757</v>
      </c>
      <c r="C7964" s="13">
        <v>36417</v>
      </c>
      <c r="D7964" s="13" t="s">
        <v>8465</v>
      </c>
      <c r="E7964" s="10" t="s">
        <v>2908</v>
      </c>
      <c r="F7964" s="10" t="s">
        <v>8019</v>
      </c>
      <c r="H7964" s="2" t="s">
        <v>1170</v>
      </c>
      <c r="L7964" s="18">
        <v>0</v>
      </c>
      <c r="Q7964" s="18">
        <v>0</v>
      </c>
      <c r="V7964" s="22">
        <f>3.85/5</f>
        <v>0.77</v>
      </c>
      <c r="X7964" s="3">
        <v>2</v>
      </c>
      <c r="Z7964" s="23">
        <v>1.5</v>
      </c>
      <c r="AB7964" s="18">
        <f t="shared" si="248"/>
        <v>1999</v>
      </c>
      <c r="AC7964" s="22">
        <f t="shared" si="249"/>
        <v>0.58499999999999996</v>
      </c>
    </row>
    <row r="7965" spans="1:29">
      <c r="A7965" s="8" t="s">
        <v>10965</v>
      </c>
      <c r="B7965" s="17" t="s">
        <v>7757</v>
      </c>
      <c r="C7965" s="13">
        <v>36415</v>
      </c>
      <c r="D7965" s="13" t="s">
        <v>8465</v>
      </c>
      <c r="E7965" s="10" t="s">
        <v>3045</v>
      </c>
      <c r="F7965" s="10" t="s">
        <v>161</v>
      </c>
      <c r="G7965" s="11" t="s">
        <v>126</v>
      </c>
      <c r="H7965" s="2" t="s">
        <v>150</v>
      </c>
      <c r="L7965" s="18">
        <v>0</v>
      </c>
      <c r="Q7965" s="18">
        <v>0</v>
      </c>
      <c r="V7965" s="22">
        <f>3.73/5</f>
        <v>0.746</v>
      </c>
      <c r="X7965" s="3">
        <v>3</v>
      </c>
      <c r="Z7965" s="23">
        <v>1.5</v>
      </c>
      <c r="AB7965" s="18">
        <f t="shared" si="248"/>
        <v>1999</v>
      </c>
      <c r="AC7965" s="22">
        <f t="shared" si="249"/>
        <v>0.67300000000000004</v>
      </c>
    </row>
    <row r="7966" spans="1:29">
      <c r="A7966" s="8" t="s">
        <v>3723</v>
      </c>
      <c r="B7966" s="17" t="s">
        <v>7746</v>
      </c>
      <c r="C7966" s="13">
        <v>36413</v>
      </c>
      <c r="D7966" s="13" t="s">
        <v>8465</v>
      </c>
      <c r="E7966" s="10" t="s">
        <v>6906</v>
      </c>
      <c r="F7966" s="10" t="s">
        <v>1956</v>
      </c>
      <c r="G7966" s="11" t="s">
        <v>3723</v>
      </c>
      <c r="H7966" s="2" t="s">
        <v>56</v>
      </c>
      <c r="L7966" s="18">
        <v>0</v>
      </c>
      <c r="Q7966" s="18">
        <v>0</v>
      </c>
      <c r="U7966" s="22">
        <v>0.73</v>
      </c>
      <c r="V7966" s="22">
        <f>3.56/5</f>
        <v>0.71199999999999997</v>
      </c>
      <c r="X7966" s="3">
        <v>2</v>
      </c>
      <c r="Z7966" s="23">
        <v>4.5</v>
      </c>
      <c r="AB7966" s="18">
        <f t="shared" si="248"/>
        <v>1999</v>
      </c>
      <c r="AC7966" s="22">
        <f t="shared" si="249"/>
        <v>0.61399999999999999</v>
      </c>
    </row>
    <row r="7967" spans="1:29">
      <c r="A7967" s="8" t="s">
        <v>6161</v>
      </c>
      <c r="B7967" s="17" t="s">
        <v>7755</v>
      </c>
      <c r="C7967" s="13">
        <v>36412</v>
      </c>
      <c r="D7967" s="13" t="s">
        <v>8465</v>
      </c>
      <c r="E7967" s="10" t="s">
        <v>158</v>
      </c>
      <c r="F7967" s="10" t="s">
        <v>158</v>
      </c>
      <c r="G7967" s="11" t="s">
        <v>6161</v>
      </c>
      <c r="H7967" s="2" t="s">
        <v>459</v>
      </c>
      <c r="L7967" s="18">
        <v>0</v>
      </c>
      <c r="Q7967" s="18">
        <v>0</v>
      </c>
      <c r="U7967" s="22">
        <v>0.97</v>
      </c>
      <c r="V7967" s="22">
        <f>4.43/5</f>
        <v>0.8859999999999999</v>
      </c>
      <c r="X7967" s="3">
        <v>3</v>
      </c>
      <c r="Z7967" s="23">
        <v>0.62</v>
      </c>
      <c r="AB7967" s="18">
        <f t="shared" si="248"/>
        <v>1999</v>
      </c>
      <c r="AC7967" s="22">
        <f t="shared" si="249"/>
        <v>0.81866666666666665</v>
      </c>
    </row>
    <row r="7968" spans="1:29">
      <c r="A7968" s="8" t="s">
        <v>2754</v>
      </c>
      <c r="B7968" s="17" t="s">
        <v>7755</v>
      </c>
      <c r="C7968" s="13">
        <v>36412</v>
      </c>
      <c r="D7968" s="13" t="s">
        <v>8465</v>
      </c>
      <c r="E7968" s="10" t="s">
        <v>73</v>
      </c>
      <c r="F7968" s="10" t="s">
        <v>73</v>
      </c>
      <c r="G7968" s="11" t="s">
        <v>2754</v>
      </c>
      <c r="H7968" s="2" t="s">
        <v>459</v>
      </c>
      <c r="L7968" s="18">
        <v>0</v>
      </c>
      <c r="Q7968" s="18">
        <v>0</v>
      </c>
      <c r="U7968" s="22">
        <v>0.83</v>
      </c>
      <c r="V7968" s="22">
        <f>4.05/5</f>
        <v>0.80999999999999994</v>
      </c>
      <c r="X7968" s="3">
        <v>3</v>
      </c>
      <c r="Z7968" s="23">
        <v>1.5</v>
      </c>
      <c r="AB7968" s="18">
        <f t="shared" si="248"/>
        <v>1999</v>
      </c>
      <c r="AC7968" s="22">
        <f t="shared" si="249"/>
        <v>0.74666666666666659</v>
      </c>
    </row>
    <row r="7969" spans="1:29" ht="25.5">
      <c r="A7969" s="8" t="s">
        <v>2751</v>
      </c>
      <c r="B7969" s="17" t="s">
        <v>7755</v>
      </c>
      <c r="C7969" s="13">
        <v>36412</v>
      </c>
      <c r="D7969" s="13" t="s">
        <v>8465</v>
      </c>
      <c r="E7969" s="10" t="s">
        <v>455</v>
      </c>
      <c r="F7969" s="10" t="s">
        <v>2741</v>
      </c>
      <c r="G7969" s="11" t="s">
        <v>1524</v>
      </c>
      <c r="H7969" s="2" t="s">
        <v>1170</v>
      </c>
      <c r="L7969" s="18">
        <v>0</v>
      </c>
      <c r="Q7969" s="18">
        <v>0</v>
      </c>
      <c r="U7969" s="22">
        <v>0.77</v>
      </c>
      <c r="V7969" s="22">
        <f>3.82/5</f>
        <v>0.76400000000000001</v>
      </c>
      <c r="X7969" s="3">
        <v>3</v>
      </c>
      <c r="Z7969" s="23">
        <v>1</v>
      </c>
      <c r="AB7969" s="18">
        <f t="shared" si="248"/>
        <v>1999</v>
      </c>
      <c r="AC7969" s="22">
        <f t="shared" si="249"/>
        <v>0.71133333333333326</v>
      </c>
    </row>
    <row r="7970" spans="1:29">
      <c r="A7970" s="8" t="s">
        <v>10989</v>
      </c>
      <c r="B7970" s="17" t="s">
        <v>7755</v>
      </c>
      <c r="C7970" s="13">
        <v>36412</v>
      </c>
      <c r="D7970" s="13" t="s">
        <v>8465</v>
      </c>
      <c r="E7970" s="10" t="s">
        <v>1273</v>
      </c>
      <c r="F7970" s="10" t="s">
        <v>1387</v>
      </c>
      <c r="H7970" s="2" t="s">
        <v>1061</v>
      </c>
      <c r="L7970" s="18">
        <v>0</v>
      </c>
      <c r="Q7970" s="18">
        <v>0</v>
      </c>
      <c r="V7970" s="22">
        <f>3.93/5</f>
        <v>0.78600000000000003</v>
      </c>
      <c r="X7970" s="3">
        <v>2</v>
      </c>
      <c r="Z7970" s="23">
        <v>9</v>
      </c>
      <c r="AB7970" s="18">
        <f t="shared" si="248"/>
        <v>1999</v>
      </c>
      <c r="AC7970" s="22">
        <f t="shared" si="249"/>
        <v>0.59299999999999997</v>
      </c>
    </row>
    <row r="7971" spans="1:29">
      <c r="A7971" s="8" t="s">
        <v>14731</v>
      </c>
      <c r="B7971" s="17" t="s">
        <v>7755</v>
      </c>
      <c r="C7971" s="13">
        <v>36412</v>
      </c>
      <c r="D7971" s="13" t="s">
        <v>8465</v>
      </c>
      <c r="E7971" s="10" t="s">
        <v>72</v>
      </c>
      <c r="F7971" s="10" t="s">
        <v>72</v>
      </c>
      <c r="G7971" s="11" t="s">
        <v>14731</v>
      </c>
      <c r="H7971" s="2" t="s">
        <v>7594</v>
      </c>
      <c r="L7971" s="18">
        <v>0</v>
      </c>
      <c r="Q7971" s="18">
        <v>0</v>
      </c>
      <c r="V7971" s="22">
        <f>3.57/5</f>
        <v>0.71399999999999997</v>
      </c>
      <c r="X7971" s="3">
        <v>2</v>
      </c>
      <c r="Z7971" s="23">
        <v>7</v>
      </c>
      <c r="AB7971" s="18">
        <f t="shared" si="248"/>
        <v>1999</v>
      </c>
      <c r="AC7971" s="22">
        <f t="shared" si="249"/>
        <v>0.55699999999999994</v>
      </c>
    </row>
    <row r="7972" spans="1:29">
      <c r="A7972" s="8" t="s">
        <v>6715</v>
      </c>
      <c r="B7972" s="17" t="s">
        <v>7755</v>
      </c>
      <c r="C7972" s="13">
        <v>36412</v>
      </c>
      <c r="D7972" s="13" t="s">
        <v>8465</v>
      </c>
      <c r="E7972" s="10" t="s">
        <v>1466</v>
      </c>
      <c r="F7972" s="10" t="s">
        <v>241</v>
      </c>
      <c r="G7972" s="11" t="s">
        <v>17</v>
      </c>
      <c r="H7972" s="2" t="s">
        <v>459</v>
      </c>
      <c r="L7972" s="18">
        <v>0</v>
      </c>
      <c r="Q7972" s="18">
        <v>0</v>
      </c>
      <c r="U7972" s="22">
        <v>0.55000000000000004</v>
      </c>
      <c r="V7972" s="22">
        <f>3.62/5</f>
        <v>0.72399999999999998</v>
      </c>
      <c r="X7972" s="3">
        <v>2</v>
      </c>
      <c r="Z7972" s="23">
        <f>25/60</f>
        <v>0.41666666666666669</v>
      </c>
      <c r="AB7972" s="18">
        <f t="shared" si="248"/>
        <v>1999</v>
      </c>
      <c r="AC7972" s="22">
        <f t="shared" si="249"/>
        <v>0.55799999999999994</v>
      </c>
    </row>
    <row r="7973" spans="1:29" ht="25.5">
      <c r="A7973" s="8" t="s">
        <v>868</v>
      </c>
      <c r="B7973" s="20" t="s">
        <v>7739</v>
      </c>
      <c r="C7973" s="13">
        <v>36406</v>
      </c>
      <c r="D7973" s="13" t="s">
        <v>8463</v>
      </c>
      <c r="E7973" s="10" t="s">
        <v>1473</v>
      </c>
      <c r="F7973" s="10" t="s">
        <v>1474</v>
      </c>
      <c r="G7973" s="11" t="s">
        <v>1475</v>
      </c>
      <c r="H7973" s="2" t="s">
        <v>21</v>
      </c>
      <c r="K7973" s="18">
        <v>0</v>
      </c>
      <c r="L7973" s="18">
        <v>0</v>
      </c>
      <c r="Q7973" s="18">
        <v>0</v>
      </c>
      <c r="U7973" s="22">
        <v>0.78</v>
      </c>
      <c r="V7973" s="22">
        <f>4/5</f>
        <v>0.8</v>
      </c>
      <c r="X7973" s="3">
        <v>3</v>
      </c>
      <c r="Z7973" s="23">
        <v>5</v>
      </c>
      <c r="AB7973" s="18">
        <f t="shared" si="248"/>
        <v>1999</v>
      </c>
      <c r="AC7973" s="22">
        <f t="shared" si="249"/>
        <v>0.72666666666666668</v>
      </c>
    </row>
    <row r="7974" spans="1:29" ht="25.5">
      <c r="A7974" s="8" t="s">
        <v>6570</v>
      </c>
      <c r="B7974" s="20" t="s">
        <v>7739</v>
      </c>
      <c r="C7974" s="13">
        <v>36404</v>
      </c>
      <c r="D7974" s="13" t="s">
        <v>8465</v>
      </c>
      <c r="E7974" s="10" t="s">
        <v>4576</v>
      </c>
      <c r="F7974" s="10" t="s">
        <v>241</v>
      </c>
      <c r="G7974" s="11" t="s">
        <v>3723</v>
      </c>
      <c r="H7974" s="2" t="s">
        <v>1168</v>
      </c>
      <c r="L7974" s="18">
        <v>0</v>
      </c>
      <c r="Q7974" s="18">
        <v>0</v>
      </c>
      <c r="U7974" s="22">
        <v>0.67</v>
      </c>
      <c r="V7974" s="22">
        <f>3.64/5</f>
        <v>0.72799999999999998</v>
      </c>
      <c r="X7974" s="3">
        <v>3</v>
      </c>
      <c r="Z7974" s="23">
        <v>3</v>
      </c>
      <c r="AB7974" s="18">
        <f t="shared" si="248"/>
        <v>1999</v>
      </c>
      <c r="AC7974" s="22">
        <f t="shared" si="249"/>
        <v>0.66600000000000004</v>
      </c>
    </row>
    <row r="7975" spans="1:29">
      <c r="A7975" s="8" t="s">
        <v>2994</v>
      </c>
      <c r="B7975" s="17" t="s">
        <v>7757</v>
      </c>
      <c r="C7975" s="13">
        <v>36403</v>
      </c>
      <c r="D7975" s="13" t="s">
        <v>8465</v>
      </c>
      <c r="E7975" s="10" t="s">
        <v>72</v>
      </c>
      <c r="F7975" s="10" t="s">
        <v>72</v>
      </c>
      <c r="G7975" s="11" t="s">
        <v>2318</v>
      </c>
      <c r="H7975" s="2" t="s">
        <v>149</v>
      </c>
      <c r="L7975" s="18">
        <v>0</v>
      </c>
      <c r="Q7975" s="18">
        <v>0</v>
      </c>
      <c r="U7975" s="22">
        <v>0.81</v>
      </c>
      <c r="V7975" s="22">
        <f>4.54/5</f>
        <v>0.90800000000000003</v>
      </c>
      <c r="X7975" s="3">
        <v>4</v>
      </c>
      <c r="Y7975" s="18">
        <v>1</v>
      </c>
      <c r="Z7975" s="23">
        <v>33.5</v>
      </c>
      <c r="AB7975" s="18">
        <f t="shared" si="248"/>
        <v>1999</v>
      </c>
      <c r="AC7975" s="22">
        <f t="shared" si="249"/>
        <v>0.83933333333333326</v>
      </c>
    </row>
    <row r="7976" spans="1:29" ht="25.5">
      <c r="A7976" s="8" t="s">
        <v>6603</v>
      </c>
      <c r="B7976" s="17" t="s">
        <v>7757</v>
      </c>
      <c r="C7976" s="13">
        <v>36403</v>
      </c>
      <c r="D7976" s="13" t="s">
        <v>8465</v>
      </c>
      <c r="E7976" s="10" t="s">
        <v>1273</v>
      </c>
      <c r="F7976" s="10" t="s">
        <v>6604</v>
      </c>
      <c r="G7976" s="11" t="s">
        <v>6603</v>
      </c>
      <c r="H7976" s="2" t="s">
        <v>255</v>
      </c>
      <c r="L7976" s="18">
        <v>0</v>
      </c>
      <c r="Q7976" s="18">
        <v>0</v>
      </c>
      <c r="U7976" s="22">
        <v>0.94</v>
      </c>
      <c r="V7976" s="22">
        <f>3.89/5</f>
        <v>0.77800000000000002</v>
      </c>
      <c r="X7976" s="3">
        <v>3</v>
      </c>
      <c r="Z7976" s="23">
        <v>5</v>
      </c>
      <c r="AB7976" s="18">
        <f t="shared" si="248"/>
        <v>1999</v>
      </c>
      <c r="AC7976" s="22">
        <f t="shared" si="249"/>
        <v>0.77266666666666672</v>
      </c>
    </row>
    <row r="7977" spans="1:29">
      <c r="A7977" s="8" t="s">
        <v>11856</v>
      </c>
      <c r="B7977" s="17" t="s">
        <v>7757</v>
      </c>
      <c r="C7977" s="13">
        <v>36403</v>
      </c>
      <c r="D7977" s="13" t="s">
        <v>8465</v>
      </c>
      <c r="E7977" s="10" t="s">
        <v>76</v>
      </c>
      <c r="F7977" s="10" t="s">
        <v>76</v>
      </c>
      <c r="G7977" s="11" t="s">
        <v>7681</v>
      </c>
      <c r="H7977" s="2" t="s">
        <v>1334</v>
      </c>
      <c r="L7977" s="18">
        <v>0</v>
      </c>
      <c r="Q7977" s="18">
        <v>0</v>
      </c>
      <c r="U7977" s="22">
        <v>0.83</v>
      </c>
      <c r="V7977" s="22">
        <f>4.05/5</f>
        <v>0.80999999999999994</v>
      </c>
      <c r="X7977" s="3">
        <v>3</v>
      </c>
      <c r="Z7977" s="23">
        <v>16.5</v>
      </c>
      <c r="AB7977" s="18">
        <f t="shared" si="248"/>
        <v>1999</v>
      </c>
      <c r="AC7977" s="22">
        <f t="shared" si="249"/>
        <v>0.74666666666666659</v>
      </c>
    </row>
    <row r="7978" spans="1:29">
      <c r="A7978" s="8" t="s">
        <v>2927</v>
      </c>
      <c r="B7978" s="17" t="s">
        <v>7757</v>
      </c>
      <c r="C7978" s="13">
        <v>36403</v>
      </c>
      <c r="D7978" s="13" t="s">
        <v>8465</v>
      </c>
      <c r="E7978" s="10" t="s">
        <v>73</v>
      </c>
      <c r="F7978" s="10" t="s">
        <v>73</v>
      </c>
      <c r="G7978" s="11" t="s">
        <v>2927</v>
      </c>
      <c r="H7978" s="2" t="s">
        <v>1061</v>
      </c>
      <c r="L7978" s="18">
        <v>0</v>
      </c>
      <c r="Q7978" s="18">
        <v>0</v>
      </c>
      <c r="U7978" s="22">
        <v>0.84</v>
      </c>
      <c r="V7978" s="22">
        <f>3.92/5</f>
        <v>0.78400000000000003</v>
      </c>
      <c r="X7978" s="3">
        <v>3</v>
      </c>
      <c r="Z7978" s="23">
        <v>6.5</v>
      </c>
      <c r="AB7978" s="18">
        <f t="shared" si="248"/>
        <v>1999</v>
      </c>
      <c r="AC7978" s="22">
        <f t="shared" si="249"/>
        <v>0.7413333333333334</v>
      </c>
    </row>
    <row r="7979" spans="1:29">
      <c r="A7979" s="8" t="s">
        <v>859</v>
      </c>
      <c r="B7979" s="20" t="s">
        <v>7739</v>
      </c>
      <c r="C7979" s="13">
        <v>36403</v>
      </c>
      <c r="D7979" s="13" t="s">
        <v>8465</v>
      </c>
      <c r="E7979" s="10" t="s">
        <v>72</v>
      </c>
      <c r="F7979" s="10" t="s">
        <v>72</v>
      </c>
      <c r="H7979" s="2" t="s">
        <v>171</v>
      </c>
      <c r="L7979" s="18">
        <v>0</v>
      </c>
      <c r="Q7979" s="18">
        <v>0</v>
      </c>
      <c r="U7979" s="22">
        <v>0.66</v>
      </c>
      <c r="V7979" s="22">
        <f>3.68/5</f>
        <v>0.73599999999999999</v>
      </c>
      <c r="X7979" s="3">
        <v>3</v>
      </c>
      <c r="Z7979" s="23">
        <v>13</v>
      </c>
      <c r="AB7979" s="18">
        <f t="shared" si="248"/>
        <v>1999</v>
      </c>
      <c r="AC7979" s="22">
        <f t="shared" si="249"/>
        <v>0.66533333333333333</v>
      </c>
    </row>
    <row r="7980" spans="1:29">
      <c r="A7980" s="8" t="s">
        <v>6576</v>
      </c>
      <c r="B7980" s="20" t="s">
        <v>7739</v>
      </c>
      <c r="C7980" s="13">
        <v>36403</v>
      </c>
      <c r="D7980" s="13" t="s">
        <v>8465</v>
      </c>
      <c r="E7980" s="10" t="s">
        <v>1466</v>
      </c>
      <c r="F7980" s="10" t="s">
        <v>6577</v>
      </c>
      <c r="G7980" s="11" t="s">
        <v>3967</v>
      </c>
      <c r="H7980" s="2" t="s">
        <v>1059</v>
      </c>
      <c r="L7980" s="18">
        <v>0</v>
      </c>
      <c r="Q7980" s="18">
        <v>0</v>
      </c>
      <c r="U7980" s="22">
        <v>0.71</v>
      </c>
      <c r="V7980" s="22">
        <f>3.75/5</f>
        <v>0.75</v>
      </c>
      <c r="X7980" s="3">
        <v>2</v>
      </c>
      <c r="Z7980" s="23">
        <v>38.5</v>
      </c>
      <c r="AB7980" s="18">
        <f t="shared" si="248"/>
        <v>1999</v>
      </c>
      <c r="AC7980" s="22">
        <f t="shared" si="249"/>
        <v>0.62</v>
      </c>
    </row>
    <row r="7981" spans="1:29">
      <c r="A7981" s="8" t="s">
        <v>15340</v>
      </c>
      <c r="B7981" s="17" t="s">
        <v>7757</v>
      </c>
      <c r="C7981" s="13">
        <v>36403</v>
      </c>
      <c r="D7981" s="13" t="s">
        <v>8465</v>
      </c>
      <c r="E7981" s="10" t="s">
        <v>72</v>
      </c>
      <c r="F7981" s="10" t="s">
        <v>72</v>
      </c>
      <c r="H7981" s="2" t="s">
        <v>80</v>
      </c>
      <c r="L7981" s="18">
        <v>0</v>
      </c>
      <c r="Q7981" s="18">
        <v>0</v>
      </c>
      <c r="V7981" s="22">
        <f>3.4/5</f>
        <v>0.67999999999999994</v>
      </c>
      <c r="X7981" s="3">
        <v>2</v>
      </c>
      <c r="Z7981" s="23">
        <v>2.5</v>
      </c>
      <c r="AB7981" s="18">
        <f t="shared" si="248"/>
        <v>1999</v>
      </c>
      <c r="AC7981" s="22">
        <f t="shared" si="249"/>
        <v>0.54</v>
      </c>
    </row>
    <row r="7982" spans="1:29">
      <c r="A7982" s="8" t="s">
        <v>15791</v>
      </c>
      <c r="B7982" s="17" t="s">
        <v>7739</v>
      </c>
      <c r="C7982" s="13">
        <v>36403</v>
      </c>
      <c r="D7982" s="13" t="s">
        <v>8465</v>
      </c>
      <c r="E7982" s="10" t="s">
        <v>1047</v>
      </c>
      <c r="F7982" s="10" t="s">
        <v>1048</v>
      </c>
      <c r="H7982" s="2" t="s">
        <v>1040</v>
      </c>
      <c r="L7982" s="18">
        <v>0</v>
      </c>
      <c r="Q7982" s="18">
        <v>0</v>
      </c>
      <c r="V7982" s="22">
        <f>3.21/5</f>
        <v>0.64200000000000002</v>
      </c>
      <c r="X7982" s="3">
        <v>2</v>
      </c>
      <c r="Z7982" s="23">
        <v>6.5</v>
      </c>
      <c r="AB7982" s="18">
        <f t="shared" si="248"/>
        <v>1999</v>
      </c>
      <c r="AC7982" s="22">
        <f t="shared" si="249"/>
        <v>0.52100000000000002</v>
      </c>
    </row>
    <row r="7983" spans="1:29">
      <c r="A7983" s="8" t="s">
        <v>2928</v>
      </c>
      <c r="B7983" s="17" t="s">
        <v>7757</v>
      </c>
      <c r="C7983" s="13">
        <v>36402</v>
      </c>
      <c r="D7983" s="13" t="s">
        <v>8465</v>
      </c>
      <c r="E7983" s="10" t="s">
        <v>3017</v>
      </c>
      <c r="F7983" s="10" t="s">
        <v>1580</v>
      </c>
      <c r="G7983" s="11" t="s">
        <v>2928</v>
      </c>
      <c r="H7983" s="2" t="s">
        <v>1061</v>
      </c>
      <c r="L7983" s="18">
        <v>0</v>
      </c>
      <c r="Q7983" s="18">
        <v>0</v>
      </c>
      <c r="U7983" s="22">
        <v>0.64</v>
      </c>
      <c r="V7983" s="22">
        <f>3.48/5</f>
        <v>0.69599999999999995</v>
      </c>
      <c r="X7983" s="3">
        <v>3</v>
      </c>
      <c r="Y7983" s="18">
        <v>1</v>
      </c>
      <c r="Z7983" s="23">
        <v>5</v>
      </c>
      <c r="AB7983" s="18">
        <f t="shared" si="248"/>
        <v>1999</v>
      </c>
      <c r="AC7983" s="22">
        <f t="shared" si="249"/>
        <v>0.64533333333333331</v>
      </c>
    </row>
    <row r="7984" spans="1:29" ht="25.5">
      <c r="A7984" s="8" t="s">
        <v>6548</v>
      </c>
      <c r="B7984" s="17" t="s">
        <v>7800</v>
      </c>
      <c r="C7984" s="13">
        <v>36399</v>
      </c>
      <c r="D7984" s="13" t="s">
        <v>8465</v>
      </c>
      <c r="E7984" s="10" t="s">
        <v>231</v>
      </c>
      <c r="F7984" s="10" t="s">
        <v>2654</v>
      </c>
      <c r="G7984" s="11" t="s">
        <v>3043</v>
      </c>
      <c r="H7984" s="2" t="s">
        <v>1143</v>
      </c>
      <c r="L7984" s="18">
        <v>1</v>
      </c>
      <c r="N7984" s="13">
        <v>41627</v>
      </c>
      <c r="O7984" s="29">
        <v>0.33</v>
      </c>
      <c r="P7984" s="18" t="s">
        <v>1107</v>
      </c>
      <c r="Q7984" s="18">
        <v>0</v>
      </c>
      <c r="U7984" s="22">
        <v>0.8</v>
      </c>
      <c r="V7984" s="22">
        <f>3.83/5</f>
        <v>0.76600000000000001</v>
      </c>
      <c r="W7984" s="14" t="s">
        <v>7796</v>
      </c>
      <c r="X7984" s="3">
        <v>4</v>
      </c>
      <c r="Z7984" s="23">
        <v>24.5</v>
      </c>
      <c r="AB7984" s="18">
        <f t="shared" si="248"/>
        <v>1999</v>
      </c>
      <c r="AC7984" s="22">
        <f t="shared" si="249"/>
        <v>0.78866666666666674</v>
      </c>
    </row>
    <row r="7985" spans="1:29" ht="25.5">
      <c r="A7985" s="8" t="s">
        <v>11634</v>
      </c>
      <c r="B7985" s="17" t="s">
        <v>7746</v>
      </c>
      <c r="C7985" s="13">
        <v>36399</v>
      </c>
      <c r="D7985" s="13" t="s">
        <v>8463</v>
      </c>
      <c r="E7985" s="10" t="s">
        <v>167</v>
      </c>
      <c r="F7985" s="10" t="s">
        <v>167</v>
      </c>
      <c r="G7985" s="11" t="s">
        <v>1211</v>
      </c>
      <c r="H7985" s="2" t="s">
        <v>75</v>
      </c>
      <c r="K7985" s="18">
        <v>0</v>
      </c>
      <c r="L7985" s="18">
        <v>0</v>
      </c>
      <c r="Q7985" s="18">
        <v>0</v>
      </c>
      <c r="V7985" s="22">
        <f>4.21/5</f>
        <v>0.84199999999999997</v>
      </c>
      <c r="X7985" s="3">
        <v>2</v>
      </c>
      <c r="AB7985" s="18">
        <f t="shared" si="248"/>
        <v>1999</v>
      </c>
      <c r="AC7985" s="22">
        <f t="shared" si="249"/>
        <v>0.621</v>
      </c>
    </row>
    <row r="7986" spans="1:29">
      <c r="A7986" s="8" t="s">
        <v>2965</v>
      </c>
      <c r="B7986" s="17" t="s">
        <v>7757</v>
      </c>
      <c r="C7986" s="13">
        <v>36389</v>
      </c>
      <c r="D7986" s="13" t="s">
        <v>8465</v>
      </c>
      <c r="E7986" s="10" t="s">
        <v>1290</v>
      </c>
      <c r="F7986" s="10" t="s">
        <v>1219</v>
      </c>
      <c r="H7986" s="2" t="s">
        <v>1220</v>
      </c>
      <c r="L7986" s="18">
        <v>0</v>
      </c>
      <c r="Q7986" s="18">
        <v>0</v>
      </c>
      <c r="U7986" s="22">
        <v>0.83</v>
      </c>
      <c r="V7986" s="22">
        <f>3.9/5</f>
        <v>0.78</v>
      </c>
      <c r="X7986" s="3">
        <v>3</v>
      </c>
      <c r="Z7986" s="23">
        <v>2</v>
      </c>
      <c r="AB7986" s="18">
        <f t="shared" si="248"/>
        <v>1999</v>
      </c>
      <c r="AC7986" s="22">
        <f t="shared" si="249"/>
        <v>0.73666666666666669</v>
      </c>
    </row>
    <row r="7987" spans="1:29" ht="25.5">
      <c r="A7987" s="8" t="s">
        <v>2978</v>
      </c>
      <c r="B7987" s="17" t="s">
        <v>7757</v>
      </c>
      <c r="C7987" s="13">
        <v>36388</v>
      </c>
      <c r="D7987" s="13" t="s">
        <v>8465</v>
      </c>
      <c r="E7987" s="10" t="s">
        <v>1870</v>
      </c>
      <c r="F7987" s="10" t="s">
        <v>1198</v>
      </c>
      <c r="G7987" s="11" t="s">
        <v>3032</v>
      </c>
      <c r="H7987" s="2" t="s">
        <v>80</v>
      </c>
      <c r="L7987" s="18">
        <v>0</v>
      </c>
      <c r="Q7987" s="18">
        <v>0</v>
      </c>
      <c r="U7987" s="22">
        <v>0.88</v>
      </c>
      <c r="V7987" s="22">
        <f>3.99/5</f>
        <v>0.79800000000000004</v>
      </c>
      <c r="X7987" s="3">
        <v>4</v>
      </c>
      <c r="Z7987" s="23">
        <v>12</v>
      </c>
      <c r="AB7987" s="18">
        <f t="shared" si="248"/>
        <v>1999</v>
      </c>
      <c r="AC7987" s="22">
        <f t="shared" si="249"/>
        <v>0.82599999999999996</v>
      </c>
    </row>
    <row r="7988" spans="1:29">
      <c r="A7988" s="8" t="s">
        <v>5233</v>
      </c>
      <c r="B7988" s="17" t="s">
        <v>7800</v>
      </c>
      <c r="C7988" s="13">
        <v>36383</v>
      </c>
      <c r="D7988" s="13" t="s">
        <v>8465</v>
      </c>
      <c r="E7988" s="10" t="s">
        <v>231</v>
      </c>
      <c r="F7988" s="10" t="s">
        <v>5234</v>
      </c>
      <c r="G7988" s="11" t="s">
        <v>5235</v>
      </c>
      <c r="H7988" s="2" t="s">
        <v>171</v>
      </c>
      <c r="L7988" s="18">
        <v>1</v>
      </c>
      <c r="N7988" s="13">
        <v>41469</v>
      </c>
      <c r="O7988" s="29">
        <v>2.21</v>
      </c>
      <c r="P7988" s="18" t="s">
        <v>1107</v>
      </c>
      <c r="Q7988" s="18">
        <v>0</v>
      </c>
      <c r="U7988" s="22">
        <v>0.92</v>
      </c>
      <c r="V7988" s="22">
        <f>4.29/5</f>
        <v>0.85799999999999998</v>
      </c>
      <c r="W7988" s="14" t="s">
        <v>7777</v>
      </c>
      <c r="X7988" s="3">
        <v>5</v>
      </c>
      <c r="Z7988" s="23">
        <v>13.5</v>
      </c>
      <c r="AB7988" s="18">
        <f t="shared" si="248"/>
        <v>1999</v>
      </c>
      <c r="AC7988" s="22">
        <f t="shared" si="249"/>
        <v>0.92600000000000005</v>
      </c>
    </row>
    <row r="7989" spans="1:29" ht="25.5">
      <c r="A7989" s="8" t="s">
        <v>6085</v>
      </c>
      <c r="B7989" s="17" t="s">
        <v>7757</v>
      </c>
      <c r="C7989" s="13">
        <v>36377</v>
      </c>
      <c r="D7989" s="13" t="s">
        <v>8463</v>
      </c>
      <c r="E7989" s="10" t="s">
        <v>1580</v>
      </c>
      <c r="F7989" s="10" t="s">
        <v>1580</v>
      </c>
      <c r="G7989" s="11" t="s">
        <v>2928</v>
      </c>
      <c r="H7989" s="2" t="s">
        <v>1061</v>
      </c>
      <c r="K7989" s="18">
        <v>2</v>
      </c>
      <c r="L7989" s="18">
        <v>0</v>
      </c>
      <c r="Q7989" s="18">
        <v>0</v>
      </c>
      <c r="V7989" s="22">
        <f>3.52/5</f>
        <v>0.70399999999999996</v>
      </c>
      <c r="X7989" s="3">
        <v>3</v>
      </c>
      <c r="Z7989" s="23">
        <v>8</v>
      </c>
      <c r="AB7989" s="18">
        <f t="shared" si="248"/>
        <v>1999</v>
      </c>
      <c r="AC7989" s="22">
        <f t="shared" si="249"/>
        <v>0.65199999999999991</v>
      </c>
    </row>
    <row r="7990" spans="1:29">
      <c r="A7990" s="8" t="s">
        <v>13046</v>
      </c>
      <c r="B7990" s="17" t="s">
        <v>7757</v>
      </c>
      <c r="C7990" s="13">
        <v>36377</v>
      </c>
      <c r="D7990" s="13" t="s">
        <v>8463</v>
      </c>
      <c r="E7990" s="10" t="s">
        <v>1268</v>
      </c>
      <c r="F7990" s="10" t="s">
        <v>13047</v>
      </c>
      <c r="G7990" s="11" t="s">
        <v>13048</v>
      </c>
      <c r="H7990" s="2" t="s">
        <v>150</v>
      </c>
      <c r="K7990" s="18">
        <v>2</v>
      </c>
      <c r="L7990" s="18">
        <v>0</v>
      </c>
      <c r="Q7990" s="18">
        <v>0</v>
      </c>
      <c r="V7990" s="22">
        <f>3.83/5</f>
        <v>0.76600000000000001</v>
      </c>
      <c r="X7990" s="3">
        <v>2</v>
      </c>
      <c r="AB7990" s="18">
        <f t="shared" si="248"/>
        <v>1999</v>
      </c>
      <c r="AC7990" s="22">
        <f t="shared" si="249"/>
        <v>0.58299999999999996</v>
      </c>
    </row>
    <row r="7991" spans="1:29">
      <c r="A7991" s="8" t="s">
        <v>12858</v>
      </c>
      <c r="B7991" s="17" t="s">
        <v>7757</v>
      </c>
      <c r="C7991" s="13">
        <v>36377</v>
      </c>
      <c r="D7991" s="13" t="s">
        <v>8463</v>
      </c>
      <c r="E7991" s="10" t="s">
        <v>9114</v>
      </c>
      <c r="F7991" s="10" t="s">
        <v>12859</v>
      </c>
      <c r="H7991" s="2" t="s">
        <v>149</v>
      </c>
      <c r="K7991" s="18">
        <v>0</v>
      </c>
      <c r="L7991" s="18">
        <v>0</v>
      </c>
      <c r="Q7991" s="18">
        <v>0</v>
      </c>
      <c r="V7991" s="22">
        <f>1.79/5</f>
        <v>0.35799999999999998</v>
      </c>
      <c r="X7991" s="3">
        <v>2</v>
      </c>
      <c r="AB7991" s="18">
        <f t="shared" si="248"/>
        <v>1999</v>
      </c>
      <c r="AC7991" s="22">
        <f t="shared" si="249"/>
        <v>0.379</v>
      </c>
    </row>
    <row r="7992" spans="1:29">
      <c r="A7992" s="8" t="s">
        <v>13211</v>
      </c>
      <c r="B7992" s="17" t="s">
        <v>7757</v>
      </c>
      <c r="C7992" s="13">
        <v>36375</v>
      </c>
      <c r="D7992" s="13" t="s">
        <v>8465</v>
      </c>
      <c r="E7992" s="10" t="s">
        <v>7246</v>
      </c>
      <c r="F7992" s="10" t="s">
        <v>1421</v>
      </c>
      <c r="G7992" s="11" t="s">
        <v>13208</v>
      </c>
      <c r="H7992" s="2" t="s">
        <v>1040</v>
      </c>
      <c r="L7992" s="18">
        <v>0</v>
      </c>
      <c r="Q7992" s="18">
        <v>0</v>
      </c>
      <c r="V7992" s="22">
        <f>3.43/5</f>
        <v>0.68600000000000005</v>
      </c>
      <c r="X7992" s="3">
        <v>2</v>
      </c>
      <c r="Z7992" s="23">
        <v>8</v>
      </c>
      <c r="AB7992" s="18">
        <f t="shared" si="248"/>
        <v>1999</v>
      </c>
      <c r="AC7992" s="22">
        <f t="shared" si="249"/>
        <v>0.54300000000000004</v>
      </c>
    </row>
    <row r="7993" spans="1:29">
      <c r="A7993" s="8" t="s">
        <v>13673</v>
      </c>
      <c r="B7993" s="17" t="s">
        <v>7736</v>
      </c>
      <c r="C7993" s="13">
        <v>36373</v>
      </c>
      <c r="D7993" s="13" t="s">
        <v>8463</v>
      </c>
      <c r="E7993" s="10" t="s">
        <v>86</v>
      </c>
      <c r="F7993" s="10" t="s">
        <v>1794</v>
      </c>
      <c r="G7993" s="11" t="s">
        <v>10286</v>
      </c>
      <c r="H7993" s="2" t="s">
        <v>78</v>
      </c>
      <c r="K7993" s="18">
        <v>0</v>
      </c>
      <c r="L7993" s="18">
        <v>0</v>
      </c>
      <c r="Q7993" s="18">
        <v>0</v>
      </c>
      <c r="V7993" s="22">
        <f>4.29/5</f>
        <v>0.85799999999999998</v>
      </c>
      <c r="W7993" s="14" t="s">
        <v>13672</v>
      </c>
      <c r="X7993" s="3">
        <v>3</v>
      </c>
      <c r="AB7993" s="18">
        <f t="shared" si="248"/>
        <v>1999</v>
      </c>
      <c r="AC7993" s="22">
        <f t="shared" si="249"/>
        <v>0.72899999999999998</v>
      </c>
    </row>
    <row r="7994" spans="1:29" ht="25.5">
      <c r="A7994" s="8" t="s">
        <v>1852</v>
      </c>
      <c r="B7994" s="17" t="s">
        <v>7746</v>
      </c>
      <c r="C7994" s="12">
        <v>36373</v>
      </c>
      <c r="D7994" s="13" t="s">
        <v>8465</v>
      </c>
      <c r="E7994" s="10" t="s">
        <v>228</v>
      </c>
      <c r="F7994" s="10" t="s">
        <v>1793</v>
      </c>
      <c r="G7994" s="11" t="s">
        <v>1171</v>
      </c>
      <c r="H7994" s="2" t="s">
        <v>149</v>
      </c>
      <c r="L7994" s="18">
        <v>0</v>
      </c>
      <c r="Q7994" s="18">
        <v>0</v>
      </c>
      <c r="U7994" s="22">
        <v>0.71</v>
      </c>
      <c r="V7994" s="22">
        <f>2.99/5</f>
        <v>0.59800000000000009</v>
      </c>
      <c r="X7994" s="3">
        <v>3</v>
      </c>
      <c r="Y7994" s="18">
        <v>1</v>
      </c>
      <c r="Z7994" s="23">
        <v>15</v>
      </c>
      <c r="AB7994" s="18">
        <f t="shared" si="248"/>
        <v>1999</v>
      </c>
      <c r="AC7994" s="22">
        <f t="shared" si="249"/>
        <v>0.63600000000000001</v>
      </c>
    </row>
    <row r="7995" spans="1:29">
      <c r="A7995" s="8" t="s">
        <v>2920</v>
      </c>
      <c r="B7995" s="17" t="s">
        <v>7757</v>
      </c>
      <c r="C7995" s="13">
        <v>36372</v>
      </c>
      <c r="D7995" s="13" t="s">
        <v>8465</v>
      </c>
      <c r="E7995" s="10" t="s">
        <v>3017</v>
      </c>
      <c r="F7995" s="10" t="s">
        <v>144</v>
      </c>
      <c r="G7995" s="11" t="s">
        <v>404</v>
      </c>
      <c r="H7995" s="2" t="s">
        <v>21</v>
      </c>
      <c r="L7995" s="18">
        <v>0</v>
      </c>
      <c r="Q7995" s="18">
        <v>0</v>
      </c>
      <c r="U7995" s="22">
        <v>0.86</v>
      </c>
      <c r="V7995" s="22">
        <f>3.87/5</f>
        <v>0.77400000000000002</v>
      </c>
      <c r="X7995" s="3">
        <v>3</v>
      </c>
      <c r="Z7995" s="23">
        <v>1.5</v>
      </c>
      <c r="AB7995" s="18">
        <f t="shared" si="248"/>
        <v>1999</v>
      </c>
      <c r="AC7995" s="22">
        <f t="shared" si="249"/>
        <v>0.7446666666666667</v>
      </c>
    </row>
    <row r="7996" spans="1:29" ht="30">
      <c r="A7996" s="8" t="s">
        <v>4956</v>
      </c>
      <c r="B7996" s="17" t="s">
        <v>7800</v>
      </c>
      <c r="C7996" s="13">
        <v>36372</v>
      </c>
      <c r="D7996" s="13" t="s">
        <v>8465</v>
      </c>
      <c r="E7996" s="10" t="s">
        <v>8722</v>
      </c>
      <c r="F7996" s="10" t="s">
        <v>4957</v>
      </c>
      <c r="G7996" s="11" t="s">
        <v>4956</v>
      </c>
      <c r="H7996" s="2" t="s">
        <v>80</v>
      </c>
      <c r="L7996" s="18">
        <v>1</v>
      </c>
      <c r="N7996" s="13">
        <v>41744</v>
      </c>
      <c r="P7996" s="18" t="s">
        <v>1107</v>
      </c>
      <c r="Q7996" s="18">
        <v>0</v>
      </c>
      <c r="U7996" s="22">
        <v>0.76</v>
      </c>
      <c r="V7996" s="22">
        <f>3.91/5</f>
        <v>0.78200000000000003</v>
      </c>
      <c r="W7996" s="14" t="s">
        <v>7777</v>
      </c>
      <c r="X7996" s="3">
        <v>3</v>
      </c>
      <c r="Z7996" s="23">
        <v>14.5</v>
      </c>
      <c r="AB7996" s="18">
        <f t="shared" si="248"/>
        <v>1999</v>
      </c>
      <c r="AC7996" s="22">
        <f t="shared" si="249"/>
        <v>0.71399999999999997</v>
      </c>
    </row>
    <row r="7997" spans="1:29" ht="30">
      <c r="A7997" s="8" t="s">
        <v>569</v>
      </c>
      <c r="B7997" s="17" t="s">
        <v>7733</v>
      </c>
      <c r="C7997" s="13">
        <v>36372</v>
      </c>
      <c r="D7997" s="13" t="s">
        <v>8465</v>
      </c>
      <c r="E7997" s="10" t="s">
        <v>170</v>
      </c>
      <c r="F7997" s="10" t="s">
        <v>1223</v>
      </c>
      <c r="G7997" s="11" t="s">
        <v>569</v>
      </c>
      <c r="H7997" s="2" t="s">
        <v>149</v>
      </c>
      <c r="L7997" s="18">
        <v>0</v>
      </c>
      <c r="Q7997" s="18">
        <v>0</v>
      </c>
      <c r="V7997" s="22">
        <f>3.76/5</f>
        <v>0.752</v>
      </c>
      <c r="X7997" s="3">
        <v>3</v>
      </c>
      <c r="Z7997" s="23">
        <v>11</v>
      </c>
      <c r="AB7997" s="18">
        <f t="shared" si="248"/>
        <v>1999</v>
      </c>
      <c r="AC7997" s="22">
        <f t="shared" si="249"/>
        <v>0.67599999999999993</v>
      </c>
    </row>
    <row r="7998" spans="1:29">
      <c r="A7998" s="8" t="s">
        <v>15786</v>
      </c>
      <c r="B7998" s="17" t="s">
        <v>7739</v>
      </c>
      <c r="C7998" s="13">
        <v>36372</v>
      </c>
      <c r="D7998" s="13" t="s">
        <v>8465</v>
      </c>
      <c r="E7998" s="10" t="s">
        <v>86</v>
      </c>
      <c r="F7998" s="10" t="s">
        <v>10397</v>
      </c>
      <c r="G7998" s="11" t="s">
        <v>98</v>
      </c>
      <c r="H7998" s="2" t="s">
        <v>78</v>
      </c>
      <c r="L7998" s="18">
        <v>0</v>
      </c>
      <c r="Q7998" s="18">
        <v>0</v>
      </c>
      <c r="V7998" s="22">
        <f>3.92/5</f>
        <v>0.78400000000000003</v>
      </c>
      <c r="X7998" s="3">
        <v>2</v>
      </c>
      <c r="Z7998" s="23">
        <f>15/60</f>
        <v>0.25</v>
      </c>
      <c r="AB7998" s="18">
        <f t="shared" si="248"/>
        <v>1999</v>
      </c>
      <c r="AC7998" s="22">
        <f t="shared" si="249"/>
        <v>0.59200000000000008</v>
      </c>
    </row>
    <row r="7999" spans="1:29" ht="25.5">
      <c r="A7999" s="8" t="s">
        <v>2916</v>
      </c>
      <c r="B7999" s="17" t="s">
        <v>7757</v>
      </c>
      <c r="C7999" s="13">
        <v>36370</v>
      </c>
      <c r="D7999" s="13" t="s">
        <v>8465</v>
      </c>
      <c r="E7999" s="10" t="s">
        <v>3014</v>
      </c>
      <c r="F7999" s="10" t="s">
        <v>1355</v>
      </c>
      <c r="G7999" s="11" t="s">
        <v>3015</v>
      </c>
      <c r="H7999" s="2" t="s">
        <v>149</v>
      </c>
      <c r="L7999" s="18">
        <v>0</v>
      </c>
      <c r="Q7999" s="18">
        <v>0</v>
      </c>
      <c r="U7999" s="22">
        <v>0.73</v>
      </c>
      <c r="V7999" s="22">
        <f>3.6/5</f>
        <v>0.72</v>
      </c>
      <c r="X7999" s="3">
        <v>3</v>
      </c>
      <c r="Z7999" s="23">
        <v>12</v>
      </c>
      <c r="AB7999" s="18">
        <f t="shared" si="248"/>
        <v>1999</v>
      </c>
      <c r="AC7999" s="22">
        <f t="shared" si="249"/>
        <v>0.68333333333333324</v>
      </c>
    </row>
    <row r="8000" spans="1:29">
      <c r="A8000" s="8" t="s">
        <v>8062</v>
      </c>
      <c r="B8000" s="17" t="s">
        <v>7757</v>
      </c>
      <c r="C8000" s="13">
        <v>36370</v>
      </c>
      <c r="D8000" s="13" t="s">
        <v>8463</v>
      </c>
      <c r="E8000" s="10" t="s">
        <v>257</v>
      </c>
      <c r="F8000" s="10" t="s">
        <v>1474</v>
      </c>
      <c r="H8000" s="2" t="s">
        <v>459</v>
      </c>
      <c r="K8000" s="18">
        <v>0</v>
      </c>
      <c r="L8000" s="18">
        <v>0</v>
      </c>
      <c r="Q8000" s="18">
        <v>0</v>
      </c>
      <c r="U8000" s="22">
        <v>0.74</v>
      </c>
      <c r="V8000" s="22">
        <f>4.07/5</f>
        <v>0.81400000000000006</v>
      </c>
      <c r="X8000" s="3">
        <v>2</v>
      </c>
      <c r="Z8000" s="23">
        <v>0.6333333333333333</v>
      </c>
      <c r="AB8000" s="18">
        <f t="shared" si="248"/>
        <v>1999</v>
      </c>
      <c r="AC8000" s="22">
        <f t="shared" si="249"/>
        <v>0.65133333333333343</v>
      </c>
    </row>
    <row r="8001" spans="1:29">
      <c r="A8001" s="8" t="s">
        <v>10398</v>
      </c>
      <c r="B8001" s="17" t="s">
        <v>7757</v>
      </c>
      <c r="C8001" s="13">
        <v>36370</v>
      </c>
      <c r="D8001" s="13" t="s">
        <v>8463</v>
      </c>
      <c r="E8001" s="10" t="s">
        <v>7332</v>
      </c>
      <c r="F8001" s="10" t="s">
        <v>3019</v>
      </c>
      <c r="G8001" s="11" t="s">
        <v>6100</v>
      </c>
      <c r="H8001" s="2" t="s">
        <v>75</v>
      </c>
      <c r="K8001" s="18">
        <v>0</v>
      </c>
      <c r="L8001" s="18">
        <v>0</v>
      </c>
      <c r="Q8001" s="18">
        <v>0</v>
      </c>
      <c r="V8001" s="22">
        <f>3.71/5</f>
        <v>0.74199999999999999</v>
      </c>
      <c r="X8001" s="3">
        <v>2</v>
      </c>
      <c r="AB8001" s="18">
        <f t="shared" ref="AB8001:AB8064" si="250">IFERROR(YEAR(C8001), "Early Access")</f>
        <v>1999</v>
      </c>
      <c r="AC8001" s="22">
        <f t="shared" ref="AC8001:AC8064" si="251">AVERAGE(T8001, U8001, V8001, IF(ISBLANK(X8001), X8001, X8001/5))</f>
        <v>0.57099999999999995</v>
      </c>
    </row>
    <row r="8002" spans="1:29">
      <c r="A8002" s="8" t="s">
        <v>15628</v>
      </c>
      <c r="B8002" s="17" t="s">
        <v>7757</v>
      </c>
      <c r="C8002" s="13">
        <v>36370</v>
      </c>
      <c r="D8002" s="13" t="s">
        <v>8463</v>
      </c>
      <c r="E8002" s="10" t="s">
        <v>257</v>
      </c>
      <c r="F8002" s="10" t="s">
        <v>15629</v>
      </c>
      <c r="H8002" s="2" t="s">
        <v>1204</v>
      </c>
      <c r="K8002" s="18">
        <v>0</v>
      </c>
      <c r="L8002" s="18">
        <v>0</v>
      </c>
      <c r="Q8002" s="18">
        <v>0</v>
      </c>
      <c r="V8002" s="22">
        <f>4.06/5</f>
        <v>0.81199999999999994</v>
      </c>
      <c r="X8002" s="3">
        <v>2</v>
      </c>
      <c r="AB8002" s="18">
        <f t="shared" si="250"/>
        <v>1999</v>
      </c>
      <c r="AC8002" s="22">
        <f t="shared" si="251"/>
        <v>0.60599999999999998</v>
      </c>
    </row>
    <row r="8003" spans="1:29" ht="30">
      <c r="A8003" s="8" t="s">
        <v>875</v>
      </c>
      <c r="B8003" s="20" t="s">
        <v>7739</v>
      </c>
      <c r="C8003" s="13">
        <v>36367</v>
      </c>
      <c r="D8003" s="13" t="s">
        <v>8465</v>
      </c>
      <c r="E8003" s="10" t="s">
        <v>86</v>
      </c>
      <c r="F8003" s="10" t="s">
        <v>1160</v>
      </c>
      <c r="G8003" s="11" t="s">
        <v>875</v>
      </c>
      <c r="H8003" s="2" t="s">
        <v>255</v>
      </c>
      <c r="L8003" s="18">
        <v>0</v>
      </c>
      <c r="Q8003" s="18">
        <v>0</v>
      </c>
      <c r="U8003" s="22">
        <v>0.87</v>
      </c>
      <c r="V8003" s="22">
        <f>3.72/5</f>
        <v>0.74399999999999999</v>
      </c>
      <c r="X8003" s="3">
        <v>4</v>
      </c>
      <c r="Z8003" s="23">
        <v>9</v>
      </c>
      <c r="AB8003" s="18">
        <f t="shared" si="250"/>
        <v>1999</v>
      </c>
      <c r="AC8003" s="22">
        <f t="shared" si="251"/>
        <v>0.80466666666666653</v>
      </c>
    </row>
    <row r="8004" spans="1:29" ht="25.5">
      <c r="A8004" s="8" t="s">
        <v>14856</v>
      </c>
      <c r="B8004" s="17" t="s">
        <v>7800</v>
      </c>
      <c r="C8004" s="13">
        <v>36364</v>
      </c>
      <c r="D8004" s="13" t="s">
        <v>8465</v>
      </c>
      <c r="E8004" s="10" t="s">
        <v>6668</v>
      </c>
      <c r="F8004" s="10" t="s">
        <v>14857</v>
      </c>
      <c r="G8004" s="11" t="s">
        <v>5534</v>
      </c>
      <c r="H8004" s="2" t="s">
        <v>3937</v>
      </c>
      <c r="L8004" s="18">
        <v>0</v>
      </c>
      <c r="Q8004" s="18">
        <v>0</v>
      </c>
      <c r="V8004" s="22">
        <f>2.79/5</f>
        <v>0.55800000000000005</v>
      </c>
      <c r="X8004" s="3">
        <v>2</v>
      </c>
      <c r="Z8004" s="23">
        <v>20</v>
      </c>
      <c r="AB8004" s="18">
        <f t="shared" si="250"/>
        <v>1999</v>
      </c>
      <c r="AC8004" s="22">
        <f t="shared" si="251"/>
        <v>0.47900000000000004</v>
      </c>
    </row>
    <row r="8005" spans="1:29" ht="25.5">
      <c r="A8005" s="8" t="s">
        <v>11742</v>
      </c>
      <c r="B8005" s="17" t="s">
        <v>7757</v>
      </c>
      <c r="C8005" s="13">
        <v>36363</v>
      </c>
      <c r="D8005" s="13" t="s">
        <v>8463</v>
      </c>
      <c r="E8005" s="10" t="s">
        <v>11743</v>
      </c>
      <c r="F8005" s="10" t="s">
        <v>11743</v>
      </c>
      <c r="H8005" s="2" t="s">
        <v>67</v>
      </c>
      <c r="K8005" s="18">
        <v>0</v>
      </c>
      <c r="L8005" s="18">
        <v>0</v>
      </c>
      <c r="Q8005" s="18">
        <v>0</v>
      </c>
      <c r="V8005" s="22">
        <f>2.88/5</f>
        <v>0.57599999999999996</v>
      </c>
      <c r="X8005" s="3">
        <v>3</v>
      </c>
      <c r="AB8005" s="18">
        <f t="shared" si="250"/>
        <v>1999</v>
      </c>
      <c r="AC8005" s="22">
        <f t="shared" si="251"/>
        <v>0.58799999999999997</v>
      </c>
    </row>
    <row r="8006" spans="1:29">
      <c r="A8006" s="8" t="s">
        <v>9577</v>
      </c>
      <c r="B8006" s="17" t="s">
        <v>7757</v>
      </c>
      <c r="C8006" s="13">
        <v>36363</v>
      </c>
      <c r="D8006" s="13" t="s">
        <v>8463</v>
      </c>
      <c r="E8006" s="10" t="s">
        <v>81</v>
      </c>
      <c r="F8006" s="10" t="s">
        <v>81</v>
      </c>
      <c r="H8006" s="2" t="s">
        <v>143</v>
      </c>
      <c r="K8006" s="18">
        <v>2</v>
      </c>
      <c r="L8006" s="18">
        <v>0</v>
      </c>
      <c r="Q8006" s="18">
        <v>0</v>
      </c>
      <c r="V8006" s="22">
        <f>3.5/5</f>
        <v>0.7</v>
      </c>
      <c r="X8006" s="3">
        <v>2</v>
      </c>
      <c r="AB8006" s="18">
        <f t="shared" si="250"/>
        <v>1999</v>
      </c>
      <c r="AC8006" s="22">
        <f t="shared" si="251"/>
        <v>0.55000000000000004</v>
      </c>
    </row>
    <row r="8007" spans="1:29" ht="38.25">
      <c r="A8007" s="8" t="s">
        <v>9874</v>
      </c>
      <c r="B8007" s="17" t="s">
        <v>7794</v>
      </c>
      <c r="C8007" s="13">
        <v>36363</v>
      </c>
      <c r="D8007" s="13" t="s">
        <v>8463</v>
      </c>
      <c r="E8007" s="10" t="s">
        <v>157</v>
      </c>
      <c r="F8007" s="10" t="s">
        <v>9875</v>
      </c>
      <c r="G8007" s="11" t="s">
        <v>9876</v>
      </c>
      <c r="H8007" s="2" t="s">
        <v>1334</v>
      </c>
      <c r="K8007" s="18">
        <v>2</v>
      </c>
      <c r="L8007" s="18">
        <v>0</v>
      </c>
      <c r="Q8007" s="18">
        <v>0</v>
      </c>
      <c r="V8007" s="22">
        <f>3.25/5</f>
        <v>0.65</v>
      </c>
      <c r="X8007" s="3">
        <v>2</v>
      </c>
      <c r="AB8007" s="18">
        <f t="shared" si="250"/>
        <v>1999</v>
      </c>
      <c r="AC8007" s="22">
        <f t="shared" si="251"/>
        <v>0.52500000000000002</v>
      </c>
    </row>
    <row r="8008" spans="1:29">
      <c r="A8008" s="8" t="s">
        <v>12470</v>
      </c>
      <c r="B8008" s="17" t="s">
        <v>7757</v>
      </c>
      <c r="C8008" s="13">
        <v>36362</v>
      </c>
      <c r="D8008" s="13" t="s">
        <v>8465</v>
      </c>
      <c r="E8008" s="10" t="s">
        <v>12471</v>
      </c>
      <c r="F8008" s="10" t="s">
        <v>7985</v>
      </c>
      <c r="H8008" s="2" t="s">
        <v>459</v>
      </c>
      <c r="L8008" s="18">
        <v>0</v>
      </c>
      <c r="Q8008" s="18">
        <v>0</v>
      </c>
      <c r="V8008" s="22">
        <f>3.56/5</f>
        <v>0.71199999999999997</v>
      </c>
      <c r="X8008" s="3">
        <v>2</v>
      </c>
      <c r="Z8008" s="23">
        <f>25/60</f>
        <v>0.41666666666666669</v>
      </c>
      <c r="AB8008" s="18">
        <f t="shared" si="250"/>
        <v>1999</v>
      </c>
      <c r="AC8008" s="22">
        <f t="shared" si="251"/>
        <v>0.55600000000000005</v>
      </c>
    </row>
    <row r="8009" spans="1:29">
      <c r="A8009" s="8" t="s">
        <v>7668</v>
      </c>
      <c r="B8009" s="17" t="s">
        <v>7755</v>
      </c>
      <c r="C8009" s="13">
        <v>36356</v>
      </c>
      <c r="D8009" s="13" t="s">
        <v>8463</v>
      </c>
      <c r="E8009" s="10" t="s">
        <v>1580</v>
      </c>
      <c r="F8009" s="10" t="s">
        <v>1580</v>
      </c>
      <c r="H8009" s="2" t="s">
        <v>459</v>
      </c>
      <c r="K8009" s="18">
        <v>2</v>
      </c>
      <c r="L8009" s="18">
        <v>0</v>
      </c>
      <c r="Q8009" s="18">
        <v>0</v>
      </c>
      <c r="U8009" s="22">
        <v>0.86</v>
      </c>
      <c r="V8009" s="22">
        <f>3.83/5</f>
        <v>0.76600000000000001</v>
      </c>
      <c r="X8009" s="3">
        <v>3</v>
      </c>
      <c r="Z8009" s="23">
        <v>4</v>
      </c>
      <c r="AB8009" s="18">
        <f t="shared" si="250"/>
        <v>1999</v>
      </c>
      <c r="AC8009" s="22">
        <f t="shared" si="251"/>
        <v>0.74199999999999999</v>
      </c>
    </row>
    <row r="8010" spans="1:29" ht="25.5">
      <c r="A8010" s="8" t="s">
        <v>9694</v>
      </c>
      <c r="B8010" s="17" t="s">
        <v>7800</v>
      </c>
      <c r="C8010" s="13">
        <v>36355</v>
      </c>
      <c r="D8010" s="13" t="s">
        <v>8465</v>
      </c>
      <c r="E8010" s="10" t="s">
        <v>7826</v>
      </c>
      <c r="F8010" s="10" t="s">
        <v>5877</v>
      </c>
      <c r="G8010" s="11" t="s">
        <v>9695</v>
      </c>
      <c r="H8010" s="2" t="s">
        <v>80</v>
      </c>
      <c r="L8010" s="18">
        <v>0</v>
      </c>
      <c r="Q8010" s="18">
        <v>0</v>
      </c>
      <c r="V8010" s="22">
        <f>3.77/5</f>
        <v>0.754</v>
      </c>
      <c r="X8010" s="3">
        <v>2</v>
      </c>
      <c r="Z8010" s="23">
        <v>12</v>
      </c>
      <c r="AB8010" s="18">
        <f t="shared" si="250"/>
        <v>1999</v>
      </c>
      <c r="AC8010" s="22">
        <f t="shared" si="251"/>
        <v>0.57699999999999996</v>
      </c>
    </row>
    <row r="8011" spans="1:29">
      <c r="A8011" s="8" t="s">
        <v>345</v>
      </c>
      <c r="B8011" s="17" t="s">
        <v>6317</v>
      </c>
      <c r="C8011" s="12">
        <v>36342</v>
      </c>
      <c r="D8011" s="13" t="s">
        <v>8465</v>
      </c>
      <c r="E8011" s="10" t="s">
        <v>474</v>
      </c>
      <c r="F8011" s="10" t="s">
        <v>474</v>
      </c>
      <c r="H8011" s="2" t="s">
        <v>21</v>
      </c>
      <c r="L8011" s="18">
        <v>0</v>
      </c>
      <c r="Q8011" s="18">
        <v>0</v>
      </c>
      <c r="V8011" s="22">
        <f>3.9/5</f>
        <v>0.78</v>
      </c>
      <c r="X8011" s="3">
        <v>3</v>
      </c>
      <c r="AB8011" s="18">
        <f t="shared" si="250"/>
        <v>1999</v>
      </c>
      <c r="AC8011" s="22">
        <f t="shared" si="251"/>
        <v>0.69</v>
      </c>
    </row>
    <row r="8012" spans="1:29">
      <c r="A8012" s="8" t="s">
        <v>6589</v>
      </c>
      <c r="B8012" s="20" t="s">
        <v>7739</v>
      </c>
      <c r="C8012" s="13">
        <v>36341</v>
      </c>
      <c r="D8012" s="13" t="s">
        <v>8465</v>
      </c>
      <c r="E8012" s="10" t="s">
        <v>1273</v>
      </c>
      <c r="F8012" s="10" t="s">
        <v>6590</v>
      </c>
      <c r="G8012" s="11" t="s">
        <v>6588</v>
      </c>
      <c r="H8012" s="2" t="s">
        <v>1050</v>
      </c>
      <c r="L8012" s="18">
        <v>0</v>
      </c>
      <c r="Q8012" s="18">
        <v>0</v>
      </c>
      <c r="U8012" s="22">
        <v>0.81</v>
      </c>
      <c r="V8012" s="22">
        <f>3.59/5</f>
        <v>0.71799999999999997</v>
      </c>
      <c r="X8012" s="3">
        <v>3</v>
      </c>
      <c r="Z8012" s="23">
        <v>8</v>
      </c>
      <c r="AB8012" s="18">
        <f t="shared" si="250"/>
        <v>1999</v>
      </c>
      <c r="AC8012" s="22">
        <f t="shared" si="251"/>
        <v>0.70933333333333337</v>
      </c>
    </row>
    <row r="8013" spans="1:29">
      <c r="A8013" s="8" t="s">
        <v>881</v>
      </c>
      <c r="B8013" s="20" t="s">
        <v>7739</v>
      </c>
      <c r="C8013" s="13">
        <v>36341</v>
      </c>
      <c r="D8013" s="13" t="s">
        <v>8465</v>
      </c>
      <c r="E8013" s="10" t="s">
        <v>86</v>
      </c>
      <c r="F8013" s="10" t="s">
        <v>30</v>
      </c>
      <c r="G8013" s="11" t="s">
        <v>1470</v>
      </c>
      <c r="H8013" s="2" t="s">
        <v>1170</v>
      </c>
      <c r="L8013" s="18">
        <v>0</v>
      </c>
      <c r="Q8013" s="18">
        <v>0</v>
      </c>
      <c r="U8013" s="22">
        <v>0.75</v>
      </c>
      <c r="V8013" s="22">
        <f>3.66/5</f>
        <v>0.73199999999999998</v>
      </c>
      <c r="X8013" s="3">
        <v>4</v>
      </c>
      <c r="Z8013" s="23">
        <v>4</v>
      </c>
      <c r="AB8013" s="18">
        <f t="shared" si="250"/>
        <v>1999</v>
      </c>
      <c r="AC8013" s="22">
        <f t="shared" si="251"/>
        <v>0.76066666666666671</v>
      </c>
    </row>
    <row r="8014" spans="1:29" ht="25.5">
      <c r="A8014" s="8" t="s">
        <v>15789</v>
      </c>
      <c r="B8014" s="17" t="s">
        <v>7739</v>
      </c>
      <c r="C8014" s="13">
        <v>36340</v>
      </c>
      <c r="D8014" s="13" t="s">
        <v>8465</v>
      </c>
      <c r="E8014" s="10" t="s">
        <v>60</v>
      </c>
      <c r="F8014" s="10" t="s">
        <v>60</v>
      </c>
      <c r="H8014" s="2" t="s">
        <v>1040</v>
      </c>
      <c r="L8014" s="18">
        <v>0</v>
      </c>
      <c r="Q8014" s="18">
        <v>0</v>
      </c>
      <c r="V8014" s="22">
        <f>2.8/5</f>
        <v>0.55999999999999994</v>
      </c>
      <c r="X8014" s="3">
        <v>2</v>
      </c>
      <c r="Z8014" s="23">
        <v>8</v>
      </c>
      <c r="AB8014" s="18">
        <f t="shared" si="250"/>
        <v>1999</v>
      </c>
      <c r="AC8014" s="22">
        <f t="shared" si="251"/>
        <v>0.48</v>
      </c>
    </row>
    <row r="8015" spans="1:29">
      <c r="A8015" s="8" t="s">
        <v>7686</v>
      </c>
      <c r="B8015" s="17" t="s">
        <v>7746</v>
      </c>
      <c r="C8015" s="13">
        <v>36339</v>
      </c>
      <c r="D8015" s="13" t="s">
        <v>8465</v>
      </c>
      <c r="E8015" s="10" t="s">
        <v>86</v>
      </c>
      <c r="F8015" s="10" t="s">
        <v>1794</v>
      </c>
      <c r="G8015" s="11" t="s">
        <v>1470</v>
      </c>
      <c r="H8015" s="2" t="s">
        <v>1383</v>
      </c>
      <c r="L8015" s="18">
        <v>0</v>
      </c>
      <c r="Q8015" s="18">
        <v>0</v>
      </c>
      <c r="U8015" s="22">
        <v>0.82</v>
      </c>
      <c r="V8015" s="22">
        <f>3.52/5</f>
        <v>0.70399999999999996</v>
      </c>
      <c r="X8015" s="3">
        <v>3</v>
      </c>
      <c r="Z8015" s="23">
        <v>15</v>
      </c>
      <c r="AB8015" s="18">
        <f t="shared" si="250"/>
        <v>1999</v>
      </c>
      <c r="AC8015" s="22">
        <f t="shared" si="251"/>
        <v>0.70800000000000007</v>
      </c>
    </row>
    <row r="8016" spans="1:29">
      <c r="A8016" s="8" t="s">
        <v>14937</v>
      </c>
      <c r="B8016" s="17" t="s">
        <v>7736</v>
      </c>
      <c r="C8016" s="13">
        <v>36336</v>
      </c>
      <c r="D8016" s="13" t="s">
        <v>8463</v>
      </c>
      <c r="E8016" s="10" t="s">
        <v>86</v>
      </c>
      <c r="F8016" s="10" t="s">
        <v>1432</v>
      </c>
      <c r="H8016" s="2" t="s">
        <v>27</v>
      </c>
      <c r="K8016" s="18">
        <v>2</v>
      </c>
      <c r="L8016" s="18">
        <v>0</v>
      </c>
      <c r="Q8016" s="18">
        <v>0</v>
      </c>
      <c r="V8016" s="22">
        <f>3.92/5</f>
        <v>0.78400000000000003</v>
      </c>
      <c r="X8016" s="3">
        <v>2</v>
      </c>
      <c r="AB8016" s="18">
        <f t="shared" si="250"/>
        <v>1999</v>
      </c>
      <c r="AC8016" s="22">
        <f t="shared" si="251"/>
        <v>0.59200000000000008</v>
      </c>
    </row>
    <row r="8017" spans="1:29" ht="30">
      <c r="A8017" s="8" t="s">
        <v>6586</v>
      </c>
      <c r="B8017" s="20" t="s">
        <v>7739</v>
      </c>
      <c r="C8017" s="13">
        <v>36336</v>
      </c>
      <c r="D8017" s="13" t="s">
        <v>8463</v>
      </c>
      <c r="E8017" s="10" t="s">
        <v>157</v>
      </c>
      <c r="F8017" s="10" t="s">
        <v>157</v>
      </c>
      <c r="G8017" s="11" t="s">
        <v>6586</v>
      </c>
      <c r="H8017" s="2" t="s">
        <v>459</v>
      </c>
      <c r="K8017" s="18">
        <v>0</v>
      </c>
      <c r="L8017" s="18">
        <v>0</v>
      </c>
      <c r="Q8017" s="18">
        <v>0</v>
      </c>
      <c r="U8017" s="22">
        <v>0.53</v>
      </c>
      <c r="V8017" s="22">
        <f>3.72/5</f>
        <v>0.74399999999999999</v>
      </c>
      <c r="X8017" s="3">
        <v>2</v>
      </c>
      <c r="Z8017" s="23">
        <v>2</v>
      </c>
      <c r="AB8017" s="18">
        <f t="shared" si="250"/>
        <v>1999</v>
      </c>
      <c r="AC8017" s="22">
        <f t="shared" si="251"/>
        <v>0.55799999999999994</v>
      </c>
    </row>
    <row r="8018" spans="1:29" ht="25.5">
      <c r="A8018" s="8" t="s">
        <v>3010</v>
      </c>
      <c r="B8018" s="17" t="s">
        <v>7757</v>
      </c>
      <c r="C8018" s="13">
        <v>36335</v>
      </c>
      <c r="D8018" s="13" t="s">
        <v>8463</v>
      </c>
      <c r="E8018" s="10" t="s">
        <v>228</v>
      </c>
      <c r="F8018" s="10" t="s">
        <v>228</v>
      </c>
      <c r="G8018" s="11" t="s">
        <v>3038</v>
      </c>
      <c r="H8018" s="2" t="s">
        <v>149</v>
      </c>
      <c r="K8018" s="18">
        <v>2</v>
      </c>
      <c r="L8018" s="18">
        <v>0</v>
      </c>
      <c r="Q8018" s="18">
        <v>0</v>
      </c>
      <c r="U8018" s="22">
        <v>0.94</v>
      </c>
      <c r="V8018" s="22">
        <f>3.65/5</f>
        <v>0.73</v>
      </c>
      <c r="X8018" s="3">
        <v>4</v>
      </c>
      <c r="Z8018" s="23">
        <v>34</v>
      </c>
      <c r="AB8018" s="18">
        <f t="shared" si="250"/>
        <v>1999</v>
      </c>
      <c r="AC8018" s="22">
        <f t="shared" si="251"/>
        <v>0.82333333333333325</v>
      </c>
    </row>
    <row r="8019" spans="1:29">
      <c r="A8019" s="8" t="s">
        <v>9239</v>
      </c>
      <c r="B8019" s="17" t="s">
        <v>7757</v>
      </c>
      <c r="C8019" s="13">
        <v>36335</v>
      </c>
      <c r="D8019" s="13" t="s">
        <v>8463</v>
      </c>
      <c r="E8019" s="10" t="s">
        <v>9240</v>
      </c>
      <c r="F8019" s="10" t="s">
        <v>3034</v>
      </c>
      <c r="H8019" s="2" t="s">
        <v>67</v>
      </c>
      <c r="K8019" s="18">
        <v>0</v>
      </c>
      <c r="L8019" s="18">
        <v>0</v>
      </c>
      <c r="Q8019" s="18">
        <v>0</v>
      </c>
      <c r="V8019" s="22">
        <f>3.59/5</f>
        <v>0.71799999999999997</v>
      </c>
      <c r="X8019" s="3">
        <v>2</v>
      </c>
      <c r="AB8019" s="18">
        <f t="shared" si="250"/>
        <v>1999</v>
      </c>
      <c r="AC8019" s="22">
        <f t="shared" si="251"/>
        <v>0.55899999999999994</v>
      </c>
    </row>
    <row r="8020" spans="1:29">
      <c r="A8020" s="8" t="s">
        <v>6931</v>
      </c>
      <c r="B8020" s="17" t="s">
        <v>7800</v>
      </c>
      <c r="C8020" s="13">
        <v>36328</v>
      </c>
      <c r="D8020" s="13" t="s">
        <v>8465</v>
      </c>
      <c r="E8020" s="10" t="s">
        <v>1272</v>
      </c>
      <c r="F8020" s="10" t="s">
        <v>6932</v>
      </c>
      <c r="G8020" s="11" t="s">
        <v>6929</v>
      </c>
      <c r="H8020" s="2" t="s">
        <v>2138</v>
      </c>
      <c r="L8020" s="18">
        <v>1</v>
      </c>
      <c r="N8020" s="13">
        <v>39715</v>
      </c>
      <c r="O8020" s="29">
        <v>5.99</v>
      </c>
      <c r="P8020" s="18" t="s">
        <v>1107</v>
      </c>
      <c r="Q8020" s="18">
        <v>0</v>
      </c>
      <c r="U8020" s="22">
        <v>0.84</v>
      </c>
      <c r="V8020" s="22">
        <f>3.69/5</f>
        <v>0.73799999999999999</v>
      </c>
      <c r="W8020" s="14" t="s">
        <v>7778</v>
      </c>
      <c r="X8020" s="3">
        <v>3</v>
      </c>
      <c r="Z8020" s="23">
        <v>8.5</v>
      </c>
      <c r="AB8020" s="18">
        <f t="shared" si="250"/>
        <v>1999</v>
      </c>
      <c r="AC8020" s="22">
        <f t="shared" si="251"/>
        <v>0.72599999999999998</v>
      </c>
    </row>
    <row r="8021" spans="1:29">
      <c r="A8021" s="8" t="s">
        <v>7667</v>
      </c>
      <c r="B8021" s="17" t="s">
        <v>7757</v>
      </c>
      <c r="C8021" s="13">
        <v>36328</v>
      </c>
      <c r="D8021" s="13" t="s">
        <v>8463</v>
      </c>
      <c r="E8021" s="10" t="s">
        <v>1580</v>
      </c>
      <c r="F8021" s="10" t="s">
        <v>1580</v>
      </c>
      <c r="G8021" s="11" t="s">
        <v>1404</v>
      </c>
      <c r="H8021" s="2" t="s">
        <v>80</v>
      </c>
      <c r="K8021" s="18">
        <v>0</v>
      </c>
      <c r="L8021" s="18">
        <v>0</v>
      </c>
      <c r="Q8021" s="18">
        <v>0</v>
      </c>
      <c r="V8021" s="22">
        <f>3.9/5</f>
        <v>0.78</v>
      </c>
      <c r="X8021" s="3">
        <v>2</v>
      </c>
      <c r="Z8021" s="23">
        <v>7</v>
      </c>
      <c r="AB8021" s="18">
        <f t="shared" si="250"/>
        <v>1999</v>
      </c>
      <c r="AC8021" s="22">
        <f t="shared" si="251"/>
        <v>0.59000000000000008</v>
      </c>
    </row>
    <row r="8022" spans="1:29" ht="30">
      <c r="A8022" s="8" t="s">
        <v>12796</v>
      </c>
      <c r="B8022" s="17" t="s">
        <v>7757</v>
      </c>
      <c r="C8022" s="13">
        <v>36328</v>
      </c>
      <c r="D8022" s="13" t="s">
        <v>8463</v>
      </c>
      <c r="E8022" s="10" t="s">
        <v>2908</v>
      </c>
      <c r="F8022" s="10" t="s">
        <v>1375</v>
      </c>
      <c r="G8022" s="11" t="s">
        <v>8436</v>
      </c>
      <c r="H8022" s="2" t="s">
        <v>149</v>
      </c>
      <c r="K8022" s="18">
        <v>0</v>
      </c>
      <c r="L8022" s="18">
        <v>0</v>
      </c>
      <c r="Q8022" s="18">
        <v>0</v>
      </c>
      <c r="V8022" s="22">
        <f>3.81/5</f>
        <v>0.76200000000000001</v>
      </c>
      <c r="X8022" s="3">
        <v>2</v>
      </c>
      <c r="AB8022" s="18">
        <f t="shared" si="250"/>
        <v>1999</v>
      </c>
      <c r="AC8022" s="22">
        <f t="shared" si="251"/>
        <v>0.58099999999999996</v>
      </c>
    </row>
    <row r="8023" spans="1:29">
      <c r="A8023" s="8" t="s">
        <v>8083</v>
      </c>
      <c r="B8023" s="17" t="s">
        <v>7794</v>
      </c>
      <c r="C8023" s="13">
        <v>36328</v>
      </c>
      <c r="D8023" s="13" t="s">
        <v>8463</v>
      </c>
      <c r="E8023" s="10" t="s">
        <v>157</v>
      </c>
      <c r="F8023" s="10" t="s">
        <v>158</v>
      </c>
      <c r="G8023" s="11" t="s">
        <v>8076</v>
      </c>
      <c r="H8023" s="2" t="s">
        <v>3411</v>
      </c>
      <c r="K8023" s="18">
        <v>0</v>
      </c>
      <c r="L8023" s="18">
        <v>0</v>
      </c>
      <c r="Q8023" s="18">
        <v>0</v>
      </c>
      <c r="V8023" s="22">
        <f>3.32/5</f>
        <v>0.66399999999999992</v>
      </c>
      <c r="X8023" s="3">
        <v>2</v>
      </c>
      <c r="AB8023" s="18">
        <f t="shared" si="250"/>
        <v>1999</v>
      </c>
      <c r="AC8023" s="22">
        <f t="shared" si="251"/>
        <v>0.53200000000000003</v>
      </c>
    </row>
    <row r="8024" spans="1:29" ht="25.5">
      <c r="A8024" s="8" t="s">
        <v>13152</v>
      </c>
      <c r="B8024" s="17" t="s">
        <v>7739</v>
      </c>
      <c r="C8024" s="13">
        <v>36322</v>
      </c>
      <c r="D8024" s="13" t="s">
        <v>8463</v>
      </c>
      <c r="E8024" s="10" t="s">
        <v>6575</v>
      </c>
      <c r="F8024" s="10" t="s">
        <v>1356</v>
      </c>
      <c r="H8024" s="2" t="s">
        <v>149</v>
      </c>
      <c r="K8024" s="18">
        <v>0</v>
      </c>
      <c r="L8024" s="18">
        <v>0</v>
      </c>
      <c r="Q8024" s="18">
        <v>0</v>
      </c>
      <c r="V8024" s="22">
        <f>3.47/5</f>
        <v>0.69400000000000006</v>
      </c>
      <c r="X8024" s="3">
        <v>2</v>
      </c>
      <c r="AB8024" s="18">
        <f t="shared" si="250"/>
        <v>1999</v>
      </c>
      <c r="AC8024" s="22">
        <f t="shared" si="251"/>
        <v>0.54700000000000004</v>
      </c>
    </row>
    <row r="8025" spans="1:29">
      <c r="A8025" s="8" t="s">
        <v>7838</v>
      </c>
      <c r="B8025" s="17" t="s">
        <v>7757</v>
      </c>
      <c r="C8025" s="13">
        <v>36321</v>
      </c>
      <c r="D8025" s="13" t="s">
        <v>8463</v>
      </c>
      <c r="E8025" s="10" t="s">
        <v>161</v>
      </c>
      <c r="F8025" s="10" t="s">
        <v>161</v>
      </c>
      <c r="H8025" s="2" t="s">
        <v>150</v>
      </c>
      <c r="K8025" s="18">
        <v>2</v>
      </c>
      <c r="L8025" s="18">
        <v>0</v>
      </c>
      <c r="Q8025" s="18">
        <v>0</v>
      </c>
      <c r="V8025" s="22">
        <f>4.07/5</f>
        <v>0.81400000000000006</v>
      </c>
      <c r="X8025" s="3">
        <v>4</v>
      </c>
      <c r="Z8025" s="23">
        <v>26</v>
      </c>
      <c r="AB8025" s="18">
        <f t="shared" si="250"/>
        <v>1999</v>
      </c>
      <c r="AC8025" s="22">
        <f t="shared" si="251"/>
        <v>0.80700000000000005</v>
      </c>
    </row>
    <row r="8026" spans="1:29" ht="25.5">
      <c r="A8026" s="8" t="s">
        <v>416</v>
      </c>
      <c r="B8026" s="17" t="s">
        <v>6317</v>
      </c>
      <c r="C8026" s="13">
        <v>36319</v>
      </c>
      <c r="D8026" s="13" t="s">
        <v>8465</v>
      </c>
      <c r="E8026" s="10" t="s">
        <v>73</v>
      </c>
      <c r="F8026" s="10" t="s">
        <v>73</v>
      </c>
      <c r="G8026" s="11" t="s">
        <v>227</v>
      </c>
      <c r="H8026" s="2" t="s">
        <v>459</v>
      </c>
      <c r="L8026" s="18">
        <v>0</v>
      </c>
      <c r="Q8026" s="18">
        <v>0</v>
      </c>
      <c r="V8026" s="22">
        <f>4.33/5</f>
        <v>0.86599999999999999</v>
      </c>
      <c r="X8026" s="3">
        <v>3</v>
      </c>
      <c r="Z8026" s="23">
        <v>1.5</v>
      </c>
      <c r="AB8026" s="18">
        <f t="shared" si="250"/>
        <v>1999</v>
      </c>
      <c r="AC8026" s="22">
        <f t="shared" si="251"/>
        <v>0.73299999999999998</v>
      </c>
    </row>
    <row r="8027" spans="1:29">
      <c r="A8027" s="8" t="s">
        <v>1832</v>
      </c>
      <c r="B8027" s="17" t="s">
        <v>7746</v>
      </c>
      <c r="C8027" s="13">
        <v>36319</v>
      </c>
      <c r="D8027" s="13" t="s">
        <v>8465</v>
      </c>
      <c r="E8027" s="10" t="s">
        <v>86</v>
      </c>
      <c r="F8027" s="10" t="s">
        <v>163</v>
      </c>
      <c r="G8027" s="11" t="s">
        <v>1483</v>
      </c>
      <c r="H8027" s="2" t="s">
        <v>80</v>
      </c>
      <c r="L8027" s="18">
        <v>0</v>
      </c>
      <c r="Q8027" s="18">
        <v>0</v>
      </c>
      <c r="U8027" s="22">
        <v>0.55000000000000004</v>
      </c>
      <c r="V8027" s="22">
        <f>2.99/5</f>
        <v>0.59800000000000009</v>
      </c>
      <c r="X8027" s="3">
        <v>3</v>
      </c>
      <c r="Z8027" s="23">
        <v>4.5</v>
      </c>
      <c r="AB8027" s="18">
        <f t="shared" si="250"/>
        <v>1999</v>
      </c>
      <c r="AC8027" s="22">
        <f t="shared" si="251"/>
        <v>0.58266666666666678</v>
      </c>
    </row>
    <row r="8028" spans="1:29">
      <c r="A8028" s="8" t="s">
        <v>13671</v>
      </c>
      <c r="B8028" s="17" t="s">
        <v>7736</v>
      </c>
      <c r="C8028" s="13">
        <v>36312</v>
      </c>
      <c r="D8028" s="13" t="s">
        <v>8463</v>
      </c>
      <c r="E8028" s="10" t="s">
        <v>86</v>
      </c>
      <c r="F8028" s="10" t="s">
        <v>1794</v>
      </c>
      <c r="G8028" s="11" t="s">
        <v>10286</v>
      </c>
      <c r="H8028" s="2" t="s">
        <v>78</v>
      </c>
      <c r="K8028" s="18">
        <v>0</v>
      </c>
      <c r="L8028" s="18">
        <v>0</v>
      </c>
      <c r="Q8028" s="18">
        <v>0</v>
      </c>
      <c r="V8028" s="22">
        <f>3.88/5</f>
        <v>0.77600000000000002</v>
      </c>
      <c r="W8028" s="14" t="s">
        <v>13672</v>
      </c>
      <c r="X8028" s="3">
        <v>3</v>
      </c>
      <c r="Z8028" s="23">
        <v>14</v>
      </c>
      <c r="AB8028" s="18">
        <f t="shared" si="250"/>
        <v>1999</v>
      </c>
      <c r="AC8028" s="22">
        <f t="shared" si="251"/>
        <v>0.68799999999999994</v>
      </c>
    </row>
    <row r="8029" spans="1:29">
      <c r="A8029" s="8" t="s">
        <v>13266</v>
      </c>
      <c r="B8029" s="17" t="s">
        <v>7800</v>
      </c>
      <c r="C8029" s="12">
        <v>36312</v>
      </c>
      <c r="D8029" s="13" t="s">
        <v>8467</v>
      </c>
      <c r="E8029" s="10" t="s">
        <v>6906</v>
      </c>
      <c r="F8029" s="10" t="s">
        <v>13267</v>
      </c>
      <c r="G8029" s="11" t="s">
        <v>13262</v>
      </c>
      <c r="H8029" s="2" t="s">
        <v>67</v>
      </c>
      <c r="L8029" s="18">
        <v>0</v>
      </c>
      <c r="Q8029" s="18">
        <v>0</v>
      </c>
      <c r="V8029" s="22">
        <f>3.77/5</f>
        <v>0.754</v>
      </c>
      <c r="W8029" s="14" t="s">
        <v>13076</v>
      </c>
      <c r="X8029" s="3">
        <v>2</v>
      </c>
      <c r="Z8029" s="23">
        <v>14</v>
      </c>
      <c r="AB8029" s="18">
        <f t="shared" si="250"/>
        <v>1999</v>
      </c>
      <c r="AC8029" s="22">
        <f t="shared" si="251"/>
        <v>0.57699999999999996</v>
      </c>
    </row>
    <row r="8030" spans="1:29">
      <c r="A8030" s="8" t="s">
        <v>2968</v>
      </c>
      <c r="B8030" s="17" t="s">
        <v>7757</v>
      </c>
      <c r="C8030" s="13">
        <v>36311</v>
      </c>
      <c r="D8030" s="13" t="s">
        <v>8465</v>
      </c>
      <c r="E8030" s="10" t="s">
        <v>1290</v>
      </c>
      <c r="F8030" s="10" t="s">
        <v>1290</v>
      </c>
      <c r="G8030" s="11" t="s">
        <v>2968</v>
      </c>
      <c r="H8030" s="2" t="s">
        <v>1040</v>
      </c>
      <c r="L8030" s="18">
        <v>0</v>
      </c>
      <c r="Q8030" s="18">
        <v>0</v>
      </c>
      <c r="U8030" s="22">
        <v>0.9</v>
      </c>
      <c r="V8030" s="22">
        <f>4.07/5</f>
        <v>0.81400000000000006</v>
      </c>
      <c r="X8030" s="3">
        <v>4</v>
      </c>
      <c r="Z8030" s="23">
        <v>8.5</v>
      </c>
      <c r="AB8030" s="18">
        <f t="shared" si="250"/>
        <v>1999</v>
      </c>
      <c r="AC8030" s="22">
        <f t="shared" si="251"/>
        <v>0.83800000000000008</v>
      </c>
    </row>
    <row r="8031" spans="1:29" ht="25.5">
      <c r="A8031" s="8" t="s">
        <v>2992</v>
      </c>
      <c r="B8031" s="17" t="s">
        <v>7757</v>
      </c>
      <c r="C8031" s="13">
        <v>36311</v>
      </c>
      <c r="D8031" s="13" t="s">
        <v>8465</v>
      </c>
      <c r="E8031" s="10" t="s">
        <v>257</v>
      </c>
      <c r="F8031" s="10" t="s">
        <v>1423</v>
      </c>
      <c r="G8031" s="11" t="s">
        <v>840</v>
      </c>
      <c r="H8031" s="2" t="s">
        <v>171</v>
      </c>
      <c r="L8031" s="18">
        <v>0</v>
      </c>
      <c r="Q8031" s="18">
        <v>0</v>
      </c>
      <c r="U8031" s="22">
        <v>0.79</v>
      </c>
      <c r="V8031" s="22">
        <f>4.21/5</f>
        <v>0.84199999999999997</v>
      </c>
      <c r="X8031" s="3">
        <v>4</v>
      </c>
      <c r="Z8031" s="23">
        <v>37.5</v>
      </c>
      <c r="AB8031" s="18">
        <f t="shared" si="250"/>
        <v>1999</v>
      </c>
      <c r="AC8031" s="22">
        <f t="shared" si="251"/>
        <v>0.81066666666666676</v>
      </c>
    </row>
    <row r="8032" spans="1:29" ht="25.5">
      <c r="A8032" s="8" t="s">
        <v>6592</v>
      </c>
      <c r="B8032" s="20" t="s">
        <v>7739</v>
      </c>
      <c r="C8032" s="13">
        <v>36311</v>
      </c>
      <c r="D8032" s="13" t="s">
        <v>8465</v>
      </c>
      <c r="E8032" s="10" t="s">
        <v>59</v>
      </c>
      <c r="F8032" s="10" t="s">
        <v>6593</v>
      </c>
      <c r="G8032" s="11" t="s">
        <v>18</v>
      </c>
      <c r="H8032" s="2" t="s">
        <v>67</v>
      </c>
      <c r="L8032" s="18">
        <v>0</v>
      </c>
      <c r="Q8032" s="18">
        <v>0</v>
      </c>
      <c r="U8032" s="22">
        <v>0.61</v>
      </c>
      <c r="V8032" s="22">
        <f>3.57/5</f>
        <v>0.71399999999999997</v>
      </c>
      <c r="X8032" s="3">
        <v>3</v>
      </c>
      <c r="Z8032" s="23">
        <v>6.5</v>
      </c>
      <c r="AB8032" s="18">
        <f t="shared" si="250"/>
        <v>1999</v>
      </c>
      <c r="AC8032" s="22">
        <f t="shared" si="251"/>
        <v>0.64133333333333331</v>
      </c>
    </row>
    <row r="8033" spans="1:29">
      <c r="A8033" s="8" t="s">
        <v>3043</v>
      </c>
      <c r="B8033" s="20" t="s">
        <v>7739</v>
      </c>
      <c r="C8033" s="13">
        <v>36311</v>
      </c>
      <c r="D8033" s="13" t="s">
        <v>8465</v>
      </c>
      <c r="E8033" s="10" t="s">
        <v>86</v>
      </c>
      <c r="F8033" s="10" t="s">
        <v>5234</v>
      </c>
      <c r="G8033" s="11" t="s">
        <v>3043</v>
      </c>
      <c r="H8033" s="2" t="s">
        <v>1143</v>
      </c>
      <c r="L8033" s="18">
        <v>0</v>
      </c>
      <c r="Q8033" s="18">
        <v>0</v>
      </c>
      <c r="U8033" s="22">
        <v>0.78</v>
      </c>
      <c r="V8033" s="22">
        <f>3.45/5</f>
        <v>0.69000000000000006</v>
      </c>
      <c r="X8033" s="3">
        <v>2</v>
      </c>
      <c r="Z8033" s="23">
        <v>19</v>
      </c>
      <c r="AB8033" s="18">
        <f t="shared" si="250"/>
        <v>1999</v>
      </c>
      <c r="AC8033" s="22">
        <f t="shared" si="251"/>
        <v>0.62333333333333341</v>
      </c>
    </row>
    <row r="8034" spans="1:29">
      <c r="A8034" s="8" t="s">
        <v>8646</v>
      </c>
      <c r="B8034" s="17" t="s">
        <v>7800</v>
      </c>
      <c r="C8034" s="13">
        <v>36310</v>
      </c>
      <c r="D8034" s="13" t="s">
        <v>8465</v>
      </c>
      <c r="E8034" s="10" t="s">
        <v>1273</v>
      </c>
      <c r="F8034" s="10" t="s">
        <v>8647</v>
      </c>
      <c r="G8034" s="11" t="s">
        <v>8643</v>
      </c>
      <c r="H8034" s="2" t="s">
        <v>1334</v>
      </c>
      <c r="L8034" s="18">
        <v>1</v>
      </c>
      <c r="N8034" s="13">
        <v>43956</v>
      </c>
      <c r="O8034" s="29">
        <v>12</v>
      </c>
      <c r="P8034" s="18" t="s">
        <v>1107</v>
      </c>
      <c r="Q8034" s="18">
        <v>0</v>
      </c>
      <c r="V8034" s="22">
        <f>3.94/5</f>
        <v>0.78800000000000003</v>
      </c>
      <c r="W8034" s="14" t="s">
        <v>7777</v>
      </c>
      <c r="X8034" s="3">
        <v>3</v>
      </c>
      <c r="Z8034" s="23">
        <v>30</v>
      </c>
      <c r="AB8034" s="18">
        <f t="shared" si="250"/>
        <v>1999</v>
      </c>
      <c r="AC8034" s="22">
        <f t="shared" si="251"/>
        <v>0.69399999999999995</v>
      </c>
    </row>
    <row r="8035" spans="1:29" ht="25.5">
      <c r="A8035" s="8" t="s">
        <v>2980</v>
      </c>
      <c r="B8035" s="17" t="s">
        <v>7757</v>
      </c>
      <c r="C8035" s="13">
        <v>36308</v>
      </c>
      <c r="D8035" s="13" t="s">
        <v>8465</v>
      </c>
      <c r="E8035" s="10" t="s">
        <v>2701</v>
      </c>
      <c r="F8035" s="10" t="s">
        <v>1512</v>
      </c>
      <c r="G8035" s="11" t="s">
        <v>1960</v>
      </c>
      <c r="H8035" s="2" t="s">
        <v>149</v>
      </c>
      <c r="L8035" s="18">
        <v>0</v>
      </c>
      <c r="Q8035" s="18">
        <v>0</v>
      </c>
      <c r="U8035" s="22">
        <v>0.86</v>
      </c>
      <c r="V8035" s="22">
        <f>4.18/5</f>
        <v>0.83599999999999997</v>
      </c>
      <c r="X8035" s="3">
        <v>4</v>
      </c>
      <c r="Z8035" s="23">
        <v>26.5</v>
      </c>
      <c r="AB8035" s="18">
        <f t="shared" si="250"/>
        <v>1999</v>
      </c>
      <c r="AC8035" s="22">
        <f t="shared" si="251"/>
        <v>0.83199999999999996</v>
      </c>
    </row>
    <row r="8036" spans="1:29">
      <c r="A8036" s="8" t="s">
        <v>12469</v>
      </c>
      <c r="B8036" s="17" t="s">
        <v>7739</v>
      </c>
      <c r="C8036" s="13">
        <v>36308</v>
      </c>
      <c r="D8036" s="13" t="s">
        <v>8463</v>
      </c>
      <c r="E8036" s="10" t="s">
        <v>62</v>
      </c>
      <c r="F8036" s="10" t="s">
        <v>7985</v>
      </c>
      <c r="H8036" s="2" t="s">
        <v>1168</v>
      </c>
      <c r="K8036" s="18">
        <v>2</v>
      </c>
      <c r="L8036" s="18">
        <v>0</v>
      </c>
      <c r="Q8036" s="18">
        <v>0</v>
      </c>
      <c r="V8036" s="22">
        <f>3.72/5</f>
        <v>0.74399999999999999</v>
      </c>
      <c r="X8036" s="3">
        <v>2</v>
      </c>
      <c r="AB8036" s="18">
        <f t="shared" si="250"/>
        <v>1999</v>
      </c>
      <c r="AC8036" s="22">
        <f t="shared" si="251"/>
        <v>0.57200000000000006</v>
      </c>
    </row>
    <row r="8037" spans="1:29" ht="25.5">
      <c r="A8037" s="8" t="s">
        <v>15902</v>
      </c>
      <c r="B8037" s="17" t="s">
        <v>7739</v>
      </c>
      <c r="C8037" s="13">
        <v>36308</v>
      </c>
      <c r="D8037" s="13" t="s">
        <v>8465</v>
      </c>
      <c r="E8037" s="10" t="s">
        <v>12471</v>
      </c>
      <c r="F8037" s="10" t="s">
        <v>12471</v>
      </c>
      <c r="G8037" s="11" t="s">
        <v>1325</v>
      </c>
      <c r="H8037" s="2" t="s">
        <v>80</v>
      </c>
      <c r="L8037" s="18">
        <v>0</v>
      </c>
      <c r="Q8037" s="18">
        <v>0</v>
      </c>
      <c r="V8037" s="22">
        <f>1.22/5</f>
        <v>0.24399999999999999</v>
      </c>
      <c r="X8037" s="3">
        <v>2</v>
      </c>
      <c r="Z8037" s="23">
        <v>6</v>
      </c>
      <c r="AB8037" s="18">
        <f t="shared" si="250"/>
        <v>1999</v>
      </c>
      <c r="AC8037" s="22">
        <f t="shared" si="251"/>
        <v>0.32200000000000001</v>
      </c>
    </row>
    <row r="8038" spans="1:29" ht="25.5">
      <c r="A8038" s="8" t="s">
        <v>11748</v>
      </c>
      <c r="B8038" s="17" t="s">
        <v>7757</v>
      </c>
      <c r="C8038" s="13">
        <v>36307</v>
      </c>
      <c r="D8038" s="13" t="s">
        <v>8463</v>
      </c>
      <c r="E8038" s="10" t="s">
        <v>11749</v>
      </c>
      <c r="F8038" s="10" t="s">
        <v>11749</v>
      </c>
      <c r="G8038" s="11" t="s">
        <v>11750</v>
      </c>
      <c r="H8038" s="2" t="s">
        <v>459</v>
      </c>
      <c r="K8038" s="18">
        <v>0</v>
      </c>
      <c r="L8038" s="18">
        <v>0</v>
      </c>
      <c r="Q8038" s="18">
        <v>0</v>
      </c>
      <c r="V8038" s="22">
        <f>4.02/5</f>
        <v>0.80399999999999994</v>
      </c>
      <c r="X8038" s="3">
        <v>2</v>
      </c>
      <c r="Z8038" s="23">
        <f>56/60</f>
        <v>0.93333333333333335</v>
      </c>
      <c r="AB8038" s="18">
        <f t="shared" si="250"/>
        <v>1999</v>
      </c>
      <c r="AC8038" s="22">
        <f t="shared" si="251"/>
        <v>0.60199999999999998</v>
      </c>
    </row>
    <row r="8039" spans="1:29" ht="25.5">
      <c r="A8039" s="8" t="s">
        <v>1208</v>
      </c>
      <c r="B8039" s="17" t="s">
        <v>7794</v>
      </c>
      <c r="C8039" s="13">
        <v>36300</v>
      </c>
      <c r="D8039" s="13" t="s">
        <v>8463</v>
      </c>
      <c r="E8039" s="10" t="s">
        <v>157</v>
      </c>
      <c r="F8039" s="10" t="s">
        <v>158</v>
      </c>
      <c r="G8039" s="11" t="s">
        <v>1003</v>
      </c>
      <c r="H8039" s="2" t="s">
        <v>64</v>
      </c>
      <c r="K8039" s="18">
        <v>2</v>
      </c>
      <c r="L8039" s="18">
        <v>0</v>
      </c>
      <c r="Q8039" s="18">
        <v>0</v>
      </c>
      <c r="V8039" s="22">
        <f>3.49/5</f>
        <v>0.69800000000000006</v>
      </c>
      <c r="X8039" s="3">
        <v>3</v>
      </c>
      <c r="Z8039" s="23">
        <v>6.5</v>
      </c>
      <c r="AB8039" s="18">
        <f t="shared" si="250"/>
        <v>1999</v>
      </c>
      <c r="AC8039" s="22">
        <f t="shared" si="251"/>
        <v>0.64900000000000002</v>
      </c>
    </row>
    <row r="8040" spans="1:29">
      <c r="A8040" s="8" t="s">
        <v>8036</v>
      </c>
      <c r="B8040" s="17" t="s">
        <v>7757</v>
      </c>
      <c r="C8040" s="13">
        <v>36281</v>
      </c>
      <c r="D8040" s="13" t="s">
        <v>8465</v>
      </c>
      <c r="E8040" s="10" t="s">
        <v>158</v>
      </c>
      <c r="F8040" s="10" t="s">
        <v>158</v>
      </c>
      <c r="G8040" s="11" t="s">
        <v>8037</v>
      </c>
      <c r="H8040" s="2" t="s">
        <v>150</v>
      </c>
      <c r="L8040" s="18">
        <v>0</v>
      </c>
      <c r="Q8040" s="18">
        <v>0</v>
      </c>
      <c r="U8040" s="22">
        <v>0.88160000000000005</v>
      </c>
      <c r="V8040" s="22">
        <f>4.1/5</f>
        <v>0.82</v>
      </c>
      <c r="X8040" s="3">
        <v>3</v>
      </c>
      <c r="Z8040" s="23">
        <v>2</v>
      </c>
      <c r="AB8040" s="18">
        <f t="shared" si="250"/>
        <v>1999</v>
      </c>
      <c r="AC8040" s="22">
        <f t="shared" si="251"/>
        <v>0.76719999999999999</v>
      </c>
    </row>
    <row r="8041" spans="1:29">
      <c r="A8041" s="8" t="s">
        <v>7549</v>
      </c>
      <c r="B8041" s="17" t="s">
        <v>7800</v>
      </c>
      <c r="C8041" s="13">
        <v>36281</v>
      </c>
      <c r="D8041" s="13" t="s">
        <v>8465</v>
      </c>
      <c r="E8041" s="10" t="s">
        <v>6582</v>
      </c>
      <c r="F8041" s="10" t="s">
        <v>7550</v>
      </c>
      <c r="G8041" s="11" t="s">
        <v>1433</v>
      </c>
      <c r="H8041" s="2" t="s">
        <v>1204</v>
      </c>
      <c r="L8041" s="18">
        <v>0</v>
      </c>
      <c r="Q8041" s="18">
        <v>0</v>
      </c>
      <c r="U8041" s="22">
        <v>0.82</v>
      </c>
      <c r="V8041" s="22">
        <f>3.99/5</f>
        <v>0.79800000000000004</v>
      </c>
      <c r="X8041" s="3">
        <v>3</v>
      </c>
      <c r="Z8041" s="23">
        <v>8</v>
      </c>
      <c r="AB8041" s="18">
        <f t="shared" si="250"/>
        <v>1999</v>
      </c>
      <c r="AC8041" s="22">
        <f t="shared" si="251"/>
        <v>0.73933333333333329</v>
      </c>
    </row>
    <row r="8042" spans="1:29" ht="25.5">
      <c r="A8042" s="8" t="s">
        <v>6926</v>
      </c>
      <c r="B8042" s="17" t="s">
        <v>7800</v>
      </c>
      <c r="C8042" s="13">
        <v>36280</v>
      </c>
      <c r="D8042" s="13" t="s">
        <v>8465</v>
      </c>
      <c r="E8042" s="10" t="s">
        <v>1272</v>
      </c>
      <c r="F8042" s="10" t="s">
        <v>1161</v>
      </c>
      <c r="G8042" s="11" t="s">
        <v>3253</v>
      </c>
      <c r="H8042" s="2" t="s">
        <v>1720</v>
      </c>
      <c r="L8042" s="18">
        <v>1</v>
      </c>
      <c r="N8042" s="13">
        <v>41591</v>
      </c>
      <c r="O8042" s="29">
        <v>0</v>
      </c>
      <c r="P8042" s="18" t="s">
        <v>1107</v>
      </c>
      <c r="Q8042" s="18">
        <v>0</v>
      </c>
      <c r="U8042" s="22">
        <v>0.85</v>
      </c>
      <c r="V8042" s="22">
        <f>4.1/5</f>
        <v>0.82</v>
      </c>
      <c r="W8042" s="14" t="s">
        <v>7778</v>
      </c>
      <c r="X8042" s="3">
        <v>4</v>
      </c>
      <c r="Z8042" s="23">
        <v>11</v>
      </c>
      <c r="AB8042" s="18">
        <f t="shared" si="250"/>
        <v>1999</v>
      </c>
      <c r="AC8042" s="22">
        <f t="shared" si="251"/>
        <v>0.82333333333333325</v>
      </c>
    </row>
    <row r="8043" spans="1:29" ht="30">
      <c r="A8043" s="8" t="s">
        <v>11186</v>
      </c>
      <c r="B8043" s="17" t="s">
        <v>7733</v>
      </c>
      <c r="C8043" s="13">
        <v>36280</v>
      </c>
      <c r="D8043" s="13" t="s">
        <v>8465</v>
      </c>
      <c r="E8043" s="10" t="s">
        <v>170</v>
      </c>
      <c r="F8043" s="10" t="s">
        <v>170</v>
      </c>
      <c r="G8043" s="11" t="s">
        <v>567</v>
      </c>
      <c r="H8043" s="2" t="s">
        <v>459</v>
      </c>
      <c r="L8043" s="18">
        <v>0</v>
      </c>
      <c r="Q8043" s="18">
        <v>0</v>
      </c>
      <c r="V8043" s="22">
        <f>3.83/5</f>
        <v>0.76600000000000001</v>
      </c>
      <c r="X8043" s="3">
        <v>2</v>
      </c>
      <c r="Z8043" s="23">
        <f>31/60</f>
        <v>0.51666666666666672</v>
      </c>
      <c r="AB8043" s="18">
        <f t="shared" si="250"/>
        <v>1999</v>
      </c>
      <c r="AC8043" s="22">
        <f t="shared" si="251"/>
        <v>0.58299999999999996</v>
      </c>
    </row>
    <row r="8044" spans="1:29" ht="30">
      <c r="A8044" s="8" t="s">
        <v>12836</v>
      </c>
      <c r="B8044" s="17" t="s">
        <v>7757</v>
      </c>
      <c r="C8044" s="13">
        <v>36280</v>
      </c>
      <c r="D8044" s="13" t="s">
        <v>8465</v>
      </c>
      <c r="E8044" s="10" t="s">
        <v>2908</v>
      </c>
      <c r="F8044" s="10" t="s">
        <v>461</v>
      </c>
      <c r="G8044" s="11" t="s">
        <v>12835</v>
      </c>
      <c r="H8044" s="2" t="s">
        <v>459</v>
      </c>
      <c r="L8044" s="18">
        <v>0</v>
      </c>
      <c r="Q8044" s="18">
        <v>0</v>
      </c>
      <c r="V8044" s="22">
        <f>3.83/5</f>
        <v>0.76600000000000001</v>
      </c>
      <c r="X8044" s="3">
        <v>2</v>
      </c>
      <c r="Z8044" s="23">
        <v>2.5</v>
      </c>
      <c r="AB8044" s="18">
        <f t="shared" si="250"/>
        <v>1999</v>
      </c>
      <c r="AC8044" s="22">
        <f t="shared" si="251"/>
        <v>0.58299999999999996</v>
      </c>
    </row>
    <row r="8045" spans="1:29">
      <c r="A8045" s="8" t="s">
        <v>12942</v>
      </c>
      <c r="B8045" s="17" t="s">
        <v>7757</v>
      </c>
      <c r="C8045" s="13">
        <v>36280</v>
      </c>
      <c r="D8045" s="13" t="s">
        <v>8465</v>
      </c>
      <c r="E8045" s="10" t="s">
        <v>158</v>
      </c>
      <c r="F8045" s="10" t="s">
        <v>7406</v>
      </c>
      <c r="G8045" s="11" t="s">
        <v>12941</v>
      </c>
      <c r="H8045" s="2" t="s">
        <v>1170</v>
      </c>
      <c r="L8045" s="18">
        <v>0</v>
      </c>
      <c r="Q8045" s="18">
        <v>0</v>
      </c>
      <c r="V8045" s="22">
        <f>3.75/5</f>
        <v>0.75</v>
      </c>
      <c r="X8045" s="3">
        <v>2</v>
      </c>
      <c r="Z8045" s="23">
        <v>1.5</v>
      </c>
      <c r="AB8045" s="18">
        <f t="shared" si="250"/>
        <v>1999</v>
      </c>
      <c r="AC8045" s="22">
        <f t="shared" si="251"/>
        <v>0.57499999999999996</v>
      </c>
    </row>
    <row r="8046" spans="1:29">
      <c r="A8046" s="8" t="s">
        <v>11028</v>
      </c>
      <c r="B8046" s="17" t="s">
        <v>7757</v>
      </c>
      <c r="C8046" s="13">
        <v>36280</v>
      </c>
      <c r="D8046" s="13" t="s">
        <v>8465</v>
      </c>
      <c r="E8046" s="10" t="s">
        <v>3045</v>
      </c>
      <c r="F8046" s="10" t="s">
        <v>9220</v>
      </c>
      <c r="H8046" s="2" t="s">
        <v>459</v>
      </c>
      <c r="L8046" s="18">
        <v>0</v>
      </c>
      <c r="Q8046" s="18">
        <v>0</v>
      </c>
      <c r="V8046" s="22">
        <f>3.42/5</f>
        <v>0.68399999999999994</v>
      </c>
      <c r="X8046" s="3">
        <v>2</v>
      </c>
      <c r="Z8046" s="23">
        <v>2.5</v>
      </c>
      <c r="AB8046" s="18">
        <f t="shared" si="250"/>
        <v>1999</v>
      </c>
      <c r="AC8046" s="22">
        <f t="shared" si="251"/>
        <v>0.54200000000000004</v>
      </c>
    </row>
    <row r="8047" spans="1:29">
      <c r="A8047" s="8" t="s">
        <v>9151</v>
      </c>
      <c r="B8047" s="17" t="s">
        <v>7757</v>
      </c>
      <c r="C8047" s="13">
        <v>36280</v>
      </c>
      <c r="D8047" s="13" t="s">
        <v>8465</v>
      </c>
      <c r="E8047" s="10" t="s">
        <v>3014</v>
      </c>
      <c r="F8047" s="10" t="s">
        <v>9152</v>
      </c>
      <c r="H8047" s="2" t="s">
        <v>75</v>
      </c>
      <c r="L8047" s="18">
        <v>0</v>
      </c>
      <c r="Q8047" s="18">
        <v>0</v>
      </c>
      <c r="V8047" s="22">
        <f>3.11/5</f>
        <v>0.622</v>
      </c>
      <c r="X8047" s="3">
        <v>2</v>
      </c>
      <c r="Z8047" s="23">
        <v>35.5</v>
      </c>
      <c r="AB8047" s="18">
        <f t="shared" si="250"/>
        <v>1999</v>
      </c>
      <c r="AC8047" s="22">
        <f t="shared" si="251"/>
        <v>0.51100000000000001</v>
      </c>
    </row>
    <row r="8048" spans="1:29" ht="25.5">
      <c r="A8048" s="8" t="s">
        <v>2926</v>
      </c>
      <c r="B8048" s="17" t="s">
        <v>7757</v>
      </c>
      <c r="C8048" s="13">
        <v>36278</v>
      </c>
      <c r="D8048" s="13" t="s">
        <v>8463</v>
      </c>
      <c r="E8048" s="10" t="s">
        <v>463</v>
      </c>
      <c r="F8048" s="10" t="s">
        <v>463</v>
      </c>
      <c r="G8048" s="11" t="s">
        <v>443</v>
      </c>
      <c r="H8048" s="2" t="s">
        <v>21</v>
      </c>
      <c r="K8048" s="18">
        <v>2</v>
      </c>
      <c r="L8048" s="18">
        <v>0</v>
      </c>
      <c r="Q8048" s="18">
        <v>0</v>
      </c>
      <c r="V8048" s="22">
        <f>3.48/5</f>
        <v>0.69599999999999995</v>
      </c>
      <c r="X8048" s="3">
        <v>3</v>
      </c>
      <c r="Z8048" s="23">
        <v>2</v>
      </c>
      <c r="AB8048" s="18">
        <f t="shared" si="250"/>
        <v>1999</v>
      </c>
      <c r="AC8048" s="22">
        <f t="shared" si="251"/>
        <v>0.64799999999999991</v>
      </c>
    </row>
    <row r="8049" spans="1:29">
      <c r="A8049" s="8" t="s">
        <v>892</v>
      </c>
      <c r="B8049" s="20" t="s">
        <v>7739</v>
      </c>
      <c r="C8049" s="13">
        <v>36276</v>
      </c>
      <c r="D8049" s="13" t="s">
        <v>8465</v>
      </c>
      <c r="E8049" s="10" t="s">
        <v>86</v>
      </c>
      <c r="F8049" s="10" t="s">
        <v>30</v>
      </c>
      <c r="G8049" s="11" t="s">
        <v>892</v>
      </c>
      <c r="H8049" s="2" t="s">
        <v>459</v>
      </c>
      <c r="L8049" s="18">
        <v>0</v>
      </c>
      <c r="Q8049" s="18">
        <v>0</v>
      </c>
      <c r="U8049" s="22">
        <v>0.79</v>
      </c>
      <c r="V8049" s="22">
        <f>4.21/5</f>
        <v>0.84199999999999997</v>
      </c>
      <c r="X8049" s="3">
        <v>4</v>
      </c>
      <c r="Z8049" s="23">
        <v>4</v>
      </c>
      <c r="AB8049" s="18">
        <f t="shared" si="250"/>
        <v>1999</v>
      </c>
      <c r="AC8049" s="22">
        <f t="shared" si="251"/>
        <v>0.81066666666666676</v>
      </c>
    </row>
    <row r="8050" spans="1:29">
      <c r="A8050" s="8" t="s">
        <v>15633</v>
      </c>
      <c r="B8050" s="17" t="s">
        <v>7757</v>
      </c>
      <c r="C8050" s="13">
        <v>36272</v>
      </c>
      <c r="D8050" s="13" t="s">
        <v>8463</v>
      </c>
      <c r="E8050" s="10" t="s">
        <v>9060</v>
      </c>
      <c r="F8050" s="10" t="s">
        <v>15634</v>
      </c>
      <c r="H8050" s="2" t="s">
        <v>1168</v>
      </c>
      <c r="K8050" s="18">
        <v>0</v>
      </c>
      <c r="L8050" s="18">
        <v>0</v>
      </c>
      <c r="Q8050" s="18">
        <v>0</v>
      </c>
      <c r="V8050" s="22">
        <f>3.75/5</f>
        <v>0.75</v>
      </c>
      <c r="X8050" s="3">
        <v>3</v>
      </c>
      <c r="AB8050" s="18">
        <f t="shared" si="250"/>
        <v>1999</v>
      </c>
      <c r="AC8050" s="22">
        <f t="shared" si="251"/>
        <v>0.67500000000000004</v>
      </c>
    </row>
    <row r="8051" spans="1:29" ht="25.5">
      <c r="A8051" s="8" t="s">
        <v>1840</v>
      </c>
      <c r="B8051" s="17" t="s">
        <v>7746</v>
      </c>
      <c r="C8051" s="13">
        <v>36266</v>
      </c>
      <c r="D8051" s="13" t="s">
        <v>8463</v>
      </c>
      <c r="E8051" s="10" t="s">
        <v>228</v>
      </c>
      <c r="F8051" s="10" t="s">
        <v>1793</v>
      </c>
      <c r="G8051" s="11" t="s">
        <v>1171</v>
      </c>
      <c r="H8051" s="2" t="s">
        <v>149</v>
      </c>
      <c r="K8051" s="18">
        <v>2</v>
      </c>
      <c r="L8051" s="18">
        <v>0</v>
      </c>
      <c r="Q8051" s="18">
        <v>0</v>
      </c>
      <c r="V8051" s="22">
        <f>1.93/5</f>
        <v>0.38600000000000001</v>
      </c>
      <c r="X8051" s="3">
        <v>3</v>
      </c>
      <c r="Z8051" s="23">
        <v>9.5</v>
      </c>
      <c r="AB8051" s="18">
        <f t="shared" si="250"/>
        <v>1999</v>
      </c>
      <c r="AC8051" s="22">
        <f t="shared" si="251"/>
        <v>0.49299999999999999</v>
      </c>
    </row>
    <row r="8052" spans="1:29">
      <c r="A8052" s="8" t="s">
        <v>6565</v>
      </c>
      <c r="B8052" s="20" t="s">
        <v>7739</v>
      </c>
      <c r="C8052" s="13">
        <v>36264</v>
      </c>
      <c r="D8052" s="13" t="s">
        <v>8465</v>
      </c>
      <c r="E8052" s="10" t="s">
        <v>160</v>
      </c>
      <c r="F8052" s="10" t="s">
        <v>1786</v>
      </c>
      <c r="G8052" s="11" t="s">
        <v>6564</v>
      </c>
      <c r="H8052" s="2" t="s">
        <v>1040</v>
      </c>
      <c r="L8052" s="18">
        <v>0</v>
      </c>
      <c r="Q8052" s="18">
        <v>0</v>
      </c>
      <c r="U8052" s="22">
        <v>0.49</v>
      </c>
      <c r="V8052" s="22">
        <f>3.19/5</f>
        <v>0.63800000000000001</v>
      </c>
      <c r="X8052" s="3">
        <v>2</v>
      </c>
      <c r="Z8052" s="23">
        <v>3</v>
      </c>
      <c r="AB8052" s="18">
        <f t="shared" si="250"/>
        <v>1999</v>
      </c>
      <c r="AC8052" s="22">
        <f t="shared" si="251"/>
        <v>0.5093333333333333</v>
      </c>
    </row>
    <row r="8053" spans="1:29">
      <c r="A8053" s="8" t="s">
        <v>12492</v>
      </c>
      <c r="B8053" s="17" t="s">
        <v>7800</v>
      </c>
      <c r="C8053" s="13">
        <v>36260</v>
      </c>
      <c r="D8053" s="13" t="s">
        <v>8465</v>
      </c>
      <c r="E8053" s="10" t="s">
        <v>1870</v>
      </c>
      <c r="F8053" s="10" t="s">
        <v>12493</v>
      </c>
      <c r="H8053" s="2" t="s">
        <v>1143</v>
      </c>
      <c r="L8053" s="18">
        <v>0</v>
      </c>
      <c r="Q8053" s="18">
        <v>0</v>
      </c>
      <c r="V8053" s="22">
        <f>4.14/5</f>
        <v>0.82799999999999996</v>
      </c>
      <c r="W8053" s="14" t="s">
        <v>5674</v>
      </c>
      <c r="X8053" s="3">
        <v>2</v>
      </c>
      <c r="AB8053" s="18">
        <f t="shared" si="250"/>
        <v>1999</v>
      </c>
      <c r="AC8053" s="22">
        <f t="shared" si="251"/>
        <v>0.61399999999999999</v>
      </c>
    </row>
    <row r="8054" spans="1:29">
      <c r="A8054" s="8" t="s">
        <v>339</v>
      </c>
      <c r="B8054" s="17" t="s">
        <v>6317</v>
      </c>
      <c r="C8054" s="13">
        <v>36257</v>
      </c>
      <c r="D8054" s="13" t="s">
        <v>8463</v>
      </c>
      <c r="E8054" s="10" t="s">
        <v>461</v>
      </c>
      <c r="F8054" s="10" t="s">
        <v>461</v>
      </c>
      <c r="G8054" s="11" t="s">
        <v>340</v>
      </c>
      <c r="H8054" s="2" t="s">
        <v>21</v>
      </c>
      <c r="K8054" s="18">
        <v>0</v>
      </c>
      <c r="L8054" s="18">
        <v>0</v>
      </c>
      <c r="Q8054" s="18">
        <v>0</v>
      </c>
      <c r="V8054" s="22">
        <f>3.95/5</f>
        <v>0.79</v>
      </c>
      <c r="X8054" s="3">
        <v>3</v>
      </c>
      <c r="Z8054" s="23">
        <v>3</v>
      </c>
      <c r="AB8054" s="18">
        <f t="shared" si="250"/>
        <v>1999</v>
      </c>
      <c r="AC8054" s="22">
        <f t="shared" si="251"/>
        <v>0.69500000000000006</v>
      </c>
    </row>
    <row r="8055" spans="1:29" ht="25.5">
      <c r="A8055" s="8" t="s">
        <v>3478</v>
      </c>
      <c r="B8055" s="17" t="s">
        <v>7800</v>
      </c>
      <c r="C8055" s="13">
        <v>36257</v>
      </c>
      <c r="D8055" s="13" t="s">
        <v>8465</v>
      </c>
      <c r="E8055" s="10" t="s">
        <v>1870</v>
      </c>
      <c r="F8055" s="10" t="s">
        <v>3474</v>
      </c>
      <c r="G8055" s="11" t="s">
        <v>3475</v>
      </c>
      <c r="H8055" s="2" t="s">
        <v>3279</v>
      </c>
      <c r="L8055" s="18">
        <v>1</v>
      </c>
      <c r="N8055" s="13">
        <v>41085</v>
      </c>
      <c r="P8055" s="18" t="s">
        <v>1107</v>
      </c>
      <c r="Q8055" s="18">
        <v>0</v>
      </c>
      <c r="U8055" s="22">
        <v>0.79</v>
      </c>
      <c r="V8055" s="22">
        <f>3.78/5</f>
        <v>0.75600000000000001</v>
      </c>
      <c r="W8055" s="14" t="s">
        <v>7777</v>
      </c>
      <c r="X8055" s="3">
        <v>2</v>
      </c>
      <c r="Z8055" s="23">
        <v>12</v>
      </c>
      <c r="AB8055" s="18">
        <f t="shared" si="250"/>
        <v>1999</v>
      </c>
      <c r="AC8055" s="22">
        <f t="shared" si="251"/>
        <v>0.64866666666666672</v>
      </c>
    </row>
    <row r="8056" spans="1:29">
      <c r="A8056" s="8" t="s">
        <v>13670</v>
      </c>
      <c r="B8056" s="17" t="s">
        <v>7736</v>
      </c>
      <c r="C8056" s="13">
        <v>36251</v>
      </c>
      <c r="D8056" s="13" t="s">
        <v>8463</v>
      </c>
      <c r="E8056" s="10" t="s">
        <v>86</v>
      </c>
      <c r="F8056" s="10" t="s">
        <v>1794</v>
      </c>
      <c r="G8056" s="11" t="s">
        <v>10286</v>
      </c>
      <c r="H8056" s="2" t="s">
        <v>78</v>
      </c>
      <c r="K8056" s="18">
        <v>0</v>
      </c>
      <c r="L8056" s="18">
        <v>0</v>
      </c>
      <c r="Q8056" s="18">
        <v>0</v>
      </c>
      <c r="V8056" s="22">
        <f>3.71/5</f>
        <v>0.74199999999999999</v>
      </c>
      <c r="W8056" s="14" t="s">
        <v>13672</v>
      </c>
      <c r="X8056" s="3">
        <v>3</v>
      </c>
      <c r="Z8056" s="23">
        <v>14.5</v>
      </c>
      <c r="AB8056" s="18">
        <f t="shared" si="250"/>
        <v>1999</v>
      </c>
      <c r="AC8056" s="22">
        <f t="shared" si="251"/>
        <v>0.67100000000000004</v>
      </c>
    </row>
    <row r="8057" spans="1:29">
      <c r="A8057" s="8" t="s">
        <v>1861</v>
      </c>
      <c r="B8057" s="17" t="s">
        <v>7746</v>
      </c>
      <c r="C8057" s="13">
        <v>36250</v>
      </c>
      <c r="D8057" s="13" t="s">
        <v>8465</v>
      </c>
      <c r="E8057" s="10" t="s">
        <v>86</v>
      </c>
      <c r="F8057" s="10" t="s">
        <v>142</v>
      </c>
      <c r="G8057" s="11" t="s">
        <v>1428</v>
      </c>
      <c r="H8057" s="2" t="s">
        <v>56</v>
      </c>
      <c r="L8057" s="18">
        <v>0</v>
      </c>
      <c r="Q8057" s="18">
        <v>0</v>
      </c>
      <c r="U8057" s="22">
        <v>0.88</v>
      </c>
      <c r="V8057" s="22">
        <f>3.98/5</f>
        <v>0.79600000000000004</v>
      </c>
      <c r="X8057" s="3">
        <v>4</v>
      </c>
      <c r="Z8057" s="23">
        <v>5.5</v>
      </c>
      <c r="AB8057" s="18">
        <f t="shared" si="250"/>
        <v>1999</v>
      </c>
      <c r="AC8057" s="22">
        <f t="shared" si="251"/>
        <v>0.82533333333333336</v>
      </c>
    </row>
    <row r="8058" spans="1:29" ht="25.5">
      <c r="A8058" s="8" t="s">
        <v>15712</v>
      </c>
      <c r="B8058" s="17" t="s">
        <v>7800</v>
      </c>
      <c r="C8058" s="13">
        <v>36250</v>
      </c>
      <c r="D8058" s="13" t="s">
        <v>8465</v>
      </c>
      <c r="E8058" s="10" t="s">
        <v>1195</v>
      </c>
      <c r="F8058" s="10" t="s">
        <v>1196</v>
      </c>
      <c r="H8058" s="2" t="s">
        <v>1050</v>
      </c>
      <c r="L8058" s="18">
        <v>1</v>
      </c>
      <c r="N8058" s="13">
        <v>45177</v>
      </c>
      <c r="O8058" s="29">
        <v>0</v>
      </c>
      <c r="P8058" s="18" t="s">
        <v>1107</v>
      </c>
      <c r="Q8058" s="18">
        <v>0</v>
      </c>
      <c r="V8058" s="22">
        <f>3.83/5</f>
        <v>0.76600000000000001</v>
      </c>
      <c r="W8058" s="14" t="s">
        <v>7778</v>
      </c>
      <c r="X8058" s="3">
        <v>2</v>
      </c>
      <c r="Z8058" s="23">
        <v>8</v>
      </c>
      <c r="AB8058" s="18">
        <f t="shared" si="250"/>
        <v>1999</v>
      </c>
      <c r="AC8058" s="22">
        <f t="shared" si="251"/>
        <v>0.58299999999999996</v>
      </c>
    </row>
    <row r="8059" spans="1:29">
      <c r="A8059" s="8" t="s">
        <v>15778</v>
      </c>
      <c r="B8059" s="17" t="s">
        <v>7739</v>
      </c>
      <c r="C8059" s="13">
        <v>36249</v>
      </c>
      <c r="D8059" s="13" t="s">
        <v>8465</v>
      </c>
      <c r="E8059" s="10" t="s">
        <v>60</v>
      </c>
      <c r="F8059" s="10" t="s">
        <v>15779</v>
      </c>
      <c r="G8059" s="11" t="s">
        <v>15780</v>
      </c>
      <c r="H8059" s="2" t="s">
        <v>1040</v>
      </c>
      <c r="L8059" s="18">
        <v>0</v>
      </c>
      <c r="Q8059" s="18">
        <v>0</v>
      </c>
      <c r="V8059" s="22">
        <f>3.33/5</f>
        <v>0.66600000000000004</v>
      </c>
      <c r="X8059" s="3">
        <v>2</v>
      </c>
      <c r="Z8059" s="23">
        <v>15</v>
      </c>
      <c r="AB8059" s="18">
        <f t="shared" si="250"/>
        <v>1999</v>
      </c>
      <c r="AC8059" s="22">
        <f t="shared" si="251"/>
        <v>0.53300000000000003</v>
      </c>
    </row>
    <row r="8060" spans="1:29">
      <c r="A8060" s="8" t="s">
        <v>11450</v>
      </c>
      <c r="B8060" s="17" t="s">
        <v>7800</v>
      </c>
      <c r="C8060" s="13">
        <v>36243</v>
      </c>
      <c r="D8060" s="13" t="s">
        <v>8465</v>
      </c>
      <c r="E8060" s="10" t="s">
        <v>1781</v>
      </c>
      <c r="F8060" s="10" t="s">
        <v>11451</v>
      </c>
      <c r="H8060" s="2" t="s">
        <v>1050</v>
      </c>
      <c r="L8060" s="18">
        <v>0</v>
      </c>
      <c r="Q8060" s="18">
        <v>0</v>
      </c>
      <c r="U8060" s="22">
        <v>0.67</v>
      </c>
      <c r="V8060" s="22">
        <f>3.61/5</f>
        <v>0.72199999999999998</v>
      </c>
      <c r="X8060" s="3">
        <v>2</v>
      </c>
      <c r="Z8060" s="23">
        <v>5.5</v>
      </c>
      <c r="AB8060" s="18">
        <f t="shared" si="250"/>
        <v>1999</v>
      </c>
      <c r="AC8060" s="22">
        <f t="shared" si="251"/>
        <v>0.59733333333333327</v>
      </c>
    </row>
    <row r="8061" spans="1:29" ht="25.5">
      <c r="A8061" s="8" t="s">
        <v>6580</v>
      </c>
      <c r="B8061" s="17" t="s">
        <v>7757</v>
      </c>
      <c r="C8061" s="13">
        <v>36242</v>
      </c>
      <c r="D8061" s="13" t="s">
        <v>8465</v>
      </c>
      <c r="E8061" s="10" t="s">
        <v>1870</v>
      </c>
      <c r="F8061" s="10" t="s">
        <v>1198</v>
      </c>
      <c r="G8061" s="11" t="s">
        <v>1186</v>
      </c>
      <c r="H8061" s="2" t="s">
        <v>1040</v>
      </c>
      <c r="L8061" s="18">
        <v>0</v>
      </c>
      <c r="Q8061" s="18">
        <v>0</v>
      </c>
      <c r="U8061" s="22">
        <v>0.77</v>
      </c>
      <c r="V8061" s="22">
        <f>3.59/5</f>
        <v>0.71799999999999997</v>
      </c>
      <c r="X8061" s="3">
        <v>2</v>
      </c>
      <c r="Z8061" s="23">
        <v>6.5</v>
      </c>
      <c r="AB8061" s="18">
        <f t="shared" si="250"/>
        <v>1999</v>
      </c>
      <c r="AC8061" s="22">
        <f t="shared" si="251"/>
        <v>0.6293333333333333</v>
      </c>
    </row>
    <row r="8062" spans="1:29">
      <c r="A8062" s="8" t="s">
        <v>11619</v>
      </c>
      <c r="B8062" s="17" t="s">
        <v>7757</v>
      </c>
      <c r="C8062" s="13">
        <v>36237</v>
      </c>
      <c r="D8062" s="13" t="s">
        <v>8463</v>
      </c>
      <c r="E8062" s="10" t="s">
        <v>157</v>
      </c>
      <c r="F8062" s="10" t="s">
        <v>66</v>
      </c>
      <c r="G8062" s="11" t="s">
        <v>11619</v>
      </c>
      <c r="H8062" s="2" t="s">
        <v>171</v>
      </c>
      <c r="K8062" s="18">
        <v>2</v>
      </c>
      <c r="L8062" s="18">
        <v>0</v>
      </c>
      <c r="Q8062" s="18">
        <v>0</v>
      </c>
      <c r="V8062" s="22">
        <f>4.07/5</f>
        <v>0.81400000000000006</v>
      </c>
      <c r="X8062" s="3">
        <v>2</v>
      </c>
      <c r="Z8062" s="23">
        <v>9</v>
      </c>
      <c r="AB8062" s="18">
        <f t="shared" si="250"/>
        <v>1999</v>
      </c>
      <c r="AC8062" s="22">
        <f t="shared" si="251"/>
        <v>0.60699999999999998</v>
      </c>
    </row>
    <row r="8063" spans="1:29">
      <c r="A8063" s="8" t="s">
        <v>2941</v>
      </c>
      <c r="B8063" s="17" t="s">
        <v>7757</v>
      </c>
      <c r="C8063" s="13">
        <v>36236</v>
      </c>
      <c r="D8063" s="13" t="s">
        <v>8465</v>
      </c>
      <c r="E8063" s="10" t="s">
        <v>1290</v>
      </c>
      <c r="F8063" s="10" t="s">
        <v>3023</v>
      </c>
      <c r="G8063" s="11" t="s">
        <v>3024</v>
      </c>
      <c r="H8063" s="2" t="s">
        <v>149</v>
      </c>
      <c r="L8063" s="18">
        <v>0</v>
      </c>
      <c r="Q8063" s="18">
        <v>0</v>
      </c>
      <c r="U8063" s="22">
        <v>0.77</v>
      </c>
      <c r="V8063" s="22">
        <f>4.04/5</f>
        <v>0.80800000000000005</v>
      </c>
      <c r="X8063" s="3">
        <v>3</v>
      </c>
      <c r="Z8063" s="23">
        <v>37</v>
      </c>
      <c r="AB8063" s="18">
        <f t="shared" si="250"/>
        <v>1999</v>
      </c>
      <c r="AC8063" s="22">
        <f t="shared" si="251"/>
        <v>0.72599999999999998</v>
      </c>
    </row>
    <row r="8064" spans="1:29" ht="25.5">
      <c r="A8064" s="8" t="s">
        <v>15371</v>
      </c>
      <c r="B8064" s="17" t="s">
        <v>7800</v>
      </c>
      <c r="C8064" s="13">
        <v>36234</v>
      </c>
      <c r="D8064" s="13" t="s">
        <v>8465</v>
      </c>
      <c r="E8064" s="10" t="s">
        <v>6906</v>
      </c>
      <c r="F8064" s="10" t="s">
        <v>15370</v>
      </c>
      <c r="H8064" s="2" t="s">
        <v>67</v>
      </c>
      <c r="L8064" s="18">
        <v>0</v>
      </c>
      <c r="Q8064" s="18">
        <v>0</v>
      </c>
      <c r="V8064" s="22">
        <f>4.2/5</f>
        <v>0.84000000000000008</v>
      </c>
      <c r="X8064" s="3">
        <v>2</v>
      </c>
      <c r="Z8064" s="23">
        <v>6.5</v>
      </c>
      <c r="AB8064" s="18">
        <f t="shared" si="250"/>
        <v>1999</v>
      </c>
      <c r="AC8064" s="22">
        <f t="shared" si="251"/>
        <v>0.62000000000000011</v>
      </c>
    </row>
    <row r="8065" spans="1:29">
      <c r="A8065" s="8" t="s">
        <v>1209</v>
      </c>
      <c r="B8065" s="17" t="s">
        <v>7794</v>
      </c>
      <c r="C8065" s="13">
        <v>36230</v>
      </c>
      <c r="D8065" s="13" t="s">
        <v>8463</v>
      </c>
      <c r="E8065" s="10" t="s">
        <v>157</v>
      </c>
      <c r="F8065" s="10" t="s">
        <v>167</v>
      </c>
      <c r="G8065" s="11" t="s">
        <v>1211</v>
      </c>
      <c r="H8065" s="2" t="s">
        <v>78</v>
      </c>
      <c r="K8065" s="18">
        <v>0</v>
      </c>
      <c r="L8065" s="18">
        <v>0</v>
      </c>
      <c r="Q8065" s="18">
        <v>0</v>
      </c>
      <c r="V8065" s="22">
        <f>3.29/5</f>
        <v>0.65800000000000003</v>
      </c>
      <c r="X8065" s="3">
        <v>2</v>
      </c>
      <c r="Z8065" s="23">
        <v>2</v>
      </c>
      <c r="AB8065" s="18">
        <f t="shared" ref="AB8065:AB8128" si="252">IFERROR(YEAR(C8065), "Early Access")</f>
        <v>1999</v>
      </c>
      <c r="AC8065" s="22">
        <f t="shared" ref="AC8065:AC8128" si="253">AVERAGE(T8065, U8065, V8065, IF(ISBLANK(X8065), X8065, X8065/5))</f>
        <v>0.52900000000000003</v>
      </c>
    </row>
    <row r="8066" spans="1:29">
      <c r="A8066" s="8" t="s">
        <v>8035</v>
      </c>
      <c r="B8066" s="17" t="s">
        <v>7757</v>
      </c>
      <c r="C8066" s="13">
        <v>36223</v>
      </c>
      <c r="D8066" s="13" t="s">
        <v>8463</v>
      </c>
      <c r="E8066" s="10" t="s">
        <v>55</v>
      </c>
      <c r="F8066" s="10" t="s">
        <v>55</v>
      </c>
      <c r="H8066" s="2" t="s">
        <v>143</v>
      </c>
      <c r="K8066" s="18">
        <v>2</v>
      </c>
      <c r="L8066" s="18">
        <v>0</v>
      </c>
      <c r="Q8066" s="18">
        <v>0</v>
      </c>
      <c r="U8066" s="22">
        <v>0.7</v>
      </c>
      <c r="V8066" s="22">
        <f>3.73/5</f>
        <v>0.746</v>
      </c>
      <c r="X8066" s="3">
        <v>3</v>
      </c>
      <c r="Z8066" s="23">
        <v>1.5</v>
      </c>
      <c r="AB8066" s="18">
        <f t="shared" si="252"/>
        <v>1999</v>
      </c>
      <c r="AC8066" s="22">
        <f t="shared" si="253"/>
        <v>0.68199999999999994</v>
      </c>
    </row>
    <row r="8067" spans="1:29" ht="25.5">
      <c r="A8067" s="8" t="s">
        <v>8742</v>
      </c>
      <c r="B8067" s="17" t="s">
        <v>7794</v>
      </c>
      <c r="C8067" s="13">
        <v>36223</v>
      </c>
      <c r="D8067" s="13" t="s">
        <v>8463</v>
      </c>
      <c r="E8067" s="10" t="s">
        <v>161</v>
      </c>
      <c r="F8067" s="10" t="s">
        <v>161</v>
      </c>
      <c r="G8067" s="11" t="s">
        <v>126</v>
      </c>
      <c r="H8067" s="2" t="s">
        <v>1377</v>
      </c>
      <c r="K8067" s="18">
        <v>2</v>
      </c>
      <c r="L8067" s="18">
        <v>0</v>
      </c>
      <c r="Q8067" s="18">
        <v>0</v>
      </c>
      <c r="V8067" s="22">
        <f>3.58/5</f>
        <v>0.71599999999999997</v>
      </c>
      <c r="X8067" s="3">
        <v>3</v>
      </c>
      <c r="Z8067" s="23">
        <v>10</v>
      </c>
      <c r="AB8067" s="18">
        <f t="shared" si="252"/>
        <v>1999</v>
      </c>
      <c r="AC8067" s="22">
        <f t="shared" si="253"/>
        <v>0.65799999999999992</v>
      </c>
    </row>
    <row r="8068" spans="1:29">
      <c r="A8068" s="8" t="s">
        <v>11626</v>
      </c>
      <c r="B8068" s="17" t="s">
        <v>7755</v>
      </c>
      <c r="C8068" s="13">
        <v>36223</v>
      </c>
      <c r="D8068" s="13" t="s">
        <v>8463</v>
      </c>
      <c r="E8068" s="10" t="s">
        <v>455</v>
      </c>
      <c r="F8068" s="10" t="s">
        <v>167</v>
      </c>
      <c r="G8068" s="11" t="s">
        <v>1211</v>
      </c>
      <c r="H8068" s="2" t="s">
        <v>78</v>
      </c>
      <c r="K8068" s="18">
        <v>2</v>
      </c>
      <c r="L8068" s="18">
        <v>0</v>
      </c>
      <c r="Q8068" s="18">
        <v>0</v>
      </c>
      <c r="V8068" s="22">
        <f>4.27/5</f>
        <v>0.85399999999999987</v>
      </c>
      <c r="X8068" s="3">
        <v>2</v>
      </c>
      <c r="Z8068" s="23">
        <v>2.5</v>
      </c>
      <c r="AB8068" s="18">
        <f t="shared" si="252"/>
        <v>1999</v>
      </c>
      <c r="AC8068" s="22">
        <f t="shared" si="253"/>
        <v>0.627</v>
      </c>
    </row>
    <row r="8069" spans="1:29" ht="25.5">
      <c r="A8069" s="8" t="s">
        <v>12279</v>
      </c>
      <c r="B8069" s="17" t="s">
        <v>7757</v>
      </c>
      <c r="C8069" s="13">
        <v>36223</v>
      </c>
      <c r="D8069" s="13" t="s">
        <v>8463</v>
      </c>
      <c r="E8069" s="10" t="s">
        <v>8933</v>
      </c>
      <c r="F8069" s="10" t="s">
        <v>8933</v>
      </c>
      <c r="H8069" s="2" t="s">
        <v>171</v>
      </c>
      <c r="K8069" s="18">
        <v>0</v>
      </c>
      <c r="L8069" s="18">
        <v>0</v>
      </c>
      <c r="Q8069" s="18">
        <v>0</v>
      </c>
      <c r="V8069" s="22">
        <f>3.06/5</f>
        <v>0.61199999999999999</v>
      </c>
      <c r="X8069" s="3">
        <v>2</v>
      </c>
      <c r="AB8069" s="18">
        <f t="shared" si="252"/>
        <v>1999</v>
      </c>
      <c r="AC8069" s="22">
        <f t="shared" si="253"/>
        <v>0.50600000000000001</v>
      </c>
    </row>
    <row r="8070" spans="1:29">
      <c r="A8070" s="8" t="s">
        <v>6596</v>
      </c>
      <c r="B8070" s="20" t="s">
        <v>7739</v>
      </c>
      <c r="C8070" s="13">
        <v>36221</v>
      </c>
      <c r="D8070" s="13" t="s">
        <v>8465</v>
      </c>
      <c r="E8070" s="10" t="s">
        <v>228</v>
      </c>
      <c r="F8070" s="10" t="s">
        <v>6595</v>
      </c>
      <c r="G8070" s="11" t="s">
        <v>6594</v>
      </c>
      <c r="H8070" s="2" t="s">
        <v>150</v>
      </c>
      <c r="L8070" s="18">
        <v>0</v>
      </c>
      <c r="Q8070" s="18">
        <v>0</v>
      </c>
      <c r="U8070" s="22">
        <v>0.69</v>
      </c>
      <c r="V8070" s="22">
        <f>4.01/5</f>
        <v>0.80199999999999994</v>
      </c>
      <c r="X8070" s="3">
        <v>3</v>
      </c>
      <c r="Z8070" s="23">
        <v>19.5</v>
      </c>
      <c r="AB8070" s="18">
        <f t="shared" si="252"/>
        <v>1999</v>
      </c>
      <c r="AC8070" s="22">
        <f t="shared" si="253"/>
        <v>0.69733333333333336</v>
      </c>
    </row>
    <row r="8071" spans="1:29" ht="25.5">
      <c r="A8071" s="8" t="s">
        <v>7478</v>
      </c>
      <c r="B8071" s="17" t="s">
        <v>7757</v>
      </c>
      <c r="C8071" s="13">
        <v>36220</v>
      </c>
      <c r="D8071" s="13" t="s">
        <v>8465</v>
      </c>
      <c r="E8071" s="10" t="s">
        <v>231</v>
      </c>
      <c r="F8071" s="10" t="s">
        <v>6023</v>
      </c>
      <c r="G8071" s="11" t="s">
        <v>4518</v>
      </c>
      <c r="H8071" s="2" t="s">
        <v>150</v>
      </c>
      <c r="L8071" s="18">
        <v>0</v>
      </c>
      <c r="Q8071" s="18">
        <v>0</v>
      </c>
      <c r="U8071" s="22">
        <v>0.84</v>
      </c>
      <c r="V8071" s="22">
        <f>4.1/5</f>
        <v>0.82</v>
      </c>
      <c r="X8071" s="3">
        <v>2</v>
      </c>
      <c r="Z8071" s="23">
        <v>19.5</v>
      </c>
      <c r="AB8071" s="18">
        <f t="shared" si="252"/>
        <v>1999</v>
      </c>
      <c r="AC8071" s="22">
        <f t="shared" si="253"/>
        <v>0.68666666666666665</v>
      </c>
    </row>
    <row r="8072" spans="1:29" ht="38.25">
      <c r="A8072" s="8" t="s">
        <v>6949</v>
      </c>
      <c r="B8072" s="17" t="s">
        <v>7800</v>
      </c>
      <c r="C8072" s="13">
        <v>36219</v>
      </c>
      <c r="D8072" s="13" t="s">
        <v>8465</v>
      </c>
      <c r="E8072" s="10" t="s">
        <v>1195</v>
      </c>
      <c r="F8072" s="10" t="s">
        <v>2659</v>
      </c>
      <c r="G8072" s="11" t="s">
        <v>1864</v>
      </c>
      <c r="H8072" s="2" t="s">
        <v>1720</v>
      </c>
      <c r="L8072" s="18">
        <v>1</v>
      </c>
      <c r="N8072" s="13">
        <v>41748</v>
      </c>
      <c r="O8072" s="29">
        <v>2.4900000000000002</v>
      </c>
      <c r="P8072" s="18" t="s">
        <v>1107</v>
      </c>
      <c r="Q8072" s="18">
        <v>0</v>
      </c>
      <c r="U8072" s="22">
        <v>0.87</v>
      </c>
      <c r="V8072" s="22">
        <f>4.34/5</f>
        <v>0.86799999999999999</v>
      </c>
      <c r="W8072" s="14" t="s">
        <v>7778</v>
      </c>
      <c r="X8072" s="3">
        <v>3</v>
      </c>
      <c r="Z8072" s="23">
        <v>60.5</v>
      </c>
      <c r="AB8072" s="18">
        <f t="shared" si="252"/>
        <v>1999</v>
      </c>
      <c r="AC8072" s="22">
        <f t="shared" si="253"/>
        <v>0.77933333333333332</v>
      </c>
    </row>
    <row r="8073" spans="1:29" ht="25.5">
      <c r="A8073" s="8" t="s">
        <v>5127</v>
      </c>
      <c r="B8073" s="17" t="s">
        <v>7800</v>
      </c>
      <c r="C8073" s="13">
        <v>36219</v>
      </c>
      <c r="D8073" s="13" t="s">
        <v>8465</v>
      </c>
      <c r="E8073" s="10" t="s">
        <v>1284</v>
      </c>
      <c r="F8073" s="10" t="s">
        <v>2512</v>
      </c>
      <c r="G8073" s="11" t="s">
        <v>5128</v>
      </c>
      <c r="H8073" s="2" t="s">
        <v>1334</v>
      </c>
      <c r="L8073" s="18">
        <v>1</v>
      </c>
      <c r="N8073" s="13">
        <v>42430</v>
      </c>
      <c r="P8073" s="18" t="s">
        <v>1107</v>
      </c>
      <c r="Q8073" s="18">
        <v>0</v>
      </c>
      <c r="U8073" s="22">
        <v>0.84</v>
      </c>
      <c r="V8073" s="22">
        <f>4.11/5</f>
        <v>0.82200000000000006</v>
      </c>
      <c r="W8073" s="14" t="s">
        <v>7777</v>
      </c>
      <c r="X8073" s="3">
        <v>3</v>
      </c>
      <c r="Z8073" s="23">
        <v>20</v>
      </c>
      <c r="AB8073" s="18">
        <f t="shared" si="252"/>
        <v>1999</v>
      </c>
      <c r="AC8073" s="22">
        <f t="shared" si="253"/>
        <v>0.754</v>
      </c>
    </row>
    <row r="8074" spans="1:29" ht="30">
      <c r="A8074" s="8" t="s">
        <v>870</v>
      </c>
      <c r="B8074" s="20" t="s">
        <v>7739</v>
      </c>
      <c r="C8074" s="13">
        <v>36219</v>
      </c>
      <c r="D8074" s="13" t="s">
        <v>8465</v>
      </c>
      <c r="E8074" s="10" t="s">
        <v>231</v>
      </c>
      <c r="F8074" s="10" t="s">
        <v>1476</v>
      </c>
      <c r="H8074" s="2" t="s">
        <v>150</v>
      </c>
      <c r="L8074" s="18">
        <v>0</v>
      </c>
      <c r="Q8074" s="18">
        <v>0</v>
      </c>
      <c r="U8074" s="22">
        <v>0.89</v>
      </c>
      <c r="V8074" s="22">
        <f>3.77/5</f>
        <v>0.754</v>
      </c>
      <c r="X8074" s="3">
        <v>3</v>
      </c>
      <c r="Z8074" s="23">
        <v>6</v>
      </c>
      <c r="AB8074" s="18">
        <f t="shared" si="252"/>
        <v>1999</v>
      </c>
      <c r="AC8074" s="22">
        <f t="shared" si="253"/>
        <v>0.74800000000000011</v>
      </c>
    </row>
    <row r="8075" spans="1:29">
      <c r="A8075" s="8" t="s">
        <v>2996</v>
      </c>
      <c r="B8075" s="17" t="s">
        <v>7757</v>
      </c>
      <c r="C8075" s="13">
        <v>36208</v>
      </c>
      <c r="D8075" s="13" t="s">
        <v>8465</v>
      </c>
      <c r="E8075" s="10" t="s">
        <v>3026</v>
      </c>
      <c r="F8075" s="10" t="s">
        <v>3027</v>
      </c>
      <c r="G8075" s="11" t="s">
        <v>2996</v>
      </c>
      <c r="H8075" s="2" t="s">
        <v>245</v>
      </c>
      <c r="L8075" s="18">
        <v>0</v>
      </c>
      <c r="Q8075" s="18">
        <v>0</v>
      </c>
      <c r="U8075" s="22">
        <v>0.87</v>
      </c>
      <c r="V8075" s="22">
        <f>3.98/5</f>
        <v>0.79600000000000004</v>
      </c>
      <c r="X8075" s="3">
        <v>4</v>
      </c>
      <c r="Z8075" s="23">
        <v>13</v>
      </c>
      <c r="AB8075" s="18">
        <f t="shared" si="252"/>
        <v>1999</v>
      </c>
      <c r="AC8075" s="22">
        <f t="shared" si="253"/>
        <v>0.82200000000000006</v>
      </c>
    </row>
    <row r="8076" spans="1:29" ht="25.5">
      <c r="A8076" s="8" t="s">
        <v>6973</v>
      </c>
      <c r="B8076" s="17" t="s">
        <v>7800</v>
      </c>
      <c r="C8076" s="13">
        <v>36203</v>
      </c>
      <c r="D8076" s="13" t="s">
        <v>8465</v>
      </c>
      <c r="E8076" s="10" t="s">
        <v>231</v>
      </c>
      <c r="F8076" s="10" t="s">
        <v>4993</v>
      </c>
      <c r="H8076" s="2" t="s">
        <v>3123</v>
      </c>
      <c r="L8076" s="18">
        <v>1</v>
      </c>
      <c r="N8076" s="13">
        <v>41591</v>
      </c>
      <c r="O8076" s="29">
        <v>1.49</v>
      </c>
      <c r="P8076" s="18" t="s">
        <v>1107</v>
      </c>
      <c r="Q8076" s="18">
        <v>0</v>
      </c>
      <c r="U8076" s="22">
        <v>0.92</v>
      </c>
      <c r="V8076" s="22">
        <f>4.31/5</f>
        <v>0.86199999999999988</v>
      </c>
      <c r="W8076" s="14" t="s">
        <v>7778</v>
      </c>
      <c r="X8076" s="3">
        <v>3</v>
      </c>
      <c r="Z8076" s="23">
        <v>26.5</v>
      </c>
      <c r="AB8076" s="18">
        <f t="shared" si="252"/>
        <v>1999</v>
      </c>
      <c r="AC8076" s="22">
        <f t="shared" si="253"/>
        <v>0.79400000000000004</v>
      </c>
    </row>
    <row r="8077" spans="1:29">
      <c r="A8077" s="8" t="s">
        <v>860</v>
      </c>
      <c r="B8077" s="20" t="s">
        <v>7739</v>
      </c>
      <c r="C8077" s="13">
        <v>36199</v>
      </c>
      <c r="D8077" s="13" t="s">
        <v>8465</v>
      </c>
      <c r="E8077" s="10" t="s">
        <v>86</v>
      </c>
      <c r="F8077" s="10" t="s">
        <v>62</v>
      </c>
      <c r="G8077" s="11" t="s">
        <v>860</v>
      </c>
      <c r="H8077" s="2" t="s">
        <v>1469</v>
      </c>
      <c r="L8077" s="18">
        <v>0</v>
      </c>
      <c r="Q8077" s="18">
        <v>0</v>
      </c>
      <c r="U8077" s="22">
        <v>0.78</v>
      </c>
      <c r="V8077" s="22">
        <f>3.81/5</f>
        <v>0.76200000000000001</v>
      </c>
      <c r="X8077" s="3">
        <v>3</v>
      </c>
      <c r="Z8077" s="23">
        <v>9</v>
      </c>
      <c r="AB8077" s="18">
        <f t="shared" si="252"/>
        <v>1999</v>
      </c>
      <c r="AC8077" s="22">
        <f t="shared" si="253"/>
        <v>0.71399999999999997</v>
      </c>
    </row>
    <row r="8078" spans="1:29" ht="25.5">
      <c r="A8078" s="8" t="s">
        <v>378</v>
      </c>
      <c r="B8078" s="17" t="s">
        <v>6317</v>
      </c>
      <c r="C8078" s="13">
        <v>36195</v>
      </c>
      <c r="D8078" s="13" t="s">
        <v>8463</v>
      </c>
      <c r="E8078" s="10" t="s">
        <v>72</v>
      </c>
      <c r="F8078" s="10" t="s">
        <v>72</v>
      </c>
      <c r="G8078" s="11" t="s">
        <v>123</v>
      </c>
      <c r="H8078" s="2" t="s">
        <v>21</v>
      </c>
      <c r="K8078" s="18">
        <v>0</v>
      </c>
      <c r="L8078" s="18">
        <v>0</v>
      </c>
      <c r="Q8078" s="18">
        <v>0</v>
      </c>
      <c r="V8078" s="22">
        <f>3.76/5</f>
        <v>0.752</v>
      </c>
      <c r="X8078" s="3">
        <v>2</v>
      </c>
      <c r="Z8078" s="23">
        <v>0.92</v>
      </c>
      <c r="AB8078" s="18">
        <f t="shared" si="252"/>
        <v>1999</v>
      </c>
      <c r="AC8078" s="22">
        <f t="shared" si="253"/>
        <v>0.57600000000000007</v>
      </c>
    </row>
    <row r="8079" spans="1:29">
      <c r="A8079" s="8" t="s">
        <v>9145</v>
      </c>
      <c r="B8079" s="17" t="s">
        <v>7757</v>
      </c>
      <c r="C8079" s="13">
        <v>36191</v>
      </c>
      <c r="D8079" s="13" t="s">
        <v>8465</v>
      </c>
      <c r="E8079" s="10" t="s">
        <v>1273</v>
      </c>
      <c r="F8079" s="10" t="s">
        <v>7413</v>
      </c>
      <c r="H8079" s="2" t="s">
        <v>149</v>
      </c>
      <c r="L8079" s="18">
        <v>0</v>
      </c>
      <c r="Q8079" s="18">
        <v>0</v>
      </c>
      <c r="V8079" s="22">
        <f>3.69/5</f>
        <v>0.73799999999999999</v>
      </c>
      <c r="X8079" s="3">
        <v>2</v>
      </c>
      <c r="Z8079" s="23">
        <v>18</v>
      </c>
      <c r="AB8079" s="18">
        <f t="shared" si="252"/>
        <v>1999</v>
      </c>
      <c r="AC8079" s="22">
        <f t="shared" si="253"/>
        <v>0.56899999999999995</v>
      </c>
    </row>
    <row r="8080" spans="1:29">
      <c r="A8080" s="8" t="s">
        <v>7846</v>
      </c>
      <c r="B8080" s="17" t="s">
        <v>7757</v>
      </c>
      <c r="C8080" s="13">
        <v>36191</v>
      </c>
      <c r="D8080" s="13" t="s">
        <v>8465</v>
      </c>
      <c r="E8080" s="10" t="s">
        <v>68</v>
      </c>
      <c r="F8080" s="10" t="s">
        <v>1471</v>
      </c>
      <c r="H8080" s="2" t="s">
        <v>459</v>
      </c>
      <c r="L8080" s="18">
        <v>0</v>
      </c>
      <c r="Q8080" s="18">
        <v>0</v>
      </c>
      <c r="U8080" s="22">
        <v>0.70650000000000002</v>
      </c>
      <c r="V8080" s="22">
        <f>3.5/5</f>
        <v>0.7</v>
      </c>
      <c r="X8080" s="3">
        <v>2</v>
      </c>
      <c r="Z8080" s="23">
        <v>2</v>
      </c>
      <c r="AB8080" s="18">
        <f t="shared" si="252"/>
        <v>1999</v>
      </c>
      <c r="AC8080" s="22">
        <f t="shared" si="253"/>
        <v>0.60216666666666663</v>
      </c>
    </row>
    <row r="8081" spans="1:29" ht="38.25">
      <c r="A8081" s="8" t="s">
        <v>13207</v>
      </c>
      <c r="B8081" s="17" t="s">
        <v>7746</v>
      </c>
      <c r="C8081" s="13">
        <v>36189</v>
      </c>
      <c r="D8081" s="13" t="s">
        <v>8463</v>
      </c>
      <c r="E8081" s="10" t="s">
        <v>8903</v>
      </c>
      <c r="F8081" s="10" t="s">
        <v>11675</v>
      </c>
      <c r="G8081" s="11" t="s">
        <v>7674</v>
      </c>
      <c r="H8081" s="2" t="s">
        <v>149</v>
      </c>
      <c r="K8081" s="18">
        <v>0</v>
      </c>
      <c r="L8081" s="18">
        <v>0</v>
      </c>
      <c r="Q8081" s="18">
        <v>0</v>
      </c>
      <c r="V8081" s="22">
        <f>3.6/5</f>
        <v>0.72</v>
      </c>
      <c r="X8081" s="3">
        <v>2</v>
      </c>
      <c r="AB8081" s="18">
        <f t="shared" si="252"/>
        <v>1999</v>
      </c>
      <c r="AC8081" s="22">
        <f t="shared" si="253"/>
        <v>0.56000000000000005</v>
      </c>
    </row>
    <row r="8082" spans="1:29">
      <c r="A8082" s="8" t="s">
        <v>539</v>
      </c>
      <c r="B8082" s="17" t="s">
        <v>7731</v>
      </c>
      <c r="C8082" s="13">
        <v>36188</v>
      </c>
      <c r="D8082" s="13" t="s">
        <v>8465</v>
      </c>
      <c r="E8082" s="10" t="s">
        <v>170</v>
      </c>
      <c r="F8082" s="10" t="s">
        <v>170</v>
      </c>
      <c r="G8082" s="11" t="s">
        <v>538</v>
      </c>
      <c r="H8082" s="2" t="s">
        <v>459</v>
      </c>
      <c r="L8082" s="18">
        <v>0</v>
      </c>
      <c r="Q8082" s="18">
        <v>0</v>
      </c>
      <c r="V8082" s="22">
        <f>4.41/5</f>
        <v>0.88200000000000001</v>
      </c>
      <c r="X8082" s="3">
        <v>3</v>
      </c>
      <c r="Z8082" s="23">
        <v>1</v>
      </c>
      <c r="AB8082" s="18">
        <f t="shared" si="252"/>
        <v>1999</v>
      </c>
      <c r="AC8082" s="22">
        <f t="shared" si="253"/>
        <v>0.74099999999999999</v>
      </c>
    </row>
    <row r="8083" spans="1:29">
      <c r="A8083" s="8" t="s">
        <v>2940</v>
      </c>
      <c r="B8083" s="17" t="s">
        <v>7757</v>
      </c>
      <c r="C8083" s="13">
        <v>36188</v>
      </c>
      <c r="D8083" s="13" t="s">
        <v>8463</v>
      </c>
      <c r="E8083" s="10" t="s">
        <v>1330</v>
      </c>
      <c r="F8083" s="10" t="s">
        <v>2660</v>
      </c>
      <c r="G8083" s="11" t="s">
        <v>1369</v>
      </c>
      <c r="H8083" s="2" t="s">
        <v>75</v>
      </c>
      <c r="K8083" s="18">
        <v>2</v>
      </c>
      <c r="L8083" s="18">
        <v>0</v>
      </c>
      <c r="Q8083" s="18">
        <v>0</v>
      </c>
      <c r="V8083" s="22">
        <f>4.08/5</f>
        <v>0.81600000000000006</v>
      </c>
      <c r="X8083" s="3">
        <v>3</v>
      </c>
      <c r="Z8083" s="23">
        <v>65</v>
      </c>
      <c r="AB8083" s="18">
        <f t="shared" si="252"/>
        <v>1999</v>
      </c>
      <c r="AC8083" s="22">
        <f t="shared" si="253"/>
        <v>0.70799999999999996</v>
      </c>
    </row>
    <row r="8084" spans="1:29">
      <c r="A8084" s="8" t="s">
        <v>2936</v>
      </c>
      <c r="B8084" s="17" t="s">
        <v>7757</v>
      </c>
      <c r="C8084" s="13">
        <v>36188</v>
      </c>
      <c r="D8084" s="13" t="s">
        <v>8463</v>
      </c>
      <c r="E8084" s="10" t="s">
        <v>161</v>
      </c>
      <c r="F8084" s="10" t="s">
        <v>3021</v>
      </c>
      <c r="H8084" s="2" t="s">
        <v>1170</v>
      </c>
      <c r="K8084" s="18">
        <v>2</v>
      </c>
      <c r="L8084" s="18">
        <v>0</v>
      </c>
      <c r="Q8084" s="18">
        <v>0</v>
      </c>
      <c r="V8084" s="22">
        <f>3.9/5</f>
        <v>0.78</v>
      </c>
      <c r="X8084" s="3">
        <v>3</v>
      </c>
      <c r="Z8084" s="23">
        <v>4</v>
      </c>
      <c r="AB8084" s="18">
        <f t="shared" si="252"/>
        <v>1999</v>
      </c>
      <c r="AC8084" s="22">
        <f t="shared" si="253"/>
        <v>0.69</v>
      </c>
    </row>
    <row r="8085" spans="1:29">
      <c r="A8085" s="8" t="s">
        <v>10331</v>
      </c>
      <c r="B8085" s="17" t="s">
        <v>7757</v>
      </c>
      <c r="C8085" s="13">
        <v>36188</v>
      </c>
      <c r="D8085" s="13" t="s">
        <v>8463</v>
      </c>
      <c r="E8085" s="10" t="s">
        <v>10332</v>
      </c>
      <c r="F8085" s="10" t="s">
        <v>10332</v>
      </c>
      <c r="H8085" s="2" t="s">
        <v>75</v>
      </c>
      <c r="K8085" s="18">
        <v>2</v>
      </c>
      <c r="L8085" s="18">
        <v>0</v>
      </c>
      <c r="Q8085" s="18">
        <v>0</v>
      </c>
      <c r="V8085" s="22">
        <f>3.58/5</f>
        <v>0.71599999999999997</v>
      </c>
      <c r="X8085" s="3">
        <v>2</v>
      </c>
      <c r="Z8085" s="23">
        <v>19.5</v>
      </c>
      <c r="AB8085" s="18">
        <f t="shared" si="252"/>
        <v>1999</v>
      </c>
      <c r="AC8085" s="22">
        <f t="shared" si="253"/>
        <v>0.55800000000000005</v>
      </c>
    </row>
    <row r="8086" spans="1:29">
      <c r="A8086" s="8" t="s">
        <v>113</v>
      </c>
      <c r="B8086" s="20" t="s">
        <v>7739</v>
      </c>
      <c r="C8086" s="13">
        <v>36186</v>
      </c>
      <c r="D8086" s="13" t="s">
        <v>8465</v>
      </c>
      <c r="E8086" s="10" t="s">
        <v>72</v>
      </c>
      <c r="F8086" s="10" t="s">
        <v>72</v>
      </c>
      <c r="G8086" s="11" t="s">
        <v>113</v>
      </c>
      <c r="H8086" s="2" t="s">
        <v>151</v>
      </c>
      <c r="L8086" s="18">
        <v>0</v>
      </c>
      <c r="Q8086" s="18">
        <v>0</v>
      </c>
      <c r="U8086" s="22">
        <v>0.73</v>
      </c>
      <c r="V8086" s="22">
        <f>3.24/5</f>
        <v>0.64800000000000002</v>
      </c>
      <c r="X8086" s="3">
        <v>3</v>
      </c>
      <c r="Z8086" s="23">
        <v>9.5</v>
      </c>
      <c r="AB8086" s="18">
        <f t="shared" si="252"/>
        <v>1999</v>
      </c>
      <c r="AC8086" s="22">
        <f t="shared" si="253"/>
        <v>0.65933333333333344</v>
      </c>
    </row>
    <row r="8087" spans="1:29" ht="25.5">
      <c r="A8087" s="8" t="s">
        <v>7676</v>
      </c>
      <c r="B8087" s="17" t="s">
        <v>7746</v>
      </c>
      <c r="C8087" s="13">
        <v>36174</v>
      </c>
      <c r="D8087" s="13" t="s">
        <v>8463</v>
      </c>
      <c r="E8087" s="10" t="s">
        <v>72</v>
      </c>
      <c r="F8087" s="10" t="s">
        <v>58</v>
      </c>
      <c r="G8087" s="11" t="s">
        <v>302</v>
      </c>
      <c r="H8087" s="2" t="s">
        <v>149</v>
      </c>
      <c r="K8087" s="18">
        <v>0</v>
      </c>
      <c r="L8087" s="18">
        <v>0</v>
      </c>
      <c r="Q8087" s="18">
        <v>0</v>
      </c>
      <c r="V8087" s="22">
        <f>3.81/5</f>
        <v>0.76200000000000001</v>
      </c>
      <c r="X8087" s="3">
        <v>2</v>
      </c>
      <c r="AB8087" s="18">
        <f t="shared" si="252"/>
        <v>1999</v>
      </c>
      <c r="AC8087" s="22">
        <f t="shared" si="253"/>
        <v>0.58099999999999996</v>
      </c>
    </row>
    <row r="8088" spans="1:29">
      <c r="A8088" s="8" t="s">
        <v>11762</v>
      </c>
      <c r="B8088" s="17" t="s">
        <v>7755</v>
      </c>
      <c r="C8088" s="13">
        <v>36174</v>
      </c>
      <c r="D8088" s="13" t="s">
        <v>8463</v>
      </c>
      <c r="E8088" s="10" t="s">
        <v>2870</v>
      </c>
      <c r="F8088" s="10" t="s">
        <v>2870</v>
      </c>
      <c r="G8088" s="11" t="s">
        <v>11762</v>
      </c>
      <c r="H8088" s="2" t="s">
        <v>171</v>
      </c>
      <c r="K8088" s="18">
        <v>0</v>
      </c>
      <c r="L8088" s="18">
        <v>0</v>
      </c>
      <c r="Q8088" s="18">
        <v>0</v>
      </c>
      <c r="V8088" s="22">
        <f>3.5/5</f>
        <v>0.7</v>
      </c>
      <c r="X8088" s="3">
        <v>2</v>
      </c>
      <c r="AB8088" s="18">
        <f t="shared" si="252"/>
        <v>1999</v>
      </c>
      <c r="AC8088" s="22">
        <f t="shared" si="253"/>
        <v>0.55000000000000004</v>
      </c>
    </row>
    <row r="8089" spans="1:29" ht="25.5">
      <c r="A8089" s="8" t="s">
        <v>15448</v>
      </c>
      <c r="B8089" s="17" t="s">
        <v>7739</v>
      </c>
      <c r="C8089" s="13">
        <v>36174</v>
      </c>
      <c r="D8089" s="13" t="s">
        <v>8465</v>
      </c>
      <c r="E8089" s="10" t="s">
        <v>73</v>
      </c>
      <c r="F8089" s="10" t="s">
        <v>73</v>
      </c>
      <c r="G8089" s="11" t="s">
        <v>98</v>
      </c>
      <c r="H8089" s="2" t="s">
        <v>78</v>
      </c>
      <c r="L8089" s="18">
        <v>0</v>
      </c>
      <c r="Q8089" s="18">
        <v>0</v>
      </c>
      <c r="V8089" s="22">
        <f>3.7/5</f>
        <v>0.74</v>
      </c>
      <c r="X8089" s="3">
        <v>2</v>
      </c>
      <c r="Z8089" s="23">
        <v>1</v>
      </c>
      <c r="AB8089" s="18">
        <f t="shared" si="252"/>
        <v>1999</v>
      </c>
      <c r="AC8089" s="22">
        <f t="shared" si="253"/>
        <v>0.57000000000000006</v>
      </c>
    </row>
    <row r="8090" spans="1:29">
      <c r="A8090" s="8" t="s">
        <v>14411</v>
      </c>
      <c r="B8090" s="17" t="s">
        <v>7757</v>
      </c>
      <c r="C8090" s="13">
        <v>36167</v>
      </c>
      <c r="D8090" s="13" t="s">
        <v>8463</v>
      </c>
      <c r="E8090" s="10" t="s">
        <v>14412</v>
      </c>
      <c r="F8090" s="10" t="s">
        <v>14412</v>
      </c>
      <c r="G8090" s="11" t="s">
        <v>14411</v>
      </c>
      <c r="H8090" s="2" t="s">
        <v>150</v>
      </c>
      <c r="K8090" s="18">
        <v>0</v>
      </c>
      <c r="L8090" s="18">
        <v>0</v>
      </c>
      <c r="Q8090" s="18">
        <v>0</v>
      </c>
      <c r="V8090" s="22">
        <f>3.53/5</f>
        <v>0.70599999999999996</v>
      </c>
      <c r="X8090" s="3">
        <v>2</v>
      </c>
      <c r="Z8090" s="23">
        <v>1.5</v>
      </c>
      <c r="AB8090" s="18">
        <f t="shared" si="252"/>
        <v>1999</v>
      </c>
      <c r="AC8090" s="22">
        <f t="shared" si="253"/>
        <v>0.55299999999999994</v>
      </c>
    </row>
    <row r="8091" spans="1:29" ht="25.5">
      <c r="A8091" s="8" t="s">
        <v>15405</v>
      </c>
      <c r="B8091" s="17" t="s">
        <v>7800</v>
      </c>
      <c r="C8091" s="13">
        <v>36162</v>
      </c>
      <c r="D8091" s="13" t="s">
        <v>8465</v>
      </c>
      <c r="E8091" s="10" t="s">
        <v>12248</v>
      </c>
      <c r="F8091" s="10" t="s">
        <v>6967</v>
      </c>
      <c r="G8091" s="11" t="s">
        <v>15400</v>
      </c>
      <c r="H8091" s="2" t="s">
        <v>67</v>
      </c>
      <c r="L8091" s="18">
        <v>1</v>
      </c>
      <c r="N8091" s="13">
        <v>45128</v>
      </c>
      <c r="O8091" s="29">
        <v>0</v>
      </c>
      <c r="P8091" s="18" t="s">
        <v>1107</v>
      </c>
      <c r="Q8091" s="18">
        <v>0</v>
      </c>
      <c r="V8091" s="22">
        <f>3.96/5</f>
        <v>0.79200000000000004</v>
      </c>
      <c r="W8091" s="14" t="s">
        <v>7777</v>
      </c>
      <c r="X8091" s="3">
        <v>3</v>
      </c>
      <c r="Z8091" s="23">
        <v>5.5</v>
      </c>
      <c r="AB8091" s="18">
        <f t="shared" si="252"/>
        <v>1999</v>
      </c>
      <c r="AC8091" s="22">
        <f t="shared" si="253"/>
        <v>0.69599999999999995</v>
      </c>
    </row>
    <row r="8092" spans="1:29">
      <c r="A8092" s="8" t="s">
        <v>12434</v>
      </c>
      <c r="B8092" s="17" t="s">
        <v>7800</v>
      </c>
      <c r="C8092" s="24">
        <v>36161</v>
      </c>
      <c r="D8092" s="13" t="s">
        <v>8467</v>
      </c>
      <c r="E8092" s="10" t="s">
        <v>11816</v>
      </c>
      <c r="F8092" s="10" t="s">
        <v>12433</v>
      </c>
      <c r="H8092" s="2" t="s">
        <v>1050</v>
      </c>
      <c r="L8092" s="18">
        <v>0</v>
      </c>
      <c r="Q8092" s="18">
        <v>0</v>
      </c>
      <c r="V8092" s="22">
        <f>1.5/5</f>
        <v>0.3</v>
      </c>
      <c r="X8092" s="3">
        <v>2</v>
      </c>
      <c r="AB8092" s="18">
        <f t="shared" si="252"/>
        <v>1999</v>
      </c>
      <c r="AC8092" s="22">
        <f t="shared" si="253"/>
        <v>0.35</v>
      </c>
    </row>
    <row r="8093" spans="1:29">
      <c r="A8093" s="8" t="s">
        <v>418</v>
      </c>
      <c r="B8093" s="17" t="s">
        <v>6317</v>
      </c>
      <c r="C8093" s="12">
        <v>36161</v>
      </c>
      <c r="D8093" s="13" t="s">
        <v>8465</v>
      </c>
      <c r="E8093" s="10" t="s">
        <v>473</v>
      </c>
      <c r="F8093" s="10" t="s">
        <v>473</v>
      </c>
      <c r="G8093" s="11" t="s">
        <v>328</v>
      </c>
      <c r="H8093" s="2" t="s">
        <v>21</v>
      </c>
      <c r="L8093" s="18">
        <v>0</v>
      </c>
      <c r="Q8093" s="18">
        <v>0</v>
      </c>
      <c r="V8093" s="22">
        <f>3.72/5</f>
        <v>0.74399999999999999</v>
      </c>
      <c r="X8093" s="3">
        <v>3</v>
      </c>
      <c r="Z8093" s="23">
        <v>0.4</v>
      </c>
      <c r="AB8093" s="18">
        <f t="shared" si="252"/>
        <v>1999</v>
      </c>
      <c r="AC8093" s="22">
        <f t="shared" si="253"/>
        <v>0.67199999999999993</v>
      </c>
    </row>
    <row r="8094" spans="1:29" ht="30">
      <c r="A8094" s="8" t="s">
        <v>574</v>
      </c>
      <c r="B8094" s="17" t="s">
        <v>7733</v>
      </c>
      <c r="C8094" s="12">
        <v>36161</v>
      </c>
      <c r="D8094" s="13" t="s">
        <v>8465</v>
      </c>
      <c r="E8094" s="10" t="s">
        <v>170</v>
      </c>
      <c r="F8094" s="10" t="s">
        <v>1229</v>
      </c>
      <c r="G8094" s="11" t="s">
        <v>450</v>
      </c>
      <c r="H8094" s="2" t="s">
        <v>147</v>
      </c>
      <c r="L8094" s="18">
        <v>0</v>
      </c>
      <c r="Q8094" s="18">
        <v>0</v>
      </c>
      <c r="V8094" s="22">
        <f>3.64/5</f>
        <v>0.72799999999999998</v>
      </c>
      <c r="X8094" s="3">
        <v>3</v>
      </c>
      <c r="Z8094" s="23">
        <v>0.93</v>
      </c>
      <c r="AB8094" s="18">
        <f t="shared" si="252"/>
        <v>1999</v>
      </c>
      <c r="AC8094" s="22">
        <f t="shared" si="253"/>
        <v>0.66399999999999992</v>
      </c>
    </row>
    <row r="8095" spans="1:29">
      <c r="A8095" s="8" t="s">
        <v>7689</v>
      </c>
      <c r="B8095" s="17" t="s">
        <v>7746</v>
      </c>
      <c r="C8095" s="12">
        <v>36161</v>
      </c>
      <c r="D8095" s="13" t="s">
        <v>8465</v>
      </c>
      <c r="E8095" s="10" t="s">
        <v>3625</v>
      </c>
      <c r="F8095" s="10" t="s">
        <v>146</v>
      </c>
      <c r="G8095" s="11" t="s">
        <v>18</v>
      </c>
      <c r="H8095" s="2" t="s">
        <v>67</v>
      </c>
      <c r="L8095" s="18">
        <v>0</v>
      </c>
      <c r="Q8095" s="18">
        <v>0</v>
      </c>
      <c r="U8095" s="22">
        <v>0.67</v>
      </c>
      <c r="V8095" s="22">
        <f>3.55/5</f>
        <v>0.71</v>
      </c>
      <c r="X8095" s="3">
        <v>3</v>
      </c>
      <c r="Z8095" s="23">
        <v>1.5</v>
      </c>
      <c r="AB8095" s="18">
        <f t="shared" si="252"/>
        <v>1999</v>
      </c>
      <c r="AC8095" s="22">
        <f t="shared" si="253"/>
        <v>0.66</v>
      </c>
    </row>
    <row r="8096" spans="1:29">
      <c r="A8096" s="8" t="s">
        <v>507</v>
      </c>
      <c r="B8096" s="17" t="s">
        <v>7731</v>
      </c>
      <c r="C8096" s="12">
        <v>36161</v>
      </c>
      <c r="D8096" s="13" t="s">
        <v>8465</v>
      </c>
      <c r="E8096" s="10" t="s">
        <v>170</v>
      </c>
      <c r="F8096" s="10" t="s">
        <v>560</v>
      </c>
      <c r="H8096" s="2" t="s">
        <v>21</v>
      </c>
      <c r="L8096" s="18">
        <v>0</v>
      </c>
      <c r="Q8096" s="18">
        <v>0</v>
      </c>
      <c r="V8096" s="22">
        <f>3/5</f>
        <v>0.6</v>
      </c>
      <c r="X8096" s="3">
        <v>3</v>
      </c>
      <c r="AB8096" s="18">
        <f t="shared" si="252"/>
        <v>1999</v>
      </c>
      <c r="AC8096" s="22">
        <f t="shared" si="253"/>
        <v>0.6</v>
      </c>
    </row>
    <row r="8097" spans="1:29">
      <c r="A8097" s="8" t="s">
        <v>424</v>
      </c>
      <c r="B8097" s="17" t="s">
        <v>6317</v>
      </c>
      <c r="C8097" s="12">
        <v>36161</v>
      </c>
      <c r="D8097" s="13" t="s">
        <v>8465</v>
      </c>
      <c r="E8097" s="10" t="s">
        <v>252</v>
      </c>
      <c r="F8097" s="10" t="s">
        <v>252</v>
      </c>
      <c r="H8097" s="2" t="s">
        <v>21</v>
      </c>
      <c r="L8097" s="18">
        <v>0</v>
      </c>
      <c r="Q8097" s="18">
        <v>0</v>
      </c>
      <c r="V8097" s="22">
        <f>2.75/5</f>
        <v>0.55000000000000004</v>
      </c>
      <c r="X8097" s="3">
        <v>3</v>
      </c>
      <c r="AB8097" s="18">
        <f t="shared" si="252"/>
        <v>1999</v>
      </c>
      <c r="AC8097" s="22">
        <f t="shared" si="253"/>
        <v>0.57499999999999996</v>
      </c>
    </row>
    <row r="8098" spans="1:29">
      <c r="A8098" s="8" t="s">
        <v>15057</v>
      </c>
      <c r="B8098" s="17" t="s">
        <v>7800</v>
      </c>
      <c r="C8098" s="24">
        <v>36161</v>
      </c>
      <c r="D8098" s="13" t="s">
        <v>8465</v>
      </c>
      <c r="E8098" s="10" t="s">
        <v>15058</v>
      </c>
      <c r="F8098" s="10" t="s">
        <v>15059</v>
      </c>
      <c r="G8098" s="11" t="s">
        <v>15060</v>
      </c>
      <c r="H8098" s="2" t="s">
        <v>1057</v>
      </c>
      <c r="L8098" s="18">
        <v>0</v>
      </c>
      <c r="Q8098" s="18">
        <v>0</v>
      </c>
      <c r="V8098" s="22">
        <f>3.75/5</f>
        <v>0.75</v>
      </c>
      <c r="X8098" s="3">
        <v>2</v>
      </c>
      <c r="Z8098" s="23">
        <v>5.5</v>
      </c>
      <c r="AB8098" s="18">
        <f t="shared" si="252"/>
        <v>1999</v>
      </c>
      <c r="AC8098" s="22">
        <f t="shared" si="253"/>
        <v>0.57499999999999996</v>
      </c>
    </row>
    <row r="8099" spans="1:29">
      <c r="A8099" s="8" t="s">
        <v>14046</v>
      </c>
      <c r="B8099" s="17" t="s">
        <v>7757</v>
      </c>
      <c r="C8099" s="24">
        <v>36161</v>
      </c>
      <c r="D8099" s="13" t="s">
        <v>8467</v>
      </c>
      <c r="E8099" s="10" t="s">
        <v>72</v>
      </c>
      <c r="F8099" s="10" t="s">
        <v>72</v>
      </c>
      <c r="H8099" s="2" t="s">
        <v>1168</v>
      </c>
      <c r="L8099" s="18">
        <v>0</v>
      </c>
      <c r="Q8099" s="18">
        <v>0</v>
      </c>
      <c r="V8099" s="22">
        <f>3.67/5</f>
        <v>0.73399999999999999</v>
      </c>
      <c r="X8099" s="3">
        <v>2</v>
      </c>
      <c r="Z8099" s="23">
        <v>1.5</v>
      </c>
      <c r="AB8099" s="18">
        <f t="shared" si="252"/>
        <v>1999</v>
      </c>
      <c r="AC8099" s="22">
        <f t="shared" si="253"/>
        <v>0.56699999999999995</v>
      </c>
    </row>
    <row r="8100" spans="1:29" ht="25.5">
      <c r="A8100" s="8" t="s">
        <v>11754</v>
      </c>
      <c r="B8100" s="17" t="s">
        <v>7800</v>
      </c>
      <c r="C8100" s="24">
        <v>36161</v>
      </c>
      <c r="D8100" s="13" t="s">
        <v>8463</v>
      </c>
      <c r="E8100" s="10" t="s">
        <v>1405</v>
      </c>
      <c r="F8100" s="10" t="s">
        <v>11755</v>
      </c>
      <c r="H8100" s="2" t="s">
        <v>67</v>
      </c>
      <c r="K8100" s="18">
        <v>2</v>
      </c>
      <c r="L8100" s="18">
        <v>0</v>
      </c>
      <c r="Q8100" s="18">
        <v>0</v>
      </c>
      <c r="V8100" s="22">
        <f>2.5/5</f>
        <v>0.5</v>
      </c>
      <c r="X8100" s="3">
        <v>3</v>
      </c>
      <c r="Z8100" s="23">
        <v>16</v>
      </c>
      <c r="AB8100" s="18">
        <f t="shared" si="252"/>
        <v>1999</v>
      </c>
      <c r="AC8100" s="22">
        <f t="shared" si="253"/>
        <v>0.55000000000000004</v>
      </c>
    </row>
    <row r="8101" spans="1:29">
      <c r="A8101" s="8" t="s">
        <v>10613</v>
      </c>
      <c r="B8101" s="17" t="s">
        <v>7800</v>
      </c>
      <c r="C8101" s="12">
        <v>36161</v>
      </c>
      <c r="D8101" s="13" t="s">
        <v>8465</v>
      </c>
      <c r="E8101" s="10" t="s">
        <v>1690</v>
      </c>
      <c r="F8101" s="10" t="s">
        <v>10611</v>
      </c>
      <c r="G8101" s="11" t="s">
        <v>10612</v>
      </c>
      <c r="H8101" s="2" t="s">
        <v>67</v>
      </c>
      <c r="L8101" s="18">
        <v>0</v>
      </c>
      <c r="Q8101" s="18">
        <v>0</v>
      </c>
      <c r="V8101" s="22">
        <f>3/5</f>
        <v>0.6</v>
      </c>
      <c r="X8101" s="3">
        <v>2</v>
      </c>
      <c r="AB8101" s="18">
        <f t="shared" si="252"/>
        <v>1999</v>
      </c>
      <c r="AC8101" s="22">
        <f t="shared" si="253"/>
        <v>0.5</v>
      </c>
    </row>
    <row r="8102" spans="1:29">
      <c r="A8102" s="8" t="s">
        <v>11976</v>
      </c>
      <c r="B8102" s="17" t="s">
        <v>6317</v>
      </c>
      <c r="C8102" s="24">
        <v>36161</v>
      </c>
      <c r="D8102" s="13" t="s">
        <v>8465</v>
      </c>
      <c r="E8102" s="10" t="s">
        <v>170</v>
      </c>
      <c r="F8102" s="10" t="s">
        <v>560</v>
      </c>
      <c r="G8102" s="11" t="s">
        <v>11976</v>
      </c>
      <c r="H8102" s="2" t="s">
        <v>1059</v>
      </c>
      <c r="L8102" s="18">
        <v>0</v>
      </c>
      <c r="Q8102" s="18">
        <v>0</v>
      </c>
      <c r="V8102" s="22">
        <f>2.88/5</f>
        <v>0.57599999999999996</v>
      </c>
      <c r="X8102" s="3">
        <v>2</v>
      </c>
      <c r="Z8102" s="23">
        <f>42/60</f>
        <v>0.7</v>
      </c>
      <c r="AB8102" s="18">
        <f t="shared" si="252"/>
        <v>1999</v>
      </c>
      <c r="AC8102" s="22">
        <f t="shared" si="253"/>
        <v>0.48799999999999999</v>
      </c>
    </row>
    <row r="8103" spans="1:29">
      <c r="A8103" s="8" t="s">
        <v>16027</v>
      </c>
      <c r="B8103" s="17" t="s">
        <v>7800</v>
      </c>
      <c r="C8103" s="24">
        <v>36161</v>
      </c>
      <c r="D8103" s="13" t="s">
        <v>8465</v>
      </c>
      <c r="E8103" s="10" t="s">
        <v>15058</v>
      </c>
      <c r="F8103" s="10" t="s">
        <v>15059</v>
      </c>
      <c r="H8103" s="2" t="s">
        <v>1057</v>
      </c>
      <c r="L8103" s="18">
        <v>0</v>
      </c>
      <c r="Q8103" s="18">
        <v>0</v>
      </c>
      <c r="V8103" s="22">
        <f>2.09/5</f>
        <v>0.41799999999999998</v>
      </c>
      <c r="X8103" s="3">
        <v>2</v>
      </c>
      <c r="AB8103" s="18">
        <f t="shared" si="252"/>
        <v>1999</v>
      </c>
      <c r="AC8103" s="22">
        <f t="shared" si="253"/>
        <v>0.40900000000000003</v>
      </c>
    </row>
    <row r="8104" spans="1:29">
      <c r="A8104" s="8" t="s">
        <v>16028</v>
      </c>
      <c r="B8104" s="17" t="s">
        <v>7800</v>
      </c>
      <c r="C8104" s="24">
        <v>36161</v>
      </c>
      <c r="D8104" s="13" t="s">
        <v>8465</v>
      </c>
      <c r="E8104" s="10" t="s">
        <v>15058</v>
      </c>
      <c r="F8104" s="10" t="s">
        <v>15059</v>
      </c>
      <c r="H8104" s="2" t="s">
        <v>1057</v>
      </c>
      <c r="L8104" s="18">
        <v>0</v>
      </c>
      <c r="Q8104" s="18">
        <v>0</v>
      </c>
      <c r="V8104" s="22">
        <f>2.55/5</f>
        <v>0.51</v>
      </c>
      <c r="X8104" s="3">
        <v>2</v>
      </c>
      <c r="AB8104" s="18">
        <f t="shared" si="252"/>
        <v>1999</v>
      </c>
      <c r="AC8104" s="22">
        <f t="shared" si="253"/>
        <v>0.45500000000000002</v>
      </c>
    </row>
    <row r="8105" spans="1:29" ht="30">
      <c r="A8105" s="8" t="s">
        <v>575</v>
      </c>
      <c r="B8105" s="17" t="s">
        <v>7733</v>
      </c>
      <c r="C8105" s="13">
        <v>36514</v>
      </c>
      <c r="D8105" s="13" t="s">
        <v>8465</v>
      </c>
      <c r="E8105" s="10" t="s">
        <v>170</v>
      </c>
      <c r="F8105" s="10" t="s">
        <v>1232</v>
      </c>
      <c r="G8105" s="11" t="s">
        <v>1688</v>
      </c>
      <c r="H8105" s="2" t="s">
        <v>64</v>
      </c>
      <c r="L8105" s="18">
        <v>0</v>
      </c>
      <c r="Q8105" s="18">
        <v>1</v>
      </c>
      <c r="T8105" s="22">
        <v>0.8</v>
      </c>
      <c r="V8105" s="22">
        <f>3.79/5</f>
        <v>0.75800000000000001</v>
      </c>
      <c r="AB8105" s="18">
        <f t="shared" si="252"/>
        <v>1999</v>
      </c>
      <c r="AC8105" s="22">
        <f t="shared" si="253"/>
        <v>0.77900000000000003</v>
      </c>
    </row>
    <row r="8106" spans="1:29" ht="38.25">
      <c r="A8106" s="8" t="s">
        <v>8676</v>
      </c>
      <c r="B8106" s="17" t="s">
        <v>7800</v>
      </c>
      <c r="C8106" s="13">
        <v>36469</v>
      </c>
      <c r="D8106" s="13" t="s">
        <v>8465</v>
      </c>
      <c r="E8106" s="10" t="s">
        <v>5683</v>
      </c>
      <c r="F8106" s="10" t="s">
        <v>5683</v>
      </c>
      <c r="G8106" s="11" t="s">
        <v>5684</v>
      </c>
      <c r="H8106" s="2" t="s">
        <v>67</v>
      </c>
      <c r="L8106" s="18">
        <v>0</v>
      </c>
      <c r="Q8106" s="18">
        <v>1</v>
      </c>
      <c r="T8106" s="22">
        <v>0.7</v>
      </c>
      <c r="V8106" s="22">
        <f>3.84/5</f>
        <v>0.76800000000000002</v>
      </c>
      <c r="W8106" s="14" t="s">
        <v>8468</v>
      </c>
      <c r="AB8106" s="18">
        <f t="shared" si="252"/>
        <v>1999</v>
      </c>
      <c r="AC8106" s="22">
        <f t="shared" si="253"/>
        <v>0.73399999999999999</v>
      </c>
    </row>
    <row r="8107" spans="1:29" ht="25.5">
      <c r="A8107" s="8" t="s">
        <v>5639</v>
      </c>
      <c r="B8107" s="17" t="s">
        <v>7800</v>
      </c>
      <c r="C8107" s="13">
        <v>36433</v>
      </c>
      <c r="D8107" s="13" t="s">
        <v>8465</v>
      </c>
      <c r="E8107" s="10" t="s">
        <v>3116</v>
      </c>
      <c r="F8107" s="10" t="s">
        <v>5115</v>
      </c>
      <c r="G8107" s="11" t="s">
        <v>3118</v>
      </c>
      <c r="H8107" s="2" t="s">
        <v>1143</v>
      </c>
      <c r="L8107" s="18">
        <v>0</v>
      </c>
      <c r="Q8107" s="18">
        <v>1</v>
      </c>
      <c r="T8107" s="22">
        <v>0.9</v>
      </c>
      <c r="U8107" s="22">
        <v>0.92</v>
      </c>
      <c r="V8107" s="22">
        <f>4.24/5</f>
        <v>0.84800000000000009</v>
      </c>
      <c r="W8107" s="14" t="s">
        <v>8468</v>
      </c>
      <c r="AB8107" s="18">
        <f t="shared" si="252"/>
        <v>1999</v>
      </c>
      <c r="AC8107" s="22">
        <f t="shared" si="253"/>
        <v>0.88933333333333342</v>
      </c>
    </row>
    <row r="8108" spans="1:29" ht="30">
      <c r="A8108" s="8" t="s">
        <v>1871</v>
      </c>
      <c r="B8108" s="17" t="s">
        <v>7757</v>
      </c>
      <c r="C8108" s="13">
        <v>36433</v>
      </c>
      <c r="D8108" s="13" t="s">
        <v>8465</v>
      </c>
      <c r="E8108" s="10" t="s">
        <v>2908</v>
      </c>
      <c r="F8108" s="10" t="s">
        <v>1512</v>
      </c>
      <c r="G8108" s="11" t="s">
        <v>1871</v>
      </c>
      <c r="H8108" s="2" t="s">
        <v>149</v>
      </c>
      <c r="L8108" s="18">
        <v>0</v>
      </c>
      <c r="Q8108" s="18">
        <v>1</v>
      </c>
      <c r="R8108" s="13">
        <v>41648</v>
      </c>
      <c r="S8108" s="21">
        <v>35.44</v>
      </c>
      <c r="T8108" s="22">
        <v>0.8</v>
      </c>
      <c r="U8108" s="22">
        <v>0.86</v>
      </c>
      <c r="V8108" s="22">
        <f>4.13/5</f>
        <v>0.82599999999999996</v>
      </c>
      <c r="AB8108" s="18">
        <f t="shared" si="252"/>
        <v>1999</v>
      </c>
      <c r="AC8108" s="22">
        <f t="shared" si="253"/>
        <v>0.82866666666666677</v>
      </c>
    </row>
    <row r="8109" spans="1:29">
      <c r="A8109" s="8" t="s">
        <v>3013</v>
      </c>
      <c r="B8109" s="17" t="s">
        <v>7757</v>
      </c>
      <c r="C8109" s="13">
        <v>36412</v>
      </c>
      <c r="D8109" s="13" t="s">
        <v>8465</v>
      </c>
      <c r="E8109" s="10" t="s">
        <v>3045</v>
      </c>
      <c r="F8109" s="10" t="s">
        <v>161</v>
      </c>
      <c r="G8109" s="11" t="s">
        <v>126</v>
      </c>
      <c r="H8109" s="2" t="s">
        <v>149</v>
      </c>
      <c r="L8109" s="18">
        <v>1</v>
      </c>
      <c r="M8109" s="14" t="s">
        <v>8462</v>
      </c>
      <c r="N8109" s="13">
        <v>43832</v>
      </c>
      <c r="O8109" s="29">
        <v>19.28</v>
      </c>
      <c r="P8109" s="18" t="s">
        <v>14</v>
      </c>
      <c r="Q8109" s="18">
        <v>1</v>
      </c>
      <c r="R8109" s="13">
        <v>43974</v>
      </c>
      <c r="S8109" s="21">
        <f>40+59/60</f>
        <v>40.983333333333334</v>
      </c>
      <c r="T8109" s="22">
        <v>0.85</v>
      </c>
      <c r="U8109" s="22">
        <v>0.89</v>
      </c>
      <c r="V8109" s="22">
        <f>4.15/5</f>
        <v>0.83000000000000007</v>
      </c>
      <c r="AB8109" s="18">
        <f t="shared" si="252"/>
        <v>1999</v>
      </c>
      <c r="AC8109" s="22">
        <f t="shared" si="253"/>
        <v>0.8566666666666668</v>
      </c>
    </row>
    <row r="8110" spans="1:29">
      <c r="A8110" s="8" t="s">
        <v>317</v>
      </c>
      <c r="B8110" s="17" t="s">
        <v>6317</v>
      </c>
      <c r="C8110" s="13">
        <v>36335</v>
      </c>
      <c r="D8110" s="13" t="s">
        <v>8463</v>
      </c>
      <c r="E8110" s="10" t="s">
        <v>228</v>
      </c>
      <c r="F8110" s="10" t="s">
        <v>467</v>
      </c>
      <c r="H8110" s="2" t="s">
        <v>21</v>
      </c>
      <c r="K8110" s="18">
        <v>0</v>
      </c>
      <c r="L8110" s="18">
        <v>0</v>
      </c>
      <c r="Q8110" s="18">
        <v>1</v>
      </c>
      <c r="T8110" s="22">
        <v>0.8</v>
      </c>
      <c r="V8110" s="22">
        <f>3.76/5</f>
        <v>0.752</v>
      </c>
      <c r="AB8110" s="18">
        <f t="shared" si="252"/>
        <v>1999</v>
      </c>
      <c r="AC8110" s="22">
        <f t="shared" si="253"/>
        <v>0.77600000000000002</v>
      </c>
    </row>
    <row r="8111" spans="1:29" ht="25.5">
      <c r="A8111" s="8" t="s">
        <v>493</v>
      </c>
      <c r="B8111" s="17" t="s">
        <v>7731</v>
      </c>
      <c r="C8111" s="13">
        <v>36335</v>
      </c>
      <c r="D8111" s="13" t="s">
        <v>8465</v>
      </c>
      <c r="E8111" s="10" t="s">
        <v>170</v>
      </c>
      <c r="F8111" s="10" t="s">
        <v>565</v>
      </c>
      <c r="G8111" s="11" t="s">
        <v>492</v>
      </c>
      <c r="H8111" s="2" t="s">
        <v>147</v>
      </c>
      <c r="L8111" s="18">
        <v>0</v>
      </c>
      <c r="Q8111" s="18">
        <v>1</v>
      </c>
      <c r="T8111" s="22">
        <v>0.7</v>
      </c>
      <c r="V8111" s="22">
        <f>3.99/5</f>
        <v>0.79800000000000004</v>
      </c>
      <c r="AB8111" s="18">
        <f t="shared" si="252"/>
        <v>1999</v>
      </c>
      <c r="AC8111" s="22">
        <f t="shared" si="253"/>
        <v>0.749</v>
      </c>
    </row>
    <row r="8112" spans="1:29">
      <c r="A8112" s="8" t="s">
        <v>1827</v>
      </c>
      <c r="B8112" s="17" t="s">
        <v>7746</v>
      </c>
      <c r="C8112" s="12">
        <v>36312</v>
      </c>
      <c r="D8112" s="13" t="s">
        <v>8465</v>
      </c>
      <c r="E8112" s="10" t="s">
        <v>86</v>
      </c>
      <c r="F8112" s="10" t="s">
        <v>1258</v>
      </c>
      <c r="G8112" s="11" t="s">
        <v>404</v>
      </c>
      <c r="H8112" s="2" t="s">
        <v>21</v>
      </c>
      <c r="L8112" s="18">
        <v>0</v>
      </c>
      <c r="Q8112" s="18">
        <v>1</v>
      </c>
      <c r="T8112" s="22">
        <v>0.8</v>
      </c>
      <c r="U8112" s="22">
        <v>0.76</v>
      </c>
      <c r="V8112" s="22">
        <f>3.73/5</f>
        <v>0.746</v>
      </c>
      <c r="AB8112" s="18">
        <f t="shared" si="252"/>
        <v>1999</v>
      </c>
      <c r="AC8112" s="22">
        <f t="shared" si="253"/>
        <v>0.76866666666666672</v>
      </c>
    </row>
    <row r="8113" spans="1:29">
      <c r="A8113" s="8" t="s">
        <v>490</v>
      </c>
      <c r="B8113" s="17" t="s">
        <v>7731</v>
      </c>
      <c r="C8113" s="13">
        <v>36307</v>
      </c>
      <c r="D8113" s="13" t="s">
        <v>8465</v>
      </c>
      <c r="E8113" s="10" t="s">
        <v>170</v>
      </c>
      <c r="F8113" s="10" t="s">
        <v>170</v>
      </c>
      <c r="G8113" s="11" t="s">
        <v>450</v>
      </c>
      <c r="H8113" s="2" t="s">
        <v>147</v>
      </c>
      <c r="L8113" s="18">
        <v>0</v>
      </c>
      <c r="Q8113" s="18">
        <v>1</v>
      </c>
      <c r="T8113" s="22">
        <v>0.8</v>
      </c>
      <c r="V8113" s="22">
        <f>4.24/5</f>
        <v>0.84800000000000009</v>
      </c>
      <c r="AB8113" s="18">
        <f t="shared" si="252"/>
        <v>1999</v>
      </c>
      <c r="AC8113" s="22">
        <f t="shared" si="253"/>
        <v>0.82400000000000007</v>
      </c>
    </row>
    <row r="8114" spans="1:29" ht="25.5">
      <c r="A8114" s="8" t="s">
        <v>1824</v>
      </c>
      <c r="B8114" s="17" t="s">
        <v>7746</v>
      </c>
      <c r="C8114" s="13">
        <v>36280</v>
      </c>
      <c r="D8114" s="13" t="s">
        <v>8465</v>
      </c>
      <c r="E8114" s="10" t="s">
        <v>86</v>
      </c>
      <c r="F8114" s="10" t="s">
        <v>87</v>
      </c>
      <c r="G8114" s="11" t="s">
        <v>137</v>
      </c>
      <c r="H8114" s="2" t="s">
        <v>64</v>
      </c>
      <c r="L8114" s="18">
        <v>0</v>
      </c>
      <c r="Q8114" s="18">
        <v>1</v>
      </c>
      <c r="T8114" s="22">
        <v>0.9</v>
      </c>
      <c r="U8114" s="22">
        <v>0.93</v>
      </c>
      <c r="V8114" s="22">
        <f>4.07/5</f>
        <v>0.81400000000000006</v>
      </c>
      <c r="AB8114" s="18">
        <f t="shared" si="252"/>
        <v>1999</v>
      </c>
      <c r="AC8114" s="22">
        <f t="shared" si="253"/>
        <v>0.88133333333333341</v>
      </c>
    </row>
    <row r="8115" spans="1:29">
      <c r="A8115" s="8" t="s">
        <v>313</v>
      </c>
      <c r="B8115" s="17" t="s">
        <v>6317</v>
      </c>
      <c r="C8115" s="13">
        <v>36213</v>
      </c>
      <c r="D8115" s="13" t="s">
        <v>8465</v>
      </c>
      <c r="E8115" s="10" t="s">
        <v>73</v>
      </c>
      <c r="F8115" s="10" t="s">
        <v>475</v>
      </c>
      <c r="G8115" s="11" t="s">
        <v>313</v>
      </c>
      <c r="H8115" s="2" t="s">
        <v>21</v>
      </c>
      <c r="L8115" s="18">
        <v>0</v>
      </c>
      <c r="Q8115" s="18">
        <v>1</v>
      </c>
      <c r="T8115" s="22">
        <v>0.8</v>
      </c>
      <c r="V8115" s="22">
        <f>3.67/5</f>
        <v>0.73399999999999999</v>
      </c>
      <c r="AB8115" s="18">
        <f t="shared" si="252"/>
        <v>1999</v>
      </c>
      <c r="AC8115" s="22">
        <f t="shared" si="253"/>
        <v>0.76700000000000002</v>
      </c>
    </row>
    <row r="8116" spans="1:29">
      <c r="A8116" s="8" t="s">
        <v>1449</v>
      </c>
      <c r="B8116" s="17" t="s">
        <v>7757</v>
      </c>
      <c r="C8116" s="13">
        <v>36191</v>
      </c>
      <c r="D8116" s="13" t="s">
        <v>8465</v>
      </c>
      <c r="E8116" s="10" t="s">
        <v>72</v>
      </c>
      <c r="F8116" s="10" t="s">
        <v>72</v>
      </c>
      <c r="G8116" s="11" t="s">
        <v>1449</v>
      </c>
      <c r="H8116" s="2" t="s">
        <v>1061</v>
      </c>
      <c r="L8116" s="18">
        <v>0</v>
      </c>
      <c r="Q8116" s="18">
        <v>1</v>
      </c>
      <c r="R8116" s="13">
        <v>44153</v>
      </c>
      <c r="S8116" s="21">
        <f>5+10/60+18/3600</f>
        <v>5.1716666666666669</v>
      </c>
      <c r="T8116" s="22">
        <v>0.8</v>
      </c>
      <c r="U8116" s="22">
        <v>0.85</v>
      </c>
      <c r="V8116" s="22">
        <f>4.28/5</f>
        <v>0.85600000000000009</v>
      </c>
      <c r="AB8116" s="18">
        <f t="shared" si="252"/>
        <v>1999</v>
      </c>
      <c r="AC8116" s="22">
        <f t="shared" si="253"/>
        <v>0.83533333333333337</v>
      </c>
    </row>
    <row r="8117" spans="1:29" ht="25.5">
      <c r="A8117" s="8" t="s">
        <v>14347</v>
      </c>
      <c r="B8117" s="17" t="s">
        <v>10323</v>
      </c>
      <c r="C8117" s="13">
        <v>36159</v>
      </c>
      <c r="D8117" s="13" t="s">
        <v>8463</v>
      </c>
      <c r="E8117" s="10" t="s">
        <v>14336</v>
      </c>
      <c r="F8117" s="10" t="s">
        <v>14337</v>
      </c>
      <c r="G8117" s="11" t="s">
        <v>13598</v>
      </c>
      <c r="H8117" s="2" t="s">
        <v>21</v>
      </c>
      <c r="K8117" s="18">
        <v>2</v>
      </c>
      <c r="L8117" s="18">
        <v>0</v>
      </c>
      <c r="Q8117" s="18">
        <v>0</v>
      </c>
      <c r="V8117" s="22">
        <f>3.97/5</f>
        <v>0.79400000000000004</v>
      </c>
      <c r="X8117" s="3">
        <v>3</v>
      </c>
      <c r="Z8117" s="23">
        <f>58/60</f>
        <v>0.96666666666666667</v>
      </c>
      <c r="AB8117" s="18">
        <f t="shared" si="252"/>
        <v>1998</v>
      </c>
      <c r="AC8117" s="22">
        <f t="shared" si="253"/>
        <v>0.69700000000000006</v>
      </c>
    </row>
    <row r="8118" spans="1:29">
      <c r="A8118" s="8" t="s">
        <v>7171</v>
      </c>
      <c r="B8118" s="17" t="s">
        <v>7800</v>
      </c>
      <c r="C8118" s="13">
        <v>36157</v>
      </c>
      <c r="D8118" s="13" t="s">
        <v>8465</v>
      </c>
      <c r="E8118" s="10" t="s">
        <v>7238</v>
      </c>
      <c r="F8118" s="10" t="s">
        <v>7238</v>
      </c>
      <c r="G8118" s="11" t="s">
        <v>7239</v>
      </c>
      <c r="H8118" s="2" t="s">
        <v>1143</v>
      </c>
      <c r="L8118" s="18">
        <v>0</v>
      </c>
      <c r="Q8118" s="18">
        <v>0</v>
      </c>
      <c r="U8118" s="22">
        <v>0.86</v>
      </c>
      <c r="V8118" s="22">
        <f>4.16/5</f>
        <v>0.83200000000000007</v>
      </c>
      <c r="X8118" s="3">
        <v>3</v>
      </c>
      <c r="Z8118" s="23">
        <v>9</v>
      </c>
      <c r="AB8118" s="18">
        <f t="shared" si="252"/>
        <v>1998</v>
      </c>
      <c r="AC8118" s="22">
        <f t="shared" si="253"/>
        <v>0.76400000000000012</v>
      </c>
    </row>
    <row r="8119" spans="1:29">
      <c r="A8119" s="8" t="s">
        <v>839</v>
      </c>
      <c r="B8119" s="17" t="s">
        <v>7757</v>
      </c>
      <c r="C8119" s="13">
        <v>36152</v>
      </c>
      <c r="D8119" s="13" t="s">
        <v>8463</v>
      </c>
      <c r="E8119" s="10" t="s">
        <v>158</v>
      </c>
      <c r="F8119" s="10" t="s">
        <v>3040</v>
      </c>
      <c r="G8119" s="11" t="s">
        <v>1422</v>
      </c>
      <c r="H8119" s="2" t="s">
        <v>149</v>
      </c>
      <c r="K8119" s="18">
        <v>2</v>
      </c>
      <c r="L8119" s="18">
        <v>0</v>
      </c>
      <c r="Q8119" s="18">
        <v>0</v>
      </c>
      <c r="U8119" s="22">
        <v>0.9</v>
      </c>
      <c r="V8119" s="22">
        <f>4.12/5</f>
        <v>0.82400000000000007</v>
      </c>
      <c r="X8119" s="3">
        <v>4</v>
      </c>
      <c r="Z8119" s="23">
        <v>31.5</v>
      </c>
      <c r="AB8119" s="18">
        <f t="shared" si="252"/>
        <v>1998</v>
      </c>
      <c r="AC8119" s="22">
        <f t="shared" si="253"/>
        <v>0.84133333333333338</v>
      </c>
    </row>
    <row r="8120" spans="1:29">
      <c r="A8120" s="8" t="s">
        <v>9883</v>
      </c>
      <c r="B8120" s="17" t="s">
        <v>7757</v>
      </c>
      <c r="C8120" s="13">
        <v>36152</v>
      </c>
      <c r="D8120" s="13" t="s">
        <v>8463</v>
      </c>
      <c r="E8120" s="10" t="s">
        <v>81</v>
      </c>
      <c r="F8120" s="10" t="s">
        <v>81</v>
      </c>
      <c r="H8120" s="2" t="s">
        <v>67</v>
      </c>
      <c r="K8120" s="18">
        <v>2</v>
      </c>
      <c r="L8120" s="18">
        <v>0</v>
      </c>
      <c r="Q8120" s="18">
        <v>0</v>
      </c>
      <c r="V8120" s="22">
        <f>3.96/5</f>
        <v>0.79200000000000004</v>
      </c>
      <c r="X8120" s="3">
        <v>3</v>
      </c>
      <c r="Z8120" s="23">
        <v>21</v>
      </c>
      <c r="AB8120" s="18">
        <f t="shared" si="252"/>
        <v>1998</v>
      </c>
      <c r="AC8120" s="22">
        <f t="shared" si="253"/>
        <v>0.69599999999999995</v>
      </c>
    </row>
    <row r="8121" spans="1:29">
      <c r="A8121" s="8" t="s">
        <v>3253</v>
      </c>
      <c r="B8121" s="17" t="s">
        <v>7800</v>
      </c>
      <c r="C8121" s="13">
        <v>36150</v>
      </c>
      <c r="D8121" s="13" t="s">
        <v>8465</v>
      </c>
      <c r="E8121" s="10" t="s">
        <v>1272</v>
      </c>
      <c r="F8121" s="10" t="s">
        <v>1161</v>
      </c>
      <c r="G8121" s="11" t="s">
        <v>3253</v>
      </c>
      <c r="H8121" s="2" t="s">
        <v>1720</v>
      </c>
      <c r="L8121" s="18">
        <v>1</v>
      </c>
      <c r="N8121" s="13">
        <v>41591</v>
      </c>
      <c r="O8121" s="29">
        <v>1.99</v>
      </c>
      <c r="P8121" s="18" t="s">
        <v>1107</v>
      </c>
      <c r="Q8121" s="18">
        <v>0</v>
      </c>
      <c r="U8121" s="22">
        <v>0.92</v>
      </c>
      <c r="V8121" s="22">
        <f>4.21/5</f>
        <v>0.84199999999999997</v>
      </c>
      <c r="W8121" s="14" t="s">
        <v>7778</v>
      </c>
      <c r="X8121" s="3">
        <v>4</v>
      </c>
      <c r="Z8121" s="23">
        <v>44.5</v>
      </c>
      <c r="AB8121" s="18">
        <f t="shared" si="252"/>
        <v>1998</v>
      </c>
      <c r="AC8121" s="22">
        <f t="shared" si="253"/>
        <v>0.85400000000000009</v>
      </c>
    </row>
    <row r="8122" spans="1:29" ht="25.5">
      <c r="A8122" s="8" t="s">
        <v>6597</v>
      </c>
      <c r="B8122" s="20" t="s">
        <v>7739</v>
      </c>
      <c r="C8122" s="13">
        <v>36144</v>
      </c>
      <c r="D8122" s="13" t="s">
        <v>8465</v>
      </c>
      <c r="E8122" s="10" t="s">
        <v>1288</v>
      </c>
      <c r="F8122" s="10" t="s">
        <v>62</v>
      </c>
      <c r="G8122" s="11" t="s">
        <v>2874</v>
      </c>
      <c r="H8122" s="2" t="s">
        <v>21</v>
      </c>
      <c r="L8122" s="18">
        <v>0</v>
      </c>
      <c r="Q8122" s="18">
        <v>0</v>
      </c>
      <c r="U8122" s="22">
        <v>0.52</v>
      </c>
      <c r="V8122" s="22">
        <f>3.74/5</f>
        <v>0.748</v>
      </c>
      <c r="X8122" s="3">
        <v>3</v>
      </c>
      <c r="Z8122" s="23">
        <v>0.8</v>
      </c>
      <c r="AB8122" s="18">
        <f t="shared" si="252"/>
        <v>1998</v>
      </c>
      <c r="AC8122" s="22">
        <f t="shared" si="253"/>
        <v>0.62266666666666659</v>
      </c>
    </row>
    <row r="8123" spans="1:29">
      <c r="A8123" s="8" t="s">
        <v>850</v>
      </c>
      <c r="B8123" s="17" t="s">
        <v>7800</v>
      </c>
      <c r="C8123" s="13">
        <v>36139</v>
      </c>
      <c r="D8123" s="13" t="s">
        <v>8465</v>
      </c>
      <c r="E8123" s="10" t="s">
        <v>8722</v>
      </c>
      <c r="F8123" s="10" t="s">
        <v>1279</v>
      </c>
      <c r="G8123" s="11" t="s">
        <v>1465</v>
      </c>
      <c r="H8123" s="2" t="s">
        <v>1050</v>
      </c>
      <c r="L8123" s="18">
        <v>1</v>
      </c>
      <c r="N8123" s="13">
        <v>43924</v>
      </c>
      <c r="O8123" s="29">
        <v>0</v>
      </c>
      <c r="P8123" s="18" t="s">
        <v>1107</v>
      </c>
      <c r="Q8123" s="18">
        <v>0</v>
      </c>
      <c r="V8123" s="22">
        <f>3.77/5</f>
        <v>0.754</v>
      </c>
      <c r="W8123" s="14" t="s">
        <v>7777</v>
      </c>
      <c r="X8123" s="3">
        <v>3</v>
      </c>
      <c r="Z8123" s="23">
        <v>10</v>
      </c>
      <c r="AB8123" s="18">
        <f t="shared" si="252"/>
        <v>1998</v>
      </c>
      <c r="AC8123" s="22">
        <f t="shared" si="253"/>
        <v>0.67700000000000005</v>
      </c>
    </row>
    <row r="8124" spans="1:29" ht="30">
      <c r="A8124" s="8" t="s">
        <v>888</v>
      </c>
      <c r="B8124" s="20" t="s">
        <v>7739</v>
      </c>
      <c r="C8124" s="13">
        <v>36136</v>
      </c>
      <c r="D8124" s="13" t="s">
        <v>8465</v>
      </c>
      <c r="E8124" s="10" t="s">
        <v>1284</v>
      </c>
      <c r="F8124" s="10" t="s">
        <v>1322</v>
      </c>
      <c r="G8124" s="11" t="s">
        <v>6738</v>
      </c>
      <c r="H8124" s="2" t="s">
        <v>6563</v>
      </c>
      <c r="L8124" s="18">
        <v>0</v>
      </c>
      <c r="Q8124" s="18">
        <v>0</v>
      </c>
      <c r="U8124" s="22">
        <v>0.85</v>
      </c>
      <c r="V8124" s="22">
        <f>3.95/5</f>
        <v>0.79</v>
      </c>
      <c r="X8124" s="3">
        <v>4</v>
      </c>
      <c r="Z8124" s="23">
        <v>8.5</v>
      </c>
      <c r="AB8124" s="18">
        <f t="shared" si="252"/>
        <v>1998</v>
      </c>
      <c r="AC8124" s="22">
        <f t="shared" si="253"/>
        <v>0.81333333333333346</v>
      </c>
    </row>
    <row r="8125" spans="1:29" ht="30">
      <c r="A8125" s="8" t="s">
        <v>8644</v>
      </c>
      <c r="B8125" s="17" t="s">
        <v>7800</v>
      </c>
      <c r="C8125" s="13">
        <v>36136</v>
      </c>
      <c r="D8125" s="13" t="s">
        <v>8465</v>
      </c>
      <c r="E8125" s="10" t="s">
        <v>3978</v>
      </c>
      <c r="F8125" s="10" t="s">
        <v>8645</v>
      </c>
      <c r="G8125" s="11" t="s">
        <v>6902</v>
      </c>
      <c r="H8125" s="2" t="s">
        <v>67</v>
      </c>
      <c r="L8125" s="18">
        <v>1</v>
      </c>
      <c r="N8125" s="13">
        <v>43956</v>
      </c>
      <c r="O8125" s="29">
        <v>0</v>
      </c>
      <c r="P8125" s="18" t="s">
        <v>1107</v>
      </c>
      <c r="Q8125" s="18">
        <v>0</v>
      </c>
      <c r="V8125" s="22">
        <f>3.91/5</f>
        <v>0.78200000000000003</v>
      </c>
      <c r="W8125" s="14" t="s">
        <v>7777</v>
      </c>
      <c r="X8125" s="3">
        <v>3</v>
      </c>
      <c r="Z8125" s="23">
        <v>15</v>
      </c>
      <c r="AB8125" s="18">
        <f t="shared" si="252"/>
        <v>1998</v>
      </c>
      <c r="AC8125" s="22">
        <f t="shared" si="253"/>
        <v>0.69100000000000006</v>
      </c>
    </row>
    <row r="8126" spans="1:29" ht="25.5">
      <c r="A8126" s="8" t="s">
        <v>457</v>
      </c>
      <c r="B8126" s="17" t="s">
        <v>6317</v>
      </c>
      <c r="C8126" s="13">
        <v>36133</v>
      </c>
      <c r="D8126" s="13" t="s">
        <v>8465</v>
      </c>
      <c r="E8126" s="10" t="s">
        <v>458</v>
      </c>
      <c r="F8126" s="10" t="s">
        <v>458</v>
      </c>
      <c r="G8126" s="11" t="s">
        <v>362</v>
      </c>
      <c r="H8126" s="2" t="s">
        <v>459</v>
      </c>
      <c r="L8126" s="18">
        <v>0</v>
      </c>
      <c r="Q8126" s="18">
        <v>0</v>
      </c>
      <c r="V8126" s="22">
        <f>3.9/5</f>
        <v>0.78</v>
      </c>
      <c r="X8126" s="3">
        <v>3</v>
      </c>
      <c r="Z8126" s="23">
        <v>0.33</v>
      </c>
      <c r="AB8126" s="18">
        <f t="shared" si="252"/>
        <v>1998</v>
      </c>
      <c r="AC8126" s="22">
        <f t="shared" si="253"/>
        <v>0.69</v>
      </c>
    </row>
    <row r="8127" spans="1:29">
      <c r="A8127" s="8" t="s">
        <v>13150</v>
      </c>
      <c r="B8127" s="17" t="s">
        <v>7739</v>
      </c>
      <c r="C8127" s="13">
        <v>36133</v>
      </c>
      <c r="D8127" s="13" t="s">
        <v>8467</v>
      </c>
      <c r="E8127" s="10" t="s">
        <v>72</v>
      </c>
      <c r="F8127" s="10" t="s">
        <v>72</v>
      </c>
      <c r="H8127" s="2" t="s">
        <v>459</v>
      </c>
      <c r="L8127" s="18">
        <v>0</v>
      </c>
      <c r="Q8127" s="18">
        <v>0</v>
      </c>
      <c r="V8127" s="22">
        <f>3/5</f>
        <v>0.6</v>
      </c>
      <c r="X8127" s="3">
        <v>2</v>
      </c>
      <c r="Z8127" s="23">
        <f>19/60</f>
        <v>0.31666666666666665</v>
      </c>
      <c r="AB8127" s="18">
        <f t="shared" si="252"/>
        <v>1998</v>
      </c>
      <c r="AC8127" s="22">
        <f t="shared" si="253"/>
        <v>0.5</v>
      </c>
    </row>
    <row r="8128" spans="1:29">
      <c r="A8128" s="8" t="s">
        <v>1841</v>
      </c>
      <c r="B8128" s="17" t="s">
        <v>7746</v>
      </c>
      <c r="C8128" s="12">
        <v>36130</v>
      </c>
      <c r="D8128" s="13" t="s">
        <v>8465</v>
      </c>
      <c r="E8128" s="10" t="s">
        <v>160</v>
      </c>
      <c r="F8128" s="10" t="s">
        <v>1786</v>
      </c>
      <c r="H8128" s="2" t="s">
        <v>149</v>
      </c>
      <c r="L8128" s="18">
        <v>0</v>
      </c>
      <c r="Q8128" s="18">
        <v>0</v>
      </c>
      <c r="U8128" s="22">
        <v>0.6</v>
      </c>
      <c r="V8128" s="22">
        <f>3.19/5</f>
        <v>0.63800000000000001</v>
      </c>
      <c r="X8128" s="3">
        <v>3</v>
      </c>
      <c r="Z8128" s="23">
        <v>5</v>
      </c>
      <c r="AB8128" s="18">
        <f t="shared" si="252"/>
        <v>1998</v>
      </c>
      <c r="AC8128" s="22">
        <f t="shared" si="253"/>
        <v>0.61266666666666669</v>
      </c>
    </row>
    <row r="8129" spans="1:29">
      <c r="A8129" s="8" t="s">
        <v>382</v>
      </c>
      <c r="B8129" s="17" t="s">
        <v>6317</v>
      </c>
      <c r="C8129" s="12">
        <v>36130</v>
      </c>
      <c r="D8129" s="13" t="s">
        <v>8463</v>
      </c>
      <c r="E8129" s="10" t="s">
        <v>73</v>
      </c>
      <c r="F8129" s="10" t="s">
        <v>473</v>
      </c>
      <c r="G8129" s="11" t="s">
        <v>331</v>
      </c>
      <c r="H8129" s="2" t="s">
        <v>21</v>
      </c>
      <c r="K8129" s="18">
        <v>0</v>
      </c>
      <c r="L8129" s="18">
        <v>0</v>
      </c>
      <c r="Q8129" s="18">
        <v>0</v>
      </c>
      <c r="V8129" s="22">
        <f>3.88/5</f>
        <v>0.77600000000000002</v>
      </c>
      <c r="X8129" s="3">
        <v>2</v>
      </c>
      <c r="Z8129" s="23">
        <v>1</v>
      </c>
      <c r="AB8129" s="18">
        <f t="shared" ref="AB8129:AB8192" si="254">IFERROR(YEAR(C8129), "Early Access")</f>
        <v>1998</v>
      </c>
      <c r="AC8129" s="22">
        <f t="shared" ref="AC8129:AC8192" si="255">AVERAGE(T8129, U8129, V8129, IF(ISBLANK(X8129), X8129, X8129/5))</f>
        <v>0.58800000000000008</v>
      </c>
    </row>
    <row r="8130" spans="1:29" ht="30">
      <c r="A8130" s="8" t="s">
        <v>6579</v>
      </c>
      <c r="B8130" s="17" t="s">
        <v>7746</v>
      </c>
      <c r="C8130" s="12">
        <v>36130</v>
      </c>
      <c r="D8130" s="13" t="s">
        <v>8465</v>
      </c>
      <c r="E8130" s="10" t="s">
        <v>1272</v>
      </c>
      <c r="F8130" s="10" t="s">
        <v>7505</v>
      </c>
      <c r="G8130" s="11" t="s">
        <v>1186</v>
      </c>
      <c r="H8130" s="2" t="s">
        <v>64</v>
      </c>
      <c r="L8130" s="18">
        <v>0</v>
      </c>
      <c r="Q8130" s="18">
        <v>0</v>
      </c>
      <c r="U8130" s="22">
        <v>0.56999999999999995</v>
      </c>
      <c r="V8130" s="22">
        <f>2.71/5</f>
        <v>0.54200000000000004</v>
      </c>
      <c r="X8130" s="3">
        <v>2</v>
      </c>
      <c r="Z8130" s="23">
        <v>9</v>
      </c>
      <c r="AB8130" s="18">
        <f t="shared" si="254"/>
        <v>1998</v>
      </c>
      <c r="AC8130" s="22">
        <f t="shared" si="255"/>
        <v>0.504</v>
      </c>
    </row>
    <row r="8131" spans="1:29">
      <c r="A8131" s="8" t="s">
        <v>7183</v>
      </c>
      <c r="B8131" s="17" t="s">
        <v>7800</v>
      </c>
      <c r="C8131" s="13">
        <v>36129</v>
      </c>
      <c r="D8131" s="13" t="s">
        <v>8465</v>
      </c>
      <c r="E8131" s="10" t="s">
        <v>1296</v>
      </c>
      <c r="F8131" s="10" t="s">
        <v>1296</v>
      </c>
      <c r="G8131" s="11" t="s">
        <v>6599</v>
      </c>
      <c r="H8131" s="2" t="s">
        <v>1143</v>
      </c>
      <c r="L8131" s="18">
        <v>0</v>
      </c>
      <c r="Q8131" s="18">
        <v>0</v>
      </c>
      <c r="U8131" s="22">
        <v>0.95</v>
      </c>
      <c r="V8131" s="22">
        <f>4.41/5</f>
        <v>0.88200000000000001</v>
      </c>
      <c r="X8131" s="3">
        <v>4</v>
      </c>
      <c r="Z8131" s="23">
        <v>20</v>
      </c>
      <c r="AB8131" s="18">
        <f t="shared" si="254"/>
        <v>1998</v>
      </c>
      <c r="AC8131" s="22">
        <f t="shared" si="255"/>
        <v>0.87733333333333319</v>
      </c>
    </row>
    <row r="8132" spans="1:29">
      <c r="A8132" s="8" t="s">
        <v>5404</v>
      </c>
      <c r="B8132" s="17" t="s">
        <v>7800</v>
      </c>
      <c r="C8132" s="13">
        <v>36129</v>
      </c>
      <c r="D8132" s="13" t="s">
        <v>8465</v>
      </c>
      <c r="E8132" s="10" t="s">
        <v>1870</v>
      </c>
      <c r="F8132" s="10" t="s">
        <v>5234</v>
      </c>
      <c r="G8132" s="11" t="s">
        <v>5401</v>
      </c>
      <c r="H8132" s="2" t="s">
        <v>245</v>
      </c>
      <c r="L8132" s="18">
        <v>1</v>
      </c>
      <c r="N8132" s="13">
        <v>41500</v>
      </c>
      <c r="O8132" s="29">
        <v>1.58</v>
      </c>
      <c r="P8132" s="18" t="s">
        <v>1107</v>
      </c>
      <c r="Q8132" s="18">
        <v>0</v>
      </c>
      <c r="U8132" s="22">
        <v>0.89</v>
      </c>
      <c r="V8132" s="22">
        <f>4.25/5</f>
        <v>0.85</v>
      </c>
      <c r="W8132" s="14" t="s">
        <v>7777</v>
      </c>
      <c r="X8132" s="3">
        <v>4</v>
      </c>
      <c r="Z8132" s="23">
        <v>13</v>
      </c>
      <c r="AB8132" s="18">
        <f t="shared" si="254"/>
        <v>1998</v>
      </c>
      <c r="AC8132" s="22">
        <f t="shared" si="255"/>
        <v>0.84666666666666668</v>
      </c>
    </row>
    <row r="8133" spans="1:29">
      <c r="A8133" s="8" t="s">
        <v>777</v>
      </c>
      <c r="B8133" s="17" t="s">
        <v>7754</v>
      </c>
      <c r="C8133" s="13">
        <v>36129</v>
      </c>
      <c r="D8133" s="13" t="s">
        <v>8465</v>
      </c>
      <c r="E8133" s="10" t="s">
        <v>2701</v>
      </c>
      <c r="F8133" s="10" t="s">
        <v>455</v>
      </c>
      <c r="G8133" s="11" t="s">
        <v>777</v>
      </c>
      <c r="H8133" s="2" t="s">
        <v>171</v>
      </c>
      <c r="L8133" s="18">
        <v>0</v>
      </c>
      <c r="Q8133" s="18">
        <v>0</v>
      </c>
      <c r="V8133" s="22">
        <f>4.1/5</f>
        <v>0.82</v>
      </c>
      <c r="X8133" s="3">
        <v>3</v>
      </c>
      <c r="Z8133" s="23">
        <v>12.5</v>
      </c>
      <c r="AB8133" s="18">
        <f t="shared" si="254"/>
        <v>1998</v>
      </c>
      <c r="AC8133" s="22">
        <f t="shared" si="255"/>
        <v>0.71</v>
      </c>
    </row>
    <row r="8134" spans="1:29">
      <c r="A8134" s="8" t="s">
        <v>7842</v>
      </c>
      <c r="B8134" s="17" t="s">
        <v>7757</v>
      </c>
      <c r="C8134" s="17">
        <v>36125</v>
      </c>
      <c r="D8134" s="13" t="s">
        <v>8463</v>
      </c>
      <c r="E8134" s="10" t="s">
        <v>7843</v>
      </c>
      <c r="F8134" s="10" t="s">
        <v>7843</v>
      </c>
      <c r="H8134" s="2" t="s">
        <v>1061</v>
      </c>
      <c r="K8134" s="18">
        <v>1</v>
      </c>
      <c r="L8134" s="18">
        <v>0</v>
      </c>
      <c r="Q8134" s="18">
        <v>0</v>
      </c>
      <c r="V8134" s="22">
        <f>3.76/5</f>
        <v>0.752</v>
      </c>
      <c r="X8134" s="3">
        <v>2</v>
      </c>
      <c r="Z8134" s="23">
        <v>8</v>
      </c>
      <c r="AB8134" s="18">
        <f t="shared" si="254"/>
        <v>1998</v>
      </c>
      <c r="AC8134" s="22">
        <f t="shared" si="255"/>
        <v>0.57600000000000007</v>
      </c>
    </row>
    <row r="8135" spans="1:29" ht="25.5">
      <c r="A8135" s="8" t="s">
        <v>15627</v>
      </c>
      <c r="B8135" s="17" t="s">
        <v>7757</v>
      </c>
      <c r="C8135" s="13">
        <v>36125</v>
      </c>
      <c r="D8135" s="13" t="s">
        <v>8463</v>
      </c>
      <c r="E8135" s="10" t="s">
        <v>257</v>
      </c>
      <c r="F8135" s="10" t="s">
        <v>9863</v>
      </c>
      <c r="H8135" s="2" t="s">
        <v>1194</v>
      </c>
      <c r="K8135" s="18">
        <v>0</v>
      </c>
      <c r="L8135" s="18">
        <v>0</v>
      </c>
      <c r="Q8135" s="18">
        <v>0</v>
      </c>
      <c r="V8135" s="22">
        <f>3.72/5</f>
        <v>0.74399999999999999</v>
      </c>
      <c r="X8135" s="3">
        <v>2</v>
      </c>
      <c r="AB8135" s="18">
        <f t="shared" si="254"/>
        <v>1998</v>
      </c>
      <c r="AC8135" s="22">
        <f t="shared" si="255"/>
        <v>0.57200000000000006</v>
      </c>
    </row>
    <row r="8136" spans="1:29">
      <c r="A8136" s="8" t="s">
        <v>13839</v>
      </c>
      <c r="B8136" s="17" t="s">
        <v>7800</v>
      </c>
      <c r="C8136" s="13">
        <v>36123</v>
      </c>
      <c r="D8136" s="13" t="s">
        <v>8465</v>
      </c>
      <c r="E8136" s="10" t="s">
        <v>6945</v>
      </c>
      <c r="F8136" s="10" t="s">
        <v>13840</v>
      </c>
      <c r="G8136" s="11" t="s">
        <v>13821</v>
      </c>
      <c r="H8136" s="2" t="s">
        <v>1720</v>
      </c>
      <c r="L8136" s="18">
        <v>0</v>
      </c>
      <c r="Q8136" s="18">
        <v>0</v>
      </c>
      <c r="V8136" s="22">
        <f>4.5/5</f>
        <v>0.9</v>
      </c>
      <c r="X8136" s="3">
        <v>2</v>
      </c>
      <c r="Z8136" s="23">
        <v>28</v>
      </c>
      <c r="AB8136" s="18">
        <f t="shared" si="254"/>
        <v>1998</v>
      </c>
      <c r="AC8136" s="22">
        <f t="shared" si="255"/>
        <v>0.65</v>
      </c>
    </row>
    <row r="8137" spans="1:29" ht="25.5">
      <c r="A8137" s="8" t="s">
        <v>893</v>
      </c>
      <c r="B8137" s="20" t="s">
        <v>7739</v>
      </c>
      <c r="C8137" s="13">
        <v>36122</v>
      </c>
      <c r="D8137" s="13" t="s">
        <v>8465</v>
      </c>
      <c r="E8137" s="10" t="s">
        <v>86</v>
      </c>
      <c r="F8137" s="10" t="s">
        <v>87</v>
      </c>
      <c r="G8137" s="11" t="s">
        <v>85</v>
      </c>
      <c r="H8137" s="2" t="s">
        <v>80</v>
      </c>
      <c r="L8137" s="18">
        <v>1</v>
      </c>
      <c r="M8137" s="14" t="s">
        <v>10622</v>
      </c>
      <c r="N8137" s="13">
        <v>43321</v>
      </c>
      <c r="O8137" s="29">
        <v>29.99</v>
      </c>
      <c r="P8137" s="18" t="s">
        <v>14</v>
      </c>
      <c r="Q8137" s="18">
        <v>0</v>
      </c>
      <c r="U8137" s="22">
        <v>0.98</v>
      </c>
      <c r="V8137" s="22">
        <f>4.59/5</f>
        <v>0.91799999999999993</v>
      </c>
      <c r="X8137" s="3">
        <v>4</v>
      </c>
      <c r="Z8137" s="23">
        <v>26.5</v>
      </c>
      <c r="AB8137" s="18">
        <f t="shared" si="254"/>
        <v>1998</v>
      </c>
      <c r="AC8137" s="22">
        <f t="shared" si="255"/>
        <v>0.89933333333333332</v>
      </c>
    </row>
    <row r="8138" spans="1:29" ht="25.5">
      <c r="A8138" s="8" t="s">
        <v>14854</v>
      </c>
      <c r="B8138" s="17" t="s">
        <v>7800</v>
      </c>
      <c r="C8138" s="13">
        <v>36122</v>
      </c>
      <c r="D8138" s="13" t="s">
        <v>8465</v>
      </c>
      <c r="E8138" s="10" t="s">
        <v>6668</v>
      </c>
      <c r="F8138" s="10" t="s">
        <v>14855</v>
      </c>
      <c r="G8138" s="11" t="s">
        <v>5534</v>
      </c>
      <c r="H8138" s="2" t="s">
        <v>3937</v>
      </c>
      <c r="L8138" s="18">
        <v>0</v>
      </c>
      <c r="Q8138" s="18">
        <v>0</v>
      </c>
      <c r="V8138" s="22">
        <f>3.54/5</f>
        <v>0.70799999999999996</v>
      </c>
      <c r="X8138" s="3">
        <v>2</v>
      </c>
      <c r="Z8138" s="23">
        <v>36</v>
      </c>
      <c r="AB8138" s="18">
        <f t="shared" si="254"/>
        <v>1998</v>
      </c>
      <c r="AC8138" s="22">
        <f t="shared" si="255"/>
        <v>0.55400000000000005</v>
      </c>
    </row>
    <row r="8139" spans="1:29">
      <c r="A8139" s="8" t="s">
        <v>1835</v>
      </c>
      <c r="B8139" s="17" t="s">
        <v>7746</v>
      </c>
      <c r="C8139" s="13">
        <v>36119</v>
      </c>
      <c r="D8139" s="13" t="s">
        <v>8463</v>
      </c>
      <c r="E8139" s="10" t="s">
        <v>62</v>
      </c>
      <c r="F8139" s="10" t="s">
        <v>62</v>
      </c>
      <c r="G8139" s="11" t="s">
        <v>301</v>
      </c>
      <c r="H8139" s="2" t="s">
        <v>75</v>
      </c>
      <c r="K8139" s="18">
        <v>1</v>
      </c>
      <c r="L8139" s="18">
        <v>0</v>
      </c>
      <c r="Q8139" s="18">
        <v>0</v>
      </c>
      <c r="V8139" s="22">
        <f>3.73/5</f>
        <v>0.746</v>
      </c>
      <c r="X8139" s="3">
        <v>3</v>
      </c>
      <c r="AB8139" s="18">
        <f t="shared" si="254"/>
        <v>1998</v>
      </c>
      <c r="AC8139" s="22">
        <f t="shared" si="255"/>
        <v>0.67300000000000004</v>
      </c>
    </row>
    <row r="8140" spans="1:29" ht="38.25">
      <c r="A8140" s="8" t="s">
        <v>5434</v>
      </c>
      <c r="B8140" s="17" t="s">
        <v>7800</v>
      </c>
      <c r="C8140" s="13">
        <v>36119</v>
      </c>
      <c r="D8140" s="13" t="s">
        <v>8465</v>
      </c>
      <c r="E8140" s="10" t="s">
        <v>1870</v>
      </c>
      <c r="F8140" s="10" t="s">
        <v>1282</v>
      </c>
      <c r="G8140" s="11" t="s">
        <v>1853</v>
      </c>
      <c r="H8140" s="2" t="s">
        <v>80</v>
      </c>
      <c r="L8140" s="18">
        <v>1</v>
      </c>
      <c r="N8140" s="13">
        <v>42360</v>
      </c>
      <c r="P8140" s="18" t="s">
        <v>1107</v>
      </c>
      <c r="Q8140" s="18">
        <v>0</v>
      </c>
      <c r="U8140" s="22">
        <v>0.73</v>
      </c>
      <c r="V8140" s="22">
        <f>3.58/5</f>
        <v>0.71599999999999997</v>
      </c>
      <c r="W8140" s="14" t="s">
        <v>7777</v>
      </c>
      <c r="X8140" s="3">
        <v>3</v>
      </c>
      <c r="Z8140" s="23">
        <v>18</v>
      </c>
      <c r="AB8140" s="18">
        <f t="shared" si="254"/>
        <v>1998</v>
      </c>
      <c r="AC8140" s="22">
        <f t="shared" si="255"/>
        <v>0.68199999999999994</v>
      </c>
    </row>
    <row r="8141" spans="1:29">
      <c r="A8141" s="8" t="s">
        <v>850</v>
      </c>
      <c r="B8141" s="17" t="s">
        <v>7746</v>
      </c>
      <c r="C8141" s="13">
        <v>36117</v>
      </c>
      <c r="D8141" s="13" t="s">
        <v>8465</v>
      </c>
      <c r="E8141" s="10" t="s">
        <v>154</v>
      </c>
      <c r="F8141" s="10" t="s">
        <v>1886</v>
      </c>
      <c r="G8141" s="11" t="s">
        <v>1465</v>
      </c>
      <c r="H8141" s="2" t="s">
        <v>56</v>
      </c>
      <c r="L8141" s="18">
        <v>0</v>
      </c>
      <c r="Q8141" s="18">
        <v>0</v>
      </c>
      <c r="U8141" s="22">
        <v>0.6</v>
      </c>
      <c r="V8141" s="22">
        <f>2.83/5</f>
        <v>0.56600000000000006</v>
      </c>
      <c r="X8141" s="3">
        <v>3</v>
      </c>
      <c r="Z8141" s="23">
        <v>10</v>
      </c>
      <c r="AB8141" s="18">
        <f t="shared" si="254"/>
        <v>1998</v>
      </c>
      <c r="AC8141" s="22">
        <f t="shared" si="255"/>
        <v>0.58866666666666667</v>
      </c>
    </row>
    <row r="8142" spans="1:29" ht="30">
      <c r="A8142" s="8" t="s">
        <v>15801</v>
      </c>
      <c r="B8142" s="17" t="s">
        <v>7757</v>
      </c>
      <c r="C8142" s="13">
        <v>36117</v>
      </c>
      <c r="D8142" s="13" t="s">
        <v>8465</v>
      </c>
      <c r="E8142" s="10" t="s">
        <v>2908</v>
      </c>
      <c r="F8142" s="10" t="s">
        <v>1309</v>
      </c>
      <c r="G8142" s="11" t="s">
        <v>15801</v>
      </c>
      <c r="H8142" s="2" t="s">
        <v>1040</v>
      </c>
      <c r="L8142" s="18">
        <v>0</v>
      </c>
      <c r="Q8142" s="18">
        <v>0</v>
      </c>
      <c r="V8142" s="22">
        <f>3.13/5</f>
        <v>0.626</v>
      </c>
      <c r="X8142" s="3">
        <v>2</v>
      </c>
      <c r="Z8142" s="23">
        <v>6</v>
      </c>
      <c r="AB8142" s="18">
        <f t="shared" si="254"/>
        <v>1998</v>
      </c>
      <c r="AC8142" s="22">
        <f t="shared" si="255"/>
        <v>0.51300000000000001</v>
      </c>
    </row>
    <row r="8143" spans="1:29" ht="25.5">
      <c r="A8143" s="8" t="s">
        <v>4575</v>
      </c>
      <c r="B8143" s="17" t="s">
        <v>7800</v>
      </c>
      <c r="C8143" s="13">
        <v>36116</v>
      </c>
      <c r="D8143" s="13" t="s">
        <v>8465</v>
      </c>
      <c r="E8143" s="10" t="s">
        <v>4576</v>
      </c>
      <c r="F8143" s="10" t="s">
        <v>4577</v>
      </c>
      <c r="G8143" s="11" t="s">
        <v>4578</v>
      </c>
      <c r="H8143" s="2" t="s">
        <v>64</v>
      </c>
      <c r="L8143" s="18">
        <v>1</v>
      </c>
      <c r="N8143" s="13">
        <v>40901</v>
      </c>
      <c r="P8143" s="18" t="s">
        <v>1107</v>
      </c>
      <c r="Q8143" s="18">
        <v>0</v>
      </c>
      <c r="U8143" s="22">
        <v>0.87</v>
      </c>
      <c r="V8143" s="22">
        <f>4.11/5</f>
        <v>0.82200000000000006</v>
      </c>
      <c r="W8143" s="14" t="s">
        <v>7777</v>
      </c>
      <c r="X8143" s="3">
        <v>3</v>
      </c>
      <c r="Z8143" s="23">
        <v>14.5</v>
      </c>
      <c r="AB8143" s="18">
        <f t="shared" si="254"/>
        <v>1998</v>
      </c>
      <c r="AC8143" s="22">
        <f t="shared" si="255"/>
        <v>0.76400000000000012</v>
      </c>
    </row>
    <row r="8144" spans="1:29">
      <c r="A8144" s="8" t="s">
        <v>15773</v>
      </c>
      <c r="B8144" s="17" t="s">
        <v>7739</v>
      </c>
      <c r="C8144" s="13">
        <v>36116</v>
      </c>
      <c r="D8144" s="13" t="s">
        <v>8465</v>
      </c>
      <c r="E8144" s="10" t="s">
        <v>154</v>
      </c>
      <c r="F8144" s="10" t="s">
        <v>14882</v>
      </c>
      <c r="G8144" s="11" t="s">
        <v>15772</v>
      </c>
      <c r="H8144" s="2" t="s">
        <v>150</v>
      </c>
      <c r="L8144" s="18">
        <v>0</v>
      </c>
      <c r="Q8144" s="18">
        <v>0</v>
      </c>
      <c r="V8144" s="22">
        <f>3.51/5</f>
        <v>0.70199999999999996</v>
      </c>
      <c r="X8144" s="3">
        <v>2</v>
      </c>
      <c r="Z8144" s="23">
        <v>3</v>
      </c>
      <c r="AB8144" s="18">
        <f t="shared" si="254"/>
        <v>1998</v>
      </c>
      <c r="AC8144" s="22">
        <f t="shared" si="255"/>
        <v>0.55099999999999993</v>
      </c>
    </row>
    <row r="8145" spans="1:29" ht="25.5">
      <c r="A8145" s="8" t="s">
        <v>9572</v>
      </c>
      <c r="B8145" s="17" t="s">
        <v>7757</v>
      </c>
      <c r="C8145" s="13">
        <v>36111</v>
      </c>
      <c r="D8145" s="13" t="s">
        <v>8463</v>
      </c>
      <c r="E8145" s="10" t="s">
        <v>9573</v>
      </c>
      <c r="F8145" s="10" t="s">
        <v>9573</v>
      </c>
      <c r="H8145" s="2" t="s">
        <v>153</v>
      </c>
      <c r="K8145" s="18">
        <v>2</v>
      </c>
      <c r="L8145" s="18">
        <v>0</v>
      </c>
      <c r="Q8145" s="18">
        <v>0</v>
      </c>
      <c r="V8145" s="22">
        <f>2.94/5</f>
        <v>0.58799999999999997</v>
      </c>
      <c r="X8145" s="3">
        <v>3</v>
      </c>
      <c r="AB8145" s="18">
        <f t="shared" si="254"/>
        <v>1998</v>
      </c>
      <c r="AC8145" s="22">
        <f t="shared" si="255"/>
        <v>0.59399999999999997</v>
      </c>
    </row>
    <row r="8146" spans="1:29">
      <c r="A8146" s="8" t="s">
        <v>15632</v>
      </c>
      <c r="B8146" s="17" t="s">
        <v>7757</v>
      </c>
      <c r="C8146" s="13">
        <v>36111</v>
      </c>
      <c r="D8146" s="13" t="s">
        <v>8463</v>
      </c>
      <c r="E8146" s="10" t="s">
        <v>9060</v>
      </c>
      <c r="F8146" s="10" t="s">
        <v>9060</v>
      </c>
      <c r="H8146" s="2" t="s">
        <v>67</v>
      </c>
      <c r="K8146" s="18">
        <v>0</v>
      </c>
      <c r="L8146" s="18">
        <v>0</v>
      </c>
      <c r="Q8146" s="18">
        <v>0</v>
      </c>
      <c r="V8146" s="22">
        <f>3.07/5</f>
        <v>0.61399999999999999</v>
      </c>
      <c r="X8146" s="3">
        <v>2</v>
      </c>
      <c r="AB8146" s="18">
        <f t="shared" si="254"/>
        <v>1998</v>
      </c>
      <c r="AC8146" s="22">
        <f t="shared" si="255"/>
        <v>0.50700000000000001</v>
      </c>
    </row>
    <row r="8147" spans="1:29" ht="25.5">
      <c r="A8147" s="8" t="s">
        <v>15777</v>
      </c>
      <c r="B8147" s="17" t="s">
        <v>7739</v>
      </c>
      <c r="C8147" s="13">
        <v>36109</v>
      </c>
      <c r="D8147" s="13" t="s">
        <v>8465</v>
      </c>
      <c r="E8147" s="10" t="s">
        <v>59</v>
      </c>
      <c r="F8147" s="10" t="s">
        <v>59</v>
      </c>
      <c r="H8147" s="2" t="s">
        <v>1170</v>
      </c>
      <c r="L8147" s="18">
        <v>0</v>
      </c>
      <c r="Q8147" s="18">
        <v>0</v>
      </c>
      <c r="V8147" s="22">
        <f>3.05/5</f>
        <v>0.61</v>
      </c>
      <c r="X8147" s="3">
        <v>2</v>
      </c>
      <c r="AB8147" s="18">
        <f t="shared" si="254"/>
        <v>1998</v>
      </c>
      <c r="AC8147" s="22">
        <f t="shared" si="255"/>
        <v>0.505</v>
      </c>
    </row>
    <row r="8148" spans="1:29">
      <c r="A8148" s="8" t="s">
        <v>15770</v>
      </c>
      <c r="B8148" s="17" t="s">
        <v>7739</v>
      </c>
      <c r="C8148" s="13">
        <v>36104</v>
      </c>
      <c r="D8148" s="13" t="s">
        <v>8465</v>
      </c>
      <c r="E8148" s="10" t="s">
        <v>1288</v>
      </c>
      <c r="F8148" s="10" t="s">
        <v>15771</v>
      </c>
      <c r="H8148" s="2" t="s">
        <v>459</v>
      </c>
      <c r="L8148" s="18">
        <v>0</v>
      </c>
      <c r="Q8148" s="18">
        <v>0</v>
      </c>
      <c r="V8148" s="22">
        <f>3.07/5</f>
        <v>0.61399999999999999</v>
      </c>
      <c r="X8148" s="3">
        <v>2</v>
      </c>
      <c r="Z8148" s="23">
        <f>23/60</f>
        <v>0.38333333333333336</v>
      </c>
      <c r="AB8148" s="18">
        <f t="shared" si="254"/>
        <v>1998</v>
      </c>
      <c r="AC8148" s="22">
        <f t="shared" si="255"/>
        <v>0.50700000000000001</v>
      </c>
    </row>
    <row r="8149" spans="1:29">
      <c r="A8149" s="8" t="s">
        <v>7828</v>
      </c>
      <c r="B8149" s="17" t="s">
        <v>7739</v>
      </c>
      <c r="C8149" s="13">
        <v>36102</v>
      </c>
      <c r="D8149" s="13" t="s">
        <v>8465</v>
      </c>
      <c r="E8149" s="10" t="s">
        <v>485</v>
      </c>
      <c r="F8149" s="10" t="s">
        <v>7826</v>
      </c>
      <c r="G8149" s="11" t="s">
        <v>6050</v>
      </c>
      <c r="H8149" s="2" t="s">
        <v>150</v>
      </c>
      <c r="L8149" s="18">
        <v>0</v>
      </c>
      <c r="Q8149" s="18">
        <v>0</v>
      </c>
      <c r="U8149" s="22">
        <v>0.86609999999999998</v>
      </c>
      <c r="V8149" s="22">
        <f>3.38/5</f>
        <v>0.67599999999999993</v>
      </c>
      <c r="X8149" s="3">
        <v>2</v>
      </c>
      <c r="Z8149" s="23">
        <v>0.25</v>
      </c>
      <c r="AB8149" s="18">
        <f t="shared" si="254"/>
        <v>1998</v>
      </c>
      <c r="AC8149" s="22">
        <f t="shared" si="255"/>
        <v>0.64736666666666665</v>
      </c>
    </row>
    <row r="8150" spans="1:29" ht="25.5">
      <c r="A8150" s="8" t="s">
        <v>16052</v>
      </c>
      <c r="B8150" s="17" t="s">
        <v>7757</v>
      </c>
      <c r="C8150" s="13">
        <v>36102</v>
      </c>
      <c r="D8150" s="13" t="s">
        <v>8465</v>
      </c>
      <c r="E8150" s="10" t="s">
        <v>7826</v>
      </c>
      <c r="F8150" s="10" t="s">
        <v>16053</v>
      </c>
      <c r="H8150" s="2" t="s">
        <v>80</v>
      </c>
      <c r="L8150" s="18">
        <v>0</v>
      </c>
      <c r="Q8150" s="18">
        <v>0</v>
      </c>
      <c r="V8150" s="22">
        <f>2.81/5</f>
        <v>0.56200000000000006</v>
      </c>
      <c r="X8150" s="3">
        <v>2</v>
      </c>
      <c r="Z8150" s="23">
        <v>15.5</v>
      </c>
      <c r="AB8150" s="18">
        <f t="shared" si="254"/>
        <v>1998</v>
      </c>
      <c r="AC8150" s="22">
        <f t="shared" si="255"/>
        <v>0.48100000000000004</v>
      </c>
    </row>
    <row r="8151" spans="1:29" ht="38.25">
      <c r="A8151" s="8" t="s">
        <v>15623</v>
      </c>
      <c r="B8151" s="17" t="s">
        <v>7757</v>
      </c>
      <c r="C8151" s="13">
        <v>36100</v>
      </c>
      <c r="D8151" s="13" t="s">
        <v>8465</v>
      </c>
      <c r="E8151" s="10" t="s">
        <v>2461</v>
      </c>
      <c r="F8151" s="10" t="s">
        <v>15624</v>
      </c>
      <c r="H8151" s="2" t="s">
        <v>64</v>
      </c>
      <c r="L8151" s="18">
        <v>0</v>
      </c>
      <c r="Q8151" s="18">
        <v>0</v>
      </c>
      <c r="V8151" s="22">
        <f>2.54/5</f>
        <v>0.50800000000000001</v>
      </c>
      <c r="X8151" s="3">
        <v>2</v>
      </c>
      <c r="Z8151" s="23">
        <v>4.5</v>
      </c>
      <c r="AB8151" s="18">
        <f t="shared" si="254"/>
        <v>1998</v>
      </c>
      <c r="AC8151" s="22">
        <f t="shared" si="255"/>
        <v>0.45400000000000001</v>
      </c>
    </row>
    <row r="8152" spans="1:29">
      <c r="A8152" s="8" t="s">
        <v>15797</v>
      </c>
      <c r="B8152" s="17" t="s">
        <v>7739</v>
      </c>
      <c r="C8152" s="12">
        <v>36100</v>
      </c>
      <c r="D8152" s="13" t="s">
        <v>8467</v>
      </c>
      <c r="E8152" s="10" t="s">
        <v>15798</v>
      </c>
      <c r="F8152" s="10" t="s">
        <v>81</v>
      </c>
      <c r="H8152" s="2" t="s">
        <v>150</v>
      </c>
      <c r="L8152" s="18">
        <v>0</v>
      </c>
      <c r="Q8152" s="18">
        <v>0</v>
      </c>
      <c r="V8152" s="22">
        <f>3.1/5</f>
        <v>0.62</v>
      </c>
      <c r="X8152" s="3">
        <v>2</v>
      </c>
      <c r="Z8152" s="23">
        <f>38/60</f>
        <v>0.6333333333333333</v>
      </c>
      <c r="AB8152" s="18">
        <f t="shared" si="254"/>
        <v>1998</v>
      </c>
      <c r="AC8152" s="22">
        <f t="shared" si="255"/>
        <v>0.51</v>
      </c>
    </row>
    <row r="8153" spans="1:29">
      <c r="A8153" s="8" t="s">
        <v>7517</v>
      </c>
      <c r="B8153" s="17" t="s">
        <v>7800</v>
      </c>
      <c r="C8153" s="13">
        <v>36099</v>
      </c>
      <c r="D8153" s="13" t="s">
        <v>8465</v>
      </c>
      <c r="E8153" s="10" t="s">
        <v>1273</v>
      </c>
      <c r="F8153" s="10" t="s">
        <v>5017</v>
      </c>
      <c r="G8153" s="11" t="s">
        <v>6771</v>
      </c>
      <c r="H8153" s="2" t="s">
        <v>1050</v>
      </c>
      <c r="L8153" s="18">
        <v>0</v>
      </c>
      <c r="Q8153" s="18">
        <v>0</v>
      </c>
      <c r="U8153" s="22">
        <v>0.82</v>
      </c>
      <c r="V8153" s="22">
        <f>3.83/5</f>
        <v>0.76600000000000001</v>
      </c>
      <c r="X8153" s="3">
        <v>3</v>
      </c>
      <c r="Z8153" s="23">
        <v>21.5</v>
      </c>
      <c r="AB8153" s="18">
        <f t="shared" si="254"/>
        <v>1998</v>
      </c>
      <c r="AC8153" s="22">
        <f t="shared" si="255"/>
        <v>0.72866666666666668</v>
      </c>
    </row>
    <row r="8154" spans="1:29" ht="25.5">
      <c r="A8154" s="8" t="s">
        <v>2974</v>
      </c>
      <c r="B8154" s="17" t="s">
        <v>7757</v>
      </c>
      <c r="C8154" s="13">
        <v>36099</v>
      </c>
      <c r="D8154" s="13" t="s">
        <v>8465</v>
      </c>
      <c r="E8154" s="10" t="s">
        <v>1290</v>
      </c>
      <c r="F8154" s="10" t="s">
        <v>2646</v>
      </c>
      <c r="G8154" s="11" t="s">
        <v>1576</v>
      </c>
      <c r="H8154" s="2" t="s">
        <v>1040</v>
      </c>
      <c r="L8154" s="18">
        <v>0</v>
      </c>
      <c r="Q8154" s="18">
        <v>0</v>
      </c>
      <c r="U8154" s="22">
        <v>0.89</v>
      </c>
      <c r="V8154" s="22">
        <f>4.19/5</f>
        <v>0.83800000000000008</v>
      </c>
      <c r="X8154" s="3">
        <v>4</v>
      </c>
      <c r="Z8154" s="23">
        <v>6.5</v>
      </c>
      <c r="AB8154" s="18">
        <f t="shared" si="254"/>
        <v>1998</v>
      </c>
      <c r="AC8154" s="22">
        <f t="shared" si="255"/>
        <v>0.84266666666666679</v>
      </c>
    </row>
    <row r="8155" spans="1:29" ht="25.5">
      <c r="A8155" s="8" t="s">
        <v>8704</v>
      </c>
      <c r="B8155" s="17" t="s">
        <v>7757</v>
      </c>
      <c r="C8155" s="13">
        <v>36099</v>
      </c>
      <c r="D8155" s="13" t="s">
        <v>8465</v>
      </c>
      <c r="E8155" s="10" t="s">
        <v>228</v>
      </c>
      <c r="F8155" s="10" t="s">
        <v>8705</v>
      </c>
      <c r="G8155" s="11" t="s">
        <v>8706</v>
      </c>
      <c r="H8155" s="2" t="s">
        <v>75</v>
      </c>
      <c r="L8155" s="18">
        <v>0</v>
      </c>
      <c r="Q8155" s="18">
        <v>0</v>
      </c>
      <c r="V8155" s="22">
        <f>4.05/5</f>
        <v>0.80999999999999994</v>
      </c>
      <c r="X8155" s="3">
        <v>3</v>
      </c>
      <c r="Z8155" s="23">
        <v>15</v>
      </c>
      <c r="AB8155" s="18">
        <f t="shared" si="254"/>
        <v>1998</v>
      </c>
      <c r="AC8155" s="22">
        <f t="shared" si="255"/>
        <v>0.70499999999999996</v>
      </c>
    </row>
    <row r="8156" spans="1:29">
      <c r="A8156" s="8" t="s">
        <v>2922</v>
      </c>
      <c r="B8156" s="17" t="s">
        <v>7757</v>
      </c>
      <c r="C8156" s="13">
        <v>36099</v>
      </c>
      <c r="D8156" s="13" t="s">
        <v>8465</v>
      </c>
      <c r="E8156" s="10" t="s">
        <v>161</v>
      </c>
      <c r="F8156" s="10" t="s">
        <v>161</v>
      </c>
      <c r="G8156" s="11" t="s">
        <v>3018</v>
      </c>
      <c r="H8156" s="2" t="s">
        <v>171</v>
      </c>
      <c r="L8156" s="18">
        <v>0</v>
      </c>
      <c r="Q8156" s="18">
        <v>0</v>
      </c>
      <c r="U8156" s="22">
        <v>0.8</v>
      </c>
      <c r="V8156" s="22">
        <f>4.04/5</f>
        <v>0.80800000000000005</v>
      </c>
      <c r="X8156" s="3">
        <v>3</v>
      </c>
      <c r="Z8156" s="23">
        <v>15</v>
      </c>
      <c r="AB8156" s="18">
        <f t="shared" si="254"/>
        <v>1998</v>
      </c>
      <c r="AC8156" s="22">
        <f t="shared" si="255"/>
        <v>0.7360000000000001</v>
      </c>
    </row>
    <row r="8157" spans="1:29">
      <c r="A8157" s="8" t="s">
        <v>447</v>
      </c>
      <c r="B8157" s="17" t="s">
        <v>7757</v>
      </c>
      <c r="C8157" s="13">
        <v>36099</v>
      </c>
      <c r="D8157" s="13" t="s">
        <v>8465</v>
      </c>
      <c r="E8157" s="10" t="s">
        <v>228</v>
      </c>
      <c r="F8157" s="10" t="s">
        <v>479</v>
      </c>
      <c r="G8157" s="11" t="s">
        <v>447</v>
      </c>
      <c r="H8157" s="2" t="s">
        <v>459</v>
      </c>
      <c r="L8157" s="18">
        <v>0</v>
      </c>
      <c r="Q8157" s="18">
        <v>0</v>
      </c>
      <c r="U8157" s="22">
        <v>0.78</v>
      </c>
      <c r="V8157" s="22">
        <f>3.73/5</f>
        <v>0.746</v>
      </c>
      <c r="X8157" s="3">
        <v>3</v>
      </c>
      <c r="Z8157" s="23">
        <v>0.88</v>
      </c>
      <c r="AB8157" s="18">
        <f t="shared" si="254"/>
        <v>1998</v>
      </c>
      <c r="AC8157" s="22">
        <f t="shared" si="255"/>
        <v>0.70866666666666667</v>
      </c>
    </row>
    <row r="8158" spans="1:29" ht="25.5">
      <c r="A8158" s="8" t="s">
        <v>7582</v>
      </c>
      <c r="B8158" s="17" t="s">
        <v>7800</v>
      </c>
      <c r="C8158" s="13">
        <v>36099</v>
      </c>
      <c r="D8158" s="13" t="s">
        <v>8465</v>
      </c>
      <c r="E8158" s="10" t="s">
        <v>1690</v>
      </c>
      <c r="F8158" s="10" t="s">
        <v>1690</v>
      </c>
      <c r="G8158" s="11" t="s">
        <v>1207</v>
      </c>
      <c r="H8158" s="2" t="s">
        <v>171</v>
      </c>
      <c r="L8158" s="18">
        <v>1</v>
      </c>
      <c r="N8158" s="13">
        <v>45161</v>
      </c>
      <c r="O8158" s="29">
        <v>1.6</v>
      </c>
      <c r="P8158" s="18" t="s">
        <v>1107</v>
      </c>
      <c r="Q8158" s="18">
        <v>0</v>
      </c>
      <c r="U8158" s="22">
        <v>0.78</v>
      </c>
      <c r="V8158" s="22">
        <f>3.29/5</f>
        <v>0.65800000000000003</v>
      </c>
      <c r="W8158" s="14" t="s">
        <v>7777</v>
      </c>
      <c r="X8158" s="3">
        <v>3</v>
      </c>
      <c r="Z8158" s="23">
        <v>17.5</v>
      </c>
      <c r="AB8158" s="18">
        <f t="shared" si="254"/>
        <v>1998</v>
      </c>
      <c r="AC8158" s="22">
        <f t="shared" si="255"/>
        <v>0.67933333333333346</v>
      </c>
    </row>
    <row r="8159" spans="1:29">
      <c r="A8159" s="8" t="s">
        <v>7472</v>
      </c>
      <c r="B8159" s="17" t="s">
        <v>7757</v>
      </c>
      <c r="C8159" s="13">
        <v>36099</v>
      </c>
      <c r="D8159" s="13" t="s">
        <v>8465</v>
      </c>
      <c r="E8159" s="10" t="s">
        <v>3026</v>
      </c>
      <c r="F8159" s="10" t="s">
        <v>3026</v>
      </c>
      <c r="G8159" s="11" t="s">
        <v>6067</v>
      </c>
      <c r="H8159" s="2" t="s">
        <v>1204</v>
      </c>
      <c r="L8159" s="18">
        <v>0</v>
      </c>
      <c r="Q8159" s="18">
        <v>0</v>
      </c>
      <c r="U8159" s="22">
        <v>0.49</v>
      </c>
      <c r="V8159" s="22">
        <f>3.31/5</f>
        <v>0.66200000000000003</v>
      </c>
      <c r="X8159" s="3">
        <v>3</v>
      </c>
      <c r="Z8159" s="23">
        <v>3.5</v>
      </c>
      <c r="AB8159" s="18">
        <f t="shared" si="254"/>
        <v>1998</v>
      </c>
      <c r="AC8159" s="22">
        <f t="shared" si="255"/>
        <v>0.58400000000000007</v>
      </c>
    </row>
    <row r="8160" spans="1:29">
      <c r="A8160" s="8" t="s">
        <v>14889</v>
      </c>
      <c r="B8160" s="17" t="s">
        <v>6317</v>
      </c>
      <c r="C8160" s="13">
        <v>36099</v>
      </c>
      <c r="D8160" s="13" t="s">
        <v>8465</v>
      </c>
      <c r="E8160" s="10" t="s">
        <v>1466</v>
      </c>
      <c r="F8160" s="10" t="s">
        <v>1466</v>
      </c>
      <c r="H8160" s="2" t="s">
        <v>1170</v>
      </c>
      <c r="L8160" s="18">
        <v>0</v>
      </c>
      <c r="Q8160" s="18">
        <v>0</v>
      </c>
      <c r="V8160" s="22">
        <f>3.41/5</f>
        <v>0.68200000000000005</v>
      </c>
      <c r="X8160" s="3">
        <v>2</v>
      </c>
      <c r="Z8160" s="23">
        <f>35/60</f>
        <v>0.58333333333333337</v>
      </c>
      <c r="AB8160" s="18">
        <f t="shared" si="254"/>
        <v>1998</v>
      </c>
      <c r="AC8160" s="22">
        <f t="shared" si="255"/>
        <v>0.54100000000000004</v>
      </c>
    </row>
    <row r="8161" spans="1:29">
      <c r="A8161" s="8" t="s">
        <v>6581</v>
      </c>
      <c r="B8161" s="20" t="s">
        <v>7739</v>
      </c>
      <c r="C8161" s="13">
        <v>36099</v>
      </c>
      <c r="D8161" s="13" t="s">
        <v>8465</v>
      </c>
      <c r="E8161" s="10" t="s">
        <v>6582</v>
      </c>
      <c r="F8161" s="10" t="s">
        <v>6583</v>
      </c>
      <c r="H8161" s="2" t="s">
        <v>1040</v>
      </c>
      <c r="L8161" s="18">
        <v>0</v>
      </c>
      <c r="Q8161" s="18">
        <v>0</v>
      </c>
      <c r="U8161" s="22">
        <v>0.7</v>
      </c>
      <c r="V8161" s="22">
        <f>3.09/5</f>
        <v>0.61799999999999999</v>
      </c>
      <c r="X8161" s="3">
        <v>2</v>
      </c>
      <c r="Z8161" s="23">
        <v>3</v>
      </c>
      <c r="AB8161" s="18">
        <f t="shared" si="254"/>
        <v>1998</v>
      </c>
      <c r="AC8161" s="22">
        <f t="shared" si="255"/>
        <v>0.57266666666666666</v>
      </c>
    </row>
    <row r="8162" spans="1:29">
      <c r="A8162" s="8" t="s">
        <v>4040</v>
      </c>
      <c r="B8162" s="17" t="s">
        <v>7800</v>
      </c>
      <c r="C8162" s="13">
        <v>36096</v>
      </c>
      <c r="D8162" s="13" t="s">
        <v>8465</v>
      </c>
      <c r="E8162" s="10" t="s">
        <v>1284</v>
      </c>
      <c r="F8162" s="10" t="s">
        <v>1284</v>
      </c>
      <c r="H8162" s="2" t="s">
        <v>67</v>
      </c>
      <c r="L8162" s="18">
        <v>0</v>
      </c>
      <c r="Q8162" s="18">
        <v>0</v>
      </c>
      <c r="U8162" s="22">
        <v>0.93</v>
      </c>
      <c r="V8162" s="22">
        <f>4.38/5</f>
        <v>0.876</v>
      </c>
      <c r="X8162" s="3">
        <v>4</v>
      </c>
      <c r="Z8162" s="23">
        <v>11.5</v>
      </c>
      <c r="AB8162" s="18">
        <f t="shared" si="254"/>
        <v>1998</v>
      </c>
      <c r="AC8162" s="22">
        <f t="shared" si="255"/>
        <v>0.86866666666666659</v>
      </c>
    </row>
    <row r="8163" spans="1:29">
      <c r="A8163" s="8" t="s">
        <v>7928</v>
      </c>
      <c r="B8163" s="17" t="s">
        <v>7757</v>
      </c>
      <c r="C8163" s="13">
        <v>36096</v>
      </c>
      <c r="D8163" s="13" t="s">
        <v>8465</v>
      </c>
      <c r="E8163" s="10" t="s">
        <v>3045</v>
      </c>
      <c r="F8163" s="10" t="s">
        <v>7927</v>
      </c>
      <c r="G8163" s="11" t="s">
        <v>7926</v>
      </c>
      <c r="H8163" s="2" t="s">
        <v>459</v>
      </c>
      <c r="L8163" s="18">
        <v>0</v>
      </c>
      <c r="Q8163" s="18">
        <v>0</v>
      </c>
      <c r="U8163" s="22">
        <v>0.77449999999999997</v>
      </c>
      <c r="V8163" s="22">
        <f>3.57/5</f>
        <v>0.71399999999999997</v>
      </c>
      <c r="X8163" s="3">
        <v>3</v>
      </c>
      <c r="Z8163" s="23">
        <v>2</v>
      </c>
      <c r="AB8163" s="18">
        <f t="shared" si="254"/>
        <v>1998</v>
      </c>
      <c r="AC8163" s="22">
        <f t="shared" si="255"/>
        <v>0.6961666666666666</v>
      </c>
    </row>
    <row r="8164" spans="1:29">
      <c r="A8164" s="8" t="s">
        <v>11184</v>
      </c>
      <c r="B8164" s="17" t="s">
        <v>11185</v>
      </c>
      <c r="C8164" s="13">
        <v>36096</v>
      </c>
      <c r="D8164" s="13" t="s">
        <v>8463</v>
      </c>
      <c r="E8164" s="10" t="s">
        <v>170</v>
      </c>
      <c r="F8164" s="10" t="s">
        <v>170</v>
      </c>
      <c r="G8164" s="11" t="s">
        <v>567</v>
      </c>
      <c r="H8164" s="2" t="s">
        <v>459</v>
      </c>
      <c r="K8164" s="18">
        <v>2</v>
      </c>
      <c r="L8164" s="18">
        <v>0</v>
      </c>
      <c r="Q8164" s="18">
        <v>0</v>
      </c>
      <c r="V8164" s="22">
        <f>3.45/5</f>
        <v>0.69000000000000006</v>
      </c>
      <c r="X8164" s="3">
        <v>2</v>
      </c>
      <c r="Z8164" s="23">
        <f>42/60</f>
        <v>0.7</v>
      </c>
      <c r="AB8164" s="18">
        <f t="shared" si="254"/>
        <v>1998</v>
      </c>
      <c r="AC8164" s="22">
        <f t="shared" si="255"/>
        <v>0.54500000000000004</v>
      </c>
    </row>
    <row r="8165" spans="1:29" ht="30">
      <c r="A8165" s="8" t="s">
        <v>14827</v>
      </c>
      <c r="B8165" s="17" t="s">
        <v>7800</v>
      </c>
      <c r="C8165" s="13">
        <v>36096</v>
      </c>
      <c r="D8165" s="13" t="s">
        <v>8465</v>
      </c>
      <c r="E8165" s="10" t="s">
        <v>231</v>
      </c>
      <c r="F8165" s="10" t="s">
        <v>14828</v>
      </c>
      <c r="G8165" s="11" t="s">
        <v>2569</v>
      </c>
      <c r="H8165" s="2" t="s">
        <v>13395</v>
      </c>
      <c r="L8165" s="18">
        <v>0</v>
      </c>
      <c r="Q8165" s="18">
        <v>0</v>
      </c>
      <c r="V8165" s="22">
        <f>3.34/5</f>
        <v>0.66799999999999993</v>
      </c>
      <c r="X8165" s="3">
        <v>2</v>
      </c>
      <c r="Z8165" s="23">
        <v>8</v>
      </c>
      <c r="AB8165" s="18">
        <f t="shared" si="254"/>
        <v>1998</v>
      </c>
      <c r="AC8165" s="22">
        <f t="shared" si="255"/>
        <v>0.53400000000000003</v>
      </c>
    </row>
    <row r="8166" spans="1:29">
      <c r="A8166" s="8" t="s">
        <v>873</v>
      </c>
      <c r="B8166" s="20" t="s">
        <v>7739</v>
      </c>
      <c r="C8166" s="13">
        <v>36094</v>
      </c>
      <c r="D8166" s="13" t="s">
        <v>8465</v>
      </c>
      <c r="E8166" s="10" t="s">
        <v>86</v>
      </c>
      <c r="F8166" s="10" t="s">
        <v>87</v>
      </c>
      <c r="G8166" s="11" t="s">
        <v>707</v>
      </c>
      <c r="H8166" s="2" t="s">
        <v>150</v>
      </c>
      <c r="L8166" s="18">
        <v>0</v>
      </c>
      <c r="Q8166" s="18">
        <v>0</v>
      </c>
      <c r="U8166" s="22">
        <v>0.88</v>
      </c>
      <c r="V8166" s="22">
        <f>4.06/5</f>
        <v>0.81199999999999994</v>
      </c>
      <c r="X8166" s="3">
        <v>4</v>
      </c>
      <c r="Z8166" s="23">
        <v>6</v>
      </c>
      <c r="AB8166" s="18">
        <f t="shared" si="254"/>
        <v>1998</v>
      </c>
      <c r="AC8166" s="22">
        <f t="shared" si="255"/>
        <v>0.83066666666666666</v>
      </c>
    </row>
    <row r="8167" spans="1:29">
      <c r="A8167" s="8" t="s">
        <v>850</v>
      </c>
      <c r="B8167" s="20" t="s">
        <v>7739</v>
      </c>
      <c r="C8167" s="13">
        <v>36089</v>
      </c>
      <c r="D8167" s="13" t="s">
        <v>8465</v>
      </c>
      <c r="E8167" s="10" t="s">
        <v>154</v>
      </c>
      <c r="F8167" s="10" t="s">
        <v>1279</v>
      </c>
      <c r="G8167" s="11" t="s">
        <v>1465</v>
      </c>
      <c r="H8167" s="2" t="s">
        <v>1050</v>
      </c>
      <c r="L8167" s="18">
        <v>0</v>
      </c>
      <c r="Q8167" s="18">
        <v>0</v>
      </c>
      <c r="U8167" s="22">
        <v>0.89</v>
      </c>
      <c r="V8167" s="22">
        <f>3.65/5</f>
        <v>0.73</v>
      </c>
      <c r="X8167" s="3">
        <v>3</v>
      </c>
      <c r="Z8167" s="23">
        <v>10.5</v>
      </c>
      <c r="AB8167" s="18">
        <f t="shared" si="254"/>
        <v>1998</v>
      </c>
      <c r="AC8167" s="22">
        <f t="shared" si="255"/>
        <v>0.7400000000000001</v>
      </c>
    </row>
    <row r="8168" spans="1:29" ht="25.5">
      <c r="A8168" s="8" t="s">
        <v>886</v>
      </c>
      <c r="B8168" s="20" t="s">
        <v>7739</v>
      </c>
      <c r="C8168" s="13">
        <v>36089</v>
      </c>
      <c r="D8168" s="13" t="s">
        <v>8465</v>
      </c>
      <c r="E8168" s="10" t="s">
        <v>1480</v>
      </c>
      <c r="F8168" s="10" t="s">
        <v>1327</v>
      </c>
      <c r="H8168" s="2" t="s">
        <v>1040</v>
      </c>
      <c r="L8168" s="18">
        <v>0</v>
      </c>
      <c r="Q8168" s="18">
        <v>0</v>
      </c>
      <c r="U8168" s="22">
        <v>0.85</v>
      </c>
      <c r="V8168" s="22">
        <f>3.79/5</f>
        <v>0.75800000000000001</v>
      </c>
      <c r="X8168" s="3">
        <v>4</v>
      </c>
      <c r="Z8168" s="23">
        <v>20</v>
      </c>
      <c r="AB8168" s="18">
        <f t="shared" si="254"/>
        <v>1998</v>
      </c>
      <c r="AC8168" s="22">
        <f t="shared" si="255"/>
        <v>0.80266666666666675</v>
      </c>
    </row>
    <row r="8169" spans="1:29" ht="30">
      <c r="A8169" s="8" t="s">
        <v>7991</v>
      </c>
      <c r="B8169" s="17" t="s">
        <v>7757</v>
      </c>
      <c r="C8169" s="13">
        <v>36089</v>
      </c>
      <c r="D8169" s="13" t="s">
        <v>8465</v>
      </c>
      <c r="E8169" s="10" t="s">
        <v>2908</v>
      </c>
      <c r="F8169" s="10" t="s">
        <v>7993</v>
      </c>
      <c r="G8169" s="11" t="s">
        <v>7991</v>
      </c>
      <c r="H8169" s="2" t="s">
        <v>80</v>
      </c>
      <c r="L8169" s="18">
        <v>0</v>
      </c>
      <c r="Q8169" s="18">
        <v>0</v>
      </c>
      <c r="U8169" s="22">
        <v>0.80059999999999998</v>
      </c>
      <c r="V8169" s="22">
        <f>3.94/5</f>
        <v>0.78800000000000003</v>
      </c>
      <c r="X8169" s="3">
        <v>3</v>
      </c>
      <c r="Z8169" s="23">
        <v>6</v>
      </c>
      <c r="AB8169" s="18">
        <f t="shared" si="254"/>
        <v>1998</v>
      </c>
      <c r="AC8169" s="22">
        <f t="shared" si="255"/>
        <v>0.72953333333333337</v>
      </c>
    </row>
    <row r="8170" spans="1:29">
      <c r="A8170" s="8" t="s">
        <v>853</v>
      </c>
      <c r="B8170" s="20" t="s">
        <v>7739</v>
      </c>
      <c r="C8170" s="13">
        <v>36088</v>
      </c>
      <c r="D8170" s="13" t="s">
        <v>8465</v>
      </c>
      <c r="E8170" s="10" t="s">
        <v>1466</v>
      </c>
      <c r="F8170" s="10" t="s">
        <v>1327</v>
      </c>
      <c r="H8170" s="2" t="s">
        <v>1168</v>
      </c>
      <c r="L8170" s="18">
        <v>0</v>
      </c>
      <c r="Q8170" s="18">
        <v>0</v>
      </c>
      <c r="U8170" s="22">
        <v>0.77</v>
      </c>
      <c r="V8170" s="22">
        <f>3.5/5</f>
        <v>0.7</v>
      </c>
      <c r="X8170" s="3">
        <v>3</v>
      </c>
      <c r="Z8170" s="23">
        <v>10</v>
      </c>
      <c r="AB8170" s="18">
        <f t="shared" si="254"/>
        <v>1998</v>
      </c>
      <c r="AC8170" s="22">
        <f t="shared" si="255"/>
        <v>0.69</v>
      </c>
    </row>
    <row r="8171" spans="1:29" ht="25.5">
      <c r="A8171" s="8" t="s">
        <v>8177</v>
      </c>
      <c r="B8171" s="17" t="s">
        <v>6317</v>
      </c>
      <c r="C8171" s="13">
        <v>36084</v>
      </c>
      <c r="D8171" s="13" t="s">
        <v>8463</v>
      </c>
      <c r="E8171" s="10" t="s">
        <v>170</v>
      </c>
      <c r="F8171" s="10" t="s">
        <v>170</v>
      </c>
      <c r="G8171" s="11" t="s">
        <v>519</v>
      </c>
      <c r="H8171" s="2" t="s">
        <v>459</v>
      </c>
      <c r="K8171" s="18">
        <v>0</v>
      </c>
      <c r="L8171" s="18">
        <v>0</v>
      </c>
      <c r="Q8171" s="18">
        <v>0</v>
      </c>
      <c r="V8171" s="22">
        <f>3.77/5</f>
        <v>0.754</v>
      </c>
      <c r="X8171" s="3">
        <v>2</v>
      </c>
      <c r="Z8171" s="23">
        <f>33/60</f>
        <v>0.55000000000000004</v>
      </c>
      <c r="AB8171" s="18">
        <f t="shared" si="254"/>
        <v>1998</v>
      </c>
      <c r="AC8171" s="22">
        <f t="shared" si="255"/>
        <v>0.57699999999999996</v>
      </c>
    </row>
    <row r="8172" spans="1:29" ht="25.5">
      <c r="A8172" s="8" t="s">
        <v>12266</v>
      </c>
      <c r="B8172" s="17" t="s">
        <v>7800</v>
      </c>
      <c r="C8172" s="13">
        <v>36083</v>
      </c>
      <c r="D8172" s="13" t="s">
        <v>8465</v>
      </c>
      <c r="E8172" s="10" t="s">
        <v>3487</v>
      </c>
      <c r="F8172" s="10" t="s">
        <v>3487</v>
      </c>
      <c r="H8172" s="2" t="s">
        <v>1050</v>
      </c>
      <c r="L8172" s="18">
        <v>0</v>
      </c>
      <c r="Q8172" s="18">
        <v>0</v>
      </c>
      <c r="U8172" s="22">
        <v>0.88</v>
      </c>
      <c r="V8172" s="22">
        <f>3.61/5</f>
        <v>0.72199999999999998</v>
      </c>
      <c r="X8172" s="3">
        <v>4</v>
      </c>
      <c r="Y8172" s="18">
        <v>1</v>
      </c>
      <c r="Z8172" s="23">
        <v>6.5</v>
      </c>
      <c r="AB8172" s="18">
        <f t="shared" si="254"/>
        <v>1998</v>
      </c>
      <c r="AC8172" s="22">
        <f t="shared" si="255"/>
        <v>0.80066666666666675</v>
      </c>
    </row>
    <row r="8173" spans="1:29">
      <c r="A8173" s="8" t="s">
        <v>11336</v>
      </c>
      <c r="B8173" s="17" t="s">
        <v>7757</v>
      </c>
      <c r="C8173" s="13">
        <v>36082</v>
      </c>
      <c r="D8173" s="13" t="s">
        <v>8465</v>
      </c>
      <c r="E8173" s="10" t="s">
        <v>76</v>
      </c>
      <c r="F8173" s="10" t="s">
        <v>76</v>
      </c>
      <c r="G8173" s="11" t="s">
        <v>11335</v>
      </c>
      <c r="H8173" s="2" t="s">
        <v>75</v>
      </c>
      <c r="L8173" s="18">
        <v>0</v>
      </c>
      <c r="Q8173" s="18">
        <v>0</v>
      </c>
      <c r="V8173" s="22">
        <f>3.96/5</f>
        <v>0.79200000000000004</v>
      </c>
      <c r="X8173" s="3">
        <v>2</v>
      </c>
      <c r="Z8173" s="23">
        <v>9</v>
      </c>
      <c r="AB8173" s="18">
        <f t="shared" si="254"/>
        <v>1998</v>
      </c>
      <c r="AC8173" s="22">
        <f t="shared" si="255"/>
        <v>0.59600000000000009</v>
      </c>
    </row>
    <row r="8174" spans="1:29" ht="25.5">
      <c r="A8174" s="8" t="s">
        <v>7665</v>
      </c>
      <c r="B8174" s="17" t="s">
        <v>7757</v>
      </c>
      <c r="C8174" s="13">
        <v>36075</v>
      </c>
      <c r="D8174" s="13" t="s">
        <v>8465</v>
      </c>
      <c r="E8174" s="10" t="s">
        <v>3017</v>
      </c>
      <c r="F8174" s="10" t="s">
        <v>1580</v>
      </c>
      <c r="G8174" s="11" t="s">
        <v>5915</v>
      </c>
      <c r="H8174" s="2" t="s">
        <v>1168</v>
      </c>
      <c r="L8174" s="18">
        <v>0</v>
      </c>
      <c r="Q8174" s="18">
        <v>0</v>
      </c>
      <c r="U8174" s="22">
        <v>0.74</v>
      </c>
      <c r="V8174" s="22">
        <f>3.7/5</f>
        <v>0.74</v>
      </c>
      <c r="X8174" s="3">
        <v>3</v>
      </c>
      <c r="Z8174" s="23">
        <v>5.5</v>
      </c>
      <c r="AB8174" s="18">
        <f t="shared" si="254"/>
        <v>1998</v>
      </c>
      <c r="AC8174" s="22">
        <f t="shared" si="255"/>
        <v>0.69333333333333336</v>
      </c>
    </row>
    <row r="8175" spans="1:29">
      <c r="A8175" s="8" t="s">
        <v>14917</v>
      </c>
      <c r="B8175" s="17" t="s">
        <v>6317</v>
      </c>
      <c r="C8175" s="12">
        <v>36069</v>
      </c>
      <c r="D8175" s="13" t="s">
        <v>8465</v>
      </c>
      <c r="E8175" s="10" t="s">
        <v>455</v>
      </c>
      <c r="F8175" s="10" t="s">
        <v>455</v>
      </c>
      <c r="H8175" s="2" t="s">
        <v>1170</v>
      </c>
      <c r="L8175" s="18">
        <v>0</v>
      </c>
      <c r="Q8175" s="18">
        <v>0</v>
      </c>
      <c r="V8175" s="22">
        <f>3.88/5</f>
        <v>0.77600000000000002</v>
      </c>
      <c r="X8175" s="3">
        <v>2</v>
      </c>
      <c r="Z8175" s="23">
        <f>46/60</f>
        <v>0.76666666666666672</v>
      </c>
      <c r="AB8175" s="18">
        <f t="shared" si="254"/>
        <v>1998</v>
      </c>
      <c r="AC8175" s="22">
        <f t="shared" si="255"/>
        <v>0.58800000000000008</v>
      </c>
    </row>
    <row r="8176" spans="1:29">
      <c r="A8176" s="8" t="s">
        <v>6938</v>
      </c>
      <c r="B8176" s="17" t="s">
        <v>7800</v>
      </c>
      <c r="C8176" s="13">
        <v>36068</v>
      </c>
      <c r="D8176" s="13" t="s">
        <v>8465</v>
      </c>
      <c r="E8176" s="10" t="s">
        <v>6928</v>
      </c>
      <c r="F8176" s="10" t="s">
        <v>5864</v>
      </c>
      <c r="G8176" s="11" t="s">
        <v>3864</v>
      </c>
      <c r="H8176" s="2" t="s">
        <v>1720</v>
      </c>
      <c r="L8176" s="18">
        <v>1</v>
      </c>
      <c r="N8176" s="13">
        <v>39702</v>
      </c>
      <c r="O8176" s="29">
        <v>0</v>
      </c>
      <c r="P8176" s="18" t="s">
        <v>1107</v>
      </c>
      <c r="Q8176" s="18">
        <v>0</v>
      </c>
      <c r="U8176" s="22">
        <v>0.87</v>
      </c>
      <c r="V8176" s="22">
        <f>4.32/5</f>
        <v>0.8640000000000001</v>
      </c>
      <c r="W8176" s="14" t="s">
        <v>7778</v>
      </c>
      <c r="X8176" s="3">
        <v>4</v>
      </c>
      <c r="Z8176" s="23">
        <v>32</v>
      </c>
      <c r="AB8176" s="18">
        <f t="shared" si="254"/>
        <v>1998</v>
      </c>
      <c r="AC8176" s="22">
        <f t="shared" si="255"/>
        <v>0.84466666666666657</v>
      </c>
    </row>
    <row r="8177" spans="1:29">
      <c r="A8177" s="8" t="s">
        <v>2914</v>
      </c>
      <c r="B8177" s="17" t="s">
        <v>7757</v>
      </c>
      <c r="C8177" s="13">
        <v>36068</v>
      </c>
      <c r="D8177" s="13" t="s">
        <v>8465</v>
      </c>
      <c r="E8177" s="10" t="s">
        <v>1342</v>
      </c>
      <c r="F8177" s="10" t="s">
        <v>54</v>
      </c>
      <c r="G8177" s="11" t="s">
        <v>330</v>
      </c>
      <c r="H8177" s="2" t="s">
        <v>21</v>
      </c>
      <c r="L8177" s="18">
        <v>0</v>
      </c>
      <c r="Q8177" s="18">
        <v>0</v>
      </c>
      <c r="U8177" s="22">
        <v>0.79</v>
      </c>
      <c r="V8177" s="22">
        <f>3.83/5</f>
        <v>0.76600000000000001</v>
      </c>
      <c r="X8177" s="3">
        <v>3</v>
      </c>
      <c r="Z8177" s="23">
        <v>0.53</v>
      </c>
      <c r="AB8177" s="18">
        <f t="shared" si="254"/>
        <v>1998</v>
      </c>
      <c r="AC8177" s="22">
        <f t="shared" si="255"/>
        <v>0.71866666666666668</v>
      </c>
    </row>
    <row r="8178" spans="1:29">
      <c r="A8178" s="8" t="s">
        <v>2958</v>
      </c>
      <c r="B8178" s="17" t="s">
        <v>7757</v>
      </c>
      <c r="C8178" s="13">
        <v>36068</v>
      </c>
      <c r="D8178" s="13" t="s">
        <v>8465</v>
      </c>
      <c r="E8178" s="10" t="s">
        <v>158</v>
      </c>
      <c r="F8178" s="10" t="s">
        <v>1379</v>
      </c>
      <c r="G8178" s="11" t="s">
        <v>1422</v>
      </c>
      <c r="H8178" s="2" t="s">
        <v>149</v>
      </c>
      <c r="L8178" s="18">
        <v>0</v>
      </c>
      <c r="Q8178" s="18">
        <v>0</v>
      </c>
      <c r="U8178" s="22">
        <v>0.73</v>
      </c>
      <c r="V8178" s="22">
        <f>3.9/5</f>
        <v>0.78</v>
      </c>
      <c r="X8178" s="3">
        <v>3</v>
      </c>
      <c r="Z8178" s="23">
        <v>33</v>
      </c>
      <c r="AB8178" s="18">
        <f t="shared" si="254"/>
        <v>1998</v>
      </c>
      <c r="AC8178" s="22">
        <f t="shared" si="255"/>
        <v>0.70333333333333325</v>
      </c>
    </row>
    <row r="8179" spans="1:29" ht="25.5">
      <c r="A8179" s="8" t="s">
        <v>10126</v>
      </c>
      <c r="B8179" s="17" t="s">
        <v>7757</v>
      </c>
      <c r="C8179" s="13">
        <v>36068</v>
      </c>
      <c r="D8179" s="13" t="s">
        <v>8465</v>
      </c>
      <c r="E8179" s="10" t="s">
        <v>73</v>
      </c>
      <c r="F8179" s="10" t="s">
        <v>73</v>
      </c>
      <c r="G8179" s="11" t="s">
        <v>10127</v>
      </c>
      <c r="H8179" s="2" t="s">
        <v>459</v>
      </c>
      <c r="L8179" s="18">
        <v>0</v>
      </c>
      <c r="Q8179" s="18">
        <v>0</v>
      </c>
      <c r="V8179" s="22">
        <f>3.71/5</f>
        <v>0.74199999999999999</v>
      </c>
      <c r="X8179" s="3">
        <v>3</v>
      </c>
      <c r="Z8179" s="23">
        <v>2</v>
      </c>
      <c r="AB8179" s="18">
        <f t="shared" si="254"/>
        <v>1998</v>
      </c>
      <c r="AC8179" s="22">
        <f t="shared" si="255"/>
        <v>0.67100000000000004</v>
      </c>
    </row>
    <row r="8180" spans="1:29">
      <c r="A8180" s="8" t="s">
        <v>15171</v>
      </c>
      <c r="B8180" s="17" t="s">
        <v>7800</v>
      </c>
      <c r="C8180" s="13">
        <v>36068</v>
      </c>
      <c r="D8180" s="13" t="s">
        <v>8465</v>
      </c>
      <c r="E8180" s="10" t="s">
        <v>6904</v>
      </c>
      <c r="F8180" s="10" t="s">
        <v>15172</v>
      </c>
      <c r="G8180" s="11" t="s">
        <v>15169</v>
      </c>
      <c r="H8180" s="2" t="s">
        <v>80</v>
      </c>
      <c r="L8180" s="18">
        <v>0</v>
      </c>
      <c r="Q8180" s="18">
        <v>0</v>
      </c>
      <c r="V8180" s="22">
        <f>4.06/5</f>
        <v>0.81199999999999994</v>
      </c>
      <c r="X8180" s="3">
        <v>2</v>
      </c>
      <c r="AB8180" s="18">
        <f t="shared" si="254"/>
        <v>1998</v>
      </c>
      <c r="AC8180" s="22">
        <f t="shared" si="255"/>
        <v>0.60599999999999998</v>
      </c>
    </row>
    <row r="8181" spans="1:29">
      <c r="A8181" s="8" t="s">
        <v>11810</v>
      </c>
      <c r="B8181" s="17" t="s">
        <v>7757</v>
      </c>
      <c r="C8181" s="13">
        <v>36068</v>
      </c>
      <c r="D8181" s="13" t="s">
        <v>8465</v>
      </c>
      <c r="E8181" s="10" t="s">
        <v>70</v>
      </c>
      <c r="F8181" s="10" t="s">
        <v>70</v>
      </c>
      <c r="H8181" s="2" t="s">
        <v>149</v>
      </c>
      <c r="L8181" s="18">
        <v>0</v>
      </c>
      <c r="Q8181" s="18">
        <v>0</v>
      </c>
      <c r="V8181" s="22">
        <f>3.75/5</f>
        <v>0.75</v>
      </c>
      <c r="X8181" s="3">
        <v>2</v>
      </c>
      <c r="Z8181" s="23">
        <v>13</v>
      </c>
      <c r="AB8181" s="18">
        <f t="shared" si="254"/>
        <v>1998</v>
      </c>
      <c r="AC8181" s="22">
        <f t="shared" si="255"/>
        <v>0.57499999999999996</v>
      </c>
    </row>
    <row r="8182" spans="1:29" ht="25.5">
      <c r="A8182" s="8" t="s">
        <v>7934</v>
      </c>
      <c r="B8182" s="17" t="s">
        <v>7757</v>
      </c>
      <c r="C8182" s="13">
        <v>36068</v>
      </c>
      <c r="D8182" s="13" t="s">
        <v>8465</v>
      </c>
      <c r="E8182" s="10" t="s">
        <v>4576</v>
      </c>
      <c r="F8182" s="10" t="s">
        <v>2454</v>
      </c>
      <c r="G8182" s="11" t="s">
        <v>3723</v>
      </c>
      <c r="H8182" s="2" t="s">
        <v>1168</v>
      </c>
      <c r="L8182" s="18">
        <v>0</v>
      </c>
      <c r="Q8182" s="18">
        <v>0</v>
      </c>
      <c r="U8182" s="22">
        <v>0.75270000000000004</v>
      </c>
      <c r="V8182" s="22">
        <f>3.43/5</f>
        <v>0.68600000000000005</v>
      </c>
      <c r="X8182" s="3">
        <v>2</v>
      </c>
      <c r="Z8182" s="23">
        <v>7.5</v>
      </c>
      <c r="AB8182" s="18">
        <f t="shared" si="254"/>
        <v>1998</v>
      </c>
      <c r="AC8182" s="22">
        <f t="shared" si="255"/>
        <v>0.61290000000000011</v>
      </c>
    </row>
    <row r="8183" spans="1:29">
      <c r="A8183" s="8" t="s">
        <v>11060</v>
      </c>
      <c r="B8183" s="17" t="s">
        <v>7757</v>
      </c>
      <c r="C8183" s="13">
        <v>36068</v>
      </c>
      <c r="D8183" s="13" t="s">
        <v>8465</v>
      </c>
      <c r="E8183" s="10" t="s">
        <v>6928</v>
      </c>
      <c r="F8183" s="10" t="s">
        <v>1332</v>
      </c>
      <c r="H8183" s="2" t="s">
        <v>64</v>
      </c>
      <c r="L8183" s="18">
        <v>0</v>
      </c>
      <c r="Q8183" s="18">
        <v>0</v>
      </c>
      <c r="V8183" s="22">
        <f>3.51/5</f>
        <v>0.70199999999999996</v>
      </c>
      <c r="X8183" s="3">
        <v>2</v>
      </c>
      <c r="Z8183" s="23">
        <v>4</v>
      </c>
      <c r="AB8183" s="18">
        <f t="shared" si="254"/>
        <v>1998</v>
      </c>
      <c r="AC8183" s="22">
        <f t="shared" si="255"/>
        <v>0.55099999999999993</v>
      </c>
    </row>
    <row r="8184" spans="1:29">
      <c r="A8184" s="8" t="s">
        <v>12198</v>
      </c>
      <c r="B8184" s="17" t="s">
        <v>7739</v>
      </c>
      <c r="C8184" s="13">
        <v>36068</v>
      </c>
      <c r="D8184" s="13" t="s">
        <v>8465</v>
      </c>
      <c r="E8184" s="10" t="s">
        <v>1047</v>
      </c>
      <c r="F8184" s="10" t="s">
        <v>1421</v>
      </c>
      <c r="H8184" s="2" t="s">
        <v>80</v>
      </c>
      <c r="L8184" s="18">
        <v>0</v>
      </c>
      <c r="Q8184" s="18">
        <v>0</v>
      </c>
      <c r="V8184" s="22">
        <f>3.15/5</f>
        <v>0.63</v>
      </c>
      <c r="X8184" s="3">
        <v>2</v>
      </c>
      <c r="Z8184" s="23">
        <v>6</v>
      </c>
      <c r="AB8184" s="18">
        <f t="shared" si="254"/>
        <v>1998</v>
      </c>
      <c r="AC8184" s="22">
        <f t="shared" si="255"/>
        <v>0.51500000000000001</v>
      </c>
    </row>
    <row r="8185" spans="1:29">
      <c r="A8185" s="8" t="s">
        <v>15339</v>
      </c>
      <c r="B8185" s="17" t="s">
        <v>7739</v>
      </c>
      <c r="C8185" s="13">
        <v>36067</v>
      </c>
      <c r="D8185" s="13" t="s">
        <v>8465</v>
      </c>
      <c r="E8185" s="10" t="s">
        <v>72</v>
      </c>
      <c r="F8185" s="10" t="s">
        <v>72</v>
      </c>
      <c r="H8185" s="2" t="s">
        <v>459</v>
      </c>
      <c r="L8185" s="18">
        <v>0</v>
      </c>
      <c r="Q8185" s="18">
        <v>0</v>
      </c>
      <c r="V8185" s="22">
        <f>2.72/5</f>
        <v>0.54400000000000004</v>
      </c>
      <c r="X8185" s="3">
        <v>2</v>
      </c>
      <c r="Z8185" s="23">
        <f>41/60</f>
        <v>0.68333333333333335</v>
      </c>
      <c r="AB8185" s="18">
        <f t="shared" si="254"/>
        <v>1998</v>
      </c>
      <c r="AC8185" s="22">
        <f t="shared" si="255"/>
        <v>0.47200000000000003</v>
      </c>
    </row>
    <row r="8186" spans="1:29">
      <c r="A8186" s="8" t="s">
        <v>14462</v>
      </c>
      <c r="B8186" s="17" t="s">
        <v>6317</v>
      </c>
      <c r="C8186" s="13">
        <v>36063</v>
      </c>
      <c r="D8186" s="13" t="s">
        <v>8465</v>
      </c>
      <c r="E8186" s="10" t="s">
        <v>466</v>
      </c>
      <c r="F8186" s="10" t="s">
        <v>467</v>
      </c>
      <c r="H8186" s="2" t="s">
        <v>21</v>
      </c>
      <c r="L8186" s="18">
        <v>0</v>
      </c>
      <c r="Q8186" s="18">
        <v>0</v>
      </c>
      <c r="V8186" s="22">
        <f>3.61/5</f>
        <v>0.72199999999999998</v>
      </c>
      <c r="X8186" s="3">
        <v>3</v>
      </c>
      <c r="Z8186" s="23">
        <v>0.37</v>
      </c>
      <c r="AB8186" s="18">
        <f t="shared" si="254"/>
        <v>1998</v>
      </c>
      <c r="AC8186" s="22">
        <f t="shared" si="255"/>
        <v>0.66100000000000003</v>
      </c>
    </row>
    <row r="8187" spans="1:29" ht="38.25">
      <c r="A8187" s="8" t="s">
        <v>11723</v>
      </c>
      <c r="B8187" s="17" t="s">
        <v>7754</v>
      </c>
      <c r="C8187" s="13">
        <v>36061</v>
      </c>
      <c r="D8187" s="13" t="s">
        <v>8463</v>
      </c>
      <c r="E8187" s="10" t="s">
        <v>455</v>
      </c>
      <c r="F8187" s="10" t="s">
        <v>1160</v>
      </c>
      <c r="G8187" s="11" t="s">
        <v>1661</v>
      </c>
      <c r="H8187" s="2" t="s">
        <v>75</v>
      </c>
      <c r="K8187" s="18">
        <v>2</v>
      </c>
      <c r="L8187" s="18">
        <v>0</v>
      </c>
      <c r="Q8187" s="18">
        <v>0</v>
      </c>
      <c r="V8187" s="22">
        <f>4.07/5</f>
        <v>0.81400000000000006</v>
      </c>
      <c r="X8187" s="3">
        <v>4</v>
      </c>
      <c r="Z8187" s="23">
        <v>30.5</v>
      </c>
      <c r="AB8187" s="18">
        <f t="shared" si="254"/>
        <v>1998</v>
      </c>
      <c r="AC8187" s="22">
        <f t="shared" si="255"/>
        <v>0.80700000000000005</v>
      </c>
    </row>
    <row r="8188" spans="1:29">
      <c r="A8188" s="8" t="s">
        <v>528</v>
      </c>
      <c r="B8188" s="17" t="s">
        <v>7731</v>
      </c>
      <c r="C8188" s="13">
        <v>36061</v>
      </c>
      <c r="D8188" s="13" t="s">
        <v>8465</v>
      </c>
      <c r="E8188" s="10" t="s">
        <v>170</v>
      </c>
      <c r="F8188" s="10" t="s">
        <v>170</v>
      </c>
      <c r="G8188" s="11" t="s">
        <v>567</v>
      </c>
      <c r="H8188" s="2" t="s">
        <v>459</v>
      </c>
      <c r="L8188" s="18">
        <v>0</v>
      </c>
      <c r="Q8188" s="18">
        <v>0</v>
      </c>
      <c r="V8188" s="22">
        <f>4.33/5</f>
        <v>0.86599999999999999</v>
      </c>
      <c r="X8188" s="3">
        <v>3</v>
      </c>
      <c r="Z8188" s="23">
        <v>1.5</v>
      </c>
      <c r="AB8188" s="18">
        <f t="shared" si="254"/>
        <v>1998</v>
      </c>
      <c r="AC8188" s="22">
        <f t="shared" si="255"/>
        <v>0.73299999999999998</v>
      </c>
    </row>
    <row r="8189" spans="1:29">
      <c r="A8189" s="8" t="s">
        <v>2991</v>
      </c>
      <c r="B8189" s="17" t="s">
        <v>7757</v>
      </c>
      <c r="C8189" s="13">
        <v>36048</v>
      </c>
      <c r="D8189" s="13" t="s">
        <v>8465</v>
      </c>
      <c r="E8189" s="10" t="s">
        <v>1290</v>
      </c>
      <c r="F8189" s="10" t="s">
        <v>3039</v>
      </c>
      <c r="G8189" s="11" t="s">
        <v>1975</v>
      </c>
      <c r="H8189" s="2" t="s">
        <v>1040</v>
      </c>
      <c r="L8189" s="18">
        <v>0</v>
      </c>
      <c r="Q8189" s="18">
        <v>0</v>
      </c>
      <c r="U8189" s="22">
        <v>0.85</v>
      </c>
      <c r="V8189" s="22">
        <f>4.1/5</f>
        <v>0.82</v>
      </c>
      <c r="X8189" s="3">
        <v>4</v>
      </c>
      <c r="Z8189" s="23">
        <v>6</v>
      </c>
      <c r="AB8189" s="18">
        <f t="shared" si="254"/>
        <v>1998</v>
      </c>
      <c r="AC8189" s="22">
        <f t="shared" si="255"/>
        <v>0.82333333333333325</v>
      </c>
    </row>
    <row r="8190" spans="1:29">
      <c r="A8190" s="8" t="s">
        <v>3007</v>
      </c>
      <c r="B8190" s="17" t="s">
        <v>7757</v>
      </c>
      <c r="C8190" s="13">
        <v>36047</v>
      </c>
      <c r="D8190" s="13" t="s">
        <v>8465</v>
      </c>
      <c r="E8190" s="10" t="s">
        <v>161</v>
      </c>
      <c r="F8190" s="10" t="s">
        <v>161</v>
      </c>
      <c r="G8190" s="11" t="s">
        <v>3007</v>
      </c>
      <c r="H8190" s="2" t="s">
        <v>171</v>
      </c>
      <c r="L8190" s="18">
        <v>0</v>
      </c>
      <c r="Q8190" s="18">
        <v>0</v>
      </c>
      <c r="U8190" s="22">
        <v>0.77</v>
      </c>
      <c r="V8190" s="22">
        <f>4.11/5</f>
        <v>0.82200000000000006</v>
      </c>
      <c r="X8190" s="3">
        <v>4</v>
      </c>
      <c r="Z8190" s="23">
        <v>9.5</v>
      </c>
      <c r="AB8190" s="18">
        <f t="shared" si="254"/>
        <v>1998</v>
      </c>
      <c r="AC8190" s="22">
        <f t="shared" si="255"/>
        <v>0.79733333333333345</v>
      </c>
    </row>
    <row r="8191" spans="1:29">
      <c r="A8191" s="8" t="s">
        <v>11140</v>
      </c>
      <c r="B8191" s="17" t="s">
        <v>7800</v>
      </c>
      <c r="C8191" s="13">
        <v>36042</v>
      </c>
      <c r="D8191" s="13" t="s">
        <v>8465</v>
      </c>
      <c r="E8191" s="10" t="s">
        <v>2654</v>
      </c>
      <c r="F8191" s="10" t="s">
        <v>11141</v>
      </c>
      <c r="G8191" s="11" t="s">
        <v>2655</v>
      </c>
      <c r="H8191" s="2" t="s">
        <v>1143</v>
      </c>
      <c r="L8191" s="18">
        <v>0</v>
      </c>
      <c r="Q8191" s="18">
        <v>0</v>
      </c>
      <c r="V8191" s="22">
        <f>3.64/5</f>
        <v>0.72799999999999998</v>
      </c>
      <c r="X8191" s="3">
        <v>3</v>
      </c>
      <c r="Z8191" s="23">
        <v>18</v>
      </c>
      <c r="AB8191" s="18">
        <f t="shared" si="254"/>
        <v>1998</v>
      </c>
      <c r="AC8191" s="22">
        <f t="shared" si="255"/>
        <v>0.66399999999999992</v>
      </c>
    </row>
    <row r="8192" spans="1:29" ht="25.5">
      <c r="A8192" s="8" t="s">
        <v>2998</v>
      </c>
      <c r="B8192" s="17" t="s">
        <v>7757</v>
      </c>
      <c r="C8192" s="13">
        <v>36038</v>
      </c>
      <c r="D8192" s="13" t="s">
        <v>8465</v>
      </c>
      <c r="E8192" s="10" t="s">
        <v>1273</v>
      </c>
      <c r="F8192" s="10" t="s">
        <v>3029</v>
      </c>
      <c r="G8192" s="11" t="s">
        <v>3030</v>
      </c>
      <c r="H8192" s="2" t="s">
        <v>245</v>
      </c>
      <c r="L8192" s="18">
        <v>0</v>
      </c>
      <c r="Q8192" s="18">
        <v>0</v>
      </c>
      <c r="U8192" s="22">
        <v>0.84</v>
      </c>
      <c r="V8192" s="22">
        <f>4.01/5</f>
        <v>0.80199999999999994</v>
      </c>
      <c r="X8192" s="3">
        <v>4</v>
      </c>
      <c r="Z8192" s="23">
        <v>8</v>
      </c>
      <c r="AB8192" s="18">
        <f t="shared" si="254"/>
        <v>1998</v>
      </c>
      <c r="AC8192" s="22">
        <f t="shared" si="255"/>
        <v>0.81400000000000006</v>
      </c>
    </row>
    <row r="8193" spans="1:29">
      <c r="A8193" s="8" t="s">
        <v>3006</v>
      </c>
      <c r="B8193" s="17" t="s">
        <v>7757</v>
      </c>
      <c r="C8193" s="13">
        <v>36038</v>
      </c>
      <c r="D8193" s="13" t="s">
        <v>8465</v>
      </c>
      <c r="E8193" s="10" t="s">
        <v>73</v>
      </c>
      <c r="F8193" s="10" t="s">
        <v>73</v>
      </c>
      <c r="G8193" s="11" t="s">
        <v>3006</v>
      </c>
      <c r="H8193" s="2" t="s">
        <v>171</v>
      </c>
      <c r="L8193" s="18">
        <v>0</v>
      </c>
      <c r="Q8193" s="18">
        <v>0</v>
      </c>
      <c r="U8193" s="22">
        <v>0.74</v>
      </c>
      <c r="V8193" s="22">
        <f>4.11/5</f>
        <v>0.82200000000000006</v>
      </c>
      <c r="X8193" s="3">
        <v>4</v>
      </c>
      <c r="Z8193" s="23">
        <v>7</v>
      </c>
      <c r="AB8193" s="18">
        <f t="shared" ref="AB8193:AB8256" si="256">IFERROR(YEAR(C8193), "Early Access")</f>
        <v>1998</v>
      </c>
      <c r="AC8193" s="22">
        <f t="shared" ref="AC8193:AC8256" si="257">AVERAGE(T8193, U8193, V8193, IF(ISBLANK(X8193), X8193, X8193/5))</f>
        <v>0.78733333333333333</v>
      </c>
    </row>
    <row r="8194" spans="1:29" ht="25.5">
      <c r="A8194" s="8" t="s">
        <v>6082</v>
      </c>
      <c r="B8194" s="17" t="s">
        <v>7757</v>
      </c>
      <c r="C8194" s="13">
        <v>36038</v>
      </c>
      <c r="D8194" s="13" t="s">
        <v>8465</v>
      </c>
      <c r="E8194" s="10" t="s">
        <v>2701</v>
      </c>
      <c r="F8194" s="10" t="s">
        <v>1297</v>
      </c>
      <c r="G8194" s="11" t="s">
        <v>1298</v>
      </c>
      <c r="H8194" s="2" t="s">
        <v>21</v>
      </c>
      <c r="L8194" s="18">
        <v>0</v>
      </c>
      <c r="Q8194" s="18">
        <v>0</v>
      </c>
      <c r="U8194" s="22">
        <v>0.74</v>
      </c>
      <c r="V8194" s="22">
        <f>3.76/5</f>
        <v>0.752</v>
      </c>
      <c r="X8194" s="3">
        <v>3</v>
      </c>
      <c r="Z8194" s="23">
        <f>25/60</f>
        <v>0.41666666666666669</v>
      </c>
      <c r="AB8194" s="18">
        <f t="shared" si="256"/>
        <v>1998</v>
      </c>
      <c r="AC8194" s="22">
        <f t="shared" si="257"/>
        <v>0.69733333333333336</v>
      </c>
    </row>
    <row r="8195" spans="1:29" ht="25.5">
      <c r="A8195" s="8" t="s">
        <v>13415</v>
      </c>
      <c r="B8195" s="17" t="s">
        <v>7757</v>
      </c>
      <c r="C8195" s="13">
        <v>36038</v>
      </c>
      <c r="D8195" s="13" t="s">
        <v>8465</v>
      </c>
      <c r="E8195" s="10" t="s">
        <v>9240</v>
      </c>
      <c r="F8195" s="10" t="s">
        <v>13416</v>
      </c>
      <c r="G8195" s="11" t="s">
        <v>13417</v>
      </c>
      <c r="H8195" s="2" t="s">
        <v>75</v>
      </c>
      <c r="L8195" s="18">
        <v>0</v>
      </c>
      <c r="Q8195" s="18">
        <v>0</v>
      </c>
      <c r="V8195" s="22">
        <f>3.78/5</f>
        <v>0.75600000000000001</v>
      </c>
      <c r="X8195" s="3">
        <v>2</v>
      </c>
      <c r="AB8195" s="18">
        <f t="shared" si="256"/>
        <v>1998</v>
      </c>
      <c r="AC8195" s="22">
        <f t="shared" si="257"/>
        <v>0.57800000000000007</v>
      </c>
    </row>
    <row r="8196" spans="1:29" ht="25.5">
      <c r="A8196" s="8" t="s">
        <v>2911</v>
      </c>
      <c r="B8196" s="17" t="s">
        <v>7757</v>
      </c>
      <c r="C8196" s="13">
        <v>36038</v>
      </c>
      <c r="D8196" s="13" t="s">
        <v>8465</v>
      </c>
      <c r="E8196" s="10" t="s">
        <v>72</v>
      </c>
      <c r="F8196" s="10" t="s">
        <v>2680</v>
      </c>
      <c r="G8196" s="11" t="s">
        <v>97</v>
      </c>
      <c r="H8196" s="2" t="s">
        <v>147</v>
      </c>
      <c r="L8196" s="18">
        <v>0</v>
      </c>
      <c r="Q8196" s="18">
        <v>0</v>
      </c>
      <c r="U8196" s="22">
        <v>0.39</v>
      </c>
      <c r="V8196" s="22">
        <f>2.84/5</f>
        <v>0.56799999999999995</v>
      </c>
      <c r="X8196" s="3">
        <v>3</v>
      </c>
      <c r="Z8196" s="23">
        <v>2</v>
      </c>
      <c r="AB8196" s="18">
        <f t="shared" si="256"/>
        <v>1998</v>
      </c>
      <c r="AC8196" s="22">
        <f t="shared" si="257"/>
        <v>0.51933333333333331</v>
      </c>
    </row>
    <row r="8197" spans="1:29" ht="25.5">
      <c r="A8197" s="8" t="s">
        <v>3477</v>
      </c>
      <c r="B8197" s="17" t="s">
        <v>7800</v>
      </c>
      <c r="C8197" s="13">
        <v>36035</v>
      </c>
      <c r="D8197" s="13" t="s">
        <v>8465</v>
      </c>
      <c r="E8197" s="10" t="s">
        <v>1870</v>
      </c>
      <c r="F8197" s="10" t="s">
        <v>3474</v>
      </c>
      <c r="G8197" s="11" t="s">
        <v>3475</v>
      </c>
      <c r="H8197" s="2" t="s">
        <v>3279</v>
      </c>
      <c r="L8197" s="18">
        <v>1</v>
      </c>
      <c r="N8197" s="13">
        <v>41085</v>
      </c>
      <c r="P8197" s="18" t="s">
        <v>1107</v>
      </c>
      <c r="Q8197" s="18">
        <v>0</v>
      </c>
      <c r="U8197" s="22">
        <v>0.81</v>
      </c>
      <c r="V8197" s="22">
        <f>3.93/5</f>
        <v>0.78600000000000003</v>
      </c>
      <c r="W8197" s="14" t="s">
        <v>7777</v>
      </c>
      <c r="X8197" s="3">
        <v>2</v>
      </c>
      <c r="Z8197" s="23">
        <v>23</v>
      </c>
      <c r="AB8197" s="18">
        <f t="shared" si="256"/>
        <v>1998</v>
      </c>
      <c r="AC8197" s="22">
        <f t="shared" si="257"/>
        <v>0.66533333333333333</v>
      </c>
    </row>
    <row r="8198" spans="1:29">
      <c r="A8198" s="8" t="s">
        <v>13252</v>
      </c>
      <c r="B8198" s="17" t="s">
        <v>7800</v>
      </c>
      <c r="C8198" s="13">
        <v>36035</v>
      </c>
      <c r="D8198" s="13" t="s">
        <v>8465</v>
      </c>
      <c r="E8198" s="10" t="s">
        <v>3487</v>
      </c>
      <c r="F8198" s="10" t="s">
        <v>3487</v>
      </c>
      <c r="H8198" s="2" t="s">
        <v>1377</v>
      </c>
      <c r="L8198" s="18">
        <v>0</v>
      </c>
      <c r="Q8198" s="18">
        <v>0</v>
      </c>
      <c r="V8198" s="22">
        <f>3.64/5</f>
        <v>0.72799999999999998</v>
      </c>
      <c r="W8198" s="14" t="s">
        <v>13076</v>
      </c>
      <c r="X8198" s="3">
        <v>2</v>
      </c>
      <c r="AB8198" s="18">
        <f t="shared" si="256"/>
        <v>1998</v>
      </c>
      <c r="AC8198" s="22">
        <f t="shared" si="257"/>
        <v>0.56400000000000006</v>
      </c>
    </row>
    <row r="8199" spans="1:29" ht="30">
      <c r="A8199" s="8" t="s">
        <v>15736</v>
      </c>
      <c r="B8199" s="17" t="s">
        <v>7757</v>
      </c>
      <c r="C8199" s="13">
        <v>36035</v>
      </c>
      <c r="D8199" s="13" t="s">
        <v>8465</v>
      </c>
      <c r="E8199" s="10" t="s">
        <v>3026</v>
      </c>
      <c r="F8199" s="10" t="s">
        <v>3020</v>
      </c>
      <c r="H8199" s="2" t="s">
        <v>459</v>
      </c>
      <c r="L8199" s="18">
        <v>0</v>
      </c>
      <c r="Q8199" s="18">
        <v>0</v>
      </c>
      <c r="V8199" s="22">
        <f>3.05/5</f>
        <v>0.61</v>
      </c>
      <c r="X8199" s="3">
        <v>2</v>
      </c>
      <c r="Z8199" s="23">
        <v>5</v>
      </c>
      <c r="AB8199" s="18">
        <f t="shared" si="256"/>
        <v>1998</v>
      </c>
      <c r="AC8199" s="22">
        <f t="shared" si="257"/>
        <v>0.505</v>
      </c>
    </row>
    <row r="8200" spans="1:29" ht="25.5">
      <c r="A8200" s="8" t="s">
        <v>8034</v>
      </c>
      <c r="B8200" s="17" t="s">
        <v>7757</v>
      </c>
      <c r="C8200" s="13">
        <v>36034</v>
      </c>
      <c r="D8200" s="13" t="s">
        <v>8463</v>
      </c>
      <c r="E8200" s="10" t="s">
        <v>470</v>
      </c>
      <c r="F8200" s="10" t="s">
        <v>8026</v>
      </c>
      <c r="H8200" s="2" t="s">
        <v>171</v>
      </c>
      <c r="K8200" s="18">
        <v>1</v>
      </c>
      <c r="L8200" s="18">
        <v>0</v>
      </c>
      <c r="Q8200" s="18">
        <v>0</v>
      </c>
      <c r="U8200" s="22">
        <v>0.8</v>
      </c>
      <c r="V8200" s="22">
        <f>3.88/5</f>
        <v>0.77600000000000002</v>
      </c>
      <c r="X8200" s="3">
        <v>2</v>
      </c>
      <c r="Z8200" s="23">
        <v>21</v>
      </c>
      <c r="AB8200" s="18">
        <f t="shared" si="256"/>
        <v>1998</v>
      </c>
      <c r="AC8200" s="22">
        <f t="shared" si="257"/>
        <v>0.65866666666666662</v>
      </c>
    </row>
    <row r="8201" spans="1:29" ht="30">
      <c r="A8201" s="8" t="s">
        <v>12259</v>
      </c>
      <c r="B8201" s="17" t="s">
        <v>7757</v>
      </c>
      <c r="C8201" s="13">
        <v>36034</v>
      </c>
      <c r="D8201" s="13" t="s">
        <v>8463</v>
      </c>
      <c r="E8201" s="10" t="s">
        <v>170</v>
      </c>
      <c r="F8201" s="10" t="s">
        <v>11734</v>
      </c>
      <c r="G8201" s="11" t="s">
        <v>567</v>
      </c>
      <c r="H8201" s="2" t="s">
        <v>1057</v>
      </c>
      <c r="K8201" s="18">
        <v>0</v>
      </c>
      <c r="L8201" s="18">
        <v>0</v>
      </c>
      <c r="Q8201" s="18">
        <v>0</v>
      </c>
      <c r="V8201" s="22">
        <f>3.37/5</f>
        <v>0.67400000000000004</v>
      </c>
      <c r="X8201" s="3">
        <v>2</v>
      </c>
      <c r="AB8201" s="18">
        <f t="shared" si="256"/>
        <v>1998</v>
      </c>
      <c r="AC8201" s="22">
        <f t="shared" si="257"/>
        <v>0.53700000000000003</v>
      </c>
    </row>
    <row r="8202" spans="1:29">
      <c r="A8202" s="8" t="s">
        <v>15625</v>
      </c>
      <c r="B8202" s="17" t="s">
        <v>7757</v>
      </c>
      <c r="C8202" s="13">
        <v>36034</v>
      </c>
      <c r="D8202" s="13" t="s">
        <v>8463</v>
      </c>
      <c r="E8202" s="10" t="s">
        <v>257</v>
      </c>
      <c r="F8202" s="10" t="s">
        <v>15626</v>
      </c>
      <c r="H8202" s="2" t="s">
        <v>1334</v>
      </c>
      <c r="K8202" s="18">
        <v>0</v>
      </c>
      <c r="L8202" s="18">
        <v>0</v>
      </c>
      <c r="Q8202" s="18">
        <v>0</v>
      </c>
      <c r="V8202" s="22">
        <f>2.6/5</f>
        <v>0.52</v>
      </c>
      <c r="X8202" s="3">
        <v>2</v>
      </c>
      <c r="AB8202" s="18">
        <f t="shared" si="256"/>
        <v>1998</v>
      </c>
      <c r="AC8202" s="22">
        <f t="shared" si="257"/>
        <v>0.46</v>
      </c>
    </row>
    <row r="8203" spans="1:29" ht="25.5">
      <c r="A8203" s="8" t="s">
        <v>14346</v>
      </c>
      <c r="B8203" s="17" t="s">
        <v>10323</v>
      </c>
      <c r="C8203" s="13">
        <v>36021</v>
      </c>
      <c r="D8203" s="13" t="s">
        <v>8463</v>
      </c>
      <c r="E8203" s="10" t="s">
        <v>14336</v>
      </c>
      <c r="F8203" s="10" t="s">
        <v>14337</v>
      </c>
      <c r="G8203" s="11" t="s">
        <v>13598</v>
      </c>
      <c r="H8203" s="2" t="s">
        <v>21</v>
      </c>
      <c r="K8203" s="18">
        <v>2</v>
      </c>
      <c r="L8203" s="18">
        <v>0</v>
      </c>
      <c r="Q8203" s="18">
        <v>0</v>
      </c>
      <c r="V8203" s="22">
        <f>3.92/5</f>
        <v>0.78400000000000003</v>
      </c>
      <c r="X8203" s="3">
        <v>3</v>
      </c>
      <c r="Z8203" s="23">
        <f>36/60</f>
        <v>0.6</v>
      </c>
      <c r="AB8203" s="18">
        <f t="shared" si="256"/>
        <v>1998</v>
      </c>
      <c r="AC8203" s="22">
        <f t="shared" si="257"/>
        <v>0.69199999999999995</v>
      </c>
    </row>
    <row r="8204" spans="1:29">
      <c r="A8204" s="8" t="s">
        <v>10863</v>
      </c>
      <c r="B8204" s="17" t="s">
        <v>7757</v>
      </c>
      <c r="C8204" s="13">
        <v>36020</v>
      </c>
      <c r="D8204" s="13" t="s">
        <v>8463</v>
      </c>
      <c r="E8204" s="10" t="s">
        <v>10864</v>
      </c>
      <c r="F8204" s="10" t="s">
        <v>10865</v>
      </c>
      <c r="H8204" s="2" t="s">
        <v>153</v>
      </c>
      <c r="K8204" s="18">
        <v>0</v>
      </c>
      <c r="L8204" s="18">
        <v>0</v>
      </c>
      <c r="Q8204" s="18">
        <v>0</v>
      </c>
      <c r="V8204" s="22">
        <f>3.3/5</f>
        <v>0.65999999999999992</v>
      </c>
      <c r="X8204" s="3">
        <v>2</v>
      </c>
      <c r="Z8204" s="23">
        <v>2</v>
      </c>
      <c r="AB8204" s="18">
        <f t="shared" si="256"/>
        <v>1998</v>
      </c>
      <c r="AC8204" s="22">
        <f t="shared" si="257"/>
        <v>0.53</v>
      </c>
    </row>
    <row r="8205" spans="1:29" ht="30">
      <c r="A8205" s="8" t="s">
        <v>7169</v>
      </c>
      <c r="B8205" s="17" t="s">
        <v>7800</v>
      </c>
      <c r="C8205" s="13">
        <v>36019</v>
      </c>
      <c r="D8205" s="13" t="s">
        <v>8465</v>
      </c>
      <c r="E8205" s="10" t="s">
        <v>3120</v>
      </c>
      <c r="F8205" s="10" t="s">
        <v>6894</v>
      </c>
      <c r="G8205" s="11" t="s">
        <v>6776</v>
      </c>
      <c r="H8205" s="2" t="s">
        <v>56</v>
      </c>
      <c r="L8205" s="18">
        <v>0</v>
      </c>
      <c r="Q8205" s="18">
        <v>0</v>
      </c>
      <c r="U8205" s="22">
        <v>0.78</v>
      </c>
      <c r="V8205" s="22">
        <f>4.11/5</f>
        <v>0.82200000000000006</v>
      </c>
      <c r="X8205" s="3">
        <v>3</v>
      </c>
      <c r="Z8205" s="23">
        <v>5</v>
      </c>
      <c r="AB8205" s="18">
        <f t="shared" si="256"/>
        <v>1998</v>
      </c>
      <c r="AC8205" s="22">
        <f t="shared" si="257"/>
        <v>0.73399999999999999</v>
      </c>
    </row>
    <row r="8206" spans="1:29" ht="30">
      <c r="A8206" s="8" t="s">
        <v>7631</v>
      </c>
      <c r="B8206" s="17" t="s">
        <v>7745</v>
      </c>
      <c r="C8206" s="13">
        <v>36019</v>
      </c>
      <c r="D8206" s="13" t="s">
        <v>8465</v>
      </c>
      <c r="E8206" s="10" t="s">
        <v>66</v>
      </c>
      <c r="F8206" s="10" t="s">
        <v>6642</v>
      </c>
      <c r="G8206" s="11" t="s">
        <v>710</v>
      </c>
      <c r="H8206" s="2" t="s">
        <v>1334</v>
      </c>
      <c r="L8206" s="18">
        <v>0</v>
      </c>
      <c r="Q8206" s="18">
        <v>0</v>
      </c>
      <c r="U8206" s="22">
        <v>0.76</v>
      </c>
      <c r="V8206" s="22">
        <f>3.36/5</f>
        <v>0.67199999999999993</v>
      </c>
      <c r="X8206" s="3">
        <v>3</v>
      </c>
      <c r="Z8206" s="23">
        <v>28</v>
      </c>
      <c r="AB8206" s="18">
        <f t="shared" si="256"/>
        <v>1998</v>
      </c>
      <c r="AC8206" s="22">
        <f t="shared" si="257"/>
        <v>0.67733333333333334</v>
      </c>
    </row>
    <row r="8207" spans="1:29" ht="25.5">
      <c r="A8207" s="8" t="s">
        <v>7807</v>
      </c>
      <c r="B8207" s="17" t="s">
        <v>7757</v>
      </c>
      <c r="C8207" s="13">
        <v>36014</v>
      </c>
      <c r="D8207" s="13" t="s">
        <v>8465</v>
      </c>
      <c r="E8207" s="10" t="s">
        <v>228</v>
      </c>
      <c r="F8207" s="10" t="s">
        <v>228</v>
      </c>
      <c r="H8207" s="2" t="s">
        <v>75</v>
      </c>
      <c r="L8207" s="18">
        <v>0</v>
      </c>
      <c r="Q8207" s="18">
        <v>0</v>
      </c>
      <c r="U8207" s="22">
        <v>0.75</v>
      </c>
      <c r="V8207" s="22">
        <f>3.45/5</f>
        <v>0.69000000000000006</v>
      </c>
      <c r="X8207" s="3">
        <v>2</v>
      </c>
      <c r="Z8207" s="23">
        <v>27.5</v>
      </c>
      <c r="AB8207" s="18">
        <f t="shared" si="256"/>
        <v>1998</v>
      </c>
      <c r="AC8207" s="22">
        <f t="shared" si="257"/>
        <v>0.61333333333333329</v>
      </c>
    </row>
    <row r="8208" spans="1:29" ht="30">
      <c r="A8208" s="8" t="s">
        <v>8444</v>
      </c>
      <c r="B8208" s="17" t="s">
        <v>7754</v>
      </c>
      <c r="C8208" s="13">
        <v>36013</v>
      </c>
      <c r="D8208" s="13" t="s">
        <v>8463</v>
      </c>
      <c r="E8208" s="10" t="s">
        <v>455</v>
      </c>
      <c r="F8208" s="10" t="s">
        <v>8445</v>
      </c>
      <c r="H8208" s="2" t="s">
        <v>75</v>
      </c>
      <c r="K8208" s="18">
        <v>0</v>
      </c>
      <c r="L8208" s="18">
        <v>0</v>
      </c>
      <c r="Q8208" s="18">
        <v>0</v>
      </c>
      <c r="V8208" s="22">
        <f>3.96/5</f>
        <v>0.79200000000000004</v>
      </c>
      <c r="X8208" s="3">
        <v>3</v>
      </c>
      <c r="AB8208" s="18">
        <f t="shared" si="256"/>
        <v>1998</v>
      </c>
      <c r="AC8208" s="22">
        <f t="shared" si="257"/>
        <v>0.69599999999999995</v>
      </c>
    </row>
    <row r="8209" spans="1:29">
      <c r="A8209" s="8" t="s">
        <v>9390</v>
      </c>
      <c r="B8209" s="17" t="s">
        <v>7754</v>
      </c>
      <c r="C8209" s="13">
        <v>36013</v>
      </c>
      <c r="D8209" s="13" t="s">
        <v>8463</v>
      </c>
      <c r="E8209" s="10" t="s">
        <v>9391</v>
      </c>
      <c r="F8209" s="10" t="s">
        <v>9392</v>
      </c>
      <c r="H8209" s="2" t="s">
        <v>75</v>
      </c>
      <c r="K8209" s="18">
        <v>2</v>
      </c>
      <c r="L8209" s="18">
        <v>0</v>
      </c>
      <c r="Q8209" s="18">
        <v>0</v>
      </c>
      <c r="V8209" s="22">
        <f>3.81/5</f>
        <v>0.76200000000000001</v>
      </c>
      <c r="X8209" s="3">
        <v>2</v>
      </c>
      <c r="Z8209" s="23">
        <v>21</v>
      </c>
      <c r="AB8209" s="18">
        <f t="shared" si="256"/>
        <v>1998</v>
      </c>
      <c r="AC8209" s="22">
        <f t="shared" si="257"/>
        <v>0.58099999999999996</v>
      </c>
    </row>
    <row r="8210" spans="1:29">
      <c r="A8210" s="8" t="s">
        <v>15901</v>
      </c>
      <c r="B8210" s="17" t="s">
        <v>7757</v>
      </c>
      <c r="C8210" s="13">
        <v>36011</v>
      </c>
      <c r="D8210" s="13" t="s">
        <v>8465</v>
      </c>
      <c r="E8210" s="10" t="s">
        <v>154</v>
      </c>
      <c r="F8210" s="10" t="s">
        <v>14882</v>
      </c>
      <c r="G8210" s="11" t="s">
        <v>207</v>
      </c>
      <c r="H8210" s="2" t="s">
        <v>80</v>
      </c>
      <c r="L8210" s="18">
        <v>0</v>
      </c>
      <c r="Q8210" s="18">
        <v>0</v>
      </c>
      <c r="V8210" s="22">
        <f>2.31/5</f>
        <v>0.46200000000000002</v>
      </c>
      <c r="X8210" s="3">
        <v>2</v>
      </c>
      <c r="Z8210" s="23">
        <v>20</v>
      </c>
      <c r="AB8210" s="18">
        <f t="shared" si="256"/>
        <v>1998</v>
      </c>
      <c r="AC8210" s="22">
        <f t="shared" si="257"/>
        <v>0.43100000000000005</v>
      </c>
    </row>
    <row r="8211" spans="1:29">
      <c r="A8211" s="8" t="s">
        <v>15463</v>
      </c>
      <c r="B8211" s="17" t="s">
        <v>7757</v>
      </c>
      <c r="C8211" s="13">
        <v>36010</v>
      </c>
      <c r="D8211" s="13" t="s">
        <v>8465</v>
      </c>
      <c r="E8211" s="10" t="s">
        <v>73</v>
      </c>
      <c r="F8211" s="10" t="s">
        <v>73</v>
      </c>
      <c r="G8211" s="11" t="s">
        <v>227</v>
      </c>
      <c r="H8211" s="2" t="s">
        <v>459</v>
      </c>
      <c r="L8211" s="18">
        <v>0</v>
      </c>
      <c r="Q8211" s="18">
        <v>0</v>
      </c>
      <c r="V8211" s="22">
        <f>3.96/5</f>
        <v>0.79200000000000004</v>
      </c>
      <c r="X8211" s="3">
        <v>3</v>
      </c>
      <c r="Z8211" s="23">
        <f>53/60</f>
        <v>0.8833333333333333</v>
      </c>
      <c r="AB8211" s="18">
        <f t="shared" si="256"/>
        <v>1998</v>
      </c>
      <c r="AC8211" s="22">
        <f t="shared" si="257"/>
        <v>0.69599999999999995</v>
      </c>
    </row>
    <row r="8212" spans="1:29" ht="30">
      <c r="A8212" s="8" t="s">
        <v>2731</v>
      </c>
      <c r="B8212" s="17" t="s">
        <v>7754</v>
      </c>
      <c r="C8212" s="13">
        <v>36007</v>
      </c>
      <c r="D8212" s="13" t="s">
        <v>8465</v>
      </c>
      <c r="E8212" s="10" t="s">
        <v>455</v>
      </c>
      <c r="F8212" s="10" t="s">
        <v>1160</v>
      </c>
      <c r="G8212" s="11" t="s">
        <v>1661</v>
      </c>
      <c r="H8212" s="2" t="s">
        <v>75</v>
      </c>
      <c r="L8212" s="18">
        <v>0</v>
      </c>
      <c r="Q8212" s="18">
        <v>0</v>
      </c>
      <c r="U8212" s="22">
        <v>0.85</v>
      </c>
      <c r="V8212" s="22">
        <f>4.1/5</f>
        <v>0.82</v>
      </c>
      <c r="X8212" s="3">
        <v>4</v>
      </c>
      <c r="Z8212" s="23">
        <v>34.5</v>
      </c>
      <c r="AB8212" s="18">
        <f t="shared" si="256"/>
        <v>1998</v>
      </c>
      <c r="AC8212" s="22">
        <f t="shared" si="257"/>
        <v>0.82333333333333325</v>
      </c>
    </row>
    <row r="8213" spans="1:29">
      <c r="A8213" s="8" t="s">
        <v>8027</v>
      </c>
      <c r="B8213" s="17" t="s">
        <v>7757</v>
      </c>
      <c r="C8213" s="13">
        <v>36007</v>
      </c>
      <c r="D8213" s="13" t="s">
        <v>8465</v>
      </c>
      <c r="E8213" s="10" t="s">
        <v>1272</v>
      </c>
      <c r="F8213" s="10" t="s">
        <v>8028</v>
      </c>
      <c r="H8213" s="2" t="s">
        <v>1267</v>
      </c>
      <c r="L8213" s="18">
        <v>0</v>
      </c>
      <c r="Q8213" s="18">
        <v>0</v>
      </c>
      <c r="U8213" s="22">
        <v>0.75329999999999997</v>
      </c>
      <c r="V8213" s="22">
        <f>3.73/5</f>
        <v>0.746</v>
      </c>
      <c r="X8213" s="3">
        <v>3</v>
      </c>
      <c r="Z8213" s="23">
        <v>5</v>
      </c>
      <c r="AB8213" s="18">
        <f t="shared" si="256"/>
        <v>1998</v>
      </c>
      <c r="AC8213" s="22">
        <f t="shared" si="257"/>
        <v>0.69976666666666665</v>
      </c>
    </row>
    <row r="8214" spans="1:29">
      <c r="A8214" s="8" t="s">
        <v>13147</v>
      </c>
      <c r="B8214" s="17" t="s">
        <v>7739</v>
      </c>
      <c r="C8214" s="13">
        <v>36007</v>
      </c>
      <c r="D8214" s="13" t="s">
        <v>8465</v>
      </c>
      <c r="E8214" s="10" t="s">
        <v>66</v>
      </c>
      <c r="F8214" s="10" t="s">
        <v>239</v>
      </c>
      <c r="G8214" s="11" t="s">
        <v>13148</v>
      </c>
      <c r="H8214" s="2" t="s">
        <v>459</v>
      </c>
      <c r="L8214" s="18">
        <v>0</v>
      </c>
      <c r="Q8214" s="18">
        <v>0</v>
      </c>
      <c r="V8214" s="22">
        <f>3.71/5</f>
        <v>0.74199999999999999</v>
      </c>
      <c r="X8214" s="3">
        <v>2</v>
      </c>
      <c r="AB8214" s="18">
        <f t="shared" si="256"/>
        <v>1998</v>
      </c>
      <c r="AC8214" s="22">
        <f t="shared" si="257"/>
        <v>0.57099999999999995</v>
      </c>
    </row>
    <row r="8215" spans="1:29">
      <c r="A8215" s="8" t="s">
        <v>13149</v>
      </c>
      <c r="B8215" s="17" t="s">
        <v>7739</v>
      </c>
      <c r="C8215" s="13">
        <v>36007</v>
      </c>
      <c r="D8215" s="13" t="s">
        <v>8465</v>
      </c>
      <c r="E8215" s="10" t="s">
        <v>154</v>
      </c>
      <c r="F8215" s="10" t="s">
        <v>1279</v>
      </c>
      <c r="H8215" s="2" t="s">
        <v>1040</v>
      </c>
      <c r="L8215" s="18">
        <v>0</v>
      </c>
      <c r="Q8215" s="18">
        <v>0</v>
      </c>
      <c r="V8215" s="22">
        <f>3.28/5</f>
        <v>0.65599999999999992</v>
      </c>
      <c r="X8215" s="3">
        <v>2</v>
      </c>
      <c r="Z8215" s="23">
        <v>6.5</v>
      </c>
      <c r="AB8215" s="18">
        <f t="shared" si="256"/>
        <v>1998</v>
      </c>
      <c r="AC8215" s="22">
        <f t="shared" si="257"/>
        <v>0.52800000000000002</v>
      </c>
    </row>
    <row r="8216" spans="1:29">
      <c r="A8216" s="8" t="s">
        <v>2734</v>
      </c>
      <c r="B8216" s="17" t="s">
        <v>7754</v>
      </c>
      <c r="C8216" s="13">
        <v>35999</v>
      </c>
      <c r="D8216" s="13" t="s">
        <v>8463</v>
      </c>
      <c r="E8216" s="10" t="s">
        <v>1473</v>
      </c>
      <c r="F8216" s="10" t="s">
        <v>1474</v>
      </c>
      <c r="H8216" s="2" t="s">
        <v>21</v>
      </c>
      <c r="K8216" s="18">
        <v>0</v>
      </c>
      <c r="L8216" s="18">
        <v>0</v>
      </c>
      <c r="Q8216" s="18">
        <v>0</v>
      </c>
      <c r="U8216" s="22">
        <v>0.93</v>
      </c>
      <c r="V8216" s="22">
        <f>4.09/5</f>
        <v>0.81799999999999995</v>
      </c>
      <c r="X8216" s="3">
        <v>4</v>
      </c>
      <c r="Z8216" s="23">
        <v>3</v>
      </c>
      <c r="AB8216" s="18">
        <f t="shared" si="256"/>
        <v>1998</v>
      </c>
      <c r="AC8216" s="22">
        <f t="shared" si="257"/>
        <v>0.84933333333333338</v>
      </c>
    </row>
    <row r="8217" spans="1:29">
      <c r="A8217" s="8" t="s">
        <v>15790</v>
      </c>
      <c r="B8217" s="17" t="s">
        <v>7739</v>
      </c>
      <c r="C8217" s="13">
        <v>35993</v>
      </c>
      <c r="D8217" s="13" t="s">
        <v>8463</v>
      </c>
      <c r="E8217" s="10" t="s">
        <v>470</v>
      </c>
      <c r="F8217" s="10" t="s">
        <v>470</v>
      </c>
      <c r="G8217" s="11" t="s">
        <v>299</v>
      </c>
      <c r="H8217" s="2" t="s">
        <v>459</v>
      </c>
      <c r="L8217" s="18">
        <v>0</v>
      </c>
      <c r="Q8217" s="18">
        <v>0</v>
      </c>
      <c r="V8217" s="22">
        <f>3.8/5</f>
        <v>0.76</v>
      </c>
      <c r="X8217" s="3">
        <v>2</v>
      </c>
      <c r="Z8217" s="23">
        <f>44/60</f>
        <v>0.73333333333333328</v>
      </c>
      <c r="AB8217" s="18">
        <f t="shared" si="256"/>
        <v>1998</v>
      </c>
      <c r="AC8217" s="22">
        <f t="shared" si="257"/>
        <v>0.58000000000000007</v>
      </c>
    </row>
    <row r="8218" spans="1:29">
      <c r="A8218" s="8" t="s">
        <v>14545</v>
      </c>
      <c r="B8218" s="17" t="s">
        <v>14546</v>
      </c>
      <c r="C8218" s="13">
        <v>35986</v>
      </c>
      <c r="D8218" s="13" t="s">
        <v>8465</v>
      </c>
      <c r="E8218" s="10" t="s">
        <v>14547</v>
      </c>
      <c r="F8218" s="10" t="s">
        <v>14547</v>
      </c>
      <c r="G8218" s="11" t="s">
        <v>1688</v>
      </c>
      <c r="H8218" s="2" t="s">
        <v>64</v>
      </c>
      <c r="L8218" s="18">
        <v>0</v>
      </c>
      <c r="Q8218" s="18">
        <v>0</v>
      </c>
      <c r="V8218" s="22">
        <f>1.97/5</f>
        <v>0.39400000000000002</v>
      </c>
      <c r="X8218" s="3">
        <v>2</v>
      </c>
      <c r="Z8218" s="23">
        <f>30/60</f>
        <v>0.5</v>
      </c>
      <c r="AB8218" s="18">
        <f t="shared" si="256"/>
        <v>1998</v>
      </c>
      <c r="AC8218" s="22">
        <f t="shared" si="257"/>
        <v>0.39700000000000002</v>
      </c>
    </row>
    <row r="8219" spans="1:29" ht="25.5">
      <c r="A8219" s="8" t="s">
        <v>12888</v>
      </c>
      <c r="B8219" s="17" t="s">
        <v>7757</v>
      </c>
      <c r="C8219" s="13">
        <v>35985</v>
      </c>
      <c r="D8219" s="13" t="s">
        <v>8463</v>
      </c>
      <c r="E8219" s="10" t="s">
        <v>12889</v>
      </c>
      <c r="F8219" s="10" t="s">
        <v>1307</v>
      </c>
      <c r="H8219" s="2" t="s">
        <v>80</v>
      </c>
      <c r="K8219" s="18">
        <v>2</v>
      </c>
      <c r="L8219" s="18">
        <v>0</v>
      </c>
      <c r="Q8219" s="18">
        <v>0</v>
      </c>
      <c r="V8219" s="22">
        <f>3.68/5</f>
        <v>0.73599999999999999</v>
      </c>
      <c r="X8219" s="3">
        <v>2</v>
      </c>
      <c r="Z8219" s="23">
        <v>7.5</v>
      </c>
      <c r="AB8219" s="18">
        <f t="shared" si="256"/>
        <v>1998</v>
      </c>
      <c r="AC8219" s="22">
        <f t="shared" si="257"/>
        <v>0.56800000000000006</v>
      </c>
    </row>
    <row r="8220" spans="1:29">
      <c r="A8220" s="8" t="s">
        <v>3001</v>
      </c>
      <c r="B8220" s="17" t="s">
        <v>7757</v>
      </c>
      <c r="C8220" s="13">
        <v>35976</v>
      </c>
      <c r="D8220" s="13" t="s">
        <v>8465</v>
      </c>
      <c r="E8220" s="10" t="s">
        <v>1290</v>
      </c>
      <c r="F8220" s="10" t="s">
        <v>3031</v>
      </c>
      <c r="G8220" s="11" t="s">
        <v>3001</v>
      </c>
      <c r="H8220" s="2" t="s">
        <v>64</v>
      </c>
      <c r="L8220" s="18">
        <v>0</v>
      </c>
      <c r="Q8220" s="18">
        <v>0</v>
      </c>
      <c r="U8220" s="22">
        <v>0.84</v>
      </c>
      <c r="V8220" s="22">
        <f>4.11/5</f>
        <v>0.82200000000000006</v>
      </c>
      <c r="X8220" s="3">
        <v>4</v>
      </c>
      <c r="Z8220" s="23">
        <v>7.5</v>
      </c>
      <c r="AB8220" s="18">
        <f t="shared" si="256"/>
        <v>1998</v>
      </c>
      <c r="AC8220" s="22">
        <f t="shared" si="257"/>
        <v>0.82066666666666654</v>
      </c>
    </row>
    <row r="8221" spans="1:29">
      <c r="A8221" s="8" t="s">
        <v>7814</v>
      </c>
      <c r="B8221" s="17" t="s">
        <v>7757</v>
      </c>
      <c r="C8221" s="13">
        <v>35976</v>
      </c>
      <c r="D8221" s="13" t="s">
        <v>8465</v>
      </c>
      <c r="E8221" s="10" t="s">
        <v>2701</v>
      </c>
      <c r="F8221" s="10" t="s">
        <v>1375</v>
      </c>
      <c r="H8221" s="2" t="s">
        <v>1170</v>
      </c>
      <c r="L8221" s="18">
        <v>0</v>
      </c>
      <c r="Q8221" s="18">
        <v>0</v>
      </c>
      <c r="U8221" s="22">
        <v>0.79710000000000003</v>
      </c>
      <c r="V8221" s="22">
        <f>3.77/5</f>
        <v>0.754</v>
      </c>
      <c r="X8221" s="3">
        <v>3</v>
      </c>
      <c r="Z8221" s="23">
        <v>1</v>
      </c>
      <c r="AB8221" s="18">
        <f t="shared" si="256"/>
        <v>1998</v>
      </c>
      <c r="AC8221" s="22">
        <f t="shared" si="257"/>
        <v>0.7170333333333333</v>
      </c>
    </row>
    <row r="8222" spans="1:29" ht="25.5">
      <c r="A8222" s="8" t="s">
        <v>8760</v>
      </c>
      <c r="B8222" s="17" t="s">
        <v>7800</v>
      </c>
      <c r="C8222" s="13">
        <v>35976</v>
      </c>
      <c r="D8222" s="13" t="s">
        <v>8465</v>
      </c>
      <c r="E8222" s="10" t="s">
        <v>6906</v>
      </c>
      <c r="F8222" s="10" t="s">
        <v>8758</v>
      </c>
      <c r="G8222" s="11" t="s">
        <v>8757</v>
      </c>
      <c r="H8222" s="2" t="s">
        <v>1143</v>
      </c>
      <c r="L8222" s="18">
        <v>1</v>
      </c>
      <c r="N8222" s="13">
        <v>43987</v>
      </c>
      <c r="O8222" s="29">
        <v>0</v>
      </c>
      <c r="P8222" s="18" t="s">
        <v>1107</v>
      </c>
      <c r="Q8222" s="18">
        <v>0</v>
      </c>
      <c r="V8222" s="22">
        <f>3.82/5</f>
        <v>0.76400000000000001</v>
      </c>
      <c r="W8222" s="14" t="s">
        <v>7778</v>
      </c>
      <c r="X8222" s="3">
        <v>3</v>
      </c>
      <c r="Z8222" s="23">
        <v>8</v>
      </c>
      <c r="AB8222" s="18">
        <f t="shared" si="256"/>
        <v>1998</v>
      </c>
      <c r="AC8222" s="22">
        <f t="shared" si="257"/>
        <v>0.68199999999999994</v>
      </c>
    </row>
    <row r="8223" spans="1:29">
      <c r="A8223" s="8" t="s">
        <v>1831</v>
      </c>
      <c r="B8223" s="17" t="s">
        <v>7757</v>
      </c>
      <c r="C8223" s="13">
        <v>35976</v>
      </c>
      <c r="D8223" s="13" t="s">
        <v>8465</v>
      </c>
      <c r="E8223" s="10" t="s">
        <v>72</v>
      </c>
      <c r="F8223" s="10" t="s">
        <v>72</v>
      </c>
      <c r="G8223" s="11" t="s">
        <v>1831</v>
      </c>
      <c r="H8223" s="2" t="s">
        <v>149</v>
      </c>
      <c r="L8223" s="18">
        <v>0</v>
      </c>
      <c r="Q8223" s="18">
        <v>0</v>
      </c>
      <c r="U8223" s="22">
        <v>0.72</v>
      </c>
      <c r="V8223" s="22">
        <f>3.82/5</f>
        <v>0.76400000000000001</v>
      </c>
      <c r="X8223" s="3">
        <v>3</v>
      </c>
      <c r="Z8223" s="23">
        <v>31.5</v>
      </c>
      <c r="AB8223" s="18">
        <f t="shared" si="256"/>
        <v>1998</v>
      </c>
      <c r="AC8223" s="22">
        <f t="shared" si="257"/>
        <v>0.69466666666666665</v>
      </c>
    </row>
    <row r="8224" spans="1:29">
      <c r="A8224" s="8" t="s">
        <v>7815</v>
      </c>
      <c r="B8224" s="17" t="s">
        <v>7757</v>
      </c>
      <c r="C8224" s="13">
        <v>35976</v>
      </c>
      <c r="D8224" s="13" t="s">
        <v>8465</v>
      </c>
      <c r="E8224" s="10" t="s">
        <v>1342</v>
      </c>
      <c r="F8224" s="10" t="s">
        <v>1085</v>
      </c>
      <c r="H8224" s="2" t="s">
        <v>171</v>
      </c>
      <c r="L8224" s="18">
        <v>0</v>
      </c>
      <c r="Q8224" s="18">
        <v>0</v>
      </c>
      <c r="U8224" s="22">
        <v>0.66</v>
      </c>
      <c r="V8224" s="22">
        <f>3.24/5</f>
        <v>0.64800000000000002</v>
      </c>
      <c r="X8224" s="3">
        <v>3</v>
      </c>
      <c r="Z8224" s="23">
        <v>17</v>
      </c>
      <c r="AB8224" s="18">
        <f t="shared" si="256"/>
        <v>1998</v>
      </c>
      <c r="AC8224" s="22">
        <f t="shared" si="257"/>
        <v>0.63600000000000001</v>
      </c>
    </row>
    <row r="8225" spans="1:29">
      <c r="A8225" s="8" t="s">
        <v>12875</v>
      </c>
      <c r="B8225" s="17" t="s">
        <v>7754</v>
      </c>
      <c r="C8225" s="13">
        <v>35976</v>
      </c>
      <c r="D8225" s="13" t="s">
        <v>8467</v>
      </c>
      <c r="E8225" s="10" t="s">
        <v>455</v>
      </c>
      <c r="F8225" s="10" t="s">
        <v>12876</v>
      </c>
      <c r="H8225" s="2" t="s">
        <v>1061</v>
      </c>
      <c r="L8225" s="18">
        <v>0</v>
      </c>
      <c r="Q8225" s="18">
        <v>0</v>
      </c>
      <c r="V8225" s="22">
        <f>3.86/5</f>
        <v>0.77200000000000002</v>
      </c>
      <c r="X8225" s="3">
        <v>2</v>
      </c>
      <c r="Z8225" s="23">
        <v>9</v>
      </c>
      <c r="AB8225" s="18">
        <f t="shared" si="256"/>
        <v>1998</v>
      </c>
      <c r="AC8225" s="22">
        <f t="shared" si="257"/>
        <v>0.58600000000000008</v>
      </c>
    </row>
    <row r="8226" spans="1:29">
      <c r="A8226" s="8" t="s">
        <v>414</v>
      </c>
      <c r="B8226" s="17" t="s">
        <v>6317</v>
      </c>
      <c r="C8226" s="13">
        <v>35975</v>
      </c>
      <c r="D8226" s="13" t="s">
        <v>8465</v>
      </c>
      <c r="E8226" s="10" t="s">
        <v>73</v>
      </c>
      <c r="F8226" s="10" t="s">
        <v>73</v>
      </c>
      <c r="G8226" s="11" t="s">
        <v>227</v>
      </c>
      <c r="H8226" s="2" t="s">
        <v>459</v>
      </c>
      <c r="L8226" s="18">
        <v>0</v>
      </c>
      <c r="Q8226" s="18">
        <v>0</v>
      </c>
      <c r="V8226" s="22">
        <f>4.1/5</f>
        <v>0.82</v>
      </c>
      <c r="X8226" s="3">
        <v>3</v>
      </c>
      <c r="Z8226" s="23">
        <v>1.5</v>
      </c>
      <c r="AB8226" s="18">
        <f t="shared" si="256"/>
        <v>1998</v>
      </c>
      <c r="AC8226" s="22">
        <f t="shared" si="257"/>
        <v>0.71</v>
      </c>
    </row>
    <row r="8227" spans="1:29">
      <c r="A8227" s="8" t="s">
        <v>852</v>
      </c>
      <c r="B8227" s="20" t="s">
        <v>7739</v>
      </c>
      <c r="C8227" s="13">
        <v>35975</v>
      </c>
      <c r="D8227" s="13" t="s">
        <v>8465</v>
      </c>
      <c r="E8227" s="10" t="s">
        <v>86</v>
      </c>
      <c r="F8227" s="10" t="s">
        <v>163</v>
      </c>
      <c r="G8227" s="11" t="s">
        <v>852</v>
      </c>
      <c r="H8227" s="2" t="s">
        <v>1040</v>
      </c>
      <c r="L8227" s="18">
        <v>0</v>
      </c>
      <c r="Q8227" s="18">
        <v>0</v>
      </c>
      <c r="U8227" s="22">
        <v>0.92</v>
      </c>
      <c r="V8227" s="22">
        <f>4.33/5</f>
        <v>0.86599999999999999</v>
      </c>
      <c r="X8227" s="3">
        <v>2</v>
      </c>
      <c r="Z8227" s="23">
        <v>10.5</v>
      </c>
      <c r="AB8227" s="18">
        <f t="shared" si="256"/>
        <v>1998</v>
      </c>
      <c r="AC8227" s="22">
        <f t="shared" si="257"/>
        <v>0.72866666666666668</v>
      </c>
    </row>
    <row r="8228" spans="1:29" ht="25.5">
      <c r="A8228" s="8" t="s">
        <v>7512</v>
      </c>
      <c r="B8228" s="17" t="s">
        <v>7757</v>
      </c>
      <c r="C8228" s="13">
        <v>35971</v>
      </c>
      <c r="D8228" s="13" t="s">
        <v>8465</v>
      </c>
      <c r="E8228" s="10" t="s">
        <v>73</v>
      </c>
      <c r="F8228" s="10" t="s">
        <v>7513</v>
      </c>
      <c r="G8228" s="11" t="s">
        <v>89</v>
      </c>
      <c r="H8228" s="2" t="s">
        <v>1170</v>
      </c>
      <c r="L8228" s="18">
        <v>0</v>
      </c>
      <c r="Q8228" s="18">
        <v>0</v>
      </c>
      <c r="V8228" s="22">
        <f>4.32/5</f>
        <v>0.8640000000000001</v>
      </c>
      <c r="X8228" s="3">
        <v>3</v>
      </c>
      <c r="AB8228" s="18">
        <f t="shared" si="256"/>
        <v>1998</v>
      </c>
      <c r="AC8228" s="22">
        <f t="shared" si="257"/>
        <v>0.73199999999999998</v>
      </c>
    </row>
    <row r="8229" spans="1:29" ht="25.5">
      <c r="A8229" s="8" t="s">
        <v>2726</v>
      </c>
      <c r="B8229" s="17" t="s">
        <v>7754</v>
      </c>
      <c r="C8229" s="13">
        <v>35971</v>
      </c>
      <c r="D8229" s="13" t="s">
        <v>8463</v>
      </c>
      <c r="E8229" s="10" t="s">
        <v>72</v>
      </c>
      <c r="F8229" s="10" t="s">
        <v>72</v>
      </c>
      <c r="G8229" s="11" t="s">
        <v>113</v>
      </c>
      <c r="H8229" s="2" t="s">
        <v>151</v>
      </c>
      <c r="K8229" s="18">
        <v>0</v>
      </c>
      <c r="L8229" s="18">
        <v>0</v>
      </c>
      <c r="Q8229" s="18">
        <v>0</v>
      </c>
      <c r="U8229" s="22">
        <v>0.83</v>
      </c>
      <c r="V8229" s="22">
        <f>3.95/5</f>
        <v>0.79</v>
      </c>
      <c r="X8229" s="3">
        <v>3</v>
      </c>
      <c r="Z8229" s="23">
        <v>8.5</v>
      </c>
      <c r="AB8229" s="18">
        <f t="shared" si="256"/>
        <v>1998</v>
      </c>
      <c r="AC8229" s="22">
        <f t="shared" si="257"/>
        <v>0.7400000000000001</v>
      </c>
    </row>
    <row r="8230" spans="1:29" ht="38.25">
      <c r="A8230" s="8" t="s">
        <v>14809</v>
      </c>
      <c r="B8230" s="17" t="s">
        <v>7757</v>
      </c>
      <c r="C8230" s="13">
        <v>35971</v>
      </c>
      <c r="D8230" s="13" t="s">
        <v>8463</v>
      </c>
      <c r="E8230" s="10" t="s">
        <v>62</v>
      </c>
      <c r="F8230" s="10" t="s">
        <v>62</v>
      </c>
      <c r="G8230" s="11" t="s">
        <v>10813</v>
      </c>
      <c r="H8230" s="2" t="s">
        <v>75</v>
      </c>
      <c r="K8230" s="18">
        <v>2</v>
      </c>
      <c r="L8230" s="18">
        <v>0</v>
      </c>
      <c r="Q8230" s="18">
        <v>0</v>
      </c>
      <c r="V8230" s="22">
        <f>3.96/5</f>
        <v>0.79200000000000004</v>
      </c>
      <c r="X8230" s="3">
        <v>2</v>
      </c>
      <c r="Z8230" s="23">
        <v>4.5</v>
      </c>
      <c r="AB8230" s="18">
        <f t="shared" si="256"/>
        <v>1998</v>
      </c>
      <c r="AC8230" s="22">
        <f t="shared" si="257"/>
        <v>0.59600000000000009</v>
      </c>
    </row>
    <row r="8231" spans="1:29">
      <c r="A8231" s="8" t="s">
        <v>6584</v>
      </c>
      <c r="B8231" s="20" t="s">
        <v>7739</v>
      </c>
      <c r="C8231" s="13">
        <v>35969</v>
      </c>
      <c r="D8231" s="13" t="s">
        <v>8465</v>
      </c>
      <c r="E8231" s="10" t="s">
        <v>1466</v>
      </c>
      <c r="F8231" s="10" t="s">
        <v>241</v>
      </c>
      <c r="G8231" s="11" t="s">
        <v>17</v>
      </c>
      <c r="H8231" s="2" t="s">
        <v>459</v>
      </c>
      <c r="L8231" s="18">
        <v>0</v>
      </c>
      <c r="Q8231" s="18">
        <v>0</v>
      </c>
      <c r="U8231" s="22">
        <v>0.76</v>
      </c>
      <c r="V8231" s="22">
        <f>3.43/5</f>
        <v>0.68600000000000005</v>
      </c>
      <c r="X8231" s="3">
        <v>2</v>
      </c>
      <c r="Z8231" s="23">
        <v>1.5</v>
      </c>
      <c r="AB8231" s="18">
        <f t="shared" si="256"/>
        <v>1998</v>
      </c>
      <c r="AC8231" s="22">
        <f t="shared" si="257"/>
        <v>0.6153333333333334</v>
      </c>
    </row>
    <row r="8232" spans="1:29" ht="25.5">
      <c r="A8232" s="8" t="s">
        <v>8796</v>
      </c>
      <c r="B8232" s="17" t="s">
        <v>7754</v>
      </c>
      <c r="C8232" s="13">
        <v>35964</v>
      </c>
      <c r="D8232" s="13" t="s">
        <v>8463</v>
      </c>
      <c r="E8232" s="10" t="s">
        <v>1360</v>
      </c>
      <c r="F8232" s="10" t="s">
        <v>2660</v>
      </c>
      <c r="G8232" s="11" t="s">
        <v>1369</v>
      </c>
      <c r="H8232" s="2" t="s">
        <v>75</v>
      </c>
      <c r="K8232" s="18">
        <v>0</v>
      </c>
      <c r="L8232" s="18">
        <v>0</v>
      </c>
      <c r="Q8232" s="18">
        <v>0</v>
      </c>
      <c r="V8232" s="22">
        <f>4.07/5</f>
        <v>0.81400000000000006</v>
      </c>
      <c r="X8232" s="3">
        <v>2</v>
      </c>
      <c r="AB8232" s="18">
        <f t="shared" si="256"/>
        <v>1998</v>
      </c>
      <c r="AC8232" s="22">
        <f t="shared" si="257"/>
        <v>0.60699999999999998</v>
      </c>
    </row>
    <row r="8233" spans="1:29" ht="25.5">
      <c r="A8233" s="8" t="s">
        <v>14417</v>
      </c>
      <c r="B8233" s="17" t="s">
        <v>7754</v>
      </c>
      <c r="C8233" s="13">
        <v>35964</v>
      </c>
      <c r="D8233" s="13" t="s">
        <v>8463</v>
      </c>
      <c r="E8233" s="10" t="s">
        <v>14412</v>
      </c>
      <c r="F8233" s="10" t="s">
        <v>14412</v>
      </c>
      <c r="G8233" s="11" t="s">
        <v>14411</v>
      </c>
      <c r="H8233" s="2" t="s">
        <v>150</v>
      </c>
      <c r="K8233" s="18">
        <v>0</v>
      </c>
      <c r="L8233" s="18">
        <v>0</v>
      </c>
      <c r="Q8233" s="18">
        <v>0</v>
      </c>
      <c r="V8233" s="22">
        <f>3.65/5</f>
        <v>0.73</v>
      </c>
      <c r="X8233" s="3">
        <v>2</v>
      </c>
      <c r="Z8233" s="23">
        <v>1.5</v>
      </c>
      <c r="AB8233" s="18">
        <f t="shared" si="256"/>
        <v>1998</v>
      </c>
      <c r="AC8233" s="22">
        <f t="shared" si="257"/>
        <v>0.56499999999999995</v>
      </c>
    </row>
    <row r="8234" spans="1:29">
      <c r="A8234" s="8" t="s">
        <v>8630</v>
      </c>
      <c r="B8234" s="17" t="s">
        <v>7800</v>
      </c>
      <c r="C8234" s="13">
        <v>35963</v>
      </c>
      <c r="D8234" s="13" t="s">
        <v>8465</v>
      </c>
      <c r="E8234" s="10" t="s">
        <v>6884</v>
      </c>
      <c r="F8234" s="10" t="s">
        <v>6884</v>
      </c>
      <c r="G8234" s="11" t="s">
        <v>5594</v>
      </c>
      <c r="H8234" s="2" t="s">
        <v>1334</v>
      </c>
      <c r="L8234" s="18">
        <v>1</v>
      </c>
      <c r="N8234" s="13">
        <v>43955</v>
      </c>
      <c r="O8234" s="29">
        <v>0.75</v>
      </c>
      <c r="P8234" s="18" t="s">
        <v>1107</v>
      </c>
      <c r="Q8234" s="18">
        <v>0</v>
      </c>
      <c r="V8234" s="22">
        <f>3.34/5</f>
        <v>0.66799999999999993</v>
      </c>
      <c r="W8234" s="14" t="s">
        <v>7777</v>
      </c>
      <c r="X8234" s="3">
        <v>3</v>
      </c>
      <c r="Z8234" s="23">
        <f>36/60</f>
        <v>0.6</v>
      </c>
      <c r="AB8234" s="18">
        <f t="shared" si="256"/>
        <v>1998</v>
      </c>
      <c r="AC8234" s="22">
        <f t="shared" si="257"/>
        <v>0.6339999999999999</v>
      </c>
    </row>
    <row r="8235" spans="1:29" ht="25.5">
      <c r="A8235" s="8" t="s">
        <v>13838</v>
      </c>
      <c r="B8235" s="17" t="s">
        <v>7800</v>
      </c>
      <c r="C8235" s="13">
        <v>35950</v>
      </c>
      <c r="D8235" s="13" t="s">
        <v>8465</v>
      </c>
      <c r="E8235" s="10" t="s">
        <v>6923</v>
      </c>
      <c r="F8235" s="10" t="s">
        <v>2697</v>
      </c>
      <c r="G8235" s="11" t="s">
        <v>13820</v>
      </c>
      <c r="H8235" s="2" t="s">
        <v>3279</v>
      </c>
      <c r="L8235" s="18">
        <v>0</v>
      </c>
      <c r="Q8235" s="18">
        <v>0</v>
      </c>
      <c r="V8235" s="22">
        <f>3.83/5</f>
        <v>0.76600000000000001</v>
      </c>
      <c r="X8235" s="3">
        <v>2</v>
      </c>
      <c r="Z8235" s="23">
        <v>22</v>
      </c>
      <c r="AB8235" s="18">
        <f t="shared" si="256"/>
        <v>1998</v>
      </c>
      <c r="AC8235" s="22">
        <f t="shared" si="257"/>
        <v>0.58299999999999996</v>
      </c>
    </row>
    <row r="8236" spans="1:29" ht="25.5">
      <c r="A8236" s="8" t="s">
        <v>2938</v>
      </c>
      <c r="B8236" s="17" t="s">
        <v>7757</v>
      </c>
      <c r="C8236" s="12">
        <v>35947</v>
      </c>
      <c r="D8236" s="13" t="s">
        <v>8465</v>
      </c>
      <c r="E8236" s="10" t="s">
        <v>158</v>
      </c>
      <c r="F8236" s="10" t="s">
        <v>158</v>
      </c>
      <c r="G8236" s="11" t="s">
        <v>1003</v>
      </c>
      <c r="H8236" s="2" t="s">
        <v>64</v>
      </c>
      <c r="L8236" s="18">
        <v>0</v>
      </c>
      <c r="Q8236" s="18">
        <v>0</v>
      </c>
      <c r="U8236" s="22">
        <v>0.87</v>
      </c>
      <c r="V8236" s="22">
        <f>4.16/5</f>
        <v>0.83200000000000007</v>
      </c>
      <c r="X8236" s="3">
        <v>3</v>
      </c>
      <c r="Z8236" s="23">
        <v>4</v>
      </c>
      <c r="AB8236" s="18">
        <f t="shared" si="256"/>
        <v>1998</v>
      </c>
      <c r="AC8236" s="22">
        <f t="shared" si="257"/>
        <v>0.76733333333333331</v>
      </c>
    </row>
    <row r="8237" spans="1:29">
      <c r="A8237" s="8" t="s">
        <v>8094</v>
      </c>
      <c r="B8237" s="17" t="s">
        <v>7757</v>
      </c>
      <c r="C8237" s="13">
        <v>35947</v>
      </c>
      <c r="D8237" s="13" t="s">
        <v>8465</v>
      </c>
      <c r="E8237" s="10" t="s">
        <v>1273</v>
      </c>
      <c r="F8237" s="10" t="s">
        <v>8095</v>
      </c>
      <c r="G8237" s="11" t="s">
        <v>8094</v>
      </c>
      <c r="H8237" s="2" t="s">
        <v>1204</v>
      </c>
      <c r="L8237" s="18">
        <v>0</v>
      </c>
      <c r="Q8237" s="18">
        <v>0</v>
      </c>
      <c r="U8237" s="22">
        <v>0.85729999999999995</v>
      </c>
      <c r="V8237" s="22">
        <f>3.69/5</f>
        <v>0.73799999999999999</v>
      </c>
      <c r="X8237" s="3">
        <v>3</v>
      </c>
      <c r="Z8237" s="23">
        <v>5</v>
      </c>
      <c r="AB8237" s="18">
        <f t="shared" si="256"/>
        <v>1998</v>
      </c>
      <c r="AC8237" s="22">
        <f t="shared" si="257"/>
        <v>0.73176666666666668</v>
      </c>
    </row>
    <row r="8238" spans="1:29">
      <c r="A8238" s="8" t="s">
        <v>7554</v>
      </c>
      <c r="B8238" s="17" t="s">
        <v>7800</v>
      </c>
      <c r="C8238" s="13">
        <v>35947</v>
      </c>
      <c r="D8238" s="13" t="s">
        <v>8465</v>
      </c>
      <c r="E8238" s="10" t="s">
        <v>6884</v>
      </c>
      <c r="F8238" s="10" t="s">
        <v>7552</v>
      </c>
      <c r="G8238" s="11" t="s">
        <v>1433</v>
      </c>
      <c r="H8238" s="2" t="s">
        <v>3279</v>
      </c>
      <c r="L8238" s="18">
        <v>0</v>
      </c>
      <c r="Q8238" s="18">
        <v>0</v>
      </c>
      <c r="U8238" s="22">
        <v>0.8</v>
      </c>
      <c r="V8238" s="22">
        <f>3.97/5</f>
        <v>0.79400000000000004</v>
      </c>
      <c r="X8238" s="3">
        <v>3</v>
      </c>
      <c r="Z8238" s="23">
        <v>16.5</v>
      </c>
      <c r="AB8238" s="18">
        <f t="shared" si="256"/>
        <v>1998</v>
      </c>
      <c r="AC8238" s="22">
        <f t="shared" si="257"/>
        <v>0.73133333333333328</v>
      </c>
    </row>
    <row r="8239" spans="1:29" ht="30">
      <c r="A8239" s="8" t="s">
        <v>14972</v>
      </c>
      <c r="B8239" s="17" t="s">
        <v>7757</v>
      </c>
      <c r="C8239" s="13">
        <v>35947</v>
      </c>
      <c r="D8239" s="13" t="s">
        <v>8465</v>
      </c>
      <c r="E8239" s="10" t="s">
        <v>2908</v>
      </c>
      <c r="F8239" s="10" t="s">
        <v>14973</v>
      </c>
      <c r="H8239" s="2" t="s">
        <v>1040</v>
      </c>
      <c r="L8239" s="18">
        <v>0</v>
      </c>
      <c r="Q8239" s="18">
        <v>0</v>
      </c>
      <c r="V8239" s="22">
        <f>3.38/5</f>
        <v>0.67599999999999993</v>
      </c>
      <c r="X8239" s="3">
        <v>2</v>
      </c>
      <c r="Z8239" s="23">
        <v>9</v>
      </c>
      <c r="AB8239" s="18">
        <f t="shared" si="256"/>
        <v>1998</v>
      </c>
      <c r="AC8239" s="22">
        <f t="shared" si="257"/>
        <v>0.53800000000000003</v>
      </c>
    </row>
    <row r="8240" spans="1:29" ht="25.5">
      <c r="A8240" s="8" t="s">
        <v>9146</v>
      </c>
      <c r="B8240" s="17" t="s">
        <v>7757</v>
      </c>
      <c r="C8240" s="13">
        <v>35947</v>
      </c>
      <c r="D8240" s="13" t="s">
        <v>8467</v>
      </c>
      <c r="E8240" s="10" t="s">
        <v>9147</v>
      </c>
      <c r="F8240" s="10" t="s">
        <v>1427</v>
      </c>
      <c r="G8240" s="11" t="s">
        <v>9148</v>
      </c>
      <c r="H8240" s="2" t="s">
        <v>171</v>
      </c>
      <c r="L8240" s="18">
        <v>0</v>
      </c>
      <c r="Q8240" s="18">
        <v>0</v>
      </c>
      <c r="V8240" s="22">
        <f>3.11/5</f>
        <v>0.622</v>
      </c>
      <c r="X8240" s="3">
        <v>2</v>
      </c>
      <c r="Z8240" s="23">
        <v>31.5</v>
      </c>
      <c r="AB8240" s="18">
        <f t="shared" si="256"/>
        <v>1998</v>
      </c>
      <c r="AC8240" s="22">
        <f t="shared" si="257"/>
        <v>0.51100000000000001</v>
      </c>
    </row>
    <row r="8241" spans="1:29">
      <c r="A8241" s="8" t="s">
        <v>6591</v>
      </c>
      <c r="B8241" s="20" t="s">
        <v>7739</v>
      </c>
      <c r="C8241" s="13">
        <v>35947</v>
      </c>
      <c r="D8241" s="13" t="s">
        <v>8465</v>
      </c>
      <c r="E8241" s="10" t="s">
        <v>1342</v>
      </c>
      <c r="F8241" s="10" t="s">
        <v>6575</v>
      </c>
      <c r="G8241" s="11" t="s">
        <v>1828</v>
      </c>
      <c r="H8241" s="2" t="s">
        <v>149</v>
      </c>
      <c r="L8241" s="18">
        <v>0</v>
      </c>
      <c r="Q8241" s="18">
        <v>0</v>
      </c>
      <c r="U8241" s="22">
        <v>0.54</v>
      </c>
      <c r="V8241" s="22">
        <f>3.06/5</f>
        <v>0.61199999999999999</v>
      </c>
      <c r="X8241" s="3">
        <v>2</v>
      </c>
      <c r="Z8241" s="23">
        <v>10.5</v>
      </c>
      <c r="AB8241" s="18">
        <f t="shared" si="256"/>
        <v>1998</v>
      </c>
      <c r="AC8241" s="22">
        <f t="shared" si="257"/>
        <v>0.51733333333333331</v>
      </c>
    </row>
    <row r="8242" spans="1:29">
      <c r="A8242" s="8" t="s">
        <v>2711</v>
      </c>
      <c r="B8242" s="17" t="s">
        <v>7754</v>
      </c>
      <c r="C8242" s="13">
        <v>35946</v>
      </c>
      <c r="D8242" s="13" t="s">
        <v>8465</v>
      </c>
      <c r="E8242" s="10" t="s">
        <v>455</v>
      </c>
      <c r="F8242" s="10" t="s">
        <v>1492</v>
      </c>
      <c r="H8242" s="2" t="s">
        <v>1168</v>
      </c>
      <c r="L8242" s="18">
        <v>0</v>
      </c>
      <c r="Q8242" s="18">
        <v>0</v>
      </c>
      <c r="U8242" s="22">
        <v>0.75</v>
      </c>
      <c r="V8242" s="22">
        <f>4.06/5</f>
        <v>0.81199999999999994</v>
      </c>
      <c r="X8242" s="3">
        <v>3</v>
      </c>
      <c r="Z8242" s="23">
        <v>2.5</v>
      </c>
      <c r="AB8242" s="18">
        <f t="shared" si="256"/>
        <v>1998</v>
      </c>
      <c r="AC8242" s="22">
        <f t="shared" si="257"/>
        <v>0.72066666666666668</v>
      </c>
    </row>
    <row r="8243" spans="1:29">
      <c r="A8243" s="8" t="s">
        <v>12468</v>
      </c>
      <c r="B8243" s="17" t="s">
        <v>7757</v>
      </c>
      <c r="C8243" s="13">
        <v>35943</v>
      </c>
      <c r="D8243" s="13" t="s">
        <v>8463</v>
      </c>
      <c r="E8243" s="10" t="s">
        <v>161</v>
      </c>
      <c r="F8243" s="10" t="s">
        <v>7985</v>
      </c>
      <c r="H8243" s="2" t="s">
        <v>171</v>
      </c>
      <c r="K8243" s="18">
        <v>0</v>
      </c>
      <c r="L8243" s="18">
        <v>0</v>
      </c>
      <c r="Q8243" s="18">
        <v>0</v>
      </c>
      <c r="V8243" s="22">
        <f>3.88/5</f>
        <v>0.77600000000000002</v>
      </c>
      <c r="X8243" s="3">
        <v>2</v>
      </c>
      <c r="Z8243" s="23">
        <v>25</v>
      </c>
      <c r="AB8243" s="18">
        <f t="shared" si="256"/>
        <v>1998</v>
      </c>
      <c r="AC8243" s="22">
        <f t="shared" si="257"/>
        <v>0.58800000000000008</v>
      </c>
    </row>
    <row r="8244" spans="1:29">
      <c r="A8244" s="8" t="s">
        <v>10347</v>
      </c>
      <c r="B8244" s="17" t="s">
        <v>7800</v>
      </c>
      <c r="C8244" s="13">
        <v>35937</v>
      </c>
      <c r="D8244" s="13" t="s">
        <v>8465</v>
      </c>
      <c r="E8244" s="10" t="s">
        <v>6906</v>
      </c>
      <c r="F8244" s="10" t="s">
        <v>6894</v>
      </c>
      <c r="G8244" s="11" t="s">
        <v>10347</v>
      </c>
      <c r="H8244" s="2" t="s">
        <v>1050</v>
      </c>
      <c r="L8244" s="18">
        <v>0</v>
      </c>
      <c r="Q8244" s="18">
        <v>0</v>
      </c>
      <c r="V8244" s="22">
        <f>4.01/5</f>
        <v>0.80199999999999994</v>
      </c>
      <c r="X8244" s="3">
        <v>3</v>
      </c>
      <c r="Z8244" s="23">
        <v>10.5</v>
      </c>
      <c r="AB8244" s="18">
        <f t="shared" si="256"/>
        <v>1998</v>
      </c>
      <c r="AC8244" s="22">
        <f t="shared" si="257"/>
        <v>0.70099999999999996</v>
      </c>
    </row>
    <row r="8245" spans="1:29">
      <c r="A8245" s="8" t="s">
        <v>11763</v>
      </c>
      <c r="B8245" s="17" t="s">
        <v>7754</v>
      </c>
      <c r="C8245" s="13">
        <v>35936</v>
      </c>
      <c r="D8245" s="13" t="s">
        <v>8463</v>
      </c>
      <c r="E8245" s="10" t="s">
        <v>62</v>
      </c>
      <c r="F8245" s="10" t="s">
        <v>62</v>
      </c>
      <c r="H8245" s="2" t="s">
        <v>75</v>
      </c>
      <c r="K8245" s="18">
        <v>0</v>
      </c>
      <c r="L8245" s="18">
        <v>0</v>
      </c>
      <c r="Q8245" s="18">
        <v>0</v>
      </c>
      <c r="V8245" s="22">
        <f>3.75/5</f>
        <v>0.75</v>
      </c>
      <c r="X8245" s="3">
        <v>3</v>
      </c>
      <c r="Z8245" s="23">
        <f>55/60</f>
        <v>0.91666666666666663</v>
      </c>
      <c r="AB8245" s="18">
        <f t="shared" si="256"/>
        <v>1998</v>
      </c>
      <c r="AC8245" s="22">
        <f t="shared" si="257"/>
        <v>0.67500000000000004</v>
      </c>
    </row>
    <row r="8246" spans="1:29">
      <c r="A8246" s="8" t="s">
        <v>15795</v>
      </c>
      <c r="B8246" s="17" t="s">
        <v>7739</v>
      </c>
      <c r="C8246" s="13">
        <v>35936</v>
      </c>
      <c r="D8246" s="13" t="s">
        <v>8465</v>
      </c>
      <c r="E8246" s="10" t="s">
        <v>9240</v>
      </c>
      <c r="F8246" s="10" t="s">
        <v>15796</v>
      </c>
      <c r="H8246" s="2" t="s">
        <v>150</v>
      </c>
      <c r="L8246" s="18">
        <v>0</v>
      </c>
      <c r="Q8246" s="18">
        <v>0</v>
      </c>
      <c r="V8246" s="22">
        <f>3.06/5</f>
        <v>0.61199999999999999</v>
      </c>
      <c r="X8246" s="3">
        <v>2</v>
      </c>
      <c r="AB8246" s="18">
        <f t="shared" si="256"/>
        <v>1998</v>
      </c>
      <c r="AC8246" s="22">
        <f t="shared" si="257"/>
        <v>0.50600000000000001</v>
      </c>
    </row>
    <row r="8247" spans="1:29">
      <c r="A8247" s="8" t="s">
        <v>15733</v>
      </c>
      <c r="B8247" s="17" t="s">
        <v>7739</v>
      </c>
      <c r="C8247" s="13">
        <v>35934</v>
      </c>
      <c r="D8247" s="13" t="s">
        <v>8465</v>
      </c>
      <c r="E8247" s="10" t="s">
        <v>485</v>
      </c>
      <c r="F8247" s="10" t="s">
        <v>485</v>
      </c>
      <c r="H8247" s="2" t="s">
        <v>459</v>
      </c>
      <c r="L8247" s="18">
        <v>0</v>
      </c>
      <c r="Q8247" s="18">
        <v>0</v>
      </c>
      <c r="V8247" s="22">
        <f>2.73/5</f>
        <v>0.54600000000000004</v>
      </c>
      <c r="X8247" s="3">
        <v>2</v>
      </c>
      <c r="Z8247" s="23">
        <v>3</v>
      </c>
      <c r="AB8247" s="18">
        <f t="shared" si="256"/>
        <v>1998</v>
      </c>
      <c r="AC8247" s="22">
        <f t="shared" si="257"/>
        <v>0.47300000000000003</v>
      </c>
    </row>
    <row r="8248" spans="1:29">
      <c r="A8248" s="8" t="s">
        <v>6609</v>
      </c>
      <c r="B8248" s="17" t="s">
        <v>7757</v>
      </c>
      <c r="C8248" s="13">
        <v>35929</v>
      </c>
      <c r="D8248" s="13" t="s">
        <v>8463</v>
      </c>
      <c r="E8248" s="10" t="s">
        <v>157</v>
      </c>
      <c r="F8248" s="10" t="s">
        <v>157</v>
      </c>
      <c r="G8248" s="11" t="s">
        <v>6609</v>
      </c>
      <c r="H8248" s="2" t="s">
        <v>1170</v>
      </c>
      <c r="K8248" s="18">
        <v>0</v>
      </c>
      <c r="L8248" s="18">
        <v>0</v>
      </c>
      <c r="Q8248" s="18">
        <v>0</v>
      </c>
      <c r="V8248" s="22">
        <f>3.56/5</f>
        <v>0.71199999999999997</v>
      </c>
      <c r="X8248" s="3">
        <v>2</v>
      </c>
      <c r="Z8248" s="23">
        <v>2.5</v>
      </c>
      <c r="AB8248" s="18">
        <f t="shared" si="256"/>
        <v>1998</v>
      </c>
      <c r="AC8248" s="22">
        <f t="shared" si="257"/>
        <v>0.55600000000000005</v>
      </c>
    </row>
    <row r="8249" spans="1:29" ht="30">
      <c r="A8249" s="8" t="s">
        <v>8016</v>
      </c>
      <c r="B8249" s="17" t="s">
        <v>7757</v>
      </c>
      <c r="C8249" s="13">
        <v>35927</v>
      </c>
      <c r="D8249" s="13" t="s">
        <v>8465</v>
      </c>
      <c r="E8249" s="10" t="s">
        <v>2908</v>
      </c>
      <c r="F8249" s="10" t="s">
        <v>8017</v>
      </c>
      <c r="G8249" s="11" t="s">
        <v>8016</v>
      </c>
      <c r="H8249" s="2" t="s">
        <v>150</v>
      </c>
      <c r="L8249" s="18">
        <v>0</v>
      </c>
      <c r="Q8249" s="18">
        <v>0</v>
      </c>
      <c r="U8249" s="22">
        <v>0.94950000000000001</v>
      </c>
      <c r="V8249" s="22">
        <f>3.96/5</f>
        <v>0.79200000000000004</v>
      </c>
      <c r="X8249" s="3">
        <v>3</v>
      </c>
      <c r="Z8249" s="23">
        <v>31.5</v>
      </c>
      <c r="AB8249" s="18">
        <f t="shared" si="256"/>
        <v>1998</v>
      </c>
      <c r="AC8249" s="22">
        <f t="shared" si="257"/>
        <v>0.78049999999999997</v>
      </c>
    </row>
    <row r="8250" spans="1:29" ht="30">
      <c r="A8250" s="8" t="s">
        <v>7057</v>
      </c>
      <c r="B8250" s="17" t="s">
        <v>7800</v>
      </c>
      <c r="C8250" s="13">
        <v>35926</v>
      </c>
      <c r="D8250" s="13" t="s">
        <v>8465</v>
      </c>
      <c r="E8250" s="10" t="s">
        <v>4015</v>
      </c>
      <c r="F8250" s="10" t="s">
        <v>7058</v>
      </c>
      <c r="H8250" s="2" t="s">
        <v>67</v>
      </c>
      <c r="L8250" s="18">
        <v>1</v>
      </c>
      <c r="O8250" s="29">
        <v>0</v>
      </c>
      <c r="P8250" s="18" t="s">
        <v>1107</v>
      </c>
      <c r="Q8250" s="18">
        <v>0</v>
      </c>
      <c r="U8250" s="22">
        <v>0.83</v>
      </c>
      <c r="V8250" s="22">
        <f>3.97/5</f>
        <v>0.79400000000000004</v>
      </c>
      <c r="W8250" s="14" t="s">
        <v>7799</v>
      </c>
      <c r="X8250" s="3">
        <v>3</v>
      </c>
      <c r="Z8250" s="23">
        <v>8</v>
      </c>
      <c r="AB8250" s="18">
        <f t="shared" si="256"/>
        <v>1998</v>
      </c>
      <c r="AC8250" s="22">
        <f t="shared" si="257"/>
        <v>0.7413333333333334</v>
      </c>
    </row>
    <row r="8251" spans="1:29">
      <c r="A8251" s="8" t="s">
        <v>2929</v>
      </c>
      <c r="B8251" s="17" t="s">
        <v>7757</v>
      </c>
      <c r="C8251" s="13">
        <v>35920</v>
      </c>
      <c r="D8251" s="13" t="s">
        <v>8465</v>
      </c>
      <c r="E8251" s="10" t="s">
        <v>1290</v>
      </c>
      <c r="F8251" s="10" t="s">
        <v>161</v>
      </c>
      <c r="H8251" s="2" t="s">
        <v>21</v>
      </c>
      <c r="L8251" s="18">
        <v>0</v>
      </c>
      <c r="Q8251" s="18">
        <v>0</v>
      </c>
      <c r="U8251" s="22">
        <v>0.85</v>
      </c>
      <c r="V8251" s="22">
        <f>3.91/5</f>
        <v>0.78200000000000003</v>
      </c>
      <c r="X8251" s="3">
        <v>3</v>
      </c>
      <c r="Z8251" s="23">
        <v>2.5</v>
      </c>
      <c r="AB8251" s="18">
        <f t="shared" si="256"/>
        <v>1998</v>
      </c>
      <c r="AC8251" s="22">
        <f t="shared" si="257"/>
        <v>0.74400000000000011</v>
      </c>
    </row>
    <row r="8252" spans="1:29">
      <c r="A8252" s="8" t="s">
        <v>822</v>
      </c>
      <c r="B8252" s="17" t="s">
        <v>7736</v>
      </c>
      <c r="C8252" s="13">
        <v>35916</v>
      </c>
      <c r="D8252" s="13" t="s">
        <v>8463</v>
      </c>
      <c r="E8252" s="10" t="s">
        <v>86</v>
      </c>
      <c r="F8252" s="10" t="s">
        <v>1069</v>
      </c>
      <c r="G8252" s="11" t="s">
        <v>301</v>
      </c>
      <c r="H8252" s="2" t="s">
        <v>75</v>
      </c>
      <c r="K8252" s="18">
        <v>2</v>
      </c>
      <c r="L8252" s="18">
        <v>0</v>
      </c>
      <c r="Q8252" s="18">
        <v>0</v>
      </c>
      <c r="V8252" s="22">
        <f>3.89/5</f>
        <v>0.77800000000000002</v>
      </c>
      <c r="X8252" s="3">
        <v>4</v>
      </c>
      <c r="AB8252" s="18">
        <f t="shared" si="256"/>
        <v>1998</v>
      </c>
      <c r="AC8252" s="22">
        <f t="shared" si="257"/>
        <v>0.78900000000000003</v>
      </c>
    </row>
    <row r="8253" spans="1:29">
      <c r="A8253" s="8" t="s">
        <v>856</v>
      </c>
      <c r="B8253" s="20" t="s">
        <v>7739</v>
      </c>
      <c r="C8253" s="13">
        <v>35915</v>
      </c>
      <c r="D8253" s="13" t="s">
        <v>8465</v>
      </c>
      <c r="E8253" s="10" t="s">
        <v>154</v>
      </c>
      <c r="F8253" s="10" t="s">
        <v>1279</v>
      </c>
      <c r="G8253" s="11" t="s">
        <v>1488</v>
      </c>
      <c r="H8253" s="2" t="s">
        <v>1050</v>
      </c>
      <c r="L8253" s="18">
        <v>0</v>
      </c>
      <c r="Q8253" s="18">
        <v>0</v>
      </c>
      <c r="U8253" s="22">
        <v>0.75</v>
      </c>
      <c r="V8253" s="22">
        <f>3.08/5</f>
        <v>0.61599999999999999</v>
      </c>
      <c r="X8253" s="3">
        <v>3</v>
      </c>
      <c r="Z8253" s="23">
        <v>8.5</v>
      </c>
      <c r="AB8253" s="18">
        <f t="shared" si="256"/>
        <v>1998</v>
      </c>
      <c r="AC8253" s="22">
        <f t="shared" si="257"/>
        <v>0.65533333333333343</v>
      </c>
    </row>
    <row r="8254" spans="1:29">
      <c r="A8254" s="8" t="s">
        <v>2730</v>
      </c>
      <c r="B8254" s="17" t="s">
        <v>7754</v>
      </c>
      <c r="C8254" s="13">
        <v>35915</v>
      </c>
      <c r="D8254" s="13" t="s">
        <v>8465</v>
      </c>
      <c r="E8254" s="10" t="s">
        <v>455</v>
      </c>
      <c r="F8254" s="10" t="s">
        <v>2740</v>
      </c>
      <c r="G8254" s="11" t="s">
        <v>2732</v>
      </c>
      <c r="H8254" s="2" t="s">
        <v>149</v>
      </c>
      <c r="L8254" s="18">
        <v>0</v>
      </c>
      <c r="Q8254" s="18">
        <v>0</v>
      </c>
      <c r="U8254" s="22">
        <v>0.92</v>
      </c>
      <c r="V8254" s="22">
        <f>4.36/5</f>
        <v>0.87200000000000011</v>
      </c>
      <c r="X8254" s="3">
        <v>4</v>
      </c>
      <c r="Z8254" s="23">
        <v>15</v>
      </c>
      <c r="AB8254" s="18">
        <f t="shared" si="256"/>
        <v>1998</v>
      </c>
      <c r="AC8254" s="22">
        <f t="shared" si="257"/>
        <v>0.86400000000000021</v>
      </c>
    </row>
    <row r="8255" spans="1:29">
      <c r="A8255" s="8" t="s">
        <v>2970</v>
      </c>
      <c r="B8255" s="17" t="s">
        <v>7757</v>
      </c>
      <c r="C8255" s="13">
        <v>35915</v>
      </c>
      <c r="D8255" s="13" t="s">
        <v>8465</v>
      </c>
      <c r="E8255" s="10" t="s">
        <v>73</v>
      </c>
      <c r="F8255" s="10" t="s">
        <v>73</v>
      </c>
      <c r="G8255" s="11" t="s">
        <v>700</v>
      </c>
      <c r="H8255" s="2" t="s">
        <v>149</v>
      </c>
      <c r="L8255" s="18">
        <v>0</v>
      </c>
      <c r="Q8255" s="18">
        <v>0</v>
      </c>
      <c r="U8255" s="22">
        <v>0.74</v>
      </c>
      <c r="V8255" s="22">
        <f>4.16/5</f>
        <v>0.83200000000000007</v>
      </c>
      <c r="X8255" s="3">
        <v>4</v>
      </c>
      <c r="Z8255" s="23">
        <v>40.5</v>
      </c>
      <c r="AB8255" s="18">
        <f t="shared" si="256"/>
        <v>1998</v>
      </c>
      <c r="AC8255" s="22">
        <f t="shared" si="257"/>
        <v>0.79066666666666663</v>
      </c>
    </row>
    <row r="8256" spans="1:29" ht="25.5">
      <c r="A8256" s="8" t="s">
        <v>8759</v>
      </c>
      <c r="B8256" s="17" t="s">
        <v>7800</v>
      </c>
      <c r="C8256" s="13">
        <v>35915</v>
      </c>
      <c r="D8256" s="13" t="s">
        <v>8465</v>
      </c>
      <c r="E8256" s="10" t="s">
        <v>6906</v>
      </c>
      <c r="F8256" s="10" t="s">
        <v>8758</v>
      </c>
      <c r="G8256" s="11" t="s">
        <v>8757</v>
      </c>
      <c r="H8256" s="2" t="s">
        <v>1143</v>
      </c>
      <c r="L8256" s="18">
        <v>1</v>
      </c>
      <c r="N8256" s="13">
        <v>43987</v>
      </c>
      <c r="O8256" s="29">
        <v>0</v>
      </c>
      <c r="P8256" s="18" t="s">
        <v>1107</v>
      </c>
      <c r="Q8256" s="18">
        <v>0</v>
      </c>
      <c r="V8256" s="22">
        <f>4.34/5</f>
        <v>0.86799999999999999</v>
      </c>
      <c r="W8256" s="14" t="s">
        <v>7778</v>
      </c>
      <c r="X8256" s="3">
        <v>3</v>
      </c>
      <c r="Z8256" s="23">
        <v>17</v>
      </c>
      <c r="AB8256" s="18">
        <f t="shared" si="256"/>
        <v>1998</v>
      </c>
      <c r="AC8256" s="22">
        <f t="shared" si="257"/>
        <v>0.73399999999999999</v>
      </c>
    </row>
    <row r="8257" spans="1:29" ht="38.25">
      <c r="A8257" s="8" t="s">
        <v>6993</v>
      </c>
      <c r="B8257" s="17" t="s">
        <v>7800</v>
      </c>
      <c r="C8257" s="13">
        <v>35915</v>
      </c>
      <c r="D8257" s="13" t="s">
        <v>8465</v>
      </c>
      <c r="E8257" s="10" t="s">
        <v>1195</v>
      </c>
      <c r="F8257" s="10" t="s">
        <v>2659</v>
      </c>
      <c r="G8257" s="11" t="s">
        <v>1864</v>
      </c>
      <c r="H8257" s="2" t="s">
        <v>1720</v>
      </c>
      <c r="L8257" s="18">
        <v>1</v>
      </c>
      <c r="P8257" s="18" t="s">
        <v>1107</v>
      </c>
      <c r="Q8257" s="18">
        <v>0</v>
      </c>
      <c r="U8257" s="22">
        <v>0.85</v>
      </c>
      <c r="V8257" s="22">
        <f>4.23/5</f>
        <v>0.84600000000000009</v>
      </c>
      <c r="W8257" s="14" t="s">
        <v>7798</v>
      </c>
      <c r="X8257" s="3">
        <v>3</v>
      </c>
      <c r="Z8257" s="23">
        <v>57</v>
      </c>
      <c r="AB8257" s="18">
        <f t="shared" ref="AB8257:AB8320" si="258">IFERROR(YEAR(C8257), "Early Access")</f>
        <v>1998</v>
      </c>
      <c r="AC8257" s="22">
        <f t="shared" ref="AC8257:AC8320" si="259">AVERAGE(T8257, U8257, V8257, IF(ISBLANK(X8257), X8257, X8257/5))</f>
        <v>0.76533333333333342</v>
      </c>
    </row>
    <row r="8258" spans="1:29">
      <c r="A8258" s="8" t="s">
        <v>12941</v>
      </c>
      <c r="B8258" s="17" t="s">
        <v>7757</v>
      </c>
      <c r="C8258" s="13">
        <v>35915</v>
      </c>
      <c r="D8258" s="13" t="s">
        <v>8465</v>
      </c>
      <c r="E8258" s="10" t="s">
        <v>158</v>
      </c>
      <c r="F8258" s="10" t="s">
        <v>7406</v>
      </c>
      <c r="G8258" s="11" t="s">
        <v>12941</v>
      </c>
      <c r="H8258" s="2" t="s">
        <v>1170</v>
      </c>
      <c r="L8258" s="18">
        <v>0</v>
      </c>
      <c r="Q8258" s="18">
        <v>0</v>
      </c>
      <c r="V8258" s="22">
        <f>3.85/5</f>
        <v>0.77</v>
      </c>
      <c r="X8258" s="3">
        <v>2</v>
      </c>
      <c r="Z8258" s="23">
        <f>56/60</f>
        <v>0.93333333333333335</v>
      </c>
      <c r="AB8258" s="18">
        <f t="shared" si="258"/>
        <v>1998</v>
      </c>
      <c r="AC8258" s="22">
        <f t="shared" si="259"/>
        <v>0.58499999999999996</v>
      </c>
    </row>
    <row r="8259" spans="1:29" ht="30">
      <c r="A8259" s="8" t="s">
        <v>10092</v>
      </c>
      <c r="B8259" s="17" t="s">
        <v>7757</v>
      </c>
      <c r="C8259" s="13">
        <v>35915</v>
      </c>
      <c r="D8259" s="13" t="s">
        <v>8465</v>
      </c>
      <c r="E8259" s="10" t="s">
        <v>2908</v>
      </c>
      <c r="F8259" s="10" t="s">
        <v>1160</v>
      </c>
      <c r="G8259" s="11" t="s">
        <v>11029</v>
      </c>
      <c r="H8259" s="2" t="s">
        <v>255</v>
      </c>
      <c r="L8259" s="18">
        <v>0</v>
      </c>
      <c r="Q8259" s="18">
        <v>0</v>
      </c>
      <c r="V8259" s="22">
        <f>3.74/5</f>
        <v>0.748</v>
      </c>
      <c r="X8259" s="3">
        <v>2</v>
      </c>
      <c r="Z8259" s="23">
        <v>5.5</v>
      </c>
      <c r="AB8259" s="18">
        <f t="shared" si="258"/>
        <v>1998</v>
      </c>
      <c r="AC8259" s="22">
        <f t="shared" si="259"/>
        <v>0.57400000000000007</v>
      </c>
    </row>
    <row r="8260" spans="1:29" ht="38.25">
      <c r="A8260" s="8" t="s">
        <v>11722</v>
      </c>
      <c r="B8260" s="17" t="s">
        <v>7754</v>
      </c>
      <c r="C8260" s="13">
        <v>35914</v>
      </c>
      <c r="D8260" s="13" t="s">
        <v>8463</v>
      </c>
      <c r="E8260" s="10" t="s">
        <v>455</v>
      </c>
      <c r="F8260" s="10" t="s">
        <v>1160</v>
      </c>
      <c r="G8260" s="11" t="s">
        <v>1661</v>
      </c>
      <c r="H8260" s="2" t="s">
        <v>75</v>
      </c>
      <c r="K8260" s="18">
        <v>2</v>
      </c>
      <c r="L8260" s="18">
        <v>0</v>
      </c>
      <c r="Q8260" s="18">
        <v>0</v>
      </c>
      <c r="V8260" s="22">
        <f>4.08/5</f>
        <v>0.81600000000000006</v>
      </c>
      <c r="X8260" s="3">
        <v>4</v>
      </c>
      <c r="Z8260" s="23">
        <v>34.5</v>
      </c>
      <c r="AB8260" s="18">
        <f t="shared" si="258"/>
        <v>1998</v>
      </c>
      <c r="AC8260" s="22">
        <f t="shared" si="259"/>
        <v>0.80800000000000005</v>
      </c>
    </row>
    <row r="8261" spans="1:29">
      <c r="A8261" s="8" t="s">
        <v>8078</v>
      </c>
      <c r="B8261" s="17" t="s">
        <v>7757</v>
      </c>
      <c r="C8261" s="13">
        <v>35914</v>
      </c>
      <c r="D8261" s="13" t="s">
        <v>8465</v>
      </c>
      <c r="E8261" s="10" t="s">
        <v>5048</v>
      </c>
      <c r="F8261" s="10" t="s">
        <v>158</v>
      </c>
      <c r="G8261" s="11" t="s">
        <v>8076</v>
      </c>
      <c r="H8261" s="2" t="s">
        <v>459</v>
      </c>
      <c r="L8261" s="18">
        <v>0</v>
      </c>
      <c r="Q8261" s="18">
        <v>0</v>
      </c>
      <c r="U8261" s="22">
        <v>0.95799999999999996</v>
      </c>
      <c r="V8261" s="22">
        <f>4.19/5</f>
        <v>0.83800000000000008</v>
      </c>
      <c r="X8261" s="3">
        <v>2</v>
      </c>
      <c r="Z8261" s="23">
        <v>2.5</v>
      </c>
      <c r="AB8261" s="18">
        <f t="shared" si="258"/>
        <v>1998</v>
      </c>
      <c r="AC8261" s="22">
        <f t="shared" si="259"/>
        <v>0.7320000000000001</v>
      </c>
    </row>
    <row r="8262" spans="1:29">
      <c r="A8262" s="8" t="s">
        <v>11468</v>
      </c>
      <c r="B8262" s="17" t="s">
        <v>7757</v>
      </c>
      <c r="C8262" s="13">
        <v>35914</v>
      </c>
      <c r="D8262" s="13" t="s">
        <v>8463</v>
      </c>
      <c r="E8262" s="10" t="s">
        <v>11469</v>
      </c>
      <c r="F8262" s="10" t="s">
        <v>11469</v>
      </c>
      <c r="H8262" s="2" t="s">
        <v>80</v>
      </c>
      <c r="K8262" s="18">
        <v>0</v>
      </c>
      <c r="L8262" s="18">
        <v>0</v>
      </c>
      <c r="Q8262" s="18">
        <v>0</v>
      </c>
      <c r="V8262" s="22">
        <f>3.96/5</f>
        <v>0.79200000000000004</v>
      </c>
      <c r="X8262" s="3">
        <v>2</v>
      </c>
      <c r="AB8262" s="18">
        <f t="shared" si="258"/>
        <v>1998</v>
      </c>
      <c r="AC8262" s="22">
        <f t="shared" si="259"/>
        <v>0.59600000000000009</v>
      </c>
    </row>
    <row r="8263" spans="1:29">
      <c r="A8263" s="8" t="s">
        <v>14433</v>
      </c>
      <c r="B8263" s="17" t="s">
        <v>7754</v>
      </c>
      <c r="C8263" s="13">
        <v>35914</v>
      </c>
      <c r="D8263" s="13" t="s">
        <v>8463</v>
      </c>
      <c r="E8263" s="10" t="s">
        <v>14434</v>
      </c>
      <c r="F8263" s="10" t="s">
        <v>2510</v>
      </c>
      <c r="G8263" s="11" t="s">
        <v>2708</v>
      </c>
      <c r="H8263" s="2" t="s">
        <v>56</v>
      </c>
      <c r="K8263" s="18">
        <v>0</v>
      </c>
      <c r="L8263" s="18">
        <v>0</v>
      </c>
      <c r="Q8263" s="18">
        <v>0</v>
      </c>
      <c r="V8263" s="22">
        <f>3.82/5</f>
        <v>0.76400000000000001</v>
      </c>
      <c r="X8263" s="3">
        <v>2</v>
      </c>
      <c r="Z8263" s="23">
        <v>5</v>
      </c>
      <c r="AB8263" s="18">
        <f t="shared" si="258"/>
        <v>1998</v>
      </c>
      <c r="AC8263" s="22">
        <f t="shared" si="259"/>
        <v>0.58200000000000007</v>
      </c>
    </row>
    <row r="8264" spans="1:29">
      <c r="A8264" s="8" t="s">
        <v>818</v>
      </c>
      <c r="B8264" s="17" t="s">
        <v>7736</v>
      </c>
      <c r="C8264" s="13">
        <v>35909</v>
      </c>
      <c r="D8264" s="13" t="s">
        <v>8463</v>
      </c>
      <c r="E8264" s="10" t="s">
        <v>73</v>
      </c>
      <c r="F8264" s="10" t="s">
        <v>73</v>
      </c>
      <c r="G8264" s="11" t="s">
        <v>89</v>
      </c>
      <c r="H8264" s="2" t="s">
        <v>56</v>
      </c>
      <c r="K8264" s="18">
        <v>2</v>
      </c>
      <c r="L8264" s="18">
        <v>0</v>
      </c>
      <c r="Q8264" s="18">
        <v>0</v>
      </c>
      <c r="V8264" s="22">
        <f>4.08/5</f>
        <v>0.81600000000000006</v>
      </c>
      <c r="X8264" s="3">
        <v>4</v>
      </c>
      <c r="Z8264" s="23">
        <v>6</v>
      </c>
      <c r="AB8264" s="18">
        <f t="shared" si="258"/>
        <v>1998</v>
      </c>
      <c r="AC8264" s="22">
        <f t="shared" si="259"/>
        <v>0.80800000000000005</v>
      </c>
    </row>
    <row r="8265" spans="1:29">
      <c r="A8265" s="8" t="s">
        <v>14568</v>
      </c>
      <c r="B8265" s="17" t="s">
        <v>7754</v>
      </c>
      <c r="C8265" s="13">
        <v>35908</v>
      </c>
      <c r="D8265" s="13" t="s">
        <v>8463</v>
      </c>
      <c r="E8265" s="10" t="s">
        <v>11127</v>
      </c>
      <c r="F8265" s="10" t="s">
        <v>1512</v>
      </c>
      <c r="G8265" s="11" t="s">
        <v>11208</v>
      </c>
      <c r="H8265" s="2" t="s">
        <v>1204</v>
      </c>
      <c r="K8265" s="18">
        <v>0</v>
      </c>
      <c r="L8265" s="18">
        <v>0</v>
      </c>
      <c r="Q8265" s="18">
        <v>0</v>
      </c>
      <c r="V8265" s="22">
        <f>3.94/5</f>
        <v>0.78800000000000003</v>
      </c>
      <c r="X8265" s="3">
        <v>2</v>
      </c>
      <c r="AB8265" s="18">
        <f t="shared" si="258"/>
        <v>1998</v>
      </c>
      <c r="AC8265" s="22">
        <f t="shared" si="259"/>
        <v>0.59400000000000008</v>
      </c>
    </row>
    <row r="8266" spans="1:29">
      <c r="A8266" s="8" t="s">
        <v>11730</v>
      </c>
      <c r="B8266" s="17" t="s">
        <v>7757</v>
      </c>
      <c r="C8266" s="13">
        <v>35908</v>
      </c>
      <c r="D8266" s="13" t="s">
        <v>8463</v>
      </c>
      <c r="E8266" s="10" t="s">
        <v>11731</v>
      </c>
      <c r="F8266" s="10" t="s">
        <v>11732</v>
      </c>
      <c r="H8266" s="2" t="s">
        <v>75</v>
      </c>
      <c r="K8266" s="18">
        <v>0</v>
      </c>
      <c r="L8266" s="18">
        <v>0</v>
      </c>
      <c r="Q8266" s="18">
        <v>0</v>
      </c>
      <c r="V8266" s="22">
        <f>2.5/5</f>
        <v>0.5</v>
      </c>
      <c r="X8266" s="3">
        <v>2</v>
      </c>
      <c r="AB8266" s="18">
        <f t="shared" si="258"/>
        <v>1998</v>
      </c>
      <c r="AC8266" s="22">
        <f t="shared" si="259"/>
        <v>0.45</v>
      </c>
    </row>
    <row r="8267" spans="1:29">
      <c r="A8267" s="8" t="s">
        <v>11606</v>
      </c>
      <c r="B8267" s="17" t="s">
        <v>7800</v>
      </c>
      <c r="C8267" s="13">
        <v>35902</v>
      </c>
      <c r="D8267" s="13" t="s">
        <v>8465</v>
      </c>
      <c r="E8267" s="10" t="s">
        <v>3737</v>
      </c>
      <c r="F8267" s="10" t="s">
        <v>7470</v>
      </c>
      <c r="H8267" s="2" t="s">
        <v>7448</v>
      </c>
      <c r="L8267" s="18">
        <v>0</v>
      </c>
      <c r="Q8267" s="18">
        <v>0</v>
      </c>
      <c r="V8267" s="22">
        <f>3.27/5</f>
        <v>0.65400000000000003</v>
      </c>
      <c r="X8267" s="3">
        <v>2</v>
      </c>
      <c r="Z8267" s="23">
        <v>8</v>
      </c>
      <c r="AB8267" s="18">
        <f t="shared" si="258"/>
        <v>1998</v>
      </c>
      <c r="AC8267" s="22">
        <f t="shared" si="259"/>
        <v>0.52700000000000002</v>
      </c>
    </row>
    <row r="8268" spans="1:29" ht="25.5">
      <c r="A8268" s="8" t="s">
        <v>1484</v>
      </c>
      <c r="B8268" s="20" t="s">
        <v>7739</v>
      </c>
      <c r="C8268" s="13">
        <v>35901</v>
      </c>
      <c r="D8268" s="13" t="s">
        <v>8465</v>
      </c>
      <c r="E8268" s="10" t="s">
        <v>72</v>
      </c>
      <c r="F8268" s="10" t="s">
        <v>72</v>
      </c>
      <c r="G8268" s="11" t="s">
        <v>1242</v>
      </c>
      <c r="H8268" s="2" t="s">
        <v>1040</v>
      </c>
      <c r="L8268" s="18">
        <v>0</v>
      </c>
      <c r="Q8268" s="18">
        <v>0</v>
      </c>
      <c r="U8268" s="22">
        <v>0.74</v>
      </c>
      <c r="V8268" s="22">
        <f>4.14/5</f>
        <v>0.82799999999999996</v>
      </c>
      <c r="X8268" s="3">
        <v>3</v>
      </c>
      <c r="Z8268" s="23">
        <v>9.5</v>
      </c>
      <c r="AB8268" s="18">
        <f t="shared" si="258"/>
        <v>1998</v>
      </c>
      <c r="AC8268" s="22">
        <f t="shared" si="259"/>
        <v>0.72266666666666668</v>
      </c>
    </row>
    <row r="8269" spans="1:29" ht="25.5">
      <c r="A8269" s="8" t="s">
        <v>9185</v>
      </c>
      <c r="B8269" s="17" t="s">
        <v>7800</v>
      </c>
      <c r="C8269" s="13">
        <v>35901</v>
      </c>
      <c r="D8269" s="13" t="s">
        <v>8463</v>
      </c>
      <c r="E8269" s="10" t="s">
        <v>8894</v>
      </c>
      <c r="F8269" s="10" t="s">
        <v>8894</v>
      </c>
      <c r="G8269" s="11" t="s">
        <v>8895</v>
      </c>
      <c r="H8269" s="2" t="s">
        <v>1057</v>
      </c>
      <c r="K8269" s="18">
        <v>2</v>
      </c>
      <c r="L8269" s="18">
        <v>0</v>
      </c>
      <c r="Q8269" s="18">
        <v>0</v>
      </c>
      <c r="V8269" s="22">
        <f>3.58/5</f>
        <v>0.71599999999999997</v>
      </c>
      <c r="X8269" s="3">
        <v>3</v>
      </c>
      <c r="Z8269" s="23">
        <v>2.5</v>
      </c>
      <c r="AB8269" s="18">
        <f t="shared" si="258"/>
        <v>1998</v>
      </c>
      <c r="AC8269" s="22">
        <f t="shared" si="259"/>
        <v>0.65799999999999992</v>
      </c>
    </row>
    <row r="8270" spans="1:29">
      <c r="A8270" s="8" t="s">
        <v>8389</v>
      </c>
      <c r="B8270" s="17" t="s">
        <v>7757</v>
      </c>
      <c r="C8270" s="13">
        <v>35901</v>
      </c>
      <c r="D8270" s="13" t="s">
        <v>8463</v>
      </c>
      <c r="E8270" s="10" t="s">
        <v>62</v>
      </c>
      <c r="F8270" s="10" t="s">
        <v>62</v>
      </c>
      <c r="G8270" s="11" t="s">
        <v>7674</v>
      </c>
      <c r="H8270" s="2" t="s">
        <v>75</v>
      </c>
      <c r="K8270" s="18">
        <v>2</v>
      </c>
      <c r="L8270" s="18">
        <v>0</v>
      </c>
      <c r="Q8270" s="18">
        <v>0</v>
      </c>
      <c r="V8270" s="22">
        <f>3.35/5</f>
        <v>0.67</v>
      </c>
      <c r="X8270" s="3">
        <v>3</v>
      </c>
      <c r="AB8270" s="18">
        <f t="shared" si="258"/>
        <v>1998</v>
      </c>
      <c r="AC8270" s="22">
        <f t="shared" si="259"/>
        <v>0.63500000000000001</v>
      </c>
    </row>
    <row r="8271" spans="1:29">
      <c r="A8271" s="8" t="s">
        <v>9108</v>
      </c>
      <c r="B8271" s="17" t="s">
        <v>7757</v>
      </c>
      <c r="C8271" s="13">
        <v>35901</v>
      </c>
      <c r="D8271" s="13" t="s">
        <v>8463</v>
      </c>
      <c r="E8271" s="10" t="s">
        <v>9109</v>
      </c>
      <c r="F8271" s="10" t="s">
        <v>9109</v>
      </c>
      <c r="H8271" s="2" t="s">
        <v>171</v>
      </c>
      <c r="K8271" s="18">
        <v>2</v>
      </c>
      <c r="L8271" s="18">
        <v>0</v>
      </c>
      <c r="Q8271" s="18">
        <v>0</v>
      </c>
      <c r="V8271" s="22">
        <f>2.92/5</f>
        <v>0.58399999999999996</v>
      </c>
      <c r="X8271" s="3">
        <v>3</v>
      </c>
      <c r="AB8271" s="18">
        <f t="shared" si="258"/>
        <v>1998</v>
      </c>
      <c r="AC8271" s="22">
        <f t="shared" si="259"/>
        <v>0.59199999999999997</v>
      </c>
    </row>
    <row r="8272" spans="1:29">
      <c r="A8272" s="8" t="s">
        <v>13661</v>
      </c>
      <c r="B8272" s="17" t="s">
        <v>7745</v>
      </c>
      <c r="C8272" s="13">
        <v>35895</v>
      </c>
      <c r="D8272" s="13" t="s">
        <v>8465</v>
      </c>
      <c r="E8272" s="10" t="s">
        <v>86</v>
      </c>
      <c r="F8272" s="10" t="s">
        <v>62</v>
      </c>
      <c r="G8272" s="11" t="s">
        <v>7674</v>
      </c>
      <c r="H8272" s="2" t="s">
        <v>31</v>
      </c>
      <c r="L8272" s="18">
        <v>0</v>
      </c>
      <c r="Q8272" s="18">
        <v>0</v>
      </c>
      <c r="V8272" s="22">
        <f>3.52/5</f>
        <v>0.70399999999999996</v>
      </c>
      <c r="X8272" s="3">
        <v>2</v>
      </c>
      <c r="Z8272" s="23">
        <v>5</v>
      </c>
      <c r="AB8272" s="18">
        <f t="shared" si="258"/>
        <v>1998</v>
      </c>
      <c r="AC8272" s="22">
        <f t="shared" si="259"/>
        <v>0.55200000000000005</v>
      </c>
    </row>
    <row r="8273" spans="1:29" ht="25.5">
      <c r="A8273" s="8" t="s">
        <v>8690</v>
      </c>
      <c r="B8273" s="17" t="s">
        <v>7754</v>
      </c>
      <c r="C8273" s="13">
        <v>35889</v>
      </c>
      <c r="D8273" s="13" t="s">
        <v>8463</v>
      </c>
      <c r="E8273" s="10" t="s">
        <v>455</v>
      </c>
      <c r="F8273" s="10" t="s">
        <v>1318</v>
      </c>
      <c r="G8273" s="11" t="s">
        <v>5874</v>
      </c>
      <c r="H8273" s="2" t="s">
        <v>75</v>
      </c>
      <c r="K8273" s="18">
        <v>1</v>
      </c>
      <c r="L8273" s="18">
        <v>0</v>
      </c>
      <c r="Q8273" s="18">
        <v>0</v>
      </c>
      <c r="V8273" s="22">
        <f>4.09/5</f>
        <v>0.81799999999999995</v>
      </c>
      <c r="X8273" s="3">
        <v>3</v>
      </c>
      <c r="Z8273" s="23">
        <v>24</v>
      </c>
      <c r="AB8273" s="18">
        <f t="shared" si="258"/>
        <v>1998</v>
      </c>
      <c r="AC8273" s="22">
        <f t="shared" si="259"/>
        <v>0.70899999999999996</v>
      </c>
    </row>
    <row r="8274" spans="1:29" ht="25.5">
      <c r="A8274" s="8" t="s">
        <v>7511</v>
      </c>
      <c r="B8274" s="17" t="s">
        <v>7757</v>
      </c>
      <c r="C8274" s="13">
        <v>35888</v>
      </c>
      <c r="D8274" s="13" t="s">
        <v>8467</v>
      </c>
      <c r="E8274" s="10" t="s">
        <v>60</v>
      </c>
      <c r="F8274" s="10" t="s">
        <v>73</v>
      </c>
      <c r="G8274" s="11" t="s">
        <v>89</v>
      </c>
      <c r="H8274" s="2" t="s">
        <v>150</v>
      </c>
      <c r="L8274" s="18">
        <v>0</v>
      </c>
      <c r="Q8274" s="18">
        <v>0</v>
      </c>
      <c r="U8274" s="22">
        <v>0.73</v>
      </c>
      <c r="V8274" s="22">
        <f>3.94/5</f>
        <v>0.78800000000000003</v>
      </c>
      <c r="X8274" s="3">
        <v>3</v>
      </c>
      <c r="Z8274" s="23">
        <v>1.5</v>
      </c>
      <c r="AB8274" s="18">
        <f t="shared" si="258"/>
        <v>1998</v>
      </c>
      <c r="AC8274" s="22">
        <f t="shared" si="259"/>
        <v>0.70599999999999996</v>
      </c>
    </row>
    <row r="8275" spans="1:29" ht="25.5">
      <c r="A8275" s="8" t="s">
        <v>8888</v>
      </c>
      <c r="B8275" s="17" t="s">
        <v>7754</v>
      </c>
      <c r="C8275" s="13">
        <v>35887</v>
      </c>
      <c r="D8275" s="13" t="s">
        <v>8463</v>
      </c>
      <c r="E8275" s="10" t="s">
        <v>455</v>
      </c>
      <c r="F8275" s="10" t="s">
        <v>455</v>
      </c>
      <c r="G8275" s="11" t="s">
        <v>2716</v>
      </c>
      <c r="H8275" s="2" t="s">
        <v>75</v>
      </c>
      <c r="K8275" s="18">
        <v>2</v>
      </c>
      <c r="L8275" s="18">
        <v>0</v>
      </c>
      <c r="Q8275" s="18">
        <v>0</v>
      </c>
      <c r="V8275" s="22">
        <f>4.04/5</f>
        <v>0.80800000000000005</v>
      </c>
      <c r="X8275" s="3">
        <v>3</v>
      </c>
      <c r="Z8275" s="23">
        <v>48</v>
      </c>
      <c r="AB8275" s="18">
        <f t="shared" si="258"/>
        <v>1998</v>
      </c>
      <c r="AC8275" s="22">
        <f t="shared" si="259"/>
        <v>0.70399999999999996</v>
      </c>
    </row>
    <row r="8276" spans="1:29" ht="30">
      <c r="A8276" s="8" t="s">
        <v>13495</v>
      </c>
      <c r="B8276" s="17" t="s">
        <v>7800</v>
      </c>
      <c r="C8276" s="13">
        <v>35887</v>
      </c>
      <c r="D8276" s="13" t="s">
        <v>8465</v>
      </c>
      <c r="E8276" s="10" t="s">
        <v>13496</v>
      </c>
      <c r="F8276" s="10" t="s">
        <v>13497</v>
      </c>
      <c r="H8276" s="2" t="s">
        <v>67</v>
      </c>
      <c r="L8276" s="18">
        <v>0</v>
      </c>
      <c r="Q8276" s="18">
        <v>0</v>
      </c>
      <c r="V8276" s="22">
        <f>4.08/5</f>
        <v>0.81600000000000006</v>
      </c>
      <c r="X8276" s="3">
        <v>2</v>
      </c>
      <c r="Z8276" s="23">
        <v>3.5</v>
      </c>
      <c r="AB8276" s="18">
        <f t="shared" si="258"/>
        <v>1998</v>
      </c>
      <c r="AC8276" s="22">
        <f t="shared" si="259"/>
        <v>0.6080000000000001</v>
      </c>
    </row>
    <row r="8277" spans="1:29" ht="25.5">
      <c r="A8277" s="8" t="s">
        <v>11633</v>
      </c>
      <c r="B8277" s="17" t="s">
        <v>7754</v>
      </c>
      <c r="C8277" s="13">
        <v>35887</v>
      </c>
      <c r="D8277" s="13" t="s">
        <v>8463</v>
      </c>
      <c r="E8277" s="10" t="s">
        <v>167</v>
      </c>
      <c r="F8277" s="10" t="s">
        <v>167</v>
      </c>
      <c r="G8277" s="11" t="s">
        <v>1211</v>
      </c>
      <c r="H8277" s="2" t="s">
        <v>1377</v>
      </c>
      <c r="K8277" s="18">
        <v>0</v>
      </c>
      <c r="L8277" s="18">
        <v>0</v>
      </c>
      <c r="Q8277" s="18">
        <v>0</v>
      </c>
      <c r="V8277" s="22">
        <f>4.02/5</f>
        <v>0.80399999999999994</v>
      </c>
      <c r="X8277" s="3">
        <v>2</v>
      </c>
      <c r="AB8277" s="18">
        <f t="shared" si="258"/>
        <v>1998</v>
      </c>
      <c r="AC8277" s="22">
        <f t="shared" si="259"/>
        <v>0.60199999999999998</v>
      </c>
    </row>
    <row r="8278" spans="1:29">
      <c r="A8278" s="8" t="s">
        <v>8092</v>
      </c>
      <c r="B8278" s="17" t="s">
        <v>7757</v>
      </c>
      <c r="C8278" s="13">
        <v>35887</v>
      </c>
      <c r="D8278" s="13" t="s">
        <v>8463</v>
      </c>
      <c r="E8278" s="10" t="s">
        <v>72</v>
      </c>
      <c r="F8278" s="10" t="s">
        <v>72</v>
      </c>
      <c r="G8278" s="11" t="s">
        <v>230</v>
      </c>
      <c r="H8278" s="2" t="s">
        <v>149</v>
      </c>
      <c r="K8278" s="18">
        <v>0</v>
      </c>
      <c r="L8278" s="18">
        <v>0</v>
      </c>
      <c r="Q8278" s="18">
        <v>0</v>
      </c>
      <c r="V8278" s="22">
        <f>3.79/5</f>
        <v>0.75800000000000001</v>
      </c>
      <c r="X8278" s="3">
        <v>2</v>
      </c>
      <c r="Z8278" s="23">
        <v>14.5</v>
      </c>
      <c r="AB8278" s="18">
        <f t="shared" si="258"/>
        <v>1998</v>
      </c>
      <c r="AC8278" s="22">
        <f t="shared" si="259"/>
        <v>0.57899999999999996</v>
      </c>
    </row>
    <row r="8279" spans="1:29" ht="25.5">
      <c r="A8279" s="8" t="s">
        <v>1484</v>
      </c>
      <c r="B8279" s="17" t="s">
        <v>7745</v>
      </c>
      <c r="C8279" s="12">
        <v>35886</v>
      </c>
      <c r="D8279" s="13" t="s">
        <v>8465</v>
      </c>
      <c r="E8279" s="10" t="s">
        <v>72</v>
      </c>
      <c r="F8279" s="10" t="s">
        <v>72</v>
      </c>
      <c r="G8279" s="11" t="s">
        <v>1242</v>
      </c>
      <c r="H8279" s="2" t="s">
        <v>80</v>
      </c>
      <c r="L8279" s="18">
        <v>0</v>
      </c>
      <c r="Q8279" s="18">
        <v>0</v>
      </c>
      <c r="U8279" s="22">
        <v>0.42</v>
      </c>
      <c r="V8279" s="22">
        <f>3.03/5</f>
        <v>0.60599999999999998</v>
      </c>
      <c r="X8279" s="3">
        <v>2</v>
      </c>
      <c r="AB8279" s="18">
        <f t="shared" si="258"/>
        <v>1998</v>
      </c>
      <c r="AC8279" s="22">
        <f t="shared" si="259"/>
        <v>0.47533333333333339</v>
      </c>
    </row>
    <row r="8280" spans="1:29">
      <c r="A8280" s="8" t="s">
        <v>6599</v>
      </c>
      <c r="B8280" s="17" t="s">
        <v>7800</v>
      </c>
      <c r="C8280" s="13">
        <v>35885</v>
      </c>
      <c r="D8280" s="13" t="s">
        <v>8465</v>
      </c>
      <c r="E8280" s="10" t="s">
        <v>1296</v>
      </c>
      <c r="F8280" s="10" t="s">
        <v>1296</v>
      </c>
      <c r="G8280" s="11" t="s">
        <v>6599</v>
      </c>
      <c r="H8280" s="2" t="s">
        <v>1143</v>
      </c>
      <c r="L8280" s="18">
        <v>0</v>
      </c>
      <c r="Q8280" s="18">
        <v>0</v>
      </c>
      <c r="U8280" s="22">
        <v>0.93</v>
      </c>
      <c r="V8280" s="22">
        <f>4.38/5</f>
        <v>0.876</v>
      </c>
      <c r="X8280" s="3">
        <v>5</v>
      </c>
      <c r="Z8280" s="23">
        <v>25</v>
      </c>
      <c r="AB8280" s="18">
        <f t="shared" si="258"/>
        <v>1998</v>
      </c>
      <c r="AC8280" s="22">
        <f t="shared" si="259"/>
        <v>0.93533333333333335</v>
      </c>
    </row>
    <row r="8281" spans="1:29">
      <c r="A8281" s="8" t="s">
        <v>1487</v>
      </c>
      <c r="B8281" s="20" t="s">
        <v>7739</v>
      </c>
      <c r="C8281" s="13">
        <v>35885</v>
      </c>
      <c r="D8281" s="13" t="s">
        <v>8465</v>
      </c>
      <c r="E8281" s="10" t="s">
        <v>86</v>
      </c>
      <c r="F8281" s="10" t="s">
        <v>87</v>
      </c>
      <c r="G8281" s="11" t="s">
        <v>1507</v>
      </c>
      <c r="H8281" s="2" t="s">
        <v>255</v>
      </c>
      <c r="L8281" s="18">
        <v>0</v>
      </c>
      <c r="Q8281" s="18">
        <v>0</v>
      </c>
      <c r="U8281" s="22">
        <v>0.9</v>
      </c>
      <c r="V8281" s="22">
        <f>3.56/5</f>
        <v>0.71199999999999997</v>
      </c>
      <c r="X8281" s="3">
        <v>4</v>
      </c>
      <c r="Z8281" s="23">
        <v>3</v>
      </c>
      <c r="AB8281" s="18">
        <f t="shared" si="258"/>
        <v>1998</v>
      </c>
      <c r="AC8281" s="22">
        <f t="shared" si="259"/>
        <v>0.80399999999999994</v>
      </c>
    </row>
    <row r="8282" spans="1:29">
      <c r="A8282" s="8" t="s">
        <v>1524</v>
      </c>
      <c r="B8282" s="17" t="s">
        <v>7754</v>
      </c>
      <c r="C8282" s="13">
        <v>35885</v>
      </c>
      <c r="D8282" s="13" t="s">
        <v>8465</v>
      </c>
      <c r="E8282" s="10" t="s">
        <v>455</v>
      </c>
      <c r="F8282" s="10" t="s">
        <v>2741</v>
      </c>
      <c r="G8282" s="11" t="s">
        <v>1524</v>
      </c>
      <c r="H8282" s="2" t="s">
        <v>1170</v>
      </c>
      <c r="L8282" s="18">
        <v>0</v>
      </c>
      <c r="Q8282" s="18">
        <v>0</v>
      </c>
      <c r="U8282" s="22">
        <v>0.71</v>
      </c>
      <c r="V8282" s="22">
        <f>3.77/5</f>
        <v>0.754</v>
      </c>
      <c r="X8282" s="3">
        <v>4</v>
      </c>
      <c r="Z8282" s="23">
        <v>0.97</v>
      </c>
      <c r="AB8282" s="18">
        <f t="shared" si="258"/>
        <v>1998</v>
      </c>
      <c r="AC8282" s="22">
        <f t="shared" si="259"/>
        <v>0.75466666666666671</v>
      </c>
    </row>
    <row r="8283" spans="1:29">
      <c r="A8283" s="8" t="s">
        <v>2951</v>
      </c>
      <c r="B8283" s="17" t="s">
        <v>7757</v>
      </c>
      <c r="C8283" s="13">
        <v>35885</v>
      </c>
      <c r="D8283" s="13" t="s">
        <v>8465</v>
      </c>
      <c r="E8283" s="10" t="s">
        <v>1290</v>
      </c>
      <c r="F8283" s="10" t="s">
        <v>161</v>
      </c>
      <c r="G8283" s="11" t="s">
        <v>9517</v>
      </c>
      <c r="H8283" s="2" t="s">
        <v>149</v>
      </c>
      <c r="L8283" s="18">
        <v>0</v>
      </c>
      <c r="Q8283" s="18">
        <v>0</v>
      </c>
      <c r="U8283" s="22">
        <v>0.71</v>
      </c>
      <c r="V8283" s="22">
        <f>3.82/5</f>
        <v>0.76400000000000001</v>
      </c>
      <c r="X8283" s="3">
        <v>3</v>
      </c>
      <c r="Z8283" s="23">
        <v>7</v>
      </c>
      <c r="AB8283" s="18">
        <f t="shared" si="258"/>
        <v>1998</v>
      </c>
      <c r="AC8283" s="22">
        <f t="shared" si="259"/>
        <v>0.69133333333333324</v>
      </c>
    </row>
    <row r="8284" spans="1:29">
      <c r="A8284" s="8" t="s">
        <v>10281</v>
      </c>
      <c r="B8284" s="17" t="s">
        <v>7757</v>
      </c>
      <c r="C8284" s="13">
        <v>35885</v>
      </c>
      <c r="D8284" s="13" t="s">
        <v>8465</v>
      </c>
      <c r="E8284" s="10" t="s">
        <v>76</v>
      </c>
      <c r="F8284" s="10" t="s">
        <v>1136</v>
      </c>
      <c r="G8284" s="11" t="s">
        <v>10281</v>
      </c>
      <c r="H8284" s="2" t="s">
        <v>459</v>
      </c>
      <c r="L8284" s="18">
        <v>0</v>
      </c>
      <c r="Q8284" s="18">
        <v>0</v>
      </c>
      <c r="U8284" s="22">
        <v>0.84</v>
      </c>
      <c r="V8284" s="22">
        <f>3.51/5</f>
        <v>0.70199999999999996</v>
      </c>
      <c r="X8284" s="3">
        <v>2</v>
      </c>
      <c r="Z8284" s="23">
        <f>52/60</f>
        <v>0.8666666666666667</v>
      </c>
      <c r="AB8284" s="18">
        <f t="shared" si="258"/>
        <v>1998</v>
      </c>
      <c r="AC8284" s="22">
        <f t="shared" si="259"/>
        <v>0.64733333333333321</v>
      </c>
    </row>
    <row r="8285" spans="1:29">
      <c r="A8285" s="8" t="s">
        <v>10368</v>
      </c>
      <c r="B8285" s="17" t="s">
        <v>7757</v>
      </c>
      <c r="C8285" s="13">
        <v>35880</v>
      </c>
      <c r="D8285" s="13" t="s">
        <v>8463</v>
      </c>
      <c r="E8285" s="10" t="s">
        <v>1268</v>
      </c>
      <c r="F8285" s="10" t="s">
        <v>9875</v>
      </c>
      <c r="H8285" s="2" t="s">
        <v>1061</v>
      </c>
      <c r="K8285" s="18">
        <v>2</v>
      </c>
      <c r="L8285" s="18">
        <v>0</v>
      </c>
      <c r="Q8285" s="18">
        <v>0</v>
      </c>
      <c r="V8285" s="22">
        <f>3.34/5</f>
        <v>0.66799999999999993</v>
      </c>
      <c r="X8285" s="3">
        <v>3</v>
      </c>
      <c r="Z8285" s="23">
        <v>5</v>
      </c>
      <c r="AB8285" s="18">
        <f t="shared" si="258"/>
        <v>1998</v>
      </c>
      <c r="AC8285" s="22">
        <f t="shared" si="259"/>
        <v>0.6339999999999999</v>
      </c>
    </row>
    <row r="8286" spans="1:29">
      <c r="A8286" s="8" t="s">
        <v>13532</v>
      </c>
      <c r="B8286" s="17" t="s">
        <v>7754</v>
      </c>
      <c r="C8286" s="13">
        <v>35880</v>
      </c>
      <c r="D8286" s="13" t="s">
        <v>8463</v>
      </c>
      <c r="E8286" s="10" t="s">
        <v>1468</v>
      </c>
      <c r="F8286" s="10" t="s">
        <v>1468</v>
      </c>
      <c r="G8286" s="11" t="s">
        <v>13526</v>
      </c>
      <c r="H8286" s="2" t="s">
        <v>1377</v>
      </c>
      <c r="K8286" s="18">
        <v>0</v>
      </c>
      <c r="L8286" s="18">
        <v>0</v>
      </c>
      <c r="Q8286" s="18">
        <v>0</v>
      </c>
      <c r="V8286" s="22">
        <f>2.94/5</f>
        <v>0.58799999999999997</v>
      </c>
      <c r="X8286" s="3">
        <v>2</v>
      </c>
      <c r="AB8286" s="18">
        <f t="shared" si="258"/>
        <v>1998</v>
      </c>
      <c r="AC8286" s="22">
        <f t="shared" si="259"/>
        <v>0.49399999999999999</v>
      </c>
    </row>
    <row r="8287" spans="1:29" ht="25.5">
      <c r="A8287" s="8" t="s">
        <v>7477</v>
      </c>
      <c r="B8287" s="17" t="s">
        <v>7757</v>
      </c>
      <c r="C8287" s="13">
        <v>35879</v>
      </c>
      <c r="D8287" s="13" t="s">
        <v>8465</v>
      </c>
      <c r="E8287" s="10" t="s">
        <v>231</v>
      </c>
      <c r="F8287" s="10" t="s">
        <v>6023</v>
      </c>
      <c r="G8287" s="11" t="s">
        <v>4518</v>
      </c>
      <c r="H8287" s="2" t="s">
        <v>150</v>
      </c>
      <c r="L8287" s="18">
        <v>0</v>
      </c>
      <c r="Q8287" s="18">
        <v>0</v>
      </c>
      <c r="U8287" s="22">
        <v>0.86</v>
      </c>
      <c r="V8287" s="22">
        <f>4.03/5</f>
        <v>0.80600000000000005</v>
      </c>
      <c r="X8287" s="3">
        <v>3</v>
      </c>
      <c r="Z8287" s="23">
        <v>12</v>
      </c>
      <c r="AB8287" s="18">
        <f t="shared" si="258"/>
        <v>1998</v>
      </c>
      <c r="AC8287" s="22">
        <f t="shared" si="259"/>
        <v>0.7553333333333333</v>
      </c>
    </row>
    <row r="8288" spans="1:29">
      <c r="A8288" s="8" t="s">
        <v>6588</v>
      </c>
      <c r="B8288" s="20" t="s">
        <v>7739</v>
      </c>
      <c r="C8288" s="13">
        <v>35878</v>
      </c>
      <c r="D8288" s="13" t="s">
        <v>8465</v>
      </c>
      <c r="E8288" s="10" t="s">
        <v>4576</v>
      </c>
      <c r="F8288" s="10" t="s">
        <v>1889</v>
      </c>
      <c r="G8288" s="11" t="s">
        <v>6588</v>
      </c>
      <c r="H8288" s="2" t="s">
        <v>1050</v>
      </c>
      <c r="L8288" s="18">
        <v>0</v>
      </c>
      <c r="Q8288" s="18">
        <v>0</v>
      </c>
      <c r="U8288" s="22">
        <v>0.76</v>
      </c>
      <c r="V8288" s="22">
        <f>3.5/5</f>
        <v>0.7</v>
      </c>
      <c r="X8288" s="3">
        <v>3</v>
      </c>
      <c r="Z8288" s="23">
        <v>3</v>
      </c>
      <c r="AB8288" s="18">
        <f t="shared" si="258"/>
        <v>1998</v>
      </c>
      <c r="AC8288" s="22">
        <f t="shared" si="259"/>
        <v>0.68666666666666665</v>
      </c>
    </row>
    <row r="8289" spans="1:29" ht="25.5">
      <c r="A8289" s="8" t="s">
        <v>14845</v>
      </c>
      <c r="B8289" s="17" t="s">
        <v>7800</v>
      </c>
      <c r="C8289" s="13">
        <v>35877</v>
      </c>
      <c r="D8289" s="13" t="s">
        <v>8465</v>
      </c>
      <c r="E8289" s="10" t="s">
        <v>231</v>
      </c>
      <c r="F8289" s="10" t="s">
        <v>3625</v>
      </c>
      <c r="G8289" s="11" t="s">
        <v>4483</v>
      </c>
      <c r="H8289" s="2" t="s">
        <v>1143</v>
      </c>
      <c r="L8289" s="18">
        <v>0</v>
      </c>
      <c r="Q8289" s="18">
        <v>0</v>
      </c>
      <c r="V8289" s="22">
        <f>3.93/5</f>
        <v>0.78600000000000003</v>
      </c>
      <c r="X8289" s="3">
        <v>2</v>
      </c>
      <c r="Z8289" s="23">
        <v>15</v>
      </c>
      <c r="AB8289" s="18">
        <f t="shared" si="258"/>
        <v>1998</v>
      </c>
      <c r="AC8289" s="22">
        <f t="shared" si="259"/>
        <v>0.59299999999999997</v>
      </c>
    </row>
    <row r="8290" spans="1:29">
      <c r="A8290" s="8" t="s">
        <v>6594</v>
      </c>
      <c r="B8290" s="20" t="s">
        <v>7739</v>
      </c>
      <c r="C8290" s="13">
        <v>35869</v>
      </c>
      <c r="D8290" s="13" t="s">
        <v>8465</v>
      </c>
      <c r="E8290" s="10" t="s">
        <v>228</v>
      </c>
      <c r="F8290" s="10" t="s">
        <v>6595</v>
      </c>
      <c r="G8290" s="11" t="s">
        <v>6594</v>
      </c>
      <c r="H8290" s="2" t="s">
        <v>150</v>
      </c>
      <c r="L8290" s="18">
        <v>0</v>
      </c>
      <c r="Q8290" s="18">
        <v>0</v>
      </c>
      <c r="U8290" s="22">
        <v>0.73</v>
      </c>
      <c r="V8290" s="22">
        <f>3.75/5</f>
        <v>0.75</v>
      </c>
      <c r="X8290" s="3">
        <v>3</v>
      </c>
      <c r="Z8290" s="23">
        <v>4</v>
      </c>
      <c r="AB8290" s="18">
        <f t="shared" si="258"/>
        <v>1998</v>
      </c>
      <c r="AC8290" s="22">
        <f t="shared" si="259"/>
        <v>0.69333333333333336</v>
      </c>
    </row>
    <row r="8291" spans="1:29">
      <c r="A8291" s="8" t="s">
        <v>890</v>
      </c>
      <c r="B8291" s="20" t="s">
        <v>7739</v>
      </c>
      <c r="C8291" s="13">
        <v>35864</v>
      </c>
      <c r="D8291" s="13" t="s">
        <v>8465</v>
      </c>
      <c r="E8291" s="10" t="s">
        <v>86</v>
      </c>
      <c r="F8291" s="10" t="s">
        <v>87</v>
      </c>
      <c r="G8291" s="11" t="s">
        <v>1173</v>
      </c>
      <c r="H8291" s="2" t="s">
        <v>64</v>
      </c>
      <c r="L8291" s="18">
        <v>0</v>
      </c>
      <c r="Q8291" s="18">
        <v>0</v>
      </c>
      <c r="U8291" s="22">
        <v>0.6</v>
      </c>
      <c r="V8291" s="22">
        <f>3.52/5</f>
        <v>0.70399999999999996</v>
      </c>
      <c r="X8291" s="3">
        <v>4</v>
      </c>
      <c r="Z8291" s="23">
        <v>2.5</v>
      </c>
      <c r="AB8291" s="18">
        <f t="shared" si="258"/>
        <v>1998</v>
      </c>
      <c r="AC8291" s="22">
        <f t="shared" si="259"/>
        <v>0.70133333333333336</v>
      </c>
    </row>
    <row r="8292" spans="1:29" ht="38.25">
      <c r="A8292" s="8" t="s">
        <v>14340</v>
      </c>
      <c r="B8292" s="17" t="s">
        <v>10323</v>
      </c>
      <c r="C8292" s="13">
        <v>35864</v>
      </c>
      <c r="D8292" s="13" t="s">
        <v>8463</v>
      </c>
      <c r="E8292" s="10" t="s">
        <v>14342</v>
      </c>
      <c r="F8292" s="10" t="s">
        <v>14342</v>
      </c>
      <c r="G8292" s="11" t="s">
        <v>14343</v>
      </c>
      <c r="H8292" s="2" t="s">
        <v>459</v>
      </c>
      <c r="K8292" s="18">
        <v>2</v>
      </c>
      <c r="L8292" s="18">
        <v>0</v>
      </c>
      <c r="Q8292" s="18">
        <v>0</v>
      </c>
      <c r="X8292" s="3">
        <v>2</v>
      </c>
      <c r="AB8292" s="18">
        <f t="shared" si="258"/>
        <v>1998</v>
      </c>
      <c r="AC8292" s="22">
        <f t="shared" si="259"/>
        <v>0.4</v>
      </c>
    </row>
    <row r="8293" spans="1:29">
      <c r="A8293" s="8" t="s">
        <v>14419</v>
      </c>
      <c r="B8293" s="17" t="s">
        <v>7745</v>
      </c>
      <c r="C8293" s="13">
        <v>35860</v>
      </c>
      <c r="D8293" s="13" t="s">
        <v>8463</v>
      </c>
      <c r="E8293" s="10" t="s">
        <v>14412</v>
      </c>
      <c r="F8293" s="10" t="s">
        <v>14420</v>
      </c>
      <c r="G8293" s="11" t="s">
        <v>14411</v>
      </c>
      <c r="H8293" s="2" t="s">
        <v>150</v>
      </c>
      <c r="K8293" s="18">
        <v>0</v>
      </c>
      <c r="L8293" s="18">
        <v>0</v>
      </c>
      <c r="Q8293" s="18">
        <v>0</v>
      </c>
      <c r="V8293" s="22">
        <f>3.82/5</f>
        <v>0.76400000000000001</v>
      </c>
      <c r="X8293" s="3">
        <v>2</v>
      </c>
      <c r="AB8293" s="18">
        <f t="shared" si="258"/>
        <v>1998</v>
      </c>
      <c r="AC8293" s="22">
        <f t="shared" si="259"/>
        <v>0.58200000000000007</v>
      </c>
    </row>
    <row r="8294" spans="1:29">
      <c r="A8294" s="8" t="s">
        <v>1589</v>
      </c>
      <c r="B8294" s="17" t="s">
        <v>7757</v>
      </c>
      <c r="C8294" s="12">
        <v>35855</v>
      </c>
      <c r="D8294" s="13" t="s">
        <v>8465</v>
      </c>
      <c r="E8294" s="10" t="s">
        <v>231</v>
      </c>
      <c r="F8294" s="10" t="s">
        <v>7609</v>
      </c>
      <c r="G8294" s="11" t="s">
        <v>1589</v>
      </c>
      <c r="H8294" s="2" t="s">
        <v>171</v>
      </c>
      <c r="L8294" s="18">
        <v>0</v>
      </c>
      <c r="Q8294" s="18">
        <v>0</v>
      </c>
      <c r="U8294" s="22">
        <v>0.8</v>
      </c>
      <c r="V8294" s="22">
        <f>3.82/5</f>
        <v>0.76400000000000001</v>
      </c>
      <c r="X8294" s="3">
        <v>2</v>
      </c>
      <c r="Z8294" s="23">
        <v>14.5</v>
      </c>
      <c r="AB8294" s="18">
        <f t="shared" si="258"/>
        <v>1998</v>
      </c>
      <c r="AC8294" s="22">
        <f t="shared" si="259"/>
        <v>0.65466666666666662</v>
      </c>
    </row>
    <row r="8295" spans="1:29">
      <c r="A8295" s="8" t="s">
        <v>2306</v>
      </c>
      <c r="B8295" s="17" t="s">
        <v>7800</v>
      </c>
      <c r="C8295" s="13">
        <v>35854</v>
      </c>
      <c r="D8295" s="13" t="s">
        <v>8465</v>
      </c>
      <c r="E8295" s="10" t="s">
        <v>4015</v>
      </c>
      <c r="F8295" s="10" t="s">
        <v>1327</v>
      </c>
      <c r="G8295" s="11" t="s">
        <v>2306</v>
      </c>
      <c r="H8295" s="2" t="s">
        <v>80</v>
      </c>
      <c r="L8295" s="18">
        <v>1</v>
      </c>
      <c r="N8295" s="13">
        <v>41107</v>
      </c>
      <c r="O8295" s="29">
        <v>2.08</v>
      </c>
      <c r="P8295" s="18" t="s">
        <v>1107</v>
      </c>
      <c r="Q8295" s="18">
        <v>0</v>
      </c>
      <c r="U8295" s="22">
        <v>0.79</v>
      </c>
      <c r="V8295" s="22">
        <f>3.37/5</f>
        <v>0.67400000000000004</v>
      </c>
      <c r="W8295" s="14" t="s">
        <v>7777</v>
      </c>
      <c r="X8295" s="3">
        <v>3</v>
      </c>
      <c r="Z8295" s="23">
        <v>12.5</v>
      </c>
      <c r="AB8295" s="18">
        <f t="shared" si="258"/>
        <v>1998</v>
      </c>
      <c r="AC8295" s="22">
        <f t="shared" si="259"/>
        <v>0.68800000000000006</v>
      </c>
    </row>
    <row r="8296" spans="1:29">
      <c r="A8296" s="8" t="s">
        <v>5122</v>
      </c>
      <c r="B8296" s="17" t="s">
        <v>7800</v>
      </c>
      <c r="C8296" s="13">
        <v>35854</v>
      </c>
      <c r="D8296" s="13" t="s">
        <v>8465</v>
      </c>
      <c r="E8296" s="10" t="s">
        <v>1284</v>
      </c>
      <c r="F8296" s="10" t="s">
        <v>5123</v>
      </c>
      <c r="G8296" s="11" t="s">
        <v>1481</v>
      </c>
      <c r="H8296" s="2" t="s">
        <v>3123</v>
      </c>
      <c r="L8296" s="18">
        <v>1</v>
      </c>
      <c r="N8296" s="13">
        <v>42430</v>
      </c>
      <c r="P8296" s="18" t="s">
        <v>1107</v>
      </c>
      <c r="Q8296" s="18">
        <v>0</v>
      </c>
      <c r="U8296" s="22">
        <v>0.5</v>
      </c>
      <c r="V8296" s="22">
        <f>3.71/5</f>
        <v>0.74199999999999999</v>
      </c>
      <c r="W8296" s="14" t="s">
        <v>7777</v>
      </c>
      <c r="X8296" s="3">
        <v>3</v>
      </c>
      <c r="Z8296" s="23">
        <v>16.5</v>
      </c>
      <c r="AB8296" s="18">
        <f t="shared" si="258"/>
        <v>1998</v>
      </c>
      <c r="AC8296" s="22">
        <f t="shared" si="259"/>
        <v>0.61399999999999999</v>
      </c>
    </row>
    <row r="8297" spans="1:29" ht="25.5">
      <c r="A8297" s="8" t="s">
        <v>13902</v>
      </c>
      <c r="B8297" s="17" t="s">
        <v>7757</v>
      </c>
      <c r="C8297" s="13">
        <v>35854</v>
      </c>
      <c r="D8297" s="13" t="s">
        <v>8465</v>
      </c>
      <c r="E8297" s="10" t="s">
        <v>1273</v>
      </c>
      <c r="F8297" s="10" t="s">
        <v>1273</v>
      </c>
      <c r="G8297" s="11" t="s">
        <v>13898</v>
      </c>
      <c r="H8297" s="2" t="s">
        <v>1040</v>
      </c>
      <c r="L8297" s="18">
        <v>0</v>
      </c>
      <c r="Q8297" s="18">
        <v>0</v>
      </c>
      <c r="V8297" s="22">
        <f>3.02/5</f>
        <v>0.60399999999999998</v>
      </c>
      <c r="X8297" s="3">
        <v>2</v>
      </c>
      <c r="Z8297" s="23">
        <v>4.5</v>
      </c>
      <c r="AB8297" s="18">
        <f t="shared" si="258"/>
        <v>1998</v>
      </c>
      <c r="AC8297" s="22">
        <f t="shared" si="259"/>
        <v>0.502</v>
      </c>
    </row>
    <row r="8298" spans="1:29">
      <c r="A8298" s="8" t="s">
        <v>13261</v>
      </c>
      <c r="B8298" s="17" t="s">
        <v>7800</v>
      </c>
      <c r="C8298" s="13">
        <v>35851</v>
      </c>
      <c r="D8298" s="13" t="s">
        <v>8465</v>
      </c>
      <c r="E8298" s="10" t="s">
        <v>468</v>
      </c>
      <c r="F8298" s="10" t="s">
        <v>1480</v>
      </c>
      <c r="H8298" s="2" t="s">
        <v>1194</v>
      </c>
      <c r="L8298" s="18">
        <v>0</v>
      </c>
      <c r="Q8298" s="18">
        <v>0</v>
      </c>
      <c r="V8298" s="22">
        <f>3.68/5</f>
        <v>0.73599999999999999</v>
      </c>
      <c r="W8298" s="14" t="s">
        <v>13076</v>
      </c>
      <c r="X8298" s="3">
        <v>2</v>
      </c>
      <c r="AB8298" s="18">
        <f t="shared" si="258"/>
        <v>1998</v>
      </c>
      <c r="AC8298" s="22">
        <f t="shared" si="259"/>
        <v>0.56800000000000006</v>
      </c>
    </row>
    <row r="8299" spans="1:29">
      <c r="A8299" s="8" t="s">
        <v>6579</v>
      </c>
      <c r="B8299" s="17" t="s">
        <v>7757</v>
      </c>
      <c r="C8299" s="13">
        <v>35850</v>
      </c>
      <c r="D8299" s="13" t="s">
        <v>8465</v>
      </c>
      <c r="E8299" s="10" t="s">
        <v>1466</v>
      </c>
      <c r="F8299" s="10" t="s">
        <v>1198</v>
      </c>
      <c r="G8299" s="11" t="s">
        <v>1186</v>
      </c>
      <c r="H8299" s="2" t="s">
        <v>1040</v>
      </c>
      <c r="L8299" s="18">
        <v>0</v>
      </c>
      <c r="Q8299" s="18">
        <v>0</v>
      </c>
      <c r="U8299" s="22">
        <v>0.82</v>
      </c>
      <c r="V8299" s="22">
        <f>3.54/5</f>
        <v>0.70799999999999996</v>
      </c>
      <c r="X8299" s="3">
        <v>2</v>
      </c>
      <c r="Z8299" s="23">
        <v>9</v>
      </c>
      <c r="AB8299" s="18">
        <f t="shared" si="258"/>
        <v>1998</v>
      </c>
      <c r="AC8299" s="22">
        <f t="shared" si="259"/>
        <v>0.64266666666666661</v>
      </c>
    </row>
    <row r="8300" spans="1:29">
      <c r="A8300" s="8" t="s">
        <v>13849</v>
      </c>
      <c r="B8300" s="17" t="s">
        <v>10908</v>
      </c>
      <c r="C8300" s="13">
        <v>35846</v>
      </c>
      <c r="D8300" s="13" t="s">
        <v>8463</v>
      </c>
      <c r="E8300" s="10" t="s">
        <v>10391</v>
      </c>
      <c r="F8300" s="10" t="s">
        <v>10391</v>
      </c>
      <c r="H8300" s="2" t="s">
        <v>27</v>
      </c>
      <c r="K8300" s="18">
        <v>0</v>
      </c>
      <c r="L8300" s="18">
        <v>0</v>
      </c>
      <c r="Q8300" s="18">
        <v>0</v>
      </c>
      <c r="V8300" s="22">
        <f>3.54/5</f>
        <v>0.70799999999999996</v>
      </c>
      <c r="X8300" s="3">
        <v>2</v>
      </c>
      <c r="Z8300" s="23">
        <v>3</v>
      </c>
      <c r="AB8300" s="18">
        <f t="shared" si="258"/>
        <v>1998</v>
      </c>
      <c r="AC8300" s="22">
        <f t="shared" si="259"/>
        <v>0.55400000000000005</v>
      </c>
    </row>
    <row r="8301" spans="1:29" ht="25.5">
      <c r="A8301" s="8" t="s">
        <v>5118</v>
      </c>
      <c r="B8301" s="17" t="s">
        <v>7800</v>
      </c>
      <c r="C8301" s="13">
        <v>35843</v>
      </c>
      <c r="D8301" s="13" t="s">
        <v>8465</v>
      </c>
      <c r="E8301" s="10" t="s">
        <v>1284</v>
      </c>
      <c r="F8301" s="10" t="s">
        <v>1284</v>
      </c>
      <c r="G8301" s="11" t="s">
        <v>5112</v>
      </c>
      <c r="H8301" s="2" t="s">
        <v>1050</v>
      </c>
      <c r="L8301" s="18">
        <v>1</v>
      </c>
      <c r="N8301" s="13">
        <v>42361</v>
      </c>
      <c r="O8301" s="29">
        <v>0.68</v>
      </c>
      <c r="P8301" s="18" t="s">
        <v>1107</v>
      </c>
      <c r="Q8301" s="18">
        <v>0</v>
      </c>
      <c r="U8301" s="22">
        <v>0.76</v>
      </c>
      <c r="V8301" s="22">
        <f>3.57/5</f>
        <v>0.71399999999999997</v>
      </c>
      <c r="W8301" s="14" t="s">
        <v>7777</v>
      </c>
      <c r="X8301" s="3">
        <v>3</v>
      </c>
      <c r="Z8301" s="23">
        <v>8.5</v>
      </c>
      <c r="AB8301" s="18">
        <f t="shared" si="258"/>
        <v>1998</v>
      </c>
      <c r="AC8301" s="22">
        <f t="shared" si="259"/>
        <v>0.69133333333333324</v>
      </c>
    </row>
    <row r="8302" spans="1:29" ht="38.25">
      <c r="A8302" s="8" t="s">
        <v>13947</v>
      </c>
      <c r="B8302" s="17" t="s">
        <v>7800</v>
      </c>
      <c r="C8302" s="13">
        <v>35838</v>
      </c>
      <c r="D8302" s="13" t="s">
        <v>8465</v>
      </c>
      <c r="E8302" s="10" t="s">
        <v>12248</v>
      </c>
      <c r="F8302" s="10" t="s">
        <v>13944</v>
      </c>
      <c r="G8302" s="11" t="s">
        <v>13943</v>
      </c>
      <c r="H8302" s="2" t="s">
        <v>67</v>
      </c>
      <c r="L8302" s="18">
        <v>0</v>
      </c>
      <c r="Q8302" s="18">
        <v>0</v>
      </c>
      <c r="V8302" s="22">
        <f>4.24/5</f>
        <v>0.84800000000000009</v>
      </c>
      <c r="X8302" s="3">
        <v>2</v>
      </c>
      <c r="Z8302" s="23">
        <v>5.5</v>
      </c>
      <c r="AB8302" s="18">
        <f t="shared" si="258"/>
        <v>1998</v>
      </c>
      <c r="AC8302" s="22">
        <f t="shared" si="259"/>
        <v>0.62400000000000011</v>
      </c>
    </row>
    <row r="8303" spans="1:29">
      <c r="A8303" s="8" t="s">
        <v>14969</v>
      </c>
      <c r="B8303" s="17" t="s">
        <v>7757</v>
      </c>
      <c r="C8303" s="12">
        <v>35827</v>
      </c>
      <c r="D8303" s="13" t="s">
        <v>8465</v>
      </c>
      <c r="E8303" s="10" t="s">
        <v>70</v>
      </c>
      <c r="F8303" s="10" t="s">
        <v>1229</v>
      </c>
      <c r="H8303" s="2" t="s">
        <v>64</v>
      </c>
      <c r="L8303" s="18">
        <v>0</v>
      </c>
      <c r="Q8303" s="18">
        <v>0</v>
      </c>
      <c r="V8303" s="22">
        <f>3.1/5</f>
        <v>0.62</v>
      </c>
      <c r="X8303" s="3">
        <v>2</v>
      </c>
      <c r="Z8303" s="23">
        <v>4.5</v>
      </c>
      <c r="AB8303" s="18">
        <f t="shared" si="258"/>
        <v>1998</v>
      </c>
      <c r="AC8303" s="22">
        <f t="shared" si="259"/>
        <v>0.51</v>
      </c>
    </row>
    <row r="8304" spans="1:29">
      <c r="A8304" s="8" t="s">
        <v>2954</v>
      </c>
      <c r="B8304" s="17" t="s">
        <v>7757</v>
      </c>
      <c r="C8304" s="13">
        <v>35826</v>
      </c>
      <c r="D8304" s="13" t="s">
        <v>8465</v>
      </c>
      <c r="E8304" s="10" t="s">
        <v>2669</v>
      </c>
      <c r="F8304" s="10" t="s">
        <v>3025</v>
      </c>
      <c r="G8304" s="11" t="s">
        <v>3025</v>
      </c>
      <c r="H8304" s="2" t="s">
        <v>64</v>
      </c>
      <c r="L8304" s="18">
        <v>0</v>
      </c>
      <c r="Q8304" s="18">
        <v>0</v>
      </c>
      <c r="U8304" s="22">
        <v>0.8</v>
      </c>
      <c r="V8304" s="22">
        <f>3.73/5</f>
        <v>0.746</v>
      </c>
      <c r="X8304" s="3">
        <v>3</v>
      </c>
      <c r="Z8304" s="23">
        <v>5</v>
      </c>
      <c r="AB8304" s="18">
        <f t="shared" si="258"/>
        <v>1998</v>
      </c>
      <c r="AC8304" s="22">
        <f t="shared" si="259"/>
        <v>0.71533333333333327</v>
      </c>
    </row>
    <row r="8305" spans="1:29">
      <c r="A8305" s="8" t="s">
        <v>6573</v>
      </c>
      <c r="B8305" s="20" t="s">
        <v>7739</v>
      </c>
      <c r="C8305" s="13">
        <v>35826</v>
      </c>
      <c r="D8305" s="13" t="s">
        <v>8465</v>
      </c>
      <c r="E8305" s="10" t="s">
        <v>1324</v>
      </c>
      <c r="F8305" s="10" t="s">
        <v>1355</v>
      </c>
      <c r="G8305" s="11" t="s">
        <v>6573</v>
      </c>
      <c r="H8305" s="2" t="s">
        <v>459</v>
      </c>
      <c r="L8305" s="18">
        <v>0</v>
      </c>
      <c r="Q8305" s="18">
        <v>0</v>
      </c>
      <c r="U8305" s="22">
        <v>0.77</v>
      </c>
      <c r="V8305" s="22">
        <f>3.28/5</f>
        <v>0.65599999999999992</v>
      </c>
      <c r="X8305" s="3">
        <v>2</v>
      </c>
      <c r="Z8305" s="23">
        <v>2</v>
      </c>
      <c r="AB8305" s="18">
        <f t="shared" si="258"/>
        <v>1998</v>
      </c>
      <c r="AC8305" s="22">
        <f t="shared" si="259"/>
        <v>0.60866666666666669</v>
      </c>
    </row>
    <row r="8306" spans="1:29">
      <c r="A8306" s="8" t="s">
        <v>538</v>
      </c>
      <c r="B8306" s="17" t="s">
        <v>7731</v>
      </c>
      <c r="C8306" s="13">
        <v>35824</v>
      </c>
      <c r="D8306" s="13" t="s">
        <v>8465</v>
      </c>
      <c r="E8306" s="10" t="s">
        <v>170</v>
      </c>
      <c r="F8306" s="10" t="s">
        <v>170</v>
      </c>
      <c r="G8306" s="11" t="s">
        <v>538</v>
      </c>
      <c r="H8306" s="2" t="s">
        <v>459</v>
      </c>
      <c r="L8306" s="18">
        <v>0</v>
      </c>
      <c r="Q8306" s="18">
        <v>0</v>
      </c>
      <c r="V8306" s="22">
        <f>4.26/5</f>
        <v>0.85199999999999998</v>
      </c>
      <c r="X8306" s="3">
        <v>3</v>
      </c>
      <c r="Z8306" s="23">
        <v>1.5</v>
      </c>
      <c r="AB8306" s="18">
        <f t="shared" si="258"/>
        <v>1998</v>
      </c>
      <c r="AC8306" s="22">
        <f t="shared" si="259"/>
        <v>0.72599999999999998</v>
      </c>
    </row>
    <row r="8307" spans="1:29">
      <c r="A8307" s="8" t="s">
        <v>883</v>
      </c>
      <c r="B8307" s="17" t="s">
        <v>7757</v>
      </c>
      <c r="C8307" s="13">
        <v>35816</v>
      </c>
      <c r="D8307" s="13" t="s">
        <v>8465</v>
      </c>
      <c r="E8307" s="10" t="s">
        <v>73</v>
      </c>
      <c r="F8307" s="10" t="s">
        <v>73</v>
      </c>
      <c r="G8307" s="11" t="s">
        <v>943</v>
      </c>
      <c r="H8307" s="2" t="s">
        <v>1061</v>
      </c>
      <c r="L8307" s="18">
        <v>0</v>
      </c>
      <c r="Q8307" s="18">
        <v>0</v>
      </c>
      <c r="U8307" s="22">
        <v>0.93</v>
      </c>
      <c r="V8307" s="22">
        <f>4.32/5</f>
        <v>0.8640000000000001</v>
      </c>
      <c r="X8307" s="3">
        <v>3</v>
      </c>
      <c r="Y8307" s="18">
        <v>1</v>
      </c>
      <c r="Z8307" s="23">
        <v>8</v>
      </c>
      <c r="AB8307" s="18">
        <f t="shared" si="258"/>
        <v>1998</v>
      </c>
      <c r="AC8307" s="22">
        <f t="shared" si="259"/>
        <v>0.79800000000000004</v>
      </c>
    </row>
    <row r="8308" spans="1:29" ht="25.5">
      <c r="A8308" s="8" t="s">
        <v>15750</v>
      </c>
      <c r="B8308" s="17" t="s">
        <v>7800</v>
      </c>
      <c r="C8308" s="13">
        <v>35810</v>
      </c>
      <c r="D8308" s="13" t="s">
        <v>8465</v>
      </c>
      <c r="E8308" s="10" t="s">
        <v>1272</v>
      </c>
      <c r="F8308" s="10" t="s">
        <v>1272</v>
      </c>
      <c r="G8308" s="11" t="s">
        <v>445</v>
      </c>
      <c r="H8308" s="2" t="s">
        <v>1720</v>
      </c>
      <c r="L8308" s="18">
        <v>0</v>
      </c>
      <c r="Q8308" s="18">
        <v>0</v>
      </c>
      <c r="V8308" s="22">
        <f>2.23/5</f>
        <v>0.44600000000000001</v>
      </c>
      <c r="X8308" s="3">
        <v>2</v>
      </c>
      <c r="AB8308" s="18">
        <f t="shared" si="258"/>
        <v>1998</v>
      </c>
      <c r="AC8308" s="22">
        <f t="shared" si="259"/>
        <v>0.42300000000000004</v>
      </c>
    </row>
    <row r="8309" spans="1:29">
      <c r="A8309" s="8" t="s">
        <v>3005</v>
      </c>
      <c r="B8309" s="17" t="s">
        <v>7757</v>
      </c>
      <c r="C8309" s="13">
        <v>35803</v>
      </c>
      <c r="D8309" s="13" t="s">
        <v>8465</v>
      </c>
      <c r="E8309" s="10" t="s">
        <v>2701</v>
      </c>
      <c r="F8309" s="10" t="s">
        <v>1083</v>
      </c>
      <c r="G8309" s="11" t="s">
        <v>5897</v>
      </c>
      <c r="H8309" s="2" t="s">
        <v>80</v>
      </c>
      <c r="L8309" s="18">
        <v>0</v>
      </c>
      <c r="Q8309" s="18">
        <v>0</v>
      </c>
      <c r="U8309" s="22">
        <v>0.84</v>
      </c>
      <c r="V8309" s="22">
        <f>3.87/5</f>
        <v>0.77400000000000002</v>
      </c>
      <c r="X8309" s="3">
        <v>4</v>
      </c>
      <c r="Z8309" s="23">
        <v>28.5</v>
      </c>
      <c r="AB8309" s="18">
        <f t="shared" si="258"/>
        <v>1998</v>
      </c>
      <c r="AC8309" s="22">
        <f t="shared" si="259"/>
        <v>0.80466666666666653</v>
      </c>
    </row>
    <row r="8310" spans="1:29" ht="30">
      <c r="A8310" s="8" t="s">
        <v>13925</v>
      </c>
      <c r="B8310" s="17" t="s">
        <v>9581</v>
      </c>
      <c r="C8310" s="24">
        <v>35796</v>
      </c>
      <c r="D8310" s="13" t="s">
        <v>8467</v>
      </c>
      <c r="E8310" s="10" t="s">
        <v>13926</v>
      </c>
      <c r="F8310" s="10" t="s">
        <v>13927</v>
      </c>
      <c r="H8310" s="2" t="s">
        <v>1050</v>
      </c>
      <c r="L8310" s="18">
        <v>0</v>
      </c>
      <c r="Q8310" s="18">
        <v>0</v>
      </c>
      <c r="X8310" s="3">
        <v>2</v>
      </c>
      <c r="AB8310" s="18">
        <f t="shared" si="258"/>
        <v>1998</v>
      </c>
      <c r="AC8310" s="22">
        <f t="shared" si="259"/>
        <v>0.4</v>
      </c>
    </row>
    <row r="8311" spans="1:29" ht="30">
      <c r="A8311" s="8" t="s">
        <v>12772</v>
      </c>
      <c r="B8311" s="17" t="s">
        <v>9581</v>
      </c>
      <c r="C8311" s="24">
        <v>35796</v>
      </c>
      <c r="D8311" s="13" t="s">
        <v>8467</v>
      </c>
      <c r="E8311" s="10" t="s">
        <v>12773</v>
      </c>
      <c r="F8311" s="10" t="s">
        <v>12774</v>
      </c>
      <c r="H8311" s="2" t="s">
        <v>1050</v>
      </c>
      <c r="L8311" s="18">
        <v>0</v>
      </c>
      <c r="Q8311" s="18">
        <v>0</v>
      </c>
      <c r="X8311" s="3">
        <v>2</v>
      </c>
      <c r="AB8311" s="18">
        <f t="shared" si="258"/>
        <v>1998</v>
      </c>
      <c r="AC8311" s="22">
        <f t="shared" si="259"/>
        <v>0.4</v>
      </c>
    </row>
    <row r="8312" spans="1:29">
      <c r="A8312" s="8" t="s">
        <v>505</v>
      </c>
      <c r="B8312" s="17" t="s">
        <v>7731</v>
      </c>
      <c r="C8312" s="12">
        <v>35796</v>
      </c>
      <c r="D8312" s="13" t="s">
        <v>8465</v>
      </c>
      <c r="E8312" s="10" t="s">
        <v>170</v>
      </c>
      <c r="F8312" s="10" t="s">
        <v>1223</v>
      </c>
      <c r="H8312" s="2" t="s">
        <v>21</v>
      </c>
      <c r="L8312" s="18">
        <v>0</v>
      </c>
      <c r="Q8312" s="18">
        <v>0</v>
      </c>
      <c r="V8312" s="22">
        <f>4.19/5</f>
        <v>0.83800000000000008</v>
      </c>
      <c r="X8312" s="3">
        <v>3</v>
      </c>
      <c r="Z8312" s="23">
        <v>1</v>
      </c>
      <c r="AB8312" s="18">
        <f t="shared" si="258"/>
        <v>1998</v>
      </c>
      <c r="AC8312" s="22">
        <f t="shared" si="259"/>
        <v>0.71900000000000008</v>
      </c>
    </row>
    <row r="8313" spans="1:29" ht="25.5">
      <c r="A8313" s="8" t="s">
        <v>367</v>
      </c>
      <c r="B8313" s="17" t="s">
        <v>6317</v>
      </c>
      <c r="C8313" s="12">
        <v>35796</v>
      </c>
      <c r="D8313" s="13" t="s">
        <v>8465</v>
      </c>
      <c r="E8313" s="10" t="s">
        <v>465</v>
      </c>
      <c r="F8313" s="10" t="s">
        <v>465</v>
      </c>
      <c r="H8313" s="2" t="s">
        <v>21</v>
      </c>
      <c r="L8313" s="18">
        <v>0</v>
      </c>
      <c r="Q8313" s="18">
        <v>0</v>
      </c>
      <c r="V8313" s="22">
        <f>3.46/5</f>
        <v>0.69199999999999995</v>
      </c>
      <c r="X8313" s="3">
        <v>3</v>
      </c>
      <c r="Z8313" s="23">
        <f>28/60</f>
        <v>0.46666666666666667</v>
      </c>
      <c r="AB8313" s="18">
        <f t="shared" si="258"/>
        <v>1998</v>
      </c>
      <c r="AC8313" s="22">
        <f t="shared" si="259"/>
        <v>0.64599999999999991</v>
      </c>
    </row>
    <row r="8314" spans="1:29">
      <c r="A8314" s="8" t="s">
        <v>401</v>
      </c>
      <c r="B8314" s="17" t="s">
        <v>6317</v>
      </c>
      <c r="C8314" s="12">
        <v>35796</v>
      </c>
      <c r="D8314" s="13" t="s">
        <v>8465</v>
      </c>
      <c r="E8314" s="10" t="s">
        <v>555</v>
      </c>
      <c r="F8314" s="10" t="s">
        <v>554</v>
      </c>
      <c r="G8314" s="11" t="s">
        <v>397</v>
      </c>
      <c r="H8314" s="2" t="s">
        <v>21</v>
      </c>
      <c r="L8314" s="18">
        <v>0</v>
      </c>
      <c r="Q8314" s="18">
        <v>0</v>
      </c>
      <c r="V8314" s="22">
        <f>3.43/5</f>
        <v>0.68600000000000005</v>
      </c>
      <c r="X8314" s="3">
        <v>3</v>
      </c>
      <c r="Z8314" s="23">
        <v>0.4</v>
      </c>
      <c r="AB8314" s="18">
        <f t="shared" si="258"/>
        <v>1998</v>
      </c>
      <c r="AC8314" s="22">
        <f t="shared" si="259"/>
        <v>0.64300000000000002</v>
      </c>
    </row>
    <row r="8315" spans="1:29">
      <c r="A8315" s="8" t="s">
        <v>7672</v>
      </c>
      <c r="B8315" s="17" t="s">
        <v>7746</v>
      </c>
      <c r="C8315" s="12">
        <v>35796</v>
      </c>
      <c r="D8315" s="13" t="s">
        <v>8465</v>
      </c>
      <c r="E8315" s="10" t="s">
        <v>1288</v>
      </c>
      <c r="F8315" s="10" t="s">
        <v>7673</v>
      </c>
      <c r="G8315" s="11" t="s">
        <v>7674</v>
      </c>
      <c r="H8315" s="2" t="s">
        <v>80</v>
      </c>
      <c r="L8315" s="18">
        <v>0</v>
      </c>
      <c r="Q8315" s="18">
        <v>0</v>
      </c>
      <c r="U8315" s="22">
        <v>0.9</v>
      </c>
      <c r="V8315" s="22">
        <f>3.58/5</f>
        <v>0.71599999999999997</v>
      </c>
      <c r="X8315" s="3">
        <v>2</v>
      </c>
      <c r="Z8315" s="23">
        <v>4</v>
      </c>
      <c r="AB8315" s="18">
        <f t="shared" si="258"/>
        <v>1998</v>
      </c>
      <c r="AC8315" s="22">
        <f t="shared" si="259"/>
        <v>0.67200000000000004</v>
      </c>
    </row>
    <row r="8316" spans="1:29">
      <c r="A8316" s="8" t="s">
        <v>481</v>
      </c>
      <c r="B8316" s="17" t="s">
        <v>6317</v>
      </c>
      <c r="C8316" s="12">
        <v>35796</v>
      </c>
      <c r="D8316" s="13" t="s">
        <v>8465</v>
      </c>
      <c r="E8316" s="10" t="s">
        <v>73</v>
      </c>
      <c r="F8316" s="10" t="s">
        <v>73</v>
      </c>
      <c r="G8316" s="11" t="s">
        <v>484</v>
      </c>
      <c r="H8316" s="2" t="s">
        <v>459</v>
      </c>
      <c r="L8316" s="18">
        <v>0</v>
      </c>
      <c r="Q8316" s="18">
        <v>0</v>
      </c>
      <c r="V8316" s="22">
        <f>4.01/5</f>
        <v>0.80199999999999994</v>
      </c>
      <c r="X8316" s="3">
        <v>2</v>
      </c>
      <c r="AB8316" s="18">
        <f t="shared" si="258"/>
        <v>1998</v>
      </c>
      <c r="AC8316" s="22">
        <f t="shared" si="259"/>
        <v>0.60099999999999998</v>
      </c>
    </row>
    <row r="8317" spans="1:29" ht="25.5">
      <c r="A8317" s="8" t="s">
        <v>14023</v>
      </c>
      <c r="B8317" s="17" t="s">
        <v>10323</v>
      </c>
      <c r="C8317" s="24">
        <v>35796</v>
      </c>
      <c r="D8317" s="13" t="s">
        <v>8463</v>
      </c>
      <c r="E8317" s="10" t="s">
        <v>14024</v>
      </c>
      <c r="F8317" s="10" t="s">
        <v>14024</v>
      </c>
      <c r="H8317" s="2" t="s">
        <v>149</v>
      </c>
      <c r="K8317" s="18">
        <v>2</v>
      </c>
      <c r="L8317" s="18">
        <v>0</v>
      </c>
      <c r="Q8317" s="18">
        <v>0</v>
      </c>
      <c r="X8317" s="3">
        <v>3</v>
      </c>
      <c r="Z8317" s="23">
        <v>2</v>
      </c>
      <c r="AB8317" s="18">
        <f t="shared" si="258"/>
        <v>1998</v>
      </c>
      <c r="AC8317" s="22">
        <f t="shared" si="259"/>
        <v>0.6</v>
      </c>
    </row>
    <row r="8318" spans="1:29">
      <c r="A8318" s="8" t="s">
        <v>11924</v>
      </c>
      <c r="B8318" s="17" t="s">
        <v>6317</v>
      </c>
      <c r="C8318" s="24">
        <v>35796</v>
      </c>
      <c r="D8318" s="13" t="s">
        <v>8465</v>
      </c>
      <c r="E8318" s="10" t="s">
        <v>11920</v>
      </c>
      <c r="F8318" s="10" t="s">
        <v>11920</v>
      </c>
      <c r="H8318" s="2" t="s">
        <v>21</v>
      </c>
      <c r="L8318" s="18">
        <v>0</v>
      </c>
      <c r="Q8318" s="18">
        <v>0</v>
      </c>
      <c r="V8318" s="22">
        <f>3.86/5</f>
        <v>0.77200000000000002</v>
      </c>
      <c r="X8318" s="3">
        <v>2</v>
      </c>
      <c r="Z8318" s="23">
        <f>29/60</f>
        <v>0.48333333333333334</v>
      </c>
      <c r="AB8318" s="18">
        <f t="shared" si="258"/>
        <v>1998</v>
      </c>
      <c r="AC8318" s="22">
        <f t="shared" si="259"/>
        <v>0.58600000000000008</v>
      </c>
    </row>
    <row r="8319" spans="1:29" ht="25.5">
      <c r="A8319" s="8" t="s">
        <v>9648</v>
      </c>
      <c r="B8319" s="17" t="s">
        <v>7800</v>
      </c>
      <c r="C8319" s="12">
        <v>35796</v>
      </c>
      <c r="D8319" s="13" t="s">
        <v>8465</v>
      </c>
      <c r="E8319" s="10" t="s">
        <v>1634</v>
      </c>
      <c r="F8319" s="10" t="s">
        <v>9649</v>
      </c>
      <c r="H8319" s="2" t="s">
        <v>67</v>
      </c>
      <c r="L8319" s="18">
        <v>0</v>
      </c>
      <c r="Q8319" s="18">
        <v>0</v>
      </c>
      <c r="V8319" s="22">
        <f>3.85/5</f>
        <v>0.77</v>
      </c>
      <c r="X8319" s="3">
        <v>2</v>
      </c>
      <c r="Z8319" s="23">
        <v>8</v>
      </c>
      <c r="AB8319" s="18">
        <f t="shared" si="258"/>
        <v>1998</v>
      </c>
      <c r="AC8319" s="22">
        <f t="shared" si="259"/>
        <v>0.58499999999999996</v>
      </c>
    </row>
    <row r="8320" spans="1:29">
      <c r="A8320" s="8" t="s">
        <v>6793</v>
      </c>
      <c r="B8320" s="17" t="s">
        <v>7800</v>
      </c>
      <c r="C8320" s="13">
        <v>35796</v>
      </c>
      <c r="D8320" s="13" t="s">
        <v>8465</v>
      </c>
      <c r="E8320" s="10" t="s">
        <v>6928</v>
      </c>
      <c r="F8320" s="10" t="s">
        <v>6928</v>
      </c>
      <c r="G8320" s="11" t="s">
        <v>6898</v>
      </c>
      <c r="H8320" s="2" t="s">
        <v>1143</v>
      </c>
      <c r="L8320" s="18">
        <v>1</v>
      </c>
      <c r="N8320" s="13">
        <v>41201</v>
      </c>
      <c r="O8320" s="29">
        <v>0.49</v>
      </c>
      <c r="P8320" s="18" t="s">
        <v>1107</v>
      </c>
      <c r="Q8320" s="18">
        <v>0</v>
      </c>
      <c r="U8320" s="22">
        <v>0.56999999999999995</v>
      </c>
      <c r="V8320" s="22">
        <f>3.94/5</f>
        <v>0.78800000000000003</v>
      </c>
      <c r="W8320" s="14" t="s">
        <v>7778</v>
      </c>
      <c r="X8320" s="3">
        <v>2</v>
      </c>
      <c r="Z8320" s="23">
        <v>28</v>
      </c>
      <c r="AB8320" s="18">
        <f t="shared" si="258"/>
        <v>1998</v>
      </c>
      <c r="AC8320" s="22">
        <f t="shared" si="259"/>
        <v>0.58599999999999997</v>
      </c>
    </row>
    <row r="8321" spans="1:29">
      <c r="A8321" s="8" t="s">
        <v>12882</v>
      </c>
      <c r="B8321" s="17" t="s">
        <v>6317</v>
      </c>
      <c r="C8321" s="24">
        <v>35796</v>
      </c>
      <c r="D8321" s="13" t="s">
        <v>8463</v>
      </c>
      <c r="E8321" s="10" t="s">
        <v>8140</v>
      </c>
      <c r="F8321" s="10" t="s">
        <v>8140</v>
      </c>
      <c r="G8321" s="11" t="s">
        <v>12882</v>
      </c>
      <c r="H8321" s="2" t="s">
        <v>2138</v>
      </c>
      <c r="K8321" s="18">
        <v>0</v>
      </c>
      <c r="L8321" s="18">
        <v>0</v>
      </c>
      <c r="Q8321" s="18">
        <v>0</v>
      </c>
      <c r="V8321" s="22">
        <f>3.25/5</f>
        <v>0.65</v>
      </c>
      <c r="X8321" s="3">
        <v>2</v>
      </c>
      <c r="Z8321" s="23">
        <f>42/60</f>
        <v>0.7</v>
      </c>
      <c r="AB8321" s="18">
        <f t="shared" ref="AB8321:AB8384" si="260">IFERROR(YEAR(C8321), "Early Access")</f>
        <v>1998</v>
      </c>
      <c r="AC8321" s="22">
        <f t="shared" ref="AC8321:AC8384" si="261">AVERAGE(T8321, U8321, V8321, IF(ISBLANK(X8321), X8321, X8321/5))</f>
        <v>0.52500000000000002</v>
      </c>
    </row>
    <row r="8322" spans="1:29">
      <c r="A8322" s="8" t="s">
        <v>14913</v>
      </c>
      <c r="B8322" s="17" t="s">
        <v>6317</v>
      </c>
      <c r="C8322" s="24">
        <v>35796</v>
      </c>
      <c r="D8322" s="13" t="s">
        <v>8465</v>
      </c>
      <c r="E8322" s="10" t="s">
        <v>72</v>
      </c>
      <c r="F8322" s="10" t="s">
        <v>72</v>
      </c>
      <c r="H8322" s="2" t="s">
        <v>1170</v>
      </c>
      <c r="L8322" s="18">
        <v>0</v>
      </c>
      <c r="Q8322" s="18">
        <v>0</v>
      </c>
      <c r="V8322" s="22">
        <f>3.25/5</f>
        <v>0.65</v>
      </c>
      <c r="X8322" s="3">
        <v>2</v>
      </c>
      <c r="AB8322" s="18">
        <f t="shared" si="260"/>
        <v>1998</v>
      </c>
      <c r="AC8322" s="22">
        <f t="shared" si="261"/>
        <v>0.52500000000000002</v>
      </c>
    </row>
    <row r="8323" spans="1:29">
      <c r="A8323" s="8" t="s">
        <v>7641</v>
      </c>
      <c r="B8323" s="17" t="s">
        <v>7745</v>
      </c>
      <c r="C8323" s="12">
        <v>35796</v>
      </c>
      <c r="D8323" s="13" t="s">
        <v>8465</v>
      </c>
      <c r="E8323" s="10" t="s">
        <v>6906</v>
      </c>
      <c r="F8323" s="10" t="s">
        <v>7441</v>
      </c>
      <c r="G8323" s="11" t="s">
        <v>4578</v>
      </c>
      <c r="H8323" s="2" t="s">
        <v>64</v>
      </c>
      <c r="L8323" s="18">
        <v>0</v>
      </c>
      <c r="Q8323" s="18">
        <v>0</v>
      </c>
      <c r="U8323" s="22">
        <v>0.77</v>
      </c>
      <c r="V8323" s="22">
        <f>2.59/5</f>
        <v>0.51800000000000002</v>
      </c>
      <c r="X8323" s="3">
        <v>2</v>
      </c>
      <c r="Z8323" s="23">
        <f>50/60</f>
        <v>0.83333333333333337</v>
      </c>
      <c r="AB8323" s="18">
        <f t="shared" si="260"/>
        <v>1998</v>
      </c>
      <c r="AC8323" s="22">
        <f t="shared" si="261"/>
        <v>0.56266666666666676</v>
      </c>
    </row>
    <row r="8324" spans="1:29">
      <c r="A8324" s="8" t="s">
        <v>13679</v>
      </c>
      <c r="B8324" s="17" t="s">
        <v>7736</v>
      </c>
      <c r="C8324" s="13">
        <v>35796</v>
      </c>
      <c r="D8324" s="13" t="s">
        <v>8463</v>
      </c>
      <c r="E8324" s="10" t="s">
        <v>86</v>
      </c>
      <c r="F8324" s="10" t="s">
        <v>13680</v>
      </c>
      <c r="G8324" s="11" t="s">
        <v>13681</v>
      </c>
      <c r="H8324" s="2" t="s">
        <v>78</v>
      </c>
      <c r="K8324" s="18">
        <v>2</v>
      </c>
      <c r="L8324" s="18">
        <v>0</v>
      </c>
      <c r="Q8324" s="18">
        <v>0</v>
      </c>
      <c r="V8324" s="22">
        <f>3.19/5</f>
        <v>0.63800000000000001</v>
      </c>
      <c r="W8324" s="14" t="s">
        <v>13672</v>
      </c>
      <c r="X8324" s="3">
        <v>2</v>
      </c>
      <c r="Z8324" s="23">
        <v>1.5</v>
      </c>
      <c r="AB8324" s="18">
        <f t="shared" si="260"/>
        <v>1998</v>
      </c>
      <c r="AC8324" s="22">
        <f t="shared" si="261"/>
        <v>0.51900000000000002</v>
      </c>
    </row>
    <row r="8325" spans="1:29">
      <c r="A8325" s="8" t="s">
        <v>12938</v>
      </c>
      <c r="B8325" s="17" t="s">
        <v>6317</v>
      </c>
      <c r="C8325" s="24">
        <v>35796</v>
      </c>
      <c r="D8325" s="13" t="s">
        <v>8465</v>
      </c>
      <c r="E8325" s="10" t="s">
        <v>6577</v>
      </c>
      <c r="F8325" s="10" t="s">
        <v>12937</v>
      </c>
      <c r="G8325" s="11" t="s">
        <v>12936</v>
      </c>
      <c r="H8325" s="2" t="s">
        <v>1170</v>
      </c>
      <c r="L8325" s="18">
        <v>0</v>
      </c>
      <c r="Q8325" s="18">
        <v>0</v>
      </c>
      <c r="V8325" s="22">
        <f>3.12/5</f>
        <v>0.624</v>
      </c>
      <c r="X8325" s="3">
        <v>2</v>
      </c>
      <c r="Z8325" s="23">
        <f>45/60</f>
        <v>0.75</v>
      </c>
      <c r="AB8325" s="18">
        <f t="shared" si="260"/>
        <v>1998</v>
      </c>
      <c r="AC8325" s="22">
        <f t="shared" si="261"/>
        <v>0.51200000000000001</v>
      </c>
    </row>
    <row r="8326" spans="1:29">
      <c r="A8326" s="8" t="s">
        <v>10610</v>
      </c>
      <c r="B8326" s="17" t="s">
        <v>7800</v>
      </c>
      <c r="C8326" s="12">
        <v>35796</v>
      </c>
      <c r="D8326" s="13" t="s">
        <v>8465</v>
      </c>
      <c r="E8326" s="10" t="s">
        <v>1690</v>
      </c>
      <c r="F8326" s="10" t="s">
        <v>10611</v>
      </c>
      <c r="G8326" s="11" t="s">
        <v>10612</v>
      </c>
      <c r="H8326" s="2" t="s">
        <v>67</v>
      </c>
      <c r="L8326" s="18">
        <v>0</v>
      </c>
      <c r="Q8326" s="18">
        <v>0</v>
      </c>
      <c r="V8326" s="22">
        <f>3/5</f>
        <v>0.6</v>
      </c>
      <c r="X8326" s="3">
        <v>2</v>
      </c>
      <c r="AB8326" s="18">
        <f t="shared" si="260"/>
        <v>1998</v>
      </c>
      <c r="AC8326" s="22">
        <f t="shared" si="261"/>
        <v>0.5</v>
      </c>
    </row>
    <row r="8327" spans="1:29">
      <c r="A8327" s="8" t="s">
        <v>883</v>
      </c>
      <c r="B8327" s="17" t="s">
        <v>14546</v>
      </c>
      <c r="C8327" s="24">
        <v>35796</v>
      </c>
      <c r="D8327" s="13" t="s">
        <v>8465</v>
      </c>
      <c r="E8327" s="10" t="s">
        <v>14547</v>
      </c>
      <c r="F8327" s="10" t="s">
        <v>14547</v>
      </c>
      <c r="G8327" s="11" t="s">
        <v>943</v>
      </c>
      <c r="H8327" s="2" t="s">
        <v>1061</v>
      </c>
      <c r="L8327" s="18">
        <v>0</v>
      </c>
      <c r="Q8327" s="18">
        <v>0</v>
      </c>
      <c r="V8327" s="22">
        <f>2.92/5</f>
        <v>0.58399999999999996</v>
      </c>
      <c r="X8327" s="3">
        <v>2</v>
      </c>
      <c r="Z8327" s="23">
        <v>6</v>
      </c>
      <c r="AB8327" s="18">
        <f t="shared" si="260"/>
        <v>1998</v>
      </c>
      <c r="AC8327" s="22">
        <f t="shared" si="261"/>
        <v>0.49199999999999999</v>
      </c>
    </row>
    <row r="8328" spans="1:29">
      <c r="A8328" s="8" t="s">
        <v>412</v>
      </c>
      <c r="B8328" s="17" t="s">
        <v>6317</v>
      </c>
      <c r="C8328" s="12">
        <v>35796</v>
      </c>
      <c r="D8328" s="13" t="s">
        <v>8463</v>
      </c>
      <c r="E8328" s="10" t="s">
        <v>473</v>
      </c>
      <c r="F8328" s="10" t="s">
        <v>473</v>
      </c>
      <c r="H8328" s="2" t="s">
        <v>21</v>
      </c>
      <c r="K8328" s="18">
        <v>0</v>
      </c>
      <c r="L8328" s="18">
        <v>0</v>
      </c>
      <c r="Q8328" s="18">
        <v>0</v>
      </c>
      <c r="V8328" s="22">
        <f>2.86/5</f>
        <v>0.57199999999999995</v>
      </c>
      <c r="X8328" s="3">
        <v>2</v>
      </c>
      <c r="AB8328" s="18">
        <f t="shared" si="260"/>
        <v>1998</v>
      </c>
      <c r="AC8328" s="22">
        <f t="shared" si="261"/>
        <v>0.48599999999999999</v>
      </c>
    </row>
    <row r="8329" spans="1:29" ht="25.5">
      <c r="A8329" s="8" t="s">
        <v>1823</v>
      </c>
      <c r="B8329" s="17" t="s">
        <v>7746</v>
      </c>
      <c r="C8329" s="13">
        <v>36130</v>
      </c>
      <c r="D8329" s="13" t="s">
        <v>8465</v>
      </c>
      <c r="E8329" s="10" t="s">
        <v>86</v>
      </c>
      <c r="F8329" s="10" t="s">
        <v>87</v>
      </c>
      <c r="G8329" s="11" t="s">
        <v>85</v>
      </c>
      <c r="H8329" s="2" t="s">
        <v>80</v>
      </c>
      <c r="L8329" s="18">
        <v>1</v>
      </c>
      <c r="M8329" s="14" t="s">
        <v>10622</v>
      </c>
      <c r="N8329" s="13">
        <v>43520</v>
      </c>
      <c r="O8329" s="29">
        <v>24.99</v>
      </c>
      <c r="P8329" s="18" t="s">
        <v>14</v>
      </c>
      <c r="Q8329" s="18">
        <v>1</v>
      </c>
      <c r="T8329" s="22">
        <v>0.8</v>
      </c>
      <c r="U8329" s="22">
        <v>0.91</v>
      </c>
      <c r="V8329" s="22">
        <f>4.36/5</f>
        <v>0.87200000000000011</v>
      </c>
      <c r="AB8329" s="18">
        <f t="shared" si="260"/>
        <v>1998</v>
      </c>
      <c r="AC8329" s="22">
        <f t="shared" si="261"/>
        <v>0.86066666666666658</v>
      </c>
    </row>
    <row r="8330" spans="1:29">
      <c r="A8330" s="8" t="s">
        <v>4069</v>
      </c>
      <c r="B8330" s="17" t="s">
        <v>7800</v>
      </c>
      <c r="C8330" s="13">
        <v>36107</v>
      </c>
      <c r="D8330" s="13" t="s">
        <v>8465</v>
      </c>
      <c r="E8330" s="10" t="s">
        <v>4070</v>
      </c>
      <c r="F8330" s="10" t="s">
        <v>4070</v>
      </c>
      <c r="G8330" s="11" t="s">
        <v>4069</v>
      </c>
      <c r="H8330" s="2" t="s">
        <v>1050</v>
      </c>
      <c r="L8330" s="18">
        <v>1</v>
      </c>
      <c r="N8330" s="13">
        <v>41103</v>
      </c>
      <c r="O8330" s="29">
        <v>2.4900000000000002</v>
      </c>
      <c r="P8330" s="18" t="s">
        <v>1107</v>
      </c>
      <c r="Q8330" s="18">
        <v>1</v>
      </c>
      <c r="R8330" s="13">
        <v>41169</v>
      </c>
      <c r="S8330" s="21">
        <v>15.3</v>
      </c>
      <c r="T8330" s="22">
        <v>0.8</v>
      </c>
      <c r="U8330" s="22">
        <v>0.94</v>
      </c>
      <c r="V8330" s="22">
        <f>4.22/5</f>
        <v>0.84399999999999997</v>
      </c>
      <c r="W8330" s="14" t="s">
        <v>7777</v>
      </c>
      <c r="AB8330" s="18">
        <f t="shared" si="260"/>
        <v>1998</v>
      </c>
      <c r="AC8330" s="22">
        <f t="shared" si="261"/>
        <v>0.8613333333333334</v>
      </c>
    </row>
    <row r="8331" spans="1:29">
      <c r="A8331" s="8" t="s">
        <v>1857</v>
      </c>
      <c r="B8331" s="17" t="s">
        <v>7757</v>
      </c>
      <c r="C8331" s="13">
        <v>36089</v>
      </c>
      <c r="D8331" s="13" t="s">
        <v>8465</v>
      </c>
      <c r="E8331" s="10" t="s">
        <v>72</v>
      </c>
      <c r="F8331" s="10" t="s">
        <v>72</v>
      </c>
      <c r="G8331" s="11" t="s">
        <v>220</v>
      </c>
      <c r="H8331" s="2" t="s">
        <v>245</v>
      </c>
      <c r="L8331" s="18">
        <v>0</v>
      </c>
      <c r="Q8331" s="18">
        <v>1</v>
      </c>
      <c r="T8331" s="22">
        <v>0.8</v>
      </c>
      <c r="U8331" s="22">
        <v>0.93</v>
      </c>
      <c r="V8331" s="22">
        <f>4.54/5</f>
        <v>0.90800000000000003</v>
      </c>
      <c r="Y8331" s="18">
        <v>1</v>
      </c>
      <c r="AB8331" s="18">
        <f t="shared" si="260"/>
        <v>1998</v>
      </c>
      <c r="AC8331" s="22">
        <f t="shared" si="261"/>
        <v>0.8793333333333333</v>
      </c>
    </row>
    <row r="8332" spans="1:29">
      <c r="A8332" s="8" t="s">
        <v>2906</v>
      </c>
      <c r="B8332" s="17" t="s">
        <v>7757</v>
      </c>
      <c r="C8332" s="13">
        <v>36088</v>
      </c>
      <c r="D8332" s="13" t="s">
        <v>8465</v>
      </c>
      <c r="E8332" s="10" t="s">
        <v>161</v>
      </c>
      <c r="F8332" s="10" t="s">
        <v>161</v>
      </c>
      <c r="G8332" s="11" t="s">
        <v>1146</v>
      </c>
      <c r="H8332" s="2" t="s">
        <v>149</v>
      </c>
      <c r="L8332" s="18">
        <v>0</v>
      </c>
      <c r="Q8332" s="18">
        <v>1</v>
      </c>
      <c r="T8332" s="22">
        <v>0.8</v>
      </c>
      <c r="U8332" s="22">
        <v>0.91</v>
      </c>
      <c r="V8332" s="22">
        <f>4.36/5</f>
        <v>0.87200000000000011</v>
      </c>
      <c r="Y8332" s="18">
        <v>1</v>
      </c>
      <c r="AB8332" s="18">
        <f t="shared" si="260"/>
        <v>1998</v>
      </c>
      <c r="AC8332" s="22">
        <f t="shared" si="261"/>
        <v>0.86066666666666658</v>
      </c>
    </row>
    <row r="8333" spans="1:29">
      <c r="A8333" s="8" t="s">
        <v>1772</v>
      </c>
      <c r="B8333" s="17" t="s">
        <v>7745</v>
      </c>
      <c r="C8333" s="13">
        <v>36068</v>
      </c>
      <c r="D8333" s="13" t="s">
        <v>8465</v>
      </c>
      <c r="E8333" s="10" t="s">
        <v>86</v>
      </c>
      <c r="F8333" s="10" t="s">
        <v>1354</v>
      </c>
      <c r="G8333" s="11" t="s">
        <v>1470</v>
      </c>
      <c r="H8333" s="2" t="s">
        <v>149</v>
      </c>
      <c r="L8333" s="18">
        <v>0</v>
      </c>
      <c r="Q8333" s="18">
        <v>1</v>
      </c>
      <c r="T8333" s="22">
        <v>0.8</v>
      </c>
      <c r="U8333" s="22">
        <v>0.88</v>
      </c>
      <c r="V8333" s="22">
        <f>4.26/5</f>
        <v>0.85199999999999998</v>
      </c>
      <c r="AB8333" s="18">
        <f t="shared" si="260"/>
        <v>1998</v>
      </c>
      <c r="AC8333" s="22">
        <f t="shared" si="261"/>
        <v>0.84399999999999997</v>
      </c>
    </row>
    <row r="8334" spans="1:29">
      <c r="A8334" s="8" t="s">
        <v>6161</v>
      </c>
      <c r="B8334" s="17" t="s">
        <v>6317</v>
      </c>
      <c r="C8334" s="13">
        <v>36006</v>
      </c>
      <c r="D8334" s="13" t="s">
        <v>8465</v>
      </c>
      <c r="E8334" s="10" t="s">
        <v>158</v>
      </c>
      <c r="F8334" s="10" t="s">
        <v>6724</v>
      </c>
      <c r="G8334" s="11" t="s">
        <v>6161</v>
      </c>
      <c r="H8334" s="2" t="s">
        <v>459</v>
      </c>
      <c r="L8334" s="18">
        <v>0</v>
      </c>
      <c r="Q8334" s="18">
        <v>1</v>
      </c>
      <c r="R8334" s="13">
        <v>45060</v>
      </c>
      <c r="T8334" s="22">
        <v>0.5</v>
      </c>
      <c r="V8334" s="22">
        <f>3.74/5</f>
        <v>0.748</v>
      </c>
      <c r="AB8334" s="18">
        <f t="shared" si="260"/>
        <v>1998</v>
      </c>
      <c r="AC8334" s="22">
        <f t="shared" si="261"/>
        <v>0.624</v>
      </c>
    </row>
    <row r="8335" spans="1:29">
      <c r="A8335" s="8" t="s">
        <v>486</v>
      </c>
      <c r="B8335" s="17" t="s">
        <v>7731</v>
      </c>
      <c r="C8335" s="13">
        <v>35887</v>
      </c>
      <c r="D8335" s="13" t="s">
        <v>8465</v>
      </c>
      <c r="E8335" s="10" t="s">
        <v>170</v>
      </c>
      <c r="F8335" s="10" t="s">
        <v>170</v>
      </c>
      <c r="G8335" s="11" t="s">
        <v>450</v>
      </c>
      <c r="H8335" s="2" t="s">
        <v>147</v>
      </c>
      <c r="L8335" s="18">
        <v>0</v>
      </c>
      <c r="Q8335" s="18">
        <v>1</v>
      </c>
      <c r="T8335" s="22">
        <v>0.8</v>
      </c>
      <c r="V8335" s="22">
        <f>4.02/5</f>
        <v>0.80399999999999994</v>
      </c>
      <c r="AB8335" s="18">
        <f t="shared" si="260"/>
        <v>1998</v>
      </c>
      <c r="AC8335" s="22">
        <f t="shared" si="261"/>
        <v>0.80200000000000005</v>
      </c>
    </row>
    <row r="8336" spans="1:29" ht="38.25">
      <c r="A8336" s="8" t="s">
        <v>579</v>
      </c>
      <c r="B8336" s="17" t="s">
        <v>7736</v>
      </c>
      <c r="C8336" s="13">
        <v>35886</v>
      </c>
      <c r="D8336" s="13" t="s">
        <v>8463</v>
      </c>
      <c r="E8336" s="10" t="s">
        <v>86</v>
      </c>
      <c r="F8336" s="10" t="s">
        <v>58</v>
      </c>
      <c r="G8336" s="11" t="s">
        <v>9805</v>
      </c>
      <c r="H8336" s="2" t="s">
        <v>1057</v>
      </c>
      <c r="K8336" s="18">
        <v>2</v>
      </c>
      <c r="L8336" s="18">
        <v>0</v>
      </c>
      <c r="Q8336" s="18">
        <v>1</v>
      </c>
      <c r="T8336" s="22">
        <v>0.9</v>
      </c>
      <c r="V8336" s="22">
        <f>4.3/5</f>
        <v>0.86</v>
      </c>
      <c r="AB8336" s="18">
        <f t="shared" si="260"/>
        <v>1998</v>
      </c>
      <c r="AC8336" s="22">
        <f t="shared" si="261"/>
        <v>0.88</v>
      </c>
    </row>
    <row r="8337" spans="1:29">
      <c r="A8337" s="8" t="s">
        <v>1760</v>
      </c>
      <c r="B8337" s="17" t="s">
        <v>7745</v>
      </c>
      <c r="C8337" s="13">
        <v>35865</v>
      </c>
      <c r="D8337" s="13" t="s">
        <v>8465</v>
      </c>
      <c r="E8337" s="10" t="s">
        <v>72</v>
      </c>
      <c r="F8337" s="10" t="s">
        <v>72</v>
      </c>
      <c r="G8337" s="11" t="s">
        <v>113</v>
      </c>
      <c r="H8337" s="2" t="s">
        <v>56</v>
      </c>
      <c r="L8337" s="18">
        <v>0</v>
      </c>
      <c r="Q8337" s="18">
        <v>1</v>
      </c>
      <c r="T8337" s="22">
        <v>0.6</v>
      </c>
      <c r="U8337" s="22">
        <v>0.53</v>
      </c>
      <c r="V8337" s="22">
        <f>3.17/5</f>
        <v>0.63400000000000001</v>
      </c>
      <c r="AB8337" s="18">
        <f t="shared" si="260"/>
        <v>1998</v>
      </c>
      <c r="AC8337" s="22">
        <f t="shared" si="261"/>
        <v>0.58799999999999997</v>
      </c>
    </row>
    <row r="8338" spans="1:29" ht="30">
      <c r="A8338" s="8" t="s">
        <v>1981</v>
      </c>
      <c r="B8338" s="17" t="s">
        <v>7757</v>
      </c>
      <c r="C8338" s="13">
        <v>35823</v>
      </c>
      <c r="D8338" s="13" t="s">
        <v>8465</v>
      </c>
      <c r="E8338" s="10" t="s">
        <v>2908</v>
      </c>
      <c r="F8338" s="10" t="s">
        <v>161</v>
      </c>
      <c r="G8338" s="11" t="s">
        <v>1981</v>
      </c>
      <c r="H8338" s="2" t="s">
        <v>75</v>
      </c>
      <c r="L8338" s="18">
        <v>1</v>
      </c>
      <c r="M8338" s="14" t="s">
        <v>8462</v>
      </c>
      <c r="N8338" s="13">
        <v>43968</v>
      </c>
      <c r="O8338" s="29">
        <v>21.69</v>
      </c>
      <c r="P8338" s="18" t="s">
        <v>14</v>
      </c>
      <c r="Q8338" s="18">
        <v>1</v>
      </c>
      <c r="R8338" s="13">
        <v>44587</v>
      </c>
      <c r="S8338" s="21">
        <f>36+13/60+38/3600</f>
        <v>36.227222222222224</v>
      </c>
      <c r="T8338" s="22">
        <v>0.9</v>
      </c>
      <c r="U8338" s="22">
        <v>0.83</v>
      </c>
      <c r="V8338" s="22">
        <f>4.4/5</f>
        <v>0.88000000000000012</v>
      </c>
      <c r="W8338" s="14" t="s">
        <v>8841</v>
      </c>
      <c r="AB8338" s="18">
        <f t="shared" si="260"/>
        <v>1998</v>
      </c>
      <c r="AC8338" s="22">
        <f t="shared" si="261"/>
        <v>0.87000000000000011</v>
      </c>
    </row>
    <row r="8339" spans="1:29" ht="25.5">
      <c r="A8339" s="8" t="s">
        <v>314</v>
      </c>
      <c r="B8339" s="17" t="s">
        <v>6317</v>
      </c>
      <c r="C8339" s="13">
        <v>35807</v>
      </c>
      <c r="D8339" s="13" t="s">
        <v>8465</v>
      </c>
      <c r="E8339" s="10" t="s">
        <v>73</v>
      </c>
      <c r="F8339" s="10" t="s">
        <v>73</v>
      </c>
      <c r="G8339" s="11" t="s">
        <v>449</v>
      </c>
      <c r="H8339" s="2" t="s">
        <v>459</v>
      </c>
      <c r="L8339" s="18">
        <v>0</v>
      </c>
      <c r="Q8339" s="18">
        <v>1</v>
      </c>
      <c r="T8339" s="22">
        <v>0.7</v>
      </c>
      <c r="V8339" s="22">
        <f>4.1/5</f>
        <v>0.82</v>
      </c>
      <c r="AB8339" s="18">
        <f t="shared" si="260"/>
        <v>1998</v>
      </c>
      <c r="AC8339" s="22">
        <f t="shared" si="261"/>
        <v>0.76</v>
      </c>
    </row>
    <row r="8340" spans="1:29">
      <c r="A8340" s="8" t="s">
        <v>322</v>
      </c>
      <c r="B8340" s="17" t="s">
        <v>6317</v>
      </c>
      <c r="C8340" s="12">
        <v>35796</v>
      </c>
      <c r="D8340" s="13" t="s">
        <v>8465</v>
      </c>
      <c r="E8340" s="10" t="s">
        <v>228</v>
      </c>
      <c r="F8340" s="10" t="s">
        <v>467</v>
      </c>
      <c r="H8340" s="2" t="s">
        <v>21</v>
      </c>
      <c r="L8340" s="18">
        <v>0</v>
      </c>
      <c r="Q8340" s="18">
        <v>1</v>
      </c>
      <c r="T8340" s="22">
        <v>0.7</v>
      </c>
      <c r="V8340" s="22">
        <f>3.76/5</f>
        <v>0.752</v>
      </c>
      <c r="AB8340" s="18">
        <f t="shared" si="260"/>
        <v>1998</v>
      </c>
      <c r="AC8340" s="22">
        <f t="shared" si="261"/>
        <v>0.72599999999999998</v>
      </c>
    </row>
    <row r="8341" spans="1:29" ht="38.25">
      <c r="A8341" s="8" t="s">
        <v>14345</v>
      </c>
      <c r="B8341" s="17" t="s">
        <v>10323</v>
      </c>
      <c r="C8341" s="13">
        <v>35793</v>
      </c>
      <c r="D8341" s="13" t="s">
        <v>8463</v>
      </c>
      <c r="E8341" s="10" t="s">
        <v>14336</v>
      </c>
      <c r="F8341" s="10" t="s">
        <v>14337</v>
      </c>
      <c r="G8341" s="11" t="s">
        <v>13598</v>
      </c>
      <c r="H8341" s="2" t="s">
        <v>21</v>
      </c>
      <c r="K8341" s="18">
        <v>2</v>
      </c>
      <c r="L8341" s="18">
        <v>0</v>
      </c>
      <c r="Q8341" s="18">
        <v>0</v>
      </c>
      <c r="V8341" s="22">
        <f>3.65/5</f>
        <v>0.73</v>
      </c>
      <c r="X8341" s="3">
        <v>3</v>
      </c>
      <c r="Z8341" s="23">
        <f>47/60</f>
        <v>0.78333333333333333</v>
      </c>
      <c r="AB8341" s="18">
        <f t="shared" si="260"/>
        <v>1997</v>
      </c>
      <c r="AC8341" s="22">
        <f t="shared" si="261"/>
        <v>0.66500000000000004</v>
      </c>
    </row>
    <row r="8342" spans="1:29" ht="25.5">
      <c r="A8342" s="8" t="s">
        <v>10823</v>
      </c>
      <c r="B8342" s="17" t="s">
        <v>7757</v>
      </c>
      <c r="C8342" s="13">
        <v>35789</v>
      </c>
      <c r="D8342" s="13" t="s">
        <v>8463</v>
      </c>
      <c r="E8342" s="10" t="s">
        <v>81</v>
      </c>
      <c r="F8342" s="10" t="s">
        <v>10824</v>
      </c>
      <c r="G8342" s="11" t="s">
        <v>10825</v>
      </c>
      <c r="H8342" s="2" t="s">
        <v>149</v>
      </c>
      <c r="K8342" s="18">
        <v>0</v>
      </c>
      <c r="L8342" s="18">
        <v>0</v>
      </c>
      <c r="Q8342" s="18">
        <v>0</v>
      </c>
      <c r="V8342" s="22">
        <f>3.63/5</f>
        <v>0.72599999999999998</v>
      </c>
      <c r="X8342" s="3">
        <v>2</v>
      </c>
      <c r="Z8342" s="23">
        <v>1.5</v>
      </c>
      <c r="AB8342" s="18">
        <f t="shared" si="260"/>
        <v>1997</v>
      </c>
      <c r="AC8342" s="22">
        <f t="shared" si="261"/>
        <v>0.56299999999999994</v>
      </c>
    </row>
    <row r="8343" spans="1:29">
      <c r="A8343" s="8" t="s">
        <v>8178</v>
      </c>
      <c r="B8343" s="17" t="s">
        <v>6317</v>
      </c>
      <c r="C8343" s="13">
        <v>35783</v>
      </c>
      <c r="D8343" s="13" t="s">
        <v>8463</v>
      </c>
      <c r="E8343" s="10" t="s">
        <v>170</v>
      </c>
      <c r="F8343" s="10" t="s">
        <v>170</v>
      </c>
      <c r="G8343" s="11" t="s">
        <v>519</v>
      </c>
      <c r="H8343" s="2" t="s">
        <v>459</v>
      </c>
      <c r="K8343" s="18">
        <v>0</v>
      </c>
      <c r="L8343" s="18">
        <v>0</v>
      </c>
      <c r="Q8343" s="18">
        <v>0</v>
      </c>
      <c r="V8343" s="22">
        <f>3.35/5</f>
        <v>0.67</v>
      </c>
      <c r="X8343" s="3">
        <v>2</v>
      </c>
      <c r="AB8343" s="18">
        <f t="shared" si="260"/>
        <v>1997</v>
      </c>
      <c r="AC8343" s="22">
        <f t="shared" si="261"/>
        <v>0.53500000000000003</v>
      </c>
    </row>
    <row r="8344" spans="1:29">
      <c r="A8344" s="8" t="s">
        <v>12649</v>
      </c>
      <c r="B8344" s="17" t="s">
        <v>7754</v>
      </c>
      <c r="C8344" s="13">
        <v>35782</v>
      </c>
      <c r="D8344" s="13" t="s">
        <v>8463</v>
      </c>
      <c r="E8344" s="10" t="s">
        <v>12647</v>
      </c>
      <c r="F8344" s="10" t="s">
        <v>3019</v>
      </c>
      <c r="H8344" s="2" t="s">
        <v>1040</v>
      </c>
      <c r="K8344" s="18">
        <v>2</v>
      </c>
      <c r="L8344" s="18">
        <v>0</v>
      </c>
      <c r="Q8344" s="18">
        <v>0</v>
      </c>
      <c r="V8344" s="22">
        <f>3.33/5</f>
        <v>0.66600000000000004</v>
      </c>
      <c r="X8344" s="3">
        <v>2</v>
      </c>
      <c r="Z8344" s="23">
        <v>3</v>
      </c>
      <c r="AB8344" s="18">
        <f t="shared" si="260"/>
        <v>1997</v>
      </c>
      <c r="AC8344" s="22">
        <f t="shared" si="261"/>
        <v>0.53300000000000003</v>
      </c>
    </row>
    <row r="8345" spans="1:29">
      <c r="A8345" s="8" t="s">
        <v>2733</v>
      </c>
      <c r="B8345" s="17" t="s">
        <v>7754</v>
      </c>
      <c r="C8345" s="13">
        <v>35775</v>
      </c>
      <c r="D8345" s="13" t="s">
        <v>8463</v>
      </c>
      <c r="E8345" s="10" t="s">
        <v>228</v>
      </c>
      <c r="F8345" s="10" t="s">
        <v>228</v>
      </c>
      <c r="H8345" s="2" t="s">
        <v>171</v>
      </c>
      <c r="K8345" s="18">
        <v>1</v>
      </c>
      <c r="L8345" s="18">
        <v>0</v>
      </c>
      <c r="Q8345" s="18">
        <v>0</v>
      </c>
      <c r="U8345" s="22">
        <v>0.95</v>
      </c>
      <c r="V8345" s="22">
        <f>4.08/5</f>
        <v>0.81600000000000006</v>
      </c>
      <c r="X8345" s="3">
        <v>4</v>
      </c>
      <c r="Z8345" s="23">
        <v>13</v>
      </c>
      <c r="AB8345" s="18">
        <f t="shared" si="260"/>
        <v>1997</v>
      </c>
      <c r="AC8345" s="22">
        <f t="shared" si="261"/>
        <v>0.85533333333333328</v>
      </c>
    </row>
    <row r="8346" spans="1:29">
      <c r="A8346" s="8" t="s">
        <v>6589</v>
      </c>
      <c r="B8346" s="17" t="s">
        <v>7800</v>
      </c>
      <c r="C8346" s="13">
        <v>35773</v>
      </c>
      <c r="D8346" s="13" t="s">
        <v>8465</v>
      </c>
      <c r="E8346" s="10" t="s">
        <v>1273</v>
      </c>
      <c r="F8346" s="10" t="s">
        <v>1889</v>
      </c>
      <c r="G8346" s="11" t="s">
        <v>6588</v>
      </c>
      <c r="H8346" s="2" t="s">
        <v>1050</v>
      </c>
      <c r="L8346" s="18">
        <v>1</v>
      </c>
      <c r="N8346" s="13">
        <v>43799</v>
      </c>
      <c r="O8346" s="29">
        <v>1.49</v>
      </c>
      <c r="P8346" s="18" t="s">
        <v>1107</v>
      </c>
      <c r="Q8346" s="18">
        <v>0</v>
      </c>
      <c r="U8346" s="22">
        <v>0.87309999999999999</v>
      </c>
      <c r="V8346" s="22">
        <f>3.99/5</f>
        <v>0.79800000000000004</v>
      </c>
      <c r="W8346" s="14" t="s">
        <v>7777</v>
      </c>
      <c r="X8346" s="3">
        <v>3</v>
      </c>
      <c r="Z8346" s="23">
        <v>8.5</v>
      </c>
      <c r="AB8346" s="18">
        <f t="shared" si="260"/>
        <v>1997</v>
      </c>
      <c r="AC8346" s="22">
        <f t="shared" si="261"/>
        <v>0.75703333333333334</v>
      </c>
    </row>
    <row r="8347" spans="1:29" ht="30">
      <c r="A8347" s="8" t="s">
        <v>15108</v>
      </c>
      <c r="B8347" s="17" t="s">
        <v>7800</v>
      </c>
      <c r="C8347" s="13">
        <v>35769</v>
      </c>
      <c r="D8347" s="13" t="s">
        <v>8465</v>
      </c>
      <c r="E8347" s="10" t="s">
        <v>6904</v>
      </c>
      <c r="F8347" s="10" t="s">
        <v>15109</v>
      </c>
      <c r="G8347" s="11" t="s">
        <v>440</v>
      </c>
      <c r="H8347" s="2" t="s">
        <v>1050</v>
      </c>
      <c r="L8347" s="18">
        <v>0</v>
      </c>
      <c r="Q8347" s="18">
        <v>0</v>
      </c>
      <c r="V8347" s="22">
        <f>2.5/5</f>
        <v>0.5</v>
      </c>
      <c r="X8347" s="3">
        <v>2</v>
      </c>
      <c r="Z8347" s="23">
        <v>20</v>
      </c>
      <c r="AB8347" s="18">
        <f t="shared" si="260"/>
        <v>1997</v>
      </c>
      <c r="AC8347" s="22">
        <f t="shared" si="261"/>
        <v>0.45</v>
      </c>
    </row>
    <row r="8348" spans="1:29" ht="25.5">
      <c r="A8348" s="8" t="s">
        <v>1885</v>
      </c>
      <c r="B8348" s="17" t="s">
        <v>7745</v>
      </c>
      <c r="C8348" s="12">
        <v>35765</v>
      </c>
      <c r="D8348" s="13" t="s">
        <v>8465</v>
      </c>
      <c r="E8348" s="10" t="s">
        <v>154</v>
      </c>
      <c r="F8348" s="10" t="s">
        <v>1886</v>
      </c>
      <c r="G8348" s="11" t="s">
        <v>1465</v>
      </c>
      <c r="H8348" s="2" t="s">
        <v>56</v>
      </c>
      <c r="L8348" s="18">
        <v>0</v>
      </c>
      <c r="Q8348" s="18">
        <v>0</v>
      </c>
      <c r="U8348" s="22">
        <v>0.5</v>
      </c>
      <c r="V8348" s="22">
        <f>2.99/5</f>
        <v>0.59800000000000009</v>
      </c>
      <c r="X8348" s="3">
        <v>2</v>
      </c>
      <c r="Z8348" s="23">
        <v>2</v>
      </c>
      <c r="AB8348" s="18">
        <f t="shared" si="260"/>
        <v>1997</v>
      </c>
      <c r="AC8348" s="22">
        <f t="shared" si="261"/>
        <v>0.49933333333333341</v>
      </c>
    </row>
    <row r="8349" spans="1:29">
      <c r="A8349" s="8" t="s">
        <v>1465</v>
      </c>
      <c r="B8349" s="17" t="s">
        <v>7800</v>
      </c>
      <c r="C8349" s="13">
        <v>35764</v>
      </c>
      <c r="D8349" s="13" t="s">
        <v>8465</v>
      </c>
      <c r="E8349" s="10" t="s">
        <v>8722</v>
      </c>
      <c r="F8349" s="10" t="s">
        <v>1279</v>
      </c>
      <c r="G8349" s="11" t="s">
        <v>1465</v>
      </c>
      <c r="H8349" s="2" t="s">
        <v>1050</v>
      </c>
      <c r="L8349" s="18">
        <v>1</v>
      </c>
      <c r="N8349" s="13">
        <v>43896</v>
      </c>
      <c r="O8349" s="29">
        <v>0</v>
      </c>
      <c r="P8349" s="18" t="s">
        <v>1107</v>
      </c>
      <c r="Q8349" s="18">
        <v>0</v>
      </c>
      <c r="U8349" s="22">
        <v>0.67</v>
      </c>
      <c r="V8349" s="22">
        <f>3.7/5</f>
        <v>0.74</v>
      </c>
      <c r="W8349" s="14" t="s">
        <v>7777</v>
      </c>
      <c r="X8349" s="3">
        <v>3</v>
      </c>
      <c r="Z8349" s="23">
        <v>7.5</v>
      </c>
      <c r="AB8349" s="18">
        <f t="shared" si="260"/>
        <v>1997</v>
      </c>
      <c r="AC8349" s="22">
        <f t="shared" si="261"/>
        <v>0.67</v>
      </c>
    </row>
    <row r="8350" spans="1:29">
      <c r="A8350" s="8" t="s">
        <v>7681</v>
      </c>
      <c r="B8350" s="17" t="s">
        <v>7757</v>
      </c>
      <c r="C8350" s="13">
        <v>35764</v>
      </c>
      <c r="D8350" s="13" t="s">
        <v>8465</v>
      </c>
      <c r="E8350" s="10" t="s">
        <v>76</v>
      </c>
      <c r="F8350" s="10" t="s">
        <v>76</v>
      </c>
      <c r="G8350" s="11" t="s">
        <v>7681</v>
      </c>
      <c r="H8350" s="2" t="s">
        <v>1334</v>
      </c>
      <c r="L8350" s="18">
        <v>0</v>
      </c>
      <c r="Q8350" s="18">
        <v>0</v>
      </c>
      <c r="U8350" s="22">
        <v>0.86</v>
      </c>
      <c r="V8350" s="22">
        <f>3.73/5</f>
        <v>0.746</v>
      </c>
      <c r="X8350" s="3">
        <v>3</v>
      </c>
      <c r="Z8350" s="23">
        <v>16.5</v>
      </c>
      <c r="AB8350" s="18">
        <f t="shared" si="260"/>
        <v>1997</v>
      </c>
      <c r="AC8350" s="22">
        <f t="shared" si="261"/>
        <v>0.73533333333333328</v>
      </c>
    </row>
    <row r="8351" spans="1:29" ht="25.5">
      <c r="A8351" s="8" t="s">
        <v>7593</v>
      </c>
      <c r="B8351" s="17" t="s">
        <v>7800</v>
      </c>
      <c r="C8351" s="13">
        <v>35764</v>
      </c>
      <c r="D8351" s="13" t="s">
        <v>8465</v>
      </c>
      <c r="E8351" s="10" t="s">
        <v>231</v>
      </c>
      <c r="F8351" s="10" t="s">
        <v>1784</v>
      </c>
      <c r="G8351" s="11" t="s">
        <v>6562</v>
      </c>
      <c r="H8351" s="2" t="s">
        <v>7594</v>
      </c>
      <c r="L8351" s="18">
        <v>0</v>
      </c>
      <c r="Q8351" s="18">
        <v>0</v>
      </c>
      <c r="U8351" s="22">
        <v>0.81</v>
      </c>
      <c r="V8351" s="22">
        <f>3.77/5</f>
        <v>0.754</v>
      </c>
      <c r="W8351" s="14" t="s">
        <v>7778</v>
      </c>
      <c r="X8351" s="3">
        <v>3</v>
      </c>
      <c r="Z8351" s="23">
        <v>16</v>
      </c>
      <c r="AB8351" s="18">
        <f t="shared" si="260"/>
        <v>1997</v>
      </c>
      <c r="AC8351" s="22">
        <f t="shared" si="261"/>
        <v>0.72133333333333338</v>
      </c>
    </row>
    <row r="8352" spans="1:29" ht="25.5">
      <c r="A8352" s="8" t="s">
        <v>6936</v>
      </c>
      <c r="B8352" s="17" t="s">
        <v>7800</v>
      </c>
      <c r="C8352" s="13">
        <v>35764</v>
      </c>
      <c r="D8352" s="13" t="s">
        <v>8465</v>
      </c>
      <c r="E8352" s="10" t="s">
        <v>231</v>
      </c>
      <c r="F8352" s="10" t="s">
        <v>6907</v>
      </c>
      <c r="G8352" s="11" t="s">
        <v>6849</v>
      </c>
      <c r="H8352" s="2" t="s">
        <v>1143</v>
      </c>
      <c r="L8352" s="18">
        <v>1</v>
      </c>
      <c r="N8352" s="13">
        <v>41684</v>
      </c>
      <c r="O8352" s="29">
        <v>0</v>
      </c>
      <c r="P8352" s="18" t="s">
        <v>1107</v>
      </c>
      <c r="Q8352" s="18">
        <v>0</v>
      </c>
      <c r="U8352" s="22">
        <v>0.59</v>
      </c>
      <c r="V8352" s="22">
        <f>4.42/5</f>
        <v>0.88400000000000001</v>
      </c>
      <c r="W8352" s="14" t="s">
        <v>7778</v>
      </c>
      <c r="X8352" s="3">
        <v>3</v>
      </c>
      <c r="Z8352" s="23">
        <v>52</v>
      </c>
      <c r="AB8352" s="18">
        <f t="shared" si="260"/>
        <v>1997</v>
      </c>
      <c r="AC8352" s="22">
        <f t="shared" si="261"/>
        <v>0.69133333333333324</v>
      </c>
    </row>
    <row r="8353" spans="1:29">
      <c r="A8353" s="8" t="s">
        <v>8390</v>
      </c>
      <c r="B8353" s="17" t="s">
        <v>7739</v>
      </c>
      <c r="C8353" s="13">
        <v>35764</v>
      </c>
      <c r="D8353" s="13" t="s">
        <v>8465</v>
      </c>
      <c r="E8353" s="10" t="s">
        <v>86</v>
      </c>
      <c r="F8353" s="10" t="s">
        <v>62</v>
      </c>
      <c r="G8353" s="11" t="s">
        <v>7674</v>
      </c>
      <c r="H8353" s="2" t="s">
        <v>80</v>
      </c>
      <c r="L8353" s="18">
        <v>0</v>
      </c>
      <c r="Q8353" s="18">
        <v>0</v>
      </c>
      <c r="V8353" s="22">
        <f>3.67/5</f>
        <v>0.73399999999999999</v>
      </c>
      <c r="X8353" s="3">
        <v>3</v>
      </c>
      <c r="Z8353" s="23">
        <v>3.5</v>
      </c>
      <c r="AB8353" s="18">
        <f t="shared" si="260"/>
        <v>1997</v>
      </c>
      <c r="AC8353" s="22">
        <f t="shared" si="261"/>
        <v>0.66700000000000004</v>
      </c>
    </row>
    <row r="8354" spans="1:29" ht="25.5">
      <c r="A8354" s="8" t="s">
        <v>7581</v>
      </c>
      <c r="B8354" s="17" t="s">
        <v>7800</v>
      </c>
      <c r="C8354" s="13">
        <v>35764</v>
      </c>
      <c r="D8354" s="13" t="s">
        <v>8465</v>
      </c>
      <c r="E8354" s="10" t="s">
        <v>1690</v>
      </c>
      <c r="F8354" s="10" t="s">
        <v>1690</v>
      </c>
      <c r="G8354" s="11" t="s">
        <v>1207</v>
      </c>
      <c r="H8354" s="2" t="s">
        <v>171</v>
      </c>
      <c r="L8354" s="18">
        <v>1</v>
      </c>
      <c r="N8354" s="13">
        <v>45161</v>
      </c>
      <c r="O8354" s="29">
        <v>1.6</v>
      </c>
      <c r="P8354" s="18" t="s">
        <v>1107</v>
      </c>
      <c r="Q8354" s="18">
        <v>0</v>
      </c>
      <c r="U8354" s="22">
        <v>0.63</v>
      </c>
      <c r="V8354" s="22">
        <f>3.05/5</f>
        <v>0.61</v>
      </c>
      <c r="W8354" s="14" t="s">
        <v>7777</v>
      </c>
      <c r="X8354" s="3">
        <v>3</v>
      </c>
      <c r="Z8354" s="23">
        <v>15</v>
      </c>
      <c r="AB8354" s="18">
        <f t="shared" si="260"/>
        <v>1997</v>
      </c>
      <c r="AC8354" s="22">
        <f t="shared" si="261"/>
        <v>0.61333333333333329</v>
      </c>
    </row>
    <row r="8355" spans="1:29">
      <c r="A8355" s="8" t="s">
        <v>6564</v>
      </c>
      <c r="B8355" s="20" t="s">
        <v>7739</v>
      </c>
      <c r="C8355" s="13">
        <v>35764</v>
      </c>
      <c r="D8355" s="13" t="s">
        <v>8465</v>
      </c>
      <c r="E8355" s="10" t="s">
        <v>160</v>
      </c>
      <c r="F8355" s="10" t="s">
        <v>1786</v>
      </c>
      <c r="G8355" s="11" t="s">
        <v>6564</v>
      </c>
      <c r="H8355" s="2" t="s">
        <v>1040</v>
      </c>
      <c r="L8355" s="18">
        <v>0</v>
      </c>
      <c r="Q8355" s="18">
        <v>0</v>
      </c>
      <c r="U8355" s="22">
        <v>0.59</v>
      </c>
      <c r="V8355" s="22">
        <f>3.17/5</f>
        <v>0.63400000000000001</v>
      </c>
      <c r="X8355" s="3">
        <v>2</v>
      </c>
      <c r="Z8355" s="23">
        <v>2</v>
      </c>
      <c r="AB8355" s="18">
        <f t="shared" si="260"/>
        <v>1997</v>
      </c>
      <c r="AC8355" s="22">
        <f t="shared" si="261"/>
        <v>0.54133333333333333</v>
      </c>
    </row>
    <row r="8356" spans="1:29" ht="25.5">
      <c r="A8356" s="8" t="s">
        <v>10446</v>
      </c>
      <c r="B8356" s="17" t="s">
        <v>7745</v>
      </c>
      <c r="C8356" s="13">
        <v>35762</v>
      </c>
      <c r="D8356" s="13" t="s">
        <v>8463</v>
      </c>
      <c r="E8356" s="10" t="s">
        <v>6575</v>
      </c>
      <c r="F8356" s="10" t="s">
        <v>66</v>
      </c>
      <c r="G8356" s="11" t="s">
        <v>9086</v>
      </c>
      <c r="H8356" s="2" t="s">
        <v>149</v>
      </c>
      <c r="K8356" s="18">
        <v>2</v>
      </c>
      <c r="L8356" s="18">
        <v>0</v>
      </c>
      <c r="Q8356" s="18">
        <v>0</v>
      </c>
      <c r="V8356" s="22">
        <f>3.73/5</f>
        <v>0.746</v>
      </c>
      <c r="X8356" s="3">
        <v>2</v>
      </c>
      <c r="Z8356" s="23">
        <v>14.5</v>
      </c>
      <c r="AB8356" s="18">
        <f t="shared" si="260"/>
        <v>1997</v>
      </c>
      <c r="AC8356" s="22">
        <f t="shared" si="261"/>
        <v>0.57299999999999995</v>
      </c>
    </row>
    <row r="8357" spans="1:29" ht="30">
      <c r="A8357" s="8" t="s">
        <v>14435</v>
      </c>
      <c r="B8357" s="17" t="s">
        <v>7757</v>
      </c>
      <c r="C8357" s="13">
        <v>35761</v>
      </c>
      <c r="D8357" s="13" t="s">
        <v>8463</v>
      </c>
      <c r="E8357" s="10" t="s">
        <v>2908</v>
      </c>
      <c r="F8357" s="10" t="s">
        <v>6092</v>
      </c>
      <c r="G8357" s="11" t="s">
        <v>10382</v>
      </c>
      <c r="H8357" s="2" t="s">
        <v>1050</v>
      </c>
      <c r="K8357" s="18">
        <v>0</v>
      </c>
      <c r="L8357" s="18">
        <v>0</v>
      </c>
      <c r="Q8357" s="18">
        <v>0</v>
      </c>
      <c r="V8357" s="22">
        <f>3.82/5</f>
        <v>0.76400000000000001</v>
      </c>
      <c r="X8357" s="3">
        <v>2</v>
      </c>
      <c r="AB8357" s="18">
        <f t="shared" si="260"/>
        <v>1997</v>
      </c>
      <c r="AC8357" s="22">
        <f t="shared" si="261"/>
        <v>0.58200000000000007</v>
      </c>
    </row>
    <row r="8358" spans="1:29">
      <c r="A8358" s="8" t="s">
        <v>1444</v>
      </c>
      <c r="B8358" s="17" t="s">
        <v>7736</v>
      </c>
      <c r="C8358" s="13">
        <v>35761</v>
      </c>
      <c r="D8358" s="13" t="s">
        <v>8465</v>
      </c>
      <c r="E8358" s="10" t="s">
        <v>86</v>
      </c>
      <c r="F8358" s="10" t="s">
        <v>30</v>
      </c>
      <c r="G8358" s="11" t="s">
        <v>223</v>
      </c>
      <c r="H8358" s="2" t="s">
        <v>64</v>
      </c>
      <c r="L8358" s="18">
        <v>0</v>
      </c>
      <c r="Q8358" s="18">
        <v>0</v>
      </c>
      <c r="U8358" s="22">
        <v>0.66</v>
      </c>
      <c r="V8358" s="22">
        <f>3.97/5</f>
        <v>0.79400000000000004</v>
      </c>
      <c r="X8358" s="3">
        <v>4</v>
      </c>
      <c r="Z8358" s="23">
        <v>3.5</v>
      </c>
      <c r="AB8358" s="18">
        <f t="shared" si="260"/>
        <v>1997</v>
      </c>
      <c r="AC8358" s="22">
        <f t="shared" si="261"/>
        <v>0.75133333333333352</v>
      </c>
    </row>
    <row r="8359" spans="1:29" ht="25.5">
      <c r="A8359" s="8" t="s">
        <v>12802</v>
      </c>
      <c r="B8359" s="17" t="s">
        <v>7757</v>
      </c>
      <c r="C8359" s="13">
        <v>35761</v>
      </c>
      <c r="D8359" s="13" t="s">
        <v>8463</v>
      </c>
      <c r="E8359" s="10" t="s">
        <v>157</v>
      </c>
      <c r="F8359" s="10" t="s">
        <v>9863</v>
      </c>
      <c r="H8359" s="2" t="s">
        <v>67</v>
      </c>
      <c r="K8359" s="18">
        <v>2</v>
      </c>
      <c r="L8359" s="18">
        <v>0</v>
      </c>
      <c r="Q8359" s="18">
        <v>0</v>
      </c>
      <c r="V8359" s="22">
        <f>3.3/5</f>
        <v>0.65999999999999992</v>
      </c>
      <c r="X8359" s="3">
        <v>2</v>
      </c>
      <c r="AB8359" s="18">
        <f t="shared" si="260"/>
        <v>1997</v>
      </c>
      <c r="AC8359" s="22">
        <f t="shared" si="261"/>
        <v>0.53</v>
      </c>
    </row>
    <row r="8360" spans="1:29" ht="25.5">
      <c r="A8360" s="8" t="s">
        <v>9113</v>
      </c>
      <c r="B8360" s="17" t="s">
        <v>7757</v>
      </c>
      <c r="C8360" s="13">
        <v>35761</v>
      </c>
      <c r="D8360" s="13" t="s">
        <v>8463</v>
      </c>
      <c r="E8360" s="10" t="s">
        <v>9114</v>
      </c>
      <c r="F8360" s="10" t="s">
        <v>9115</v>
      </c>
      <c r="H8360" s="2" t="s">
        <v>149</v>
      </c>
      <c r="K8360" s="18">
        <v>2</v>
      </c>
      <c r="L8360" s="18">
        <v>0</v>
      </c>
      <c r="Q8360" s="18">
        <v>0</v>
      </c>
      <c r="V8360" s="22">
        <f>2.07/5</f>
        <v>0.41399999999999998</v>
      </c>
      <c r="X8360" s="3">
        <v>2</v>
      </c>
      <c r="Z8360" s="23">
        <v>4</v>
      </c>
      <c r="AB8360" s="18">
        <f t="shared" si="260"/>
        <v>1997</v>
      </c>
      <c r="AC8360" s="22">
        <f t="shared" si="261"/>
        <v>0.40700000000000003</v>
      </c>
    </row>
    <row r="8361" spans="1:29" ht="25.5">
      <c r="A8361" s="8" t="s">
        <v>15621</v>
      </c>
      <c r="B8361" s="17" t="s">
        <v>7754</v>
      </c>
      <c r="C8361" s="13">
        <v>35761</v>
      </c>
      <c r="D8361" s="13" t="s">
        <v>8463</v>
      </c>
      <c r="E8361" s="10" t="s">
        <v>257</v>
      </c>
      <c r="F8361" s="10" t="s">
        <v>15622</v>
      </c>
      <c r="H8361" s="2" t="s">
        <v>67</v>
      </c>
      <c r="K8361" s="18">
        <v>0</v>
      </c>
      <c r="L8361" s="18">
        <v>0</v>
      </c>
      <c r="Q8361" s="18">
        <v>0</v>
      </c>
      <c r="V8361" s="22">
        <f>3.98/5</f>
        <v>0.79600000000000004</v>
      </c>
      <c r="X8361" s="3">
        <v>2</v>
      </c>
      <c r="AB8361" s="18">
        <f t="shared" si="260"/>
        <v>1997</v>
      </c>
      <c r="AC8361" s="22">
        <f t="shared" si="261"/>
        <v>0.59800000000000009</v>
      </c>
    </row>
    <row r="8362" spans="1:29">
      <c r="A8362" s="8" t="s">
        <v>7173</v>
      </c>
      <c r="B8362" s="17" t="s">
        <v>7800</v>
      </c>
      <c r="C8362" s="13">
        <v>35759</v>
      </c>
      <c r="D8362" s="13" t="s">
        <v>8465</v>
      </c>
      <c r="E8362" s="10" t="s">
        <v>7238</v>
      </c>
      <c r="F8362" s="10" t="s">
        <v>7238</v>
      </c>
      <c r="G8362" s="11" t="s">
        <v>7239</v>
      </c>
      <c r="H8362" s="2" t="s">
        <v>1143</v>
      </c>
      <c r="L8362" s="18">
        <v>0</v>
      </c>
      <c r="Q8362" s="18">
        <v>0</v>
      </c>
      <c r="U8362" s="22">
        <v>0.81</v>
      </c>
      <c r="V8362" s="22">
        <f>4/5</f>
        <v>0.8</v>
      </c>
      <c r="X8362" s="3">
        <v>3</v>
      </c>
      <c r="Z8362" s="23">
        <v>15</v>
      </c>
      <c r="AB8362" s="18">
        <f t="shared" si="260"/>
        <v>1997</v>
      </c>
      <c r="AC8362" s="22">
        <f t="shared" si="261"/>
        <v>0.73666666666666669</v>
      </c>
    </row>
    <row r="8363" spans="1:29">
      <c r="A8363" s="8" t="s">
        <v>871</v>
      </c>
      <c r="B8363" s="20" t="s">
        <v>7739</v>
      </c>
      <c r="C8363" s="13">
        <v>35758</v>
      </c>
      <c r="D8363" s="13" t="s">
        <v>8465</v>
      </c>
      <c r="E8363" s="10" t="s">
        <v>163</v>
      </c>
      <c r="F8363" s="10" t="s">
        <v>163</v>
      </c>
      <c r="G8363" s="11" t="s">
        <v>871</v>
      </c>
      <c r="H8363" s="2" t="s">
        <v>150</v>
      </c>
      <c r="L8363" s="18">
        <v>0</v>
      </c>
      <c r="Q8363" s="18">
        <v>0</v>
      </c>
      <c r="U8363" s="22">
        <v>0.89</v>
      </c>
      <c r="V8363" s="22">
        <f>3.97/5</f>
        <v>0.79400000000000004</v>
      </c>
      <c r="X8363" s="3">
        <v>4</v>
      </c>
      <c r="Z8363" s="23">
        <v>14</v>
      </c>
      <c r="AB8363" s="18">
        <f t="shared" si="260"/>
        <v>1997</v>
      </c>
      <c r="AC8363" s="22">
        <f t="shared" si="261"/>
        <v>0.82799999999999996</v>
      </c>
    </row>
    <row r="8364" spans="1:29">
      <c r="A8364" s="8" t="s">
        <v>7606</v>
      </c>
      <c r="B8364" s="17" t="s">
        <v>7800</v>
      </c>
      <c r="C8364" s="13">
        <v>35758</v>
      </c>
      <c r="D8364" s="13" t="s">
        <v>8465</v>
      </c>
      <c r="E8364" s="10" t="s">
        <v>1496</v>
      </c>
      <c r="F8364" s="10" t="s">
        <v>7607</v>
      </c>
      <c r="G8364" s="11" t="s">
        <v>1589</v>
      </c>
      <c r="H8364" s="2" t="s">
        <v>171</v>
      </c>
      <c r="L8364" s="18">
        <v>0</v>
      </c>
      <c r="Q8364" s="18">
        <v>0</v>
      </c>
      <c r="V8364" s="22">
        <f>3.61/5</f>
        <v>0.72199999999999998</v>
      </c>
      <c r="X8364" s="3">
        <v>4</v>
      </c>
      <c r="Z8364" s="23">
        <v>3.5</v>
      </c>
      <c r="AB8364" s="18">
        <f t="shared" si="260"/>
        <v>1997</v>
      </c>
      <c r="AC8364" s="22">
        <f t="shared" si="261"/>
        <v>0.76100000000000001</v>
      </c>
    </row>
    <row r="8365" spans="1:29">
      <c r="A8365" s="8" t="s">
        <v>2717</v>
      </c>
      <c r="B8365" s="17" t="s">
        <v>7754</v>
      </c>
      <c r="C8365" s="13">
        <v>35758</v>
      </c>
      <c r="D8365" s="13" t="s">
        <v>8465</v>
      </c>
      <c r="E8365" s="10" t="s">
        <v>455</v>
      </c>
      <c r="F8365" s="10" t="s">
        <v>2736</v>
      </c>
      <c r="G8365" s="11" t="s">
        <v>2737</v>
      </c>
      <c r="H8365" s="2" t="s">
        <v>1061</v>
      </c>
      <c r="L8365" s="18">
        <v>0</v>
      </c>
      <c r="Q8365" s="18">
        <v>0</v>
      </c>
      <c r="U8365" s="22">
        <v>0.6</v>
      </c>
      <c r="V8365" s="22">
        <f>3.81/5</f>
        <v>0.76200000000000001</v>
      </c>
      <c r="X8365" s="3">
        <v>3</v>
      </c>
      <c r="Z8365" s="23">
        <v>8</v>
      </c>
      <c r="AB8365" s="18">
        <f t="shared" si="260"/>
        <v>1997</v>
      </c>
      <c r="AC8365" s="22">
        <f t="shared" si="261"/>
        <v>0.65400000000000003</v>
      </c>
    </row>
    <row r="8366" spans="1:29" ht="30">
      <c r="A8366" s="8" t="s">
        <v>15794</v>
      </c>
      <c r="B8366" s="17" t="s">
        <v>7739</v>
      </c>
      <c r="C8366" s="13">
        <v>35755</v>
      </c>
      <c r="D8366" s="13" t="s">
        <v>8465</v>
      </c>
      <c r="E8366" s="10" t="s">
        <v>250</v>
      </c>
      <c r="F8366" s="10" t="s">
        <v>1476</v>
      </c>
      <c r="G8366" s="11" t="s">
        <v>356</v>
      </c>
      <c r="H8366" s="2" t="s">
        <v>7594</v>
      </c>
      <c r="L8366" s="18">
        <v>0</v>
      </c>
      <c r="Q8366" s="18">
        <v>0</v>
      </c>
      <c r="V8366" s="22">
        <f>3.14/5</f>
        <v>0.628</v>
      </c>
      <c r="X8366" s="3">
        <v>2</v>
      </c>
      <c r="Z8366" s="23">
        <v>4</v>
      </c>
      <c r="AB8366" s="18">
        <f t="shared" si="260"/>
        <v>1997</v>
      </c>
      <c r="AC8366" s="22">
        <f t="shared" si="261"/>
        <v>0.51400000000000001</v>
      </c>
    </row>
    <row r="8367" spans="1:29" ht="38.25">
      <c r="A8367" s="8" t="s">
        <v>14852</v>
      </c>
      <c r="B8367" s="17" t="s">
        <v>7800</v>
      </c>
      <c r="C8367" s="13">
        <v>35754</v>
      </c>
      <c r="D8367" s="13" t="s">
        <v>8465</v>
      </c>
      <c r="E8367" s="10" t="s">
        <v>6668</v>
      </c>
      <c r="F8367" s="10" t="s">
        <v>14853</v>
      </c>
      <c r="G8367" s="11" t="s">
        <v>5534</v>
      </c>
      <c r="H8367" s="2" t="s">
        <v>3937</v>
      </c>
      <c r="L8367" s="18">
        <v>1</v>
      </c>
      <c r="N8367" s="13">
        <v>45071</v>
      </c>
      <c r="O8367" s="29">
        <v>0</v>
      </c>
      <c r="P8367" s="18" t="s">
        <v>1107</v>
      </c>
      <c r="Q8367" s="18">
        <v>0</v>
      </c>
      <c r="V8367" s="22">
        <f>3.43/5</f>
        <v>0.68600000000000005</v>
      </c>
      <c r="W8367" s="14" t="s">
        <v>7778</v>
      </c>
      <c r="X8367" s="3">
        <v>2</v>
      </c>
      <c r="AB8367" s="18">
        <f t="shared" si="260"/>
        <v>1997</v>
      </c>
      <c r="AC8367" s="22">
        <f t="shared" si="261"/>
        <v>0.54300000000000004</v>
      </c>
    </row>
    <row r="8368" spans="1:29">
      <c r="A8368" s="8" t="s">
        <v>12914</v>
      </c>
      <c r="B8368" s="17" t="s">
        <v>7754</v>
      </c>
      <c r="C8368" s="13">
        <v>35752</v>
      </c>
      <c r="D8368" s="13" t="s">
        <v>8465</v>
      </c>
      <c r="E8368" s="10" t="s">
        <v>455</v>
      </c>
      <c r="F8368" s="10" t="s">
        <v>1309</v>
      </c>
      <c r="G8368" s="11" t="s">
        <v>1688</v>
      </c>
      <c r="H8368" s="2" t="s">
        <v>150</v>
      </c>
      <c r="L8368" s="18">
        <v>0</v>
      </c>
      <c r="Q8368" s="18">
        <v>0</v>
      </c>
      <c r="V8368" s="22">
        <f>3.32/5</f>
        <v>0.66399999999999992</v>
      </c>
      <c r="X8368" s="3">
        <v>2</v>
      </c>
      <c r="Z8368" s="23">
        <v>1</v>
      </c>
      <c r="AB8368" s="18">
        <f t="shared" si="260"/>
        <v>1997</v>
      </c>
      <c r="AC8368" s="22">
        <f t="shared" si="261"/>
        <v>0.53200000000000003</v>
      </c>
    </row>
    <row r="8369" spans="1:29">
      <c r="A8369" s="8" t="s">
        <v>2986</v>
      </c>
      <c r="B8369" s="17" t="s">
        <v>7757</v>
      </c>
      <c r="C8369" s="13">
        <v>35751</v>
      </c>
      <c r="D8369" s="13" t="s">
        <v>8465</v>
      </c>
      <c r="E8369" s="10" t="s">
        <v>1290</v>
      </c>
      <c r="F8369" s="10" t="s">
        <v>1219</v>
      </c>
      <c r="G8369" s="11" t="s">
        <v>2986</v>
      </c>
      <c r="H8369" s="2" t="s">
        <v>1220</v>
      </c>
      <c r="L8369" s="18">
        <v>0</v>
      </c>
      <c r="Q8369" s="18">
        <v>0</v>
      </c>
      <c r="U8369" s="22">
        <v>0.88</v>
      </c>
      <c r="V8369" s="22">
        <f>3.71/5</f>
        <v>0.74199999999999999</v>
      </c>
      <c r="X8369" s="3">
        <v>4</v>
      </c>
      <c r="Z8369" s="23">
        <v>1.5</v>
      </c>
      <c r="AB8369" s="18">
        <f t="shared" si="260"/>
        <v>1997</v>
      </c>
      <c r="AC8369" s="22">
        <f t="shared" si="261"/>
        <v>0.80733333333333324</v>
      </c>
    </row>
    <row r="8370" spans="1:29">
      <c r="A8370" s="8" t="s">
        <v>7180</v>
      </c>
      <c r="B8370" s="17" t="s">
        <v>7800</v>
      </c>
      <c r="C8370" s="13">
        <v>35748</v>
      </c>
      <c r="D8370" s="13" t="s">
        <v>8465</v>
      </c>
      <c r="E8370" s="10" t="s">
        <v>1259</v>
      </c>
      <c r="F8370" s="10" t="s">
        <v>2654</v>
      </c>
      <c r="G8370" s="11" t="s">
        <v>7180</v>
      </c>
      <c r="H8370" s="2" t="s">
        <v>67</v>
      </c>
      <c r="L8370" s="18">
        <v>0</v>
      </c>
      <c r="Q8370" s="18">
        <v>0</v>
      </c>
      <c r="U8370" s="22">
        <v>0.77</v>
      </c>
      <c r="V8370" s="22">
        <f>4.08/5</f>
        <v>0.81600000000000006</v>
      </c>
      <c r="X8370" s="3">
        <v>4</v>
      </c>
      <c r="Z8370" s="23">
        <v>9.5</v>
      </c>
      <c r="AB8370" s="18">
        <f t="shared" si="260"/>
        <v>1997</v>
      </c>
      <c r="AC8370" s="22">
        <f t="shared" si="261"/>
        <v>0.79533333333333334</v>
      </c>
    </row>
    <row r="8371" spans="1:29">
      <c r="A8371" s="8" t="s">
        <v>13469</v>
      </c>
      <c r="B8371" s="17" t="s">
        <v>7800</v>
      </c>
      <c r="C8371" s="13">
        <v>35738</v>
      </c>
      <c r="D8371" s="13" t="s">
        <v>8465</v>
      </c>
      <c r="E8371" s="10" t="s">
        <v>1273</v>
      </c>
      <c r="F8371" s="10" t="s">
        <v>1273</v>
      </c>
      <c r="G8371" s="11" t="s">
        <v>6921</v>
      </c>
      <c r="H8371" s="2" t="s">
        <v>67</v>
      </c>
      <c r="L8371" s="18">
        <v>0</v>
      </c>
      <c r="Q8371" s="18">
        <v>0</v>
      </c>
      <c r="V8371" s="22">
        <f>4.06/5</f>
        <v>0.81199999999999994</v>
      </c>
      <c r="X8371" s="3">
        <v>2</v>
      </c>
      <c r="Z8371" s="23">
        <v>5</v>
      </c>
      <c r="AB8371" s="18">
        <f t="shared" si="260"/>
        <v>1997</v>
      </c>
      <c r="AC8371" s="22">
        <f t="shared" si="261"/>
        <v>0.60599999999999998</v>
      </c>
    </row>
    <row r="8372" spans="1:29">
      <c r="A8372" s="8" t="s">
        <v>10629</v>
      </c>
      <c r="B8372" s="17" t="s">
        <v>7757</v>
      </c>
      <c r="C8372" s="12">
        <v>35735</v>
      </c>
      <c r="D8372" s="13" t="s">
        <v>8465</v>
      </c>
      <c r="E8372" s="10" t="s">
        <v>158</v>
      </c>
      <c r="F8372" s="10" t="s">
        <v>158</v>
      </c>
      <c r="G8372" s="11" t="s">
        <v>10629</v>
      </c>
      <c r="H8372" s="2" t="s">
        <v>1170</v>
      </c>
      <c r="L8372" s="18">
        <v>0</v>
      </c>
      <c r="Q8372" s="18">
        <v>0</v>
      </c>
      <c r="V8372" s="22">
        <f>3.74/5</f>
        <v>0.748</v>
      </c>
      <c r="X8372" s="3">
        <v>3</v>
      </c>
      <c r="Z8372" s="23">
        <v>1</v>
      </c>
      <c r="AB8372" s="18">
        <f t="shared" si="260"/>
        <v>1997</v>
      </c>
      <c r="AC8372" s="22">
        <f t="shared" si="261"/>
        <v>0.67399999999999993</v>
      </c>
    </row>
    <row r="8373" spans="1:29">
      <c r="A8373" s="8" t="s">
        <v>6569</v>
      </c>
      <c r="B8373" s="20" t="s">
        <v>7739</v>
      </c>
      <c r="C8373" s="13">
        <v>35734</v>
      </c>
      <c r="D8373" s="13" t="s">
        <v>8465</v>
      </c>
      <c r="E8373" s="10" t="s">
        <v>4576</v>
      </c>
      <c r="F8373" s="10" t="s">
        <v>6505</v>
      </c>
      <c r="G8373" s="11" t="s">
        <v>3723</v>
      </c>
      <c r="H8373" s="2" t="s">
        <v>1050</v>
      </c>
      <c r="L8373" s="18">
        <v>0</v>
      </c>
      <c r="Q8373" s="18">
        <v>0</v>
      </c>
      <c r="U8373" s="22">
        <v>0.74</v>
      </c>
      <c r="V8373" s="22">
        <f>3.62/5</f>
        <v>0.72399999999999998</v>
      </c>
      <c r="X8373" s="3">
        <v>3</v>
      </c>
      <c r="Z8373" s="23">
        <v>8</v>
      </c>
      <c r="AB8373" s="18">
        <f t="shared" si="260"/>
        <v>1997</v>
      </c>
      <c r="AC8373" s="22">
        <f t="shared" si="261"/>
        <v>0.68800000000000006</v>
      </c>
    </row>
    <row r="8374" spans="1:29" ht="25.5">
      <c r="A8374" s="8" t="s">
        <v>7179</v>
      </c>
      <c r="B8374" s="17" t="s">
        <v>7800</v>
      </c>
      <c r="C8374" s="13">
        <v>35734</v>
      </c>
      <c r="D8374" s="13" t="s">
        <v>8465</v>
      </c>
      <c r="E8374" s="10" t="s">
        <v>1284</v>
      </c>
      <c r="F8374" s="10" t="s">
        <v>1284</v>
      </c>
      <c r="G8374" s="11" t="s">
        <v>4472</v>
      </c>
      <c r="H8374" s="2" t="s">
        <v>67</v>
      </c>
      <c r="L8374" s="18">
        <v>0</v>
      </c>
      <c r="Q8374" s="18">
        <v>0</v>
      </c>
      <c r="U8374" s="22">
        <v>0.89</v>
      </c>
      <c r="V8374" s="22">
        <f>4.32/5</f>
        <v>0.8640000000000001</v>
      </c>
      <c r="X8374" s="3">
        <v>4</v>
      </c>
      <c r="Z8374" s="23">
        <v>8</v>
      </c>
      <c r="AB8374" s="18">
        <f t="shared" si="260"/>
        <v>1997</v>
      </c>
      <c r="AC8374" s="22">
        <f t="shared" si="261"/>
        <v>0.85133333333333339</v>
      </c>
    </row>
    <row r="8375" spans="1:29" ht="25.5">
      <c r="A8375" s="8" t="s">
        <v>2973</v>
      </c>
      <c r="B8375" s="17" t="s">
        <v>7757</v>
      </c>
      <c r="C8375" s="13">
        <v>35734</v>
      </c>
      <c r="D8375" s="13" t="s">
        <v>8465</v>
      </c>
      <c r="E8375" s="10" t="s">
        <v>1290</v>
      </c>
      <c r="F8375" s="10" t="s">
        <v>2646</v>
      </c>
      <c r="G8375" s="11" t="s">
        <v>1576</v>
      </c>
      <c r="H8375" s="2" t="s">
        <v>1040</v>
      </c>
      <c r="L8375" s="18">
        <v>0</v>
      </c>
      <c r="Q8375" s="18">
        <v>0</v>
      </c>
      <c r="U8375" s="22">
        <v>0.89</v>
      </c>
      <c r="V8375" s="22">
        <f>4.11/5</f>
        <v>0.82200000000000006</v>
      </c>
      <c r="X8375" s="3">
        <v>4</v>
      </c>
      <c r="Z8375" s="23">
        <v>6</v>
      </c>
      <c r="AB8375" s="18">
        <f t="shared" si="260"/>
        <v>1997</v>
      </c>
      <c r="AC8375" s="22">
        <f t="shared" si="261"/>
        <v>0.83733333333333348</v>
      </c>
    </row>
    <row r="8376" spans="1:29">
      <c r="A8376" s="8" t="s">
        <v>8008</v>
      </c>
      <c r="B8376" s="17" t="s">
        <v>7757</v>
      </c>
      <c r="C8376" s="13">
        <v>35734</v>
      </c>
      <c r="D8376" s="13" t="s">
        <v>8465</v>
      </c>
      <c r="E8376" s="10" t="s">
        <v>1342</v>
      </c>
      <c r="F8376" s="10" t="s">
        <v>8009</v>
      </c>
      <c r="G8376" s="11" t="s">
        <v>8008</v>
      </c>
      <c r="H8376" s="2" t="s">
        <v>80</v>
      </c>
      <c r="L8376" s="18">
        <v>0</v>
      </c>
      <c r="Q8376" s="18">
        <v>0</v>
      </c>
      <c r="U8376" s="22">
        <v>0.78500000000000003</v>
      </c>
      <c r="V8376" s="22">
        <f>3.98/5</f>
        <v>0.79600000000000004</v>
      </c>
      <c r="X8376" s="3">
        <v>3</v>
      </c>
      <c r="Z8376" s="23">
        <v>2</v>
      </c>
      <c r="AB8376" s="18">
        <f t="shared" si="260"/>
        <v>1997</v>
      </c>
      <c r="AC8376" s="22">
        <f t="shared" si="261"/>
        <v>0.72699999999999998</v>
      </c>
    </row>
    <row r="8377" spans="1:29" ht="25.5">
      <c r="A8377" s="8" t="s">
        <v>4579</v>
      </c>
      <c r="B8377" s="17" t="s">
        <v>7800</v>
      </c>
      <c r="C8377" s="13">
        <v>35734</v>
      </c>
      <c r="D8377" s="13" t="s">
        <v>8465</v>
      </c>
      <c r="E8377" s="10" t="s">
        <v>4576</v>
      </c>
      <c r="F8377" s="10" t="s">
        <v>4577</v>
      </c>
      <c r="G8377" s="11" t="s">
        <v>4578</v>
      </c>
      <c r="H8377" s="2" t="s">
        <v>64</v>
      </c>
      <c r="L8377" s="18">
        <v>1</v>
      </c>
      <c r="N8377" s="13">
        <v>40901</v>
      </c>
      <c r="P8377" s="18" t="s">
        <v>1107</v>
      </c>
      <c r="Q8377" s="18">
        <v>0</v>
      </c>
      <c r="U8377" s="22">
        <v>0.79</v>
      </c>
      <c r="V8377" s="22">
        <f>3.91/5</f>
        <v>0.78200000000000003</v>
      </c>
      <c r="W8377" s="14" t="s">
        <v>7777</v>
      </c>
      <c r="X8377" s="3">
        <v>3</v>
      </c>
      <c r="Z8377" s="23">
        <v>12.5</v>
      </c>
      <c r="AB8377" s="18">
        <f t="shared" si="260"/>
        <v>1997</v>
      </c>
      <c r="AC8377" s="22">
        <f t="shared" si="261"/>
        <v>0.72400000000000009</v>
      </c>
    </row>
    <row r="8378" spans="1:29">
      <c r="A8378" s="8" t="s">
        <v>2963</v>
      </c>
      <c r="B8378" s="17" t="s">
        <v>7800</v>
      </c>
      <c r="C8378" s="13">
        <v>35734</v>
      </c>
      <c r="D8378" s="13" t="s">
        <v>8465</v>
      </c>
      <c r="E8378" s="10" t="s">
        <v>1870</v>
      </c>
      <c r="F8378" s="10" t="s">
        <v>1282</v>
      </c>
      <c r="G8378" s="11" t="s">
        <v>1853</v>
      </c>
      <c r="H8378" s="2" t="s">
        <v>80</v>
      </c>
      <c r="L8378" s="18">
        <v>1</v>
      </c>
      <c r="N8378" s="13">
        <v>42360</v>
      </c>
      <c r="P8378" s="18" t="s">
        <v>1107</v>
      </c>
      <c r="Q8378" s="18">
        <v>0</v>
      </c>
      <c r="U8378" s="22">
        <v>0.8</v>
      </c>
      <c r="V8378" s="22">
        <f>3.83/5</f>
        <v>0.76600000000000001</v>
      </c>
      <c r="W8378" s="14" t="s">
        <v>7777</v>
      </c>
      <c r="X8378" s="3">
        <v>3</v>
      </c>
      <c r="Z8378" s="23">
        <v>15.5</v>
      </c>
      <c r="AB8378" s="18">
        <f t="shared" si="260"/>
        <v>1997</v>
      </c>
      <c r="AC8378" s="22">
        <f t="shared" si="261"/>
        <v>0.72199999999999998</v>
      </c>
    </row>
    <row r="8379" spans="1:29" ht="30">
      <c r="A8379" s="8" t="s">
        <v>5915</v>
      </c>
      <c r="B8379" s="17" t="s">
        <v>7757</v>
      </c>
      <c r="C8379" s="13">
        <v>35734</v>
      </c>
      <c r="D8379" s="13" t="s">
        <v>8465</v>
      </c>
      <c r="E8379" s="10" t="s">
        <v>2908</v>
      </c>
      <c r="F8379" s="10" t="s">
        <v>1580</v>
      </c>
      <c r="G8379" s="11" t="s">
        <v>5915</v>
      </c>
      <c r="H8379" s="2" t="s">
        <v>1168</v>
      </c>
      <c r="L8379" s="18">
        <v>0</v>
      </c>
      <c r="Q8379" s="18">
        <v>0</v>
      </c>
      <c r="U8379" s="22">
        <v>0.75</v>
      </c>
      <c r="V8379" s="22">
        <f>3.79/5</f>
        <v>0.75800000000000001</v>
      </c>
      <c r="X8379" s="3">
        <v>3</v>
      </c>
      <c r="Z8379" s="23">
        <v>8</v>
      </c>
      <c r="AB8379" s="18">
        <f t="shared" si="260"/>
        <v>1997</v>
      </c>
      <c r="AC8379" s="22">
        <f t="shared" si="261"/>
        <v>0.70266666666666666</v>
      </c>
    </row>
    <row r="8380" spans="1:29" ht="30">
      <c r="A8380" s="8" t="s">
        <v>3374</v>
      </c>
      <c r="B8380" s="17" t="s">
        <v>7800</v>
      </c>
      <c r="C8380" s="13">
        <v>35734</v>
      </c>
      <c r="D8380" s="13" t="s">
        <v>8465</v>
      </c>
      <c r="E8380" s="10" t="s">
        <v>469</v>
      </c>
      <c r="F8380" s="10" t="s">
        <v>3372</v>
      </c>
      <c r="G8380" s="11" t="s">
        <v>3373</v>
      </c>
      <c r="H8380" s="2" t="s">
        <v>67</v>
      </c>
      <c r="L8380" s="18">
        <v>1</v>
      </c>
      <c r="N8380" s="13">
        <v>40901</v>
      </c>
      <c r="O8380" s="29">
        <v>0.83</v>
      </c>
      <c r="P8380" s="18" t="s">
        <v>1107</v>
      </c>
      <c r="Q8380" s="18">
        <v>0</v>
      </c>
      <c r="U8380" s="22">
        <v>0.71</v>
      </c>
      <c r="V8380" s="22">
        <f>3.97/5</f>
        <v>0.79400000000000004</v>
      </c>
      <c r="W8380" s="14" t="s">
        <v>7777</v>
      </c>
      <c r="X8380" s="3">
        <v>3</v>
      </c>
      <c r="Z8380" s="23">
        <v>6.5</v>
      </c>
      <c r="AB8380" s="18">
        <f t="shared" si="260"/>
        <v>1997</v>
      </c>
      <c r="AC8380" s="22">
        <f t="shared" si="261"/>
        <v>0.70133333333333336</v>
      </c>
    </row>
    <row r="8381" spans="1:29">
      <c r="A8381" s="8" t="s">
        <v>11627</v>
      </c>
      <c r="B8381" s="17" t="s">
        <v>7739</v>
      </c>
      <c r="C8381" s="13">
        <v>35734</v>
      </c>
      <c r="D8381" s="13" t="s">
        <v>8463</v>
      </c>
      <c r="E8381" s="10" t="s">
        <v>455</v>
      </c>
      <c r="F8381" s="10" t="s">
        <v>167</v>
      </c>
      <c r="G8381" s="11" t="s">
        <v>1211</v>
      </c>
      <c r="H8381" s="2" t="s">
        <v>78</v>
      </c>
      <c r="K8381" s="18">
        <v>2</v>
      </c>
      <c r="L8381" s="18">
        <v>0</v>
      </c>
      <c r="Q8381" s="18">
        <v>0</v>
      </c>
      <c r="V8381" s="22">
        <f>3.94/5</f>
        <v>0.78800000000000003</v>
      </c>
      <c r="X8381" s="3">
        <v>2</v>
      </c>
      <c r="Z8381" s="23">
        <f>38/60</f>
        <v>0.6333333333333333</v>
      </c>
      <c r="AB8381" s="18">
        <f t="shared" si="260"/>
        <v>1997</v>
      </c>
      <c r="AC8381" s="22">
        <f t="shared" si="261"/>
        <v>0.59400000000000008</v>
      </c>
    </row>
    <row r="8382" spans="1:29" ht="30">
      <c r="A8382" s="8" t="s">
        <v>12835</v>
      </c>
      <c r="B8382" s="17" t="s">
        <v>7757</v>
      </c>
      <c r="C8382" s="13">
        <v>35734</v>
      </c>
      <c r="D8382" s="13" t="s">
        <v>8465</v>
      </c>
      <c r="E8382" s="10" t="s">
        <v>2908</v>
      </c>
      <c r="F8382" s="10" t="s">
        <v>62</v>
      </c>
      <c r="G8382" s="11" t="s">
        <v>12835</v>
      </c>
      <c r="H8382" s="2" t="s">
        <v>459</v>
      </c>
      <c r="L8382" s="18">
        <v>0</v>
      </c>
      <c r="Q8382" s="18">
        <v>0</v>
      </c>
      <c r="V8382" s="22">
        <f>3.6/5</f>
        <v>0.72</v>
      </c>
      <c r="X8382" s="3">
        <v>2</v>
      </c>
      <c r="Z8382" s="23">
        <f>59/60</f>
        <v>0.98333333333333328</v>
      </c>
      <c r="AB8382" s="18">
        <f t="shared" si="260"/>
        <v>1997</v>
      </c>
      <c r="AC8382" s="22">
        <f t="shared" si="261"/>
        <v>0.56000000000000005</v>
      </c>
    </row>
    <row r="8383" spans="1:29">
      <c r="A8383" s="8" t="s">
        <v>13242</v>
      </c>
      <c r="B8383" s="17" t="s">
        <v>7757</v>
      </c>
      <c r="C8383" s="13">
        <v>35734</v>
      </c>
      <c r="D8383" s="13" t="s">
        <v>8465</v>
      </c>
      <c r="E8383" s="10" t="s">
        <v>1870</v>
      </c>
      <c r="F8383" s="10" t="s">
        <v>1282</v>
      </c>
      <c r="G8383" s="11" t="s">
        <v>13242</v>
      </c>
      <c r="H8383" s="2" t="s">
        <v>153</v>
      </c>
      <c r="L8383" s="18">
        <v>0</v>
      </c>
      <c r="Q8383" s="18">
        <v>0</v>
      </c>
      <c r="V8383" s="22">
        <f>3.36/5</f>
        <v>0.67199999999999993</v>
      </c>
      <c r="X8383" s="3">
        <v>2</v>
      </c>
      <c r="Z8383" s="23">
        <v>4</v>
      </c>
      <c r="AB8383" s="18">
        <f t="shared" si="260"/>
        <v>1997</v>
      </c>
      <c r="AC8383" s="22">
        <f t="shared" si="261"/>
        <v>0.53600000000000003</v>
      </c>
    </row>
    <row r="8384" spans="1:29" ht="25.5">
      <c r="A8384" s="8" t="s">
        <v>8072</v>
      </c>
      <c r="B8384" s="17" t="s">
        <v>7757</v>
      </c>
      <c r="C8384" s="13">
        <v>35734</v>
      </c>
      <c r="D8384" s="13" t="s">
        <v>8465</v>
      </c>
      <c r="E8384" s="10" t="s">
        <v>1284</v>
      </c>
      <c r="F8384" s="10" t="s">
        <v>1284</v>
      </c>
      <c r="G8384" s="11" t="s">
        <v>1481</v>
      </c>
      <c r="H8384" s="2" t="s">
        <v>459</v>
      </c>
      <c r="L8384" s="18">
        <v>0</v>
      </c>
      <c r="Q8384" s="18">
        <v>0</v>
      </c>
      <c r="U8384" s="22">
        <v>0.5383</v>
      </c>
      <c r="V8384" s="22">
        <f>2.7/5</f>
        <v>0.54</v>
      </c>
      <c r="X8384" s="3">
        <v>2</v>
      </c>
      <c r="Z8384" s="23">
        <v>0.38333333333333336</v>
      </c>
      <c r="AB8384" s="18">
        <f t="shared" si="260"/>
        <v>1997</v>
      </c>
      <c r="AC8384" s="22">
        <f t="shared" si="261"/>
        <v>0.49276666666666663</v>
      </c>
    </row>
    <row r="8385" spans="1:29">
      <c r="A8385" s="8" t="s">
        <v>10479</v>
      </c>
      <c r="B8385" s="17" t="s">
        <v>7757</v>
      </c>
      <c r="C8385" s="13">
        <v>35733</v>
      </c>
      <c r="D8385" s="13" t="s">
        <v>8463</v>
      </c>
      <c r="E8385" s="10" t="s">
        <v>10480</v>
      </c>
      <c r="F8385" s="10" t="s">
        <v>10480</v>
      </c>
      <c r="H8385" s="2" t="s">
        <v>171</v>
      </c>
      <c r="K8385" s="18">
        <v>2</v>
      </c>
      <c r="L8385" s="18">
        <v>0</v>
      </c>
      <c r="Q8385" s="18">
        <v>0</v>
      </c>
      <c r="V8385" s="22">
        <f>3.78/5</f>
        <v>0.75600000000000001</v>
      </c>
      <c r="X8385" s="3">
        <v>2</v>
      </c>
      <c r="AB8385" s="18">
        <f t="shared" ref="AB8385:AB8448" si="262">IFERROR(YEAR(C8385), "Early Access")</f>
        <v>1997</v>
      </c>
      <c r="AC8385" s="22">
        <f t="shared" ref="AC8385:AC8448" si="263">AVERAGE(T8385, U8385, V8385, IF(ISBLANK(X8385), X8385, X8385/5))</f>
        <v>0.57800000000000007</v>
      </c>
    </row>
    <row r="8386" spans="1:29" ht="30">
      <c r="A8386" s="8" t="s">
        <v>7816</v>
      </c>
      <c r="B8386" s="17" t="s">
        <v>7754</v>
      </c>
      <c r="C8386" s="13">
        <v>35733</v>
      </c>
      <c r="D8386" s="13" t="s">
        <v>8463</v>
      </c>
      <c r="E8386" s="10" t="s">
        <v>228</v>
      </c>
      <c r="F8386" s="10" t="s">
        <v>7817</v>
      </c>
      <c r="G8386" s="11" t="s">
        <v>1171</v>
      </c>
      <c r="H8386" s="2" t="s">
        <v>75</v>
      </c>
      <c r="K8386" s="18">
        <v>0</v>
      </c>
      <c r="L8386" s="18">
        <v>0</v>
      </c>
      <c r="Q8386" s="18">
        <v>0</v>
      </c>
      <c r="V8386" s="22">
        <f>3.34/5</f>
        <v>0.66799999999999993</v>
      </c>
      <c r="X8386" s="3">
        <v>2</v>
      </c>
      <c r="Z8386" s="23">
        <v>4</v>
      </c>
      <c r="AB8386" s="18">
        <f t="shared" si="262"/>
        <v>1997</v>
      </c>
      <c r="AC8386" s="22">
        <f t="shared" si="263"/>
        <v>0.53400000000000003</v>
      </c>
    </row>
    <row r="8387" spans="1:29" ht="25.5">
      <c r="A8387" s="8" t="s">
        <v>15409</v>
      </c>
      <c r="B8387" s="17" t="s">
        <v>7800</v>
      </c>
      <c r="C8387" s="13">
        <v>35732</v>
      </c>
      <c r="D8387" s="13" t="s">
        <v>8465</v>
      </c>
      <c r="E8387" s="10" t="s">
        <v>1047</v>
      </c>
      <c r="F8387" s="10" t="s">
        <v>6967</v>
      </c>
      <c r="G8387" s="11" t="s">
        <v>15400</v>
      </c>
      <c r="H8387" s="2" t="s">
        <v>67</v>
      </c>
      <c r="L8387" s="18">
        <v>1</v>
      </c>
      <c r="N8387" s="13">
        <v>45128</v>
      </c>
      <c r="O8387" s="29">
        <v>0</v>
      </c>
      <c r="P8387" s="18" t="s">
        <v>1107</v>
      </c>
      <c r="Q8387" s="18">
        <v>0</v>
      </c>
      <c r="U8387" s="22">
        <v>0.83</v>
      </c>
      <c r="V8387" s="22">
        <f>4.05/5</f>
        <v>0.80999999999999994</v>
      </c>
      <c r="W8387" s="14" t="s">
        <v>7777</v>
      </c>
      <c r="X8387" s="3">
        <v>3</v>
      </c>
      <c r="Z8387" s="23">
        <v>10</v>
      </c>
      <c r="AB8387" s="18">
        <f t="shared" si="262"/>
        <v>1997</v>
      </c>
      <c r="AC8387" s="22">
        <f t="shared" si="263"/>
        <v>0.74666666666666659</v>
      </c>
    </row>
    <row r="8388" spans="1:29">
      <c r="A8388" s="8" t="s">
        <v>1811</v>
      </c>
      <c r="B8388" s="17" t="s">
        <v>7745</v>
      </c>
      <c r="C8388" s="13">
        <v>35730</v>
      </c>
      <c r="D8388" s="13" t="s">
        <v>8465</v>
      </c>
      <c r="E8388" s="10" t="s">
        <v>86</v>
      </c>
      <c r="F8388" s="10" t="s">
        <v>163</v>
      </c>
      <c r="G8388" s="11" t="s">
        <v>1254</v>
      </c>
      <c r="H8388" s="2" t="s">
        <v>64</v>
      </c>
      <c r="L8388" s="18">
        <v>0</v>
      </c>
      <c r="Q8388" s="18">
        <v>0</v>
      </c>
      <c r="U8388" s="22">
        <v>0.81</v>
      </c>
      <c r="V8388" s="22">
        <f>3.73/5</f>
        <v>0.746</v>
      </c>
      <c r="X8388" s="3">
        <v>3</v>
      </c>
      <c r="Z8388" s="23">
        <v>4.5</v>
      </c>
      <c r="AB8388" s="18">
        <f t="shared" si="262"/>
        <v>1997</v>
      </c>
      <c r="AC8388" s="22">
        <f t="shared" si="263"/>
        <v>0.71866666666666668</v>
      </c>
    </row>
    <row r="8389" spans="1:29">
      <c r="A8389" s="8" t="s">
        <v>15772</v>
      </c>
      <c r="B8389" s="17" t="s">
        <v>7739</v>
      </c>
      <c r="C8389" s="13">
        <v>35730</v>
      </c>
      <c r="D8389" s="13" t="s">
        <v>8465</v>
      </c>
      <c r="E8389" s="10" t="s">
        <v>154</v>
      </c>
      <c r="F8389" s="10" t="s">
        <v>14882</v>
      </c>
      <c r="G8389" s="11" t="s">
        <v>15772</v>
      </c>
      <c r="H8389" s="2" t="s">
        <v>150</v>
      </c>
      <c r="L8389" s="18">
        <v>0</v>
      </c>
      <c r="Q8389" s="18">
        <v>0</v>
      </c>
      <c r="U8389" s="22">
        <v>0.82</v>
      </c>
      <c r="V8389" s="22">
        <f>3.53/5</f>
        <v>0.70599999999999996</v>
      </c>
      <c r="X8389" s="3">
        <v>2</v>
      </c>
      <c r="Z8389" s="23">
        <v>1.5</v>
      </c>
      <c r="AB8389" s="18">
        <f t="shared" si="262"/>
        <v>1997</v>
      </c>
      <c r="AC8389" s="22">
        <f t="shared" si="263"/>
        <v>0.6419999999999999</v>
      </c>
    </row>
    <row r="8390" spans="1:29" ht="25.5">
      <c r="A8390" s="8" t="s">
        <v>15486</v>
      </c>
      <c r="B8390" s="17" t="s">
        <v>7757</v>
      </c>
      <c r="C8390" s="13">
        <v>35726</v>
      </c>
      <c r="D8390" s="13" t="s">
        <v>8465</v>
      </c>
      <c r="E8390" s="10" t="s">
        <v>73</v>
      </c>
      <c r="F8390" s="10" t="s">
        <v>1046</v>
      </c>
      <c r="G8390" s="11" t="s">
        <v>227</v>
      </c>
      <c r="H8390" s="2" t="s">
        <v>459</v>
      </c>
      <c r="L8390" s="18">
        <v>0</v>
      </c>
      <c r="Q8390" s="18">
        <v>0</v>
      </c>
      <c r="V8390" s="22">
        <f>3.68/5</f>
        <v>0.73599999999999999</v>
      </c>
      <c r="X8390" s="3">
        <v>2</v>
      </c>
      <c r="Z8390" s="23">
        <f>36/60</f>
        <v>0.6</v>
      </c>
      <c r="AB8390" s="18">
        <f t="shared" si="262"/>
        <v>1997</v>
      </c>
      <c r="AC8390" s="22">
        <f t="shared" si="263"/>
        <v>0.56800000000000006</v>
      </c>
    </row>
    <row r="8391" spans="1:29">
      <c r="A8391" s="8" t="s">
        <v>15769</v>
      </c>
      <c r="B8391" s="17" t="s">
        <v>7739</v>
      </c>
      <c r="C8391" s="13">
        <v>35726</v>
      </c>
      <c r="D8391" s="13" t="s">
        <v>8465</v>
      </c>
      <c r="E8391" s="10" t="s">
        <v>1272</v>
      </c>
      <c r="F8391" s="10" t="s">
        <v>1272</v>
      </c>
      <c r="G8391" s="11" t="s">
        <v>15767</v>
      </c>
      <c r="H8391" s="2" t="s">
        <v>459</v>
      </c>
      <c r="L8391" s="18">
        <v>0</v>
      </c>
      <c r="Q8391" s="18">
        <v>0</v>
      </c>
      <c r="V8391" s="22">
        <f>2.99/5</f>
        <v>0.59800000000000009</v>
      </c>
      <c r="X8391" s="3">
        <v>2</v>
      </c>
      <c r="Z8391" s="23">
        <f>33/60</f>
        <v>0.55000000000000004</v>
      </c>
      <c r="AB8391" s="18">
        <f t="shared" si="262"/>
        <v>1997</v>
      </c>
      <c r="AC8391" s="22">
        <f t="shared" si="263"/>
        <v>0.49900000000000005</v>
      </c>
    </row>
    <row r="8392" spans="1:29" ht="25.5">
      <c r="A8392" s="8" t="s">
        <v>10393</v>
      </c>
      <c r="B8392" s="17" t="s">
        <v>7737</v>
      </c>
      <c r="C8392" s="13">
        <v>35722</v>
      </c>
      <c r="D8392" s="13" t="s">
        <v>8463</v>
      </c>
      <c r="E8392" s="10" t="s">
        <v>86</v>
      </c>
      <c r="F8392" s="10" t="s">
        <v>1069</v>
      </c>
      <c r="G8392" s="11" t="s">
        <v>305</v>
      </c>
      <c r="H8392" s="2" t="s">
        <v>75</v>
      </c>
      <c r="K8392" s="18">
        <v>2</v>
      </c>
      <c r="L8392" s="18">
        <v>0</v>
      </c>
      <c r="Q8392" s="18">
        <v>0</v>
      </c>
      <c r="V8392" s="22">
        <f>((3/5)+(3.25/5)+(3.17/5)+(3.5/5))/4</f>
        <v>0.64599999999999991</v>
      </c>
      <c r="X8392" s="3">
        <v>3</v>
      </c>
      <c r="AB8392" s="18">
        <f t="shared" si="262"/>
        <v>1997</v>
      </c>
      <c r="AC8392" s="22">
        <f t="shared" si="263"/>
        <v>0.623</v>
      </c>
    </row>
    <row r="8393" spans="1:29" ht="25.5">
      <c r="A8393" s="8" t="s">
        <v>11744</v>
      </c>
      <c r="B8393" s="17" t="s">
        <v>7757</v>
      </c>
      <c r="C8393" s="13">
        <v>35719</v>
      </c>
      <c r="D8393" s="13" t="s">
        <v>8463</v>
      </c>
      <c r="E8393" s="10" t="s">
        <v>9863</v>
      </c>
      <c r="F8393" s="10" t="s">
        <v>9863</v>
      </c>
      <c r="H8393" s="2" t="s">
        <v>67</v>
      </c>
      <c r="K8393" s="18">
        <v>2</v>
      </c>
      <c r="L8393" s="18">
        <v>0</v>
      </c>
      <c r="Q8393" s="18">
        <v>0</v>
      </c>
      <c r="V8393" s="22">
        <f>3.17/5</f>
        <v>0.63400000000000001</v>
      </c>
      <c r="X8393" s="3">
        <v>3</v>
      </c>
      <c r="AB8393" s="18">
        <f t="shared" si="262"/>
        <v>1997</v>
      </c>
      <c r="AC8393" s="22">
        <f t="shared" si="263"/>
        <v>0.61699999999999999</v>
      </c>
    </row>
    <row r="8394" spans="1:29">
      <c r="A8394" s="8" t="s">
        <v>3118</v>
      </c>
      <c r="B8394" s="17" t="s">
        <v>7800</v>
      </c>
      <c r="C8394" s="13">
        <v>35718</v>
      </c>
      <c r="D8394" s="13" t="s">
        <v>8465</v>
      </c>
      <c r="E8394" s="10" t="s">
        <v>3116</v>
      </c>
      <c r="F8394" s="10" t="s">
        <v>5115</v>
      </c>
      <c r="G8394" s="11" t="s">
        <v>3118</v>
      </c>
      <c r="H8394" s="2" t="s">
        <v>1143</v>
      </c>
      <c r="L8394" s="18">
        <v>0</v>
      </c>
      <c r="Q8394" s="18">
        <v>0</v>
      </c>
      <c r="U8394" s="22">
        <v>0.87</v>
      </c>
      <c r="V8394" s="22">
        <f>3.85/5</f>
        <v>0.77</v>
      </c>
      <c r="X8394" s="3">
        <v>4</v>
      </c>
      <c r="Z8394" s="23">
        <v>20</v>
      </c>
      <c r="AB8394" s="18">
        <f t="shared" si="262"/>
        <v>1997</v>
      </c>
      <c r="AC8394" s="22">
        <f t="shared" si="263"/>
        <v>0.81333333333333346</v>
      </c>
    </row>
    <row r="8395" spans="1:29">
      <c r="A8395" s="8" t="s">
        <v>3864</v>
      </c>
      <c r="B8395" s="17" t="s">
        <v>7800</v>
      </c>
      <c r="C8395" s="13">
        <v>35713</v>
      </c>
      <c r="D8395" s="13" t="s">
        <v>8465</v>
      </c>
      <c r="E8395" s="10" t="s">
        <v>6928</v>
      </c>
      <c r="F8395" s="10" t="s">
        <v>6928</v>
      </c>
      <c r="G8395" s="11" t="s">
        <v>3864</v>
      </c>
      <c r="H8395" s="2" t="s">
        <v>1720</v>
      </c>
      <c r="L8395" s="18">
        <v>1</v>
      </c>
      <c r="N8395" s="13">
        <v>39702</v>
      </c>
      <c r="O8395" s="29">
        <v>5.99</v>
      </c>
      <c r="P8395" s="18" t="s">
        <v>1107</v>
      </c>
      <c r="Q8395" s="18">
        <v>0</v>
      </c>
      <c r="U8395" s="22">
        <v>0.9</v>
      </c>
      <c r="V8395" s="22">
        <f>4.1/5</f>
        <v>0.82</v>
      </c>
      <c r="W8395" s="14" t="s">
        <v>7777</v>
      </c>
      <c r="X8395" s="3">
        <v>4</v>
      </c>
      <c r="Z8395" s="23">
        <v>16.5</v>
      </c>
      <c r="AB8395" s="18">
        <f t="shared" si="262"/>
        <v>1997</v>
      </c>
      <c r="AC8395" s="22">
        <f t="shared" si="263"/>
        <v>0.84</v>
      </c>
    </row>
    <row r="8396" spans="1:29">
      <c r="A8396" s="8" t="s">
        <v>7839</v>
      </c>
      <c r="B8396" s="17" t="s">
        <v>7757</v>
      </c>
      <c r="C8396" s="17">
        <v>35712</v>
      </c>
      <c r="D8396" s="13" t="s">
        <v>8463</v>
      </c>
      <c r="E8396" s="10" t="s">
        <v>81</v>
      </c>
      <c r="F8396" s="10" t="s">
        <v>81</v>
      </c>
      <c r="G8396" s="11" t="s">
        <v>7840</v>
      </c>
      <c r="H8396" s="2" t="s">
        <v>67</v>
      </c>
      <c r="K8396" s="18">
        <v>0</v>
      </c>
      <c r="L8396" s="18">
        <v>0</v>
      </c>
      <c r="Q8396" s="18">
        <v>0</v>
      </c>
      <c r="V8396" s="22">
        <f>3.83/5</f>
        <v>0.76600000000000001</v>
      </c>
      <c r="X8396" s="3">
        <v>3</v>
      </c>
      <c r="AB8396" s="18">
        <f t="shared" si="262"/>
        <v>1997</v>
      </c>
      <c r="AC8396" s="22">
        <f t="shared" si="263"/>
        <v>0.68300000000000005</v>
      </c>
    </row>
    <row r="8397" spans="1:29" ht="25.5">
      <c r="A8397" s="8" t="s">
        <v>2972</v>
      </c>
      <c r="B8397" s="17" t="s">
        <v>7757</v>
      </c>
      <c r="C8397" s="13">
        <v>35705</v>
      </c>
      <c r="D8397" s="13" t="s">
        <v>8465</v>
      </c>
      <c r="E8397" s="10" t="s">
        <v>72</v>
      </c>
      <c r="F8397" s="10" t="s">
        <v>72</v>
      </c>
      <c r="G8397" s="11" t="s">
        <v>113</v>
      </c>
      <c r="H8397" s="2" t="s">
        <v>151</v>
      </c>
      <c r="L8397" s="18">
        <v>0</v>
      </c>
      <c r="Q8397" s="18">
        <v>0</v>
      </c>
      <c r="U8397" s="22">
        <v>0.93</v>
      </c>
      <c r="V8397" s="22">
        <f>4.58/5</f>
        <v>0.91600000000000004</v>
      </c>
      <c r="X8397" s="3">
        <v>3</v>
      </c>
      <c r="Y8397" s="18">
        <v>1</v>
      </c>
      <c r="Z8397" s="23">
        <v>8.5</v>
      </c>
      <c r="AB8397" s="18">
        <f t="shared" si="262"/>
        <v>1997</v>
      </c>
      <c r="AC8397" s="22">
        <f t="shared" si="263"/>
        <v>0.81533333333333335</v>
      </c>
    </row>
    <row r="8398" spans="1:29" ht="30">
      <c r="A8398" s="8" t="s">
        <v>12291</v>
      </c>
      <c r="B8398" s="17" t="s">
        <v>7757</v>
      </c>
      <c r="C8398" s="13">
        <v>35705</v>
      </c>
      <c r="D8398" s="13" t="s">
        <v>8463</v>
      </c>
      <c r="E8398" s="10" t="s">
        <v>7836</v>
      </c>
      <c r="F8398" s="10" t="s">
        <v>12290</v>
      </c>
      <c r="G8398" s="11" t="s">
        <v>12291</v>
      </c>
      <c r="H8398" s="2" t="s">
        <v>149</v>
      </c>
      <c r="K8398" s="18">
        <v>0</v>
      </c>
      <c r="L8398" s="18">
        <v>0</v>
      </c>
      <c r="Q8398" s="18">
        <v>0</v>
      </c>
      <c r="V8398" s="22">
        <f>3.5/5</f>
        <v>0.7</v>
      </c>
      <c r="X8398" s="3">
        <v>2</v>
      </c>
      <c r="AB8398" s="18">
        <f t="shared" si="262"/>
        <v>1997</v>
      </c>
      <c r="AC8398" s="22">
        <f t="shared" si="263"/>
        <v>0.55000000000000004</v>
      </c>
    </row>
    <row r="8399" spans="1:29">
      <c r="A8399" s="8" t="s">
        <v>878</v>
      </c>
      <c r="B8399" s="20" t="s">
        <v>7739</v>
      </c>
      <c r="C8399" s="13">
        <v>35704</v>
      </c>
      <c r="D8399" s="13" t="s">
        <v>8465</v>
      </c>
      <c r="E8399" s="10" t="s">
        <v>86</v>
      </c>
      <c r="F8399" s="10" t="s">
        <v>1474</v>
      </c>
      <c r="H8399" s="2" t="s">
        <v>64</v>
      </c>
      <c r="L8399" s="18">
        <v>0</v>
      </c>
      <c r="Q8399" s="18">
        <v>0</v>
      </c>
      <c r="U8399" s="22">
        <v>0.73</v>
      </c>
      <c r="V8399" s="22">
        <f>3.9/5</f>
        <v>0.78</v>
      </c>
      <c r="X8399" s="3">
        <v>4</v>
      </c>
      <c r="Z8399" s="23">
        <v>5.5</v>
      </c>
      <c r="AB8399" s="18">
        <f t="shared" si="262"/>
        <v>1997</v>
      </c>
      <c r="AC8399" s="22">
        <f t="shared" si="263"/>
        <v>0.77</v>
      </c>
    </row>
    <row r="8400" spans="1:29">
      <c r="A8400" s="8" t="s">
        <v>810</v>
      </c>
      <c r="B8400" s="17" t="s">
        <v>7757</v>
      </c>
      <c r="C8400" s="13">
        <v>35704</v>
      </c>
      <c r="D8400" s="13" t="s">
        <v>8465</v>
      </c>
      <c r="E8400" s="10" t="s">
        <v>1367</v>
      </c>
      <c r="F8400" s="10" t="s">
        <v>81</v>
      </c>
      <c r="G8400" s="11" t="s">
        <v>810</v>
      </c>
      <c r="H8400" s="2" t="s">
        <v>1061</v>
      </c>
      <c r="L8400" s="18">
        <v>0</v>
      </c>
      <c r="Q8400" s="18">
        <v>0</v>
      </c>
      <c r="U8400" s="22">
        <v>0.72</v>
      </c>
      <c r="V8400" s="22">
        <f>3.68/5</f>
        <v>0.73599999999999999</v>
      </c>
      <c r="X8400" s="3">
        <v>3</v>
      </c>
      <c r="Z8400" s="23">
        <v>2.5</v>
      </c>
      <c r="AB8400" s="18">
        <f t="shared" si="262"/>
        <v>1997</v>
      </c>
      <c r="AC8400" s="22">
        <f t="shared" si="263"/>
        <v>0.68533333333333335</v>
      </c>
    </row>
    <row r="8401" spans="1:29">
      <c r="A8401" s="8" t="s">
        <v>10318</v>
      </c>
      <c r="B8401" s="17" t="s">
        <v>7757</v>
      </c>
      <c r="C8401" s="13">
        <v>35704</v>
      </c>
      <c r="D8401" s="13" t="s">
        <v>8467</v>
      </c>
      <c r="E8401" s="10" t="s">
        <v>10319</v>
      </c>
      <c r="F8401" s="10" t="s">
        <v>10320</v>
      </c>
      <c r="H8401" s="2" t="s">
        <v>1061</v>
      </c>
      <c r="L8401" s="18">
        <v>0</v>
      </c>
      <c r="Q8401" s="18">
        <v>0</v>
      </c>
      <c r="V8401" s="22">
        <f>3.04/5</f>
        <v>0.60799999999999998</v>
      </c>
      <c r="X8401" s="3">
        <v>2</v>
      </c>
      <c r="AB8401" s="18">
        <f t="shared" si="262"/>
        <v>1997</v>
      </c>
      <c r="AC8401" s="22">
        <f t="shared" si="263"/>
        <v>0.504</v>
      </c>
    </row>
    <row r="8402" spans="1:29">
      <c r="A8402" s="8" t="s">
        <v>15200</v>
      </c>
      <c r="B8402" s="17" t="s">
        <v>7745</v>
      </c>
      <c r="C8402" s="12">
        <v>35704</v>
      </c>
      <c r="D8402" s="13" t="s">
        <v>8465</v>
      </c>
      <c r="E8402" s="10" t="s">
        <v>1240</v>
      </c>
      <c r="F8402" s="10" t="s">
        <v>15199</v>
      </c>
      <c r="G8402" s="11" t="s">
        <v>15195</v>
      </c>
      <c r="H8402" s="2" t="s">
        <v>151</v>
      </c>
      <c r="L8402" s="18">
        <v>0</v>
      </c>
      <c r="Q8402" s="18">
        <v>0</v>
      </c>
      <c r="V8402" s="22">
        <f>2.95/5</f>
        <v>0.59000000000000008</v>
      </c>
      <c r="X8402" s="3">
        <v>2</v>
      </c>
      <c r="AB8402" s="18">
        <f t="shared" si="262"/>
        <v>1997</v>
      </c>
      <c r="AC8402" s="22">
        <f t="shared" si="263"/>
        <v>0.49500000000000005</v>
      </c>
    </row>
    <row r="8403" spans="1:29" ht="25.5">
      <c r="A8403" s="8" t="s">
        <v>6585</v>
      </c>
      <c r="B8403" s="17" t="s">
        <v>7757</v>
      </c>
      <c r="C8403" s="13">
        <v>35704</v>
      </c>
      <c r="D8403" s="13" t="s">
        <v>8465</v>
      </c>
      <c r="E8403" s="10" t="s">
        <v>1466</v>
      </c>
      <c r="F8403" s="10" t="s">
        <v>1466</v>
      </c>
      <c r="G8403" s="11" t="s">
        <v>17</v>
      </c>
      <c r="H8403" s="2" t="s">
        <v>459</v>
      </c>
      <c r="L8403" s="18">
        <v>0</v>
      </c>
      <c r="Q8403" s="18">
        <v>0</v>
      </c>
      <c r="U8403" s="22">
        <v>0.53</v>
      </c>
      <c r="V8403" s="22">
        <f>2.78/5</f>
        <v>0.55599999999999994</v>
      </c>
      <c r="X8403" s="3">
        <v>2</v>
      </c>
      <c r="Z8403" s="23">
        <v>5</v>
      </c>
      <c r="AB8403" s="18">
        <f t="shared" si="262"/>
        <v>1997</v>
      </c>
      <c r="AC8403" s="22">
        <f t="shared" si="263"/>
        <v>0.49533333333333324</v>
      </c>
    </row>
    <row r="8404" spans="1:29">
      <c r="A8404" s="8" t="s">
        <v>15095</v>
      </c>
      <c r="B8404" s="17" t="s">
        <v>7757</v>
      </c>
      <c r="C8404" s="12">
        <v>35704</v>
      </c>
      <c r="D8404" s="13" t="s">
        <v>8465</v>
      </c>
      <c r="E8404" s="10" t="s">
        <v>154</v>
      </c>
      <c r="F8404" s="10" t="s">
        <v>14882</v>
      </c>
      <c r="G8404" s="11" t="s">
        <v>15095</v>
      </c>
      <c r="H8404" s="2" t="s">
        <v>153</v>
      </c>
      <c r="L8404" s="18">
        <v>0</v>
      </c>
      <c r="Q8404" s="18">
        <v>0</v>
      </c>
      <c r="V8404" s="22">
        <f>2.47/5</f>
        <v>0.49400000000000005</v>
      </c>
      <c r="X8404" s="3">
        <v>2</v>
      </c>
      <c r="Z8404" s="23">
        <v>4</v>
      </c>
      <c r="AB8404" s="18">
        <f t="shared" si="262"/>
        <v>1997</v>
      </c>
      <c r="AC8404" s="22">
        <f t="shared" si="263"/>
        <v>0.44700000000000006</v>
      </c>
    </row>
    <row r="8405" spans="1:29">
      <c r="A8405" s="8" t="s">
        <v>15658</v>
      </c>
      <c r="B8405" s="17" t="s">
        <v>7757</v>
      </c>
      <c r="C8405" s="12">
        <v>35704</v>
      </c>
      <c r="D8405" s="13" t="s">
        <v>8467</v>
      </c>
      <c r="E8405" s="10" t="s">
        <v>228</v>
      </c>
      <c r="F8405" s="10" t="s">
        <v>6595</v>
      </c>
      <c r="H8405" s="2" t="s">
        <v>459</v>
      </c>
      <c r="L8405" s="18">
        <v>0</v>
      </c>
      <c r="Q8405" s="18">
        <v>0</v>
      </c>
      <c r="V8405" s="22">
        <f>3.1/5</f>
        <v>0.62</v>
      </c>
      <c r="X8405" s="3">
        <v>2</v>
      </c>
      <c r="Z8405" s="23">
        <v>1.5</v>
      </c>
      <c r="AB8405" s="18">
        <f t="shared" si="262"/>
        <v>1997</v>
      </c>
      <c r="AC8405" s="22">
        <f t="shared" si="263"/>
        <v>0.51</v>
      </c>
    </row>
    <row r="8406" spans="1:29" ht="25.5">
      <c r="A8406" s="8" t="s">
        <v>5116</v>
      </c>
      <c r="B8406" s="17" t="s">
        <v>7800</v>
      </c>
      <c r="C8406" s="13">
        <v>35703</v>
      </c>
      <c r="D8406" s="13" t="s">
        <v>8465</v>
      </c>
      <c r="E8406" s="10" t="s">
        <v>1284</v>
      </c>
      <c r="F8406" s="10" t="s">
        <v>1284</v>
      </c>
      <c r="G8406" s="11" t="s">
        <v>5112</v>
      </c>
      <c r="H8406" s="2" t="s">
        <v>1050</v>
      </c>
      <c r="L8406" s="18">
        <v>1</v>
      </c>
      <c r="N8406" s="13">
        <v>42045</v>
      </c>
      <c r="P8406" s="18" t="s">
        <v>1107</v>
      </c>
      <c r="Q8406" s="18">
        <v>0</v>
      </c>
      <c r="U8406" s="22">
        <v>0.89</v>
      </c>
      <c r="V8406" s="22">
        <f>3.87/5</f>
        <v>0.77400000000000002</v>
      </c>
      <c r="W8406" s="14" t="s">
        <v>7777</v>
      </c>
      <c r="X8406" s="3">
        <v>3</v>
      </c>
      <c r="Z8406" s="23">
        <v>9</v>
      </c>
      <c r="AB8406" s="18">
        <f t="shared" si="262"/>
        <v>1997</v>
      </c>
      <c r="AC8406" s="22">
        <f t="shared" si="263"/>
        <v>0.75466666666666671</v>
      </c>
    </row>
    <row r="8407" spans="1:29" ht="25.5">
      <c r="A8407" s="8" t="s">
        <v>415</v>
      </c>
      <c r="B8407" s="17" t="s">
        <v>6317</v>
      </c>
      <c r="C8407" s="13">
        <v>35703</v>
      </c>
      <c r="D8407" s="13" t="s">
        <v>8465</v>
      </c>
      <c r="E8407" s="10" t="s">
        <v>73</v>
      </c>
      <c r="F8407" s="10" t="s">
        <v>73</v>
      </c>
      <c r="G8407" s="11" t="s">
        <v>227</v>
      </c>
      <c r="H8407" s="2" t="s">
        <v>459</v>
      </c>
      <c r="L8407" s="18">
        <v>0</v>
      </c>
      <c r="Q8407" s="18">
        <v>0</v>
      </c>
      <c r="V8407" s="22">
        <f>3.97/5</f>
        <v>0.79400000000000004</v>
      </c>
      <c r="X8407" s="3">
        <v>3</v>
      </c>
      <c r="Z8407" s="23">
        <v>0.92</v>
      </c>
      <c r="AB8407" s="18">
        <f t="shared" si="262"/>
        <v>1997</v>
      </c>
      <c r="AC8407" s="22">
        <f t="shared" si="263"/>
        <v>0.69700000000000006</v>
      </c>
    </row>
    <row r="8408" spans="1:29" ht="30">
      <c r="A8408" s="8" t="s">
        <v>7926</v>
      </c>
      <c r="B8408" s="17" t="s">
        <v>7757</v>
      </c>
      <c r="C8408" s="13">
        <v>35703</v>
      </c>
      <c r="D8408" s="13" t="s">
        <v>8465</v>
      </c>
      <c r="E8408" s="10" t="s">
        <v>2908</v>
      </c>
      <c r="F8408" s="10" t="s">
        <v>7927</v>
      </c>
      <c r="G8408" s="11" t="s">
        <v>7926</v>
      </c>
      <c r="H8408" s="2" t="s">
        <v>459</v>
      </c>
      <c r="L8408" s="18">
        <v>0</v>
      </c>
      <c r="Q8408" s="18">
        <v>0</v>
      </c>
      <c r="U8408" s="22">
        <v>0.80920000000000003</v>
      </c>
      <c r="V8408" s="22">
        <f>3.52/5</f>
        <v>0.70399999999999996</v>
      </c>
      <c r="X8408" s="3">
        <v>3</v>
      </c>
      <c r="Z8408" s="23">
        <v>2</v>
      </c>
      <c r="AB8408" s="18">
        <f t="shared" si="262"/>
        <v>1997</v>
      </c>
      <c r="AC8408" s="22">
        <f t="shared" si="263"/>
        <v>0.70440000000000003</v>
      </c>
    </row>
    <row r="8409" spans="1:29" ht="25.5">
      <c r="A8409" s="8" t="s">
        <v>7528</v>
      </c>
      <c r="B8409" s="17" t="s">
        <v>7800</v>
      </c>
      <c r="C8409" s="13">
        <v>35703</v>
      </c>
      <c r="D8409" s="13" t="s">
        <v>8465</v>
      </c>
      <c r="E8409" s="10" t="s">
        <v>1259</v>
      </c>
      <c r="F8409" s="10" t="s">
        <v>2654</v>
      </c>
      <c r="G8409" s="11" t="s">
        <v>6896</v>
      </c>
      <c r="H8409" s="2" t="s">
        <v>171</v>
      </c>
      <c r="L8409" s="18">
        <v>0</v>
      </c>
      <c r="Q8409" s="18">
        <v>0</v>
      </c>
      <c r="U8409" s="22">
        <v>0.74</v>
      </c>
      <c r="V8409" s="22">
        <f>3.63/5</f>
        <v>0.72599999999999998</v>
      </c>
      <c r="X8409" s="3">
        <v>3</v>
      </c>
      <c r="Z8409" s="23">
        <v>38</v>
      </c>
      <c r="AB8409" s="18">
        <f t="shared" si="262"/>
        <v>1997</v>
      </c>
      <c r="AC8409" s="22">
        <f t="shared" si="263"/>
        <v>0.68866666666666665</v>
      </c>
    </row>
    <row r="8410" spans="1:29">
      <c r="A8410" s="8" t="s">
        <v>6077</v>
      </c>
      <c r="B8410" s="17" t="s">
        <v>7757</v>
      </c>
      <c r="C8410" s="13">
        <v>35703</v>
      </c>
      <c r="D8410" s="13" t="s">
        <v>8465</v>
      </c>
      <c r="E8410" s="10" t="s">
        <v>1466</v>
      </c>
      <c r="F8410" s="10" t="s">
        <v>1198</v>
      </c>
      <c r="G8410" s="11" t="s">
        <v>4652</v>
      </c>
      <c r="H8410" s="2" t="s">
        <v>64</v>
      </c>
      <c r="L8410" s="18">
        <v>0</v>
      </c>
      <c r="Q8410" s="18">
        <v>0</v>
      </c>
      <c r="U8410" s="22">
        <v>0.77</v>
      </c>
      <c r="V8410" s="22">
        <f>3.48/5</f>
        <v>0.69599999999999995</v>
      </c>
      <c r="X8410" s="3">
        <v>3</v>
      </c>
      <c r="Z8410" s="23">
        <v>7</v>
      </c>
      <c r="AB8410" s="18">
        <f t="shared" si="262"/>
        <v>1997</v>
      </c>
      <c r="AC8410" s="22">
        <f t="shared" si="263"/>
        <v>0.68866666666666665</v>
      </c>
    </row>
    <row r="8411" spans="1:29">
      <c r="A8411" s="8" t="s">
        <v>6610</v>
      </c>
      <c r="B8411" s="17" t="s">
        <v>7757</v>
      </c>
      <c r="C8411" s="13">
        <v>35703</v>
      </c>
      <c r="D8411" s="13" t="s">
        <v>8465</v>
      </c>
      <c r="E8411" s="10" t="s">
        <v>1273</v>
      </c>
      <c r="F8411" s="10" t="s">
        <v>6611</v>
      </c>
      <c r="G8411" s="11" t="s">
        <v>6610</v>
      </c>
      <c r="H8411" s="2" t="s">
        <v>1061</v>
      </c>
      <c r="L8411" s="18">
        <v>0</v>
      </c>
      <c r="Q8411" s="18">
        <v>0</v>
      </c>
      <c r="U8411" s="22">
        <v>0.78</v>
      </c>
      <c r="V8411" s="22">
        <f>3.34/5</f>
        <v>0.66799999999999993</v>
      </c>
      <c r="X8411" s="3">
        <v>3</v>
      </c>
      <c r="Z8411" s="23">
        <v>7</v>
      </c>
      <c r="AB8411" s="18">
        <f t="shared" si="262"/>
        <v>1997</v>
      </c>
      <c r="AC8411" s="22">
        <f t="shared" si="263"/>
        <v>0.68266666666666664</v>
      </c>
    </row>
    <row r="8412" spans="1:29" ht="30">
      <c r="A8412" s="8" t="s">
        <v>8029</v>
      </c>
      <c r="B8412" s="17" t="s">
        <v>7757</v>
      </c>
      <c r="C8412" s="13">
        <v>35703</v>
      </c>
      <c r="D8412" s="13" t="s">
        <v>8465</v>
      </c>
      <c r="E8412" s="10" t="s">
        <v>2908</v>
      </c>
      <c r="F8412" s="10" t="s">
        <v>6265</v>
      </c>
      <c r="G8412" s="11" t="s">
        <v>8030</v>
      </c>
      <c r="H8412" s="2" t="s">
        <v>78</v>
      </c>
      <c r="L8412" s="18">
        <v>0</v>
      </c>
      <c r="Q8412" s="18">
        <v>0</v>
      </c>
      <c r="U8412" s="22">
        <v>0.72289999999999999</v>
      </c>
      <c r="V8412" s="22">
        <f>3.79/5</f>
        <v>0.75800000000000001</v>
      </c>
      <c r="X8412" s="3">
        <v>2</v>
      </c>
      <c r="Z8412" s="23">
        <v>3</v>
      </c>
      <c r="AB8412" s="18">
        <f t="shared" si="262"/>
        <v>1997</v>
      </c>
      <c r="AC8412" s="22">
        <f t="shared" si="263"/>
        <v>0.62696666666666667</v>
      </c>
    </row>
    <row r="8413" spans="1:29">
      <c r="A8413" s="8" t="s">
        <v>9630</v>
      </c>
      <c r="B8413" s="17" t="s">
        <v>7757</v>
      </c>
      <c r="C8413" s="13">
        <v>35703</v>
      </c>
      <c r="D8413" s="13" t="s">
        <v>8465</v>
      </c>
      <c r="E8413" s="10" t="s">
        <v>7826</v>
      </c>
      <c r="F8413" s="10" t="s">
        <v>7826</v>
      </c>
      <c r="H8413" s="2" t="s">
        <v>7594</v>
      </c>
      <c r="L8413" s="18">
        <v>0</v>
      </c>
      <c r="Q8413" s="18">
        <v>0</v>
      </c>
      <c r="V8413" s="22">
        <f>3.26/5</f>
        <v>0.65199999999999991</v>
      </c>
      <c r="X8413" s="3">
        <v>2</v>
      </c>
      <c r="Z8413" s="23">
        <v>14.5</v>
      </c>
      <c r="AB8413" s="18">
        <f t="shared" si="262"/>
        <v>1997</v>
      </c>
      <c r="AC8413" s="22">
        <f t="shared" si="263"/>
        <v>0.52600000000000002</v>
      </c>
    </row>
    <row r="8414" spans="1:29">
      <c r="A8414" s="8" t="s">
        <v>15732</v>
      </c>
      <c r="B8414" s="17" t="s">
        <v>7739</v>
      </c>
      <c r="C8414" s="13">
        <v>35703</v>
      </c>
      <c r="D8414" s="13" t="s">
        <v>8465</v>
      </c>
      <c r="E8414" s="10" t="s">
        <v>485</v>
      </c>
      <c r="F8414" s="10" t="s">
        <v>311</v>
      </c>
      <c r="H8414" s="2" t="s">
        <v>459</v>
      </c>
      <c r="L8414" s="18">
        <v>0</v>
      </c>
      <c r="Q8414" s="18">
        <v>0</v>
      </c>
      <c r="V8414" s="22">
        <f>3.38/5</f>
        <v>0.67599999999999993</v>
      </c>
      <c r="X8414" s="3">
        <v>2</v>
      </c>
      <c r="Z8414" s="23">
        <f>56/60</f>
        <v>0.93333333333333335</v>
      </c>
      <c r="AB8414" s="18">
        <f t="shared" si="262"/>
        <v>1997</v>
      </c>
      <c r="AC8414" s="22">
        <f t="shared" si="263"/>
        <v>0.53800000000000003</v>
      </c>
    </row>
    <row r="8415" spans="1:29" ht="25.5">
      <c r="A8415" s="8" t="s">
        <v>13210</v>
      </c>
      <c r="B8415" s="17" t="s">
        <v>7757</v>
      </c>
      <c r="C8415" s="13">
        <v>35702</v>
      </c>
      <c r="D8415" s="13" t="s">
        <v>8465</v>
      </c>
      <c r="E8415" s="10" t="s">
        <v>7246</v>
      </c>
      <c r="F8415" s="10" t="s">
        <v>1421</v>
      </c>
      <c r="G8415" s="11" t="s">
        <v>13208</v>
      </c>
      <c r="H8415" s="2" t="s">
        <v>1040</v>
      </c>
      <c r="L8415" s="18">
        <v>0</v>
      </c>
      <c r="Q8415" s="18">
        <v>0</v>
      </c>
      <c r="V8415" s="22">
        <f>3.46/5</f>
        <v>0.69199999999999995</v>
      </c>
      <c r="X8415" s="3">
        <v>2</v>
      </c>
      <c r="Z8415" s="23">
        <v>6</v>
      </c>
      <c r="AB8415" s="18">
        <f t="shared" si="262"/>
        <v>1997</v>
      </c>
      <c r="AC8415" s="22">
        <f t="shared" si="263"/>
        <v>0.54600000000000004</v>
      </c>
    </row>
    <row r="8416" spans="1:29">
      <c r="A8416" s="8" t="s">
        <v>8757</v>
      </c>
      <c r="B8416" s="17" t="s">
        <v>7800</v>
      </c>
      <c r="C8416" s="13">
        <v>35699</v>
      </c>
      <c r="D8416" s="13" t="s">
        <v>8465</v>
      </c>
      <c r="E8416" s="10" t="s">
        <v>6906</v>
      </c>
      <c r="F8416" s="10" t="s">
        <v>8758</v>
      </c>
      <c r="G8416" s="11" t="s">
        <v>8757</v>
      </c>
      <c r="H8416" s="2" t="s">
        <v>1143</v>
      </c>
      <c r="L8416" s="18">
        <v>1</v>
      </c>
      <c r="N8416" s="13">
        <v>43987</v>
      </c>
      <c r="O8416" s="29">
        <v>0</v>
      </c>
      <c r="P8416" s="18" t="s">
        <v>1107</v>
      </c>
      <c r="Q8416" s="18">
        <v>0</v>
      </c>
      <c r="U8416" s="22">
        <v>0.86</v>
      </c>
      <c r="V8416" s="22">
        <f>4.17/5</f>
        <v>0.83399999999999996</v>
      </c>
      <c r="W8416" s="14" t="s">
        <v>7778</v>
      </c>
      <c r="X8416" s="3">
        <v>4</v>
      </c>
      <c r="Z8416" s="23">
        <v>18.5</v>
      </c>
      <c r="AB8416" s="18">
        <f t="shared" si="262"/>
        <v>1997</v>
      </c>
      <c r="AC8416" s="22">
        <f t="shared" si="263"/>
        <v>0.83133333333333326</v>
      </c>
    </row>
    <row r="8417" spans="1:29">
      <c r="A8417" s="8" t="s">
        <v>14990</v>
      </c>
      <c r="B8417" s="17" t="s">
        <v>7800</v>
      </c>
      <c r="C8417" s="13">
        <v>35699</v>
      </c>
      <c r="D8417" s="13" t="s">
        <v>8465</v>
      </c>
      <c r="E8417" s="10" t="s">
        <v>3625</v>
      </c>
      <c r="F8417" s="10" t="s">
        <v>3625</v>
      </c>
      <c r="G8417" s="11" t="s">
        <v>4305</v>
      </c>
      <c r="H8417" s="2" t="s">
        <v>80</v>
      </c>
      <c r="L8417" s="18">
        <v>0</v>
      </c>
      <c r="Q8417" s="18">
        <v>0</v>
      </c>
      <c r="V8417" s="22">
        <f>3.33/5</f>
        <v>0.66600000000000004</v>
      </c>
      <c r="X8417" s="3">
        <v>3</v>
      </c>
      <c r="Z8417" s="23">
        <v>1.5</v>
      </c>
      <c r="AB8417" s="18">
        <f t="shared" si="262"/>
        <v>1997</v>
      </c>
      <c r="AC8417" s="22">
        <f t="shared" si="263"/>
        <v>0.63300000000000001</v>
      </c>
    </row>
    <row r="8418" spans="1:29">
      <c r="A8418" s="8" t="s">
        <v>527</v>
      </c>
      <c r="B8418" s="17" t="s">
        <v>7731</v>
      </c>
      <c r="C8418" s="13">
        <v>35698</v>
      </c>
      <c r="D8418" s="13" t="s">
        <v>8465</v>
      </c>
      <c r="E8418" s="10" t="s">
        <v>170</v>
      </c>
      <c r="F8418" s="10" t="s">
        <v>170</v>
      </c>
      <c r="G8418" s="11" t="s">
        <v>567</v>
      </c>
      <c r="H8418" s="2" t="s">
        <v>459</v>
      </c>
      <c r="L8418" s="18">
        <v>0</v>
      </c>
      <c r="Q8418" s="18">
        <v>0</v>
      </c>
      <c r="V8418" s="22">
        <f>4.22/5</f>
        <v>0.84399999999999997</v>
      </c>
      <c r="X8418" s="3">
        <v>3</v>
      </c>
      <c r="Z8418" s="23">
        <v>2</v>
      </c>
      <c r="AB8418" s="18">
        <f t="shared" si="262"/>
        <v>1997</v>
      </c>
      <c r="AC8418" s="22">
        <f t="shared" si="263"/>
        <v>0.72199999999999998</v>
      </c>
    </row>
    <row r="8419" spans="1:29">
      <c r="A8419" s="8" t="s">
        <v>9059</v>
      </c>
      <c r="B8419" s="17" t="s">
        <v>7757</v>
      </c>
      <c r="C8419" s="13">
        <v>35698</v>
      </c>
      <c r="D8419" s="13" t="s">
        <v>8463</v>
      </c>
      <c r="E8419" s="10" t="s">
        <v>9060</v>
      </c>
      <c r="F8419" s="10" t="s">
        <v>1409</v>
      </c>
      <c r="G8419" s="11" t="s">
        <v>812</v>
      </c>
      <c r="H8419" s="2" t="s">
        <v>75</v>
      </c>
      <c r="K8419" s="18">
        <v>2</v>
      </c>
      <c r="L8419" s="18">
        <v>0</v>
      </c>
      <c r="Q8419" s="18">
        <v>0</v>
      </c>
      <c r="V8419" s="22">
        <f>4.11/5</f>
        <v>0.82200000000000006</v>
      </c>
      <c r="X8419" s="3">
        <v>3</v>
      </c>
      <c r="Z8419" s="23">
        <v>55.5</v>
      </c>
      <c r="AB8419" s="18">
        <f t="shared" si="262"/>
        <v>1997</v>
      </c>
      <c r="AC8419" s="22">
        <f t="shared" si="263"/>
        <v>0.71100000000000008</v>
      </c>
    </row>
    <row r="8420" spans="1:29">
      <c r="A8420" s="8" t="s">
        <v>2945</v>
      </c>
      <c r="B8420" s="17" t="s">
        <v>7757</v>
      </c>
      <c r="C8420" s="13">
        <v>35698</v>
      </c>
      <c r="D8420" s="13" t="s">
        <v>8465</v>
      </c>
      <c r="E8420" s="10" t="s">
        <v>73</v>
      </c>
      <c r="F8420" s="10" t="s">
        <v>73</v>
      </c>
      <c r="G8420" s="11" t="s">
        <v>601</v>
      </c>
      <c r="H8420" s="2" t="s">
        <v>56</v>
      </c>
      <c r="L8420" s="18">
        <v>0</v>
      </c>
      <c r="Q8420" s="18">
        <v>0</v>
      </c>
      <c r="U8420" s="22">
        <v>0.74</v>
      </c>
      <c r="V8420" s="22">
        <f>4.18/5</f>
        <v>0.83599999999999997</v>
      </c>
      <c r="X8420" s="3">
        <v>3</v>
      </c>
      <c r="Z8420" s="23">
        <v>4</v>
      </c>
      <c r="AB8420" s="18">
        <f t="shared" si="262"/>
        <v>1997</v>
      </c>
      <c r="AC8420" s="22">
        <f t="shared" si="263"/>
        <v>0.72533333333333339</v>
      </c>
    </row>
    <row r="8421" spans="1:29" ht="30">
      <c r="A8421" s="8" t="s">
        <v>11759</v>
      </c>
      <c r="B8421" s="17" t="s">
        <v>7757</v>
      </c>
      <c r="C8421" s="13">
        <v>35698</v>
      </c>
      <c r="D8421" s="13" t="s">
        <v>8463</v>
      </c>
      <c r="E8421" s="10" t="s">
        <v>2908</v>
      </c>
      <c r="F8421" s="10" t="s">
        <v>10915</v>
      </c>
      <c r="G8421" s="11" t="s">
        <v>11758</v>
      </c>
      <c r="H8421" s="2" t="s">
        <v>149</v>
      </c>
      <c r="K8421" s="18">
        <v>1</v>
      </c>
      <c r="L8421" s="18">
        <v>0</v>
      </c>
      <c r="Q8421" s="18">
        <v>0</v>
      </c>
      <c r="V8421" s="22">
        <f>3.8/5</f>
        <v>0.76</v>
      </c>
      <c r="X8421" s="3">
        <v>3</v>
      </c>
      <c r="AB8421" s="18">
        <f t="shared" si="262"/>
        <v>1997</v>
      </c>
      <c r="AC8421" s="22">
        <f t="shared" si="263"/>
        <v>0.67999999999999994</v>
      </c>
    </row>
    <row r="8422" spans="1:29">
      <c r="A8422" s="8" t="s">
        <v>15338</v>
      </c>
      <c r="B8422" s="17" t="s">
        <v>7757</v>
      </c>
      <c r="C8422" s="13">
        <v>35698</v>
      </c>
      <c r="D8422" s="13" t="s">
        <v>8463</v>
      </c>
      <c r="E8422" s="10" t="s">
        <v>72</v>
      </c>
      <c r="F8422" s="10" t="s">
        <v>72</v>
      </c>
      <c r="G8422" s="11" t="s">
        <v>451</v>
      </c>
      <c r="H8422" s="2" t="s">
        <v>75</v>
      </c>
      <c r="K8422" s="18">
        <v>0</v>
      </c>
      <c r="L8422" s="18">
        <v>0</v>
      </c>
      <c r="Q8422" s="18">
        <v>0</v>
      </c>
      <c r="V8422" s="22">
        <f>3.95/5</f>
        <v>0.79</v>
      </c>
      <c r="X8422" s="3">
        <v>2</v>
      </c>
      <c r="AB8422" s="18">
        <f t="shared" si="262"/>
        <v>1997</v>
      </c>
      <c r="AC8422" s="22">
        <f t="shared" si="263"/>
        <v>0.59499999999999997</v>
      </c>
    </row>
    <row r="8423" spans="1:29" ht="38.25">
      <c r="A8423" s="8" t="s">
        <v>6542</v>
      </c>
      <c r="B8423" s="17" t="s">
        <v>7800</v>
      </c>
      <c r="C8423" s="13">
        <v>35697</v>
      </c>
      <c r="D8423" s="13" t="s">
        <v>8465</v>
      </c>
      <c r="E8423" s="10" t="s">
        <v>469</v>
      </c>
      <c r="F8423" s="10" t="s">
        <v>2654</v>
      </c>
      <c r="G8423" s="11" t="s">
        <v>3043</v>
      </c>
      <c r="H8423" s="2" t="s">
        <v>1143</v>
      </c>
      <c r="L8423" s="18">
        <v>1</v>
      </c>
      <c r="N8423" s="13">
        <v>41627</v>
      </c>
      <c r="O8423" s="29">
        <v>0.33</v>
      </c>
      <c r="P8423" s="18" t="s">
        <v>1107</v>
      </c>
      <c r="Q8423" s="18">
        <v>0</v>
      </c>
      <c r="U8423" s="22">
        <v>0.7</v>
      </c>
      <c r="V8423" s="22">
        <f>3.83/5</f>
        <v>0.76600000000000001</v>
      </c>
      <c r="W8423" s="14" t="s">
        <v>7796</v>
      </c>
      <c r="X8423" s="3">
        <v>2</v>
      </c>
      <c r="Z8423" s="23">
        <v>17.5</v>
      </c>
      <c r="AB8423" s="18">
        <f t="shared" si="262"/>
        <v>1997</v>
      </c>
      <c r="AC8423" s="22">
        <f t="shared" si="263"/>
        <v>0.622</v>
      </c>
    </row>
    <row r="8424" spans="1:29">
      <c r="A8424" s="8" t="s">
        <v>15358</v>
      </c>
      <c r="B8424" s="17" t="s">
        <v>7800</v>
      </c>
      <c r="C8424" s="13">
        <v>35684</v>
      </c>
      <c r="D8424" s="13" t="s">
        <v>8465</v>
      </c>
      <c r="E8424" s="10" t="s">
        <v>1889</v>
      </c>
      <c r="F8424" s="10" t="s">
        <v>5017</v>
      </c>
      <c r="G8424" s="11" t="s">
        <v>6771</v>
      </c>
      <c r="H8424" s="2" t="s">
        <v>1050</v>
      </c>
      <c r="L8424" s="18">
        <v>1</v>
      </c>
      <c r="N8424" s="13">
        <v>45117</v>
      </c>
      <c r="O8424" s="29">
        <v>0</v>
      </c>
      <c r="P8424" s="18" t="s">
        <v>1107</v>
      </c>
      <c r="Q8424" s="18">
        <v>0</v>
      </c>
      <c r="V8424" s="22">
        <f>3.62/5</f>
        <v>0.72399999999999998</v>
      </c>
      <c r="W8424" s="14" t="s">
        <v>7777</v>
      </c>
      <c r="X8424" s="3">
        <v>3</v>
      </c>
      <c r="Z8424" s="23">
        <v>9.5</v>
      </c>
      <c r="AB8424" s="18">
        <f t="shared" si="262"/>
        <v>1997</v>
      </c>
      <c r="AC8424" s="22">
        <f t="shared" si="263"/>
        <v>0.66199999999999992</v>
      </c>
    </row>
    <row r="8425" spans="1:29">
      <c r="A8425" s="8" t="s">
        <v>13260</v>
      </c>
      <c r="B8425" s="17" t="s">
        <v>7800</v>
      </c>
      <c r="C8425" s="13">
        <v>35678</v>
      </c>
      <c r="D8425" s="13" t="s">
        <v>8465</v>
      </c>
      <c r="E8425" s="10" t="s">
        <v>3487</v>
      </c>
      <c r="F8425" s="10" t="s">
        <v>3487</v>
      </c>
      <c r="H8425" s="2" t="s">
        <v>64</v>
      </c>
      <c r="L8425" s="18">
        <v>0</v>
      </c>
      <c r="Q8425" s="18">
        <v>0</v>
      </c>
      <c r="V8425" s="22">
        <f>4.03/5</f>
        <v>0.80600000000000005</v>
      </c>
      <c r="W8425" s="14" t="s">
        <v>13076</v>
      </c>
      <c r="X8425" s="3">
        <v>2</v>
      </c>
      <c r="Z8425" s="23">
        <v>6.5</v>
      </c>
      <c r="AB8425" s="18">
        <f t="shared" si="262"/>
        <v>1997</v>
      </c>
      <c r="AC8425" s="22">
        <f t="shared" si="263"/>
        <v>0.60299999999999998</v>
      </c>
    </row>
    <row r="8426" spans="1:29" ht="25.5">
      <c r="A8426" s="8" t="s">
        <v>14915</v>
      </c>
      <c r="B8426" s="17" t="s">
        <v>6317</v>
      </c>
      <c r="C8426" s="12">
        <v>35674</v>
      </c>
      <c r="D8426" s="13" t="s">
        <v>8465</v>
      </c>
      <c r="E8426" s="10" t="s">
        <v>455</v>
      </c>
      <c r="F8426" s="10" t="s">
        <v>10994</v>
      </c>
      <c r="G8426" s="11" t="s">
        <v>2569</v>
      </c>
      <c r="H8426" s="2" t="s">
        <v>1170</v>
      </c>
      <c r="L8426" s="18">
        <v>0</v>
      </c>
      <c r="Q8426" s="18">
        <v>0</v>
      </c>
      <c r="V8426" s="22">
        <f>3.8/5</f>
        <v>0.76</v>
      </c>
      <c r="X8426" s="3">
        <v>2</v>
      </c>
      <c r="Z8426" s="23">
        <f>48/60</f>
        <v>0.8</v>
      </c>
      <c r="AB8426" s="18">
        <f t="shared" si="262"/>
        <v>1997</v>
      </c>
      <c r="AC8426" s="22">
        <f t="shared" si="263"/>
        <v>0.58000000000000007</v>
      </c>
    </row>
    <row r="8427" spans="1:29" ht="30">
      <c r="A8427" s="8" t="s">
        <v>12946</v>
      </c>
      <c r="B8427" s="17" t="s">
        <v>7757</v>
      </c>
      <c r="C8427" s="13">
        <v>35673</v>
      </c>
      <c r="D8427" s="13" t="s">
        <v>8465</v>
      </c>
      <c r="E8427" s="10" t="s">
        <v>158</v>
      </c>
      <c r="F8427" s="10" t="s">
        <v>11026</v>
      </c>
      <c r="H8427" s="2" t="s">
        <v>80</v>
      </c>
      <c r="L8427" s="18">
        <v>0</v>
      </c>
      <c r="Q8427" s="18">
        <v>0</v>
      </c>
      <c r="V8427" s="22">
        <f>3.53/5</f>
        <v>0.70599999999999996</v>
      </c>
      <c r="X8427" s="3">
        <v>2</v>
      </c>
      <c r="Z8427" s="23">
        <v>6</v>
      </c>
      <c r="AB8427" s="18">
        <f t="shared" si="262"/>
        <v>1997</v>
      </c>
      <c r="AC8427" s="22">
        <f t="shared" si="263"/>
        <v>0.55299999999999994</v>
      </c>
    </row>
    <row r="8428" spans="1:29">
      <c r="A8428" s="8" t="s">
        <v>2915</v>
      </c>
      <c r="B8428" s="17" t="s">
        <v>7757</v>
      </c>
      <c r="C8428" s="13">
        <v>35670</v>
      </c>
      <c r="D8428" s="13" t="s">
        <v>8463</v>
      </c>
      <c r="E8428" s="10" t="s">
        <v>72</v>
      </c>
      <c r="F8428" s="10" t="s">
        <v>72</v>
      </c>
      <c r="G8428" s="11" t="s">
        <v>123</v>
      </c>
      <c r="H8428" s="2" t="s">
        <v>21</v>
      </c>
      <c r="K8428" s="18">
        <v>0</v>
      </c>
      <c r="L8428" s="18">
        <v>0</v>
      </c>
      <c r="Q8428" s="18">
        <v>0</v>
      </c>
      <c r="U8428" s="22">
        <v>0.79</v>
      </c>
      <c r="V8428" s="22">
        <f>3.76/5</f>
        <v>0.752</v>
      </c>
      <c r="X8428" s="3">
        <v>3</v>
      </c>
      <c r="Z8428" s="23">
        <v>1</v>
      </c>
      <c r="AB8428" s="18">
        <f t="shared" si="262"/>
        <v>1997</v>
      </c>
      <c r="AC8428" s="22">
        <f t="shared" si="263"/>
        <v>0.71399999999999997</v>
      </c>
    </row>
    <row r="8429" spans="1:29" ht="25.5">
      <c r="A8429" s="8" t="s">
        <v>388</v>
      </c>
      <c r="B8429" s="17" t="s">
        <v>6317</v>
      </c>
      <c r="C8429" s="13">
        <v>35669</v>
      </c>
      <c r="D8429" s="13" t="s">
        <v>8465</v>
      </c>
      <c r="E8429" s="10" t="s">
        <v>73</v>
      </c>
      <c r="F8429" s="10" t="s">
        <v>73</v>
      </c>
      <c r="G8429" s="11" t="s">
        <v>449</v>
      </c>
      <c r="H8429" s="2" t="s">
        <v>459</v>
      </c>
      <c r="L8429" s="18">
        <v>0</v>
      </c>
      <c r="Q8429" s="18">
        <v>0</v>
      </c>
      <c r="V8429" s="22">
        <f>4.03/5</f>
        <v>0.80600000000000005</v>
      </c>
      <c r="X8429" s="3">
        <v>3</v>
      </c>
      <c r="Z8429" s="23">
        <v>0.83</v>
      </c>
      <c r="AB8429" s="18">
        <f t="shared" si="262"/>
        <v>1997</v>
      </c>
      <c r="AC8429" s="22">
        <f t="shared" si="263"/>
        <v>0.70300000000000007</v>
      </c>
    </row>
    <row r="8430" spans="1:29" ht="38.25">
      <c r="A8430" s="8" t="s">
        <v>14344</v>
      </c>
      <c r="B8430" s="17" t="s">
        <v>10323</v>
      </c>
      <c r="C8430" s="13">
        <v>35657</v>
      </c>
      <c r="D8430" s="13" t="s">
        <v>8463</v>
      </c>
      <c r="E8430" s="10" t="s">
        <v>14336</v>
      </c>
      <c r="F8430" s="10" t="s">
        <v>14337</v>
      </c>
      <c r="G8430" s="11" t="s">
        <v>13598</v>
      </c>
      <c r="H8430" s="2" t="s">
        <v>21</v>
      </c>
      <c r="K8430" s="18">
        <v>2</v>
      </c>
      <c r="L8430" s="18">
        <v>0</v>
      </c>
      <c r="Q8430" s="18">
        <v>0</v>
      </c>
      <c r="V8430" s="22">
        <f>3.58/5</f>
        <v>0.71599999999999997</v>
      </c>
      <c r="X8430" s="3">
        <v>3</v>
      </c>
      <c r="Z8430" s="23">
        <v>1</v>
      </c>
      <c r="AB8430" s="18">
        <f t="shared" si="262"/>
        <v>1997</v>
      </c>
      <c r="AC8430" s="22">
        <f t="shared" si="263"/>
        <v>0.65799999999999992</v>
      </c>
    </row>
    <row r="8431" spans="1:29">
      <c r="A8431" s="8" t="s">
        <v>10910</v>
      </c>
      <c r="B8431" s="17" t="s">
        <v>10908</v>
      </c>
      <c r="C8431" s="13">
        <v>35650</v>
      </c>
      <c r="D8431" s="13" t="s">
        <v>8463</v>
      </c>
      <c r="E8431" s="10" t="s">
        <v>2870</v>
      </c>
      <c r="F8431" s="10" t="s">
        <v>1329</v>
      </c>
      <c r="H8431" s="2" t="s">
        <v>21</v>
      </c>
      <c r="K8431" s="18">
        <v>2</v>
      </c>
      <c r="L8431" s="18">
        <v>0</v>
      </c>
      <c r="Q8431" s="18">
        <v>0</v>
      </c>
      <c r="V8431" s="22">
        <f>4.35/5</f>
        <v>0.86999999999999988</v>
      </c>
      <c r="X8431" s="3">
        <v>2</v>
      </c>
      <c r="AB8431" s="18">
        <f t="shared" si="262"/>
        <v>1997</v>
      </c>
      <c r="AC8431" s="22">
        <f t="shared" si="263"/>
        <v>0.63500000000000001</v>
      </c>
    </row>
    <row r="8432" spans="1:29">
      <c r="A8432" s="8" t="s">
        <v>14563</v>
      </c>
      <c r="B8432" s="17" t="s">
        <v>7754</v>
      </c>
      <c r="C8432" s="13">
        <v>35650</v>
      </c>
      <c r="D8432" s="13" t="s">
        <v>8463</v>
      </c>
      <c r="E8432" s="10" t="s">
        <v>1241</v>
      </c>
      <c r="F8432" s="10" t="s">
        <v>1241</v>
      </c>
      <c r="G8432" s="11" t="s">
        <v>14558</v>
      </c>
      <c r="H8432" s="2" t="s">
        <v>21</v>
      </c>
      <c r="K8432" s="18">
        <v>0</v>
      </c>
      <c r="L8432" s="18">
        <v>0</v>
      </c>
      <c r="Q8432" s="18">
        <v>0</v>
      </c>
      <c r="V8432" s="22">
        <f>2.13/5</f>
        <v>0.42599999999999999</v>
      </c>
      <c r="X8432" s="3">
        <v>2</v>
      </c>
      <c r="AB8432" s="18">
        <f t="shared" si="262"/>
        <v>1997</v>
      </c>
      <c r="AC8432" s="22">
        <f t="shared" si="263"/>
        <v>0.41300000000000003</v>
      </c>
    </row>
    <row r="8433" spans="1:29">
      <c r="A8433" s="8" t="s">
        <v>2985</v>
      </c>
      <c r="B8433" s="17" t="s">
        <v>7757</v>
      </c>
      <c r="C8433" s="13">
        <v>35649</v>
      </c>
      <c r="D8433" s="13" t="s">
        <v>8463</v>
      </c>
      <c r="E8433" s="10" t="s">
        <v>470</v>
      </c>
      <c r="F8433" s="10" t="s">
        <v>3036</v>
      </c>
      <c r="H8433" s="2" t="s">
        <v>153</v>
      </c>
      <c r="K8433" s="18">
        <v>2</v>
      </c>
      <c r="L8433" s="18">
        <v>0</v>
      </c>
      <c r="Q8433" s="18">
        <v>0</v>
      </c>
      <c r="V8433" s="22">
        <f>4.08/5</f>
        <v>0.81600000000000006</v>
      </c>
      <c r="X8433" s="3">
        <v>4</v>
      </c>
      <c r="Z8433" s="23">
        <v>1</v>
      </c>
      <c r="AB8433" s="18">
        <f t="shared" si="262"/>
        <v>1997</v>
      </c>
      <c r="AC8433" s="22">
        <f t="shared" si="263"/>
        <v>0.80800000000000005</v>
      </c>
    </row>
    <row r="8434" spans="1:29">
      <c r="A8434" s="8" t="s">
        <v>15787</v>
      </c>
      <c r="B8434" s="17" t="s">
        <v>7739</v>
      </c>
      <c r="C8434" s="13">
        <v>35643</v>
      </c>
      <c r="D8434" s="13" t="s">
        <v>8465</v>
      </c>
      <c r="E8434" s="10" t="s">
        <v>86</v>
      </c>
      <c r="F8434" s="10" t="s">
        <v>10397</v>
      </c>
      <c r="G8434" s="11" t="s">
        <v>98</v>
      </c>
      <c r="H8434" s="2" t="s">
        <v>78</v>
      </c>
      <c r="L8434" s="18">
        <v>0</v>
      </c>
      <c r="Q8434" s="18">
        <v>0</v>
      </c>
      <c r="V8434" s="22">
        <f>3.7/5</f>
        <v>0.74</v>
      </c>
      <c r="X8434" s="3">
        <v>3</v>
      </c>
      <c r="Z8434" s="23">
        <v>3</v>
      </c>
      <c r="AB8434" s="18">
        <f t="shared" si="262"/>
        <v>1997</v>
      </c>
      <c r="AC8434" s="22">
        <f t="shared" si="263"/>
        <v>0.66999999999999993</v>
      </c>
    </row>
    <row r="8435" spans="1:29">
      <c r="A8435" s="8" t="s">
        <v>7906</v>
      </c>
      <c r="B8435" s="17" t="s">
        <v>7757</v>
      </c>
      <c r="C8435" s="13">
        <v>35642</v>
      </c>
      <c r="D8435" s="13" t="s">
        <v>8465</v>
      </c>
      <c r="E8435" s="10" t="s">
        <v>158</v>
      </c>
      <c r="F8435" s="10" t="s">
        <v>158</v>
      </c>
      <c r="G8435" s="11" t="s">
        <v>3101</v>
      </c>
      <c r="H8435" s="2" t="s">
        <v>7594</v>
      </c>
      <c r="L8435" s="18">
        <v>0</v>
      </c>
      <c r="Q8435" s="18">
        <v>0</v>
      </c>
      <c r="U8435" s="22">
        <v>0.81</v>
      </c>
      <c r="V8435" s="22">
        <f>4/5</f>
        <v>0.8</v>
      </c>
      <c r="X8435" s="3">
        <v>2</v>
      </c>
      <c r="Z8435" s="23">
        <v>3.5</v>
      </c>
      <c r="AB8435" s="18">
        <f t="shared" si="262"/>
        <v>1997</v>
      </c>
      <c r="AC8435" s="22">
        <f t="shared" si="263"/>
        <v>0.67</v>
      </c>
    </row>
    <row r="8436" spans="1:29" ht="25.5">
      <c r="A8436" s="8" t="s">
        <v>15766</v>
      </c>
      <c r="B8436" s="17" t="s">
        <v>7800</v>
      </c>
      <c r="C8436" s="13">
        <v>35642</v>
      </c>
      <c r="D8436" s="13" t="s">
        <v>8465</v>
      </c>
      <c r="E8436" s="10" t="s">
        <v>6923</v>
      </c>
      <c r="F8436" s="10" t="s">
        <v>7607</v>
      </c>
      <c r="G8436" s="11" t="s">
        <v>445</v>
      </c>
      <c r="H8436" s="2" t="s">
        <v>3937</v>
      </c>
      <c r="L8436" s="18">
        <v>0</v>
      </c>
      <c r="Q8436" s="18">
        <v>0</v>
      </c>
      <c r="V8436" s="22">
        <f>4/5</f>
        <v>0.8</v>
      </c>
      <c r="X8436" s="3">
        <v>3</v>
      </c>
      <c r="AB8436" s="18">
        <f t="shared" si="262"/>
        <v>1997</v>
      </c>
      <c r="AC8436" s="22">
        <f t="shared" si="263"/>
        <v>0.7</v>
      </c>
    </row>
    <row r="8437" spans="1:29" ht="25.5">
      <c r="A8437" s="8" t="s">
        <v>2713</v>
      </c>
      <c r="B8437" s="17" t="s">
        <v>7754</v>
      </c>
      <c r="C8437" s="13">
        <v>35635</v>
      </c>
      <c r="D8437" s="13" t="s">
        <v>8465</v>
      </c>
      <c r="E8437" s="10" t="s">
        <v>2701</v>
      </c>
      <c r="F8437" s="10" t="s">
        <v>160</v>
      </c>
      <c r="G8437" s="11" t="s">
        <v>2735</v>
      </c>
      <c r="H8437" s="2" t="s">
        <v>149</v>
      </c>
      <c r="L8437" s="18">
        <v>0</v>
      </c>
      <c r="Q8437" s="18">
        <v>0</v>
      </c>
      <c r="U8437" s="22">
        <v>0.75</v>
      </c>
      <c r="V8437" s="22">
        <f>3.97/5</f>
        <v>0.79400000000000004</v>
      </c>
      <c r="X8437" s="3">
        <v>3</v>
      </c>
      <c r="Z8437" s="23">
        <v>29.5</v>
      </c>
      <c r="AB8437" s="18">
        <f t="shared" si="262"/>
        <v>1997</v>
      </c>
      <c r="AC8437" s="22">
        <f t="shared" si="263"/>
        <v>0.71466666666666667</v>
      </c>
    </row>
    <row r="8438" spans="1:29" ht="25.5">
      <c r="A8438" s="8" t="s">
        <v>14329</v>
      </c>
      <c r="B8438" s="17" t="s">
        <v>7754</v>
      </c>
      <c r="C8438" s="13">
        <v>35629</v>
      </c>
      <c r="D8438" s="13" t="s">
        <v>8463</v>
      </c>
      <c r="E8438" s="10" t="s">
        <v>455</v>
      </c>
      <c r="F8438" s="10" t="s">
        <v>5542</v>
      </c>
      <c r="H8438" s="2" t="s">
        <v>67</v>
      </c>
      <c r="K8438" s="18">
        <v>1</v>
      </c>
      <c r="L8438" s="18">
        <v>0</v>
      </c>
      <c r="Q8438" s="18">
        <v>0</v>
      </c>
      <c r="V8438" s="22">
        <f>3.9/5</f>
        <v>0.78</v>
      </c>
      <c r="X8438" s="3">
        <v>2</v>
      </c>
      <c r="AB8438" s="18">
        <f t="shared" si="262"/>
        <v>1997</v>
      </c>
      <c r="AC8438" s="22">
        <f t="shared" si="263"/>
        <v>0.59000000000000008</v>
      </c>
    </row>
    <row r="8439" spans="1:29">
      <c r="A8439" s="8" t="s">
        <v>7634</v>
      </c>
      <c r="B8439" s="17" t="s">
        <v>7745</v>
      </c>
      <c r="C8439" s="13">
        <v>35625</v>
      </c>
      <c r="D8439" s="13" t="s">
        <v>8465</v>
      </c>
      <c r="E8439" s="10" t="s">
        <v>86</v>
      </c>
      <c r="F8439" s="10" t="s">
        <v>30</v>
      </c>
      <c r="G8439" s="11" t="s">
        <v>223</v>
      </c>
      <c r="H8439" s="2" t="s">
        <v>78</v>
      </c>
      <c r="L8439" s="18">
        <v>0</v>
      </c>
      <c r="Q8439" s="18">
        <v>0</v>
      </c>
      <c r="U8439" s="22">
        <v>0.73</v>
      </c>
      <c r="V8439" s="22">
        <f>3.61/5</f>
        <v>0.72199999999999998</v>
      </c>
      <c r="X8439" s="3">
        <v>2</v>
      </c>
      <c r="Z8439" s="23">
        <v>10</v>
      </c>
      <c r="AB8439" s="18">
        <f t="shared" si="262"/>
        <v>1997</v>
      </c>
      <c r="AC8439" s="22">
        <f t="shared" si="263"/>
        <v>0.61733333333333329</v>
      </c>
    </row>
    <row r="8440" spans="1:29">
      <c r="A8440" s="8" t="s">
        <v>10782</v>
      </c>
      <c r="B8440" s="17" t="s">
        <v>7754</v>
      </c>
      <c r="C8440" s="13">
        <v>35622</v>
      </c>
      <c r="D8440" s="13" t="s">
        <v>8463</v>
      </c>
      <c r="E8440" s="10" t="s">
        <v>62</v>
      </c>
      <c r="F8440" s="10" t="s">
        <v>1307</v>
      </c>
      <c r="H8440" s="2" t="s">
        <v>1168</v>
      </c>
      <c r="K8440" s="18">
        <v>2</v>
      </c>
      <c r="L8440" s="18">
        <v>0</v>
      </c>
      <c r="Q8440" s="18">
        <v>0</v>
      </c>
      <c r="V8440" s="22">
        <f>4.08/5</f>
        <v>0.81600000000000006</v>
      </c>
      <c r="X8440" s="3">
        <v>2</v>
      </c>
      <c r="Z8440" s="23">
        <f>47/60</f>
        <v>0.78333333333333333</v>
      </c>
      <c r="AB8440" s="18">
        <f t="shared" si="262"/>
        <v>1997</v>
      </c>
      <c r="AC8440" s="22">
        <f t="shared" si="263"/>
        <v>0.6080000000000001</v>
      </c>
    </row>
    <row r="8441" spans="1:29" ht="30">
      <c r="A8441" s="8" t="s">
        <v>15739</v>
      </c>
      <c r="B8441" s="17" t="s">
        <v>7739</v>
      </c>
      <c r="C8441" s="13">
        <v>35619</v>
      </c>
      <c r="D8441" s="13" t="s">
        <v>8465</v>
      </c>
      <c r="E8441" s="10" t="s">
        <v>250</v>
      </c>
      <c r="F8441" s="10" t="s">
        <v>3020</v>
      </c>
      <c r="H8441" s="2" t="s">
        <v>459</v>
      </c>
      <c r="L8441" s="18">
        <v>0</v>
      </c>
      <c r="Q8441" s="18">
        <v>0</v>
      </c>
      <c r="V8441" s="22">
        <f>2.73/5</f>
        <v>0.54600000000000004</v>
      </c>
      <c r="X8441" s="3">
        <v>2</v>
      </c>
      <c r="Z8441" s="23">
        <f>44/60</f>
        <v>0.73333333333333328</v>
      </c>
      <c r="AB8441" s="18">
        <f t="shared" si="262"/>
        <v>1997</v>
      </c>
      <c r="AC8441" s="22">
        <f t="shared" si="263"/>
        <v>0.47300000000000003</v>
      </c>
    </row>
    <row r="8442" spans="1:29">
      <c r="A8442" s="8" t="s">
        <v>6839</v>
      </c>
      <c r="B8442" s="17" t="s">
        <v>7800</v>
      </c>
      <c r="C8442" s="13">
        <v>35611</v>
      </c>
      <c r="D8442" s="13" t="s">
        <v>8465</v>
      </c>
      <c r="E8442" s="10" t="s">
        <v>6884</v>
      </c>
      <c r="F8442" s="10" t="s">
        <v>6905</v>
      </c>
      <c r="G8442" s="11" t="s">
        <v>5594</v>
      </c>
      <c r="H8442" s="2" t="s">
        <v>61</v>
      </c>
      <c r="L8442" s="18">
        <v>1</v>
      </c>
      <c r="N8442" s="13">
        <v>43955</v>
      </c>
      <c r="O8442" s="29">
        <v>0.75</v>
      </c>
      <c r="P8442" s="18" t="s">
        <v>1107</v>
      </c>
      <c r="Q8442" s="18">
        <v>0</v>
      </c>
      <c r="U8442" s="22">
        <v>0.87</v>
      </c>
      <c r="V8442" s="22">
        <f>3.83/5</f>
        <v>0.76600000000000001</v>
      </c>
      <c r="W8442" s="14" t="s">
        <v>7777</v>
      </c>
      <c r="X8442" s="3">
        <v>3</v>
      </c>
      <c r="Z8442" s="23">
        <v>29</v>
      </c>
      <c r="AB8442" s="18">
        <f t="shared" si="262"/>
        <v>1997</v>
      </c>
      <c r="AC8442" s="22">
        <f t="shared" si="263"/>
        <v>0.7453333333333334</v>
      </c>
    </row>
    <row r="8443" spans="1:29" ht="30">
      <c r="A8443" s="8" t="s">
        <v>2721</v>
      </c>
      <c r="B8443" s="17" t="s">
        <v>7754</v>
      </c>
      <c r="C8443" s="13">
        <v>35611</v>
      </c>
      <c r="D8443" s="13" t="s">
        <v>8465</v>
      </c>
      <c r="E8443" s="10" t="s">
        <v>455</v>
      </c>
      <c r="F8443" s="10" t="s">
        <v>2677</v>
      </c>
      <c r="G8443" s="11" t="s">
        <v>1661</v>
      </c>
      <c r="H8443" s="2" t="s">
        <v>1377</v>
      </c>
      <c r="L8443" s="18">
        <v>0</v>
      </c>
      <c r="Q8443" s="18">
        <v>0</v>
      </c>
      <c r="U8443" s="22">
        <v>0.79</v>
      </c>
      <c r="V8443" s="22">
        <f>4.11/5</f>
        <v>0.82200000000000006</v>
      </c>
      <c r="X8443" s="3">
        <v>3</v>
      </c>
      <c r="Z8443" s="23">
        <v>27.5</v>
      </c>
      <c r="AB8443" s="18">
        <f t="shared" si="262"/>
        <v>1997</v>
      </c>
      <c r="AC8443" s="22">
        <f t="shared" si="263"/>
        <v>0.7373333333333334</v>
      </c>
    </row>
    <row r="8444" spans="1:29">
      <c r="A8444" s="8" t="s">
        <v>2984</v>
      </c>
      <c r="B8444" s="17" t="s">
        <v>7800</v>
      </c>
      <c r="C8444" s="13">
        <v>35611</v>
      </c>
      <c r="D8444" s="13" t="s">
        <v>8465</v>
      </c>
      <c r="E8444" s="10" t="s">
        <v>1198</v>
      </c>
      <c r="F8444" s="10" t="s">
        <v>3035</v>
      </c>
      <c r="G8444" s="11" t="s">
        <v>4652</v>
      </c>
      <c r="H8444" s="2" t="s">
        <v>64</v>
      </c>
      <c r="L8444" s="18">
        <v>1</v>
      </c>
      <c r="N8444" s="13">
        <v>43318</v>
      </c>
      <c r="O8444" s="29">
        <v>0.97</v>
      </c>
      <c r="P8444" s="18" t="s">
        <v>1107</v>
      </c>
      <c r="Q8444" s="18">
        <v>0</v>
      </c>
      <c r="U8444" s="22">
        <v>0.78</v>
      </c>
      <c r="V8444" s="22">
        <f>3.5/5</f>
        <v>0.7</v>
      </c>
      <c r="W8444" s="14" t="s">
        <v>7777</v>
      </c>
      <c r="X8444" s="3">
        <v>3</v>
      </c>
      <c r="Z8444" s="23">
        <v>7.5</v>
      </c>
      <c r="AB8444" s="18">
        <f t="shared" si="262"/>
        <v>1997</v>
      </c>
      <c r="AC8444" s="22">
        <f t="shared" si="263"/>
        <v>0.69333333333333336</v>
      </c>
    </row>
    <row r="8445" spans="1:29">
      <c r="A8445" s="8" t="s">
        <v>3414</v>
      </c>
      <c r="B8445" s="17" t="s">
        <v>7800</v>
      </c>
      <c r="C8445" s="13">
        <v>35611</v>
      </c>
      <c r="D8445" s="13" t="s">
        <v>8465</v>
      </c>
      <c r="E8445" s="10" t="s">
        <v>6928</v>
      </c>
      <c r="F8445" s="10" t="s">
        <v>3413</v>
      </c>
      <c r="G8445" s="11" t="s">
        <v>3414</v>
      </c>
      <c r="H8445" s="2" t="s">
        <v>1204</v>
      </c>
      <c r="L8445" s="18">
        <v>1</v>
      </c>
      <c r="N8445" s="13">
        <v>41563</v>
      </c>
      <c r="O8445" s="29">
        <v>0</v>
      </c>
      <c r="P8445" s="18" t="s">
        <v>1107</v>
      </c>
      <c r="Q8445" s="18">
        <v>0</v>
      </c>
      <c r="U8445" s="22">
        <v>0.9</v>
      </c>
      <c r="V8445" s="22">
        <f>3.98/5</f>
        <v>0.79600000000000004</v>
      </c>
      <c r="W8445" s="14" t="s">
        <v>7778</v>
      </c>
      <c r="X8445" s="3">
        <v>2</v>
      </c>
      <c r="Z8445" s="23">
        <v>11</v>
      </c>
      <c r="AB8445" s="18">
        <f t="shared" si="262"/>
        <v>1997</v>
      </c>
      <c r="AC8445" s="22">
        <f t="shared" si="263"/>
        <v>0.69866666666666666</v>
      </c>
    </row>
    <row r="8446" spans="1:29">
      <c r="A8446" s="8" t="s">
        <v>13837</v>
      </c>
      <c r="B8446" s="17" t="s">
        <v>7800</v>
      </c>
      <c r="C8446" s="13">
        <v>35611</v>
      </c>
      <c r="D8446" s="13" t="s">
        <v>8465</v>
      </c>
      <c r="E8446" s="10" t="s">
        <v>6923</v>
      </c>
      <c r="F8446" s="10" t="s">
        <v>6923</v>
      </c>
      <c r="H8446" s="2" t="s">
        <v>1720</v>
      </c>
      <c r="L8446" s="18">
        <v>0</v>
      </c>
      <c r="Q8446" s="18">
        <v>0</v>
      </c>
      <c r="V8446" s="22">
        <f>3.93/5</f>
        <v>0.78600000000000003</v>
      </c>
      <c r="X8446" s="3">
        <v>2</v>
      </c>
      <c r="AB8446" s="18">
        <f t="shared" si="262"/>
        <v>1997</v>
      </c>
      <c r="AC8446" s="22">
        <f t="shared" si="263"/>
        <v>0.59299999999999997</v>
      </c>
    </row>
    <row r="8447" spans="1:29">
      <c r="A8447" s="8" t="s">
        <v>7935</v>
      </c>
      <c r="B8447" s="17" t="s">
        <v>7757</v>
      </c>
      <c r="C8447" s="13">
        <v>35611</v>
      </c>
      <c r="D8447" s="13" t="s">
        <v>8465</v>
      </c>
      <c r="E8447" s="10" t="s">
        <v>68</v>
      </c>
      <c r="F8447" s="10" t="s">
        <v>1471</v>
      </c>
      <c r="G8447" s="11" t="s">
        <v>7935</v>
      </c>
      <c r="H8447" s="2" t="s">
        <v>459</v>
      </c>
      <c r="L8447" s="18">
        <v>0</v>
      </c>
      <c r="Q8447" s="18">
        <v>0</v>
      </c>
      <c r="U8447" s="22">
        <v>0.78139999999999998</v>
      </c>
      <c r="V8447" s="22">
        <f>3.22/5</f>
        <v>0.64400000000000002</v>
      </c>
      <c r="X8447" s="3">
        <v>2</v>
      </c>
      <c r="Z8447" s="23">
        <v>4</v>
      </c>
      <c r="AB8447" s="18">
        <f t="shared" si="262"/>
        <v>1997</v>
      </c>
      <c r="AC8447" s="22">
        <f t="shared" si="263"/>
        <v>0.60846666666666671</v>
      </c>
    </row>
    <row r="8448" spans="1:29" ht="38.25">
      <c r="A8448" s="8" t="s">
        <v>545</v>
      </c>
      <c r="B8448" s="17" t="s">
        <v>7732</v>
      </c>
      <c r="C8448" s="13">
        <v>35608</v>
      </c>
      <c r="D8448" s="13" t="s">
        <v>8463</v>
      </c>
      <c r="E8448" s="10" t="s">
        <v>170</v>
      </c>
      <c r="F8448" s="10" t="s">
        <v>170</v>
      </c>
      <c r="G8448" s="11" t="s">
        <v>519</v>
      </c>
      <c r="H8448" s="2" t="s">
        <v>149</v>
      </c>
      <c r="K8448" s="18">
        <v>1</v>
      </c>
      <c r="L8448" s="18">
        <v>0</v>
      </c>
      <c r="Q8448" s="18">
        <v>0</v>
      </c>
      <c r="V8448" s="22">
        <f>3.96/5</f>
        <v>0.79200000000000004</v>
      </c>
      <c r="X8448" s="3">
        <v>4</v>
      </c>
      <c r="AB8448" s="18">
        <f t="shared" si="262"/>
        <v>1997</v>
      </c>
      <c r="AC8448" s="22">
        <f t="shared" si="263"/>
        <v>0.79600000000000004</v>
      </c>
    </row>
    <row r="8449" spans="1:29">
      <c r="A8449" s="8" t="s">
        <v>352</v>
      </c>
      <c r="B8449" s="17" t="s">
        <v>6317</v>
      </c>
      <c r="C8449" s="13">
        <v>35608</v>
      </c>
      <c r="D8449" s="13" t="s">
        <v>8463</v>
      </c>
      <c r="E8449" s="10" t="s">
        <v>552</v>
      </c>
      <c r="F8449" s="10" t="s">
        <v>553</v>
      </c>
      <c r="H8449" s="2" t="s">
        <v>459</v>
      </c>
      <c r="K8449" s="18">
        <v>0</v>
      </c>
      <c r="L8449" s="18">
        <v>0</v>
      </c>
      <c r="Q8449" s="18">
        <v>0</v>
      </c>
      <c r="V8449" s="22">
        <f>3.29/5</f>
        <v>0.65800000000000003</v>
      </c>
      <c r="X8449" s="3">
        <v>3</v>
      </c>
      <c r="Z8449" s="23">
        <f>31/60</f>
        <v>0.51666666666666672</v>
      </c>
      <c r="AB8449" s="18">
        <f t="shared" ref="AB8449:AB8512" si="264">IFERROR(YEAR(C8449), "Early Access")</f>
        <v>1997</v>
      </c>
      <c r="AC8449" s="22">
        <f t="shared" ref="AC8449:AC8512" si="265">AVERAGE(T8449, U8449, V8449, IF(ISBLANK(X8449), X8449, X8449/5))</f>
        <v>0.629</v>
      </c>
    </row>
    <row r="8450" spans="1:29">
      <c r="A8450" s="8" t="s">
        <v>2720</v>
      </c>
      <c r="B8450" s="17" t="s">
        <v>7754</v>
      </c>
      <c r="C8450" s="13">
        <v>35608</v>
      </c>
      <c r="D8450" s="13" t="s">
        <v>8463</v>
      </c>
      <c r="E8450" s="10" t="s">
        <v>455</v>
      </c>
      <c r="F8450" s="10" t="s">
        <v>559</v>
      </c>
      <c r="H8450" s="2" t="s">
        <v>21</v>
      </c>
      <c r="K8450" s="18">
        <v>0</v>
      </c>
      <c r="L8450" s="18">
        <v>0</v>
      </c>
      <c r="Q8450" s="18">
        <v>0</v>
      </c>
      <c r="U8450" s="22">
        <v>0.5</v>
      </c>
      <c r="V8450" s="22">
        <f>3.37/5</f>
        <v>0.67400000000000004</v>
      </c>
      <c r="X8450" s="3">
        <v>2</v>
      </c>
      <c r="Z8450" s="23">
        <f>35/60</f>
        <v>0.58333333333333337</v>
      </c>
      <c r="AB8450" s="18">
        <f t="shared" si="264"/>
        <v>1997</v>
      </c>
      <c r="AC8450" s="22">
        <f t="shared" si="265"/>
        <v>0.52466666666666661</v>
      </c>
    </row>
    <row r="8451" spans="1:29">
      <c r="A8451" s="8" t="s">
        <v>6849</v>
      </c>
      <c r="B8451" s="17" t="s">
        <v>7800</v>
      </c>
      <c r="C8451" s="13">
        <v>35607</v>
      </c>
      <c r="D8451" s="13" t="s">
        <v>8465</v>
      </c>
      <c r="E8451" s="10" t="s">
        <v>231</v>
      </c>
      <c r="F8451" s="10" t="s">
        <v>6907</v>
      </c>
      <c r="G8451" s="11" t="s">
        <v>6849</v>
      </c>
      <c r="H8451" s="2" t="s">
        <v>1143</v>
      </c>
      <c r="L8451" s="18">
        <v>1</v>
      </c>
      <c r="N8451" s="13">
        <v>41684</v>
      </c>
      <c r="O8451" s="29">
        <v>0</v>
      </c>
      <c r="P8451" s="18" t="s">
        <v>1107</v>
      </c>
      <c r="Q8451" s="18">
        <v>0</v>
      </c>
      <c r="U8451" s="22">
        <v>0.92</v>
      </c>
      <c r="V8451" s="22">
        <f>4.04/5</f>
        <v>0.80800000000000005</v>
      </c>
      <c r="W8451" s="14" t="s">
        <v>7778</v>
      </c>
      <c r="X8451" s="3">
        <v>3</v>
      </c>
      <c r="Z8451" s="23">
        <v>14.5</v>
      </c>
      <c r="AB8451" s="18">
        <f t="shared" si="264"/>
        <v>1997</v>
      </c>
      <c r="AC8451" s="22">
        <f t="shared" si="265"/>
        <v>0.77600000000000013</v>
      </c>
    </row>
    <row r="8452" spans="1:29" ht="25.5">
      <c r="A8452" s="8" t="s">
        <v>14341</v>
      </c>
      <c r="B8452" s="17" t="s">
        <v>10323</v>
      </c>
      <c r="C8452" s="13">
        <v>35594</v>
      </c>
      <c r="D8452" s="13" t="s">
        <v>8463</v>
      </c>
      <c r="E8452" s="10" t="s">
        <v>14342</v>
      </c>
      <c r="F8452" s="10" t="s">
        <v>14342</v>
      </c>
      <c r="G8452" s="11" t="s">
        <v>14343</v>
      </c>
      <c r="H8452" s="2" t="s">
        <v>1057</v>
      </c>
      <c r="K8452" s="18">
        <v>2</v>
      </c>
      <c r="L8452" s="18">
        <v>0</v>
      </c>
      <c r="Q8452" s="18">
        <v>0</v>
      </c>
      <c r="X8452" s="3">
        <v>2</v>
      </c>
      <c r="AB8452" s="18">
        <f t="shared" si="264"/>
        <v>1997</v>
      </c>
      <c r="AC8452" s="22">
        <f t="shared" si="265"/>
        <v>0.4</v>
      </c>
    </row>
    <row r="8453" spans="1:29" ht="25.5">
      <c r="A8453" s="8" t="s">
        <v>2728</v>
      </c>
      <c r="B8453" s="17" t="s">
        <v>7754</v>
      </c>
      <c r="C8453" s="13">
        <v>35587</v>
      </c>
      <c r="D8453" s="13" t="s">
        <v>8463</v>
      </c>
      <c r="E8453" s="10" t="s">
        <v>1240</v>
      </c>
      <c r="F8453" s="10" t="s">
        <v>1240</v>
      </c>
      <c r="G8453" s="11" t="s">
        <v>2742</v>
      </c>
      <c r="H8453" s="2" t="s">
        <v>21</v>
      </c>
      <c r="K8453" s="18">
        <v>0</v>
      </c>
      <c r="L8453" s="18">
        <v>0</v>
      </c>
      <c r="Q8453" s="18">
        <v>0</v>
      </c>
      <c r="V8453" s="22">
        <f>3.83/5</f>
        <v>0.76600000000000001</v>
      </c>
      <c r="X8453" s="3">
        <v>4</v>
      </c>
      <c r="Z8453" s="23">
        <f>27/60</f>
        <v>0.45</v>
      </c>
      <c r="AB8453" s="18">
        <f t="shared" si="264"/>
        <v>1997</v>
      </c>
      <c r="AC8453" s="22">
        <f t="shared" si="265"/>
        <v>0.78300000000000003</v>
      </c>
    </row>
    <row r="8454" spans="1:29" ht="30">
      <c r="A8454" s="8" t="s">
        <v>12768</v>
      </c>
      <c r="B8454" s="17" t="s">
        <v>9581</v>
      </c>
      <c r="C8454" s="12">
        <v>35582</v>
      </c>
      <c r="D8454" s="13" t="s">
        <v>8467</v>
      </c>
      <c r="E8454" s="10" t="s">
        <v>12769</v>
      </c>
      <c r="F8454" s="10" t="s">
        <v>12770</v>
      </c>
      <c r="H8454" s="2" t="s">
        <v>1050</v>
      </c>
      <c r="L8454" s="18">
        <v>0</v>
      </c>
      <c r="Q8454" s="18">
        <v>0</v>
      </c>
      <c r="V8454" s="22">
        <f>2/5</f>
        <v>0.4</v>
      </c>
      <c r="X8454" s="3">
        <v>2</v>
      </c>
      <c r="AB8454" s="18">
        <f t="shared" si="264"/>
        <v>1997</v>
      </c>
      <c r="AC8454" s="22">
        <f t="shared" si="265"/>
        <v>0.4</v>
      </c>
    </row>
    <row r="8455" spans="1:29">
      <c r="A8455" s="8" t="s">
        <v>710</v>
      </c>
      <c r="B8455" s="17" t="s">
        <v>7736</v>
      </c>
      <c r="C8455" s="12">
        <v>35582</v>
      </c>
      <c r="D8455" s="13" t="s">
        <v>8465</v>
      </c>
      <c r="E8455" s="10" t="s">
        <v>66</v>
      </c>
      <c r="F8455" s="10" t="s">
        <v>1237</v>
      </c>
      <c r="G8455" s="11" t="s">
        <v>710</v>
      </c>
      <c r="H8455" s="2" t="s">
        <v>1334</v>
      </c>
      <c r="L8455" s="18">
        <v>0</v>
      </c>
      <c r="Q8455" s="18">
        <v>0</v>
      </c>
      <c r="U8455" s="22">
        <v>0.73</v>
      </c>
      <c r="V8455" s="22">
        <f>4/5</f>
        <v>0.8</v>
      </c>
      <c r="X8455" s="3">
        <v>4</v>
      </c>
      <c r="Z8455" s="23">
        <v>26.5</v>
      </c>
      <c r="AB8455" s="18">
        <f t="shared" si="264"/>
        <v>1997</v>
      </c>
      <c r="AC8455" s="22">
        <f t="shared" si="265"/>
        <v>0.77666666666666673</v>
      </c>
    </row>
    <row r="8456" spans="1:29">
      <c r="A8456" s="8" t="s">
        <v>2950</v>
      </c>
      <c r="B8456" s="17" t="s">
        <v>7757</v>
      </c>
      <c r="C8456" s="12">
        <v>35582</v>
      </c>
      <c r="D8456" s="13" t="s">
        <v>8465</v>
      </c>
      <c r="E8456" s="10" t="s">
        <v>2701</v>
      </c>
      <c r="F8456" s="10" t="s">
        <v>54</v>
      </c>
      <c r="G8456" s="11" t="s">
        <v>556</v>
      </c>
      <c r="H8456" s="2" t="s">
        <v>21</v>
      </c>
      <c r="L8456" s="18">
        <v>0</v>
      </c>
      <c r="Q8456" s="18">
        <v>0</v>
      </c>
      <c r="U8456" s="22">
        <v>0.78</v>
      </c>
      <c r="V8456" s="22">
        <f>3.44/5</f>
        <v>0.68799999999999994</v>
      </c>
      <c r="X8456" s="3">
        <v>3</v>
      </c>
      <c r="Z8456" s="23">
        <v>0.98</v>
      </c>
      <c r="AB8456" s="18">
        <f t="shared" si="264"/>
        <v>1997</v>
      </c>
      <c r="AC8456" s="22">
        <f t="shared" si="265"/>
        <v>0.68933333333333335</v>
      </c>
    </row>
    <row r="8457" spans="1:29" ht="30">
      <c r="A8457" s="8" t="s">
        <v>4334</v>
      </c>
      <c r="B8457" s="17" t="s">
        <v>7800</v>
      </c>
      <c r="C8457" s="13">
        <v>35582</v>
      </c>
      <c r="D8457" s="13" t="s">
        <v>8465</v>
      </c>
      <c r="E8457" s="10" t="s">
        <v>1273</v>
      </c>
      <c r="F8457" s="10" t="s">
        <v>4333</v>
      </c>
      <c r="G8457" s="11" t="s">
        <v>4332</v>
      </c>
      <c r="H8457" s="2" t="s">
        <v>80</v>
      </c>
      <c r="L8457" s="18">
        <v>1</v>
      </c>
      <c r="N8457" s="13">
        <v>42362</v>
      </c>
      <c r="P8457" s="18" t="s">
        <v>1107</v>
      </c>
      <c r="Q8457" s="18">
        <v>0</v>
      </c>
      <c r="V8457" s="22">
        <f>4.34/5</f>
        <v>0.86799999999999999</v>
      </c>
      <c r="W8457" s="14" t="s">
        <v>7777</v>
      </c>
      <c r="X8457" s="3">
        <v>2</v>
      </c>
      <c r="Z8457" s="23">
        <v>17</v>
      </c>
      <c r="AB8457" s="18">
        <f t="shared" si="264"/>
        <v>1997</v>
      </c>
      <c r="AC8457" s="22">
        <f t="shared" si="265"/>
        <v>0.63400000000000001</v>
      </c>
    </row>
    <row r="8458" spans="1:29">
      <c r="A8458" s="8" t="s">
        <v>6845</v>
      </c>
      <c r="B8458" s="17" t="s">
        <v>7800</v>
      </c>
      <c r="C8458" s="13">
        <v>35581</v>
      </c>
      <c r="D8458" s="13" t="s">
        <v>8465</v>
      </c>
      <c r="E8458" s="10" t="s">
        <v>6906</v>
      </c>
      <c r="F8458" s="10" t="s">
        <v>3487</v>
      </c>
      <c r="G8458" s="11" t="s">
        <v>6845</v>
      </c>
      <c r="H8458" s="2" t="s">
        <v>1050</v>
      </c>
      <c r="L8458" s="18">
        <v>0</v>
      </c>
      <c r="Q8458" s="18">
        <v>0</v>
      </c>
      <c r="U8458" s="22">
        <v>0.79</v>
      </c>
      <c r="V8458" s="22">
        <f>3.83/5</f>
        <v>0.76600000000000001</v>
      </c>
      <c r="X8458" s="3">
        <v>4</v>
      </c>
      <c r="Z8458" s="23">
        <v>9.5</v>
      </c>
      <c r="AB8458" s="18">
        <f t="shared" si="264"/>
        <v>1997</v>
      </c>
      <c r="AC8458" s="22">
        <f t="shared" si="265"/>
        <v>0.78533333333333333</v>
      </c>
    </row>
    <row r="8459" spans="1:29">
      <c r="A8459" s="8" t="s">
        <v>9663</v>
      </c>
      <c r="B8459" s="17" t="s">
        <v>7757</v>
      </c>
      <c r="C8459" s="13">
        <v>35581</v>
      </c>
      <c r="D8459" s="13" t="s">
        <v>8465</v>
      </c>
      <c r="E8459" s="10" t="s">
        <v>7826</v>
      </c>
      <c r="F8459" s="10" t="s">
        <v>7826</v>
      </c>
      <c r="H8459" s="2" t="s">
        <v>1050</v>
      </c>
      <c r="L8459" s="18">
        <v>0</v>
      </c>
      <c r="Q8459" s="18">
        <v>0</v>
      </c>
      <c r="V8459" s="22">
        <f>3.34/5</f>
        <v>0.66799999999999993</v>
      </c>
      <c r="X8459" s="3">
        <v>2</v>
      </c>
      <c r="Z8459" s="23">
        <v>4</v>
      </c>
      <c r="AB8459" s="18">
        <f t="shared" si="264"/>
        <v>1997</v>
      </c>
      <c r="AC8459" s="22">
        <f t="shared" si="265"/>
        <v>0.53400000000000003</v>
      </c>
    </row>
    <row r="8460" spans="1:29">
      <c r="A8460" s="8" t="s">
        <v>9864</v>
      </c>
      <c r="B8460" s="17" t="s">
        <v>7754</v>
      </c>
      <c r="C8460" s="13">
        <v>35581</v>
      </c>
      <c r="D8460" s="13" t="s">
        <v>8465</v>
      </c>
      <c r="E8460" s="10" t="s">
        <v>2461</v>
      </c>
      <c r="F8460" s="10" t="s">
        <v>9863</v>
      </c>
      <c r="H8460" s="2" t="s">
        <v>1194</v>
      </c>
      <c r="L8460" s="18">
        <v>0</v>
      </c>
      <c r="Q8460" s="18">
        <v>0</v>
      </c>
      <c r="V8460" s="22">
        <f>3.74/5</f>
        <v>0.748</v>
      </c>
      <c r="X8460" s="3">
        <v>2</v>
      </c>
      <c r="Z8460" s="23">
        <v>4.5</v>
      </c>
      <c r="AB8460" s="18">
        <f t="shared" si="264"/>
        <v>1997</v>
      </c>
      <c r="AC8460" s="22">
        <f t="shared" si="265"/>
        <v>0.57400000000000007</v>
      </c>
    </row>
    <row r="8461" spans="1:29">
      <c r="A8461" s="8" t="s">
        <v>15337</v>
      </c>
      <c r="B8461" s="17" t="s">
        <v>7757</v>
      </c>
      <c r="C8461" s="13">
        <v>35580</v>
      </c>
      <c r="D8461" s="13" t="s">
        <v>8465</v>
      </c>
      <c r="E8461" s="10" t="s">
        <v>72</v>
      </c>
      <c r="F8461" s="10" t="s">
        <v>72</v>
      </c>
      <c r="H8461" s="2" t="s">
        <v>1168</v>
      </c>
      <c r="L8461" s="18">
        <v>0</v>
      </c>
      <c r="Q8461" s="18">
        <v>0</v>
      </c>
      <c r="V8461" s="22">
        <f>3.03/5</f>
        <v>0.60599999999999998</v>
      </c>
      <c r="X8461" s="3">
        <v>2</v>
      </c>
      <c r="AB8461" s="18">
        <f t="shared" si="264"/>
        <v>1997</v>
      </c>
      <c r="AC8461" s="22">
        <f t="shared" si="265"/>
        <v>0.503</v>
      </c>
    </row>
    <row r="8462" spans="1:29">
      <c r="A8462" s="8" t="s">
        <v>2918</v>
      </c>
      <c r="B8462" s="17" t="s">
        <v>7757</v>
      </c>
      <c r="C8462" s="13">
        <v>35572</v>
      </c>
      <c r="D8462" s="13" t="s">
        <v>8465</v>
      </c>
      <c r="E8462" s="10" t="s">
        <v>231</v>
      </c>
      <c r="F8462" s="10" t="s">
        <v>2890</v>
      </c>
      <c r="G8462" s="11" t="s">
        <v>2918</v>
      </c>
      <c r="H8462" s="2" t="s">
        <v>1061</v>
      </c>
      <c r="L8462" s="18">
        <v>0</v>
      </c>
      <c r="Q8462" s="18">
        <v>0</v>
      </c>
      <c r="U8462" s="22">
        <v>0.64</v>
      </c>
      <c r="V8462" s="22">
        <f>3.1/5</f>
        <v>0.62</v>
      </c>
      <c r="X8462" s="3">
        <v>3</v>
      </c>
      <c r="Z8462" s="23">
        <v>5</v>
      </c>
      <c r="AB8462" s="18">
        <f t="shared" si="264"/>
        <v>1997</v>
      </c>
      <c r="AC8462" s="22">
        <f t="shared" si="265"/>
        <v>0.62</v>
      </c>
    </row>
    <row r="8463" spans="1:29">
      <c r="A8463" s="8" t="s">
        <v>15734</v>
      </c>
      <c r="B8463" s="17" t="s">
        <v>7739</v>
      </c>
      <c r="C8463" s="13">
        <v>35570</v>
      </c>
      <c r="D8463" s="13" t="s">
        <v>8465</v>
      </c>
      <c r="E8463" s="10" t="s">
        <v>485</v>
      </c>
      <c r="F8463" s="10" t="s">
        <v>485</v>
      </c>
      <c r="H8463" s="2" t="s">
        <v>459</v>
      </c>
      <c r="L8463" s="18">
        <v>0</v>
      </c>
      <c r="Q8463" s="18">
        <v>0</v>
      </c>
      <c r="V8463" s="22">
        <f>2.12/5</f>
        <v>0.42400000000000004</v>
      </c>
      <c r="X8463" s="3">
        <v>2</v>
      </c>
      <c r="Z8463" s="23">
        <f>51/60</f>
        <v>0.85</v>
      </c>
      <c r="AB8463" s="18">
        <f t="shared" si="264"/>
        <v>1997</v>
      </c>
      <c r="AC8463" s="22">
        <f t="shared" si="265"/>
        <v>0.41200000000000003</v>
      </c>
    </row>
    <row r="8464" spans="1:29">
      <c r="A8464" s="8" t="s">
        <v>12313</v>
      </c>
      <c r="B8464" s="17" t="s">
        <v>7754</v>
      </c>
      <c r="C8464" s="13">
        <v>35565</v>
      </c>
      <c r="D8464" s="13" t="s">
        <v>8465</v>
      </c>
      <c r="E8464" s="10" t="s">
        <v>455</v>
      </c>
      <c r="F8464" s="10" t="s">
        <v>456</v>
      </c>
      <c r="H8464" s="2" t="s">
        <v>459</v>
      </c>
      <c r="L8464" s="18">
        <v>0</v>
      </c>
      <c r="Q8464" s="18">
        <v>0</v>
      </c>
      <c r="V8464" s="22">
        <f>4.07/5</f>
        <v>0.81400000000000006</v>
      </c>
      <c r="X8464" s="3">
        <v>2</v>
      </c>
      <c r="Z8464" s="23">
        <f>21/60</f>
        <v>0.35</v>
      </c>
      <c r="AB8464" s="18">
        <f t="shared" si="264"/>
        <v>1997</v>
      </c>
      <c r="AC8464" s="22">
        <f t="shared" si="265"/>
        <v>0.60699999999999998</v>
      </c>
    </row>
    <row r="8465" spans="1:29">
      <c r="A8465" s="8" t="s">
        <v>15660</v>
      </c>
      <c r="B8465" s="17" t="s">
        <v>7757</v>
      </c>
      <c r="C8465" s="13">
        <v>35555</v>
      </c>
      <c r="D8465" s="13" t="s">
        <v>8465</v>
      </c>
      <c r="E8465" s="10" t="s">
        <v>228</v>
      </c>
      <c r="F8465" s="10" t="s">
        <v>467</v>
      </c>
      <c r="H8465" s="2" t="s">
        <v>150</v>
      </c>
      <c r="L8465" s="18">
        <v>0</v>
      </c>
      <c r="Q8465" s="18">
        <v>0</v>
      </c>
      <c r="V8465" s="22">
        <f>3.33/5</f>
        <v>0.66600000000000004</v>
      </c>
      <c r="X8465" s="3">
        <v>2</v>
      </c>
      <c r="AB8465" s="18">
        <f t="shared" si="264"/>
        <v>1997</v>
      </c>
      <c r="AC8465" s="22">
        <f t="shared" si="265"/>
        <v>0.53300000000000003</v>
      </c>
    </row>
    <row r="8466" spans="1:29">
      <c r="A8466" s="8" t="s">
        <v>1435</v>
      </c>
      <c r="B8466" s="17" t="s">
        <v>7736</v>
      </c>
      <c r="C8466" s="12">
        <v>35551</v>
      </c>
      <c r="D8466" s="13" t="s">
        <v>8465</v>
      </c>
      <c r="E8466" s="10" t="s">
        <v>1272</v>
      </c>
      <c r="F8466" s="10" t="s">
        <v>1296</v>
      </c>
      <c r="G8466" s="11" t="s">
        <v>692</v>
      </c>
      <c r="H8466" s="2" t="s">
        <v>27</v>
      </c>
      <c r="L8466" s="18">
        <v>0</v>
      </c>
      <c r="Q8466" s="18">
        <v>0</v>
      </c>
      <c r="U8466" s="22">
        <v>0.74</v>
      </c>
      <c r="V8466" s="22">
        <f>3.88/5</f>
        <v>0.77600000000000002</v>
      </c>
      <c r="X8466" s="3">
        <v>3</v>
      </c>
      <c r="Z8466" s="23">
        <v>6</v>
      </c>
      <c r="AB8466" s="18">
        <f t="shared" si="264"/>
        <v>1997</v>
      </c>
      <c r="AC8466" s="22">
        <f t="shared" si="265"/>
        <v>0.70533333333333337</v>
      </c>
    </row>
    <row r="8467" spans="1:29">
      <c r="A8467" s="8" t="s">
        <v>3003</v>
      </c>
      <c r="B8467" s="17" t="s">
        <v>7757</v>
      </c>
      <c r="C8467" s="13">
        <v>35550</v>
      </c>
      <c r="D8467" s="13" t="s">
        <v>8465</v>
      </c>
      <c r="E8467" s="10" t="s">
        <v>1290</v>
      </c>
      <c r="F8467" s="10" t="s">
        <v>3037</v>
      </c>
      <c r="G8467" s="11" t="s">
        <v>3003</v>
      </c>
      <c r="H8467" s="2" t="s">
        <v>149</v>
      </c>
      <c r="L8467" s="18">
        <v>0</v>
      </c>
      <c r="Q8467" s="18">
        <v>0</v>
      </c>
      <c r="U8467" s="22">
        <v>0.79</v>
      </c>
      <c r="V8467" s="22">
        <f>4/5</f>
        <v>0.8</v>
      </c>
      <c r="X8467" s="3">
        <v>4</v>
      </c>
      <c r="Z8467" s="23">
        <v>28.5</v>
      </c>
      <c r="AB8467" s="18">
        <f t="shared" si="264"/>
        <v>1997</v>
      </c>
      <c r="AC8467" s="22">
        <f t="shared" si="265"/>
        <v>0.79666666666666675</v>
      </c>
    </row>
    <row r="8468" spans="1:29">
      <c r="A8468" s="8" t="s">
        <v>2767</v>
      </c>
      <c r="B8468" s="17" t="s">
        <v>7800</v>
      </c>
      <c r="C8468" s="13">
        <v>35550</v>
      </c>
      <c r="D8468" s="13" t="s">
        <v>8465</v>
      </c>
      <c r="E8468" s="10" t="s">
        <v>1333</v>
      </c>
      <c r="F8468" s="10" t="s">
        <v>1332</v>
      </c>
      <c r="G8468" s="11" t="s">
        <v>2767</v>
      </c>
      <c r="H8468" s="2" t="s">
        <v>1168</v>
      </c>
      <c r="L8468" s="18">
        <v>1</v>
      </c>
      <c r="N8468" s="13">
        <v>39715</v>
      </c>
      <c r="O8468" s="29">
        <v>5.99</v>
      </c>
      <c r="P8468" s="18" t="s">
        <v>1107</v>
      </c>
      <c r="Q8468" s="18">
        <v>0</v>
      </c>
      <c r="U8468" s="22">
        <v>0.89</v>
      </c>
      <c r="V8468" s="22">
        <f>3.66/5</f>
        <v>0.73199999999999998</v>
      </c>
      <c r="W8468" s="14" t="s">
        <v>7778</v>
      </c>
      <c r="X8468" s="3">
        <v>3</v>
      </c>
      <c r="Z8468" s="23">
        <v>4.5</v>
      </c>
      <c r="AB8468" s="18">
        <f t="shared" si="264"/>
        <v>1997</v>
      </c>
      <c r="AC8468" s="22">
        <f t="shared" si="265"/>
        <v>0.7406666666666667</v>
      </c>
    </row>
    <row r="8469" spans="1:29">
      <c r="A8469" s="8" t="s">
        <v>8041</v>
      </c>
      <c r="B8469" s="17" t="s">
        <v>7757</v>
      </c>
      <c r="C8469" s="13">
        <v>35550</v>
      </c>
      <c r="D8469" s="13" t="s">
        <v>8465</v>
      </c>
      <c r="E8469" s="10" t="s">
        <v>158</v>
      </c>
      <c r="F8469" s="10" t="s">
        <v>158</v>
      </c>
      <c r="G8469" s="11" t="s">
        <v>8037</v>
      </c>
      <c r="H8469" s="2" t="s">
        <v>150</v>
      </c>
      <c r="L8469" s="18">
        <v>0</v>
      </c>
      <c r="Q8469" s="18">
        <v>0</v>
      </c>
      <c r="U8469" s="22">
        <v>0.82699999999999996</v>
      </c>
      <c r="V8469" s="22">
        <f>3.93/5</f>
        <v>0.78600000000000003</v>
      </c>
      <c r="X8469" s="3">
        <v>2</v>
      </c>
      <c r="Z8469" s="23">
        <v>6</v>
      </c>
      <c r="AB8469" s="18">
        <f t="shared" si="264"/>
        <v>1997</v>
      </c>
      <c r="AC8469" s="22">
        <f t="shared" si="265"/>
        <v>0.67099999999999993</v>
      </c>
    </row>
    <row r="8470" spans="1:29" ht="25.5">
      <c r="A8470" s="8" t="s">
        <v>12621</v>
      </c>
      <c r="B8470" s="17" t="s">
        <v>7800</v>
      </c>
      <c r="C8470" s="13">
        <v>35549</v>
      </c>
      <c r="D8470" s="13" t="s">
        <v>8465</v>
      </c>
      <c r="E8470" s="10" t="s">
        <v>1284</v>
      </c>
      <c r="F8470" s="10" t="s">
        <v>2512</v>
      </c>
      <c r="G8470" s="11" t="s">
        <v>1481</v>
      </c>
      <c r="H8470" s="2" t="s">
        <v>7594</v>
      </c>
      <c r="L8470" s="18">
        <v>1</v>
      </c>
      <c r="P8470" s="18" t="s">
        <v>1107</v>
      </c>
      <c r="Q8470" s="18">
        <v>0</v>
      </c>
      <c r="V8470" s="22">
        <f>3.81/5</f>
        <v>0.76200000000000001</v>
      </c>
      <c r="W8470" s="14" t="s">
        <v>7777</v>
      </c>
      <c r="X8470" s="3">
        <v>2</v>
      </c>
      <c r="Z8470" s="23">
        <v>14</v>
      </c>
      <c r="AB8470" s="18">
        <f t="shared" si="264"/>
        <v>1997</v>
      </c>
      <c r="AC8470" s="22">
        <f t="shared" si="265"/>
        <v>0.58099999999999996</v>
      </c>
    </row>
    <row r="8471" spans="1:29">
      <c r="A8471" s="8" t="s">
        <v>12103</v>
      </c>
      <c r="B8471" s="17" t="s">
        <v>7757</v>
      </c>
      <c r="C8471" s="13">
        <v>35545</v>
      </c>
      <c r="D8471" s="13" t="s">
        <v>8463</v>
      </c>
      <c r="E8471" s="10" t="s">
        <v>9863</v>
      </c>
      <c r="F8471" s="10" t="s">
        <v>9863</v>
      </c>
      <c r="H8471" s="2" t="s">
        <v>150</v>
      </c>
      <c r="K8471" s="18">
        <v>0</v>
      </c>
      <c r="L8471" s="18">
        <v>0</v>
      </c>
      <c r="Q8471" s="18">
        <v>0</v>
      </c>
      <c r="V8471" s="22">
        <f>3.19/5</f>
        <v>0.63800000000000001</v>
      </c>
      <c r="X8471" s="3">
        <v>2</v>
      </c>
      <c r="Z8471" s="23">
        <f>45/60</f>
        <v>0.75</v>
      </c>
      <c r="AB8471" s="18">
        <f t="shared" si="264"/>
        <v>1997</v>
      </c>
      <c r="AC8471" s="22">
        <f t="shared" si="265"/>
        <v>0.51900000000000002</v>
      </c>
    </row>
    <row r="8472" spans="1:29">
      <c r="A8472" s="8" t="s">
        <v>15649</v>
      </c>
      <c r="B8472" s="17" t="s">
        <v>7757</v>
      </c>
      <c r="C8472" s="13">
        <v>35545</v>
      </c>
      <c r="D8472" s="13" t="s">
        <v>8463</v>
      </c>
      <c r="E8472" s="10" t="s">
        <v>9060</v>
      </c>
      <c r="F8472" s="10" t="s">
        <v>9220</v>
      </c>
      <c r="G8472" s="11" t="s">
        <v>15650</v>
      </c>
      <c r="H8472" s="2" t="s">
        <v>459</v>
      </c>
      <c r="K8472" s="18">
        <v>2</v>
      </c>
      <c r="L8472" s="18">
        <v>0</v>
      </c>
      <c r="Q8472" s="18">
        <v>0</v>
      </c>
      <c r="V8472" s="22">
        <f>3.85/5</f>
        <v>0.77</v>
      </c>
      <c r="X8472" s="3">
        <v>2</v>
      </c>
      <c r="Z8472" s="23">
        <v>3</v>
      </c>
      <c r="AB8472" s="18">
        <f t="shared" si="264"/>
        <v>1997</v>
      </c>
      <c r="AC8472" s="22">
        <f t="shared" si="265"/>
        <v>0.58499999999999996</v>
      </c>
    </row>
    <row r="8473" spans="1:29" ht="30">
      <c r="A8473" s="8" t="s">
        <v>11728</v>
      </c>
      <c r="B8473" s="17" t="s">
        <v>7757</v>
      </c>
      <c r="C8473" s="13">
        <v>35538</v>
      </c>
      <c r="D8473" s="13" t="s">
        <v>8463</v>
      </c>
      <c r="E8473" s="10" t="s">
        <v>2908</v>
      </c>
      <c r="F8473" s="10" t="s">
        <v>11729</v>
      </c>
      <c r="H8473" s="2" t="s">
        <v>171</v>
      </c>
      <c r="K8473" s="18">
        <v>0</v>
      </c>
      <c r="L8473" s="18">
        <v>0</v>
      </c>
      <c r="Q8473" s="18">
        <v>0</v>
      </c>
      <c r="V8473" s="22">
        <f>3.7/5</f>
        <v>0.74</v>
      </c>
      <c r="X8473" s="3">
        <v>2</v>
      </c>
      <c r="Z8473" s="23" t="s">
        <v>15502</v>
      </c>
      <c r="AB8473" s="18">
        <f t="shared" si="264"/>
        <v>1997</v>
      </c>
      <c r="AC8473" s="22">
        <f t="shared" si="265"/>
        <v>0.57000000000000006</v>
      </c>
    </row>
    <row r="8474" spans="1:29" ht="25.5">
      <c r="A8474" s="8" t="s">
        <v>14431</v>
      </c>
      <c r="B8474" s="17" t="s">
        <v>7757</v>
      </c>
      <c r="C8474" s="13">
        <v>35538</v>
      </c>
      <c r="D8474" s="13" t="s">
        <v>8463</v>
      </c>
      <c r="E8474" s="10" t="s">
        <v>1344</v>
      </c>
      <c r="F8474" s="10" t="s">
        <v>1408</v>
      </c>
      <c r="G8474" s="11" t="s">
        <v>1459</v>
      </c>
      <c r="H8474" s="2" t="s">
        <v>75</v>
      </c>
      <c r="K8474" s="18">
        <v>0</v>
      </c>
      <c r="L8474" s="18">
        <v>0</v>
      </c>
      <c r="Q8474" s="18">
        <v>0</v>
      </c>
      <c r="V8474" s="22">
        <f>3.64/5</f>
        <v>0.72799999999999998</v>
      </c>
      <c r="X8474" s="3">
        <v>2</v>
      </c>
      <c r="AB8474" s="18">
        <f t="shared" si="264"/>
        <v>1997</v>
      </c>
      <c r="AC8474" s="22">
        <f t="shared" si="265"/>
        <v>0.56400000000000006</v>
      </c>
    </row>
    <row r="8475" spans="1:29" ht="25.5">
      <c r="A8475" s="8" t="s">
        <v>13832</v>
      </c>
      <c r="B8475" s="17" t="s">
        <v>7800</v>
      </c>
      <c r="C8475" s="13">
        <v>35536</v>
      </c>
      <c r="D8475" s="13" t="s">
        <v>8465</v>
      </c>
      <c r="E8475" s="10" t="s">
        <v>1480</v>
      </c>
      <c r="F8475" s="10" t="s">
        <v>6914</v>
      </c>
      <c r="H8475" s="2" t="s">
        <v>67</v>
      </c>
      <c r="L8475" s="18">
        <v>0</v>
      </c>
      <c r="Q8475" s="18">
        <v>0</v>
      </c>
      <c r="V8475" s="22">
        <f>4.24/5</f>
        <v>0.84800000000000009</v>
      </c>
      <c r="X8475" s="3">
        <v>2</v>
      </c>
      <c r="Z8475" s="23">
        <v>9.5</v>
      </c>
      <c r="AB8475" s="18">
        <f t="shared" si="264"/>
        <v>1997</v>
      </c>
      <c r="AC8475" s="22">
        <f t="shared" si="265"/>
        <v>0.62400000000000011</v>
      </c>
    </row>
    <row r="8476" spans="1:29" ht="25.5">
      <c r="A8476" s="8" t="s">
        <v>7167</v>
      </c>
      <c r="B8476" s="17" t="s">
        <v>7800</v>
      </c>
      <c r="C8476" s="13">
        <v>35529</v>
      </c>
      <c r="D8476" s="13" t="s">
        <v>8465</v>
      </c>
      <c r="E8476" s="10" t="s">
        <v>1496</v>
      </c>
      <c r="F8476" s="10" t="s">
        <v>1496</v>
      </c>
      <c r="G8476" s="11" t="s">
        <v>7176</v>
      </c>
      <c r="H8476" s="2" t="s">
        <v>67</v>
      </c>
      <c r="L8476" s="18">
        <v>0</v>
      </c>
      <c r="Q8476" s="18">
        <v>0</v>
      </c>
      <c r="U8476" s="22">
        <v>0.69</v>
      </c>
      <c r="V8476" s="22">
        <f>4.28/5</f>
        <v>0.85600000000000009</v>
      </c>
      <c r="X8476" s="3">
        <v>3</v>
      </c>
      <c r="Z8476" s="23">
        <v>10</v>
      </c>
      <c r="AB8476" s="18">
        <f t="shared" si="264"/>
        <v>1997</v>
      </c>
      <c r="AC8476" s="22">
        <f t="shared" si="265"/>
        <v>0.71533333333333327</v>
      </c>
    </row>
    <row r="8477" spans="1:29" ht="25.5">
      <c r="A8477" s="8" t="s">
        <v>10928</v>
      </c>
      <c r="B8477" s="17" t="s">
        <v>10323</v>
      </c>
      <c r="C8477" s="13">
        <v>35524</v>
      </c>
      <c r="D8477" s="13" t="s">
        <v>8463</v>
      </c>
      <c r="E8477" s="10" t="s">
        <v>1367</v>
      </c>
      <c r="F8477" s="10" t="s">
        <v>228</v>
      </c>
      <c r="G8477" s="11" t="s">
        <v>1171</v>
      </c>
      <c r="H8477" s="2" t="s">
        <v>1377</v>
      </c>
      <c r="K8477" s="18">
        <v>0</v>
      </c>
      <c r="L8477" s="18">
        <v>0</v>
      </c>
      <c r="Q8477" s="18">
        <v>0</v>
      </c>
      <c r="V8477" s="22">
        <f>2.33/5</f>
        <v>0.46600000000000003</v>
      </c>
      <c r="X8477" s="3">
        <v>3</v>
      </c>
      <c r="Z8477" s="23">
        <v>65</v>
      </c>
      <c r="AB8477" s="18">
        <f t="shared" si="264"/>
        <v>1997</v>
      </c>
      <c r="AC8477" s="22">
        <f t="shared" si="265"/>
        <v>0.53300000000000003</v>
      </c>
    </row>
    <row r="8478" spans="1:29" ht="38.25">
      <c r="A8478" s="8" t="s">
        <v>6541</v>
      </c>
      <c r="B8478" s="17" t="s">
        <v>7800</v>
      </c>
      <c r="C8478" s="13">
        <v>35523</v>
      </c>
      <c r="D8478" s="13" t="s">
        <v>8465</v>
      </c>
      <c r="E8478" s="10" t="s">
        <v>469</v>
      </c>
      <c r="F8478" s="10" t="s">
        <v>2654</v>
      </c>
      <c r="G8478" s="11" t="s">
        <v>3043</v>
      </c>
      <c r="H8478" s="2" t="s">
        <v>1143</v>
      </c>
      <c r="L8478" s="18">
        <v>1</v>
      </c>
      <c r="N8478" s="13">
        <v>41627</v>
      </c>
      <c r="O8478" s="29">
        <v>0.33</v>
      </c>
      <c r="P8478" s="18" t="s">
        <v>1107</v>
      </c>
      <c r="Q8478" s="18">
        <v>0</v>
      </c>
      <c r="U8478" s="22">
        <v>0.63</v>
      </c>
      <c r="V8478" s="22">
        <f>3.72/5</f>
        <v>0.74399999999999999</v>
      </c>
      <c r="W8478" s="14" t="s">
        <v>7796</v>
      </c>
      <c r="X8478" s="3">
        <v>2</v>
      </c>
      <c r="Z8478" s="23">
        <v>16</v>
      </c>
      <c r="AB8478" s="18">
        <f t="shared" si="264"/>
        <v>1997</v>
      </c>
      <c r="AC8478" s="22">
        <f t="shared" si="265"/>
        <v>0.59133333333333338</v>
      </c>
    </row>
    <row r="8479" spans="1:29">
      <c r="A8479" s="8" t="s">
        <v>6566</v>
      </c>
      <c r="B8479" s="20" t="s">
        <v>7739</v>
      </c>
      <c r="C8479" s="13">
        <v>35520</v>
      </c>
      <c r="D8479" s="13" t="s">
        <v>8465</v>
      </c>
      <c r="E8479" s="10" t="s">
        <v>1466</v>
      </c>
      <c r="F8479" s="10" t="s">
        <v>1466</v>
      </c>
      <c r="G8479" s="11" t="s">
        <v>1890</v>
      </c>
      <c r="H8479" s="2" t="s">
        <v>1050</v>
      </c>
      <c r="L8479" s="18">
        <v>0</v>
      </c>
      <c r="Q8479" s="18">
        <v>0</v>
      </c>
      <c r="U8479" s="22">
        <v>0.73</v>
      </c>
      <c r="V8479" s="22">
        <f>3.71/5</f>
        <v>0.74199999999999999</v>
      </c>
      <c r="X8479" s="3">
        <v>2</v>
      </c>
      <c r="Z8479" s="23">
        <v>7</v>
      </c>
      <c r="AB8479" s="18">
        <f t="shared" si="264"/>
        <v>1997</v>
      </c>
      <c r="AC8479" s="22">
        <f t="shared" si="265"/>
        <v>0.624</v>
      </c>
    </row>
    <row r="8480" spans="1:29">
      <c r="A8480" s="8" t="s">
        <v>7476</v>
      </c>
      <c r="B8480" s="17" t="s">
        <v>7757</v>
      </c>
      <c r="C8480" s="13">
        <v>35520</v>
      </c>
      <c r="D8480" s="13" t="s">
        <v>8465</v>
      </c>
      <c r="E8480" s="10" t="s">
        <v>231</v>
      </c>
      <c r="F8480" s="10" t="s">
        <v>6023</v>
      </c>
      <c r="G8480" s="11" t="s">
        <v>4518</v>
      </c>
      <c r="H8480" s="2" t="s">
        <v>150</v>
      </c>
      <c r="L8480" s="18">
        <v>0</v>
      </c>
      <c r="Q8480" s="18">
        <v>0</v>
      </c>
      <c r="U8480" s="22">
        <v>0.71</v>
      </c>
      <c r="V8480" s="22">
        <f>3.45/5</f>
        <v>0.69000000000000006</v>
      </c>
      <c r="X8480" s="3">
        <v>2</v>
      </c>
      <c r="Z8480" s="23">
        <v>5</v>
      </c>
      <c r="AB8480" s="18">
        <f t="shared" si="264"/>
        <v>1997</v>
      </c>
      <c r="AC8480" s="22">
        <f t="shared" si="265"/>
        <v>0.6</v>
      </c>
    </row>
    <row r="8481" spans="1:29" ht="25.5">
      <c r="A8481" s="8" t="s">
        <v>844</v>
      </c>
      <c r="B8481" s="17" t="s">
        <v>7737</v>
      </c>
      <c r="C8481" s="13">
        <v>35519</v>
      </c>
      <c r="D8481" s="13" t="s">
        <v>8463</v>
      </c>
      <c r="E8481" s="10" t="s">
        <v>1431</v>
      </c>
      <c r="F8481" s="10" t="s">
        <v>1432</v>
      </c>
      <c r="G8481" s="11" t="s">
        <v>85</v>
      </c>
      <c r="H8481" s="2" t="s">
        <v>80</v>
      </c>
      <c r="K8481" s="18">
        <v>2</v>
      </c>
      <c r="L8481" s="18">
        <v>0</v>
      </c>
      <c r="Q8481" s="18">
        <v>0</v>
      </c>
      <c r="V8481" s="22">
        <f>3.88/5</f>
        <v>0.77600000000000002</v>
      </c>
      <c r="X8481" s="3">
        <v>4</v>
      </c>
      <c r="Z8481" s="23">
        <v>3.5</v>
      </c>
      <c r="AB8481" s="18">
        <f t="shared" si="264"/>
        <v>1997</v>
      </c>
      <c r="AC8481" s="22">
        <f t="shared" si="265"/>
        <v>0.78800000000000003</v>
      </c>
    </row>
    <row r="8482" spans="1:29" ht="25.5">
      <c r="A8482" s="8" t="s">
        <v>756</v>
      </c>
      <c r="B8482" s="17" t="s">
        <v>7736</v>
      </c>
      <c r="C8482" s="13">
        <v>35517</v>
      </c>
      <c r="D8482" s="13" t="s">
        <v>8463</v>
      </c>
      <c r="E8482" s="10" t="s">
        <v>1367</v>
      </c>
      <c r="F8482" s="10" t="s">
        <v>1368</v>
      </c>
      <c r="H8482" s="2" t="s">
        <v>149</v>
      </c>
      <c r="K8482" s="18">
        <v>2</v>
      </c>
      <c r="L8482" s="18">
        <v>0</v>
      </c>
      <c r="Q8482" s="18">
        <v>0</v>
      </c>
      <c r="V8482" s="22">
        <f>4.19/5</f>
        <v>0.83800000000000008</v>
      </c>
      <c r="X8482" s="3">
        <v>3</v>
      </c>
      <c r="AB8482" s="18">
        <f t="shared" si="264"/>
        <v>1997</v>
      </c>
      <c r="AC8482" s="22">
        <f t="shared" si="265"/>
        <v>0.71900000000000008</v>
      </c>
    </row>
    <row r="8483" spans="1:29">
      <c r="A8483" s="8" t="s">
        <v>9087</v>
      </c>
      <c r="B8483" s="17" t="s">
        <v>7736</v>
      </c>
      <c r="C8483" s="13">
        <v>35517</v>
      </c>
      <c r="D8483" s="13" t="s">
        <v>8463</v>
      </c>
      <c r="E8483" s="10" t="s">
        <v>1367</v>
      </c>
      <c r="F8483" s="10" t="s">
        <v>1416</v>
      </c>
      <c r="H8483" s="2" t="s">
        <v>149</v>
      </c>
      <c r="K8483" s="18">
        <v>0</v>
      </c>
      <c r="L8483" s="18">
        <v>0</v>
      </c>
      <c r="Q8483" s="18">
        <v>0</v>
      </c>
      <c r="V8483" s="22">
        <f>4.32/5</f>
        <v>0.8640000000000001</v>
      </c>
      <c r="X8483" s="3">
        <v>2</v>
      </c>
      <c r="AB8483" s="18">
        <f t="shared" si="264"/>
        <v>1997</v>
      </c>
      <c r="AC8483" s="22">
        <f t="shared" si="265"/>
        <v>0.63200000000000012</v>
      </c>
    </row>
    <row r="8484" spans="1:29">
      <c r="A8484" s="8" t="s">
        <v>3002</v>
      </c>
      <c r="B8484" s="17" t="s">
        <v>7757</v>
      </c>
      <c r="C8484" s="13">
        <v>35516</v>
      </c>
      <c r="D8484" s="13" t="s">
        <v>8465</v>
      </c>
      <c r="E8484" s="10" t="s">
        <v>72</v>
      </c>
      <c r="F8484" s="10" t="s">
        <v>72</v>
      </c>
      <c r="G8484" s="11" t="s">
        <v>3002</v>
      </c>
      <c r="H8484" s="2" t="s">
        <v>75</v>
      </c>
      <c r="L8484" s="18">
        <v>0</v>
      </c>
      <c r="Q8484" s="18">
        <v>0</v>
      </c>
      <c r="U8484" s="22">
        <v>0.75</v>
      </c>
      <c r="V8484" s="22">
        <f>3.9/5</f>
        <v>0.78</v>
      </c>
      <c r="X8484" s="3">
        <v>4</v>
      </c>
      <c r="Z8484" s="23">
        <v>17</v>
      </c>
      <c r="AB8484" s="18">
        <f t="shared" si="264"/>
        <v>1997</v>
      </c>
      <c r="AC8484" s="22">
        <f t="shared" si="265"/>
        <v>0.77666666666666673</v>
      </c>
    </row>
    <row r="8485" spans="1:29">
      <c r="A8485" s="8" t="s">
        <v>363</v>
      </c>
      <c r="B8485" s="17" t="s">
        <v>6317</v>
      </c>
      <c r="C8485" s="13">
        <v>35508</v>
      </c>
      <c r="D8485" s="13" t="s">
        <v>8467</v>
      </c>
      <c r="E8485" s="10" t="s">
        <v>73</v>
      </c>
      <c r="F8485" s="10" t="s">
        <v>73</v>
      </c>
      <c r="H8485" s="2" t="s">
        <v>153</v>
      </c>
      <c r="L8485" s="18">
        <v>0</v>
      </c>
      <c r="Q8485" s="18">
        <v>0</v>
      </c>
      <c r="V8485" s="22">
        <f>3.85/5</f>
        <v>0.77</v>
      </c>
      <c r="X8485" s="3">
        <v>2</v>
      </c>
      <c r="Z8485" s="23">
        <v>0.8</v>
      </c>
      <c r="AB8485" s="18">
        <f t="shared" si="264"/>
        <v>1997</v>
      </c>
      <c r="AC8485" s="22">
        <f t="shared" si="265"/>
        <v>0.58499999999999996</v>
      </c>
    </row>
    <row r="8486" spans="1:29">
      <c r="A8486" s="8" t="s">
        <v>13850</v>
      </c>
      <c r="B8486" s="17" t="s">
        <v>10908</v>
      </c>
      <c r="C8486" s="13">
        <v>35503</v>
      </c>
      <c r="D8486" s="13" t="s">
        <v>8463</v>
      </c>
      <c r="E8486" s="10" t="s">
        <v>10391</v>
      </c>
      <c r="F8486" s="10" t="s">
        <v>13851</v>
      </c>
      <c r="H8486" s="2" t="s">
        <v>171</v>
      </c>
      <c r="K8486" s="18">
        <v>0</v>
      </c>
      <c r="L8486" s="18">
        <v>0</v>
      </c>
      <c r="Q8486" s="18">
        <v>0</v>
      </c>
      <c r="V8486" s="22">
        <f>4/5</f>
        <v>0.8</v>
      </c>
      <c r="X8486" s="3">
        <v>2</v>
      </c>
      <c r="AB8486" s="18">
        <f t="shared" si="264"/>
        <v>1997</v>
      </c>
      <c r="AC8486" s="22">
        <f t="shared" si="265"/>
        <v>0.60000000000000009</v>
      </c>
    </row>
    <row r="8487" spans="1:29">
      <c r="A8487" s="8" t="s">
        <v>866</v>
      </c>
      <c r="B8487" s="20" t="s">
        <v>7739</v>
      </c>
      <c r="C8487" s="13">
        <v>35493</v>
      </c>
      <c r="D8487" s="13" t="s">
        <v>8465</v>
      </c>
      <c r="E8487" s="10" t="s">
        <v>154</v>
      </c>
      <c r="F8487" s="10" t="s">
        <v>1279</v>
      </c>
      <c r="G8487" s="11" t="s">
        <v>1465</v>
      </c>
      <c r="H8487" s="2" t="s">
        <v>1050</v>
      </c>
      <c r="L8487" s="18">
        <v>0</v>
      </c>
      <c r="Q8487" s="18">
        <v>0</v>
      </c>
      <c r="U8487" s="22">
        <v>0.86</v>
      </c>
      <c r="V8487" s="22">
        <f>3.62/5</f>
        <v>0.72399999999999998</v>
      </c>
      <c r="X8487" s="3">
        <v>3</v>
      </c>
      <c r="Z8487" s="23">
        <v>7.5</v>
      </c>
      <c r="AB8487" s="18">
        <f t="shared" si="264"/>
        <v>1997</v>
      </c>
      <c r="AC8487" s="22">
        <f t="shared" si="265"/>
        <v>0.72800000000000009</v>
      </c>
    </row>
    <row r="8488" spans="1:29">
      <c r="A8488" s="8" t="s">
        <v>2981</v>
      </c>
      <c r="B8488" s="17" t="s">
        <v>7757</v>
      </c>
      <c r="C8488" s="13">
        <v>35489</v>
      </c>
      <c r="D8488" s="13" t="s">
        <v>8465</v>
      </c>
      <c r="E8488" s="10" t="s">
        <v>73</v>
      </c>
      <c r="F8488" s="10" t="s">
        <v>73</v>
      </c>
      <c r="G8488" s="11" t="s">
        <v>89</v>
      </c>
      <c r="H8488" s="2" t="s">
        <v>56</v>
      </c>
      <c r="L8488" s="18">
        <v>0</v>
      </c>
      <c r="Q8488" s="18">
        <v>0</v>
      </c>
      <c r="U8488" s="22">
        <v>0.71</v>
      </c>
      <c r="V8488" s="22">
        <f>3.74/5</f>
        <v>0.748</v>
      </c>
      <c r="X8488" s="3">
        <v>4</v>
      </c>
      <c r="Z8488" s="23">
        <v>4</v>
      </c>
      <c r="AB8488" s="18">
        <f t="shared" si="264"/>
        <v>1997</v>
      </c>
      <c r="AC8488" s="22">
        <f t="shared" si="265"/>
        <v>0.75266666666666671</v>
      </c>
    </row>
    <row r="8489" spans="1:29" ht="30">
      <c r="A8489" s="8" t="s">
        <v>3043</v>
      </c>
      <c r="B8489" s="17" t="s">
        <v>7757</v>
      </c>
      <c r="C8489" s="13">
        <v>35489</v>
      </c>
      <c r="D8489" s="13" t="s">
        <v>8465</v>
      </c>
      <c r="E8489" s="10" t="s">
        <v>469</v>
      </c>
      <c r="F8489" s="10" t="s">
        <v>2654</v>
      </c>
      <c r="G8489" s="11" t="s">
        <v>3043</v>
      </c>
      <c r="H8489" s="2" t="s">
        <v>1143</v>
      </c>
      <c r="L8489" s="18">
        <v>1</v>
      </c>
      <c r="M8489" s="14" t="s">
        <v>8462</v>
      </c>
      <c r="N8489" s="13">
        <v>43558</v>
      </c>
      <c r="O8489" s="29">
        <v>12.74</v>
      </c>
      <c r="P8489" s="18" t="s">
        <v>14</v>
      </c>
      <c r="Q8489" s="18">
        <v>0</v>
      </c>
      <c r="U8489" s="22">
        <v>0.87</v>
      </c>
      <c r="V8489" s="22">
        <f>3.64/5</f>
        <v>0.72799999999999998</v>
      </c>
      <c r="X8489" s="3">
        <v>2</v>
      </c>
      <c r="Z8489" s="23">
        <v>19</v>
      </c>
      <c r="AB8489" s="18">
        <f t="shared" si="264"/>
        <v>1997</v>
      </c>
      <c r="AC8489" s="22">
        <f t="shared" si="265"/>
        <v>0.66599999999999993</v>
      </c>
    </row>
    <row r="8490" spans="1:29">
      <c r="A8490" s="8" t="s">
        <v>12310</v>
      </c>
      <c r="B8490" s="17" t="s">
        <v>7754</v>
      </c>
      <c r="C8490" s="13">
        <v>35489</v>
      </c>
      <c r="D8490" s="13" t="s">
        <v>8465</v>
      </c>
      <c r="E8490" s="10" t="s">
        <v>455</v>
      </c>
      <c r="F8490" s="10" t="s">
        <v>476</v>
      </c>
      <c r="G8490" s="11" t="s">
        <v>12311</v>
      </c>
      <c r="H8490" s="2" t="s">
        <v>153</v>
      </c>
      <c r="L8490" s="18">
        <v>0</v>
      </c>
      <c r="Q8490" s="18">
        <v>0</v>
      </c>
      <c r="V8490" s="22">
        <f>3.92/5</f>
        <v>0.78400000000000003</v>
      </c>
      <c r="X8490" s="3">
        <v>2</v>
      </c>
      <c r="Z8490" s="23">
        <f>42/60</f>
        <v>0.7</v>
      </c>
      <c r="AB8490" s="18">
        <f t="shared" si="264"/>
        <v>1997</v>
      </c>
      <c r="AC8490" s="22">
        <f t="shared" si="265"/>
        <v>0.59200000000000008</v>
      </c>
    </row>
    <row r="8491" spans="1:29" ht="30">
      <c r="A8491" s="8" t="s">
        <v>7835</v>
      </c>
      <c r="B8491" s="17" t="s">
        <v>7757</v>
      </c>
      <c r="C8491" s="13">
        <v>35489</v>
      </c>
      <c r="D8491" s="13" t="s">
        <v>8463</v>
      </c>
      <c r="E8491" s="10" t="s">
        <v>7836</v>
      </c>
      <c r="F8491" s="10" t="s">
        <v>7837</v>
      </c>
      <c r="H8491" s="2" t="s">
        <v>67</v>
      </c>
      <c r="K8491" s="18">
        <v>0</v>
      </c>
      <c r="L8491" s="18">
        <v>0</v>
      </c>
      <c r="Q8491" s="18">
        <v>0</v>
      </c>
      <c r="V8491" s="22">
        <f>3.59/5</f>
        <v>0.71799999999999997</v>
      </c>
      <c r="X8491" s="3">
        <v>2</v>
      </c>
      <c r="AB8491" s="18">
        <f t="shared" si="264"/>
        <v>1997</v>
      </c>
      <c r="AC8491" s="22">
        <f t="shared" si="265"/>
        <v>0.55899999999999994</v>
      </c>
    </row>
    <row r="8492" spans="1:29" ht="30">
      <c r="A8492" s="8" t="s">
        <v>12307</v>
      </c>
      <c r="B8492" s="17" t="s">
        <v>7754</v>
      </c>
      <c r="C8492" s="13">
        <v>35489</v>
      </c>
      <c r="D8492" s="13" t="s">
        <v>8465</v>
      </c>
      <c r="E8492" s="10" t="s">
        <v>12308</v>
      </c>
      <c r="F8492" s="10" t="s">
        <v>12309</v>
      </c>
      <c r="G8492" s="11" t="s">
        <v>12307</v>
      </c>
      <c r="H8492" s="2" t="s">
        <v>1170</v>
      </c>
      <c r="L8492" s="18">
        <v>0</v>
      </c>
      <c r="Q8492" s="18">
        <v>0</v>
      </c>
      <c r="V8492" s="22">
        <f>2.94/5</f>
        <v>0.58799999999999997</v>
      </c>
      <c r="X8492" s="3">
        <v>2</v>
      </c>
      <c r="Z8492" s="23">
        <v>2</v>
      </c>
      <c r="AB8492" s="18">
        <f t="shared" si="264"/>
        <v>1997</v>
      </c>
      <c r="AC8492" s="22">
        <f t="shared" si="265"/>
        <v>0.49399999999999999</v>
      </c>
    </row>
    <row r="8493" spans="1:29">
      <c r="A8493" s="8" t="s">
        <v>8730</v>
      </c>
      <c r="B8493" s="17" t="s">
        <v>7754</v>
      </c>
      <c r="C8493" s="13">
        <v>35482</v>
      </c>
      <c r="D8493" s="13" t="s">
        <v>8463</v>
      </c>
      <c r="E8493" s="10" t="s">
        <v>1361</v>
      </c>
      <c r="F8493" s="10" t="s">
        <v>1330</v>
      </c>
      <c r="G8493" s="11" t="s">
        <v>6100</v>
      </c>
      <c r="H8493" s="2" t="s">
        <v>56</v>
      </c>
      <c r="K8493" s="18">
        <v>0</v>
      </c>
      <c r="L8493" s="18">
        <v>0</v>
      </c>
      <c r="Q8493" s="18">
        <v>0</v>
      </c>
      <c r="U8493" s="22">
        <v>0.73</v>
      </c>
      <c r="V8493" s="22">
        <f>3.84/5</f>
        <v>0.76800000000000002</v>
      </c>
      <c r="X8493" s="3">
        <v>3</v>
      </c>
      <c r="AB8493" s="18">
        <f t="shared" si="264"/>
        <v>1997</v>
      </c>
      <c r="AC8493" s="22">
        <f t="shared" si="265"/>
        <v>0.69933333333333325</v>
      </c>
    </row>
    <row r="8494" spans="1:29" ht="25.5">
      <c r="A8494" s="8" t="s">
        <v>1797</v>
      </c>
      <c r="B8494" s="17" t="s">
        <v>7745</v>
      </c>
      <c r="C8494" s="13">
        <v>35482</v>
      </c>
      <c r="D8494" s="13" t="s">
        <v>8463</v>
      </c>
      <c r="E8494" s="10" t="s">
        <v>1786</v>
      </c>
      <c r="F8494" s="10" t="s">
        <v>1786</v>
      </c>
      <c r="H8494" s="2" t="s">
        <v>27</v>
      </c>
      <c r="K8494" s="18">
        <v>2</v>
      </c>
      <c r="L8494" s="18">
        <v>0</v>
      </c>
      <c r="Q8494" s="18">
        <v>0</v>
      </c>
      <c r="V8494" s="22">
        <f>3.48/5</f>
        <v>0.69599999999999995</v>
      </c>
      <c r="X8494" s="3">
        <v>2</v>
      </c>
      <c r="AB8494" s="18">
        <f t="shared" si="264"/>
        <v>1997</v>
      </c>
      <c r="AC8494" s="22">
        <f t="shared" si="265"/>
        <v>0.54800000000000004</v>
      </c>
    </row>
    <row r="8495" spans="1:29">
      <c r="A8495" s="8" t="s">
        <v>2976</v>
      </c>
      <c r="B8495" s="17" t="s">
        <v>7757</v>
      </c>
      <c r="C8495" s="13">
        <v>35475</v>
      </c>
      <c r="D8495" s="13" t="s">
        <v>8463</v>
      </c>
      <c r="E8495" s="10" t="s">
        <v>3033</v>
      </c>
      <c r="F8495" s="10" t="s">
        <v>3033</v>
      </c>
      <c r="H8495" s="2" t="s">
        <v>21</v>
      </c>
      <c r="K8495" s="18">
        <v>0</v>
      </c>
      <c r="L8495" s="18">
        <v>0</v>
      </c>
      <c r="Q8495" s="18">
        <v>0</v>
      </c>
      <c r="V8495" s="22">
        <f>3.71/5</f>
        <v>0.74199999999999999</v>
      </c>
      <c r="X8495" s="3">
        <v>4</v>
      </c>
      <c r="Z8495" s="23">
        <v>0.8</v>
      </c>
      <c r="AB8495" s="18">
        <f t="shared" si="264"/>
        <v>1997</v>
      </c>
      <c r="AC8495" s="22">
        <f t="shared" si="265"/>
        <v>0.77100000000000002</v>
      </c>
    </row>
    <row r="8496" spans="1:29">
      <c r="A8496" s="8" t="s">
        <v>876</v>
      </c>
      <c r="B8496" s="20" t="s">
        <v>7739</v>
      </c>
      <c r="C8496" s="13">
        <v>35471</v>
      </c>
      <c r="D8496" s="13" t="s">
        <v>8465</v>
      </c>
      <c r="E8496" s="10" t="s">
        <v>86</v>
      </c>
      <c r="F8496" s="10" t="s">
        <v>87</v>
      </c>
      <c r="G8496" s="11" t="s">
        <v>1135</v>
      </c>
      <c r="H8496" s="2" t="s">
        <v>150</v>
      </c>
      <c r="L8496" s="18">
        <v>0</v>
      </c>
      <c r="Q8496" s="18">
        <v>0</v>
      </c>
      <c r="U8496" s="22">
        <v>0.87</v>
      </c>
      <c r="V8496" s="22">
        <f>4.15/5</f>
        <v>0.83000000000000007</v>
      </c>
      <c r="X8496" s="3">
        <v>4</v>
      </c>
      <c r="Y8496" s="18">
        <v>1</v>
      </c>
      <c r="Z8496" s="23">
        <v>5.5</v>
      </c>
      <c r="AB8496" s="18">
        <f t="shared" si="264"/>
        <v>1997</v>
      </c>
      <c r="AC8496" s="22">
        <f t="shared" si="265"/>
        <v>0.83333333333333337</v>
      </c>
    </row>
    <row r="8497" spans="1:29" ht="25.5">
      <c r="A8497" s="8" t="s">
        <v>14465</v>
      </c>
      <c r="B8497" s="17" t="s">
        <v>7737</v>
      </c>
      <c r="C8497" s="13">
        <v>35470</v>
      </c>
      <c r="D8497" s="13" t="s">
        <v>8463</v>
      </c>
      <c r="E8497" s="10" t="s">
        <v>86</v>
      </c>
      <c r="F8497" s="10" t="s">
        <v>86</v>
      </c>
      <c r="G8497" s="11" t="s">
        <v>9805</v>
      </c>
      <c r="H8497" s="2" t="s">
        <v>67</v>
      </c>
      <c r="K8497" s="18">
        <v>0</v>
      </c>
      <c r="L8497" s="18">
        <v>0</v>
      </c>
      <c r="Q8497" s="18">
        <v>0</v>
      </c>
      <c r="V8497" s="22">
        <f>4.13/5</f>
        <v>0.82599999999999996</v>
      </c>
      <c r="X8497" s="3">
        <v>2</v>
      </c>
      <c r="AB8497" s="18">
        <f t="shared" si="264"/>
        <v>1997</v>
      </c>
      <c r="AC8497" s="22">
        <f t="shared" si="265"/>
        <v>0.61299999999999999</v>
      </c>
    </row>
    <row r="8498" spans="1:29">
      <c r="A8498" s="8" t="s">
        <v>2723</v>
      </c>
      <c r="B8498" s="17" t="s">
        <v>7754</v>
      </c>
      <c r="C8498" s="13">
        <v>35468</v>
      </c>
      <c r="D8498" s="13" t="s">
        <v>8463</v>
      </c>
      <c r="E8498" s="10" t="s">
        <v>231</v>
      </c>
      <c r="F8498" s="10" t="s">
        <v>461</v>
      </c>
      <c r="H8498" s="2" t="s">
        <v>21</v>
      </c>
      <c r="K8498" s="18">
        <v>0</v>
      </c>
      <c r="L8498" s="18">
        <v>0</v>
      </c>
      <c r="Q8498" s="18">
        <v>0</v>
      </c>
      <c r="U8498" s="22">
        <v>0.82</v>
      </c>
      <c r="V8498" s="22">
        <f>4.05/5</f>
        <v>0.80999999999999994</v>
      </c>
      <c r="X8498" s="3">
        <v>3</v>
      </c>
      <c r="Z8498" s="23">
        <v>1.5</v>
      </c>
      <c r="AB8498" s="18">
        <f t="shared" si="264"/>
        <v>1997</v>
      </c>
      <c r="AC8498" s="22">
        <f t="shared" si="265"/>
        <v>0.74333333333333329</v>
      </c>
    </row>
    <row r="8499" spans="1:29" ht="25.5">
      <c r="A8499" s="8" t="s">
        <v>436</v>
      </c>
      <c r="B8499" s="17" t="s">
        <v>6317</v>
      </c>
      <c r="C8499" s="13">
        <v>35465</v>
      </c>
      <c r="D8499" s="13" t="s">
        <v>8465</v>
      </c>
      <c r="E8499" s="10" t="s">
        <v>73</v>
      </c>
      <c r="F8499" s="10" t="s">
        <v>73</v>
      </c>
      <c r="G8499" s="11" t="s">
        <v>227</v>
      </c>
      <c r="H8499" s="2" t="s">
        <v>459</v>
      </c>
      <c r="L8499" s="18">
        <v>0</v>
      </c>
      <c r="Q8499" s="18">
        <v>0</v>
      </c>
      <c r="V8499" s="22">
        <f>3.66/5</f>
        <v>0.73199999999999998</v>
      </c>
      <c r="X8499" s="3">
        <v>2</v>
      </c>
      <c r="Z8499" s="23">
        <v>0.5</v>
      </c>
      <c r="AB8499" s="18">
        <f t="shared" si="264"/>
        <v>1997</v>
      </c>
      <c r="AC8499" s="22">
        <f t="shared" si="265"/>
        <v>0.56600000000000006</v>
      </c>
    </row>
    <row r="8500" spans="1:29">
      <c r="A8500" s="8" t="s">
        <v>541</v>
      </c>
      <c r="B8500" s="17" t="s">
        <v>7731</v>
      </c>
      <c r="C8500" s="13">
        <v>35461</v>
      </c>
      <c r="D8500" s="13" t="s">
        <v>8465</v>
      </c>
      <c r="E8500" s="10" t="s">
        <v>170</v>
      </c>
      <c r="F8500" s="10" t="s">
        <v>1222</v>
      </c>
      <c r="G8500" s="11" t="s">
        <v>541</v>
      </c>
      <c r="H8500" s="2" t="s">
        <v>21</v>
      </c>
      <c r="L8500" s="18">
        <v>0</v>
      </c>
      <c r="Q8500" s="18">
        <v>0</v>
      </c>
      <c r="V8500" s="22">
        <f>3.72/5</f>
        <v>0.74399999999999999</v>
      </c>
      <c r="X8500" s="3">
        <v>3</v>
      </c>
      <c r="Z8500" s="23">
        <v>1.5</v>
      </c>
      <c r="AB8500" s="18">
        <f t="shared" si="264"/>
        <v>1997</v>
      </c>
      <c r="AC8500" s="22">
        <f t="shared" si="265"/>
        <v>0.67199999999999993</v>
      </c>
    </row>
    <row r="8501" spans="1:29" ht="25.5">
      <c r="A8501" s="8" t="s">
        <v>841</v>
      </c>
      <c r="B8501" s="17" t="s">
        <v>7736</v>
      </c>
      <c r="C8501" s="13">
        <v>35461</v>
      </c>
      <c r="D8501" s="13" t="s">
        <v>8463</v>
      </c>
      <c r="E8501" s="10" t="s">
        <v>1367</v>
      </c>
      <c r="F8501" s="10" t="s">
        <v>1378</v>
      </c>
      <c r="H8501" s="2" t="s">
        <v>80</v>
      </c>
      <c r="K8501" s="18">
        <v>2</v>
      </c>
      <c r="L8501" s="18">
        <v>0</v>
      </c>
      <c r="Q8501" s="18">
        <v>0</v>
      </c>
      <c r="U8501" s="22">
        <v>0.4</v>
      </c>
      <c r="V8501" s="22">
        <f>4.04/5</f>
        <v>0.80800000000000005</v>
      </c>
      <c r="X8501" s="3">
        <v>3</v>
      </c>
      <c r="Z8501" s="23">
        <v>4</v>
      </c>
      <c r="AB8501" s="18">
        <f t="shared" si="264"/>
        <v>1997</v>
      </c>
      <c r="AC8501" s="22">
        <f t="shared" si="265"/>
        <v>0.60266666666666679</v>
      </c>
    </row>
    <row r="8502" spans="1:29" ht="30">
      <c r="A8502" s="8" t="s">
        <v>9054</v>
      </c>
      <c r="B8502" s="17" t="s">
        <v>7757</v>
      </c>
      <c r="C8502" s="13">
        <v>35461</v>
      </c>
      <c r="D8502" s="13" t="s">
        <v>8465</v>
      </c>
      <c r="E8502" s="10" t="s">
        <v>2908</v>
      </c>
      <c r="F8502" s="10" t="s">
        <v>8933</v>
      </c>
      <c r="G8502" s="11" t="s">
        <v>9054</v>
      </c>
      <c r="H8502" s="2" t="s">
        <v>61</v>
      </c>
      <c r="L8502" s="18">
        <v>0</v>
      </c>
      <c r="Q8502" s="18">
        <v>0</v>
      </c>
      <c r="V8502" s="22">
        <f>3.52/5</f>
        <v>0.70399999999999996</v>
      </c>
      <c r="X8502" s="3">
        <v>2</v>
      </c>
      <c r="AB8502" s="18">
        <f t="shared" si="264"/>
        <v>1997</v>
      </c>
      <c r="AC8502" s="22">
        <f t="shared" si="265"/>
        <v>0.55200000000000005</v>
      </c>
    </row>
    <row r="8503" spans="1:29" ht="25.5">
      <c r="A8503" s="8" t="s">
        <v>14461</v>
      </c>
      <c r="B8503" s="17" t="s">
        <v>7736</v>
      </c>
      <c r="C8503" s="13">
        <v>35447</v>
      </c>
      <c r="D8503" s="13" t="s">
        <v>8463</v>
      </c>
      <c r="E8503" s="10" t="s">
        <v>1427</v>
      </c>
      <c r="F8503" s="10" t="s">
        <v>1354</v>
      </c>
      <c r="H8503" s="2" t="s">
        <v>149</v>
      </c>
      <c r="K8503" s="18">
        <v>2</v>
      </c>
      <c r="L8503" s="18">
        <v>0</v>
      </c>
      <c r="Q8503" s="18">
        <v>0</v>
      </c>
      <c r="V8503" s="22">
        <f>3.43/5</f>
        <v>0.68600000000000005</v>
      </c>
      <c r="X8503" s="3">
        <v>2</v>
      </c>
      <c r="Z8503" s="23">
        <v>15</v>
      </c>
      <c r="AB8503" s="18">
        <f t="shared" si="264"/>
        <v>1997</v>
      </c>
      <c r="AC8503" s="22">
        <f t="shared" si="265"/>
        <v>0.54300000000000004</v>
      </c>
    </row>
    <row r="8504" spans="1:29">
      <c r="A8504" s="8" t="s">
        <v>6493</v>
      </c>
      <c r="B8504" s="17" t="s">
        <v>14546</v>
      </c>
      <c r="C8504" s="13">
        <v>35431</v>
      </c>
      <c r="D8504" s="13" t="s">
        <v>8465</v>
      </c>
      <c r="E8504" s="10" t="s">
        <v>6906</v>
      </c>
      <c r="F8504" s="10" t="s">
        <v>14547</v>
      </c>
      <c r="G8504" s="11" t="s">
        <v>3723</v>
      </c>
      <c r="H8504" s="2" t="s">
        <v>1050</v>
      </c>
      <c r="L8504" s="18">
        <v>0</v>
      </c>
      <c r="Q8504" s="18">
        <v>0</v>
      </c>
      <c r="V8504" s="22">
        <f>3.13/5</f>
        <v>0.626</v>
      </c>
      <c r="X8504" s="3">
        <v>2</v>
      </c>
      <c r="Z8504" s="23">
        <v>9</v>
      </c>
      <c r="AB8504" s="18">
        <f t="shared" si="264"/>
        <v>1997</v>
      </c>
      <c r="AC8504" s="22">
        <f t="shared" si="265"/>
        <v>0.51300000000000001</v>
      </c>
    </row>
    <row r="8505" spans="1:29">
      <c r="A8505" s="8" t="s">
        <v>7508</v>
      </c>
      <c r="B8505" s="17" t="s">
        <v>7800</v>
      </c>
      <c r="C8505" s="12">
        <v>35431</v>
      </c>
      <c r="D8505" s="13" t="s">
        <v>8465</v>
      </c>
      <c r="E8505" s="10" t="s">
        <v>7507</v>
      </c>
      <c r="F8505" s="10" t="s">
        <v>7507</v>
      </c>
      <c r="G8505" s="11" t="s">
        <v>7506</v>
      </c>
      <c r="H8505" s="2" t="s">
        <v>1050</v>
      </c>
      <c r="L8505" s="18">
        <v>0</v>
      </c>
      <c r="Q8505" s="18">
        <v>0</v>
      </c>
      <c r="V8505" s="22">
        <f>3.86/5</f>
        <v>0.77200000000000002</v>
      </c>
      <c r="X8505" s="3">
        <v>3</v>
      </c>
      <c r="Z8505" s="23">
        <f>37/60</f>
        <v>0.6166666666666667</v>
      </c>
      <c r="AB8505" s="18">
        <f t="shared" si="264"/>
        <v>1997</v>
      </c>
      <c r="AC8505" s="22">
        <f t="shared" si="265"/>
        <v>0.68599999999999994</v>
      </c>
    </row>
    <row r="8506" spans="1:29" ht="30">
      <c r="A8506" s="8" t="s">
        <v>6858</v>
      </c>
      <c r="B8506" s="17" t="s">
        <v>7800</v>
      </c>
      <c r="C8506" s="12">
        <v>35431</v>
      </c>
      <c r="D8506" s="13" t="s">
        <v>8465</v>
      </c>
      <c r="E8506" s="10" t="s">
        <v>6885</v>
      </c>
      <c r="F8506" s="10" t="s">
        <v>6912</v>
      </c>
      <c r="G8506" s="11" t="s">
        <v>6913</v>
      </c>
      <c r="H8506" s="2" t="s">
        <v>1720</v>
      </c>
      <c r="L8506" s="18">
        <v>0</v>
      </c>
      <c r="Q8506" s="18">
        <v>0</v>
      </c>
      <c r="U8506" s="22">
        <v>0.8</v>
      </c>
      <c r="V8506" s="22">
        <f>3.98/5</f>
        <v>0.79600000000000004</v>
      </c>
      <c r="X8506" s="3">
        <v>4</v>
      </c>
      <c r="Z8506" s="23">
        <v>30</v>
      </c>
      <c r="AB8506" s="18">
        <f t="shared" si="264"/>
        <v>1997</v>
      </c>
      <c r="AC8506" s="22">
        <f t="shared" si="265"/>
        <v>0.79866666666666664</v>
      </c>
    </row>
    <row r="8507" spans="1:29">
      <c r="A8507" s="8" t="s">
        <v>368</v>
      </c>
      <c r="B8507" s="17" t="s">
        <v>6317</v>
      </c>
      <c r="C8507" s="12">
        <v>35431</v>
      </c>
      <c r="D8507" s="13" t="s">
        <v>8465</v>
      </c>
      <c r="E8507" s="10" t="s">
        <v>73</v>
      </c>
      <c r="F8507" s="10" t="s">
        <v>73</v>
      </c>
      <c r="G8507" s="11" t="s">
        <v>444</v>
      </c>
      <c r="H8507" s="2" t="s">
        <v>459</v>
      </c>
      <c r="L8507" s="18">
        <v>0</v>
      </c>
      <c r="Q8507" s="18">
        <v>0</v>
      </c>
      <c r="V8507" s="22">
        <f>4.25/5</f>
        <v>0.85</v>
      </c>
      <c r="X8507" s="3">
        <v>3</v>
      </c>
      <c r="Z8507" s="23">
        <v>1.5</v>
      </c>
      <c r="AB8507" s="18">
        <f t="shared" si="264"/>
        <v>1997</v>
      </c>
      <c r="AC8507" s="22">
        <f t="shared" si="265"/>
        <v>0.72499999999999998</v>
      </c>
    </row>
    <row r="8508" spans="1:29">
      <c r="A8508" s="8" t="s">
        <v>6811</v>
      </c>
      <c r="B8508" s="17" t="s">
        <v>7800</v>
      </c>
      <c r="C8508" s="12">
        <v>35431</v>
      </c>
      <c r="D8508" s="13" t="s">
        <v>8465</v>
      </c>
      <c r="E8508" s="10" t="s">
        <v>1272</v>
      </c>
      <c r="F8508" s="10" t="s">
        <v>1299</v>
      </c>
      <c r="H8508" s="2" t="s">
        <v>1061</v>
      </c>
      <c r="L8508" s="18">
        <v>0</v>
      </c>
      <c r="Q8508" s="18">
        <v>0</v>
      </c>
      <c r="U8508" s="22">
        <v>0.92</v>
      </c>
      <c r="V8508" s="22">
        <f>3.69/5</f>
        <v>0.73799999999999999</v>
      </c>
      <c r="X8508" s="3">
        <v>3</v>
      </c>
      <c r="Z8508" s="23">
        <v>11.5</v>
      </c>
      <c r="AB8508" s="18">
        <f t="shared" si="264"/>
        <v>1997</v>
      </c>
      <c r="AC8508" s="22">
        <f t="shared" si="265"/>
        <v>0.75266666666666671</v>
      </c>
    </row>
    <row r="8509" spans="1:29">
      <c r="A8509" s="8" t="s">
        <v>516</v>
      </c>
      <c r="B8509" s="17" t="s">
        <v>7731</v>
      </c>
      <c r="C8509" s="12">
        <v>35431</v>
      </c>
      <c r="D8509" s="13" t="s">
        <v>8465</v>
      </c>
      <c r="E8509" s="10" t="s">
        <v>57</v>
      </c>
      <c r="F8509" s="10" t="s">
        <v>57</v>
      </c>
      <c r="G8509" s="11" t="s">
        <v>566</v>
      </c>
      <c r="H8509" s="2" t="s">
        <v>78</v>
      </c>
      <c r="L8509" s="18">
        <v>0</v>
      </c>
      <c r="Q8509" s="18">
        <v>0</v>
      </c>
      <c r="V8509" s="22">
        <f>4.03/5</f>
        <v>0.80600000000000005</v>
      </c>
      <c r="X8509" s="3">
        <v>3</v>
      </c>
      <c r="Z8509" s="23">
        <v>1</v>
      </c>
      <c r="AB8509" s="18">
        <f t="shared" si="264"/>
        <v>1997</v>
      </c>
      <c r="AC8509" s="22">
        <f t="shared" si="265"/>
        <v>0.70300000000000007</v>
      </c>
    </row>
    <row r="8510" spans="1:29" ht="25.5">
      <c r="A8510" s="8" t="s">
        <v>646</v>
      </c>
      <c r="B8510" s="17" t="s">
        <v>7736</v>
      </c>
      <c r="C8510" s="12">
        <v>35431</v>
      </c>
      <c r="D8510" s="13" t="s">
        <v>8465</v>
      </c>
      <c r="E8510" s="10" t="s">
        <v>86</v>
      </c>
      <c r="F8510" s="10" t="s">
        <v>241</v>
      </c>
      <c r="G8510" s="11" t="s">
        <v>1286</v>
      </c>
      <c r="H8510" s="2" t="s">
        <v>64</v>
      </c>
      <c r="L8510" s="18">
        <v>0</v>
      </c>
      <c r="Q8510" s="18">
        <v>0</v>
      </c>
      <c r="U8510" s="22">
        <v>0.81</v>
      </c>
      <c r="V8510" s="22">
        <f>3.84/5</f>
        <v>0.76800000000000002</v>
      </c>
      <c r="X8510" s="3">
        <v>3</v>
      </c>
      <c r="Z8510" s="23">
        <v>3</v>
      </c>
      <c r="AB8510" s="18">
        <f t="shared" si="264"/>
        <v>1997</v>
      </c>
      <c r="AC8510" s="22">
        <f t="shared" si="265"/>
        <v>0.72599999999999998</v>
      </c>
    </row>
    <row r="8511" spans="1:29">
      <c r="A8511" s="8" t="s">
        <v>417</v>
      </c>
      <c r="B8511" s="17" t="s">
        <v>6317</v>
      </c>
      <c r="C8511" s="12">
        <v>35431</v>
      </c>
      <c r="D8511" s="13" t="s">
        <v>8465</v>
      </c>
      <c r="E8511" s="10" t="s">
        <v>473</v>
      </c>
      <c r="F8511" s="10" t="s">
        <v>473</v>
      </c>
      <c r="G8511" s="11" t="s">
        <v>328</v>
      </c>
      <c r="H8511" s="2" t="s">
        <v>21</v>
      </c>
      <c r="L8511" s="18">
        <v>0</v>
      </c>
      <c r="Q8511" s="18">
        <v>0</v>
      </c>
      <c r="V8511" s="22">
        <f>3.74/5</f>
        <v>0.748</v>
      </c>
      <c r="X8511" s="3">
        <v>3</v>
      </c>
      <c r="Z8511" s="23">
        <v>0.4</v>
      </c>
      <c r="AB8511" s="18">
        <f t="shared" si="264"/>
        <v>1997</v>
      </c>
      <c r="AC8511" s="22">
        <f t="shared" si="265"/>
        <v>0.67399999999999993</v>
      </c>
    </row>
    <row r="8512" spans="1:29" ht="25.5">
      <c r="A8512" s="8" t="s">
        <v>366</v>
      </c>
      <c r="B8512" s="17" t="s">
        <v>6317</v>
      </c>
      <c r="C8512" s="12">
        <v>35431</v>
      </c>
      <c r="D8512" s="13" t="s">
        <v>8465</v>
      </c>
      <c r="E8512" s="10" t="s">
        <v>463</v>
      </c>
      <c r="F8512" s="10" t="s">
        <v>463</v>
      </c>
      <c r="G8512" s="11" t="s">
        <v>443</v>
      </c>
      <c r="H8512" s="2" t="s">
        <v>21</v>
      </c>
      <c r="L8512" s="18">
        <v>0</v>
      </c>
      <c r="Q8512" s="18">
        <v>0</v>
      </c>
      <c r="V8512" s="22">
        <f>3.65/5</f>
        <v>0.73</v>
      </c>
      <c r="X8512" s="3">
        <v>3</v>
      </c>
      <c r="Z8512" s="23">
        <v>0.4</v>
      </c>
      <c r="AB8512" s="18">
        <f t="shared" si="264"/>
        <v>1997</v>
      </c>
      <c r="AC8512" s="22">
        <f t="shared" si="265"/>
        <v>0.66500000000000004</v>
      </c>
    </row>
    <row r="8513" spans="1:29" ht="25.5">
      <c r="A8513" s="8" t="s">
        <v>400</v>
      </c>
      <c r="B8513" s="17" t="s">
        <v>6317</v>
      </c>
      <c r="C8513" s="12">
        <v>35431</v>
      </c>
      <c r="D8513" s="13" t="s">
        <v>8465</v>
      </c>
      <c r="E8513" s="10" t="s">
        <v>555</v>
      </c>
      <c r="F8513" s="10" t="s">
        <v>554</v>
      </c>
      <c r="G8513" s="11" t="s">
        <v>397</v>
      </c>
      <c r="H8513" s="2" t="s">
        <v>21</v>
      </c>
      <c r="L8513" s="18">
        <v>0</v>
      </c>
      <c r="Q8513" s="18">
        <v>0</v>
      </c>
      <c r="V8513" s="22">
        <f>3.61/5</f>
        <v>0.72199999999999998</v>
      </c>
      <c r="X8513" s="3">
        <v>3</v>
      </c>
      <c r="Z8513" s="23">
        <v>0.55000000000000004</v>
      </c>
      <c r="AB8513" s="18">
        <f t="shared" ref="AB8513:AB8576" si="266">IFERROR(YEAR(C8513), "Early Access")</f>
        <v>1997</v>
      </c>
      <c r="AC8513" s="22">
        <f t="shared" ref="AC8513:AC8576" si="267">AVERAGE(T8513, U8513, V8513, IF(ISBLANK(X8513), X8513, X8513/5))</f>
        <v>0.66100000000000003</v>
      </c>
    </row>
    <row r="8514" spans="1:29">
      <c r="A8514" s="8" t="s">
        <v>14460</v>
      </c>
      <c r="B8514" s="17" t="s">
        <v>7757</v>
      </c>
      <c r="C8514" s="12">
        <v>35431</v>
      </c>
      <c r="D8514" s="13" t="s">
        <v>8465</v>
      </c>
      <c r="E8514" s="10" t="s">
        <v>158</v>
      </c>
      <c r="F8514" s="10" t="s">
        <v>6724</v>
      </c>
      <c r="G8514" s="11" t="s">
        <v>6161</v>
      </c>
      <c r="H8514" s="2" t="s">
        <v>459</v>
      </c>
      <c r="L8514" s="18">
        <v>0</v>
      </c>
      <c r="Q8514" s="18">
        <v>0</v>
      </c>
      <c r="U8514" s="22">
        <v>0.91</v>
      </c>
      <c r="V8514" s="22">
        <f>4.08/5</f>
        <v>0.81600000000000006</v>
      </c>
      <c r="X8514" s="3">
        <v>2</v>
      </c>
      <c r="Z8514" s="23">
        <v>1</v>
      </c>
      <c r="AB8514" s="18">
        <f t="shared" si="266"/>
        <v>1997</v>
      </c>
      <c r="AC8514" s="22">
        <f t="shared" si="267"/>
        <v>0.70866666666666667</v>
      </c>
    </row>
    <row r="8515" spans="1:29">
      <c r="A8515" s="8" t="s">
        <v>14674</v>
      </c>
      <c r="B8515" s="17" t="s">
        <v>6317</v>
      </c>
      <c r="C8515" s="24">
        <v>35431</v>
      </c>
      <c r="D8515" s="13" t="s">
        <v>8465</v>
      </c>
      <c r="E8515" s="10" t="s">
        <v>455</v>
      </c>
      <c r="F8515" s="10" t="s">
        <v>455</v>
      </c>
      <c r="G8515" s="11" t="s">
        <v>14674</v>
      </c>
      <c r="H8515" s="2" t="s">
        <v>153</v>
      </c>
      <c r="L8515" s="18">
        <v>0</v>
      </c>
      <c r="Q8515" s="18">
        <v>0</v>
      </c>
      <c r="V8515" s="22">
        <f>3.44/5</f>
        <v>0.68799999999999994</v>
      </c>
      <c r="X8515" s="3">
        <v>2</v>
      </c>
      <c r="AB8515" s="18">
        <f t="shared" si="266"/>
        <v>1997</v>
      </c>
      <c r="AC8515" s="22">
        <f t="shared" si="267"/>
        <v>0.54400000000000004</v>
      </c>
    </row>
    <row r="8516" spans="1:29">
      <c r="A8516" s="8" t="s">
        <v>12325</v>
      </c>
      <c r="B8516" s="17" t="s">
        <v>6317</v>
      </c>
      <c r="C8516" s="24">
        <v>35431</v>
      </c>
      <c r="D8516" s="13" t="s">
        <v>8463</v>
      </c>
      <c r="E8516" s="10" t="s">
        <v>70</v>
      </c>
      <c r="F8516" s="10" t="s">
        <v>70</v>
      </c>
      <c r="G8516" s="11" t="s">
        <v>98</v>
      </c>
      <c r="H8516" s="2" t="s">
        <v>78</v>
      </c>
      <c r="K8516" s="18">
        <v>0</v>
      </c>
      <c r="L8516" s="18">
        <v>0</v>
      </c>
      <c r="Q8516" s="18">
        <v>0</v>
      </c>
      <c r="V8516" s="22">
        <f>3.28/5</f>
        <v>0.65599999999999992</v>
      </c>
      <c r="X8516" s="3">
        <v>2</v>
      </c>
      <c r="AB8516" s="18">
        <f t="shared" si="266"/>
        <v>1997</v>
      </c>
      <c r="AC8516" s="22">
        <f t="shared" si="267"/>
        <v>0.52800000000000002</v>
      </c>
    </row>
    <row r="8517" spans="1:29">
      <c r="A8517" s="8" t="s">
        <v>397</v>
      </c>
      <c r="B8517" s="17" t="s">
        <v>7786</v>
      </c>
      <c r="C8517" s="12">
        <v>35431</v>
      </c>
      <c r="D8517" s="13" t="s">
        <v>8465</v>
      </c>
      <c r="E8517" s="10" t="s">
        <v>2835</v>
      </c>
      <c r="F8517" s="10" t="s">
        <v>2658</v>
      </c>
      <c r="G8517" s="11" t="s">
        <v>397</v>
      </c>
      <c r="H8517" s="2" t="s">
        <v>21</v>
      </c>
      <c r="L8517" s="18">
        <v>0</v>
      </c>
      <c r="Q8517" s="18">
        <v>0</v>
      </c>
      <c r="V8517" s="22">
        <f>3.04/5</f>
        <v>0.60799999999999998</v>
      </c>
      <c r="X8517" s="3">
        <v>2</v>
      </c>
      <c r="Z8517" s="23">
        <v>1</v>
      </c>
      <c r="AB8517" s="18">
        <f t="shared" si="266"/>
        <v>1997</v>
      </c>
      <c r="AC8517" s="22">
        <f t="shared" si="267"/>
        <v>0.504</v>
      </c>
    </row>
    <row r="8518" spans="1:29">
      <c r="A8518" s="8" t="s">
        <v>410</v>
      </c>
      <c r="B8518" s="17" t="s">
        <v>6317</v>
      </c>
      <c r="C8518" s="12">
        <v>35431</v>
      </c>
      <c r="D8518" s="13" t="s">
        <v>8465</v>
      </c>
      <c r="E8518" s="10" t="s">
        <v>465</v>
      </c>
      <c r="F8518" s="10" t="s">
        <v>559</v>
      </c>
      <c r="H8518" s="2" t="s">
        <v>21</v>
      </c>
      <c r="L8518" s="18">
        <v>0</v>
      </c>
      <c r="Q8518" s="18">
        <v>0</v>
      </c>
      <c r="V8518" s="22">
        <f>2.5/5</f>
        <v>0.5</v>
      </c>
      <c r="X8518" s="3">
        <v>2</v>
      </c>
      <c r="Z8518" s="23">
        <f>30/60</f>
        <v>0.5</v>
      </c>
      <c r="AB8518" s="18">
        <f t="shared" si="266"/>
        <v>1997</v>
      </c>
      <c r="AC8518" s="22">
        <f t="shared" si="267"/>
        <v>0.45</v>
      </c>
    </row>
    <row r="8519" spans="1:29" ht="25.5">
      <c r="A8519" s="8" t="s">
        <v>13866</v>
      </c>
      <c r="B8519" s="17" t="s">
        <v>10323</v>
      </c>
      <c r="C8519" s="24">
        <v>35431</v>
      </c>
      <c r="D8519" s="13" t="s">
        <v>8463</v>
      </c>
      <c r="E8519" s="10" t="s">
        <v>13867</v>
      </c>
      <c r="F8519" s="10" t="s">
        <v>13867</v>
      </c>
      <c r="H8519" s="2" t="s">
        <v>21</v>
      </c>
      <c r="K8519" s="18">
        <v>0</v>
      </c>
      <c r="L8519" s="18">
        <v>0</v>
      </c>
      <c r="Q8519" s="18">
        <v>0</v>
      </c>
      <c r="X8519" s="3">
        <v>2</v>
      </c>
      <c r="AB8519" s="18">
        <f t="shared" si="266"/>
        <v>1997</v>
      </c>
      <c r="AC8519" s="22">
        <f t="shared" si="267"/>
        <v>0.4</v>
      </c>
    </row>
    <row r="8520" spans="1:29">
      <c r="A8520" s="8" t="s">
        <v>12282</v>
      </c>
      <c r="B8520" s="17" t="s">
        <v>7800</v>
      </c>
      <c r="C8520" s="24">
        <v>35431</v>
      </c>
      <c r="D8520" s="13" t="s">
        <v>8467</v>
      </c>
      <c r="E8520" s="10" t="s">
        <v>12283</v>
      </c>
      <c r="F8520" s="10" t="s">
        <v>12283</v>
      </c>
      <c r="H8520" s="2" t="s">
        <v>1194</v>
      </c>
      <c r="K8520" s="18">
        <v>0</v>
      </c>
      <c r="L8520" s="18">
        <v>0</v>
      </c>
      <c r="Q8520" s="18">
        <v>0</v>
      </c>
      <c r="X8520" s="3">
        <v>2</v>
      </c>
      <c r="AB8520" s="18">
        <f t="shared" si="266"/>
        <v>1997</v>
      </c>
      <c r="AC8520" s="22">
        <f t="shared" si="267"/>
        <v>0.4</v>
      </c>
    </row>
    <row r="8521" spans="1:29" ht="30">
      <c r="A8521" s="8" t="s">
        <v>15738</v>
      </c>
      <c r="B8521" s="17" t="s">
        <v>7800</v>
      </c>
      <c r="C8521" s="24">
        <v>35431</v>
      </c>
      <c r="D8521" s="13" t="s">
        <v>8465</v>
      </c>
      <c r="E8521" s="10" t="s">
        <v>1333</v>
      </c>
      <c r="F8521" s="10" t="s">
        <v>3020</v>
      </c>
      <c r="H8521" s="2" t="s">
        <v>80</v>
      </c>
      <c r="L8521" s="18">
        <v>0</v>
      </c>
      <c r="Q8521" s="18">
        <v>0</v>
      </c>
      <c r="V8521" s="22">
        <f>3.89/5</f>
        <v>0.77800000000000002</v>
      </c>
      <c r="X8521" s="3">
        <v>2</v>
      </c>
      <c r="AB8521" s="18">
        <f t="shared" si="266"/>
        <v>1997</v>
      </c>
      <c r="AC8521" s="22">
        <f t="shared" si="267"/>
        <v>0.58899999999999997</v>
      </c>
    </row>
    <row r="8522" spans="1:29">
      <c r="A8522" s="8" t="s">
        <v>2905</v>
      </c>
      <c r="B8522" s="17" t="s">
        <v>7757</v>
      </c>
      <c r="C8522" s="13">
        <v>35680</v>
      </c>
      <c r="D8522" s="13" t="s">
        <v>8465</v>
      </c>
      <c r="E8522" s="10" t="s">
        <v>161</v>
      </c>
      <c r="F8522" s="10" t="s">
        <v>161</v>
      </c>
      <c r="G8522" s="11" t="s">
        <v>126</v>
      </c>
      <c r="H8522" s="2" t="s">
        <v>149</v>
      </c>
      <c r="L8522" s="18">
        <v>0</v>
      </c>
      <c r="Q8522" s="18">
        <v>1</v>
      </c>
      <c r="T8522" s="22">
        <v>0.9</v>
      </c>
      <c r="U8522" s="22">
        <v>0.92</v>
      </c>
      <c r="V8522" s="22">
        <f>4.49/5</f>
        <v>0.89800000000000002</v>
      </c>
      <c r="Y8522" s="18">
        <v>1</v>
      </c>
      <c r="AB8522" s="18">
        <f t="shared" si="266"/>
        <v>1997</v>
      </c>
      <c r="AC8522" s="22">
        <f t="shared" si="267"/>
        <v>0.90600000000000003</v>
      </c>
    </row>
    <row r="8523" spans="1:29">
      <c r="A8523" s="8" t="s">
        <v>897</v>
      </c>
      <c r="B8523" s="20" t="s">
        <v>7739</v>
      </c>
      <c r="C8523" s="13">
        <v>35667</v>
      </c>
      <c r="D8523" s="13" t="s">
        <v>8465</v>
      </c>
      <c r="E8523" s="10" t="s">
        <v>86</v>
      </c>
      <c r="F8523" s="10" t="s">
        <v>163</v>
      </c>
      <c r="G8523" s="11" t="s">
        <v>1482</v>
      </c>
      <c r="H8523" s="2" t="s">
        <v>1050</v>
      </c>
      <c r="L8523" s="18">
        <v>0</v>
      </c>
      <c r="Q8523" s="18">
        <v>1</v>
      </c>
      <c r="T8523" s="22">
        <v>0.9</v>
      </c>
      <c r="U8523" s="22">
        <v>0.95</v>
      </c>
      <c r="V8523" s="22">
        <f>4.33/5</f>
        <v>0.86599999999999999</v>
      </c>
      <c r="AB8523" s="18">
        <f t="shared" si="266"/>
        <v>1997</v>
      </c>
      <c r="AC8523" s="22">
        <f t="shared" si="267"/>
        <v>0.90533333333333343</v>
      </c>
    </row>
    <row r="8524" spans="1:29">
      <c r="A8524" s="8" t="s">
        <v>896</v>
      </c>
      <c r="B8524" s="20" t="s">
        <v>7739</v>
      </c>
      <c r="C8524" s="13">
        <v>35612</v>
      </c>
      <c r="D8524" s="13" t="s">
        <v>8465</v>
      </c>
      <c r="E8524" s="10" t="s">
        <v>86</v>
      </c>
      <c r="F8524" s="10" t="s">
        <v>87</v>
      </c>
      <c r="G8524" s="11" t="s">
        <v>578</v>
      </c>
      <c r="H8524" s="2" t="s">
        <v>1170</v>
      </c>
      <c r="L8524" s="18">
        <v>0</v>
      </c>
      <c r="Q8524" s="18">
        <v>1</v>
      </c>
      <c r="T8524" s="22">
        <v>0.9</v>
      </c>
      <c r="U8524" s="22">
        <v>0.89</v>
      </c>
      <c r="V8524" s="22">
        <f>4.24/5</f>
        <v>0.84800000000000009</v>
      </c>
      <c r="Y8524" s="18">
        <v>1</v>
      </c>
      <c r="AB8524" s="18">
        <f t="shared" si="266"/>
        <v>1997</v>
      </c>
      <c r="AC8524" s="22">
        <f t="shared" si="267"/>
        <v>0.8793333333333333</v>
      </c>
    </row>
    <row r="8525" spans="1:29" ht="25.5">
      <c r="A8525" s="8" t="s">
        <v>478</v>
      </c>
      <c r="B8525" s="17" t="s">
        <v>6317</v>
      </c>
      <c r="C8525" s="12">
        <v>35551</v>
      </c>
      <c r="D8525" s="13" t="s">
        <v>8465</v>
      </c>
      <c r="E8525" s="10" t="s">
        <v>228</v>
      </c>
      <c r="F8525" s="10" t="s">
        <v>228</v>
      </c>
      <c r="G8525" s="11" t="s">
        <v>477</v>
      </c>
      <c r="H8525" s="2" t="s">
        <v>459</v>
      </c>
      <c r="L8525" s="18">
        <v>0</v>
      </c>
      <c r="Q8525" s="18">
        <v>1</v>
      </c>
      <c r="R8525" s="13">
        <v>43895</v>
      </c>
      <c r="S8525" s="21">
        <f>27/60+42/3600</f>
        <v>0.46166666666666667</v>
      </c>
      <c r="T8525" s="22">
        <v>0.55000000000000004</v>
      </c>
      <c r="V8525" s="22">
        <f>3.26/5</f>
        <v>0.65199999999999991</v>
      </c>
      <c r="AB8525" s="18">
        <f t="shared" si="266"/>
        <v>1997</v>
      </c>
      <c r="AC8525" s="22">
        <f t="shared" si="267"/>
        <v>0.60099999999999998</v>
      </c>
    </row>
    <row r="8526" spans="1:29">
      <c r="A8526" s="8" t="s">
        <v>894</v>
      </c>
      <c r="B8526" s="20" t="s">
        <v>7739</v>
      </c>
      <c r="C8526" s="13">
        <v>35489</v>
      </c>
      <c r="D8526" s="13" t="s">
        <v>8465</v>
      </c>
      <c r="E8526" s="10" t="s">
        <v>86</v>
      </c>
      <c r="F8526" s="10" t="s">
        <v>163</v>
      </c>
      <c r="H8526" s="2" t="s">
        <v>143</v>
      </c>
      <c r="L8526" s="18">
        <v>0</v>
      </c>
      <c r="Q8526" s="18">
        <v>1</v>
      </c>
      <c r="T8526" s="22">
        <v>0.8</v>
      </c>
      <c r="U8526" s="22">
        <v>0.89</v>
      </c>
      <c r="V8526" s="22">
        <f>3.66/5</f>
        <v>0.73199999999999998</v>
      </c>
      <c r="AB8526" s="18">
        <f t="shared" si="266"/>
        <v>1997</v>
      </c>
      <c r="AC8526" s="22">
        <f t="shared" si="267"/>
        <v>0.80733333333333324</v>
      </c>
    </row>
    <row r="8527" spans="1:29">
      <c r="A8527" s="8" t="s">
        <v>326</v>
      </c>
      <c r="B8527" s="17" t="s">
        <v>6317</v>
      </c>
      <c r="C8527" s="13">
        <v>35466</v>
      </c>
      <c r="D8527" s="13" t="s">
        <v>8465</v>
      </c>
      <c r="E8527" s="10" t="s">
        <v>228</v>
      </c>
      <c r="F8527" s="10" t="s">
        <v>467</v>
      </c>
      <c r="G8527" s="11" t="s">
        <v>323</v>
      </c>
      <c r="H8527" s="2" t="s">
        <v>21</v>
      </c>
      <c r="L8527" s="18">
        <v>0</v>
      </c>
      <c r="Q8527" s="18">
        <v>1</v>
      </c>
      <c r="T8527" s="22">
        <v>0.7</v>
      </c>
      <c r="V8527" s="22">
        <f>4.08/5</f>
        <v>0.81600000000000006</v>
      </c>
      <c r="AB8527" s="18">
        <f t="shared" si="266"/>
        <v>1997</v>
      </c>
      <c r="AC8527" s="22">
        <f t="shared" si="267"/>
        <v>0.75800000000000001</v>
      </c>
    </row>
    <row r="8528" spans="1:29">
      <c r="A8528" s="8" t="s">
        <v>492</v>
      </c>
      <c r="B8528" s="17" t="s">
        <v>7731</v>
      </c>
      <c r="C8528" s="12">
        <v>35431</v>
      </c>
      <c r="D8528" s="13" t="s">
        <v>8465</v>
      </c>
      <c r="E8528" s="10" t="s">
        <v>170</v>
      </c>
      <c r="F8528" s="10" t="s">
        <v>565</v>
      </c>
      <c r="G8528" s="11" t="s">
        <v>492</v>
      </c>
      <c r="H8528" s="2" t="s">
        <v>147</v>
      </c>
      <c r="L8528" s="18">
        <v>0</v>
      </c>
      <c r="Q8528" s="18">
        <v>1</v>
      </c>
      <c r="T8528" s="22">
        <v>0.9</v>
      </c>
      <c r="V8528" s="22">
        <f>4.12/5</f>
        <v>0.82400000000000007</v>
      </c>
      <c r="AB8528" s="18">
        <f t="shared" si="266"/>
        <v>1997</v>
      </c>
      <c r="AC8528" s="22">
        <f t="shared" si="267"/>
        <v>0.8620000000000001</v>
      </c>
    </row>
    <row r="8529" spans="1:29">
      <c r="A8529" s="8" t="s">
        <v>1589</v>
      </c>
      <c r="B8529" s="17" t="s">
        <v>7800</v>
      </c>
      <c r="C8529" s="13">
        <v>35430</v>
      </c>
      <c r="D8529" s="13" t="s">
        <v>8465</v>
      </c>
      <c r="E8529" s="10" t="s">
        <v>1296</v>
      </c>
      <c r="F8529" s="10" t="s">
        <v>1296</v>
      </c>
      <c r="G8529" s="11" t="s">
        <v>1589</v>
      </c>
      <c r="H8529" s="2" t="s">
        <v>171</v>
      </c>
      <c r="L8529" s="18">
        <v>0</v>
      </c>
      <c r="Q8529" s="18">
        <v>0</v>
      </c>
      <c r="U8529" s="22">
        <v>0.89</v>
      </c>
      <c r="V8529" s="22">
        <f>4.02/5</f>
        <v>0.80399999999999994</v>
      </c>
      <c r="X8529" s="3">
        <v>4</v>
      </c>
      <c r="Z8529" s="23">
        <v>14.5</v>
      </c>
      <c r="AB8529" s="18">
        <f t="shared" si="266"/>
        <v>1996</v>
      </c>
      <c r="AC8529" s="22">
        <f t="shared" si="267"/>
        <v>0.83133333333333326</v>
      </c>
    </row>
    <row r="8530" spans="1:29" ht="25.5">
      <c r="A8530" s="8" t="s">
        <v>15659</v>
      </c>
      <c r="B8530" s="17" t="s">
        <v>7757</v>
      </c>
      <c r="C8530" s="13">
        <v>35426</v>
      </c>
      <c r="D8530" s="13" t="s">
        <v>8463</v>
      </c>
      <c r="E8530" s="10" t="s">
        <v>228</v>
      </c>
      <c r="F8530" s="10" t="s">
        <v>1301</v>
      </c>
      <c r="H8530" s="2" t="s">
        <v>1057</v>
      </c>
      <c r="K8530" s="18">
        <v>2</v>
      </c>
      <c r="L8530" s="18">
        <v>0</v>
      </c>
      <c r="Q8530" s="18">
        <v>0</v>
      </c>
      <c r="V8530" s="22">
        <f>3.61/5</f>
        <v>0.72199999999999998</v>
      </c>
      <c r="X8530" s="3">
        <v>2</v>
      </c>
      <c r="Z8530" s="23">
        <v>20.5</v>
      </c>
      <c r="AB8530" s="18">
        <f t="shared" si="266"/>
        <v>1996</v>
      </c>
      <c r="AC8530" s="22">
        <f t="shared" si="267"/>
        <v>0.56099999999999994</v>
      </c>
    </row>
    <row r="8531" spans="1:29">
      <c r="A8531" s="8" t="s">
        <v>13662</v>
      </c>
      <c r="B8531" s="17" t="s">
        <v>7745</v>
      </c>
      <c r="C8531" s="13">
        <v>35419</v>
      </c>
      <c r="D8531" s="13" t="s">
        <v>8463</v>
      </c>
      <c r="E8531" s="10" t="s">
        <v>62</v>
      </c>
      <c r="F8531" s="10" t="s">
        <v>62</v>
      </c>
      <c r="G8531" s="11" t="s">
        <v>7674</v>
      </c>
      <c r="H8531" s="2" t="s">
        <v>31</v>
      </c>
      <c r="L8531" s="18">
        <v>0</v>
      </c>
      <c r="Q8531" s="18">
        <v>0</v>
      </c>
      <c r="V8531" s="22">
        <f>3.67/5</f>
        <v>0.73399999999999999</v>
      </c>
      <c r="X8531" s="3">
        <v>2</v>
      </c>
      <c r="Z8531" s="23">
        <v>2</v>
      </c>
      <c r="AB8531" s="18">
        <f t="shared" si="266"/>
        <v>1996</v>
      </c>
      <c r="AC8531" s="22">
        <f t="shared" si="267"/>
        <v>0.56699999999999995</v>
      </c>
    </row>
    <row r="8532" spans="1:29" ht="25.5">
      <c r="A8532" s="8" t="s">
        <v>10065</v>
      </c>
      <c r="B8532" s="17" t="s">
        <v>7736</v>
      </c>
      <c r="C8532" s="13">
        <v>35419</v>
      </c>
      <c r="D8532" s="13" t="s">
        <v>8463</v>
      </c>
      <c r="E8532" s="10" t="s">
        <v>6575</v>
      </c>
      <c r="F8532" s="10" t="s">
        <v>249</v>
      </c>
      <c r="H8532" s="2" t="s">
        <v>149</v>
      </c>
      <c r="K8532" s="18">
        <v>2</v>
      </c>
      <c r="L8532" s="18">
        <v>0</v>
      </c>
      <c r="Q8532" s="18">
        <v>0</v>
      </c>
      <c r="V8532" s="22">
        <f>3.46/5</f>
        <v>0.69199999999999995</v>
      </c>
      <c r="X8532" s="3">
        <v>2</v>
      </c>
      <c r="Z8532" s="23">
        <v>40.5</v>
      </c>
      <c r="AB8532" s="18">
        <f t="shared" si="266"/>
        <v>1996</v>
      </c>
      <c r="AC8532" s="22">
        <f t="shared" si="267"/>
        <v>0.54600000000000004</v>
      </c>
    </row>
    <row r="8533" spans="1:29">
      <c r="A8533" s="8" t="s">
        <v>10933</v>
      </c>
      <c r="B8533" s="17" t="s">
        <v>10323</v>
      </c>
      <c r="C8533" s="13">
        <v>35419</v>
      </c>
      <c r="D8533" s="13" t="s">
        <v>8463</v>
      </c>
      <c r="E8533" s="10" t="s">
        <v>10930</v>
      </c>
      <c r="F8533" s="10" t="s">
        <v>10931</v>
      </c>
      <c r="G8533" s="11" t="s">
        <v>10932</v>
      </c>
      <c r="H8533" s="2" t="s">
        <v>75</v>
      </c>
      <c r="K8533" s="18">
        <v>0</v>
      </c>
      <c r="L8533" s="18">
        <v>0</v>
      </c>
      <c r="Q8533" s="18">
        <v>0</v>
      </c>
      <c r="X8533" s="3">
        <v>2</v>
      </c>
      <c r="AB8533" s="18">
        <f t="shared" si="266"/>
        <v>1996</v>
      </c>
      <c r="AC8533" s="22">
        <f t="shared" si="267"/>
        <v>0.4</v>
      </c>
    </row>
    <row r="8534" spans="1:29">
      <c r="A8534" s="8" t="s">
        <v>2989</v>
      </c>
      <c r="B8534" s="17" t="s">
        <v>7757</v>
      </c>
      <c r="C8534" s="13">
        <v>35413</v>
      </c>
      <c r="D8534" s="13" t="s">
        <v>8465</v>
      </c>
      <c r="E8534" s="10" t="s">
        <v>228</v>
      </c>
      <c r="F8534" s="10" t="s">
        <v>228</v>
      </c>
      <c r="G8534" s="11" t="s">
        <v>3038</v>
      </c>
      <c r="H8534" s="2" t="s">
        <v>149</v>
      </c>
      <c r="L8534" s="18">
        <v>0</v>
      </c>
      <c r="Q8534" s="18">
        <v>0</v>
      </c>
      <c r="U8534" s="22">
        <v>0.8</v>
      </c>
      <c r="V8534" s="22">
        <f>3.61/5</f>
        <v>0.72199999999999998</v>
      </c>
      <c r="X8534" s="3">
        <v>4</v>
      </c>
      <c r="Y8534" s="18">
        <v>1</v>
      </c>
      <c r="Z8534" s="23">
        <v>31</v>
      </c>
      <c r="AB8534" s="18">
        <f t="shared" si="266"/>
        <v>1996</v>
      </c>
      <c r="AC8534" s="22">
        <f t="shared" si="267"/>
        <v>0.77400000000000002</v>
      </c>
    </row>
    <row r="8535" spans="1:29" ht="25.5">
      <c r="A8535" s="8" t="s">
        <v>11844</v>
      </c>
      <c r="B8535" s="17" t="s">
        <v>7790</v>
      </c>
      <c r="C8535" s="13">
        <v>35412</v>
      </c>
      <c r="D8535" s="13" t="s">
        <v>8463</v>
      </c>
      <c r="E8535" s="10" t="s">
        <v>11752</v>
      </c>
      <c r="F8535" s="10" t="s">
        <v>11845</v>
      </c>
      <c r="G8535" s="11" t="s">
        <v>9777</v>
      </c>
      <c r="H8535" s="2" t="s">
        <v>1377</v>
      </c>
      <c r="K8535" s="18">
        <v>2</v>
      </c>
      <c r="L8535" s="18">
        <v>0</v>
      </c>
      <c r="Q8535" s="18">
        <v>0</v>
      </c>
      <c r="V8535" s="22">
        <f>3.32/5</f>
        <v>0.66399999999999992</v>
      </c>
      <c r="X8535" s="3">
        <v>3</v>
      </c>
      <c r="Z8535" s="23">
        <v>11</v>
      </c>
      <c r="AB8535" s="18">
        <f t="shared" si="266"/>
        <v>1996</v>
      </c>
      <c r="AC8535" s="22">
        <f t="shared" si="267"/>
        <v>0.6319999999999999</v>
      </c>
    </row>
    <row r="8536" spans="1:29">
      <c r="A8536" s="8" t="s">
        <v>5899</v>
      </c>
      <c r="B8536" s="17" t="s">
        <v>7754</v>
      </c>
      <c r="C8536" s="13">
        <v>35411</v>
      </c>
      <c r="D8536" s="13" t="s">
        <v>8465</v>
      </c>
      <c r="E8536" s="10" t="s">
        <v>455</v>
      </c>
      <c r="F8536" s="10" t="s">
        <v>1387</v>
      </c>
      <c r="G8536" s="11" t="s">
        <v>5897</v>
      </c>
      <c r="H8536" s="2" t="s">
        <v>1040</v>
      </c>
      <c r="L8536" s="18">
        <v>0</v>
      </c>
      <c r="Q8536" s="18">
        <v>0</v>
      </c>
      <c r="U8536" s="22">
        <v>0.71</v>
      </c>
      <c r="V8536" s="22">
        <f>3.78/5</f>
        <v>0.75600000000000001</v>
      </c>
      <c r="X8536" s="3">
        <v>2</v>
      </c>
      <c r="Z8536" s="23">
        <v>5</v>
      </c>
      <c r="AB8536" s="18">
        <f t="shared" si="266"/>
        <v>1996</v>
      </c>
      <c r="AC8536" s="22">
        <f t="shared" si="267"/>
        <v>0.622</v>
      </c>
    </row>
    <row r="8537" spans="1:29">
      <c r="A8537" s="8" t="s">
        <v>2786</v>
      </c>
      <c r="B8537" s="17" t="s">
        <v>7756</v>
      </c>
      <c r="C8537" s="13">
        <v>35411</v>
      </c>
      <c r="D8537" s="13" t="s">
        <v>8465</v>
      </c>
      <c r="E8537" s="10" t="s">
        <v>455</v>
      </c>
      <c r="F8537" s="10" t="s">
        <v>2510</v>
      </c>
      <c r="G8537" s="11" t="s">
        <v>1688</v>
      </c>
      <c r="H8537" s="2" t="s">
        <v>64</v>
      </c>
      <c r="L8537" s="18">
        <v>0</v>
      </c>
      <c r="Q8537" s="18">
        <v>0</v>
      </c>
      <c r="V8537" s="22">
        <f>2.52/5</f>
        <v>0.504</v>
      </c>
      <c r="X8537" s="3">
        <v>3</v>
      </c>
      <c r="Z8537" s="23">
        <v>1</v>
      </c>
      <c r="AB8537" s="18">
        <f t="shared" si="266"/>
        <v>1996</v>
      </c>
      <c r="AC8537" s="22">
        <f t="shared" si="267"/>
        <v>0.55200000000000005</v>
      </c>
    </row>
    <row r="8538" spans="1:29" ht="25.5">
      <c r="A8538" s="8" t="s">
        <v>12264</v>
      </c>
      <c r="B8538" s="17" t="s">
        <v>7785</v>
      </c>
      <c r="C8538" s="13">
        <v>35408</v>
      </c>
      <c r="D8538" s="13" t="s">
        <v>8465</v>
      </c>
      <c r="E8538" s="10" t="s">
        <v>2835</v>
      </c>
      <c r="F8538" s="10" t="s">
        <v>12262</v>
      </c>
      <c r="G8538" s="11" t="s">
        <v>12263</v>
      </c>
      <c r="H8538" s="2" t="s">
        <v>1377</v>
      </c>
      <c r="L8538" s="18">
        <v>0</v>
      </c>
      <c r="Q8538" s="18">
        <v>0</v>
      </c>
      <c r="V8538" s="22">
        <f>4.18/5</f>
        <v>0.83599999999999997</v>
      </c>
      <c r="X8538" s="3">
        <v>2</v>
      </c>
      <c r="AB8538" s="18">
        <f t="shared" si="266"/>
        <v>1996</v>
      </c>
      <c r="AC8538" s="22">
        <f t="shared" si="267"/>
        <v>0.61799999999999999</v>
      </c>
    </row>
    <row r="8539" spans="1:29">
      <c r="A8539" s="8" t="s">
        <v>11784</v>
      </c>
      <c r="B8539" s="17" t="s">
        <v>7754</v>
      </c>
      <c r="C8539" s="13">
        <v>35405</v>
      </c>
      <c r="D8539" s="13" t="s">
        <v>8465</v>
      </c>
      <c r="E8539" s="10" t="s">
        <v>455</v>
      </c>
      <c r="F8539" s="10" t="s">
        <v>11783</v>
      </c>
      <c r="G8539" s="11" t="s">
        <v>11782</v>
      </c>
      <c r="H8539" s="2" t="s">
        <v>64</v>
      </c>
      <c r="L8539" s="18">
        <v>0</v>
      </c>
      <c r="Q8539" s="18">
        <v>0</v>
      </c>
      <c r="V8539" s="22">
        <f>3.29/5</f>
        <v>0.65800000000000003</v>
      </c>
      <c r="X8539" s="3">
        <v>3</v>
      </c>
      <c r="Z8539" s="23">
        <v>5</v>
      </c>
      <c r="AB8539" s="18">
        <f t="shared" si="266"/>
        <v>1996</v>
      </c>
      <c r="AC8539" s="22">
        <f t="shared" si="267"/>
        <v>0.629</v>
      </c>
    </row>
    <row r="8540" spans="1:29" ht="25.5">
      <c r="A8540" s="8" t="s">
        <v>889</v>
      </c>
      <c r="B8540" s="20" t="s">
        <v>7739</v>
      </c>
      <c r="C8540" s="13">
        <v>35402</v>
      </c>
      <c r="D8540" s="13" t="s">
        <v>8465</v>
      </c>
      <c r="E8540" s="10" t="s">
        <v>86</v>
      </c>
      <c r="F8540" s="10" t="s">
        <v>1284</v>
      </c>
      <c r="G8540" s="11" t="s">
        <v>1481</v>
      </c>
      <c r="H8540" s="2" t="s">
        <v>1168</v>
      </c>
      <c r="L8540" s="18">
        <v>0</v>
      </c>
      <c r="Q8540" s="18">
        <v>0</v>
      </c>
      <c r="U8540" s="22">
        <v>0.74</v>
      </c>
      <c r="V8540" s="22">
        <f>3.61/5</f>
        <v>0.72199999999999998</v>
      </c>
      <c r="X8540" s="3">
        <v>4</v>
      </c>
      <c r="Z8540" s="23">
        <v>5</v>
      </c>
      <c r="AB8540" s="18">
        <f t="shared" si="266"/>
        <v>1996</v>
      </c>
      <c r="AC8540" s="22">
        <f t="shared" si="267"/>
        <v>0.754</v>
      </c>
    </row>
    <row r="8541" spans="1:29" ht="25.5">
      <c r="A8541" s="8" t="s">
        <v>8639</v>
      </c>
      <c r="B8541" s="17" t="s">
        <v>7800</v>
      </c>
      <c r="C8541" s="13">
        <v>35402</v>
      </c>
      <c r="D8541" s="13" t="s">
        <v>8465</v>
      </c>
      <c r="E8541" s="10" t="s">
        <v>1273</v>
      </c>
      <c r="F8541" s="10" t="s">
        <v>3978</v>
      </c>
      <c r="G8541" s="11" t="s">
        <v>8640</v>
      </c>
      <c r="H8541" s="2" t="s">
        <v>1194</v>
      </c>
      <c r="L8541" s="18">
        <v>1</v>
      </c>
      <c r="N8541" s="13">
        <v>43956</v>
      </c>
      <c r="O8541" s="29">
        <v>0</v>
      </c>
      <c r="P8541" s="18" t="s">
        <v>1107</v>
      </c>
      <c r="Q8541" s="18">
        <v>0</v>
      </c>
      <c r="V8541" s="22">
        <f>3.55/5</f>
        <v>0.71</v>
      </c>
      <c r="W8541" s="14" t="s">
        <v>7777</v>
      </c>
      <c r="X8541" s="3">
        <v>3</v>
      </c>
      <c r="Z8541" s="23">
        <v>6</v>
      </c>
      <c r="AB8541" s="18">
        <f t="shared" si="266"/>
        <v>1996</v>
      </c>
      <c r="AC8541" s="22">
        <f t="shared" si="267"/>
        <v>0.65500000000000003</v>
      </c>
    </row>
    <row r="8542" spans="1:29">
      <c r="A8542" s="8" t="s">
        <v>12297</v>
      </c>
      <c r="B8542" s="17" t="s">
        <v>7754</v>
      </c>
      <c r="C8542" s="13">
        <v>35401</v>
      </c>
      <c r="D8542" s="13" t="s">
        <v>8465</v>
      </c>
      <c r="E8542" s="10" t="s">
        <v>455</v>
      </c>
      <c r="F8542" s="10" t="s">
        <v>456</v>
      </c>
      <c r="G8542" s="11" t="s">
        <v>12296</v>
      </c>
      <c r="H8542" s="2" t="s">
        <v>1170</v>
      </c>
      <c r="L8542" s="18">
        <v>0</v>
      </c>
      <c r="Q8542" s="18">
        <v>0</v>
      </c>
      <c r="V8542" s="22">
        <f>4.06/5</f>
        <v>0.81199999999999994</v>
      </c>
      <c r="X8542" s="3">
        <v>2</v>
      </c>
      <c r="Z8542" s="23">
        <f>43/60</f>
        <v>0.71666666666666667</v>
      </c>
      <c r="AB8542" s="18">
        <f t="shared" si="266"/>
        <v>1996</v>
      </c>
      <c r="AC8542" s="22">
        <f t="shared" si="267"/>
        <v>0.60599999999999998</v>
      </c>
    </row>
    <row r="8543" spans="1:29">
      <c r="A8543" s="8" t="s">
        <v>2318</v>
      </c>
      <c r="B8543" s="17" t="s">
        <v>7757</v>
      </c>
      <c r="C8543" s="12">
        <v>35400</v>
      </c>
      <c r="D8543" s="13" t="s">
        <v>8465</v>
      </c>
      <c r="E8543" s="10" t="s">
        <v>72</v>
      </c>
      <c r="F8543" s="10" t="s">
        <v>72</v>
      </c>
      <c r="G8543" s="11" t="s">
        <v>2318</v>
      </c>
      <c r="H8543" s="2" t="s">
        <v>149</v>
      </c>
      <c r="L8543" s="18">
        <v>0</v>
      </c>
      <c r="Q8543" s="18">
        <v>0</v>
      </c>
      <c r="U8543" s="22">
        <v>0.82</v>
      </c>
      <c r="V8543" s="22">
        <f>4.16/5</f>
        <v>0.83200000000000007</v>
      </c>
      <c r="X8543" s="3">
        <v>4</v>
      </c>
      <c r="Z8543" s="23">
        <v>20.5</v>
      </c>
      <c r="AB8543" s="18">
        <f t="shared" si="266"/>
        <v>1996</v>
      </c>
      <c r="AC8543" s="22">
        <f t="shared" si="267"/>
        <v>0.81733333333333336</v>
      </c>
    </row>
    <row r="8544" spans="1:29">
      <c r="A8544" s="8" t="s">
        <v>644</v>
      </c>
      <c r="B8544" s="17" t="s">
        <v>7736</v>
      </c>
      <c r="C8544" s="12">
        <v>35400</v>
      </c>
      <c r="D8544" s="13" t="s">
        <v>8465</v>
      </c>
      <c r="E8544" s="10" t="s">
        <v>1285</v>
      </c>
      <c r="F8544" s="10" t="s">
        <v>1285</v>
      </c>
      <c r="H8544" s="2" t="s">
        <v>56</v>
      </c>
      <c r="L8544" s="18">
        <v>0</v>
      </c>
      <c r="Q8544" s="18">
        <v>0</v>
      </c>
      <c r="V8544" s="22">
        <f>2.39/5</f>
        <v>0.47800000000000004</v>
      </c>
      <c r="X8544" s="3">
        <v>2</v>
      </c>
      <c r="Z8544" s="23">
        <v>1.5</v>
      </c>
      <c r="AB8544" s="18">
        <f t="shared" si="266"/>
        <v>1996</v>
      </c>
      <c r="AC8544" s="22">
        <f t="shared" si="267"/>
        <v>0.43900000000000006</v>
      </c>
    </row>
    <row r="8545" spans="1:29" ht="25.5">
      <c r="A8545" s="8" t="s">
        <v>2995</v>
      </c>
      <c r="B8545" s="17" t="s">
        <v>7757</v>
      </c>
      <c r="C8545" s="13">
        <v>35399</v>
      </c>
      <c r="D8545" s="13" t="s">
        <v>8465</v>
      </c>
      <c r="E8545" s="10" t="s">
        <v>73</v>
      </c>
      <c r="F8545" s="10" t="s">
        <v>73</v>
      </c>
      <c r="G8545" s="11" t="s">
        <v>227</v>
      </c>
      <c r="H8545" s="2" t="s">
        <v>78</v>
      </c>
      <c r="L8545" s="18">
        <v>0</v>
      </c>
      <c r="Q8545" s="18">
        <v>0</v>
      </c>
      <c r="U8545" s="22">
        <v>0.81</v>
      </c>
      <c r="V8545" s="22">
        <f>4.07/5</f>
        <v>0.81400000000000006</v>
      </c>
      <c r="X8545" s="3">
        <v>4</v>
      </c>
      <c r="Z8545" s="23">
        <v>1</v>
      </c>
      <c r="AB8545" s="18">
        <f t="shared" si="266"/>
        <v>1996</v>
      </c>
      <c r="AC8545" s="22">
        <f t="shared" si="267"/>
        <v>0.80800000000000016</v>
      </c>
    </row>
    <row r="8546" spans="1:29">
      <c r="A8546" s="8" t="s">
        <v>2716</v>
      </c>
      <c r="B8546" s="17" t="s">
        <v>7754</v>
      </c>
      <c r="C8546" s="13">
        <v>35399</v>
      </c>
      <c r="D8546" s="13" t="s">
        <v>8465</v>
      </c>
      <c r="E8546" s="10" t="s">
        <v>2701</v>
      </c>
      <c r="F8546" s="10" t="s">
        <v>1399</v>
      </c>
      <c r="G8546" s="11" t="s">
        <v>2716</v>
      </c>
      <c r="H8546" s="2" t="s">
        <v>75</v>
      </c>
      <c r="L8546" s="18">
        <v>0</v>
      </c>
      <c r="Q8546" s="18">
        <v>0</v>
      </c>
      <c r="U8546" s="22">
        <v>0.9</v>
      </c>
      <c r="V8546" s="22">
        <f>4.1/5</f>
        <v>0.82</v>
      </c>
      <c r="X8546" s="3">
        <v>3</v>
      </c>
      <c r="Z8546" s="23">
        <v>27</v>
      </c>
      <c r="AB8546" s="18">
        <f t="shared" si="266"/>
        <v>1996</v>
      </c>
      <c r="AC8546" s="22">
        <f t="shared" si="267"/>
        <v>0.77333333333333332</v>
      </c>
    </row>
    <row r="8547" spans="1:29" ht="25.5">
      <c r="A8547" s="8" t="s">
        <v>14459</v>
      </c>
      <c r="B8547" s="17" t="s">
        <v>7800</v>
      </c>
      <c r="C8547" s="13">
        <v>35399</v>
      </c>
      <c r="D8547" s="13" t="s">
        <v>8465</v>
      </c>
      <c r="E8547" s="10" t="s">
        <v>7826</v>
      </c>
      <c r="F8547" s="10" t="s">
        <v>13267</v>
      </c>
      <c r="G8547" s="11" t="s">
        <v>13262</v>
      </c>
      <c r="H8547" s="2" t="s">
        <v>67</v>
      </c>
      <c r="L8547" s="18">
        <v>0</v>
      </c>
      <c r="Q8547" s="18">
        <v>0</v>
      </c>
      <c r="V8547" s="22">
        <f>4.07/5</f>
        <v>0.81400000000000006</v>
      </c>
      <c r="W8547" s="14" t="s">
        <v>13076</v>
      </c>
      <c r="X8547" s="3">
        <v>3</v>
      </c>
      <c r="Z8547" s="23">
        <v>10</v>
      </c>
      <c r="AB8547" s="18">
        <f t="shared" si="266"/>
        <v>1996</v>
      </c>
      <c r="AC8547" s="22">
        <f t="shared" si="267"/>
        <v>0.70700000000000007</v>
      </c>
    </row>
    <row r="8548" spans="1:29" ht="25.5">
      <c r="A8548" s="8" t="s">
        <v>11785</v>
      </c>
      <c r="B8548" s="17" t="s">
        <v>7757</v>
      </c>
      <c r="C8548" s="13">
        <v>35399</v>
      </c>
      <c r="D8548" s="13" t="s">
        <v>8465</v>
      </c>
      <c r="E8548" s="10" t="s">
        <v>1259</v>
      </c>
      <c r="F8548" s="10" t="s">
        <v>11786</v>
      </c>
      <c r="G8548" s="11" t="s">
        <v>663</v>
      </c>
      <c r="H8548" s="2" t="s">
        <v>1040</v>
      </c>
      <c r="L8548" s="18">
        <v>0</v>
      </c>
      <c r="Q8548" s="18">
        <v>0</v>
      </c>
      <c r="V8548" s="22">
        <f>3.56/5</f>
        <v>0.71199999999999997</v>
      </c>
      <c r="X8548" s="3">
        <v>2</v>
      </c>
      <c r="Z8548" s="23">
        <v>3</v>
      </c>
      <c r="AB8548" s="18">
        <f t="shared" si="266"/>
        <v>1996</v>
      </c>
      <c r="AC8548" s="22">
        <f t="shared" si="267"/>
        <v>0.55600000000000005</v>
      </c>
    </row>
    <row r="8549" spans="1:29" ht="25.5">
      <c r="A8549" s="8" t="s">
        <v>521</v>
      </c>
      <c r="B8549" s="17" t="s">
        <v>7731</v>
      </c>
      <c r="C8549" s="13">
        <v>35398</v>
      </c>
      <c r="D8549" s="13" t="s">
        <v>8465</v>
      </c>
      <c r="E8549" s="10" t="s">
        <v>170</v>
      </c>
      <c r="F8549" s="10" t="s">
        <v>170</v>
      </c>
      <c r="G8549" s="11" t="s">
        <v>519</v>
      </c>
      <c r="H8549" s="2" t="s">
        <v>459</v>
      </c>
      <c r="L8549" s="18">
        <v>0</v>
      </c>
      <c r="Q8549" s="18">
        <v>0</v>
      </c>
      <c r="V8549" s="22">
        <f>4.13/5</f>
        <v>0.82599999999999996</v>
      </c>
      <c r="X8549" s="3">
        <v>2</v>
      </c>
      <c r="Z8549" s="23">
        <v>0.95</v>
      </c>
      <c r="AB8549" s="18">
        <f t="shared" si="266"/>
        <v>1996</v>
      </c>
      <c r="AC8549" s="22">
        <f t="shared" si="267"/>
        <v>0.61299999999999999</v>
      </c>
    </row>
    <row r="8550" spans="1:29">
      <c r="A8550" s="8" t="s">
        <v>2912</v>
      </c>
      <c r="B8550" s="17" t="s">
        <v>7757</v>
      </c>
      <c r="C8550" s="13">
        <v>35398</v>
      </c>
      <c r="D8550" s="13" t="s">
        <v>8465</v>
      </c>
      <c r="E8550" s="10" t="s">
        <v>72</v>
      </c>
      <c r="F8550" s="10" t="s">
        <v>2680</v>
      </c>
      <c r="G8550" s="11" t="s">
        <v>97</v>
      </c>
      <c r="H8550" s="2" t="s">
        <v>1168</v>
      </c>
      <c r="L8550" s="18">
        <v>0</v>
      </c>
      <c r="Q8550" s="18">
        <v>0</v>
      </c>
      <c r="U8550" s="22">
        <v>0.64</v>
      </c>
      <c r="V8550" s="22">
        <f>2.19/5</f>
        <v>0.438</v>
      </c>
      <c r="X8550" s="3">
        <v>3</v>
      </c>
      <c r="Z8550" s="23">
        <v>0.83</v>
      </c>
      <c r="AB8550" s="18">
        <f t="shared" si="266"/>
        <v>1996</v>
      </c>
      <c r="AC8550" s="22">
        <f t="shared" si="267"/>
        <v>0.55933333333333335</v>
      </c>
    </row>
    <row r="8551" spans="1:29">
      <c r="A8551" s="8" t="s">
        <v>12936</v>
      </c>
      <c r="B8551" s="17" t="s">
        <v>7757</v>
      </c>
      <c r="C8551" s="13">
        <v>35395</v>
      </c>
      <c r="D8551" s="13" t="s">
        <v>8465</v>
      </c>
      <c r="E8551" s="10" t="s">
        <v>485</v>
      </c>
      <c r="F8551" s="10" t="s">
        <v>12937</v>
      </c>
      <c r="G8551" s="11" t="s">
        <v>12936</v>
      </c>
      <c r="H8551" s="2" t="s">
        <v>1170</v>
      </c>
      <c r="L8551" s="18">
        <v>0</v>
      </c>
      <c r="Q8551" s="18">
        <v>0</v>
      </c>
      <c r="V8551" s="22">
        <f>3.11/5</f>
        <v>0.622</v>
      </c>
      <c r="X8551" s="3">
        <v>2</v>
      </c>
      <c r="Z8551" s="23">
        <f>37/60</f>
        <v>0.6166666666666667</v>
      </c>
      <c r="AB8551" s="18">
        <f t="shared" si="266"/>
        <v>1996</v>
      </c>
      <c r="AC8551" s="22">
        <f t="shared" si="267"/>
        <v>0.51100000000000001</v>
      </c>
    </row>
    <row r="8552" spans="1:29">
      <c r="A8552" s="8" t="s">
        <v>541</v>
      </c>
      <c r="B8552" s="17" t="s">
        <v>7800</v>
      </c>
      <c r="C8552" s="13">
        <v>35394</v>
      </c>
      <c r="D8552" s="13" t="s">
        <v>8465</v>
      </c>
      <c r="E8552" s="10" t="s">
        <v>170</v>
      </c>
      <c r="F8552" s="10" t="s">
        <v>170</v>
      </c>
      <c r="G8552" s="11" t="s">
        <v>541</v>
      </c>
      <c r="H8552" s="2" t="s">
        <v>21</v>
      </c>
      <c r="L8552" s="18">
        <v>1</v>
      </c>
      <c r="O8552" s="29">
        <v>0</v>
      </c>
      <c r="P8552" s="18" t="s">
        <v>1107</v>
      </c>
      <c r="Q8552" s="18">
        <v>0</v>
      </c>
      <c r="V8552" s="22">
        <f>3.66/5</f>
        <v>0.73199999999999998</v>
      </c>
      <c r="W8552" s="14" t="s">
        <v>7799</v>
      </c>
      <c r="X8552" s="3">
        <v>2</v>
      </c>
      <c r="Z8552" s="23">
        <v>1.5</v>
      </c>
      <c r="AB8552" s="18">
        <f t="shared" si="266"/>
        <v>1996</v>
      </c>
      <c r="AC8552" s="22">
        <f t="shared" si="267"/>
        <v>0.56600000000000006</v>
      </c>
    </row>
    <row r="8553" spans="1:29">
      <c r="A8553" s="8" t="s">
        <v>14966</v>
      </c>
      <c r="B8553" s="17" t="s">
        <v>7757</v>
      </c>
      <c r="C8553" s="13">
        <v>35394</v>
      </c>
      <c r="D8553" s="13" t="s">
        <v>8465</v>
      </c>
      <c r="E8553" s="10" t="s">
        <v>1781</v>
      </c>
      <c r="F8553" s="10" t="s">
        <v>3027</v>
      </c>
      <c r="G8553" s="11" t="s">
        <v>14962</v>
      </c>
      <c r="H8553" s="2" t="s">
        <v>1040</v>
      </c>
      <c r="L8553" s="18">
        <v>0</v>
      </c>
      <c r="Q8553" s="18">
        <v>0</v>
      </c>
      <c r="V8553" s="22">
        <f>1.46/5</f>
        <v>0.29199999999999998</v>
      </c>
      <c r="X8553" s="3">
        <v>2</v>
      </c>
      <c r="Z8553" s="23">
        <v>6</v>
      </c>
      <c r="AB8553" s="18">
        <f t="shared" si="266"/>
        <v>1996</v>
      </c>
      <c r="AC8553" s="22">
        <f t="shared" si="267"/>
        <v>0.34599999999999997</v>
      </c>
    </row>
    <row r="8554" spans="1:29" ht="25.5">
      <c r="A8554" s="8" t="s">
        <v>6854</v>
      </c>
      <c r="B8554" s="17" t="s">
        <v>7800</v>
      </c>
      <c r="C8554" s="13">
        <v>35391</v>
      </c>
      <c r="D8554" s="13" t="s">
        <v>8465</v>
      </c>
      <c r="E8554" s="10" t="s">
        <v>6884</v>
      </c>
      <c r="F8554" s="10" t="s">
        <v>6909</v>
      </c>
      <c r="G8554" s="11" t="s">
        <v>6853</v>
      </c>
      <c r="H8554" s="2" t="s">
        <v>3123</v>
      </c>
      <c r="L8554" s="18">
        <v>0</v>
      </c>
      <c r="Q8554" s="18">
        <v>0</v>
      </c>
      <c r="U8554" s="22">
        <v>0.83</v>
      </c>
      <c r="V8554" s="22">
        <f>4.32/5</f>
        <v>0.8640000000000001</v>
      </c>
      <c r="X8554" s="3">
        <v>4</v>
      </c>
      <c r="Z8554" s="23">
        <v>9</v>
      </c>
      <c r="AB8554" s="18">
        <f t="shared" si="266"/>
        <v>1996</v>
      </c>
      <c r="AC8554" s="22">
        <f t="shared" si="267"/>
        <v>0.83133333333333326</v>
      </c>
    </row>
    <row r="8555" spans="1:29" ht="25.5">
      <c r="A8555" s="8" t="s">
        <v>7629</v>
      </c>
      <c r="B8555" s="17" t="s">
        <v>7745</v>
      </c>
      <c r="C8555" s="13">
        <v>35391</v>
      </c>
      <c r="D8555" s="13" t="s">
        <v>8463</v>
      </c>
      <c r="E8555" s="10" t="s">
        <v>164</v>
      </c>
      <c r="F8555" s="10" t="s">
        <v>7630</v>
      </c>
      <c r="G8555" s="11" t="s">
        <v>11001</v>
      </c>
      <c r="H8555" s="2" t="s">
        <v>1377</v>
      </c>
      <c r="K8555" s="18">
        <v>0</v>
      </c>
      <c r="L8555" s="18">
        <v>0</v>
      </c>
      <c r="Q8555" s="18">
        <v>0</v>
      </c>
      <c r="V8555" s="22">
        <f>3.7/5</f>
        <v>0.74</v>
      </c>
      <c r="X8555" s="3">
        <v>3</v>
      </c>
      <c r="AB8555" s="18">
        <f t="shared" si="266"/>
        <v>1996</v>
      </c>
      <c r="AC8555" s="22">
        <f t="shared" si="267"/>
        <v>0.66999999999999993</v>
      </c>
    </row>
    <row r="8556" spans="1:29" ht="38.25">
      <c r="A8556" s="8" t="s">
        <v>1486</v>
      </c>
      <c r="B8556" s="20" t="s">
        <v>7739</v>
      </c>
      <c r="C8556" s="13">
        <v>35391</v>
      </c>
      <c r="D8556" s="13" t="s">
        <v>8463</v>
      </c>
      <c r="E8556" s="10" t="s">
        <v>257</v>
      </c>
      <c r="F8556" s="10" t="s">
        <v>1472</v>
      </c>
      <c r="G8556" s="11" t="s">
        <v>1419</v>
      </c>
      <c r="H8556" s="2" t="s">
        <v>149</v>
      </c>
      <c r="K8556" s="18">
        <v>2</v>
      </c>
      <c r="L8556" s="18">
        <v>0</v>
      </c>
      <c r="Q8556" s="18">
        <v>0</v>
      </c>
      <c r="U8556" s="22">
        <v>0.52</v>
      </c>
      <c r="V8556" s="22">
        <f>4/5</f>
        <v>0.8</v>
      </c>
      <c r="X8556" s="3">
        <v>3</v>
      </c>
      <c r="Z8556" s="23">
        <v>16</v>
      </c>
      <c r="AB8556" s="18">
        <f t="shared" si="266"/>
        <v>1996</v>
      </c>
      <c r="AC8556" s="22">
        <f t="shared" si="267"/>
        <v>0.64</v>
      </c>
    </row>
    <row r="8557" spans="1:29" ht="30">
      <c r="A8557" s="8" t="s">
        <v>6540</v>
      </c>
      <c r="B8557" s="17" t="s">
        <v>7800</v>
      </c>
      <c r="C8557" s="13">
        <v>35391</v>
      </c>
      <c r="D8557" s="13" t="s">
        <v>8465</v>
      </c>
      <c r="E8557" s="10" t="s">
        <v>469</v>
      </c>
      <c r="F8557" s="10" t="s">
        <v>2654</v>
      </c>
      <c r="G8557" s="11" t="s">
        <v>3043</v>
      </c>
      <c r="H8557" s="2" t="s">
        <v>1143</v>
      </c>
      <c r="L8557" s="18">
        <v>1</v>
      </c>
      <c r="N8557" s="13">
        <v>41627</v>
      </c>
      <c r="O8557" s="29">
        <v>0.33</v>
      </c>
      <c r="P8557" s="18" t="s">
        <v>1107</v>
      </c>
      <c r="Q8557" s="18">
        <v>0</v>
      </c>
      <c r="U8557" s="22">
        <v>0.91</v>
      </c>
      <c r="V8557" s="22">
        <f>4.01/5</f>
        <v>0.80199999999999994</v>
      </c>
      <c r="W8557" s="14" t="s">
        <v>7796</v>
      </c>
      <c r="X8557" s="3">
        <v>2</v>
      </c>
      <c r="Z8557" s="23">
        <v>10</v>
      </c>
      <c r="AB8557" s="18">
        <f t="shared" si="266"/>
        <v>1996</v>
      </c>
      <c r="AC8557" s="22">
        <f t="shared" si="267"/>
        <v>0.70400000000000007</v>
      </c>
    </row>
    <row r="8558" spans="1:29">
      <c r="A8558" s="8" t="s">
        <v>2779</v>
      </c>
      <c r="B8558" s="17" t="s">
        <v>7756</v>
      </c>
      <c r="C8558" s="13">
        <v>35391</v>
      </c>
      <c r="D8558" s="13" t="s">
        <v>8463</v>
      </c>
      <c r="E8558" s="10" t="s">
        <v>455</v>
      </c>
      <c r="F8558" s="10" t="s">
        <v>455</v>
      </c>
      <c r="G8558" s="11" t="s">
        <v>2732</v>
      </c>
      <c r="H8558" s="2" t="s">
        <v>1170</v>
      </c>
      <c r="K8558" s="18">
        <v>0</v>
      </c>
      <c r="L8558" s="18">
        <v>0</v>
      </c>
      <c r="Q8558" s="18">
        <v>0</v>
      </c>
      <c r="V8558" s="22">
        <f>2.71/5</f>
        <v>0.54200000000000004</v>
      </c>
      <c r="X8558" s="3">
        <v>3</v>
      </c>
      <c r="Z8558" s="23">
        <v>0.33</v>
      </c>
      <c r="AB8558" s="18">
        <f t="shared" si="266"/>
        <v>1996</v>
      </c>
      <c r="AC8558" s="22">
        <f t="shared" si="267"/>
        <v>0.57099999999999995</v>
      </c>
    </row>
    <row r="8559" spans="1:29">
      <c r="A8559" s="8" t="s">
        <v>542</v>
      </c>
      <c r="B8559" s="17" t="s">
        <v>7731</v>
      </c>
      <c r="C8559" s="13">
        <v>35390</v>
      </c>
      <c r="D8559" s="13" t="s">
        <v>8465</v>
      </c>
      <c r="E8559" s="10" t="s">
        <v>170</v>
      </c>
      <c r="F8559" s="10" t="s">
        <v>160</v>
      </c>
      <c r="H8559" s="2" t="s">
        <v>459</v>
      </c>
      <c r="L8559" s="18">
        <v>0</v>
      </c>
      <c r="Q8559" s="18">
        <v>0</v>
      </c>
      <c r="V8559" s="22">
        <f>3.74/5</f>
        <v>0.748</v>
      </c>
      <c r="X8559" s="3">
        <v>3</v>
      </c>
      <c r="Z8559" s="23">
        <v>0.53333333333333299</v>
      </c>
      <c r="AB8559" s="18">
        <f t="shared" si="266"/>
        <v>1996</v>
      </c>
      <c r="AC8559" s="22">
        <f t="shared" si="267"/>
        <v>0.67399999999999993</v>
      </c>
    </row>
    <row r="8560" spans="1:29">
      <c r="A8560" s="8" t="s">
        <v>353</v>
      </c>
      <c r="B8560" s="17" t="s">
        <v>6317</v>
      </c>
      <c r="C8560" s="13">
        <v>35390</v>
      </c>
      <c r="D8560" s="13" t="s">
        <v>8467</v>
      </c>
      <c r="E8560" s="10" t="s">
        <v>73</v>
      </c>
      <c r="F8560" s="10" t="s">
        <v>73</v>
      </c>
      <c r="H8560" s="2" t="s">
        <v>459</v>
      </c>
      <c r="L8560" s="18">
        <v>0</v>
      </c>
      <c r="Q8560" s="18">
        <v>0</v>
      </c>
      <c r="V8560" s="22">
        <f>3.51/5</f>
        <v>0.70199999999999996</v>
      </c>
      <c r="X8560" s="3">
        <v>2</v>
      </c>
      <c r="Z8560" s="23">
        <f>35/60</f>
        <v>0.58333333333333337</v>
      </c>
      <c r="AB8560" s="18">
        <f t="shared" si="266"/>
        <v>1996</v>
      </c>
      <c r="AC8560" s="22">
        <f t="shared" si="267"/>
        <v>0.55099999999999993</v>
      </c>
    </row>
    <row r="8561" spans="1:29">
      <c r="A8561" s="8" t="s">
        <v>2937</v>
      </c>
      <c r="B8561" s="17" t="s">
        <v>7757</v>
      </c>
      <c r="C8561" s="13">
        <v>35389</v>
      </c>
      <c r="D8561" s="13" t="s">
        <v>8465</v>
      </c>
      <c r="E8561" s="10" t="s">
        <v>1367</v>
      </c>
      <c r="F8561" s="10" t="s">
        <v>1580</v>
      </c>
      <c r="G8561" s="11" t="s">
        <v>2977</v>
      </c>
      <c r="H8561" s="2" t="s">
        <v>171</v>
      </c>
      <c r="L8561" s="18">
        <v>0</v>
      </c>
      <c r="Q8561" s="18">
        <v>0</v>
      </c>
      <c r="U8561" s="22">
        <v>0.82</v>
      </c>
      <c r="V8561" s="22">
        <f>3.91/5</f>
        <v>0.78200000000000003</v>
      </c>
      <c r="X8561" s="3">
        <v>3</v>
      </c>
      <c r="Y8561" s="18">
        <v>1</v>
      </c>
      <c r="Z8561" s="23">
        <v>24</v>
      </c>
      <c r="AB8561" s="18">
        <f t="shared" si="266"/>
        <v>1996</v>
      </c>
      <c r="AC8561" s="22">
        <f t="shared" si="267"/>
        <v>0.73399999999999999</v>
      </c>
    </row>
    <row r="8562" spans="1:29" ht="25.5">
      <c r="A8562" s="8" t="s">
        <v>6791</v>
      </c>
      <c r="B8562" s="17" t="s">
        <v>7800</v>
      </c>
      <c r="C8562" s="13">
        <v>35389</v>
      </c>
      <c r="D8562" s="13" t="s">
        <v>8465</v>
      </c>
      <c r="E8562" s="10" t="s">
        <v>1496</v>
      </c>
      <c r="F8562" s="10" t="s">
        <v>1496</v>
      </c>
      <c r="G8562" s="11" t="s">
        <v>6897</v>
      </c>
      <c r="H8562" s="2" t="s">
        <v>67</v>
      </c>
      <c r="L8562" s="18">
        <v>0</v>
      </c>
      <c r="Q8562" s="18">
        <v>0</v>
      </c>
      <c r="U8562" s="22">
        <v>0.8</v>
      </c>
      <c r="V8562" s="22">
        <f>3.67/5</f>
        <v>0.73399999999999999</v>
      </c>
      <c r="X8562" s="3">
        <v>2</v>
      </c>
      <c r="Z8562" s="23">
        <v>6</v>
      </c>
      <c r="AB8562" s="18">
        <f t="shared" si="266"/>
        <v>1996</v>
      </c>
      <c r="AC8562" s="22">
        <f t="shared" si="267"/>
        <v>0.64466666666666672</v>
      </c>
    </row>
    <row r="8563" spans="1:29" ht="30">
      <c r="A8563" s="8" t="s">
        <v>16096</v>
      </c>
      <c r="B8563" s="17" t="s">
        <v>7757</v>
      </c>
      <c r="C8563" s="13">
        <v>35389</v>
      </c>
      <c r="D8563" s="13" t="s">
        <v>8465</v>
      </c>
      <c r="E8563" s="10" t="s">
        <v>5901</v>
      </c>
      <c r="F8563" s="10" t="s">
        <v>3039</v>
      </c>
      <c r="H8563" s="2" t="s">
        <v>1050</v>
      </c>
      <c r="L8563" s="18">
        <v>0</v>
      </c>
      <c r="Q8563" s="18">
        <v>0</v>
      </c>
      <c r="V8563" s="22">
        <f>3.59/5</f>
        <v>0.71799999999999997</v>
      </c>
      <c r="X8563" s="3">
        <v>2</v>
      </c>
      <c r="Z8563" s="23">
        <v>4.5</v>
      </c>
      <c r="AB8563" s="18">
        <f t="shared" si="266"/>
        <v>1996</v>
      </c>
      <c r="AC8563" s="22">
        <f t="shared" si="267"/>
        <v>0.55899999999999994</v>
      </c>
    </row>
    <row r="8564" spans="1:29">
      <c r="A8564" s="8" t="s">
        <v>6820</v>
      </c>
      <c r="B8564" s="17" t="s">
        <v>7800</v>
      </c>
      <c r="C8564" s="13">
        <v>35388</v>
      </c>
      <c r="D8564" s="13" t="s">
        <v>8465</v>
      </c>
      <c r="E8564" s="10" t="s">
        <v>3304</v>
      </c>
      <c r="F8564" s="10" t="s">
        <v>6904</v>
      </c>
      <c r="H8564" s="2" t="s">
        <v>2138</v>
      </c>
      <c r="L8564" s="18">
        <v>1</v>
      </c>
      <c r="N8564" s="13">
        <v>41560</v>
      </c>
      <c r="O8564" s="29">
        <v>0</v>
      </c>
      <c r="P8564" s="18" t="s">
        <v>1107</v>
      </c>
      <c r="Q8564" s="18">
        <v>0</v>
      </c>
      <c r="U8564" s="22">
        <v>0.59</v>
      </c>
      <c r="V8564" s="22">
        <f>3.59/5</f>
        <v>0.71799999999999997</v>
      </c>
      <c r="W8564" s="14" t="s">
        <v>7778</v>
      </c>
      <c r="X8564" s="3">
        <v>2</v>
      </c>
      <c r="Z8564" s="23">
        <v>5.5</v>
      </c>
      <c r="AB8564" s="18">
        <f t="shared" si="266"/>
        <v>1996</v>
      </c>
      <c r="AC8564" s="22">
        <f t="shared" si="267"/>
        <v>0.56933333333333325</v>
      </c>
    </row>
    <row r="8565" spans="1:29">
      <c r="A8565" s="8" t="s">
        <v>2600</v>
      </c>
      <c r="B8565" s="17" t="s">
        <v>7751</v>
      </c>
      <c r="C8565" s="13">
        <v>35384</v>
      </c>
      <c r="D8565" s="13" t="s">
        <v>8465</v>
      </c>
      <c r="E8565" s="10" t="s">
        <v>455</v>
      </c>
      <c r="F8565" s="10" t="s">
        <v>2658</v>
      </c>
      <c r="G8565" s="11" t="s">
        <v>2624</v>
      </c>
      <c r="H8565" s="2" t="s">
        <v>56</v>
      </c>
      <c r="L8565" s="18">
        <v>0</v>
      </c>
      <c r="Q8565" s="18">
        <v>0</v>
      </c>
      <c r="U8565" s="22">
        <v>0.84</v>
      </c>
      <c r="V8565" s="22">
        <f>3.7/5</f>
        <v>0.74</v>
      </c>
      <c r="X8565" s="3">
        <v>3</v>
      </c>
      <c r="Z8565" s="23">
        <v>3.5</v>
      </c>
      <c r="AB8565" s="18">
        <f t="shared" si="266"/>
        <v>1996</v>
      </c>
      <c r="AC8565" s="22">
        <f t="shared" si="267"/>
        <v>0.72666666666666668</v>
      </c>
    </row>
    <row r="8566" spans="1:29">
      <c r="A8566" s="8" t="s">
        <v>10832</v>
      </c>
      <c r="B8566" s="17" t="s">
        <v>7754</v>
      </c>
      <c r="C8566" s="13">
        <v>35384</v>
      </c>
      <c r="D8566" s="13" t="s">
        <v>8463</v>
      </c>
      <c r="E8566" s="10" t="s">
        <v>228</v>
      </c>
      <c r="F8566" s="10" t="s">
        <v>228</v>
      </c>
      <c r="G8566" s="11" t="s">
        <v>477</v>
      </c>
      <c r="H8566" s="2" t="s">
        <v>21</v>
      </c>
      <c r="K8566" s="18">
        <v>0</v>
      </c>
      <c r="L8566" s="18">
        <v>0</v>
      </c>
      <c r="Q8566" s="18">
        <v>0</v>
      </c>
      <c r="V8566" s="22">
        <f>3.83/5</f>
        <v>0.76600000000000001</v>
      </c>
      <c r="X8566" s="3">
        <v>2</v>
      </c>
      <c r="Z8566" s="23">
        <f>38/60</f>
        <v>0.6333333333333333</v>
      </c>
      <c r="AB8566" s="18">
        <f t="shared" si="266"/>
        <v>1996</v>
      </c>
      <c r="AC8566" s="22">
        <f t="shared" si="267"/>
        <v>0.58299999999999996</v>
      </c>
    </row>
    <row r="8567" spans="1:29">
      <c r="A8567" s="8" t="s">
        <v>1853</v>
      </c>
      <c r="B8567" s="17" t="s">
        <v>7800</v>
      </c>
      <c r="C8567" s="13">
        <v>35383</v>
      </c>
      <c r="D8567" s="13" t="s">
        <v>8465</v>
      </c>
      <c r="E8567" s="10" t="s">
        <v>1870</v>
      </c>
      <c r="F8567" s="10" t="s">
        <v>1282</v>
      </c>
      <c r="G8567" s="11" t="s">
        <v>1853</v>
      </c>
      <c r="H8567" s="2" t="s">
        <v>80</v>
      </c>
      <c r="L8567" s="18">
        <v>1</v>
      </c>
      <c r="N8567" s="13">
        <v>42360</v>
      </c>
      <c r="P8567" s="18" t="s">
        <v>1107</v>
      </c>
      <c r="Q8567" s="18">
        <v>0</v>
      </c>
      <c r="U8567" s="22">
        <v>0.92</v>
      </c>
      <c r="V8567" s="22">
        <f>3.79/5</f>
        <v>0.75800000000000001</v>
      </c>
      <c r="W8567" s="14" t="s">
        <v>7777</v>
      </c>
      <c r="X8567" s="3">
        <v>3</v>
      </c>
      <c r="Z8567" s="23">
        <v>11.5</v>
      </c>
      <c r="AB8567" s="18">
        <f t="shared" si="266"/>
        <v>1996</v>
      </c>
      <c r="AC8567" s="22">
        <f t="shared" si="267"/>
        <v>0.7593333333333333</v>
      </c>
    </row>
    <row r="8568" spans="1:29" ht="25.5">
      <c r="A8568" s="8" t="s">
        <v>2725</v>
      </c>
      <c r="B8568" s="17" t="s">
        <v>7754</v>
      </c>
      <c r="C8568" s="13">
        <v>35377</v>
      </c>
      <c r="D8568" s="13" t="s">
        <v>8465</v>
      </c>
      <c r="E8568" s="10" t="s">
        <v>455</v>
      </c>
      <c r="F8568" s="10" t="s">
        <v>455</v>
      </c>
      <c r="G8568" s="11" t="s">
        <v>2901</v>
      </c>
      <c r="H8568" s="2" t="s">
        <v>143</v>
      </c>
      <c r="L8568" s="18">
        <v>0</v>
      </c>
      <c r="Q8568" s="18">
        <v>0</v>
      </c>
      <c r="U8568" s="22">
        <v>0.78</v>
      </c>
      <c r="V8568" s="22">
        <f>3.94/5</f>
        <v>0.78800000000000003</v>
      </c>
      <c r="X8568" s="3">
        <v>3</v>
      </c>
      <c r="Z8568" s="23">
        <v>0.77</v>
      </c>
      <c r="AB8568" s="18">
        <f t="shared" si="266"/>
        <v>1996</v>
      </c>
      <c r="AC8568" s="22">
        <f t="shared" si="267"/>
        <v>0.72266666666666668</v>
      </c>
    </row>
    <row r="8569" spans="1:29" ht="30">
      <c r="A8569" s="8" t="s">
        <v>10918</v>
      </c>
      <c r="B8569" s="17" t="s">
        <v>10908</v>
      </c>
      <c r="C8569" s="13">
        <v>35377</v>
      </c>
      <c r="D8569" s="13" t="s">
        <v>8463</v>
      </c>
      <c r="E8569" s="10" t="s">
        <v>2870</v>
      </c>
      <c r="F8569" s="10" t="s">
        <v>10919</v>
      </c>
      <c r="G8569" s="11" t="s">
        <v>10920</v>
      </c>
      <c r="H8569" s="2" t="s">
        <v>75</v>
      </c>
      <c r="K8569" s="18">
        <v>2</v>
      </c>
      <c r="L8569" s="18">
        <v>0</v>
      </c>
      <c r="Q8569" s="18">
        <v>0</v>
      </c>
      <c r="V8569" s="22">
        <f>3.63/5</f>
        <v>0.72599999999999998</v>
      </c>
      <c r="X8569" s="3">
        <v>2</v>
      </c>
      <c r="Z8569" s="23">
        <v>20</v>
      </c>
      <c r="AB8569" s="18">
        <f t="shared" si="266"/>
        <v>1996</v>
      </c>
      <c r="AC8569" s="22">
        <f t="shared" si="267"/>
        <v>0.56299999999999994</v>
      </c>
    </row>
    <row r="8570" spans="1:29">
      <c r="A8570" s="8" t="s">
        <v>514</v>
      </c>
      <c r="B8570" s="17" t="s">
        <v>7731</v>
      </c>
      <c r="C8570" s="13">
        <v>35376</v>
      </c>
      <c r="D8570" s="13" t="s">
        <v>8465</v>
      </c>
      <c r="E8570" s="10" t="s">
        <v>170</v>
      </c>
      <c r="F8570" s="10" t="s">
        <v>170</v>
      </c>
      <c r="H8570" s="2" t="s">
        <v>459</v>
      </c>
      <c r="L8570" s="18">
        <v>0</v>
      </c>
      <c r="Q8570" s="18">
        <v>0</v>
      </c>
      <c r="V8570" s="22">
        <f>3.43/5</f>
        <v>0.68600000000000005</v>
      </c>
      <c r="X8570" s="3">
        <v>2</v>
      </c>
      <c r="Z8570" s="23">
        <f>42/60</f>
        <v>0.7</v>
      </c>
      <c r="AB8570" s="18">
        <f t="shared" si="266"/>
        <v>1996</v>
      </c>
      <c r="AC8570" s="22">
        <f t="shared" si="267"/>
        <v>0.54300000000000004</v>
      </c>
    </row>
    <row r="8571" spans="1:29">
      <c r="A8571" s="8" t="s">
        <v>12913</v>
      </c>
      <c r="B8571" s="17" t="s">
        <v>7751</v>
      </c>
      <c r="C8571" s="13">
        <v>35376</v>
      </c>
      <c r="D8571" s="13" t="s">
        <v>8465</v>
      </c>
      <c r="E8571" s="10" t="s">
        <v>455</v>
      </c>
      <c r="F8571" s="10" t="s">
        <v>1309</v>
      </c>
      <c r="G8571" s="11" t="s">
        <v>1688</v>
      </c>
      <c r="H8571" s="2" t="s">
        <v>1040</v>
      </c>
      <c r="L8571" s="18">
        <v>0</v>
      </c>
      <c r="Q8571" s="18">
        <v>0</v>
      </c>
      <c r="V8571" s="22">
        <f>3.14/5</f>
        <v>0.628</v>
      </c>
      <c r="X8571" s="3">
        <v>2</v>
      </c>
      <c r="Z8571" s="23">
        <v>3</v>
      </c>
      <c r="AB8571" s="18">
        <f t="shared" si="266"/>
        <v>1996</v>
      </c>
      <c r="AC8571" s="22">
        <f t="shared" si="267"/>
        <v>0.51400000000000001</v>
      </c>
    </row>
    <row r="8572" spans="1:29">
      <c r="A8572" s="8" t="s">
        <v>10609</v>
      </c>
      <c r="B8572" s="17" t="s">
        <v>7800</v>
      </c>
      <c r="C8572" s="12">
        <v>35370</v>
      </c>
      <c r="D8572" s="13" t="s">
        <v>8465</v>
      </c>
      <c r="E8572" s="10" t="s">
        <v>1690</v>
      </c>
      <c r="F8572" s="10" t="s">
        <v>1690</v>
      </c>
      <c r="G8572" s="11" t="s">
        <v>10608</v>
      </c>
      <c r="H8572" s="2" t="s">
        <v>1050</v>
      </c>
      <c r="L8572" s="18">
        <v>0</v>
      </c>
      <c r="Q8572" s="18">
        <v>0</v>
      </c>
      <c r="V8572" s="22">
        <f>3.78/5</f>
        <v>0.75600000000000001</v>
      </c>
      <c r="X8572" s="3">
        <v>2</v>
      </c>
      <c r="Z8572" s="23">
        <v>7.5</v>
      </c>
      <c r="AB8572" s="18">
        <f t="shared" si="266"/>
        <v>1996</v>
      </c>
      <c r="AC8572" s="22">
        <f t="shared" si="267"/>
        <v>0.57800000000000007</v>
      </c>
    </row>
    <row r="8573" spans="1:29" ht="25.5">
      <c r="A8573" s="8" t="s">
        <v>2969</v>
      </c>
      <c r="B8573" s="17" t="s">
        <v>7757</v>
      </c>
      <c r="C8573" s="13">
        <v>35370</v>
      </c>
      <c r="D8573" s="13" t="s">
        <v>8465</v>
      </c>
      <c r="E8573" s="10" t="s">
        <v>1198</v>
      </c>
      <c r="F8573" s="10" t="s">
        <v>1489</v>
      </c>
      <c r="G8573" s="11" t="s">
        <v>3032</v>
      </c>
      <c r="H8573" s="2" t="s">
        <v>171</v>
      </c>
      <c r="L8573" s="18">
        <v>0</v>
      </c>
      <c r="Q8573" s="18">
        <v>0</v>
      </c>
      <c r="U8573" s="22">
        <v>0.83</v>
      </c>
      <c r="V8573" s="22">
        <f>3.86/5</f>
        <v>0.77200000000000002</v>
      </c>
      <c r="X8573" s="3">
        <v>4</v>
      </c>
      <c r="Z8573" s="23">
        <v>12.5</v>
      </c>
      <c r="AB8573" s="18">
        <f t="shared" si="266"/>
        <v>1996</v>
      </c>
      <c r="AC8573" s="22">
        <f t="shared" si="267"/>
        <v>0.80066666666666675</v>
      </c>
    </row>
    <row r="8574" spans="1:29">
      <c r="A8574" s="8" t="s">
        <v>6601</v>
      </c>
      <c r="B8574" s="20" t="s">
        <v>7739</v>
      </c>
      <c r="C8574" s="13">
        <v>35370</v>
      </c>
      <c r="D8574" s="13" t="s">
        <v>8465</v>
      </c>
      <c r="E8574" s="10" t="s">
        <v>86</v>
      </c>
      <c r="F8574" s="10" t="s">
        <v>87</v>
      </c>
      <c r="G8574" s="11" t="s">
        <v>6602</v>
      </c>
      <c r="H8574" s="2" t="s">
        <v>150</v>
      </c>
      <c r="L8574" s="18">
        <v>0</v>
      </c>
      <c r="Q8574" s="18">
        <v>0</v>
      </c>
      <c r="U8574" s="22">
        <v>0.91</v>
      </c>
      <c r="V8574" s="22">
        <f>3.76/5</f>
        <v>0.752</v>
      </c>
      <c r="X8574" s="3">
        <v>3</v>
      </c>
      <c r="Z8574" s="23">
        <v>7.5</v>
      </c>
      <c r="AB8574" s="18">
        <f t="shared" si="266"/>
        <v>1996</v>
      </c>
      <c r="AC8574" s="22">
        <f t="shared" si="267"/>
        <v>0.754</v>
      </c>
    </row>
    <row r="8575" spans="1:29" ht="38.25">
      <c r="A8575" s="8" t="s">
        <v>14335</v>
      </c>
      <c r="B8575" s="17" t="s">
        <v>10323</v>
      </c>
      <c r="C8575" s="12">
        <v>35370</v>
      </c>
      <c r="D8575" s="13" t="s">
        <v>8463</v>
      </c>
      <c r="E8575" s="10" t="s">
        <v>14336</v>
      </c>
      <c r="F8575" s="10" t="s">
        <v>14337</v>
      </c>
      <c r="G8575" s="11" t="s">
        <v>13598</v>
      </c>
      <c r="H8575" s="2" t="s">
        <v>31</v>
      </c>
      <c r="K8575" s="18">
        <v>2</v>
      </c>
      <c r="L8575" s="18">
        <v>0</v>
      </c>
      <c r="Q8575" s="18">
        <v>0</v>
      </c>
      <c r="V8575" s="22">
        <f>3.31/5</f>
        <v>0.66200000000000003</v>
      </c>
      <c r="X8575" s="3">
        <v>3</v>
      </c>
      <c r="Z8575" s="23">
        <v>1</v>
      </c>
      <c r="AB8575" s="18">
        <f t="shared" si="266"/>
        <v>1996</v>
      </c>
      <c r="AC8575" s="22">
        <f t="shared" si="267"/>
        <v>0.63100000000000001</v>
      </c>
    </row>
    <row r="8576" spans="1:29">
      <c r="A8576" s="8" t="s">
        <v>13835</v>
      </c>
      <c r="B8576" s="17" t="s">
        <v>7800</v>
      </c>
      <c r="C8576" s="12">
        <v>35370</v>
      </c>
      <c r="D8576" s="13" t="s">
        <v>8465</v>
      </c>
      <c r="E8576" s="10" t="s">
        <v>6923</v>
      </c>
      <c r="F8576" s="10" t="s">
        <v>6923</v>
      </c>
      <c r="H8576" s="2" t="s">
        <v>67</v>
      </c>
      <c r="L8576" s="18">
        <v>0</v>
      </c>
      <c r="Q8576" s="18">
        <v>0</v>
      </c>
      <c r="V8576" s="22">
        <f>4.03/5</f>
        <v>0.80600000000000005</v>
      </c>
      <c r="X8576" s="3">
        <v>2</v>
      </c>
      <c r="Z8576" s="23">
        <v>10.5</v>
      </c>
      <c r="AB8576" s="18">
        <f t="shared" si="266"/>
        <v>1996</v>
      </c>
      <c r="AC8576" s="22">
        <f t="shared" si="267"/>
        <v>0.60299999999999998</v>
      </c>
    </row>
    <row r="8577" spans="1:29" ht="25.5">
      <c r="A8577" s="8" t="s">
        <v>669</v>
      </c>
      <c r="B8577" s="17" t="s">
        <v>7736</v>
      </c>
      <c r="C8577" s="12">
        <v>35370</v>
      </c>
      <c r="D8577" s="13" t="s">
        <v>8465</v>
      </c>
      <c r="E8577" s="10" t="s">
        <v>73</v>
      </c>
      <c r="F8577" s="10" t="s">
        <v>73</v>
      </c>
      <c r="G8577" s="11" t="s">
        <v>1308</v>
      </c>
      <c r="H8577" s="2" t="s">
        <v>56</v>
      </c>
      <c r="L8577" s="18">
        <v>0</v>
      </c>
      <c r="Q8577" s="18">
        <v>0</v>
      </c>
      <c r="U8577" s="22">
        <v>0.67</v>
      </c>
      <c r="V8577" s="22">
        <f>3.59/5</f>
        <v>0.71799999999999997</v>
      </c>
      <c r="X8577" s="3">
        <v>2</v>
      </c>
      <c r="Z8577" s="23">
        <v>1.5</v>
      </c>
      <c r="AB8577" s="18">
        <f t="shared" ref="AB8577:AB8640" si="268">IFERROR(YEAR(C8577), "Early Access")</f>
        <v>1996</v>
      </c>
      <c r="AC8577" s="22">
        <f t="shared" ref="AC8577:AC8640" si="269">AVERAGE(T8577, U8577, V8577, IF(ISBLANK(X8577), X8577, X8577/5))</f>
        <v>0.59599999999999997</v>
      </c>
    </row>
    <row r="8578" spans="1:29">
      <c r="A8578" s="8" t="s">
        <v>3025</v>
      </c>
      <c r="B8578" s="17" t="s">
        <v>7800</v>
      </c>
      <c r="C8578" s="13">
        <v>35369</v>
      </c>
      <c r="D8578" s="13" t="s">
        <v>8465</v>
      </c>
      <c r="E8578" s="10" t="s">
        <v>2669</v>
      </c>
      <c r="F8578" s="10" t="s">
        <v>3025</v>
      </c>
      <c r="G8578" s="11" t="s">
        <v>3025</v>
      </c>
      <c r="H8578" s="2" t="s">
        <v>67</v>
      </c>
      <c r="L8578" s="18">
        <v>0</v>
      </c>
      <c r="Q8578" s="18">
        <v>0</v>
      </c>
      <c r="U8578" s="22">
        <v>0.87</v>
      </c>
      <c r="V8578" s="22">
        <f>4.25/5</f>
        <v>0.85</v>
      </c>
      <c r="X8578" s="3">
        <v>4</v>
      </c>
      <c r="Z8578" s="23">
        <v>8</v>
      </c>
      <c r="AB8578" s="18">
        <f t="shared" si="268"/>
        <v>1996</v>
      </c>
      <c r="AC8578" s="22">
        <f t="shared" si="269"/>
        <v>0.84</v>
      </c>
    </row>
    <row r="8579" spans="1:29">
      <c r="A8579" s="8" t="s">
        <v>6867</v>
      </c>
      <c r="B8579" s="17" t="s">
        <v>7800</v>
      </c>
      <c r="C8579" s="13">
        <v>35369</v>
      </c>
      <c r="D8579" s="13" t="s">
        <v>8465</v>
      </c>
      <c r="E8579" s="10" t="s">
        <v>231</v>
      </c>
      <c r="F8579" s="10" t="s">
        <v>6907</v>
      </c>
      <c r="G8579" s="11" t="s">
        <v>6556</v>
      </c>
      <c r="H8579" s="2" t="s">
        <v>61</v>
      </c>
      <c r="L8579" s="18">
        <v>1</v>
      </c>
      <c r="N8579" s="13">
        <v>44418</v>
      </c>
      <c r="O8579" s="29">
        <v>0</v>
      </c>
      <c r="P8579" s="18" t="s">
        <v>1107</v>
      </c>
      <c r="Q8579" s="18">
        <v>0</v>
      </c>
      <c r="U8579" s="22">
        <v>0.9</v>
      </c>
      <c r="V8579" s="22">
        <f>3.81/5</f>
        <v>0.76200000000000001</v>
      </c>
      <c r="W8579" s="14" t="s">
        <v>7778</v>
      </c>
      <c r="X8579" s="3">
        <v>4</v>
      </c>
      <c r="Z8579" s="23">
        <v>10</v>
      </c>
      <c r="AB8579" s="18">
        <f t="shared" si="268"/>
        <v>1996</v>
      </c>
      <c r="AC8579" s="22">
        <f t="shared" si="269"/>
        <v>0.82066666666666654</v>
      </c>
    </row>
    <row r="8580" spans="1:29">
      <c r="A8580" s="8" t="s">
        <v>2984</v>
      </c>
      <c r="B8580" s="17" t="s">
        <v>7757</v>
      </c>
      <c r="C8580" s="13">
        <v>35369</v>
      </c>
      <c r="D8580" s="13" t="s">
        <v>8465</v>
      </c>
      <c r="E8580" s="10" t="s">
        <v>1198</v>
      </c>
      <c r="F8580" s="10" t="s">
        <v>3035</v>
      </c>
      <c r="G8580" s="11" t="s">
        <v>4652</v>
      </c>
      <c r="H8580" s="2" t="s">
        <v>64</v>
      </c>
      <c r="L8580" s="18">
        <v>0</v>
      </c>
      <c r="Q8580" s="18">
        <v>0</v>
      </c>
      <c r="U8580" s="22">
        <v>0.71</v>
      </c>
      <c r="V8580" s="22">
        <f>3.53/5</f>
        <v>0.70599999999999996</v>
      </c>
      <c r="X8580" s="3">
        <v>4</v>
      </c>
      <c r="Z8580" s="23">
        <v>7</v>
      </c>
      <c r="AB8580" s="18">
        <f t="shared" si="268"/>
        <v>1996</v>
      </c>
      <c r="AC8580" s="22">
        <f t="shared" si="269"/>
        <v>0.73866666666666669</v>
      </c>
    </row>
    <row r="8581" spans="1:29" ht="30">
      <c r="A8581" s="8" t="s">
        <v>7471</v>
      </c>
      <c r="B8581" s="17" t="s">
        <v>7757</v>
      </c>
      <c r="C8581" s="13">
        <v>35369</v>
      </c>
      <c r="D8581" s="13" t="s">
        <v>8465</v>
      </c>
      <c r="E8581" s="10" t="s">
        <v>2908</v>
      </c>
      <c r="F8581" s="10" t="s">
        <v>7470</v>
      </c>
      <c r="G8581" s="11" t="s">
        <v>6067</v>
      </c>
      <c r="H8581" s="2" t="s">
        <v>1204</v>
      </c>
      <c r="L8581" s="18">
        <v>0</v>
      </c>
      <c r="Q8581" s="18">
        <v>0</v>
      </c>
      <c r="U8581" s="22">
        <v>0.86</v>
      </c>
      <c r="V8581" s="22">
        <f>3.91/5</f>
        <v>0.78200000000000003</v>
      </c>
      <c r="X8581" s="3">
        <v>3</v>
      </c>
      <c r="Z8581" s="23">
        <v>4.5</v>
      </c>
      <c r="AB8581" s="18">
        <f t="shared" si="268"/>
        <v>1996</v>
      </c>
      <c r="AC8581" s="22">
        <f t="shared" si="269"/>
        <v>0.74733333333333329</v>
      </c>
    </row>
    <row r="8582" spans="1:29" ht="30">
      <c r="A8582" s="8" t="s">
        <v>12305</v>
      </c>
      <c r="B8582" s="17" t="s">
        <v>7757</v>
      </c>
      <c r="C8582" s="13">
        <v>35369</v>
      </c>
      <c r="D8582" s="13" t="s">
        <v>8465</v>
      </c>
      <c r="E8582" s="10" t="s">
        <v>1198</v>
      </c>
      <c r="F8582" s="10" t="s">
        <v>12306</v>
      </c>
      <c r="H8582" s="2" t="s">
        <v>67</v>
      </c>
      <c r="L8582" s="18">
        <v>0</v>
      </c>
      <c r="Q8582" s="18">
        <v>0</v>
      </c>
      <c r="V8582" s="22">
        <f>3.67/5</f>
        <v>0.73399999999999999</v>
      </c>
      <c r="X8582" s="3">
        <v>2</v>
      </c>
      <c r="Z8582" s="23">
        <v>3.5</v>
      </c>
      <c r="AB8582" s="18">
        <f t="shared" si="268"/>
        <v>1996</v>
      </c>
      <c r="AC8582" s="22">
        <f t="shared" si="269"/>
        <v>0.56699999999999995</v>
      </c>
    </row>
    <row r="8583" spans="1:29">
      <c r="A8583" s="8" t="s">
        <v>13250</v>
      </c>
      <c r="B8583" s="17" t="s">
        <v>7800</v>
      </c>
      <c r="C8583" s="13">
        <v>35369</v>
      </c>
      <c r="D8583" s="13" t="s">
        <v>8465</v>
      </c>
      <c r="E8583" s="10" t="s">
        <v>6923</v>
      </c>
      <c r="F8583" s="10" t="s">
        <v>13251</v>
      </c>
      <c r="H8583" s="2" t="s">
        <v>147</v>
      </c>
      <c r="L8583" s="18">
        <v>0</v>
      </c>
      <c r="Q8583" s="18">
        <v>0</v>
      </c>
      <c r="V8583" s="22">
        <f>3.59/5</f>
        <v>0.71799999999999997</v>
      </c>
      <c r="W8583" s="14" t="s">
        <v>13076</v>
      </c>
      <c r="X8583" s="3">
        <v>2</v>
      </c>
      <c r="Z8583" s="23">
        <v>20</v>
      </c>
      <c r="AB8583" s="18">
        <f t="shared" si="268"/>
        <v>1996</v>
      </c>
      <c r="AC8583" s="22">
        <f t="shared" si="269"/>
        <v>0.55899999999999994</v>
      </c>
    </row>
    <row r="8584" spans="1:29">
      <c r="A8584" s="8" t="s">
        <v>11004</v>
      </c>
      <c r="B8584" s="17" t="s">
        <v>7757</v>
      </c>
      <c r="C8584" s="13">
        <v>35369</v>
      </c>
      <c r="D8584" s="13" t="s">
        <v>8465</v>
      </c>
      <c r="E8584" s="10" t="s">
        <v>73</v>
      </c>
      <c r="F8584" s="10" t="s">
        <v>73</v>
      </c>
      <c r="G8584" s="11" t="s">
        <v>11004</v>
      </c>
      <c r="H8584" s="2" t="s">
        <v>459</v>
      </c>
      <c r="L8584" s="18">
        <v>0</v>
      </c>
      <c r="Q8584" s="18">
        <v>0</v>
      </c>
      <c r="V8584" s="22">
        <f>3.46/5</f>
        <v>0.69199999999999995</v>
      </c>
      <c r="X8584" s="3">
        <v>2</v>
      </c>
      <c r="Z8584" s="23">
        <f>15/60</f>
        <v>0.25</v>
      </c>
      <c r="AB8584" s="18">
        <f t="shared" si="268"/>
        <v>1996</v>
      </c>
      <c r="AC8584" s="22">
        <f t="shared" si="269"/>
        <v>0.54600000000000004</v>
      </c>
    </row>
    <row r="8585" spans="1:29" ht="30">
      <c r="A8585" s="8" t="s">
        <v>14533</v>
      </c>
      <c r="B8585" s="17" t="s">
        <v>7757</v>
      </c>
      <c r="C8585" s="13">
        <v>35369</v>
      </c>
      <c r="D8585" s="13" t="s">
        <v>8465</v>
      </c>
      <c r="E8585" s="10" t="s">
        <v>2908</v>
      </c>
      <c r="F8585" s="10" t="s">
        <v>7826</v>
      </c>
      <c r="G8585" s="11" t="s">
        <v>16035</v>
      </c>
      <c r="H8585" s="2" t="s">
        <v>56</v>
      </c>
      <c r="L8585" s="18">
        <v>0</v>
      </c>
      <c r="Q8585" s="18">
        <v>0</v>
      </c>
      <c r="V8585" s="22">
        <f>3.3/5</f>
        <v>0.65999999999999992</v>
      </c>
      <c r="X8585" s="3">
        <v>2</v>
      </c>
      <c r="Z8585" s="23">
        <v>4</v>
      </c>
      <c r="AB8585" s="18">
        <f t="shared" si="268"/>
        <v>1996</v>
      </c>
      <c r="AC8585" s="22">
        <f t="shared" si="269"/>
        <v>0.53</v>
      </c>
    </row>
    <row r="8586" spans="1:29" ht="25.5">
      <c r="A8586" s="8" t="s">
        <v>9612</v>
      </c>
      <c r="B8586" s="17" t="s">
        <v>7800</v>
      </c>
      <c r="C8586" s="13">
        <v>35369</v>
      </c>
      <c r="D8586" s="13" t="s">
        <v>8465</v>
      </c>
      <c r="E8586" s="10" t="s">
        <v>9613</v>
      </c>
      <c r="F8586" s="10" t="s">
        <v>9614</v>
      </c>
      <c r="H8586" s="2" t="s">
        <v>67</v>
      </c>
      <c r="L8586" s="18">
        <v>0</v>
      </c>
      <c r="Q8586" s="18">
        <v>0</v>
      </c>
      <c r="V8586" s="22">
        <f>2.81/5</f>
        <v>0.56200000000000006</v>
      </c>
      <c r="X8586" s="3">
        <v>2</v>
      </c>
      <c r="Z8586" s="23">
        <v>15</v>
      </c>
      <c r="AB8586" s="18">
        <f t="shared" si="268"/>
        <v>1996</v>
      </c>
      <c r="AC8586" s="22">
        <f t="shared" si="269"/>
        <v>0.48100000000000004</v>
      </c>
    </row>
    <row r="8587" spans="1:29">
      <c r="A8587" s="8" t="s">
        <v>9860</v>
      </c>
      <c r="B8587" s="17" t="s">
        <v>7754</v>
      </c>
      <c r="C8587" s="13">
        <v>35369</v>
      </c>
      <c r="D8587" s="13" t="s">
        <v>8465</v>
      </c>
      <c r="E8587" s="10" t="s">
        <v>1333</v>
      </c>
      <c r="F8587" s="10" t="s">
        <v>9861</v>
      </c>
      <c r="G8587" s="11" t="s">
        <v>9860</v>
      </c>
      <c r="H8587" s="2" t="s">
        <v>1050</v>
      </c>
      <c r="L8587" s="18">
        <v>0</v>
      </c>
      <c r="Q8587" s="18">
        <v>0</v>
      </c>
      <c r="V8587" s="22">
        <f>3.86/5</f>
        <v>0.77200000000000002</v>
      </c>
      <c r="X8587" s="3">
        <v>2</v>
      </c>
      <c r="Z8587" s="23">
        <v>10</v>
      </c>
      <c r="AB8587" s="18">
        <f t="shared" si="268"/>
        <v>1996</v>
      </c>
      <c r="AC8587" s="22">
        <f t="shared" si="269"/>
        <v>0.58600000000000008</v>
      </c>
    </row>
    <row r="8588" spans="1:29" ht="25.5">
      <c r="A8588" s="8" t="s">
        <v>15735</v>
      </c>
      <c r="B8588" s="17" t="s">
        <v>7757</v>
      </c>
      <c r="C8588" s="13">
        <v>35369</v>
      </c>
      <c r="D8588" s="13" t="s">
        <v>8465</v>
      </c>
      <c r="E8588" s="10" t="s">
        <v>154</v>
      </c>
      <c r="F8588" s="10" t="s">
        <v>1480</v>
      </c>
      <c r="G8588" s="11" t="s">
        <v>445</v>
      </c>
      <c r="H8588" s="2" t="s">
        <v>459</v>
      </c>
      <c r="L8588" s="18">
        <v>0</v>
      </c>
      <c r="Q8588" s="18">
        <v>0</v>
      </c>
      <c r="V8588" s="22">
        <f>2.36/5</f>
        <v>0.47199999999999998</v>
      </c>
      <c r="X8588" s="3">
        <v>2</v>
      </c>
      <c r="Z8588" s="23">
        <f>24/60</f>
        <v>0.4</v>
      </c>
      <c r="AB8588" s="18">
        <f t="shared" si="268"/>
        <v>1996</v>
      </c>
      <c r="AC8588" s="22">
        <f t="shared" si="269"/>
        <v>0.436</v>
      </c>
    </row>
    <row r="8589" spans="1:29">
      <c r="A8589" s="8" t="s">
        <v>12304</v>
      </c>
      <c r="B8589" s="17" t="s">
        <v>7754</v>
      </c>
      <c r="C8589" s="13">
        <v>35367</v>
      </c>
      <c r="D8589" s="13" t="s">
        <v>8465</v>
      </c>
      <c r="E8589" s="10" t="s">
        <v>455</v>
      </c>
      <c r="F8589" s="10" t="s">
        <v>456</v>
      </c>
      <c r="G8589" s="11" t="s">
        <v>12304</v>
      </c>
      <c r="H8589" s="2" t="s">
        <v>459</v>
      </c>
      <c r="L8589" s="18">
        <v>0</v>
      </c>
      <c r="Q8589" s="18">
        <v>0</v>
      </c>
      <c r="V8589" s="22">
        <f>3.82/5</f>
        <v>0.76400000000000001</v>
      </c>
      <c r="X8589" s="3">
        <v>2</v>
      </c>
      <c r="Z8589" s="23">
        <f>46/60</f>
        <v>0.76666666666666672</v>
      </c>
      <c r="AB8589" s="18">
        <f t="shared" si="268"/>
        <v>1996</v>
      </c>
      <c r="AC8589" s="22">
        <f t="shared" si="269"/>
        <v>0.58200000000000007</v>
      </c>
    </row>
    <row r="8590" spans="1:29" ht="25.5">
      <c r="A8590" s="8" t="s">
        <v>11459</v>
      </c>
      <c r="B8590" s="17" t="s">
        <v>7800</v>
      </c>
      <c r="C8590" s="13">
        <v>35366</v>
      </c>
      <c r="D8590" s="13" t="s">
        <v>8465</v>
      </c>
      <c r="E8590" s="10" t="s">
        <v>6923</v>
      </c>
      <c r="F8590" s="10" t="s">
        <v>6923</v>
      </c>
      <c r="H8590" s="2" t="s">
        <v>67</v>
      </c>
      <c r="L8590" s="18">
        <v>0</v>
      </c>
      <c r="Q8590" s="18">
        <v>0</v>
      </c>
      <c r="V8590" s="22">
        <f>3.72/5</f>
        <v>0.74399999999999999</v>
      </c>
      <c r="X8590" s="3">
        <v>2</v>
      </c>
      <c r="Z8590" s="23">
        <v>7.5</v>
      </c>
      <c r="AB8590" s="18">
        <f t="shared" si="268"/>
        <v>1996</v>
      </c>
      <c r="AC8590" s="22">
        <f t="shared" si="269"/>
        <v>0.57200000000000006</v>
      </c>
    </row>
    <row r="8591" spans="1:29" ht="25.5">
      <c r="A8591" s="8" t="s">
        <v>12004</v>
      </c>
      <c r="B8591" s="17" t="s">
        <v>7736</v>
      </c>
      <c r="C8591" s="13">
        <v>35364</v>
      </c>
      <c r="D8591" s="13" t="s">
        <v>8463</v>
      </c>
      <c r="E8591" s="10" t="s">
        <v>86</v>
      </c>
      <c r="F8591" s="10" t="s">
        <v>1432</v>
      </c>
      <c r="G8591" s="11" t="s">
        <v>5025</v>
      </c>
      <c r="H8591" s="2" t="s">
        <v>171</v>
      </c>
      <c r="K8591" s="18">
        <v>2</v>
      </c>
      <c r="L8591" s="18">
        <v>0</v>
      </c>
      <c r="Q8591" s="18">
        <v>0</v>
      </c>
      <c r="V8591" s="22">
        <f>3.84/5</f>
        <v>0.76800000000000002</v>
      </c>
      <c r="X8591" s="3">
        <v>3</v>
      </c>
      <c r="Z8591" s="23">
        <v>11</v>
      </c>
      <c r="AB8591" s="18">
        <f t="shared" si="268"/>
        <v>1996</v>
      </c>
      <c r="AC8591" s="22">
        <f t="shared" si="269"/>
        <v>0.68399999999999994</v>
      </c>
    </row>
    <row r="8592" spans="1:29">
      <c r="A8592" s="8" t="s">
        <v>1816</v>
      </c>
      <c r="B8592" s="17" t="s">
        <v>7745</v>
      </c>
      <c r="C8592" s="13">
        <v>35357</v>
      </c>
      <c r="D8592" s="13" t="s">
        <v>8463</v>
      </c>
      <c r="E8592" s="10" t="s">
        <v>86</v>
      </c>
      <c r="F8592" s="10" t="s">
        <v>1794</v>
      </c>
      <c r="G8592" s="11" t="s">
        <v>1413</v>
      </c>
      <c r="H8592" s="2" t="s">
        <v>78</v>
      </c>
      <c r="K8592" s="18">
        <v>2</v>
      </c>
      <c r="L8592" s="18">
        <v>0</v>
      </c>
      <c r="Q8592" s="18">
        <v>0</v>
      </c>
      <c r="U8592" s="22">
        <v>0.9</v>
      </c>
      <c r="V8592" s="22">
        <f>3.79/5</f>
        <v>0.75800000000000001</v>
      </c>
      <c r="X8592" s="3">
        <v>3</v>
      </c>
      <c r="Z8592" s="23">
        <v>22</v>
      </c>
      <c r="AB8592" s="18">
        <f t="shared" si="268"/>
        <v>1996</v>
      </c>
      <c r="AC8592" s="22">
        <f t="shared" si="269"/>
        <v>0.75266666666666671</v>
      </c>
    </row>
    <row r="8593" spans="1:29">
      <c r="A8593" s="8" t="s">
        <v>2719</v>
      </c>
      <c r="B8593" s="17" t="s">
        <v>7754</v>
      </c>
      <c r="C8593" s="13">
        <v>35356</v>
      </c>
      <c r="D8593" s="13" t="s">
        <v>8465</v>
      </c>
      <c r="E8593" s="10" t="s">
        <v>2738</v>
      </c>
      <c r="F8593" s="10" t="s">
        <v>2739</v>
      </c>
      <c r="H8593" s="2" t="s">
        <v>1267</v>
      </c>
      <c r="L8593" s="18">
        <v>0</v>
      </c>
      <c r="Q8593" s="18">
        <v>0</v>
      </c>
      <c r="U8593" s="22">
        <v>0.77</v>
      </c>
      <c r="V8593" s="22">
        <f>3.77/5</f>
        <v>0.754</v>
      </c>
      <c r="X8593" s="3">
        <v>3</v>
      </c>
      <c r="Z8593" s="23">
        <v>2.5</v>
      </c>
      <c r="AB8593" s="18">
        <f t="shared" si="268"/>
        <v>1996</v>
      </c>
      <c r="AC8593" s="22">
        <f t="shared" si="269"/>
        <v>0.70800000000000007</v>
      </c>
    </row>
    <row r="8594" spans="1:29">
      <c r="A8594" s="8" t="s">
        <v>8795</v>
      </c>
      <c r="B8594" s="17" t="s">
        <v>7754</v>
      </c>
      <c r="C8594" s="13">
        <v>35356</v>
      </c>
      <c r="D8594" s="13" t="s">
        <v>8463</v>
      </c>
      <c r="E8594" s="10" t="s">
        <v>1360</v>
      </c>
      <c r="F8594" s="10" t="s">
        <v>2660</v>
      </c>
      <c r="G8594" s="11" t="s">
        <v>1369</v>
      </c>
      <c r="H8594" s="2" t="s">
        <v>75</v>
      </c>
      <c r="K8594" s="18">
        <v>1</v>
      </c>
      <c r="L8594" s="18">
        <v>0</v>
      </c>
      <c r="Q8594" s="18">
        <v>0</v>
      </c>
      <c r="V8594" s="22">
        <f>4.07/5</f>
        <v>0.81400000000000006</v>
      </c>
      <c r="X8594" s="3">
        <v>2</v>
      </c>
      <c r="AB8594" s="18">
        <f t="shared" si="268"/>
        <v>1996</v>
      </c>
      <c r="AC8594" s="22">
        <f t="shared" si="269"/>
        <v>0.60699999999999998</v>
      </c>
    </row>
    <row r="8595" spans="1:29">
      <c r="A8595" s="8" t="s">
        <v>12324</v>
      </c>
      <c r="B8595" s="17" t="s">
        <v>7757</v>
      </c>
      <c r="C8595" s="13">
        <v>35356</v>
      </c>
      <c r="D8595" s="13" t="s">
        <v>8465</v>
      </c>
      <c r="E8595" s="10" t="s">
        <v>70</v>
      </c>
      <c r="F8595" s="10" t="s">
        <v>66</v>
      </c>
      <c r="G8595" s="11" t="s">
        <v>98</v>
      </c>
      <c r="H8595" s="2" t="s">
        <v>78</v>
      </c>
      <c r="L8595" s="18">
        <v>0</v>
      </c>
      <c r="Q8595" s="18">
        <v>0</v>
      </c>
      <c r="V8595" s="22">
        <f>3.53/5</f>
        <v>0.70599999999999996</v>
      </c>
      <c r="X8595" s="3">
        <v>2</v>
      </c>
      <c r="Z8595" s="23">
        <v>6.5</v>
      </c>
      <c r="AB8595" s="18">
        <f t="shared" si="268"/>
        <v>1996</v>
      </c>
      <c r="AC8595" s="22">
        <f t="shared" si="269"/>
        <v>0.55299999999999994</v>
      </c>
    </row>
    <row r="8596" spans="1:29">
      <c r="A8596" s="8" t="s">
        <v>7600</v>
      </c>
      <c r="B8596" s="17" t="s">
        <v>13887</v>
      </c>
      <c r="C8596" s="13">
        <v>35353</v>
      </c>
      <c r="D8596" s="13" t="s">
        <v>8465</v>
      </c>
      <c r="E8596" s="10" t="s">
        <v>7238</v>
      </c>
      <c r="F8596" s="10" t="s">
        <v>7238</v>
      </c>
      <c r="G8596" s="11" t="s">
        <v>7170</v>
      </c>
      <c r="H8596" s="2" t="s">
        <v>1050</v>
      </c>
      <c r="L8596" s="18">
        <v>0</v>
      </c>
      <c r="Q8596" s="18">
        <v>0</v>
      </c>
      <c r="U8596" s="22">
        <v>0.9</v>
      </c>
      <c r="V8596" s="22">
        <f>3.67/5</f>
        <v>0.73399999999999999</v>
      </c>
      <c r="X8596" s="3">
        <v>3</v>
      </c>
      <c r="Z8596" s="23">
        <v>7</v>
      </c>
      <c r="AB8596" s="18">
        <f t="shared" si="268"/>
        <v>1996</v>
      </c>
      <c r="AC8596" s="22">
        <f t="shared" si="269"/>
        <v>0.7446666666666667</v>
      </c>
    </row>
    <row r="8597" spans="1:29" ht="38.25">
      <c r="A8597" s="8" t="s">
        <v>6772</v>
      </c>
      <c r="B8597" s="17" t="s">
        <v>7800</v>
      </c>
      <c r="C8597" s="13">
        <v>35339</v>
      </c>
      <c r="D8597" s="13" t="s">
        <v>8465</v>
      </c>
      <c r="E8597" s="10" t="s">
        <v>1195</v>
      </c>
      <c r="F8597" s="10" t="s">
        <v>2659</v>
      </c>
      <c r="G8597" s="11" t="s">
        <v>1864</v>
      </c>
      <c r="H8597" s="2" t="s">
        <v>1720</v>
      </c>
      <c r="L8597" s="18">
        <v>0</v>
      </c>
      <c r="Q8597" s="18">
        <v>0</v>
      </c>
      <c r="V8597" s="22">
        <f>4.11/5</f>
        <v>0.82200000000000006</v>
      </c>
      <c r="X8597" s="3">
        <v>3</v>
      </c>
      <c r="Z8597" s="23">
        <v>50</v>
      </c>
      <c r="AB8597" s="18">
        <f t="shared" si="268"/>
        <v>1996</v>
      </c>
      <c r="AC8597" s="22">
        <f t="shared" si="269"/>
        <v>0.71100000000000008</v>
      </c>
    </row>
    <row r="8598" spans="1:29">
      <c r="A8598" s="8" t="s">
        <v>7847</v>
      </c>
      <c r="B8598" s="17" t="s">
        <v>7757</v>
      </c>
      <c r="C8598" s="13">
        <v>35338</v>
      </c>
      <c r="D8598" s="13" t="s">
        <v>8465</v>
      </c>
      <c r="E8598" s="10" t="s">
        <v>7826</v>
      </c>
      <c r="F8598" s="10" t="s">
        <v>7826</v>
      </c>
      <c r="G8598" s="11" t="s">
        <v>6050</v>
      </c>
      <c r="H8598" s="2" t="s">
        <v>150</v>
      </c>
      <c r="L8598" s="18">
        <v>0</v>
      </c>
      <c r="Q8598" s="18">
        <v>0</v>
      </c>
      <c r="U8598" s="22">
        <v>0.94750000000000001</v>
      </c>
      <c r="V8598" s="22">
        <f>3.96/5</f>
        <v>0.79200000000000004</v>
      </c>
      <c r="X8598" s="3">
        <v>3</v>
      </c>
      <c r="Z8598" s="23">
        <v>1</v>
      </c>
      <c r="AB8598" s="18">
        <f t="shared" si="268"/>
        <v>1996</v>
      </c>
      <c r="AC8598" s="22">
        <f t="shared" si="269"/>
        <v>0.77983333333333338</v>
      </c>
    </row>
    <row r="8599" spans="1:29" ht="25.5">
      <c r="A8599" s="8" t="s">
        <v>8040</v>
      </c>
      <c r="B8599" s="17" t="s">
        <v>7757</v>
      </c>
      <c r="C8599" s="13">
        <v>35338</v>
      </c>
      <c r="D8599" s="13" t="s">
        <v>8465</v>
      </c>
      <c r="E8599" s="10" t="s">
        <v>158</v>
      </c>
      <c r="F8599" s="10" t="s">
        <v>158</v>
      </c>
      <c r="G8599" s="11" t="s">
        <v>8037</v>
      </c>
      <c r="H8599" s="2" t="s">
        <v>150</v>
      </c>
      <c r="L8599" s="18">
        <v>0</v>
      </c>
      <c r="Q8599" s="18">
        <v>0</v>
      </c>
      <c r="U8599" s="22">
        <v>0.7883</v>
      </c>
      <c r="V8599" s="22">
        <f>3.69/5</f>
        <v>0.73799999999999999</v>
      </c>
      <c r="X8599" s="3">
        <v>3</v>
      </c>
      <c r="Z8599" s="23">
        <v>2.5</v>
      </c>
      <c r="AB8599" s="18">
        <f t="shared" si="268"/>
        <v>1996</v>
      </c>
      <c r="AC8599" s="22">
        <f t="shared" si="269"/>
        <v>0.70876666666666666</v>
      </c>
    </row>
    <row r="8600" spans="1:29">
      <c r="A8600" s="8" t="s">
        <v>15453</v>
      </c>
      <c r="B8600" s="17" t="s">
        <v>7757</v>
      </c>
      <c r="C8600" s="13">
        <v>35338</v>
      </c>
      <c r="D8600" s="13" t="s">
        <v>8465</v>
      </c>
      <c r="E8600" s="10" t="s">
        <v>73</v>
      </c>
      <c r="F8600" s="10" t="s">
        <v>15454</v>
      </c>
      <c r="H8600" s="2" t="s">
        <v>1194</v>
      </c>
      <c r="L8600" s="18">
        <v>0</v>
      </c>
      <c r="Q8600" s="18">
        <v>0</v>
      </c>
      <c r="V8600" s="22">
        <f>2.36/5</f>
        <v>0.47199999999999998</v>
      </c>
      <c r="X8600" s="3">
        <v>2</v>
      </c>
      <c r="Z8600" s="23">
        <v>3</v>
      </c>
      <c r="AB8600" s="18">
        <f t="shared" si="268"/>
        <v>1996</v>
      </c>
      <c r="AC8600" s="22">
        <f t="shared" si="269"/>
        <v>0.436</v>
      </c>
    </row>
    <row r="8601" spans="1:29" ht="30">
      <c r="A8601" s="8" t="s">
        <v>15648</v>
      </c>
      <c r="B8601" s="17" t="s">
        <v>7757</v>
      </c>
      <c r="C8601" s="13">
        <v>35338</v>
      </c>
      <c r="D8601" s="13" t="s">
        <v>8465</v>
      </c>
      <c r="E8601" s="10" t="s">
        <v>2908</v>
      </c>
      <c r="F8601" s="10" t="s">
        <v>9220</v>
      </c>
      <c r="G8601" s="11" t="s">
        <v>15650</v>
      </c>
      <c r="H8601" s="2" t="s">
        <v>459</v>
      </c>
      <c r="L8601" s="18">
        <v>0</v>
      </c>
      <c r="Q8601" s="18">
        <v>0</v>
      </c>
      <c r="V8601" s="22">
        <f>3.41/5</f>
        <v>0.68200000000000005</v>
      </c>
      <c r="X8601" s="3">
        <v>2</v>
      </c>
      <c r="Z8601" s="23">
        <f>21/60</f>
        <v>0.35</v>
      </c>
      <c r="AB8601" s="18">
        <f t="shared" si="268"/>
        <v>1996</v>
      </c>
      <c r="AC8601" s="22">
        <f t="shared" si="269"/>
        <v>0.54100000000000004</v>
      </c>
    </row>
    <row r="8602" spans="1:29">
      <c r="A8602" s="8" t="s">
        <v>6587</v>
      </c>
      <c r="B8602" s="20" t="s">
        <v>7739</v>
      </c>
      <c r="C8602" s="13">
        <v>35337</v>
      </c>
      <c r="D8602" s="13" t="s">
        <v>8465</v>
      </c>
      <c r="E8602" s="10" t="s">
        <v>86</v>
      </c>
      <c r="F8602" s="10" t="s">
        <v>87</v>
      </c>
      <c r="G8602" s="11" t="s">
        <v>674</v>
      </c>
      <c r="H8602" s="2" t="s">
        <v>7594</v>
      </c>
      <c r="L8602" s="18">
        <v>0</v>
      </c>
      <c r="Q8602" s="18">
        <v>0</v>
      </c>
      <c r="U8602" s="22">
        <v>0.88</v>
      </c>
      <c r="V8602" s="22">
        <f>3.65/5</f>
        <v>0.73</v>
      </c>
      <c r="X8602" s="3">
        <v>3</v>
      </c>
      <c r="Z8602" s="23">
        <v>6</v>
      </c>
      <c r="AB8602" s="18">
        <f t="shared" si="268"/>
        <v>1996</v>
      </c>
      <c r="AC8602" s="22">
        <f t="shared" si="269"/>
        <v>0.73666666666666669</v>
      </c>
    </row>
    <row r="8603" spans="1:29">
      <c r="A8603" s="8" t="s">
        <v>5874</v>
      </c>
      <c r="B8603" s="17" t="s">
        <v>7754</v>
      </c>
      <c r="C8603" s="13">
        <v>35335</v>
      </c>
      <c r="D8603" s="13" t="s">
        <v>8463</v>
      </c>
      <c r="E8603" s="10" t="s">
        <v>455</v>
      </c>
      <c r="F8603" s="10" t="s">
        <v>1318</v>
      </c>
      <c r="G8603" s="11" t="s">
        <v>5874</v>
      </c>
      <c r="H8603" s="2" t="s">
        <v>75</v>
      </c>
      <c r="K8603" s="18">
        <v>2</v>
      </c>
      <c r="L8603" s="18">
        <v>0</v>
      </c>
      <c r="Q8603" s="18">
        <v>0</v>
      </c>
      <c r="V8603" s="22">
        <f>4.09/5</f>
        <v>0.81799999999999995</v>
      </c>
      <c r="X8603" s="3">
        <v>4</v>
      </c>
      <c r="Z8603" s="23">
        <v>18.5</v>
      </c>
      <c r="AB8603" s="18">
        <f t="shared" si="268"/>
        <v>1996</v>
      </c>
      <c r="AC8603" s="22">
        <f t="shared" si="269"/>
        <v>0.80899999999999994</v>
      </c>
    </row>
    <row r="8604" spans="1:29" ht="25.5">
      <c r="A8604" s="8" t="s">
        <v>2983</v>
      </c>
      <c r="B8604" s="17" t="s">
        <v>7757</v>
      </c>
      <c r="C8604" s="13">
        <v>35335</v>
      </c>
      <c r="D8604" s="13" t="s">
        <v>8465</v>
      </c>
      <c r="E8604" s="10" t="s">
        <v>228</v>
      </c>
      <c r="F8604" s="10" t="s">
        <v>1230</v>
      </c>
      <c r="G8604" s="11" t="s">
        <v>1231</v>
      </c>
      <c r="H8604" s="2" t="s">
        <v>75</v>
      </c>
      <c r="L8604" s="18">
        <v>0</v>
      </c>
      <c r="Q8604" s="18">
        <v>0</v>
      </c>
      <c r="U8604" s="22">
        <v>0.76</v>
      </c>
      <c r="V8604" s="22">
        <f>4.15/5</f>
        <v>0.83000000000000007</v>
      </c>
      <c r="X8604" s="3">
        <v>4</v>
      </c>
      <c r="Z8604" s="23">
        <v>14</v>
      </c>
      <c r="AB8604" s="18">
        <f t="shared" si="268"/>
        <v>1996</v>
      </c>
      <c r="AC8604" s="22">
        <f t="shared" si="269"/>
        <v>0.79666666666666675</v>
      </c>
    </row>
    <row r="8605" spans="1:29">
      <c r="A8605" s="8" t="s">
        <v>526</v>
      </c>
      <c r="B8605" s="17" t="s">
        <v>7731</v>
      </c>
      <c r="C8605" s="13">
        <v>35335</v>
      </c>
      <c r="D8605" s="13" t="s">
        <v>8465</v>
      </c>
      <c r="E8605" s="10" t="s">
        <v>170</v>
      </c>
      <c r="F8605" s="10" t="s">
        <v>170</v>
      </c>
      <c r="G8605" s="11" t="s">
        <v>567</v>
      </c>
      <c r="H8605" s="2" t="s">
        <v>459</v>
      </c>
      <c r="L8605" s="18">
        <v>0</v>
      </c>
      <c r="Q8605" s="18">
        <v>0</v>
      </c>
      <c r="V8605" s="22">
        <f>4.01/5</f>
        <v>0.80199999999999994</v>
      </c>
      <c r="X8605" s="3">
        <v>3</v>
      </c>
      <c r="Z8605" s="23">
        <v>2.5</v>
      </c>
      <c r="AB8605" s="18">
        <f t="shared" si="268"/>
        <v>1996</v>
      </c>
      <c r="AC8605" s="22">
        <f t="shared" si="269"/>
        <v>0.70099999999999996</v>
      </c>
    </row>
    <row r="8606" spans="1:29">
      <c r="A8606" s="8" t="s">
        <v>788</v>
      </c>
      <c r="B8606" s="17" t="s">
        <v>7736</v>
      </c>
      <c r="C8606" s="13">
        <v>35335</v>
      </c>
      <c r="D8606" s="13" t="s">
        <v>8463</v>
      </c>
      <c r="E8606" s="10" t="s">
        <v>1237</v>
      </c>
      <c r="F8606" s="10" t="s">
        <v>1397</v>
      </c>
      <c r="H8606" s="2" t="s">
        <v>75</v>
      </c>
      <c r="K8606" s="18">
        <v>2</v>
      </c>
      <c r="L8606" s="18">
        <v>0</v>
      </c>
      <c r="Q8606" s="18">
        <v>0</v>
      </c>
      <c r="V8606" s="22">
        <f>3.31/5</f>
        <v>0.66200000000000003</v>
      </c>
      <c r="X8606" s="3">
        <v>3</v>
      </c>
      <c r="Z8606" s="23">
        <v>4</v>
      </c>
      <c r="AB8606" s="18">
        <f t="shared" si="268"/>
        <v>1996</v>
      </c>
      <c r="AC8606" s="22">
        <f t="shared" si="269"/>
        <v>0.63100000000000001</v>
      </c>
    </row>
    <row r="8607" spans="1:29">
      <c r="A8607" s="8" t="s">
        <v>2712</v>
      </c>
      <c r="B8607" s="17" t="s">
        <v>7754</v>
      </c>
      <c r="C8607" s="13">
        <v>35335</v>
      </c>
      <c r="D8607" s="13" t="s">
        <v>8465</v>
      </c>
      <c r="E8607" s="10" t="s">
        <v>455</v>
      </c>
      <c r="F8607" s="10" t="s">
        <v>2680</v>
      </c>
      <c r="H8607" s="2" t="s">
        <v>143</v>
      </c>
      <c r="L8607" s="18">
        <v>0</v>
      </c>
      <c r="Q8607" s="18">
        <v>0</v>
      </c>
      <c r="U8607" s="22">
        <v>0.73</v>
      </c>
      <c r="V8607" s="22">
        <f>3.78/5</f>
        <v>0.75600000000000001</v>
      </c>
      <c r="X8607" s="3">
        <v>2</v>
      </c>
      <c r="Z8607" s="23">
        <v>1</v>
      </c>
      <c r="AB8607" s="18">
        <f t="shared" si="268"/>
        <v>1996</v>
      </c>
      <c r="AC8607" s="22">
        <f t="shared" si="269"/>
        <v>0.62866666666666671</v>
      </c>
    </row>
    <row r="8608" spans="1:29" ht="25.5">
      <c r="A8608" s="8" t="s">
        <v>6880</v>
      </c>
      <c r="B8608" s="17" t="s">
        <v>7800</v>
      </c>
      <c r="C8608" s="13">
        <v>35328</v>
      </c>
      <c r="D8608" s="13" t="s">
        <v>8465</v>
      </c>
      <c r="E8608" s="10" t="s">
        <v>1690</v>
      </c>
      <c r="F8608" s="10" t="s">
        <v>1690</v>
      </c>
      <c r="G8608" s="11" t="s">
        <v>1207</v>
      </c>
      <c r="H8608" s="2" t="s">
        <v>171</v>
      </c>
      <c r="L8608" s="18">
        <v>0</v>
      </c>
      <c r="Q8608" s="18">
        <v>0</v>
      </c>
      <c r="U8608" s="22">
        <v>0.79</v>
      </c>
      <c r="V8608" s="22">
        <f>3.75/5</f>
        <v>0.75</v>
      </c>
      <c r="X8608" s="3">
        <v>4</v>
      </c>
      <c r="Z8608" s="23">
        <v>34</v>
      </c>
      <c r="AB8608" s="18">
        <f t="shared" si="268"/>
        <v>1996</v>
      </c>
      <c r="AC8608" s="22">
        <f t="shared" si="269"/>
        <v>0.77999999999999992</v>
      </c>
    </row>
    <row r="8609" spans="1:29">
      <c r="A8609" s="8" t="s">
        <v>778</v>
      </c>
      <c r="B8609" s="17" t="s">
        <v>7736</v>
      </c>
      <c r="C8609" s="13">
        <v>35328</v>
      </c>
      <c r="D8609" s="13" t="s">
        <v>8463</v>
      </c>
      <c r="E8609" s="10" t="s">
        <v>57</v>
      </c>
      <c r="F8609" s="10" t="s">
        <v>57</v>
      </c>
      <c r="G8609" s="11" t="s">
        <v>566</v>
      </c>
      <c r="H8609" s="2" t="s">
        <v>78</v>
      </c>
      <c r="K8609" s="18">
        <v>0</v>
      </c>
      <c r="L8609" s="18">
        <v>0</v>
      </c>
      <c r="Q8609" s="18">
        <v>0</v>
      </c>
      <c r="V8609" s="22">
        <f>3.76/5</f>
        <v>0.752</v>
      </c>
      <c r="X8609" s="3">
        <v>3</v>
      </c>
      <c r="Z8609" s="23">
        <v>2</v>
      </c>
      <c r="AB8609" s="18">
        <f t="shared" si="268"/>
        <v>1996</v>
      </c>
      <c r="AC8609" s="22">
        <f t="shared" si="269"/>
        <v>0.67599999999999993</v>
      </c>
    </row>
    <row r="8610" spans="1:29" ht="38.25">
      <c r="A8610" s="8" t="s">
        <v>12329</v>
      </c>
      <c r="B8610" s="17" t="s">
        <v>7736</v>
      </c>
      <c r="C8610" s="13">
        <v>35328</v>
      </c>
      <c r="D8610" s="13" t="s">
        <v>8463</v>
      </c>
      <c r="E8610" s="10" t="s">
        <v>9240</v>
      </c>
      <c r="F8610" s="10" t="s">
        <v>5258</v>
      </c>
      <c r="G8610" s="11" t="s">
        <v>5566</v>
      </c>
      <c r="H8610" s="2" t="s">
        <v>149</v>
      </c>
      <c r="K8610" s="18">
        <v>2</v>
      </c>
      <c r="L8610" s="18">
        <v>0</v>
      </c>
      <c r="Q8610" s="18">
        <v>0</v>
      </c>
      <c r="V8610" s="22">
        <f>3.66/5</f>
        <v>0.73199999999999998</v>
      </c>
      <c r="X8610" s="3">
        <v>3</v>
      </c>
      <c r="Z8610" s="23">
        <v>21.5</v>
      </c>
      <c r="AB8610" s="18">
        <f t="shared" si="268"/>
        <v>1996</v>
      </c>
      <c r="AC8610" s="22">
        <f t="shared" si="269"/>
        <v>0.66599999999999993</v>
      </c>
    </row>
    <row r="8611" spans="1:29">
      <c r="A8611" s="8" t="s">
        <v>13845</v>
      </c>
      <c r="B8611" s="17" t="s">
        <v>10908</v>
      </c>
      <c r="C8611" s="13">
        <v>35321</v>
      </c>
      <c r="D8611" s="13" t="s">
        <v>8463</v>
      </c>
      <c r="E8611" s="10" t="s">
        <v>10391</v>
      </c>
      <c r="F8611" s="10" t="s">
        <v>13846</v>
      </c>
      <c r="H8611" s="2" t="s">
        <v>56</v>
      </c>
      <c r="K8611" s="18">
        <v>0</v>
      </c>
      <c r="L8611" s="18">
        <v>0</v>
      </c>
      <c r="Q8611" s="18">
        <v>0</v>
      </c>
      <c r="V8611" s="22">
        <f>4.33/5</f>
        <v>0.86599999999999999</v>
      </c>
      <c r="X8611" s="3">
        <v>2</v>
      </c>
      <c r="AB8611" s="18">
        <f t="shared" si="268"/>
        <v>1996</v>
      </c>
      <c r="AC8611" s="22">
        <f t="shared" si="269"/>
        <v>0.63300000000000001</v>
      </c>
    </row>
    <row r="8612" spans="1:29">
      <c r="A8612" s="8" t="s">
        <v>15336</v>
      </c>
      <c r="B8612" s="17" t="s">
        <v>7757</v>
      </c>
      <c r="C8612" s="13">
        <v>35320</v>
      </c>
      <c r="D8612" s="13" t="s">
        <v>8465</v>
      </c>
      <c r="E8612" s="10" t="s">
        <v>72</v>
      </c>
      <c r="F8612" s="10" t="s">
        <v>72</v>
      </c>
      <c r="H8612" s="2" t="s">
        <v>1054</v>
      </c>
      <c r="L8612" s="18">
        <v>0</v>
      </c>
      <c r="Q8612" s="18">
        <v>0</v>
      </c>
      <c r="V8612" s="22">
        <f>3.19/5</f>
        <v>0.63800000000000001</v>
      </c>
      <c r="X8612" s="3">
        <v>2</v>
      </c>
      <c r="Z8612" s="23">
        <v>12</v>
      </c>
      <c r="AB8612" s="18">
        <f t="shared" si="268"/>
        <v>1996</v>
      </c>
      <c r="AC8612" s="22">
        <f t="shared" si="269"/>
        <v>0.51900000000000002</v>
      </c>
    </row>
    <row r="8613" spans="1:29">
      <c r="A8613" s="8" t="s">
        <v>1576</v>
      </c>
      <c r="B8613" s="17" t="s">
        <v>7757</v>
      </c>
      <c r="C8613" s="13">
        <v>35317</v>
      </c>
      <c r="D8613" s="13" t="s">
        <v>8465</v>
      </c>
      <c r="E8613" s="10" t="s">
        <v>1290</v>
      </c>
      <c r="F8613" s="10" t="s">
        <v>2646</v>
      </c>
      <c r="G8613" s="11" t="s">
        <v>1576</v>
      </c>
      <c r="H8613" s="2" t="s">
        <v>1040</v>
      </c>
      <c r="L8613" s="18">
        <v>0</v>
      </c>
      <c r="Q8613" s="18">
        <v>0</v>
      </c>
      <c r="U8613" s="22">
        <v>0.8</v>
      </c>
      <c r="V8613" s="22">
        <f>3.82/5</f>
        <v>0.76400000000000001</v>
      </c>
      <c r="X8613" s="3">
        <v>4</v>
      </c>
      <c r="Z8613" s="23">
        <v>6.5</v>
      </c>
      <c r="AB8613" s="18">
        <f t="shared" si="268"/>
        <v>1996</v>
      </c>
      <c r="AC8613" s="22">
        <f t="shared" si="269"/>
        <v>0.78799999999999992</v>
      </c>
    </row>
    <row r="8614" spans="1:29">
      <c r="A8614" s="8" t="s">
        <v>9620</v>
      </c>
      <c r="B8614" s="17" t="s">
        <v>7800</v>
      </c>
      <c r="C8614" s="13">
        <v>35317</v>
      </c>
      <c r="D8614" s="13" t="s">
        <v>8465</v>
      </c>
      <c r="E8614" s="10" t="s">
        <v>231</v>
      </c>
      <c r="F8614" s="10" t="s">
        <v>1784</v>
      </c>
      <c r="G8614" s="11" t="s">
        <v>9621</v>
      </c>
      <c r="H8614" s="2" t="s">
        <v>143</v>
      </c>
      <c r="L8614" s="18">
        <v>0</v>
      </c>
      <c r="Q8614" s="18">
        <v>0</v>
      </c>
      <c r="V8614" s="22">
        <f>3.99/5</f>
        <v>0.79800000000000004</v>
      </c>
      <c r="X8614" s="3">
        <v>3</v>
      </c>
      <c r="Z8614" s="23">
        <v>12</v>
      </c>
      <c r="AB8614" s="18">
        <f t="shared" si="268"/>
        <v>1996</v>
      </c>
      <c r="AC8614" s="22">
        <f t="shared" si="269"/>
        <v>0.69900000000000007</v>
      </c>
    </row>
    <row r="8615" spans="1:29">
      <c r="A8615" s="8" t="s">
        <v>8522</v>
      </c>
      <c r="B8615" s="17" t="s">
        <v>7800</v>
      </c>
      <c r="C8615" s="13">
        <v>35314</v>
      </c>
      <c r="D8615" s="13" t="s">
        <v>8465</v>
      </c>
      <c r="E8615" s="10" t="s">
        <v>7238</v>
      </c>
      <c r="F8615" s="10" t="s">
        <v>7238</v>
      </c>
      <c r="G8615" s="11" t="s">
        <v>7170</v>
      </c>
      <c r="H8615" s="2" t="s">
        <v>1050</v>
      </c>
      <c r="L8615" s="18">
        <v>0</v>
      </c>
      <c r="Q8615" s="18">
        <v>0</v>
      </c>
      <c r="U8615" s="22">
        <v>0.9</v>
      </c>
      <c r="V8615" s="22">
        <f>3.53/5</f>
        <v>0.70599999999999996</v>
      </c>
      <c r="X8615" s="3">
        <v>3</v>
      </c>
      <c r="Z8615" s="23">
        <v>6</v>
      </c>
      <c r="AB8615" s="18">
        <f t="shared" si="268"/>
        <v>1996</v>
      </c>
      <c r="AC8615" s="22">
        <f t="shared" si="269"/>
        <v>0.73533333333333328</v>
      </c>
    </row>
    <row r="8616" spans="1:29" ht="25.5">
      <c r="A8616" s="8" t="s">
        <v>15359</v>
      </c>
      <c r="B8616" s="17" t="s">
        <v>7800</v>
      </c>
      <c r="C8616" s="13">
        <v>35311</v>
      </c>
      <c r="D8616" s="13" t="s">
        <v>8465</v>
      </c>
      <c r="E8616" s="10" t="s">
        <v>1889</v>
      </c>
      <c r="F8616" s="10" t="s">
        <v>5017</v>
      </c>
      <c r="G8616" s="11" t="s">
        <v>6771</v>
      </c>
      <c r="H8616" s="2" t="s">
        <v>1050</v>
      </c>
      <c r="J8616" s="18">
        <v>1</v>
      </c>
      <c r="L8616" s="18">
        <v>1</v>
      </c>
      <c r="N8616" s="13">
        <v>45117</v>
      </c>
      <c r="O8616" s="29">
        <v>0</v>
      </c>
      <c r="P8616" s="18" t="s">
        <v>1107</v>
      </c>
      <c r="Q8616" s="18">
        <v>0</v>
      </c>
      <c r="V8616" s="22">
        <f>3.6/5</f>
        <v>0.72</v>
      </c>
      <c r="W8616" s="14" t="s">
        <v>7777</v>
      </c>
      <c r="X8616" s="3">
        <v>3</v>
      </c>
      <c r="Z8616" s="23">
        <v>8.5</v>
      </c>
      <c r="AB8616" s="18">
        <f t="shared" si="268"/>
        <v>1996</v>
      </c>
      <c r="AC8616" s="22">
        <f t="shared" si="269"/>
        <v>0.65999999999999992</v>
      </c>
    </row>
    <row r="8617" spans="1:29">
      <c r="A8617" s="8" t="s">
        <v>1810</v>
      </c>
      <c r="B8617" s="17" t="s">
        <v>7745</v>
      </c>
      <c r="C8617" s="12">
        <v>35309</v>
      </c>
      <c r="D8617" s="13" t="s">
        <v>8465</v>
      </c>
      <c r="E8617" s="10" t="s">
        <v>86</v>
      </c>
      <c r="F8617" s="10" t="s">
        <v>163</v>
      </c>
      <c r="G8617" s="11" t="s">
        <v>1254</v>
      </c>
      <c r="H8617" s="2" t="s">
        <v>64</v>
      </c>
      <c r="L8617" s="18">
        <v>0</v>
      </c>
      <c r="Q8617" s="18">
        <v>0</v>
      </c>
      <c r="U8617" s="22">
        <v>0.79</v>
      </c>
      <c r="V8617" s="22">
        <f>3.74/5</f>
        <v>0.748</v>
      </c>
      <c r="X8617" s="3">
        <v>3</v>
      </c>
      <c r="Z8617" s="23">
        <v>4</v>
      </c>
      <c r="AB8617" s="18">
        <f t="shared" si="268"/>
        <v>1996</v>
      </c>
      <c r="AC8617" s="22">
        <f t="shared" si="269"/>
        <v>0.71266666666666667</v>
      </c>
    </row>
    <row r="8618" spans="1:29">
      <c r="A8618" s="8" t="s">
        <v>1804</v>
      </c>
      <c r="B8618" s="17" t="s">
        <v>7745</v>
      </c>
      <c r="C8618" s="12">
        <v>35309</v>
      </c>
      <c r="D8618" s="13" t="s">
        <v>8465</v>
      </c>
      <c r="E8618" s="10" t="s">
        <v>59</v>
      </c>
      <c r="F8618" s="10" t="s">
        <v>59</v>
      </c>
      <c r="G8618" s="11" t="s">
        <v>1790</v>
      </c>
      <c r="H8618" s="2" t="s">
        <v>149</v>
      </c>
      <c r="L8618" s="18">
        <v>0</v>
      </c>
      <c r="Q8618" s="18">
        <v>0</v>
      </c>
      <c r="U8618" s="22">
        <v>0.68</v>
      </c>
      <c r="V8618" s="22">
        <f>3.7/5</f>
        <v>0.74</v>
      </c>
      <c r="X8618" s="3">
        <v>3</v>
      </c>
      <c r="Z8618" s="23">
        <v>16.5</v>
      </c>
      <c r="AB8618" s="18">
        <f t="shared" si="268"/>
        <v>1996</v>
      </c>
      <c r="AC8618" s="22">
        <f t="shared" si="269"/>
        <v>0.67333333333333334</v>
      </c>
    </row>
    <row r="8619" spans="1:29">
      <c r="A8619" s="8" t="s">
        <v>6754</v>
      </c>
      <c r="B8619" s="17" t="s">
        <v>7800</v>
      </c>
      <c r="C8619" s="13">
        <v>35308</v>
      </c>
      <c r="D8619" s="13" t="s">
        <v>8465</v>
      </c>
      <c r="E8619" s="10" t="s">
        <v>6887</v>
      </c>
      <c r="F8619" s="10" t="s">
        <v>6887</v>
      </c>
      <c r="H8619" s="2" t="s">
        <v>1720</v>
      </c>
      <c r="L8619" s="18">
        <v>0</v>
      </c>
      <c r="Q8619" s="18">
        <v>0</v>
      </c>
      <c r="U8619" s="22">
        <v>0.75</v>
      </c>
      <c r="V8619" s="22">
        <f>4.09/5</f>
        <v>0.81799999999999995</v>
      </c>
      <c r="X8619" s="3">
        <v>3</v>
      </c>
      <c r="Z8619" s="23">
        <v>34.5</v>
      </c>
      <c r="AB8619" s="18">
        <f t="shared" si="268"/>
        <v>1996</v>
      </c>
      <c r="AC8619" s="22">
        <f t="shared" si="269"/>
        <v>0.72266666666666668</v>
      </c>
    </row>
    <row r="8620" spans="1:29">
      <c r="A8620" s="8" t="s">
        <v>4090</v>
      </c>
      <c r="B8620" s="17" t="s">
        <v>7800</v>
      </c>
      <c r="C8620" s="13">
        <v>35308</v>
      </c>
      <c r="D8620" s="13" t="s">
        <v>8465</v>
      </c>
      <c r="E8620" s="10" t="s">
        <v>4091</v>
      </c>
      <c r="F8620" s="10" t="s">
        <v>4092</v>
      </c>
      <c r="H8620" s="2" t="s">
        <v>67</v>
      </c>
      <c r="L8620" s="18">
        <v>1</v>
      </c>
      <c r="N8620" s="13">
        <v>41986</v>
      </c>
      <c r="O8620" s="29">
        <v>0.59</v>
      </c>
      <c r="P8620" s="18" t="s">
        <v>1107</v>
      </c>
      <c r="Q8620" s="18">
        <v>0</v>
      </c>
      <c r="U8620" s="22">
        <v>0.48</v>
      </c>
      <c r="V8620" s="22">
        <f>3.7/5</f>
        <v>0.74</v>
      </c>
      <c r="W8620" s="14" t="s">
        <v>7777</v>
      </c>
      <c r="X8620" s="3">
        <v>3</v>
      </c>
      <c r="Z8620" s="23">
        <v>7</v>
      </c>
      <c r="AB8620" s="18">
        <f t="shared" si="268"/>
        <v>1996</v>
      </c>
      <c r="AC8620" s="22">
        <f t="shared" si="269"/>
        <v>0.60666666666666658</v>
      </c>
    </row>
    <row r="8621" spans="1:29" ht="30">
      <c r="A8621" s="8" t="s">
        <v>2910</v>
      </c>
      <c r="B8621" s="17" t="s">
        <v>7757</v>
      </c>
      <c r="C8621" s="13">
        <v>35308</v>
      </c>
      <c r="D8621" s="13" t="s">
        <v>8465</v>
      </c>
      <c r="E8621" s="10" t="s">
        <v>1290</v>
      </c>
      <c r="F8621" s="10" t="s">
        <v>1160</v>
      </c>
      <c r="H8621" s="2" t="s">
        <v>149</v>
      </c>
      <c r="L8621" s="18">
        <v>0</v>
      </c>
      <c r="Q8621" s="18">
        <v>0</v>
      </c>
      <c r="U8621" s="22">
        <v>0.44</v>
      </c>
      <c r="V8621" s="22">
        <f>3.3/5</f>
        <v>0.65999999999999992</v>
      </c>
      <c r="X8621" s="3">
        <v>3</v>
      </c>
      <c r="Z8621" s="23">
        <v>31</v>
      </c>
      <c r="AB8621" s="18">
        <f t="shared" si="268"/>
        <v>1996</v>
      </c>
      <c r="AC8621" s="22">
        <f t="shared" si="269"/>
        <v>0.56666666666666654</v>
      </c>
    </row>
    <row r="8622" spans="1:29" ht="30">
      <c r="A8622" s="8" t="s">
        <v>11638</v>
      </c>
      <c r="B8622" s="17" t="s">
        <v>7757</v>
      </c>
      <c r="C8622" s="13">
        <v>35308</v>
      </c>
      <c r="D8622" s="13" t="s">
        <v>8465</v>
      </c>
      <c r="E8622" s="10" t="s">
        <v>2908</v>
      </c>
      <c r="F8622" s="10" t="s">
        <v>1375</v>
      </c>
      <c r="H8622" s="2" t="s">
        <v>1170</v>
      </c>
      <c r="L8622" s="18">
        <v>0</v>
      </c>
      <c r="Q8622" s="18">
        <v>0</v>
      </c>
      <c r="V8622" s="22">
        <f>3.59/5</f>
        <v>0.71799999999999997</v>
      </c>
      <c r="X8622" s="3">
        <v>2</v>
      </c>
      <c r="Z8622" s="23">
        <v>1</v>
      </c>
      <c r="AB8622" s="18">
        <f t="shared" si="268"/>
        <v>1996</v>
      </c>
      <c r="AC8622" s="22">
        <f t="shared" si="269"/>
        <v>0.55899999999999994</v>
      </c>
    </row>
    <row r="8623" spans="1:29">
      <c r="A8623" s="8" t="s">
        <v>8077</v>
      </c>
      <c r="B8623" s="17" t="s">
        <v>7757</v>
      </c>
      <c r="C8623" s="13">
        <v>35304</v>
      </c>
      <c r="D8623" s="13" t="s">
        <v>8465</v>
      </c>
      <c r="E8623" s="10" t="s">
        <v>5048</v>
      </c>
      <c r="F8623" s="10" t="s">
        <v>158</v>
      </c>
      <c r="G8623" s="11" t="s">
        <v>8076</v>
      </c>
      <c r="H8623" s="2" t="s">
        <v>459</v>
      </c>
      <c r="L8623" s="18">
        <v>0</v>
      </c>
      <c r="Q8623" s="18">
        <v>0</v>
      </c>
      <c r="U8623" s="22">
        <v>0.92500000000000004</v>
      </c>
      <c r="V8623" s="22">
        <f>3.94/5</f>
        <v>0.78800000000000003</v>
      </c>
      <c r="X8623" s="3">
        <v>2</v>
      </c>
      <c r="Z8623" s="23">
        <v>1</v>
      </c>
      <c r="AB8623" s="18">
        <f t="shared" si="268"/>
        <v>1996</v>
      </c>
      <c r="AC8623" s="22">
        <f t="shared" si="269"/>
        <v>0.70433333333333337</v>
      </c>
    </row>
    <row r="8624" spans="1:29">
      <c r="A8624" s="8" t="s">
        <v>11670</v>
      </c>
      <c r="B8624" s="17" t="s">
        <v>7736</v>
      </c>
      <c r="C8624" s="13">
        <v>35279</v>
      </c>
      <c r="D8624" s="13" t="s">
        <v>8463</v>
      </c>
      <c r="E8624" s="10" t="s">
        <v>62</v>
      </c>
      <c r="F8624" s="10" t="s">
        <v>11671</v>
      </c>
      <c r="G8624" s="11" t="s">
        <v>11669</v>
      </c>
      <c r="H8624" s="2" t="s">
        <v>149</v>
      </c>
      <c r="K8624" s="18">
        <v>2</v>
      </c>
      <c r="L8624" s="18">
        <v>0</v>
      </c>
      <c r="Q8624" s="18">
        <v>0</v>
      </c>
      <c r="V8624" s="22">
        <f>3.56/5</f>
        <v>0.71199999999999997</v>
      </c>
      <c r="X8624" s="3">
        <v>2</v>
      </c>
      <c r="AB8624" s="18">
        <f t="shared" si="268"/>
        <v>1996</v>
      </c>
      <c r="AC8624" s="22">
        <f t="shared" si="269"/>
        <v>0.55600000000000005</v>
      </c>
    </row>
    <row r="8625" spans="1:29">
      <c r="A8625" s="8" t="s">
        <v>2724</v>
      </c>
      <c r="B8625" s="17" t="s">
        <v>7754</v>
      </c>
      <c r="C8625" s="13">
        <v>35277</v>
      </c>
      <c r="D8625" s="13" t="s">
        <v>8465</v>
      </c>
      <c r="E8625" s="10" t="s">
        <v>455</v>
      </c>
      <c r="F8625" s="10" t="s">
        <v>1944</v>
      </c>
      <c r="G8625" s="11" t="s">
        <v>2521</v>
      </c>
      <c r="H8625" s="2" t="s">
        <v>80</v>
      </c>
      <c r="L8625" s="18">
        <v>0</v>
      </c>
      <c r="Q8625" s="18">
        <v>0</v>
      </c>
      <c r="U8625" s="22">
        <v>0.78</v>
      </c>
      <c r="V8625" s="22">
        <f>3.95/5</f>
        <v>0.79</v>
      </c>
      <c r="X8625" s="3">
        <v>3</v>
      </c>
      <c r="Z8625" s="23">
        <v>9</v>
      </c>
      <c r="AB8625" s="18">
        <f t="shared" si="268"/>
        <v>1996</v>
      </c>
      <c r="AC8625" s="22">
        <f t="shared" si="269"/>
        <v>0.72333333333333327</v>
      </c>
    </row>
    <row r="8626" spans="1:29" ht="30">
      <c r="A8626" s="8" t="s">
        <v>5617</v>
      </c>
      <c r="B8626" s="17" t="s">
        <v>7800</v>
      </c>
      <c r="C8626" s="13">
        <v>35277</v>
      </c>
      <c r="D8626" s="13" t="s">
        <v>8465</v>
      </c>
      <c r="E8626" s="10" t="s">
        <v>469</v>
      </c>
      <c r="F8626" s="10" t="s">
        <v>2666</v>
      </c>
      <c r="G8626" s="11" t="s">
        <v>5617</v>
      </c>
      <c r="H8626" s="2" t="s">
        <v>1143</v>
      </c>
      <c r="L8626" s="18">
        <v>1</v>
      </c>
      <c r="N8626" s="13">
        <v>42023</v>
      </c>
      <c r="P8626" s="18" t="s">
        <v>1107</v>
      </c>
      <c r="Q8626" s="18">
        <v>0</v>
      </c>
      <c r="U8626" s="22">
        <v>0.64</v>
      </c>
      <c r="V8626" s="22">
        <f>3.43/5</f>
        <v>0.68600000000000005</v>
      </c>
      <c r="W8626" s="14" t="s">
        <v>7777</v>
      </c>
      <c r="X8626" s="3">
        <v>2</v>
      </c>
      <c r="Z8626" s="23">
        <v>5</v>
      </c>
      <c r="AB8626" s="18">
        <f t="shared" si="268"/>
        <v>1996</v>
      </c>
      <c r="AC8626" s="22">
        <f t="shared" si="269"/>
        <v>0.57533333333333336</v>
      </c>
    </row>
    <row r="8627" spans="1:29">
      <c r="A8627" s="8" t="s">
        <v>775</v>
      </c>
      <c r="B8627" s="17" t="s">
        <v>7736</v>
      </c>
      <c r="C8627" s="13">
        <v>35272</v>
      </c>
      <c r="D8627" s="13" t="s">
        <v>8463</v>
      </c>
      <c r="E8627" s="10" t="s">
        <v>1388</v>
      </c>
      <c r="F8627" s="10" t="s">
        <v>1336</v>
      </c>
      <c r="G8627" s="11" t="s">
        <v>1337</v>
      </c>
      <c r="H8627" s="2" t="s">
        <v>149</v>
      </c>
      <c r="K8627" s="18">
        <v>2</v>
      </c>
      <c r="L8627" s="18">
        <v>0</v>
      </c>
      <c r="Q8627" s="18">
        <v>0</v>
      </c>
      <c r="V8627" s="22">
        <f>3.87/5</f>
        <v>0.77400000000000002</v>
      </c>
      <c r="X8627" s="3">
        <v>3</v>
      </c>
      <c r="Z8627" s="23">
        <v>46.5</v>
      </c>
      <c r="AB8627" s="18">
        <f t="shared" si="268"/>
        <v>1996</v>
      </c>
      <c r="AC8627" s="22">
        <f t="shared" si="269"/>
        <v>0.68700000000000006</v>
      </c>
    </row>
    <row r="8628" spans="1:29">
      <c r="A8628" s="8" t="s">
        <v>806</v>
      </c>
      <c r="B8628" s="17" t="s">
        <v>7736</v>
      </c>
      <c r="C8628" s="13">
        <v>35272</v>
      </c>
      <c r="D8628" s="13" t="s">
        <v>8463</v>
      </c>
      <c r="E8628" s="10" t="s">
        <v>1247</v>
      </c>
      <c r="F8628" s="10" t="s">
        <v>1289</v>
      </c>
      <c r="G8628" s="11" t="s">
        <v>1404</v>
      </c>
      <c r="H8628" s="2" t="s">
        <v>21</v>
      </c>
      <c r="K8628" s="18">
        <v>0</v>
      </c>
      <c r="L8628" s="18">
        <v>0</v>
      </c>
      <c r="Q8628" s="18">
        <v>0</v>
      </c>
      <c r="V8628" s="22">
        <f>3.65/5</f>
        <v>0.73</v>
      </c>
      <c r="X8628" s="3">
        <v>3</v>
      </c>
      <c r="AB8628" s="18">
        <f t="shared" si="268"/>
        <v>1996</v>
      </c>
      <c r="AC8628" s="22">
        <f t="shared" si="269"/>
        <v>0.66500000000000004</v>
      </c>
    </row>
    <row r="8629" spans="1:29">
      <c r="A8629" s="8" t="s">
        <v>763</v>
      </c>
      <c r="B8629" s="17" t="s">
        <v>7736</v>
      </c>
      <c r="C8629" s="13">
        <v>35272</v>
      </c>
      <c r="D8629" s="13" t="s">
        <v>8463</v>
      </c>
      <c r="E8629" s="10" t="s">
        <v>54</v>
      </c>
      <c r="F8629" s="10" t="s">
        <v>1269</v>
      </c>
      <c r="H8629" s="2" t="s">
        <v>75</v>
      </c>
      <c r="K8629" s="18">
        <v>2</v>
      </c>
      <c r="L8629" s="18">
        <v>0</v>
      </c>
      <c r="Q8629" s="18">
        <v>0</v>
      </c>
      <c r="V8629" s="22">
        <f>4.19/5</f>
        <v>0.83800000000000008</v>
      </c>
      <c r="X8629" s="3">
        <v>2</v>
      </c>
      <c r="Z8629" s="23">
        <v>23.5</v>
      </c>
      <c r="AB8629" s="18">
        <f t="shared" si="268"/>
        <v>1996</v>
      </c>
      <c r="AC8629" s="22">
        <f t="shared" si="269"/>
        <v>0.61899999999999999</v>
      </c>
    </row>
    <row r="8630" spans="1:29" ht="25.5">
      <c r="A8630" s="8" t="s">
        <v>11334</v>
      </c>
      <c r="B8630" s="17" t="s">
        <v>7757</v>
      </c>
      <c r="C8630" s="13">
        <v>35271</v>
      </c>
      <c r="D8630" s="13" t="s">
        <v>8465</v>
      </c>
      <c r="E8630" s="10" t="s">
        <v>76</v>
      </c>
      <c r="F8630" s="10" t="s">
        <v>76</v>
      </c>
      <c r="G8630" s="11" t="s">
        <v>11335</v>
      </c>
      <c r="H8630" s="2" t="s">
        <v>171</v>
      </c>
      <c r="L8630" s="18">
        <v>0</v>
      </c>
      <c r="Q8630" s="18">
        <v>0</v>
      </c>
      <c r="V8630" s="22">
        <f>3.67/5</f>
        <v>0.73399999999999999</v>
      </c>
      <c r="X8630" s="3">
        <v>2</v>
      </c>
      <c r="Z8630" s="23">
        <v>10.5</v>
      </c>
      <c r="AB8630" s="18">
        <f t="shared" si="268"/>
        <v>1996</v>
      </c>
      <c r="AC8630" s="22">
        <f t="shared" si="269"/>
        <v>0.56699999999999995</v>
      </c>
    </row>
    <row r="8631" spans="1:29">
      <c r="A8631" s="8" t="s">
        <v>840</v>
      </c>
      <c r="B8631" s="17" t="s">
        <v>7736</v>
      </c>
      <c r="C8631" s="13">
        <v>35265</v>
      </c>
      <c r="D8631" s="13" t="s">
        <v>8463</v>
      </c>
      <c r="E8631" s="10" t="s">
        <v>257</v>
      </c>
      <c r="F8631" s="10" t="s">
        <v>1423</v>
      </c>
      <c r="G8631" s="11" t="s">
        <v>840</v>
      </c>
      <c r="H8631" s="2" t="s">
        <v>149</v>
      </c>
      <c r="K8631" s="18">
        <v>2</v>
      </c>
      <c r="L8631" s="18">
        <v>0</v>
      </c>
      <c r="Q8631" s="18">
        <v>0</v>
      </c>
      <c r="U8631" s="22">
        <v>0.93</v>
      </c>
      <c r="V8631" s="22">
        <f>4.04/5</f>
        <v>0.80800000000000005</v>
      </c>
      <c r="X8631" s="3">
        <v>4</v>
      </c>
      <c r="Z8631" s="23">
        <v>21.5</v>
      </c>
      <c r="AB8631" s="18">
        <f t="shared" si="268"/>
        <v>1996</v>
      </c>
      <c r="AC8631" s="22">
        <f t="shared" si="269"/>
        <v>0.84600000000000009</v>
      </c>
    </row>
    <row r="8632" spans="1:29" ht="30">
      <c r="A8632" s="8" t="s">
        <v>12467</v>
      </c>
      <c r="B8632" s="17" t="s">
        <v>7757</v>
      </c>
      <c r="C8632" s="13">
        <v>35258</v>
      </c>
      <c r="D8632" s="13" t="s">
        <v>8463</v>
      </c>
      <c r="E8632" s="10" t="s">
        <v>2908</v>
      </c>
      <c r="F8632" s="10" t="s">
        <v>2908</v>
      </c>
      <c r="G8632" s="11" t="s">
        <v>11300</v>
      </c>
      <c r="H8632" s="2" t="s">
        <v>149</v>
      </c>
      <c r="K8632" s="18">
        <v>2</v>
      </c>
      <c r="L8632" s="18">
        <v>0</v>
      </c>
      <c r="Q8632" s="18">
        <v>0</v>
      </c>
      <c r="V8632" s="22">
        <f>3.77/5</f>
        <v>0.754</v>
      </c>
      <c r="X8632" s="3">
        <v>3</v>
      </c>
      <c r="Z8632" s="23">
        <v>23</v>
      </c>
      <c r="AB8632" s="18">
        <f t="shared" si="268"/>
        <v>1996</v>
      </c>
      <c r="AC8632" s="22">
        <f t="shared" si="269"/>
        <v>0.67700000000000005</v>
      </c>
    </row>
    <row r="8633" spans="1:29" ht="25.5">
      <c r="A8633" s="8" t="s">
        <v>496</v>
      </c>
      <c r="B8633" s="17" t="s">
        <v>7731</v>
      </c>
      <c r="C8633" s="13">
        <v>35244</v>
      </c>
      <c r="D8633" s="13" t="s">
        <v>8463</v>
      </c>
      <c r="E8633" s="10" t="s">
        <v>170</v>
      </c>
      <c r="F8633" s="10" t="s">
        <v>1222</v>
      </c>
      <c r="H8633" s="2" t="s">
        <v>459</v>
      </c>
      <c r="K8633" s="18">
        <v>0</v>
      </c>
      <c r="L8633" s="18">
        <v>0</v>
      </c>
      <c r="Q8633" s="18">
        <v>0</v>
      </c>
      <c r="V8633" s="22">
        <f>3.63/5</f>
        <v>0.72599999999999998</v>
      </c>
      <c r="X8633" s="3">
        <v>2</v>
      </c>
      <c r="Z8633" s="23">
        <f>49/60</f>
        <v>0.81666666666666665</v>
      </c>
      <c r="AB8633" s="18">
        <f t="shared" si="268"/>
        <v>1996</v>
      </c>
      <c r="AC8633" s="22">
        <f t="shared" si="269"/>
        <v>0.56299999999999994</v>
      </c>
    </row>
    <row r="8634" spans="1:29" ht="25.5">
      <c r="A8634" s="8" t="s">
        <v>772</v>
      </c>
      <c r="B8634" s="17" t="s">
        <v>7736</v>
      </c>
      <c r="C8634" s="13">
        <v>35244</v>
      </c>
      <c r="D8634" s="13" t="s">
        <v>8463</v>
      </c>
      <c r="E8634" s="10" t="s">
        <v>157</v>
      </c>
      <c r="F8634" s="10" t="s">
        <v>1386</v>
      </c>
      <c r="G8634" s="11" t="s">
        <v>1455</v>
      </c>
      <c r="H8634" s="2" t="s">
        <v>149</v>
      </c>
      <c r="K8634" s="18">
        <v>2</v>
      </c>
      <c r="L8634" s="18">
        <v>0</v>
      </c>
      <c r="Q8634" s="18">
        <v>0</v>
      </c>
      <c r="U8634" s="22">
        <v>0.2</v>
      </c>
      <c r="V8634" s="22">
        <f>2.98/5</f>
        <v>0.59599999999999997</v>
      </c>
      <c r="X8634" s="3">
        <v>3</v>
      </c>
      <c r="Z8634" s="23">
        <v>3.5</v>
      </c>
      <c r="AB8634" s="18">
        <f t="shared" si="268"/>
        <v>1996</v>
      </c>
      <c r="AC8634" s="22">
        <f t="shared" si="269"/>
        <v>0.46533333333333332</v>
      </c>
    </row>
    <row r="8635" spans="1:29">
      <c r="A8635" s="8" t="s">
        <v>14458</v>
      </c>
      <c r="B8635" s="17" t="s">
        <v>10908</v>
      </c>
      <c r="C8635" s="13">
        <v>35244</v>
      </c>
      <c r="D8635" s="13" t="s">
        <v>8463</v>
      </c>
      <c r="E8635" s="10" t="s">
        <v>10391</v>
      </c>
      <c r="F8635" s="10" t="s">
        <v>1200</v>
      </c>
      <c r="H8635" s="2" t="s">
        <v>67</v>
      </c>
      <c r="K8635" s="18">
        <v>0</v>
      </c>
      <c r="L8635" s="18">
        <v>0</v>
      </c>
      <c r="Q8635" s="18">
        <v>0</v>
      </c>
      <c r="V8635" s="22">
        <f>2.77/5</f>
        <v>0.55400000000000005</v>
      </c>
      <c r="X8635" s="3">
        <v>2</v>
      </c>
      <c r="AB8635" s="18">
        <f t="shared" si="268"/>
        <v>1996</v>
      </c>
      <c r="AC8635" s="22">
        <f t="shared" si="269"/>
        <v>0.47700000000000004</v>
      </c>
    </row>
    <row r="8636" spans="1:29" ht="30">
      <c r="A8636" s="8" t="s">
        <v>2722</v>
      </c>
      <c r="B8636" s="17" t="s">
        <v>7754</v>
      </c>
      <c r="C8636" s="13">
        <v>35243</v>
      </c>
      <c r="D8636" s="13" t="s">
        <v>8465</v>
      </c>
      <c r="E8636" s="10" t="s">
        <v>2701</v>
      </c>
      <c r="F8636" s="10" t="s">
        <v>2677</v>
      </c>
      <c r="G8636" s="11" t="s">
        <v>1661</v>
      </c>
      <c r="H8636" s="2" t="s">
        <v>80</v>
      </c>
      <c r="L8636" s="18">
        <v>0</v>
      </c>
      <c r="Q8636" s="18">
        <v>0</v>
      </c>
      <c r="U8636" s="22">
        <v>0.69</v>
      </c>
      <c r="V8636" s="22">
        <f>3.52/5</f>
        <v>0.70399999999999996</v>
      </c>
      <c r="X8636" s="3">
        <v>3</v>
      </c>
      <c r="Z8636" s="23">
        <v>9.5</v>
      </c>
      <c r="AB8636" s="18">
        <f t="shared" si="268"/>
        <v>1996</v>
      </c>
      <c r="AC8636" s="22">
        <f t="shared" si="269"/>
        <v>0.66466666666666663</v>
      </c>
    </row>
    <row r="8637" spans="1:29" ht="38.25">
      <c r="A8637" s="8" t="s">
        <v>11632</v>
      </c>
      <c r="B8637" s="17" t="s">
        <v>7736</v>
      </c>
      <c r="C8637" s="13">
        <v>35242</v>
      </c>
      <c r="D8637" s="13" t="s">
        <v>8463</v>
      </c>
      <c r="E8637" s="10" t="s">
        <v>167</v>
      </c>
      <c r="F8637" s="10" t="s">
        <v>167</v>
      </c>
      <c r="G8637" s="11" t="s">
        <v>1211</v>
      </c>
      <c r="H8637" s="2" t="s">
        <v>78</v>
      </c>
      <c r="K8637" s="18">
        <v>0</v>
      </c>
      <c r="L8637" s="18">
        <v>0</v>
      </c>
      <c r="Q8637" s="18">
        <v>0</v>
      </c>
      <c r="V8637" s="22">
        <f>3.42/5</f>
        <v>0.68399999999999994</v>
      </c>
      <c r="X8637" s="3">
        <v>2</v>
      </c>
      <c r="Z8637" s="23">
        <v>2</v>
      </c>
      <c r="AB8637" s="18">
        <f t="shared" si="268"/>
        <v>1996</v>
      </c>
      <c r="AC8637" s="22">
        <f t="shared" si="269"/>
        <v>0.54200000000000004</v>
      </c>
    </row>
    <row r="8638" spans="1:29">
      <c r="A8638" s="8" t="s">
        <v>6588</v>
      </c>
      <c r="B8638" s="17" t="s">
        <v>7800</v>
      </c>
      <c r="C8638" s="13">
        <v>35238</v>
      </c>
      <c r="D8638" s="13" t="s">
        <v>8465</v>
      </c>
      <c r="E8638" s="10" t="s">
        <v>6906</v>
      </c>
      <c r="F8638" s="10" t="s">
        <v>1889</v>
      </c>
      <c r="G8638" s="11" t="s">
        <v>6588</v>
      </c>
      <c r="H8638" s="2" t="s">
        <v>1050</v>
      </c>
      <c r="L8638" s="18">
        <v>0</v>
      </c>
      <c r="Q8638" s="18">
        <v>0</v>
      </c>
      <c r="U8638" s="22">
        <v>0.93</v>
      </c>
      <c r="V8638" s="22">
        <f>4.06/5</f>
        <v>0.81199999999999994</v>
      </c>
      <c r="X8638" s="3">
        <v>4</v>
      </c>
      <c r="Z8638" s="23">
        <v>5</v>
      </c>
      <c r="AB8638" s="18">
        <f t="shared" si="268"/>
        <v>1996</v>
      </c>
      <c r="AC8638" s="22">
        <f t="shared" si="269"/>
        <v>0.84733333333333327</v>
      </c>
    </row>
    <row r="8639" spans="1:29" ht="25.5">
      <c r="A8639" s="8" t="s">
        <v>748</v>
      </c>
      <c r="B8639" s="17" t="s">
        <v>7736</v>
      </c>
      <c r="C8639" s="13">
        <v>35230</v>
      </c>
      <c r="D8639" s="13" t="s">
        <v>8463</v>
      </c>
      <c r="E8639" s="10" t="s">
        <v>1268</v>
      </c>
      <c r="F8639" s="10" t="s">
        <v>1356</v>
      </c>
      <c r="H8639" s="2" t="s">
        <v>149</v>
      </c>
      <c r="K8639" s="18">
        <v>2</v>
      </c>
      <c r="L8639" s="18">
        <v>0</v>
      </c>
      <c r="Q8639" s="18">
        <v>0</v>
      </c>
      <c r="V8639" s="22">
        <f>3.45/5</f>
        <v>0.69000000000000006</v>
      </c>
      <c r="X8639" s="3">
        <v>3</v>
      </c>
      <c r="Z8639" s="23">
        <v>12</v>
      </c>
      <c r="AB8639" s="18">
        <f t="shared" si="268"/>
        <v>1996</v>
      </c>
      <c r="AC8639" s="22">
        <f t="shared" si="269"/>
        <v>0.64500000000000002</v>
      </c>
    </row>
    <row r="8640" spans="1:29">
      <c r="A8640" s="8" t="s">
        <v>9650</v>
      </c>
      <c r="B8640" s="17" t="s">
        <v>7800</v>
      </c>
      <c r="C8640" s="12">
        <v>35217</v>
      </c>
      <c r="D8640" s="13" t="s">
        <v>8465</v>
      </c>
      <c r="E8640" s="10" t="s">
        <v>6928</v>
      </c>
      <c r="F8640" s="10" t="s">
        <v>8032</v>
      </c>
      <c r="H8640" s="2" t="s">
        <v>67</v>
      </c>
      <c r="L8640" s="18">
        <v>0</v>
      </c>
      <c r="Q8640" s="18">
        <v>0</v>
      </c>
      <c r="V8640" s="22">
        <f>3.5/5</f>
        <v>0.7</v>
      </c>
      <c r="X8640" s="3">
        <v>2</v>
      </c>
      <c r="Z8640" s="23">
        <v>5</v>
      </c>
      <c r="AB8640" s="18">
        <f t="shared" si="268"/>
        <v>1996</v>
      </c>
      <c r="AC8640" s="22">
        <f t="shared" si="269"/>
        <v>0.55000000000000004</v>
      </c>
    </row>
    <row r="8641" spans="1:29">
      <c r="A8641" s="8" t="s">
        <v>5159</v>
      </c>
      <c r="B8641" s="17" t="s">
        <v>7800</v>
      </c>
      <c r="C8641" s="13">
        <v>35216</v>
      </c>
      <c r="D8641" s="13" t="s">
        <v>8465</v>
      </c>
      <c r="E8641" s="10" t="s">
        <v>8722</v>
      </c>
      <c r="F8641" s="10" t="s">
        <v>5160</v>
      </c>
      <c r="H8641" s="2" t="s">
        <v>1050</v>
      </c>
      <c r="L8641" s="18">
        <v>1</v>
      </c>
      <c r="N8641" s="13">
        <v>42129</v>
      </c>
      <c r="P8641" s="18" t="s">
        <v>1107</v>
      </c>
      <c r="Q8641" s="18">
        <v>0</v>
      </c>
      <c r="V8641" s="22">
        <f>3.79/5</f>
        <v>0.75800000000000001</v>
      </c>
      <c r="W8641" s="14" t="s">
        <v>7777</v>
      </c>
      <c r="X8641" s="3">
        <v>3</v>
      </c>
      <c r="Z8641" s="23">
        <v>6</v>
      </c>
      <c r="AB8641" s="18">
        <f t="shared" ref="AB8641:AB8704" si="270">IFERROR(YEAR(C8641), "Early Access")</f>
        <v>1996</v>
      </c>
      <c r="AC8641" s="22">
        <f t="shared" ref="AC8641:AC8704" si="271">AVERAGE(T8641, U8641, V8641, IF(ISBLANK(X8641), X8641, X8641/5))</f>
        <v>0.67900000000000005</v>
      </c>
    </row>
    <row r="8642" spans="1:29" ht="25.5">
      <c r="A8642" s="8" t="s">
        <v>13249</v>
      </c>
      <c r="B8642" s="17" t="s">
        <v>7800</v>
      </c>
      <c r="C8642" s="13">
        <v>35216</v>
      </c>
      <c r="D8642" s="13" t="s">
        <v>8465</v>
      </c>
      <c r="E8642" s="10" t="s">
        <v>6923</v>
      </c>
      <c r="F8642" s="10" t="s">
        <v>2697</v>
      </c>
      <c r="G8642" s="11" t="s">
        <v>13820</v>
      </c>
      <c r="H8642" s="2" t="s">
        <v>3937</v>
      </c>
      <c r="L8642" s="18">
        <v>0</v>
      </c>
      <c r="Q8642" s="18">
        <v>0</v>
      </c>
      <c r="V8642" s="22">
        <f>4.36/5</f>
        <v>0.87200000000000011</v>
      </c>
      <c r="X8642" s="3">
        <v>2</v>
      </c>
      <c r="Y8642" s="18">
        <v>1</v>
      </c>
      <c r="Z8642" s="23">
        <v>6</v>
      </c>
      <c r="AB8642" s="18">
        <f t="shared" si="270"/>
        <v>1996</v>
      </c>
      <c r="AC8642" s="22">
        <f t="shared" si="271"/>
        <v>0.63600000000000012</v>
      </c>
    </row>
    <row r="8643" spans="1:29">
      <c r="A8643" s="8" t="s">
        <v>14457</v>
      </c>
      <c r="B8643" s="17" t="s">
        <v>10908</v>
      </c>
      <c r="C8643" s="13">
        <v>35216</v>
      </c>
      <c r="D8643" s="13" t="s">
        <v>8463</v>
      </c>
      <c r="E8643" s="10" t="s">
        <v>10391</v>
      </c>
      <c r="F8643" s="10" t="s">
        <v>10480</v>
      </c>
      <c r="G8643" s="11" t="s">
        <v>13847</v>
      </c>
      <c r="H8643" s="2" t="s">
        <v>245</v>
      </c>
      <c r="K8643" s="18">
        <v>0</v>
      </c>
      <c r="L8643" s="18">
        <v>0</v>
      </c>
      <c r="Q8643" s="18">
        <v>0</v>
      </c>
      <c r="V8643" s="22">
        <f>4.12/5</f>
        <v>0.82400000000000007</v>
      </c>
      <c r="X8643" s="3">
        <v>2</v>
      </c>
      <c r="AB8643" s="18">
        <f t="shared" si="270"/>
        <v>1996</v>
      </c>
      <c r="AC8643" s="22">
        <f t="shared" si="271"/>
        <v>0.6120000000000001</v>
      </c>
    </row>
    <row r="8644" spans="1:29">
      <c r="A8644" s="8" t="s">
        <v>12112</v>
      </c>
      <c r="B8644" s="17" t="s">
        <v>7736</v>
      </c>
      <c r="C8644" s="13">
        <v>35216</v>
      </c>
      <c r="D8644" s="13" t="s">
        <v>8463</v>
      </c>
      <c r="E8644" s="10" t="s">
        <v>257</v>
      </c>
      <c r="F8644" s="10" t="s">
        <v>9089</v>
      </c>
      <c r="H8644" s="2" t="s">
        <v>75</v>
      </c>
      <c r="K8644" s="18">
        <v>2</v>
      </c>
      <c r="L8644" s="18">
        <v>0</v>
      </c>
      <c r="Q8644" s="18">
        <v>0</v>
      </c>
      <c r="V8644" s="22">
        <f>3.99/5</f>
        <v>0.79800000000000004</v>
      </c>
      <c r="X8644" s="3">
        <v>2</v>
      </c>
      <c r="Z8644" s="23">
        <v>17</v>
      </c>
      <c r="AB8644" s="18">
        <f t="shared" si="270"/>
        <v>1996</v>
      </c>
      <c r="AC8644" s="22">
        <f t="shared" si="271"/>
        <v>0.59899999999999998</v>
      </c>
    </row>
    <row r="8645" spans="1:29">
      <c r="A8645" s="8" t="s">
        <v>16043</v>
      </c>
      <c r="B8645" s="17" t="s">
        <v>7800</v>
      </c>
      <c r="C8645" s="13">
        <v>35216</v>
      </c>
      <c r="D8645" s="13" t="s">
        <v>8465</v>
      </c>
      <c r="E8645" s="10" t="s">
        <v>7826</v>
      </c>
      <c r="F8645" s="10" t="s">
        <v>16044</v>
      </c>
      <c r="G8645" s="11" t="s">
        <v>16035</v>
      </c>
      <c r="H8645" s="2" t="s">
        <v>1143</v>
      </c>
      <c r="L8645" s="18">
        <v>0</v>
      </c>
      <c r="Q8645" s="18">
        <v>0</v>
      </c>
      <c r="V8645" s="22">
        <f>3.57/5</f>
        <v>0.71399999999999997</v>
      </c>
      <c r="X8645" s="3">
        <v>2</v>
      </c>
      <c r="AB8645" s="18">
        <f t="shared" si="270"/>
        <v>1996</v>
      </c>
      <c r="AC8645" s="22">
        <f t="shared" si="271"/>
        <v>0.55699999999999994</v>
      </c>
    </row>
    <row r="8646" spans="1:29">
      <c r="A8646" s="8" t="s">
        <v>824</v>
      </c>
      <c r="B8646" s="17" t="s">
        <v>7736</v>
      </c>
      <c r="C8646" s="13">
        <v>35209</v>
      </c>
      <c r="D8646" s="13" t="s">
        <v>8463</v>
      </c>
      <c r="E8646" s="10" t="s">
        <v>161</v>
      </c>
      <c r="F8646" s="10" t="s">
        <v>1416</v>
      </c>
      <c r="H8646" s="2" t="s">
        <v>75</v>
      </c>
      <c r="K8646" s="18">
        <v>2</v>
      </c>
      <c r="L8646" s="18">
        <v>0</v>
      </c>
      <c r="Q8646" s="18">
        <v>0</v>
      </c>
      <c r="V8646" s="22">
        <f>4.05/5</f>
        <v>0.80999999999999994</v>
      </c>
      <c r="X8646" s="3">
        <v>4</v>
      </c>
      <c r="Z8646" s="23">
        <v>19.5</v>
      </c>
      <c r="AB8646" s="18">
        <f t="shared" si="270"/>
        <v>1996</v>
      </c>
      <c r="AC8646" s="22">
        <f t="shared" si="271"/>
        <v>0.80499999999999994</v>
      </c>
    </row>
    <row r="8647" spans="1:29" ht="25.5">
      <c r="A8647" s="8" t="s">
        <v>833</v>
      </c>
      <c r="B8647" s="17" t="s">
        <v>7736</v>
      </c>
      <c r="C8647" s="13">
        <v>35199</v>
      </c>
      <c r="D8647" s="13" t="s">
        <v>8463</v>
      </c>
      <c r="E8647" s="10" t="s">
        <v>86</v>
      </c>
      <c r="F8647" s="10" t="s">
        <v>1069</v>
      </c>
      <c r="G8647" s="11" t="s">
        <v>305</v>
      </c>
      <c r="H8647" s="2" t="s">
        <v>75</v>
      </c>
      <c r="K8647" s="18">
        <v>2</v>
      </c>
      <c r="L8647" s="18">
        <v>0</v>
      </c>
      <c r="Q8647" s="18">
        <v>0</v>
      </c>
      <c r="U8647" s="22">
        <v>0.7</v>
      </c>
      <c r="V8647" s="22">
        <f>4.33/5</f>
        <v>0.86599999999999999</v>
      </c>
      <c r="X8647" s="3">
        <v>4</v>
      </c>
      <c r="Z8647" s="23">
        <v>36</v>
      </c>
      <c r="AB8647" s="18">
        <f t="shared" si="270"/>
        <v>1996</v>
      </c>
      <c r="AC8647" s="22">
        <f t="shared" si="271"/>
        <v>0.78866666666666652</v>
      </c>
    </row>
    <row r="8648" spans="1:29">
      <c r="A8648" s="8" t="s">
        <v>14898</v>
      </c>
      <c r="B8648" s="17" t="s">
        <v>7757</v>
      </c>
      <c r="C8648" s="13">
        <v>35197</v>
      </c>
      <c r="D8648" s="13" t="s">
        <v>8465</v>
      </c>
      <c r="E8648" s="10" t="s">
        <v>72</v>
      </c>
      <c r="F8648" s="10" t="s">
        <v>72</v>
      </c>
      <c r="H8648" s="2" t="s">
        <v>1170</v>
      </c>
      <c r="L8648" s="18">
        <v>0</v>
      </c>
      <c r="Q8648" s="18">
        <v>0</v>
      </c>
      <c r="V8648" s="22">
        <f>2.58/5</f>
        <v>0.51600000000000001</v>
      </c>
      <c r="X8648" s="3">
        <v>2</v>
      </c>
      <c r="Z8648" s="23">
        <v>1</v>
      </c>
      <c r="AB8648" s="18">
        <f t="shared" si="270"/>
        <v>1996</v>
      </c>
      <c r="AC8648" s="22">
        <f t="shared" si="271"/>
        <v>0.45800000000000002</v>
      </c>
    </row>
    <row r="8649" spans="1:29">
      <c r="A8649" s="8" t="s">
        <v>7632</v>
      </c>
      <c r="B8649" s="17" t="s">
        <v>7745</v>
      </c>
      <c r="C8649" s="13">
        <v>35189</v>
      </c>
      <c r="D8649" s="13" t="s">
        <v>8465</v>
      </c>
      <c r="E8649" s="10" t="s">
        <v>86</v>
      </c>
      <c r="F8649" s="10" t="s">
        <v>30</v>
      </c>
      <c r="G8649" s="11" t="s">
        <v>223</v>
      </c>
      <c r="H8649" s="2" t="s">
        <v>78</v>
      </c>
      <c r="L8649" s="18">
        <v>0</v>
      </c>
      <c r="Q8649" s="18">
        <v>0</v>
      </c>
      <c r="U8649" s="22">
        <v>0.73</v>
      </c>
      <c r="V8649" s="22">
        <f>3.72/5</f>
        <v>0.74399999999999999</v>
      </c>
      <c r="X8649" s="3">
        <v>2</v>
      </c>
      <c r="Z8649" s="23">
        <v>2.5</v>
      </c>
      <c r="AB8649" s="18">
        <f t="shared" si="270"/>
        <v>1996</v>
      </c>
      <c r="AC8649" s="22">
        <f t="shared" si="271"/>
        <v>0.6246666666666667</v>
      </c>
    </row>
    <row r="8650" spans="1:29" ht="25.5">
      <c r="A8650" s="8" t="s">
        <v>15900</v>
      </c>
      <c r="B8650" s="17" t="s">
        <v>6317</v>
      </c>
      <c r="C8650" s="12">
        <v>35186</v>
      </c>
      <c r="D8650" s="13" t="s">
        <v>8465</v>
      </c>
      <c r="E8650" s="10" t="s">
        <v>154</v>
      </c>
      <c r="F8650" s="10" t="s">
        <v>14882</v>
      </c>
      <c r="G8650" s="11" t="s">
        <v>207</v>
      </c>
      <c r="H8650" s="2" t="s">
        <v>153</v>
      </c>
      <c r="L8650" s="18">
        <v>0</v>
      </c>
      <c r="Q8650" s="18">
        <v>0</v>
      </c>
      <c r="V8650" s="22">
        <f>2.3/5</f>
        <v>0.45999999999999996</v>
      </c>
      <c r="X8650" s="3">
        <v>2</v>
      </c>
      <c r="Z8650" s="23">
        <v>1</v>
      </c>
      <c r="AB8650" s="18">
        <f t="shared" si="270"/>
        <v>1996</v>
      </c>
      <c r="AC8650" s="22">
        <f t="shared" si="271"/>
        <v>0.43</v>
      </c>
    </row>
    <row r="8651" spans="1:29">
      <c r="A8651" s="8" t="s">
        <v>704</v>
      </c>
      <c r="B8651" s="17" t="s">
        <v>7800</v>
      </c>
      <c r="C8651" s="13">
        <v>35185</v>
      </c>
      <c r="D8651" s="13" t="s">
        <v>8465</v>
      </c>
      <c r="E8651" s="10" t="s">
        <v>1333</v>
      </c>
      <c r="F8651" s="10" t="s">
        <v>1332</v>
      </c>
      <c r="G8651" s="11" t="s">
        <v>703</v>
      </c>
      <c r="H8651" s="2" t="s">
        <v>64</v>
      </c>
      <c r="L8651" s="18">
        <v>1</v>
      </c>
      <c r="N8651" s="13">
        <v>42046</v>
      </c>
      <c r="O8651" s="29">
        <v>0</v>
      </c>
      <c r="P8651" s="18" t="s">
        <v>1107</v>
      </c>
      <c r="Q8651" s="18">
        <v>0</v>
      </c>
      <c r="V8651" s="22">
        <f>3.85/5</f>
        <v>0.77</v>
      </c>
      <c r="W8651" s="14" t="s">
        <v>7778</v>
      </c>
      <c r="X8651" s="3">
        <v>4</v>
      </c>
      <c r="Z8651" s="23">
        <v>3</v>
      </c>
      <c r="AB8651" s="18">
        <f t="shared" si="270"/>
        <v>1996</v>
      </c>
      <c r="AC8651" s="22">
        <f t="shared" si="271"/>
        <v>0.78500000000000003</v>
      </c>
    </row>
    <row r="8652" spans="1:29" ht="25.5">
      <c r="A8652" s="8" t="s">
        <v>11725</v>
      </c>
      <c r="B8652" s="17" t="s">
        <v>7757</v>
      </c>
      <c r="C8652" s="13">
        <v>35181</v>
      </c>
      <c r="D8652" s="13" t="s">
        <v>8463</v>
      </c>
      <c r="E8652" s="10" t="s">
        <v>11726</v>
      </c>
      <c r="F8652" s="10" t="s">
        <v>11726</v>
      </c>
      <c r="H8652" s="2" t="s">
        <v>149</v>
      </c>
      <c r="K8652" s="18">
        <v>0</v>
      </c>
      <c r="L8652" s="18">
        <v>0</v>
      </c>
      <c r="Q8652" s="18">
        <v>0</v>
      </c>
      <c r="V8652" s="22">
        <f>3.56/5</f>
        <v>0.71199999999999997</v>
      </c>
      <c r="X8652" s="3">
        <v>2</v>
      </c>
      <c r="AB8652" s="18">
        <f t="shared" si="270"/>
        <v>1996</v>
      </c>
      <c r="AC8652" s="22">
        <f t="shared" si="271"/>
        <v>0.55600000000000005</v>
      </c>
    </row>
    <row r="8653" spans="1:29" ht="30">
      <c r="A8653" s="8" t="s">
        <v>6547</v>
      </c>
      <c r="B8653" s="17" t="s">
        <v>7800</v>
      </c>
      <c r="C8653" s="13">
        <v>35177</v>
      </c>
      <c r="D8653" s="13" t="s">
        <v>8465</v>
      </c>
      <c r="E8653" s="10" t="s">
        <v>469</v>
      </c>
      <c r="F8653" s="10" t="s">
        <v>2654</v>
      </c>
      <c r="G8653" s="11" t="s">
        <v>3043</v>
      </c>
      <c r="H8653" s="2" t="s">
        <v>1143</v>
      </c>
      <c r="L8653" s="18">
        <v>1</v>
      </c>
      <c r="N8653" s="13">
        <v>41627</v>
      </c>
      <c r="O8653" s="29">
        <v>0.33</v>
      </c>
      <c r="P8653" s="18" t="s">
        <v>1107</v>
      </c>
      <c r="Q8653" s="18">
        <v>0</v>
      </c>
      <c r="U8653" s="22">
        <v>0.72</v>
      </c>
      <c r="V8653" s="22">
        <f>3.61/5</f>
        <v>0.72199999999999998</v>
      </c>
      <c r="W8653" s="14" t="s">
        <v>7796</v>
      </c>
      <c r="X8653" s="3">
        <v>2</v>
      </c>
      <c r="Z8653" s="23">
        <v>4</v>
      </c>
      <c r="AB8653" s="18">
        <f t="shared" si="270"/>
        <v>1996</v>
      </c>
      <c r="AC8653" s="22">
        <f t="shared" si="271"/>
        <v>0.61399999999999999</v>
      </c>
    </row>
    <row r="8654" spans="1:29" ht="25.5">
      <c r="A8654" s="8" t="s">
        <v>767</v>
      </c>
      <c r="B8654" s="17" t="s">
        <v>7736</v>
      </c>
      <c r="C8654" s="13">
        <v>35174</v>
      </c>
      <c r="D8654" s="13" t="s">
        <v>8463</v>
      </c>
      <c r="E8654" s="10" t="s">
        <v>1380</v>
      </c>
      <c r="F8654" s="10" t="s">
        <v>1381</v>
      </c>
      <c r="H8654" s="2" t="s">
        <v>149</v>
      </c>
      <c r="K8654" s="18">
        <v>2</v>
      </c>
      <c r="L8654" s="18">
        <v>0</v>
      </c>
      <c r="Q8654" s="18">
        <v>0</v>
      </c>
      <c r="V8654" s="22">
        <f>3.73/5</f>
        <v>0.746</v>
      </c>
      <c r="X8654" s="3">
        <v>2</v>
      </c>
      <c r="Z8654" s="23">
        <v>13.5</v>
      </c>
      <c r="AB8654" s="18">
        <f t="shared" si="270"/>
        <v>1996</v>
      </c>
      <c r="AC8654" s="22">
        <f t="shared" si="271"/>
        <v>0.57299999999999995</v>
      </c>
    </row>
    <row r="8655" spans="1:29">
      <c r="A8655" s="8" t="s">
        <v>12303</v>
      </c>
      <c r="B8655" s="17" t="s">
        <v>7754</v>
      </c>
      <c r="C8655" s="13">
        <v>35171</v>
      </c>
      <c r="D8655" s="13" t="s">
        <v>8465</v>
      </c>
      <c r="E8655" s="10" t="s">
        <v>1333</v>
      </c>
      <c r="F8655" s="10" t="s">
        <v>6604</v>
      </c>
      <c r="H8655" s="2" t="s">
        <v>153</v>
      </c>
      <c r="L8655" s="18">
        <v>0</v>
      </c>
      <c r="Q8655" s="18">
        <v>0</v>
      </c>
      <c r="V8655" s="22">
        <f>2.82/5</f>
        <v>0.56399999999999995</v>
      </c>
      <c r="X8655" s="3">
        <v>2</v>
      </c>
      <c r="Z8655" s="23">
        <v>2.5</v>
      </c>
      <c r="AB8655" s="18">
        <f t="shared" si="270"/>
        <v>1996</v>
      </c>
      <c r="AC8655" s="22">
        <f t="shared" si="271"/>
        <v>0.48199999999999998</v>
      </c>
    </row>
    <row r="8656" spans="1:29">
      <c r="A8656" s="8" t="s">
        <v>797</v>
      </c>
      <c r="B8656" s="17" t="s">
        <v>7736</v>
      </c>
      <c r="C8656" s="13">
        <v>35160</v>
      </c>
      <c r="D8656" s="13" t="s">
        <v>8463</v>
      </c>
      <c r="E8656" s="10" t="s">
        <v>161</v>
      </c>
      <c r="F8656" s="10" t="s">
        <v>161</v>
      </c>
      <c r="H8656" s="2" t="s">
        <v>149</v>
      </c>
      <c r="K8656" s="18">
        <v>2</v>
      </c>
      <c r="L8656" s="18">
        <v>0</v>
      </c>
      <c r="Q8656" s="18">
        <v>0</v>
      </c>
      <c r="U8656" s="22">
        <v>0.88</v>
      </c>
      <c r="V8656" s="22">
        <f>4.08/5</f>
        <v>0.81600000000000006</v>
      </c>
      <c r="X8656" s="3">
        <v>4</v>
      </c>
      <c r="Z8656" s="23">
        <v>27.5</v>
      </c>
      <c r="AB8656" s="18">
        <f t="shared" si="270"/>
        <v>1996</v>
      </c>
      <c r="AC8656" s="22">
        <f t="shared" si="271"/>
        <v>0.83200000000000018</v>
      </c>
    </row>
    <row r="8657" spans="1:29">
      <c r="A8657" s="8" t="s">
        <v>11209</v>
      </c>
      <c r="B8657" s="17" t="s">
        <v>7754</v>
      </c>
      <c r="C8657" s="13">
        <v>35156</v>
      </c>
      <c r="D8657" s="13" t="s">
        <v>8465</v>
      </c>
      <c r="E8657" s="10" t="s">
        <v>2701</v>
      </c>
      <c r="F8657" s="10" t="s">
        <v>455</v>
      </c>
      <c r="G8657" s="11" t="s">
        <v>259</v>
      </c>
      <c r="H8657" s="2" t="s">
        <v>75</v>
      </c>
      <c r="L8657" s="18">
        <v>0</v>
      </c>
      <c r="Q8657" s="18">
        <v>0</v>
      </c>
      <c r="V8657" s="22">
        <f>4.05/5</f>
        <v>0.80999999999999994</v>
      </c>
      <c r="X8657" s="3">
        <v>2</v>
      </c>
      <c r="AB8657" s="18">
        <f t="shared" si="270"/>
        <v>1996</v>
      </c>
      <c r="AC8657" s="22">
        <f t="shared" si="271"/>
        <v>0.60499999999999998</v>
      </c>
    </row>
    <row r="8658" spans="1:29">
      <c r="A8658" s="8" t="s">
        <v>6771</v>
      </c>
      <c r="B8658" s="17" t="s">
        <v>7800</v>
      </c>
      <c r="C8658" s="13">
        <v>35155</v>
      </c>
      <c r="D8658" s="13" t="s">
        <v>8465</v>
      </c>
      <c r="E8658" s="10" t="s">
        <v>1889</v>
      </c>
      <c r="F8658" s="10" t="s">
        <v>5017</v>
      </c>
      <c r="G8658" s="11" t="s">
        <v>6771</v>
      </c>
      <c r="H8658" s="2" t="s">
        <v>1050</v>
      </c>
      <c r="L8658" s="18">
        <v>1</v>
      </c>
      <c r="N8658" s="13">
        <v>45117</v>
      </c>
      <c r="O8658" s="29">
        <v>2.99</v>
      </c>
      <c r="P8658" s="18" t="s">
        <v>1107</v>
      </c>
      <c r="Q8658" s="18">
        <v>0</v>
      </c>
      <c r="V8658" s="22">
        <f>3.75/5</f>
        <v>0.75</v>
      </c>
      <c r="W8658" s="14" t="s">
        <v>7777</v>
      </c>
      <c r="X8658" s="3">
        <v>3</v>
      </c>
      <c r="Z8658" s="23">
        <v>8</v>
      </c>
      <c r="AB8658" s="18">
        <f t="shared" si="270"/>
        <v>1996</v>
      </c>
      <c r="AC8658" s="22">
        <f t="shared" si="271"/>
        <v>0.67500000000000004</v>
      </c>
    </row>
    <row r="8659" spans="1:29">
      <c r="A8659" s="8" t="s">
        <v>943</v>
      </c>
      <c r="B8659" s="17" t="s">
        <v>7757</v>
      </c>
      <c r="C8659" s="13">
        <v>35154</v>
      </c>
      <c r="D8659" s="13" t="s">
        <v>8465</v>
      </c>
      <c r="E8659" s="10" t="s">
        <v>73</v>
      </c>
      <c r="F8659" s="10" t="s">
        <v>73</v>
      </c>
      <c r="G8659" s="11" t="s">
        <v>943</v>
      </c>
      <c r="H8659" s="2" t="s">
        <v>1061</v>
      </c>
      <c r="L8659" s="18">
        <v>0</v>
      </c>
      <c r="Q8659" s="18">
        <v>0</v>
      </c>
      <c r="U8659" s="22">
        <v>0.87</v>
      </c>
      <c r="V8659" s="22">
        <f>4.11/5</f>
        <v>0.82200000000000006</v>
      </c>
      <c r="X8659" s="3">
        <v>4</v>
      </c>
      <c r="Y8659" s="18">
        <v>1</v>
      </c>
      <c r="Z8659" s="23">
        <v>7</v>
      </c>
      <c r="AB8659" s="18">
        <f t="shared" si="270"/>
        <v>1996</v>
      </c>
      <c r="AC8659" s="22">
        <f t="shared" si="271"/>
        <v>0.83066666666666666</v>
      </c>
    </row>
    <row r="8660" spans="1:29" ht="25.5">
      <c r="A8660" s="8" t="s">
        <v>786</v>
      </c>
      <c r="B8660" s="17" t="s">
        <v>7736</v>
      </c>
      <c r="C8660" s="13">
        <v>35153</v>
      </c>
      <c r="D8660" s="13" t="s">
        <v>8463</v>
      </c>
      <c r="E8660" s="10" t="s">
        <v>157</v>
      </c>
      <c r="F8660" s="10" t="s">
        <v>66</v>
      </c>
      <c r="G8660" s="11" t="s">
        <v>1395</v>
      </c>
      <c r="H8660" s="2" t="s">
        <v>459</v>
      </c>
      <c r="K8660" s="18">
        <v>2</v>
      </c>
      <c r="L8660" s="18">
        <v>0</v>
      </c>
      <c r="Q8660" s="18">
        <v>0</v>
      </c>
      <c r="V8660" s="22">
        <f>4.18/5</f>
        <v>0.83599999999999997</v>
      </c>
      <c r="X8660" s="3">
        <v>3</v>
      </c>
      <c r="Z8660" s="23">
        <f>41/60</f>
        <v>0.68333333333333335</v>
      </c>
      <c r="AB8660" s="18">
        <f t="shared" si="270"/>
        <v>1996</v>
      </c>
      <c r="AC8660" s="22">
        <f t="shared" si="271"/>
        <v>0.71799999999999997</v>
      </c>
    </row>
    <row r="8661" spans="1:29" ht="25.5">
      <c r="A8661" s="8" t="s">
        <v>13784</v>
      </c>
      <c r="B8661" s="17" t="s">
        <v>7757</v>
      </c>
      <c r="C8661" s="13">
        <v>35153</v>
      </c>
      <c r="D8661" s="13" t="s">
        <v>8463</v>
      </c>
      <c r="E8661" s="10" t="s">
        <v>11805</v>
      </c>
      <c r="F8661" s="10" t="s">
        <v>1794</v>
      </c>
      <c r="H8661" s="2" t="s">
        <v>78</v>
      </c>
      <c r="K8661" s="18">
        <v>0</v>
      </c>
      <c r="L8661" s="18">
        <v>0</v>
      </c>
      <c r="Q8661" s="18">
        <v>0</v>
      </c>
      <c r="V8661" s="22">
        <f>4/5</f>
        <v>0.8</v>
      </c>
      <c r="X8661" s="3">
        <v>2</v>
      </c>
      <c r="AB8661" s="18">
        <f t="shared" si="270"/>
        <v>1996</v>
      </c>
      <c r="AC8661" s="22">
        <f t="shared" si="271"/>
        <v>0.60000000000000009</v>
      </c>
    </row>
    <row r="8662" spans="1:29" ht="25.5">
      <c r="A8662" s="8" t="s">
        <v>830</v>
      </c>
      <c r="B8662" s="17" t="s">
        <v>7736</v>
      </c>
      <c r="C8662" s="13">
        <v>35146</v>
      </c>
      <c r="D8662" s="13" t="s">
        <v>8463</v>
      </c>
      <c r="E8662" s="10" t="s">
        <v>62</v>
      </c>
      <c r="F8662" s="10" t="s">
        <v>62</v>
      </c>
      <c r="G8662" s="11" t="s">
        <v>7637</v>
      </c>
      <c r="H8662" s="2" t="s">
        <v>64</v>
      </c>
      <c r="K8662" s="18">
        <v>2</v>
      </c>
      <c r="L8662" s="18">
        <v>0</v>
      </c>
      <c r="Q8662" s="18">
        <v>0</v>
      </c>
      <c r="U8662" s="22">
        <v>0.82</v>
      </c>
      <c r="V8662" s="22">
        <f>3.8/5</f>
        <v>0.76</v>
      </c>
      <c r="X8662" s="3">
        <v>4</v>
      </c>
      <c r="Z8662" s="23">
        <v>5.5</v>
      </c>
      <c r="AB8662" s="18">
        <f t="shared" si="270"/>
        <v>1996</v>
      </c>
      <c r="AC8662" s="22">
        <f t="shared" si="271"/>
        <v>0.79333333333333333</v>
      </c>
    </row>
    <row r="8663" spans="1:29" ht="38.25">
      <c r="A8663" s="8" t="s">
        <v>9189</v>
      </c>
      <c r="B8663" s="17" t="s">
        <v>7736</v>
      </c>
      <c r="C8663" s="13">
        <v>35146</v>
      </c>
      <c r="D8663" s="13" t="s">
        <v>8463</v>
      </c>
      <c r="E8663" s="10" t="s">
        <v>470</v>
      </c>
      <c r="F8663" s="10" t="s">
        <v>471</v>
      </c>
      <c r="G8663" s="11" t="s">
        <v>299</v>
      </c>
      <c r="H8663" s="2" t="s">
        <v>75</v>
      </c>
      <c r="K8663" s="18">
        <v>2</v>
      </c>
      <c r="L8663" s="18">
        <v>0</v>
      </c>
      <c r="Q8663" s="18">
        <v>0</v>
      </c>
      <c r="V8663" s="22">
        <f>4.05/5</f>
        <v>0.80999999999999994</v>
      </c>
      <c r="X8663" s="3">
        <v>3</v>
      </c>
      <c r="AB8663" s="18">
        <f t="shared" si="270"/>
        <v>1996</v>
      </c>
      <c r="AC8663" s="22">
        <f t="shared" si="271"/>
        <v>0.70499999999999996</v>
      </c>
    </row>
    <row r="8664" spans="1:29">
      <c r="A8664" s="8" t="s">
        <v>11843</v>
      </c>
      <c r="B8664" s="17" t="s">
        <v>7751</v>
      </c>
      <c r="C8664" s="13">
        <v>35146</v>
      </c>
      <c r="D8664" s="13" t="s">
        <v>8463</v>
      </c>
      <c r="E8664" s="10" t="s">
        <v>167</v>
      </c>
      <c r="F8664" s="10" t="s">
        <v>167</v>
      </c>
      <c r="G8664" s="11" t="s">
        <v>9777</v>
      </c>
      <c r="H8664" s="2" t="s">
        <v>149</v>
      </c>
      <c r="K8664" s="18">
        <v>2</v>
      </c>
      <c r="L8664" s="18">
        <v>0</v>
      </c>
      <c r="Q8664" s="18">
        <v>0</v>
      </c>
      <c r="V8664" s="22">
        <f>3.5/5</f>
        <v>0.7</v>
      </c>
      <c r="X8664" s="3">
        <v>3</v>
      </c>
      <c r="Z8664" s="23">
        <v>11</v>
      </c>
      <c r="AB8664" s="18">
        <f t="shared" si="270"/>
        <v>1996</v>
      </c>
      <c r="AC8664" s="22">
        <f t="shared" si="271"/>
        <v>0.64999999999999991</v>
      </c>
    </row>
    <row r="8665" spans="1:29" ht="38.25">
      <c r="A8665" s="8" t="s">
        <v>10392</v>
      </c>
      <c r="B8665" s="17" t="s">
        <v>7757</v>
      </c>
      <c r="C8665" s="13">
        <v>35146</v>
      </c>
      <c r="D8665" s="13" t="s">
        <v>8463</v>
      </c>
      <c r="E8665" s="10" t="s">
        <v>72</v>
      </c>
      <c r="F8665" s="10" t="s">
        <v>72</v>
      </c>
      <c r="G8665" s="11" t="s">
        <v>302</v>
      </c>
      <c r="H8665" s="2" t="s">
        <v>80</v>
      </c>
      <c r="K8665" s="18">
        <v>2</v>
      </c>
      <c r="L8665" s="18">
        <v>0</v>
      </c>
      <c r="Q8665" s="18">
        <v>0</v>
      </c>
      <c r="V8665" s="22">
        <f>3.99/5</f>
        <v>0.79800000000000004</v>
      </c>
      <c r="X8665" s="3">
        <v>2</v>
      </c>
      <c r="AB8665" s="18">
        <f t="shared" si="270"/>
        <v>1996</v>
      </c>
      <c r="AC8665" s="22">
        <f t="shared" si="271"/>
        <v>0.59899999999999998</v>
      </c>
    </row>
    <row r="8666" spans="1:29">
      <c r="A8666" s="8" t="s">
        <v>15989</v>
      </c>
      <c r="B8666" s="17" t="s">
        <v>7738</v>
      </c>
      <c r="C8666" s="13">
        <v>35146</v>
      </c>
      <c r="D8666" s="13" t="s">
        <v>8465</v>
      </c>
      <c r="E8666" s="10" t="s">
        <v>86</v>
      </c>
      <c r="F8666" s="10" t="s">
        <v>1427</v>
      </c>
      <c r="G8666" s="11" t="s">
        <v>98</v>
      </c>
      <c r="H8666" s="2" t="s">
        <v>78</v>
      </c>
      <c r="L8666" s="18">
        <v>0</v>
      </c>
      <c r="Q8666" s="18">
        <v>0</v>
      </c>
      <c r="V8666" s="22">
        <f>2.97/5</f>
        <v>0.59400000000000008</v>
      </c>
      <c r="X8666" s="3">
        <v>2</v>
      </c>
      <c r="Z8666" s="23">
        <v>1</v>
      </c>
      <c r="AB8666" s="18">
        <f t="shared" si="270"/>
        <v>1996</v>
      </c>
      <c r="AC8666" s="22">
        <f t="shared" si="271"/>
        <v>0.49700000000000005</v>
      </c>
    </row>
    <row r="8667" spans="1:29" ht="25.5">
      <c r="A8667" s="8" t="s">
        <v>11803</v>
      </c>
      <c r="B8667" s="17" t="s">
        <v>7736</v>
      </c>
      <c r="C8667" s="13">
        <v>35139</v>
      </c>
      <c r="D8667" s="13" t="s">
        <v>8463</v>
      </c>
      <c r="E8667" s="10" t="s">
        <v>8140</v>
      </c>
      <c r="F8667" s="10" t="s">
        <v>1269</v>
      </c>
      <c r="H8667" s="2" t="s">
        <v>171</v>
      </c>
      <c r="K8667" s="18">
        <v>2</v>
      </c>
      <c r="L8667" s="18">
        <v>0</v>
      </c>
      <c r="Q8667" s="18">
        <v>0</v>
      </c>
      <c r="V8667" s="22">
        <f>4.18/5</f>
        <v>0.83599999999999997</v>
      </c>
      <c r="X8667" s="3">
        <v>3</v>
      </c>
      <c r="AB8667" s="18">
        <f t="shared" si="270"/>
        <v>1996</v>
      </c>
      <c r="AC8667" s="22">
        <f t="shared" si="271"/>
        <v>0.71799999999999997</v>
      </c>
    </row>
    <row r="8668" spans="1:29">
      <c r="A8668" s="8" t="s">
        <v>8674</v>
      </c>
      <c r="B8668" s="17" t="s">
        <v>7754</v>
      </c>
      <c r="C8668" s="13">
        <v>35139</v>
      </c>
      <c r="D8668" s="13" t="s">
        <v>8463</v>
      </c>
      <c r="E8668" s="10" t="s">
        <v>455</v>
      </c>
      <c r="F8668" s="10" t="s">
        <v>1974</v>
      </c>
      <c r="H8668" s="2" t="s">
        <v>171</v>
      </c>
      <c r="K8668" s="18">
        <v>2</v>
      </c>
      <c r="L8668" s="18">
        <v>0</v>
      </c>
      <c r="Q8668" s="18">
        <v>0</v>
      </c>
      <c r="V8668" s="22">
        <f>3.9/5</f>
        <v>0.78</v>
      </c>
      <c r="X8668" s="3">
        <v>3</v>
      </c>
      <c r="Z8668" s="23">
        <v>7</v>
      </c>
      <c r="AB8668" s="18">
        <f t="shared" si="270"/>
        <v>1996</v>
      </c>
      <c r="AC8668" s="22">
        <f t="shared" si="271"/>
        <v>0.69</v>
      </c>
    </row>
    <row r="8669" spans="1:29" ht="38.25">
      <c r="A8669" s="8" t="s">
        <v>10929</v>
      </c>
      <c r="B8669" s="17" t="s">
        <v>10323</v>
      </c>
      <c r="C8669" s="13">
        <v>35139</v>
      </c>
      <c r="D8669" s="13" t="s">
        <v>8463</v>
      </c>
      <c r="E8669" s="10" t="s">
        <v>10930</v>
      </c>
      <c r="F8669" s="10" t="s">
        <v>10931</v>
      </c>
      <c r="G8669" s="11" t="s">
        <v>10932</v>
      </c>
      <c r="H8669" s="2" t="s">
        <v>75</v>
      </c>
      <c r="K8669" s="18">
        <v>0</v>
      </c>
      <c r="L8669" s="18">
        <v>0</v>
      </c>
      <c r="Q8669" s="18">
        <v>0</v>
      </c>
      <c r="X8669" s="3">
        <v>2</v>
      </c>
      <c r="AB8669" s="18">
        <f t="shared" si="270"/>
        <v>1996</v>
      </c>
      <c r="AC8669" s="22">
        <f t="shared" si="271"/>
        <v>0.4</v>
      </c>
    </row>
    <row r="8670" spans="1:29" ht="25.5">
      <c r="A8670" s="8" t="s">
        <v>504</v>
      </c>
      <c r="B8670" s="17" t="s">
        <v>7731</v>
      </c>
      <c r="C8670" s="13">
        <v>35136</v>
      </c>
      <c r="D8670" s="13" t="s">
        <v>8465</v>
      </c>
      <c r="E8670" s="10" t="s">
        <v>170</v>
      </c>
      <c r="F8670" s="10" t="s">
        <v>170</v>
      </c>
      <c r="G8670" s="11" t="s">
        <v>502</v>
      </c>
      <c r="H8670" s="2" t="s">
        <v>459</v>
      </c>
      <c r="L8670" s="18">
        <v>0</v>
      </c>
      <c r="Q8670" s="18">
        <v>0</v>
      </c>
      <c r="V8670" s="22">
        <f>3.45/5</f>
        <v>0.69000000000000006</v>
      </c>
      <c r="X8670" s="3">
        <v>2</v>
      </c>
      <c r="Z8670" s="23">
        <v>0.66666666666666596</v>
      </c>
      <c r="AB8670" s="18">
        <f t="shared" si="270"/>
        <v>1996</v>
      </c>
      <c r="AC8670" s="22">
        <f t="shared" si="271"/>
        <v>0.54500000000000004</v>
      </c>
    </row>
    <row r="8671" spans="1:29">
      <c r="A8671" s="8" t="s">
        <v>13873</v>
      </c>
      <c r="B8671" s="17" t="s">
        <v>10323</v>
      </c>
      <c r="C8671" s="13">
        <v>35132</v>
      </c>
      <c r="D8671" s="13" t="s">
        <v>8463</v>
      </c>
      <c r="E8671" s="10" t="s">
        <v>13874</v>
      </c>
      <c r="F8671" s="10" t="s">
        <v>13874</v>
      </c>
      <c r="H8671" s="2" t="s">
        <v>56</v>
      </c>
      <c r="K8671" s="18">
        <v>0</v>
      </c>
      <c r="L8671" s="18">
        <v>0</v>
      </c>
      <c r="Q8671" s="18">
        <v>0</v>
      </c>
      <c r="V8671" s="22">
        <f>2.91/5</f>
        <v>0.58200000000000007</v>
      </c>
      <c r="X8671" s="3">
        <v>2</v>
      </c>
      <c r="Z8671" s="23">
        <v>3</v>
      </c>
      <c r="AB8671" s="18">
        <f t="shared" si="270"/>
        <v>1996</v>
      </c>
      <c r="AC8671" s="22">
        <f t="shared" si="271"/>
        <v>0.49100000000000005</v>
      </c>
    </row>
    <row r="8672" spans="1:29">
      <c r="A8672" s="8" t="s">
        <v>413</v>
      </c>
      <c r="B8672" s="17" t="s">
        <v>6317</v>
      </c>
      <c r="C8672" s="13">
        <v>35130</v>
      </c>
      <c r="D8672" s="13" t="s">
        <v>8465</v>
      </c>
      <c r="E8672" s="10" t="s">
        <v>73</v>
      </c>
      <c r="F8672" s="10" t="s">
        <v>73</v>
      </c>
      <c r="G8672" s="11" t="s">
        <v>227</v>
      </c>
      <c r="H8672" s="2" t="s">
        <v>459</v>
      </c>
      <c r="L8672" s="18">
        <v>0</v>
      </c>
      <c r="Q8672" s="18">
        <v>0</v>
      </c>
      <c r="V8672" s="22">
        <f>4.09/5</f>
        <v>0.81799999999999995</v>
      </c>
      <c r="X8672" s="3">
        <v>3</v>
      </c>
      <c r="Z8672" s="23">
        <v>0.85</v>
      </c>
      <c r="AB8672" s="18">
        <f t="shared" si="270"/>
        <v>1996</v>
      </c>
      <c r="AC8672" s="22">
        <f t="shared" si="271"/>
        <v>0.70899999999999996</v>
      </c>
    </row>
    <row r="8673" spans="1:29">
      <c r="A8673" s="8" t="s">
        <v>2737</v>
      </c>
      <c r="B8673" s="17" t="s">
        <v>7757</v>
      </c>
      <c r="C8673" s="12">
        <v>35125</v>
      </c>
      <c r="D8673" s="13" t="s">
        <v>8465</v>
      </c>
      <c r="E8673" s="10" t="s">
        <v>154</v>
      </c>
      <c r="F8673" s="10" t="s">
        <v>2736</v>
      </c>
      <c r="G8673" s="11" t="s">
        <v>2737</v>
      </c>
      <c r="H8673" s="2" t="s">
        <v>1061</v>
      </c>
      <c r="L8673" s="18">
        <v>0</v>
      </c>
      <c r="Q8673" s="18">
        <v>0</v>
      </c>
      <c r="V8673" s="22">
        <f>3.15/5</f>
        <v>0.63</v>
      </c>
      <c r="X8673" s="3">
        <v>3</v>
      </c>
      <c r="Z8673" s="23">
        <v>1.5</v>
      </c>
      <c r="AB8673" s="18">
        <f t="shared" si="270"/>
        <v>1996</v>
      </c>
      <c r="AC8673" s="22">
        <f t="shared" si="271"/>
        <v>0.61499999999999999</v>
      </c>
    </row>
    <row r="8674" spans="1:29">
      <c r="A8674" s="8" t="s">
        <v>1188</v>
      </c>
      <c r="B8674" s="17" t="s">
        <v>7792</v>
      </c>
      <c r="C8674" s="12">
        <v>35125</v>
      </c>
      <c r="D8674" s="13" t="s">
        <v>8465</v>
      </c>
      <c r="E8674" s="10" t="s">
        <v>1201</v>
      </c>
      <c r="F8674" s="10" t="s">
        <v>1200</v>
      </c>
      <c r="H8674" s="2" t="s">
        <v>149</v>
      </c>
      <c r="L8674" s="18">
        <v>0</v>
      </c>
      <c r="Q8674" s="18">
        <v>0</v>
      </c>
      <c r="V8674" s="22">
        <f>4/5</f>
        <v>0.8</v>
      </c>
      <c r="X8674" s="3">
        <v>2</v>
      </c>
      <c r="Z8674" s="23">
        <v>13.5</v>
      </c>
      <c r="AB8674" s="18">
        <f t="shared" si="270"/>
        <v>1996</v>
      </c>
      <c r="AC8674" s="22">
        <f t="shared" si="271"/>
        <v>0.60000000000000009</v>
      </c>
    </row>
    <row r="8675" spans="1:29">
      <c r="A8675" s="8" t="s">
        <v>6753</v>
      </c>
      <c r="B8675" s="17" t="s">
        <v>7800</v>
      </c>
      <c r="C8675" s="13">
        <v>35124</v>
      </c>
      <c r="D8675" s="13" t="s">
        <v>8465</v>
      </c>
      <c r="E8675" s="10" t="s">
        <v>231</v>
      </c>
      <c r="F8675" s="10" t="s">
        <v>6886</v>
      </c>
      <c r="H8675" s="2" t="s">
        <v>147</v>
      </c>
      <c r="L8675" s="18">
        <v>0</v>
      </c>
      <c r="Q8675" s="18">
        <v>0</v>
      </c>
      <c r="U8675" s="22">
        <v>0.73</v>
      </c>
      <c r="V8675" s="22">
        <f>3.7/5</f>
        <v>0.74</v>
      </c>
      <c r="X8675" s="3">
        <v>3</v>
      </c>
      <c r="Z8675" s="23">
        <v>5.5</v>
      </c>
      <c r="AB8675" s="18">
        <f t="shared" si="270"/>
        <v>1996</v>
      </c>
      <c r="AC8675" s="22">
        <f t="shared" si="271"/>
        <v>0.69</v>
      </c>
    </row>
    <row r="8676" spans="1:29">
      <c r="A8676" s="8" t="s">
        <v>13470</v>
      </c>
      <c r="B8676" s="17" t="s">
        <v>7800</v>
      </c>
      <c r="C8676" s="13">
        <v>35124</v>
      </c>
      <c r="D8676" s="13" t="s">
        <v>8465</v>
      </c>
      <c r="E8676" s="10" t="s">
        <v>1273</v>
      </c>
      <c r="F8676" s="10" t="s">
        <v>13471</v>
      </c>
      <c r="G8676" s="11" t="s">
        <v>6921</v>
      </c>
      <c r="H8676" s="2" t="s">
        <v>67</v>
      </c>
      <c r="L8676" s="18">
        <v>0</v>
      </c>
      <c r="Q8676" s="18">
        <v>0</v>
      </c>
      <c r="V8676" s="22">
        <f>3.69/5</f>
        <v>0.73799999999999999</v>
      </c>
      <c r="X8676" s="3">
        <v>2</v>
      </c>
      <c r="Z8676" s="23">
        <v>7</v>
      </c>
      <c r="AB8676" s="18">
        <f t="shared" si="270"/>
        <v>1996</v>
      </c>
      <c r="AC8676" s="22">
        <f t="shared" si="271"/>
        <v>0.56899999999999995</v>
      </c>
    </row>
    <row r="8677" spans="1:29">
      <c r="A8677" s="8" t="s">
        <v>9627</v>
      </c>
      <c r="B8677" s="17" t="s">
        <v>7800</v>
      </c>
      <c r="C8677" s="13">
        <v>35124</v>
      </c>
      <c r="D8677" s="13" t="s">
        <v>8465</v>
      </c>
      <c r="E8677" s="10" t="s">
        <v>1480</v>
      </c>
      <c r="F8677" s="10" t="s">
        <v>1480</v>
      </c>
      <c r="H8677" s="2" t="s">
        <v>67</v>
      </c>
      <c r="L8677" s="18">
        <v>0</v>
      </c>
      <c r="Q8677" s="18">
        <v>0</v>
      </c>
      <c r="V8677" s="22">
        <f>3.46/5</f>
        <v>0.69199999999999995</v>
      </c>
      <c r="X8677" s="3">
        <v>2</v>
      </c>
      <c r="Z8677" s="23">
        <v>8.5</v>
      </c>
      <c r="AB8677" s="18">
        <f t="shared" si="270"/>
        <v>1996</v>
      </c>
      <c r="AC8677" s="22">
        <f t="shared" si="271"/>
        <v>0.54600000000000004</v>
      </c>
    </row>
    <row r="8678" spans="1:29" ht="25.5">
      <c r="A8678" s="8" t="s">
        <v>813</v>
      </c>
      <c r="B8678" s="17" t="s">
        <v>7736</v>
      </c>
      <c r="C8678" s="13">
        <v>35118</v>
      </c>
      <c r="D8678" s="13" t="s">
        <v>8463</v>
      </c>
      <c r="E8678" s="10" t="s">
        <v>161</v>
      </c>
      <c r="F8678" s="10" t="s">
        <v>1410</v>
      </c>
      <c r="G8678" s="11" t="s">
        <v>812</v>
      </c>
      <c r="H8678" s="2" t="s">
        <v>21</v>
      </c>
      <c r="K8678" s="18">
        <v>2</v>
      </c>
      <c r="L8678" s="18">
        <v>0</v>
      </c>
      <c r="Q8678" s="18">
        <v>0</v>
      </c>
      <c r="U8678" s="22">
        <v>0.45</v>
      </c>
      <c r="V8678" s="22">
        <f>4.22/5</f>
        <v>0.84399999999999997</v>
      </c>
      <c r="X8678" s="3">
        <v>4</v>
      </c>
      <c r="Z8678" s="23">
        <v>16.5</v>
      </c>
      <c r="AB8678" s="18">
        <f t="shared" si="270"/>
        <v>1996</v>
      </c>
      <c r="AC8678" s="22">
        <f t="shared" si="271"/>
        <v>0.69800000000000006</v>
      </c>
    </row>
    <row r="8679" spans="1:29">
      <c r="A8679" s="8" t="s">
        <v>606</v>
      </c>
      <c r="B8679" s="17" t="s">
        <v>7752</v>
      </c>
      <c r="C8679" s="13">
        <v>35118</v>
      </c>
      <c r="D8679" s="13" t="s">
        <v>8463</v>
      </c>
      <c r="E8679" s="10" t="s">
        <v>167</v>
      </c>
      <c r="F8679" s="10" t="s">
        <v>167</v>
      </c>
      <c r="G8679" s="11" t="s">
        <v>606</v>
      </c>
      <c r="H8679" s="2" t="s">
        <v>149</v>
      </c>
      <c r="K8679" s="18">
        <v>0</v>
      </c>
      <c r="L8679" s="18">
        <v>0</v>
      </c>
      <c r="Q8679" s="18">
        <v>0</v>
      </c>
      <c r="V8679" s="22">
        <f>3.74/5</f>
        <v>0.748</v>
      </c>
      <c r="X8679" s="3">
        <v>3</v>
      </c>
      <c r="AB8679" s="18">
        <f t="shared" si="270"/>
        <v>1996</v>
      </c>
      <c r="AC8679" s="22">
        <f t="shared" si="271"/>
        <v>0.67399999999999993</v>
      </c>
    </row>
    <row r="8680" spans="1:29">
      <c r="A8680" s="8" t="s">
        <v>14292</v>
      </c>
      <c r="B8680" s="17" t="s">
        <v>10323</v>
      </c>
      <c r="C8680" s="13">
        <v>35118</v>
      </c>
      <c r="D8680" s="13" t="s">
        <v>8463</v>
      </c>
      <c r="E8680" s="10" t="s">
        <v>13416</v>
      </c>
      <c r="F8680" s="10" t="s">
        <v>13416</v>
      </c>
      <c r="H8680" s="2" t="s">
        <v>75</v>
      </c>
      <c r="K8680" s="18">
        <v>2</v>
      </c>
      <c r="L8680" s="18">
        <v>0</v>
      </c>
      <c r="Q8680" s="18">
        <v>0</v>
      </c>
      <c r="X8680" s="3">
        <v>2</v>
      </c>
      <c r="AB8680" s="18">
        <f t="shared" si="270"/>
        <v>1996</v>
      </c>
      <c r="AC8680" s="22">
        <f t="shared" si="271"/>
        <v>0.4</v>
      </c>
    </row>
    <row r="8681" spans="1:29">
      <c r="A8681" s="8" t="s">
        <v>2977</v>
      </c>
      <c r="B8681" s="17" t="s">
        <v>7757</v>
      </c>
      <c r="C8681" s="13">
        <v>35109</v>
      </c>
      <c r="D8681" s="13" t="s">
        <v>8465</v>
      </c>
      <c r="E8681" s="10" t="s">
        <v>1367</v>
      </c>
      <c r="F8681" s="10" t="s">
        <v>1580</v>
      </c>
      <c r="G8681" s="11" t="s">
        <v>2977</v>
      </c>
      <c r="H8681" s="2" t="s">
        <v>171</v>
      </c>
      <c r="L8681" s="18">
        <v>0</v>
      </c>
      <c r="Q8681" s="18">
        <v>0</v>
      </c>
      <c r="U8681" s="22">
        <v>0.82</v>
      </c>
      <c r="V8681" s="22">
        <f>3.74/5</f>
        <v>0.748</v>
      </c>
      <c r="X8681" s="3">
        <v>3</v>
      </c>
      <c r="Y8681" s="18">
        <v>1</v>
      </c>
      <c r="Z8681" s="23">
        <v>24</v>
      </c>
      <c r="AB8681" s="18">
        <f t="shared" si="270"/>
        <v>1996</v>
      </c>
      <c r="AC8681" s="22">
        <f t="shared" si="271"/>
        <v>0.72266666666666668</v>
      </c>
    </row>
    <row r="8682" spans="1:29" ht="25.5">
      <c r="A8682" s="8" t="s">
        <v>6833</v>
      </c>
      <c r="B8682" s="17" t="s">
        <v>7800</v>
      </c>
      <c r="C8682" s="13">
        <v>35107</v>
      </c>
      <c r="D8682" s="13" t="s">
        <v>8465</v>
      </c>
      <c r="E8682" s="10" t="s">
        <v>231</v>
      </c>
      <c r="F8682" s="10" t="s">
        <v>1784</v>
      </c>
      <c r="G8682" s="11" t="s">
        <v>6562</v>
      </c>
      <c r="H8682" s="2" t="s">
        <v>1720</v>
      </c>
      <c r="L8682" s="18">
        <v>0</v>
      </c>
      <c r="Q8682" s="18">
        <v>0</v>
      </c>
      <c r="U8682" s="22">
        <v>0.84</v>
      </c>
      <c r="V8682" s="22">
        <f>4.02/5</f>
        <v>0.80399999999999994</v>
      </c>
      <c r="X8682" s="3">
        <v>3</v>
      </c>
      <c r="Z8682" s="23">
        <v>12</v>
      </c>
      <c r="AB8682" s="18">
        <f t="shared" si="270"/>
        <v>1996</v>
      </c>
      <c r="AC8682" s="22">
        <f t="shared" si="271"/>
        <v>0.74799999999999989</v>
      </c>
    </row>
    <row r="8683" spans="1:29">
      <c r="A8683" s="8" t="s">
        <v>829</v>
      </c>
      <c r="B8683" s="17" t="s">
        <v>7736</v>
      </c>
      <c r="C8683" s="13">
        <v>35104</v>
      </c>
      <c r="D8683" s="13" t="s">
        <v>8463</v>
      </c>
      <c r="E8683" s="10" t="s">
        <v>161</v>
      </c>
      <c r="F8683" s="10" t="s">
        <v>161</v>
      </c>
      <c r="H8683" s="2" t="s">
        <v>75</v>
      </c>
      <c r="K8683" s="18">
        <v>2</v>
      </c>
      <c r="L8683" s="18">
        <v>0</v>
      </c>
      <c r="Q8683" s="18">
        <v>0</v>
      </c>
      <c r="U8683" s="22">
        <v>0.8</v>
      </c>
      <c r="V8683" s="22">
        <f>3.97/5</f>
        <v>0.79400000000000004</v>
      </c>
      <c r="X8683" s="3">
        <v>4</v>
      </c>
      <c r="Z8683" s="23">
        <v>28.5</v>
      </c>
      <c r="AB8683" s="18">
        <f t="shared" si="270"/>
        <v>1996</v>
      </c>
      <c r="AC8683" s="22">
        <f t="shared" si="271"/>
        <v>0.79800000000000004</v>
      </c>
    </row>
    <row r="8684" spans="1:29" ht="38.25">
      <c r="A8684" s="8" t="s">
        <v>11366</v>
      </c>
      <c r="B8684" s="17" t="s">
        <v>7736</v>
      </c>
      <c r="C8684" s="13">
        <v>35104</v>
      </c>
      <c r="D8684" s="13" t="s">
        <v>8463</v>
      </c>
      <c r="E8684" s="10" t="s">
        <v>72</v>
      </c>
      <c r="F8684" s="10" t="s">
        <v>72</v>
      </c>
      <c r="G8684" s="11" t="s">
        <v>11367</v>
      </c>
      <c r="H8684" s="2" t="s">
        <v>1057</v>
      </c>
      <c r="K8684" s="18">
        <v>2</v>
      </c>
      <c r="L8684" s="18">
        <v>0</v>
      </c>
      <c r="Q8684" s="18">
        <v>0</v>
      </c>
      <c r="V8684" s="22">
        <f>3.82/5</f>
        <v>0.76400000000000001</v>
      </c>
      <c r="X8684" s="3">
        <v>4</v>
      </c>
      <c r="Z8684" s="23">
        <v>9</v>
      </c>
      <c r="AB8684" s="18">
        <f t="shared" si="270"/>
        <v>1996</v>
      </c>
      <c r="AC8684" s="22">
        <f t="shared" si="271"/>
        <v>0.78200000000000003</v>
      </c>
    </row>
    <row r="8685" spans="1:29">
      <c r="A8685" s="8" t="s">
        <v>340</v>
      </c>
      <c r="B8685" s="17" t="s">
        <v>6317</v>
      </c>
      <c r="C8685" s="13">
        <v>35098</v>
      </c>
      <c r="D8685" s="13" t="s">
        <v>8465</v>
      </c>
      <c r="E8685" s="10" t="s">
        <v>461</v>
      </c>
      <c r="F8685" s="10" t="s">
        <v>461</v>
      </c>
      <c r="G8685" s="11" t="s">
        <v>340</v>
      </c>
      <c r="H8685" s="2" t="s">
        <v>21</v>
      </c>
      <c r="L8685" s="18">
        <v>0</v>
      </c>
      <c r="Q8685" s="18">
        <v>0</v>
      </c>
      <c r="V8685" s="22">
        <f>4.03/5</f>
        <v>0.80600000000000005</v>
      </c>
      <c r="X8685" s="3">
        <v>3</v>
      </c>
      <c r="Z8685" s="23">
        <v>0.78</v>
      </c>
      <c r="AB8685" s="18">
        <f t="shared" si="270"/>
        <v>1996</v>
      </c>
      <c r="AC8685" s="22">
        <f t="shared" si="271"/>
        <v>0.70300000000000007</v>
      </c>
    </row>
    <row r="8686" spans="1:29">
      <c r="A8686" s="8" t="s">
        <v>14886</v>
      </c>
      <c r="B8686" s="17" t="s">
        <v>7757</v>
      </c>
      <c r="C8686" s="12">
        <v>35096</v>
      </c>
      <c r="D8686" s="13" t="s">
        <v>8465</v>
      </c>
      <c r="E8686" s="10" t="s">
        <v>154</v>
      </c>
      <c r="F8686" s="10" t="s">
        <v>14882</v>
      </c>
      <c r="G8686" s="11" t="s">
        <v>442</v>
      </c>
      <c r="H8686" s="2" t="s">
        <v>1050</v>
      </c>
      <c r="L8686" s="18">
        <v>0</v>
      </c>
      <c r="Q8686" s="18">
        <v>0</v>
      </c>
      <c r="V8686" s="22">
        <f>3.43/5</f>
        <v>0.68600000000000005</v>
      </c>
      <c r="X8686" s="3">
        <v>2</v>
      </c>
      <c r="Z8686" s="23">
        <v>7</v>
      </c>
      <c r="AB8686" s="18">
        <f t="shared" si="270"/>
        <v>1996</v>
      </c>
      <c r="AC8686" s="22">
        <f t="shared" si="271"/>
        <v>0.54300000000000004</v>
      </c>
    </row>
    <row r="8687" spans="1:29">
      <c r="A8687" s="8" t="s">
        <v>1185</v>
      </c>
      <c r="B8687" s="17" t="s">
        <v>7792</v>
      </c>
      <c r="C8687" s="12">
        <v>35096</v>
      </c>
      <c r="D8687" s="13" t="s">
        <v>8465</v>
      </c>
      <c r="E8687" s="10" t="s">
        <v>1195</v>
      </c>
      <c r="F8687" s="10" t="s">
        <v>1196</v>
      </c>
      <c r="H8687" s="2" t="s">
        <v>1168</v>
      </c>
      <c r="L8687" s="18">
        <v>0</v>
      </c>
      <c r="Q8687" s="18">
        <v>0</v>
      </c>
      <c r="V8687" s="22">
        <f>4.05/5</f>
        <v>0.80999999999999994</v>
      </c>
      <c r="X8687" s="3">
        <v>2</v>
      </c>
      <c r="AB8687" s="18">
        <f t="shared" si="270"/>
        <v>1996</v>
      </c>
      <c r="AC8687" s="22">
        <f t="shared" si="271"/>
        <v>0.60499999999999998</v>
      </c>
    </row>
    <row r="8688" spans="1:29">
      <c r="A8688" s="8" t="s">
        <v>13336</v>
      </c>
      <c r="B8688" s="17" t="s">
        <v>7737</v>
      </c>
      <c r="C8688" s="12">
        <v>35096</v>
      </c>
      <c r="D8688" s="13" t="s">
        <v>8463</v>
      </c>
      <c r="E8688" s="10" t="s">
        <v>161</v>
      </c>
      <c r="F8688" s="10" t="s">
        <v>161</v>
      </c>
      <c r="H8688" s="2" t="s">
        <v>67</v>
      </c>
      <c r="K8688" s="18">
        <v>2</v>
      </c>
      <c r="L8688" s="18">
        <v>0</v>
      </c>
      <c r="Q8688" s="18">
        <v>0</v>
      </c>
      <c r="V8688" s="22">
        <f>4/5</f>
        <v>0.8</v>
      </c>
      <c r="X8688" s="3">
        <v>2</v>
      </c>
      <c r="AB8688" s="18">
        <f t="shared" si="270"/>
        <v>1996</v>
      </c>
      <c r="AC8688" s="22">
        <f t="shared" si="271"/>
        <v>0.60000000000000009</v>
      </c>
    </row>
    <row r="8689" spans="1:29">
      <c r="A8689" s="8" t="s">
        <v>9651</v>
      </c>
      <c r="B8689" s="17" t="s">
        <v>6317</v>
      </c>
      <c r="C8689" s="12">
        <v>35096</v>
      </c>
      <c r="D8689" s="13" t="s">
        <v>8465</v>
      </c>
      <c r="E8689" s="10" t="s">
        <v>9652</v>
      </c>
      <c r="F8689" s="10" t="s">
        <v>9652</v>
      </c>
      <c r="H8689" s="2" t="s">
        <v>153</v>
      </c>
      <c r="L8689" s="18">
        <v>0</v>
      </c>
      <c r="Q8689" s="18">
        <v>0</v>
      </c>
      <c r="V8689" s="22">
        <f>3.38/5</f>
        <v>0.67599999999999993</v>
      </c>
      <c r="X8689" s="3">
        <v>2</v>
      </c>
      <c r="Z8689" s="23">
        <f>27/60</f>
        <v>0.45</v>
      </c>
      <c r="AB8689" s="18">
        <f t="shared" si="270"/>
        <v>1996</v>
      </c>
      <c r="AC8689" s="22">
        <f t="shared" si="271"/>
        <v>0.53800000000000003</v>
      </c>
    </row>
    <row r="8690" spans="1:29" ht="25.5">
      <c r="A8690" s="8" t="s">
        <v>9618</v>
      </c>
      <c r="B8690" s="17" t="s">
        <v>7800</v>
      </c>
      <c r="C8690" s="13">
        <v>35095</v>
      </c>
      <c r="D8690" s="13" t="s">
        <v>8465</v>
      </c>
      <c r="E8690" s="10" t="s">
        <v>3625</v>
      </c>
      <c r="F8690" s="10" t="s">
        <v>9619</v>
      </c>
      <c r="H8690" s="2" t="s">
        <v>1194</v>
      </c>
      <c r="L8690" s="18">
        <v>0</v>
      </c>
      <c r="Q8690" s="18">
        <v>0</v>
      </c>
      <c r="V8690" s="22">
        <f>2.88/5</f>
        <v>0.57599999999999996</v>
      </c>
      <c r="X8690" s="3">
        <v>2</v>
      </c>
      <c r="AB8690" s="18">
        <f t="shared" si="270"/>
        <v>1996</v>
      </c>
      <c r="AC8690" s="22">
        <f t="shared" si="271"/>
        <v>0.48799999999999999</v>
      </c>
    </row>
    <row r="8691" spans="1:29">
      <c r="A8691" s="8" t="s">
        <v>14463</v>
      </c>
      <c r="B8691" s="17" t="s">
        <v>7737</v>
      </c>
      <c r="C8691" s="13">
        <v>35091</v>
      </c>
      <c r="D8691" s="13" t="s">
        <v>8463</v>
      </c>
      <c r="E8691" s="10" t="s">
        <v>14464</v>
      </c>
      <c r="F8691" s="10" t="s">
        <v>14464</v>
      </c>
      <c r="H8691" s="2" t="s">
        <v>67</v>
      </c>
      <c r="K8691" s="18">
        <v>0</v>
      </c>
      <c r="L8691" s="18">
        <v>0</v>
      </c>
      <c r="Q8691" s="18">
        <v>0</v>
      </c>
      <c r="V8691" s="22">
        <f>3.56/5</f>
        <v>0.71199999999999997</v>
      </c>
      <c r="X8691" s="3">
        <v>2</v>
      </c>
      <c r="AB8691" s="18">
        <f t="shared" si="270"/>
        <v>1996</v>
      </c>
      <c r="AC8691" s="22">
        <f t="shared" si="271"/>
        <v>0.55600000000000005</v>
      </c>
    </row>
    <row r="8692" spans="1:29">
      <c r="A8692" s="8" t="s">
        <v>1942</v>
      </c>
      <c r="B8692" s="17" t="s">
        <v>7754</v>
      </c>
      <c r="C8692" s="13">
        <v>35089</v>
      </c>
      <c r="D8692" s="13" t="s">
        <v>8465</v>
      </c>
      <c r="E8692" s="10" t="s">
        <v>455</v>
      </c>
      <c r="F8692" s="10" t="s">
        <v>1474</v>
      </c>
      <c r="G8692" s="11" t="s">
        <v>1942</v>
      </c>
      <c r="H8692" s="2" t="s">
        <v>153</v>
      </c>
      <c r="L8692" s="18">
        <v>0</v>
      </c>
      <c r="Q8692" s="18">
        <v>0</v>
      </c>
      <c r="U8692" s="22">
        <v>0.89</v>
      </c>
      <c r="V8692" s="22">
        <f>4.1/5</f>
        <v>0.82</v>
      </c>
      <c r="X8692" s="3">
        <v>4</v>
      </c>
      <c r="Z8692" s="23">
        <v>1.5</v>
      </c>
      <c r="AB8692" s="18">
        <f t="shared" si="270"/>
        <v>1996</v>
      </c>
      <c r="AC8692" s="22">
        <f t="shared" si="271"/>
        <v>0.83666666666666656</v>
      </c>
    </row>
    <row r="8693" spans="1:29">
      <c r="A8693" s="8" t="s">
        <v>408</v>
      </c>
      <c r="B8693" s="17" t="s">
        <v>6317</v>
      </c>
      <c r="C8693" s="13">
        <v>35083</v>
      </c>
      <c r="D8693" s="13" t="s">
        <v>8463</v>
      </c>
      <c r="E8693" s="10" t="s">
        <v>72</v>
      </c>
      <c r="F8693" s="10" t="s">
        <v>72</v>
      </c>
      <c r="G8693" s="11" t="s">
        <v>123</v>
      </c>
      <c r="H8693" s="2" t="s">
        <v>21</v>
      </c>
      <c r="K8693" s="18">
        <v>0</v>
      </c>
      <c r="L8693" s="18">
        <v>0</v>
      </c>
      <c r="Q8693" s="18">
        <v>0</v>
      </c>
      <c r="V8693" s="22">
        <f>3.61/5</f>
        <v>0.72199999999999998</v>
      </c>
      <c r="X8693" s="3">
        <v>3</v>
      </c>
      <c r="Z8693" s="23">
        <v>0.4</v>
      </c>
      <c r="AB8693" s="18">
        <f t="shared" si="270"/>
        <v>1996</v>
      </c>
      <c r="AC8693" s="22">
        <f t="shared" si="271"/>
        <v>0.66100000000000003</v>
      </c>
    </row>
    <row r="8694" spans="1:29" ht="30">
      <c r="A8694" s="8" t="s">
        <v>10121</v>
      </c>
      <c r="B8694" s="17" t="s">
        <v>7757</v>
      </c>
      <c r="C8694" s="13">
        <v>35082</v>
      </c>
      <c r="D8694" s="13" t="s">
        <v>8465</v>
      </c>
      <c r="E8694" s="10" t="s">
        <v>2908</v>
      </c>
      <c r="F8694" s="10" t="s">
        <v>2313</v>
      </c>
      <c r="G8694" s="11" t="s">
        <v>10121</v>
      </c>
      <c r="H8694" s="2" t="s">
        <v>1170</v>
      </c>
      <c r="L8694" s="18">
        <v>0</v>
      </c>
      <c r="Q8694" s="18">
        <v>0</v>
      </c>
      <c r="V8694" s="22">
        <f>3.42/5</f>
        <v>0.68399999999999994</v>
      </c>
      <c r="X8694" s="3">
        <v>2</v>
      </c>
      <c r="Z8694" s="23">
        <v>3</v>
      </c>
      <c r="AB8694" s="18">
        <f t="shared" si="270"/>
        <v>1996</v>
      </c>
      <c r="AC8694" s="22">
        <f t="shared" si="271"/>
        <v>0.54200000000000004</v>
      </c>
    </row>
    <row r="8695" spans="1:29" ht="25.5">
      <c r="A8695" s="8" t="s">
        <v>2778</v>
      </c>
      <c r="B8695" s="17" t="s">
        <v>7756</v>
      </c>
      <c r="C8695" s="13">
        <v>35076</v>
      </c>
      <c r="D8695" s="13" t="s">
        <v>8463</v>
      </c>
      <c r="E8695" s="10" t="s">
        <v>1512</v>
      </c>
      <c r="F8695" s="10" t="s">
        <v>2803</v>
      </c>
      <c r="G8695" s="11" t="s">
        <v>1960</v>
      </c>
      <c r="H8695" s="2" t="s">
        <v>149</v>
      </c>
      <c r="K8695" s="18">
        <v>2</v>
      </c>
      <c r="L8695" s="18">
        <v>0</v>
      </c>
      <c r="Q8695" s="18">
        <v>0</v>
      </c>
      <c r="V8695" s="22">
        <f>4.04/5</f>
        <v>0.80800000000000005</v>
      </c>
      <c r="X8695" s="3">
        <v>3</v>
      </c>
      <c r="AB8695" s="18">
        <f t="shared" si="270"/>
        <v>1996</v>
      </c>
      <c r="AC8695" s="22">
        <f t="shared" si="271"/>
        <v>0.70399999999999996</v>
      </c>
    </row>
    <row r="8696" spans="1:29" ht="25.5">
      <c r="A8696" s="8" t="s">
        <v>776</v>
      </c>
      <c r="B8696" s="17" t="s">
        <v>7736</v>
      </c>
      <c r="C8696" s="13">
        <v>35076</v>
      </c>
      <c r="D8696" s="13" t="s">
        <v>8463</v>
      </c>
      <c r="E8696" s="10" t="s">
        <v>1389</v>
      </c>
      <c r="F8696" s="10" t="s">
        <v>167</v>
      </c>
      <c r="G8696" s="11" t="s">
        <v>9777</v>
      </c>
      <c r="H8696" s="2" t="s">
        <v>149</v>
      </c>
      <c r="K8696" s="18">
        <v>2</v>
      </c>
      <c r="L8696" s="18">
        <v>0</v>
      </c>
      <c r="Q8696" s="18">
        <v>0</v>
      </c>
      <c r="V8696" s="22">
        <f>3.66/5</f>
        <v>0.73199999999999998</v>
      </c>
      <c r="X8696" s="3">
        <v>3</v>
      </c>
      <c r="Z8696" s="23">
        <v>13</v>
      </c>
      <c r="AB8696" s="18">
        <f t="shared" si="270"/>
        <v>1996</v>
      </c>
      <c r="AC8696" s="22">
        <f t="shared" si="271"/>
        <v>0.66599999999999993</v>
      </c>
    </row>
    <row r="8697" spans="1:29" ht="30">
      <c r="A8697" s="8" t="s">
        <v>12736</v>
      </c>
      <c r="B8697" s="17" t="s">
        <v>9581</v>
      </c>
      <c r="C8697" s="24">
        <v>35065</v>
      </c>
      <c r="D8697" s="13" t="s">
        <v>8467</v>
      </c>
      <c r="E8697" s="10" t="s">
        <v>1634</v>
      </c>
      <c r="F8697" s="10" t="s">
        <v>1634</v>
      </c>
      <c r="G8697" s="11" t="s">
        <v>3139</v>
      </c>
      <c r="H8697" s="2" t="s">
        <v>1050</v>
      </c>
      <c r="L8697" s="18">
        <v>0</v>
      </c>
      <c r="Q8697" s="18">
        <v>0</v>
      </c>
      <c r="V8697" s="22">
        <f>3.75/5</f>
        <v>0.75</v>
      </c>
      <c r="X8697" s="3">
        <v>3</v>
      </c>
      <c r="AB8697" s="18">
        <f t="shared" si="270"/>
        <v>1996</v>
      </c>
      <c r="AC8697" s="22">
        <f t="shared" si="271"/>
        <v>0.67500000000000004</v>
      </c>
    </row>
    <row r="8698" spans="1:29">
      <c r="A8698" s="8" t="s">
        <v>7506</v>
      </c>
      <c r="B8698" s="17" t="s">
        <v>7800</v>
      </c>
      <c r="C8698" s="12">
        <v>35065</v>
      </c>
      <c r="D8698" s="13" t="s">
        <v>8465</v>
      </c>
      <c r="E8698" s="10" t="s">
        <v>7507</v>
      </c>
      <c r="F8698" s="10" t="s">
        <v>7507</v>
      </c>
      <c r="G8698" s="11" t="s">
        <v>7506</v>
      </c>
      <c r="H8698" s="2" t="s">
        <v>1050</v>
      </c>
      <c r="L8698" s="18">
        <v>0</v>
      </c>
      <c r="Q8698" s="18">
        <v>0</v>
      </c>
      <c r="V8698" s="22">
        <f>3.81/5</f>
        <v>0.76200000000000001</v>
      </c>
      <c r="X8698" s="3">
        <v>3</v>
      </c>
      <c r="Z8698" s="23">
        <f>48/60</f>
        <v>0.8</v>
      </c>
      <c r="AB8698" s="18">
        <f t="shared" si="270"/>
        <v>1996</v>
      </c>
      <c r="AC8698" s="22">
        <f t="shared" si="271"/>
        <v>0.68100000000000005</v>
      </c>
    </row>
    <row r="8699" spans="1:29">
      <c r="A8699" s="8" t="s">
        <v>2729</v>
      </c>
      <c r="B8699" s="17" t="s">
        <v>7754</v>
      </c>
      <c r="C8699" s="12">
        <v>35065</v>
      </c>
      <c r="D8699" s="13" t="s">
        <v>8465</v>
      </c>
      <c r="E8699" s="10" t="s">
        <v>455</v>
      </c>
      <c r="F8699" s="10" t="s">
        <v>2740</v>
      </c>
      <c r="G8699" s="11" t="s">
        <v>2732</v>
      </c>
      <c r="H8699" s="2" t="s">
        <v>1170</v>
      </c>
      <c r="L8699" s="18">
        <v>0</v>
      </c>
      <c r="Q8699" s="18">
        <v>0</v>
      </c>
      <c r="U8699" s="22">
        <v>0.88</v>
      </c>
      <c r="V8699" s="22">
        <f>4.08/5</f>
        <v>0.81600000000000006</v>
      </c>
      <c r="X8699" s="3">
        <v>4</v>
      </c>
      <c r="Z8699" s="23">
        <v>1.5</v>
      </c>
      <c r="AB8699" s="18">
        <f t="shared" si="270"/>
        <v>1996</v>
      </c>
      <c r="AC8699" s="22">
        <f t="shared" si="271"/>
        <v>0.83200000000000018</v>
      </c>
    </row>
    <row r="8700" spans="1:29">
      <c r="A8700" s="8" t="s">
        <v>6864</v>
      </c>
      <c r="B8700" s="17" t="s">
        <v>7800</v>
      </c>
      <c r="C8700" s="12">
        <v>35065</v>
      </c>
      <c r="D8700" s="13" t="s">
        <v>8465</v>
      </c>
      <c r="E8700" s="10" t="s">
        <v>1781</v>
      </c>
      <c r="F8700" s="10" t="s">
        <v>6914</v>
      </c>
      <c r="G8700" s="11" t="s">
        <v>6863</v>
      </c>
      <c r="H8700" s="2" t="s">
        <v>61</v>
      </c>
      <c r="L8700" s="18">
        <v>0</v>
      </c>
      <c r="Q8700" s="18">
        <v>0</v>
      </c>
      <c r="U8700" s="22">
        <v>0.84</v>
      </c>
      <c r="V8700" s="22">
        <f>3.63/5</f>
        <v>0.72599999999999998</v>
      </c>
      <c r="X8700" s="3">
        <v>4</v>
      </c>
      <c r="Z8700" s="23">
        <v>17</v>
      </c>
      <c r="AB8700" s="18">
        <f t="shared" si="270"/>
        <v>1996</v>
      </c>
      <c r="AC8700" s="22">
        <f t="shared" si="271"/>
        <v>0.78866666666666652</v>
      </c>
    </row>
    <row r="8701" spans="1:29">
      <c r="A8701" s="8" t="s">
        <v>706</v>
      </c>
      <c r="B8701" s="17" t="s">
        <v>7736</v>
      </c>
      <c r="C8701" s="12">
        <v>35065</v>
      </c>
      <c r="D8701" s="13" t="s">
        <v>8465</v>
      </c>
      <c r="E8701" s="10" t="s">
        <v>73</v>
      </c>
      <c r="F8701" s="10" t="s">
        <v>73</v>
      </c>
      <c r="G8701" s="11" t="s">
        <v>225</v>
      </c>
      <c r="H8701" s="2" t="s">
        <v>153</v>
      </c>
      <c r="L8701" s="18">
        <v>0</v>
      </c>
      <c r="Q8701" s="18">
        <v>0</v>
      </c>
      <c r="U8701" s="22">
        <v>0.65</v>
      </c>
      <c r="V8701" s="22">
        <f>3.96/5</f>
        <v>0.79200000000000004</v>
      </c>
      <c r="X8701" s="3">
        <v>4</v>
      </c>
      <c r="Z8701" s="23">
        <v>1.5</v>
      </c>
      <c r="AB8701" s="18">
        <f t="shared" si="270"/>
        <v>1996</v>
      </c>
      <c r="AC8701" s="22">
        <f t="shared" si="271"/>
        <v>0.74733333333333329</v>
      </c>
    </row>
    <row r="8702" spans="1:29" ht="25.5">
      <c r="A8702" s="8" t="s">
        <v>423</v>
      </c>
      <c r="B8702" s="17" t="s">
        <v>6317</v>
      </c>
      <c r="C8702" s="12">
        <v>35065</v>
      </c>
      <c r="D8702" s="13" t="s">
        <v>8465</v>
      </c>
      <c r="E8702" s="10" t="s">
        <v>73</v>
      </c>
      <c r="F8702" s="10" t="s">
        <v>73</v>
      </c>
      <c r="G8702" s="11" t="s">
        <v>449</v>
      </c>
      <c r="H8702" s="2" t="s">
        <v>459</v>
      </c>
      <c r="L8702" s="18">
        <v>0</v>
      </c>
      <c r="Q8702" s="18">
        <v>0</v>
      </c>
      <c r="V8702" s="22">
        <f>4.1/5</f>
        <v>0.82</v>
      </c>
      <c r="X8702" s="3">
        <v>3</v>
      </c>
      <c r="Z8702" s="23">
        <v>0.88</v>
      </c>
      <c r="AB8702" s="18">
        <f t="shared" si="270"/>
        <v>1996</v>
      </c>
      <c r="AC8702" s="22">
        <f t="shared" si="271"/>
        <v>0.71</v>
      </c>
    </row>
    <row r="8703" spans="1:29">
      <c r="A8703" s="8" t="s">
        <v>385</v>
      </c>
      <c r="B8703" s="17" t="s">
        <v>6317</v>
      </c>
      <c r="C8703" s="12">
        <v>35065</v>
      </c>
      <c r="D8703" s="13" t="s">
        <v>8465</v>
      </c>
      <c r="E8703" s="10" t="s">
        <v>485</v>
      </c>
      <c r="F8703" s="10" t="s">
        <v>163</v>
      </c>
      <c r="G8703" s="11" t="s">
        <v>431</v>
      </c>
      <c r="H8703" s="2" t="s">
        <v>459</v>
      </c>
      <c r="L8703" s="18">
        <v>0</v>
      </c>
      <c r="Q8703" s="18">
        <v>0</v>
      </c>
      <c r="V8703" s="22">
        <f>3.9/5</f>
        <v>0.78</v>
      </c>
      <c r="X8703" s="3">
        <v>3</v>
      </c>
      <c r="Z8703" s="23">
        <v>0.97</v>
      </c>
      <c r="AB8703" s="18">
        <f t="shared" si="270"/>
        <v>1996</v>
      </c>
      <c r="AC8703" s="22">
        <f t="shared" si="271"/>
        <v>0.69</v>
      </c>
    </row>
    <row r="8704" spans="1:29" ht="25.5">
      <c r="A8704" s="8" t="s">
        <v>7543</v>
      </c>
      <c r="B8704" s="17" t="s">
        <v>7800</v>
      </c>
      <c r="C8704" s="12">
        <v>35065</v>
      </c>
      <c r="D8704" s="13" t="s">
        <v>8465</v>
      </c>
      <c r="E8704" s="10" t="s">
        <v>1273</v>
      </c>
      <c r="F8704" s="10" t="s">
        <v>1273</v>
      </c>
      <c r="G8704" s="11" t="s">
        <v>1433</v>
      </c>
      <c r="H8704" s="2" t="s">
        <v>1204</v>
      </c>
      <c r="L8704" s="18">
        <v>0</v>
      </c>
      <c r="Q8704" s="18">
        <v>0</v>
      </c>
      <c r="V8704" s="22">
        <f>3.84/5</f>
        <v>0.76800000000000002</v>
      </c>
      <c r="X8704" s="3">
        <v>3</v>
      </c>
      <c r="Z8704" s="23">
        <v>20</v>
      </c>
      <c r="AB8704" s="18">
        <f t="shared" si="270"/>
        <v>1996</v>
      </c>
      <c r="AC8704" s="22">
        <f t="shared" si="271"/>
        <v>0.68399999999999994</v>
      </c>
    </row>
    <row r="8705" spans="1:29">
      <c r="A8705" s="8" t="s">
        <v>399</v>
      </c>
      <c r="B8705" s="17" t="s">
        <v>6317</v>
      </c>
      <c r="C8705" s="12">
        <v>35065</v>
      </c>
      <c r="D8705" s="13" t="s">
        <v>8465</v>
      </c>
      <c r="E8705" s="10" t="s">
        <v>555</v>
      </c>
      <c r="F8705" s="10" t="s">
        <v>554</v>
      </c>
      <c r="G8705" s="11" t="s">
        <v>397</v>
      </c>
      <c r="H8705" s="2" t="s">
        <v>21</v>
      </c>
      <c r="L8705" s="18">
        <v>0</v>
      </c>
      <c r="Q8705" s="18">
        <v>0</v>
      </c>
      <c r="V8705" s="22">
        <f>3.56/5</f>
        <v>0.71199999999999997</v>
      </c>
      <c r="X8705" s="3">
        <v>3</v>
      </c>
      <c r="Z8705" s="23">
        <v>0.55000000000000004</v>
      </c>
      <c r="AB8705" s="18">
        <f t="shared" ref="AB8705:AB8768" si="272">IFERROR(YEAR(C8705), "Early Access")</f>
        <v>1996</v>
      </c>
      <c r="AC8705" s="22">
        <f t="shared" ref="AC8705:AC8768" si="273">AVERAGE(T8705, U8705, V8705, IF(ISBLANK(X8705), X8705, X8705/5))</f>
        <v>0.65599999999999992</v>
      </c>
    </row>
    <row r="8706" spans="1:29">
      <c r="A8706" s="8" t="s">
        <v>14453</v>
      </c>
      <c r="B8706" s="17" t="s">
        <v>6317</v>
      </c>
      <c r="C8706" s="24">
        <v>35065</v>
      </c>
      <c r="D8706" s="13" t="s">
        <v>8465</v>
      </c>
      <c r="E8706" s="10" t="s">
        <v>473</v>
      </c>
      <c r="F8706" s="10" t="s">
        <v>473</v>
      </c>
      <c r="G8706" s="11" t="s">
        <v>558</v>
      </c>
      <c r="H8706" s="2" t="s">
        <v>21</v>
      </c>
      <c r="K8706" s="18">
        <v>0</v>
      </c>
      <c r="L8706" s="18">
        <v>0</v>
      </c>
      <c r="Q8706" s="18">
        <v>0</v>
      </c>
      <c r="V8706" s="22">
        <f>3.56/5</f>
        <v>0.71199999999999997</v>
      </c>
      <c r="X8706" s="3">
        <v>3</v>
      </c>
      <c r="Z8706" s="23">
        <f>32/60</f>
        <v>0.53333333333333333</v>
      </c>
      <c r="AB8706" s="18">
        <f t="shared" si="272"/>
        <v>1996</v>
      </c>
      <c r="AC8706" s="22">
        <f t="shared" si="273"/>
        <v>0.65599999999999992</v>
      </c>
    </row>
    <row r="8707" spans="1:29" ht="25.5">
      <c r="A8707" s="8" t="s">
        <v>649</v>
      </c>
      <c r="B8707" s="17" t="s">
        <v>7736</v>
      </c>
      <c r="C8707" s="12">
        <v>35065</v>
      </c>
      <c r="D8707" s="13" t="s">
        <v>8465</v>
      </c>
      <c r="E8707" s="10" t="s">
        <v>248</v>
      </c>
      <c r="F8707" s="10" t="s">
        <v>248</v>
      </c>
      <c r="G8707" s="11" t="s">
        <v>677</v>
      </c>
      <c r="H8707" s="2" t="s">
        <v>1267</v>
      </c>
      <c r="L8707" s="18">
        <v>0</v>
      </c>
      <c r="Q8707" s="18">
        <v>0</v>
      </c>
      <c r="U8707" s="22">
        <v>0.8</v>
      </c>
      <c r="V8707" s="22">
        <f>2.87/5</f>
        <v>0.57400000000000007</v>
      </c>
      <c r="X8707" s="3">
        <v>3</v>
      </c>
      <c r="Z8707" s="23">
        <v>1</v>
      </c>
      <c r="AB8707" s="18">
        <f t="shared" si="272"/>
        <v>1996</v>
      </c>
      <c r="AC8707" s="22">
        <f t="shared" si="273"/>
        <v>0.65800000000000003</v>
      </c>
    </row>
    <row r="8708" spans="1:29" ht="30">
      <c r="A8708" s="8" t="s">
        <v>7165</v>
      </c>
      <c r="B8708" s="17" t="s">
        <v>7800</v>
      </c>
      <c r="C8708" s="13">
        <v>35065</v>
      </c>
      <c r="D8708" s="13" t="s">
        <v>8465</v>
      </c>
      <c r="E8708" s="10" t="s">
        <v>7235</v>
      </c>
      <c r="F8708" s="10" t="s">
        <v>7235</v>
      </c>
      <c r="H8708" s="2" t="s">
        <v>67</v>
      </c>
      <c r="L8708" s="18">
        <v>0</v>
      </c>
      <c r="Q8708" s="18">
        <v>0</v>
      </c>
      <c r="U8708" s="22">
        <v>0.87</v>
      </c>
      <c r="V8708" s="22">
        <f>4.11/5</f>
        <v>0.82200000000000006</v>
      </c>
      <c r="X8708" s="3">
        <v>2</v>
      </c>
      <c r="Z8708" s="23">
        <v>3</v>
      </c>
      <c r="AB8708" s="18">
        <f t="shared" si="272"/>
        <v>1996</v>
      </c>
      <c r="AC8708" s="22">
        <f t="shared" si="273"/>
        <v>0.69733333333333336</v>
      </c>
    </row>
    <row r="8709" spans="1:29">
      <c r="A8709" s="8" t="s">
        <v>6898</v>
      </c>
      <c r="B8709" s="17" t="s">
        <v>7800</v>
      </c>
      <c r="C8709" s="13">
        <v>35065</v>
      </c>
      <c r="D8709" s="13" t="s">
        <v>8465</v>
      </c>
      <c r="E8709" s="10" t="s">
        <v>6928</v>
      </c>
      <c r="F8709" s="10" t="s">
        <v>6928</v>
      </c>
      <c r="G8709" s="11" t="s">
        <v>6898</v>
      </c>
      <c r="H8709" s="2" t="s">
        <v>1143</v>
      </c>
      <c r="L8709" s="18">
        <v>1</v>
      </c>
      <c r="N8709" s="13">
        <v>41201</v>
      </c>
      <c r="O8709" s="29">
        <v>0.49</v>
      </c>
      <c r="P8709" s="18" t="s">
        <v>1107</v>
      </c>
      <c r="Q8709" s="18">
        <v>0</v>
      </c>
      <c r="U8709" s="22">
        <v>0.85</v>
      </c>
      <c r="V8709" s="22">
        <f>4/5</f>
        <v>0.8</v>
      </c>
      <c r="W8709" s="14" t="s">
        <v>7778</v>
      </c>
      <c r="X8709" s="3">
        <v>2</v>
      </c>
      <c r="Z8709" s="23">
        <v>20</v>
      </c>
      <c r="AB8709" s="18">
        <f t="shared" si="272"/>
        <v>1996</v>
      </c>
      <c r="AC8709" s="22">
        <f t="shared" si="273"/>
        <v>0.68333333333333324</v>
      </c>
    </row>
    <row r="8710" spans="1:29">
      <c r="A8710" s="8" t="s">
        <v>2715</v>
      </c>
      <c r="B8710" s="17" t="s">
        <v>7754</v>
      </c>
      <c r="C8710" s="12">
        <v>35065</v>
      </c>
      <c r="D8710" s="13" t="s">
        <v>8465</v>
      </c>
      <c r="E8710" s="10" t="s">
        <v>455</v>
      </c>
      <c r="F8710" s="10" t="s">
        <v>455</v>
      </c>
      <c r="G8710" s="11" t="s">
        <v>2714</v>
      </c>
      <c r="H8710" s="2" t="s">
        <v>64</v>
      </c>
      <c r="L8710" s="18">
        <v>0</v>
      </c>
      <c r="Q8710" s="18">
        <v>0</v>
      </c>
      <c r="U8710" s="22">
        <v>0.88</v>
      </c>
      <c r="V8710" s="22">
        <f>3.71/5</f>
        <v>0.74199999999999999</v>
      </c>
      <c r="X8710" s="3">
        <v>2</v>
      </c>
      <c r="Z8710" s="23">
        <v>2</v>
      </c>
      <c r="AB8710" s="18">
        <f t="shared" si="272"/>
        <v>1996</v>
      </c>
      <c r="AC8710" s="22">
        <f t="shared" si="273"/>
        <v>0.67399999999999993</v>
      </c>
    </row>
    <row r="8711" spans="1:29">
      <c r="A8711" s="8" t="s">
        <v>13861</v>
      </c>
      <c r="B8711" s="17" t="s">
        <v>10323</v>
      </c>
      <c r="C8711" s="24">
        <v>35065</v>
      </c>
      <c r="D8711" s="13" t="s">
        <v>8463</v>
      </c>
      <c r="E8711" s="10" t="s">
        <v>13862</v>
      </c>
      <c r="F8711" s="10" t="s">
        <v>13862</v>
      </c>
      <c r="H8711" s="2" t="s">
        <v>21</v>
      </c>
      <c r="K8711" s="18">
        <v>0</v>
      </c>
      <c r="L8711" s="18">
        <v>0</v>
      </c>
      <c r="Q8711" s="18">
        <v>0</v>
      </c>
      <c r="V8711" s="22">
        <f>3.86/5</f>
        <v>0.77200000000000002</v>
      </c>
      <c r="X8711" s="3">
        <v>2</v>
      </c>
      <c r="AB8711" s="18">
        <f t="shared" si="272"/>
        <v>1996</v>
      </c>
      <c r="AC8711" s="22">
        <f t="shared" si="273"/>
        <v>0.58600000000000008</v>
      </c>
    </row>
    <row r="8712" spans="1:29">
      <c r="A8712" s="8" t="s">
        <v>11208</v>
      </c>
      <c r="B8712" s="17" t="s">
        <v>7754</v>
      </c>
      <c r="C8712" s="24">
        <v>35065</v>
      </c>
      <c r="D8712" s="13" t="s">
        <v>8465</v>
      </c>
      <c r="E8712" s="10" t="s">
        <v>455</v>
      </c>
      <c r="F8712" s="10" t="s">
        <v>1512</v>
      </c>
      <c r="G8712" s="11" t="s">
        <v>11208</v>
      </c>
      <c r="H8712" s="2" t="s">
        <v>1204</v>
      </c>
      <c r="L8712" s="18">
        <v>0</v>
      </c>
      <c r="Q8712" s="18">
        <v>0</v>
      </c>
      <c r="V8712" s="22">
        <f>3.79/5</f>
        <v>0.75800000000000001</v>
      </c>
      <c r="X8712" s="3">
        <v>2</v>
      </c>
      <c r="Z8712" s="23">
        <v>1.5</v>
      </c>
      <c r="AB8712" s="18">
        <f t="shared" si="272"/>
        <v>1996</v>
      </c>
      <c r="AC8712" s="22">
        <f t="shared" si="273"/>
        <v>0.57899999999999996</v>
      </c>
    </row>
    <row r="8713" spans="1:29" ht="25.5">
      <c r="A8713" s="8" t="s">
        <v>7596</v>
      </c>
      <c r="B8713" s="17" t="s">
        <v>7800</v>
      </c>
      <c r="C8713" s="12">
        <v>35065</v>
      </c>
      <c r="D8713" s="13" t="s">
        <v>8465</v>
      </c>
      <c r="E8713" s="10" t="s">
        <v>1259</v>
      </c>
      <c r="F8713" s="10" t="s">
        <v>6885</v>
      </c>
      <c r="G8713" s="11" t="s">
        <v>5566</v>
      </c>
      <c r="H8713" s="2" t="s">
        <v>1720</v>
      </c>
      <c r="L8713" s="18">
        <v>0</v>
      </c>
      <c r="Q8713" s="18">
        <v>0</v>
      </c>
      <c r="U8713" s="22">
        <v>0.7</v>
      </c>
      <c r="V8713" s="22">
        <f>3.94/5</f>
        <v>0.78800000000000003</v>
      </c>
      <c r="X8713" s="3">
        <v>2</v>
      </c>
      <c r="AB8713" s="18">
        <f t="shared" si="272"/>
        <v>1996</v>
      </c>
      <c r="AC8713" s="22">
        <f t="shared" si="273"/>
        <v>0.6293333333333333</v>
      </c>
    </row>
    <row r="8714" spans="1:29">
      <c r="A8714" s="8" t="s">
        <v>13836</v>
      </c>
      <c r="B8714" s="17" t="s">
        <v>7800</v>
      </c>
      <c r="C8714" s="24">
        <v>35065</v>
      </c>
      <c r="D8714" s="13" t="s">
        <v>8465</v>
      </c>
      <c r="E8714" s="10" t="s">
        <v>6923</v>
      </c>
      <c r="F8714" s="10" t="s">
        <v>13251</v>
      </c>
      <c r="H8714" s="2" t="s">
        <v>459</v>
      </c>
      <c r="L8714" s="18">
        <v>0</v>
      </c>
      <c r="Q8714" s="18">
        <v>0</v>
      </c>
      <c r="V8714" s="22">
        <f>3.28/5</f>
        <v>0.65599999999999992</v>
      </c>
      <c r="X8714" s="3">
        <v>2</v>
      </c>
      <c r="AB8714" s="18">
        <f t="shared" si="272"/>
        <v>1996</v>
      </c>
      <c r="AC8714" s="22">
        <f t="shared" si="273"/>
        <v>0.52800000000000002</v>
      </c>
    </row>
    <row r="8715" spans="1:29" ht="38.25">
      <c r="A8715" s="8" t="s">
        <v>8065</v>
      </c>
      <c r="B8715" s="17" t="s">
        <v>7792</v>
      </c>
      <c r="C8715" s="13">
        <v>35065</v>
      </c>
      <c r="D8715" s="13" t="s">
        <v>8465</v>
      </c>
      <c r="E8715" s="10" t="s">
        <v>231</v>
      </c>
      <c r="F8715" s="10" t="s">
        <v>8066</v>
      </c>
      <c r="G8715" s="11" t="s">
        <v>5534</v>
      </c>
      <c r="H8715" s="2" t="s">
        <v>7448</v>
      </c>
      <c r="L8715" s="18">
        <v>0</v>
      </c>
      <c r="Q8715" s="18">
        <v>0</v>
      </c>
      <c r="V8715" s="22">
        <f>3.26/5</f>
        <v>0.65199999999999991</v>
      </c>
      <c r="X8715" s="3">
        <v>2</v>
      </c>
      <c r="Z8715" s="23">
        <v>4.5</v>
      </c>
      <c r="AB8715" s="18">
        <f t="shared" si="272"/>
        <v>1996</v>
      </c>
      <c r="AC8715" s="22">
        <f t="shared" si="273"/>
        <v>0.52600000000000002</v>
      </c>
    </row>
    <row r="8716" spans="1:29" ht="25.5">
      <c r="A8716" s="8" t="s">
        <v>15148</v>
      </c>
      <c r="B8716" s="17" t="s">
        <v>7757</v>
      </c>
      <c r="C8716" s="24">
        <v>35065</v>
      </c>
      <c r="D8716" s="13" t="s">
        <v>8465</v>
      </c>
      <c r="E8716" s="10" t="s">
        <v>15149</v>
      </c>
      <c r="F8716" s="10" t="s">
        <v>1501</v>
      </c>
      <c r="H8716" s="2" t="s">
        <v>151</v>
      </c>
      <c r="L8716" s="18">
        <v>0</v>
      </c>
      <c r="Q8716" s="18">
        <v>0</v>
      </c>
      <c r="V8716" s="22">
        <f>3.15/5</f>
        <v>0.63</v>
      </c>
      <c r="X8716" s="3">
        <v>2</v>
      </c>
      <c r="AB8716" s="18">
        <f t="shared" si="272"/>
        <v>1996</v>
      </c>
      <c r="AC8716" s="22">
        <f t="shared" si="273"/>
        <v>0.51500000000000001</v>
      </c>
    </row>
    <row r="8717" spans="1:29">
      <c r="A8717" s="8" t="s">
        <v>2794</v>
      </c>
      <c r="B8717" s="17" t="s">
        <v>7756</v>
      </c>
      <c r="C8717" s="12">
        <v>35065</v>
      </c>
      <c r="D8717" s="13" t="s">
        <v>8465</v>
      </c>
      <c r="E8717" s="10" t="s">
        <v>455</v>
      </c>
      <c r="F8717" s="10" t="s">
        <v>455</v>
      </c>
      <c r="G8717" s="11" t="s">
        <v>440</v>
      </c>
      <c r="H8717" s="2" t="s">
        <v>143</v>
      </c>
      <c r="L8717" s="18">
        <v>0</v>
      </c>
      <c r="Q8717" s="18">
        <v>0</v>
      </c>
      <c r="V8717" s="22">
        <f>2.94/5</f>
        <v>0.58799999999999997</v>
      </c>
      <c r="X8717" s="3">
        <v>2</v>
      </c>
      <c r="Z8717" s="23">
        <f>15/60</f>
        <v>0.25</v>
      </c>
      <c r="AB8717" s="18">
        <f t="shared" si="272"/>
        <v>1996</v>
      </c>
      <c r="AC8717" s="22">
        <f t="shared" si="273"/>
        <v>0.49399999999999999</v>
      </c>
    </row>
    <row r="8718" spans="1:29" ht="25.5">
      <c r="A8718" s="8" t="s">
        <v>15084</v>
      </c>
      <c r="B8718" s="17" t="s">
        <v>7753</v>
      </c>
      <c r="C8718" s="24">
        <v>35065</v>
      </c>
      <c r="D8718" s="13" t="s">
        <v>8465</v>
      </c>
      <c r="E8718" s="10" t="s">
        <v>455</v>
      </c>
      <c r="F8718" s="10" t="s">
        <v>2658</v>
      </c>
      <c r="G8718" s="11" t="s">
        <v>1264</v>
      </c>
      <c r="H8718" s="2" t="s">
        <v>56</v>
      </c>
      <c r="L8718" s="18">
        <v>0</v>
      </c>
      <c r="Q8718" s="18">
        <v>0</v>
      </c>
      <c r="V8718" s="22">
        <f>2.87/5</f>
        <v>0.57400000000000007</v>
      </c>
      <c r="X8718" s="3">
        <v>2</v>
      </c>
      <c r="Z8718" s="23">
        <f>51/60</f>
        <v>0.85</v>
      </c>
      <c r="AB8718" s="18">
        <f t="shared" si="272"/>
        <v>1996</v>
      </c>
      <c r="AC8718" s="22">
        <f t="shared" si="273"/>
        <v>0.48700000000000004</v>
      </c>
    </row>
    <row r="8719" spans="1:29">
      <c r="A8719" s="8" t="s">
        <v>1184</v>
      </c>
      <c r="B8719" s="17" t="s">
        <v>7792</v>
      </c>
      <c r="C8719" s="12">
        <v>35065</v>
      </c>
      <c r="D8719" s="13" t="s">
        <v>8465</v>
      </c>
      <c r="E8719" s="10" t="s">
        <v>1192</v>
      </c>
      <c r="F8719" s="10" t="s">
        <v>1193</v>
      </c>
      <c r="H8719" s="2" t="s">
        <v>1194</v>
      </c>
      <c r="L8719" s="18">
        <v>0</v>
      </c>
      <c r="Q8719" s="18">
        <v>0</v>
      </c>
      <c r="V8719" s="22">
        <f>2.82/5</f>
        <v>0.56399999999999995</v>
      </c>
      <c r="X8719" s="3">
        <v>2</v>
      </c>
      <c r="Z8719" s="23">
        <v>0.55000000000000004</v>
      </c>
      <c r="AB8719" s="18">
        <f t="shared" si="272"/>
        <v>1996</v>
      </c>
      <c r="AC8719" s="22">
        <f t="shared" si="273"/>
        <v>0.48199999999999998</v>
      </c>
    </row>
    <row r="8720" spans="1:29">
      <c r="A8720" s="8" t="s">
        <v>3161</v>
      </c>
      <c r="B8720" s="17" t="s">
        <v>10960</v>
      </c>
      <c r="C8720" s="24">
        <v>35065</v>
      </c>
      <c r="D8720" s="13" t="s">
        <v>8463</v>
      </c>
      <c r="E8720" s="10" t="s">
        <v>14401</v>
      </c>
      <c r="F8720" s="10" t="s">
        <v>14401</v>
      </c>
      <c r="G8720" s="11" t="s">
        <v>3161</v>
      </c>
      <c r="H8720" s="2" t="s">
        <v>21</v>
      </c>
      <c r="K8720" s="18">
        <v>0</v>
      </c>
      <c r="L8720" s="18">
        <v>0</v>
      </c>
      <c r="Q8720" s="18">
        <v>0</v>
      </c>
      <c r="V8720" s="22">
        <f>2.75/5</f>
        <v>0.55000000000000004</v>
      </c>
      <c r="X8720" s="3">
        <v>2</v>
      </c>
      <c r="AB8720" s="18">
        <f t="shared" si="272"/>
        <v>1996</v>
      </c>
      <c r="AC8720" s="22">
        <f t="shared" si="273"/>
        <v>0.47500000000000003</v>
      </c>
    </row>
    <row r="8721" spans="1:29">
      <c r="A8721" s="8" t="s">
        <v>12435</v>
      </c>
      <c r="B8721" s="17" t="s">
        <v>7792</v>
      </c>
      <c r="C8721" s="24">
        <v>35065</v>
      </c>
      <c r="D8721" s="13" t="s">
        <v>10067</v>
      </c>
      <c r="E8721" s="10" t="s">
        <v>12436</v>
      </c>
      <c r="F8721" s="10" t="s">
        <v>12437</v>
      </c>
      <c r="H8721" s="2" t="s">
        <v>75</v>
      </c>
      <c r="K8721" s="18">
        <v>2</v>
      </c>
      <c r="L8721" s="18">
        <v>0</v>
      </c>
      <c r="Q8721" s="18">
        <v>0</v>
      </c>
      <c r="X8721" s="3">
        <v>2</v>
      </c>
      <c r="AB8721" s="18">
        <f t="shared" si="272"/>
        <v>1996</v>
      </c>
      <c r="AC8721" s="22">
        <f t="shared" si="273"/>
        <v>0.4</v>
      </c>
    </row>
    <row r="8722" spans="1:29" ht="25.5">
      <c r="A8722" s="8" t="s">
        <v>13865</v>
      </c>
      <c r="B8722" s="17" t="s">
        <v>10323</v>
      </c>
      <c r="C8722" s="24">
        <v>35065</v>
      </c>
      <c r="D8722" s="13" t="s">
        <v>8463</v>
      </c>
      <c r="E8722" s="10" t="s">
        <v>13862</v>
      </c>
      <c r="F8722" s="10" t="s">
        <v>13862</v>
      </c>
      <c r="H8722" s="2" t="s">
        <v>21</v>
      </c>
      <c r="K8722" s="18">
        <v>0</v>
      </c>
      <c r="L8722" s="18">
        <v>0</v>
      </c>
      <c r="Q8722" s="18">
        <v>0</v>
      </c>
      <c r="X8722" s="3">
        <v>2</v>
      </c>
      <c r="AB8722" s="18">
        <f t="shared" si="272"/>
        <v>1996</v>
      </c>
      <c r="AC8722" s="22">
        <f t="shared" si="273"/>
        <v>0.4</v>
      </c>
    </row>
    <row r="8723" spans="1:29" ht="25.5">
      <c r="A8723" s="8" t="s">
        <v>13879</v>
      </c>
      <c r="B8723" s="17" t="s">
        <v>10323</v>
      </c>
      <c r="C8723" s="24">
        <v>35065</v>
      </c>
      <c r="D8723" s="13" t="s">
        <v>8463</v>
      </c>
      <c r="E8723" s="10" t="s">
        <v>13877</v>
      </c>
      <c r="F8723" s="10" t="s">
        <v>13877</v>
      </c>
      <c r="G8723" s="11" t="s">
        <v>13876</v>
      </c>
      <c r="H8723" s="2" t="s">
        <v>75</v>
      </c>
      <c r="K8723" s="18">
        <v>0</v>
      </c>
      <c r="L8723" s="18">
        <v>0</v>
      </c>
      <c r="Q8723" s="18">
        <v>0</v>
      </c>
      <c r="X8723" s="3">
        <v>2</v>
      </c>
      <c r="AB8723" s="18">
        <f t="shared" si="272"/>
        <v>1996</v>
      </c>
      <c r="AC8723" s="22">
        <f t="shared" si="273"/>
        <v>0.4</v>
      </c>
    </row>
    <row r="8724" spans="1:29">
      <c r="A8724" s="8" t="s">
        <v>14450</v>
      </c>
      <c r="B8724" s="17" t="s">
        <v>7751</v>
      </c>
      <c r="C8724" s="24">
        <v>35065</v>
      </c>
      <c r="D8724" s="13" t="s">
        <v>8465</v>
      </c>
      <c r="E8724" s="10" t="s">
        <v>455</v>
      </c>
      <c r="F8724" s="10" t="s">
        <v>14451</v>
      </c>
      <c r="G8724" s="11" t="s">
        <v>14448</v>
      </c>
      <c r="H8724" s="2" t="s">
        <v>153</v>
      </c>
      <c r="L8724" s="18">
        <v>0</v>
      </c>
      <c r="Q8724" s="18">
        <v>0</v>
      </c>
      <c r="V8724" s="22">
        <f>1.77/5</f>
        <v>0.35399999999999998</v>
      </c>
      <c r="X8724" s="3">
        <v>2</v>
      </c>
      <c r="AB8724" s="18">
        <f t="shared" si="272"/>
        <v>1996</v>
      </c>
      <c r="AC8724" s="22">
        <f t="shared" si="273"/>
        <v>0.377</v>
      </c>
    </row>
    <row r="8725" spans="1:29" ht="30">
      <c r="A8725" s="8" t="s">
        <v>14403</v>
      </c>
      <c r="B8725" s="17" t="s">
        <v>12735</v>
      </c>
      <c r="C8725" s="24">
        <v>35065</v>
      </c>
      <c r="D8725" s="13" t="s">
        <v>8467</v>
      </c>
      <c r="E8725" s="10" t="s">
        <v>192</v>
      </c>
      <c r="F8725" s="10" t="s">
        <v>2666</v>
      </c>
      <c r="G8725" s="11" t="s">
        <v>2897</v>
      </c>
      <c r="H8725" s="2" t="s">
        <v>147</v>
      </c>
      <c r="L8725" s="18">
        <v>0</v>
      </c>
      <c r="Q8725" s="18">
        <v>0</v>
      </c>
      <c r="V8725" s="22">
        <f>1/5</f>
        <v>0.2</v>
      </c>
      <c r="X8725" s="3">
        <v>2</v>
      </c>
      <c r="AB8725" s="18">
        <f t="shared" si="272"/>
        <v>1996</v>
      </c>
      <c r="AC8725" s="22">
        <f t="shared" si="273"/>
        <v>0.30000000000000004</v>
      </c>
    </row>
    <row r="8726" spans="1:29" ht="30">
      <c r="A8726" s="8" t="s">
        <v>15727</v>
      </c>
      <c r="B8726" s="17" t="s">
        <v>7800</v>
      </c>
      <c r="C8726" s="24">
        <v>35065</v>
      </c>
      <c r="D8726" s="13" t="s">
        <v>8465</v>
      </c>
      <c r="E8726" s="10" t="s">
        <v>15728</v>
      </c>
      <c r="F8726" s="10" t="s">
        <v>15729</v>
      </c>
      <c r="H8726" s="2" t="s">
        <v>459</v>
      </c>
      <c r="L8726" s="18">
        <v>0</v>
      </c>
      <c r="Q8726" s="18">
        <v>0</v>
      </c>
      <c r="V8726" s="22">
        <f>0.71/5</f>
        <v>0.14199999999999999</v>
      </c>
      <c r="X8726" s="3">
        <v>2</v>
      </c>
      <c r="AB8726" s="18">
        <f t="shared" si="272"/>
        <v>1996</v>
      </c>
      <c r="AC8726" s="22">
        <f t="shared" si="273"/>
        <v>0.27100000000000002</v>
      </c>
    </row>
    <row r="8727" spans="1:29" ht="30">
      <c r="A8727" s="8" t="s">
        <v>16068</v>
      </c>
      <c r="B8727" s="17" t="s">
        <v>9581</v>
      </c>
      <c r="C8727" s="24">
        <v>35065</v>
      </c>
      <c r="D8727" s="13" t="s">
        <v>8465</v>
      </c>
      <c r="E8727" s="10" t="s">
        <v>16069</v>
      </c>
      <c r="F8727" s="10" t="s">
        <v>16070</v>
      </c>
      <c r="H8727" s="2" t="s">
        <v>80</v>
      </c>
      <c r="L8727" s="18">
        <v>0</v>
      </c>
      <c r="Q8727" s="18">
        <v>0</v>
      </c>
      <c r="X8727" s="3">
        <v>2</v>
      </c>
      <c r="AB8727" s="18">
        <f t="shared" si="272"/>
        <v>1996</v>
      </c>
      <c r="AC8727" s="22">
        <f t="shared" si="273"/>
        <v>0.4</v>
      </c>
    </row>
    <row r="8728" spans="1:29">
      <c r="A8728" s="8" t="s">
        <v>591</v>
      </c>
      <c r="B8728" s="17" t="s">
        <v>7736</v>
      </c>
      <c r="C8728" s="13">
        <v>35418</v>
      </c>
      <c r="D8728" s="13" t="s">
        <v>8467</v>
      </c>
      <c r="E8728" s="10" t="s">
        <v>86</v>
      </c>
      <c r="F8728" s="10" t="s">
        <v>1252</v>
      </c>
      <c r="G8728" s="11" t="s">
        <v>1255</v>
      </c>
      <c r="H8728" s="2" t="s">
        <v>171</v>
      </c>
      <c r="L8728" s="18">
        <v>0</v>
      </c>
      <c r="Q8728" s="18">
        <v>1</v>
      </c>
      <c r="T8728" s="22">
        <v>0.7</v>
      </c>
      <c r="U8728" s="22">
        <v>0.74</v>
      </c>
      <c r="V8728" s="22">
        <f>4.33/5</f>
        <v>0.86599999999999999</v>
      </c>
      <c r="AB8728" s="18">
        <f t="shared" si="272"/>
        <v>1996</v>
      </c>
      <c r="AC8728" s="22">
        <f t="shared" si="273"/>
        <v>0.76866666666666672</v>
      </c>
    </row>
    <row r="8729" spans="1:29" ht="38.25">
      <c r="A8729" s="8" t="s">
        <v>595</v>
      </c>
      <c r="B8729" s="17" t="s">
        <v>7736</v>
      </c>
      <c r="C8729" s="13">
        <v>35391</v>
      </c>
      <c r="D8729" s="13" t="s">
        <v>8465</v>
      </c>
      <c r="E8729" s="10" t="s">
        <v>86</v>
      </c>
      <c r="F8729" s="10" t="s">
        <v>163</v>
      </c>
      <c r="G8729" s="11" t="s">
        <v>1254</v>
      </c>
      <c r="H8729" s="2" t="s">
        <v>64</v>
      </c>
      <c r="L8729" s="18">
        <v>0</v>
      </c>
      <c r="Q8729" s="18">
        <v>1</v>
      </c>
      <c r="T8729" s="22">
        <v>0.8</v>
      </c>
      <c r="U8729" s="22">
        <v>0.83</v>
      </c>
      <c r="V8729" s="22">
        <f>4.13/5</f>
        <v>0.82599999999999996</v>
      </c>
      <c r="Y8729" s="18">
        <v>1</v>
      </c>
      <c r="AB8729" s="18">
        <f t="shared" si="272"/>
        <v>1996</v>
      </c>
      <c r="AC8729" s="22">
        <f t="shared" si="273"/>
        <v>0.81866666666666665</v>
      </c>
    </row>
    <row r="8730" spans="1:29">
      <c r="A8730" s="8" t="s">
        <v>900</v>
      </c>
      <c r="B8730" s="20" t="s">
        <v>7739</v>
      </c>
      <c r="C8730" s="13">
        <v>35334</v>
      </c>
      <c r="D8730" s="13" t="s">
        <v>8465</v>
      </c>
      <c r="E8730" s="10" t="s">
        <v>86</v>
      </c>
      <c r="F8730" s="10" t="s">
        <v>87</v>
      </c>
      <c r="G8730" s="11" t="s">
        <v>137</v>
      </c>
      <c r="H8730" s="2" t="s">
        <v>1040</v>
      </c>
      <c r="L8730" s="18">
        <v>0</v>
      </c>
      <c r="Q8730" s="18">
        <v>1</v>
      </c>
      <c r="R8730" s="13">
        <v>41496</v>
      </c>
      <c r="T8730" s="22">
        <v>0.9</v>
      </c>
      <c r="U8730" s="22">
        <v>0.96</v>
      </c>
      <c r="V8730" s="22">
        <f>4.4/5</f>
        <v>0.88000000000000012</v>
      </c>
      <c r="Y8730" s="18">
        <v>1</v>
      </c>
      <c r="AB8730" s="18">
        <f t="shared" si="272"/>
        <v>1996</v>
      </c>
      <c r="AC8730" s="22">
        <f t="shared" si="273"/>
        <v>0.91333333333333344</v>
      </c>
    </row>
    <row r="8731" spans="1:29">
      <c r="A8731" s="8" t="s">
        <v>593</v>
      </c>
      <c r="B8731" s="17" t="s">
        <v>7736</v>
      </c>
      <c r="C8731" s="13">
        <v>35328</v>
      </c>
      <c r="D8731" s="13" t="s">
        <v>8465</v>
      </c>
      <c r="E8731" s="10" t="s">
        <v>86</v>
      </c>
      <c r="F8731" s="10" t="s">
        <v>30</v>
      </c>
      <c r="G8731" s="11" t="s">
        <v>223</v>
      </c>
      <c r="H8731" s="2" t="s">
        <v>64</v>
      </c>
      <c r="L8731" s="18">
        <v>0</v>
      </c>
      <c r="Q8731" s="18">
        <v>1</v>
      </c>
      <c r="T8731" s="22">
        <v>0.7</v>
      </c>
      <c r="U8731" s="22">
        <v>0.86</v>
      </c>
      <c r="V8731" s="22">
        <f>4.3/5</f>
        <v>0.86</v>
      </c>
      <c r="AB8731" s="18">
        <f t="shared" si="272"/>
        <v>1996</v>
      </c>
      <c r="AC8731" s="22">
        <f t="shared" si="273"/>
        <v>0.80666666666666664</v>
      </c>
    </row>
    <row r="8732" spans="1:29" ht="25.5">
      <c r="A8732" s="8" t="s">
        <v>617</v>
      </c>
      <c r="B8732" s="17" t="s">
        <v>7736</v>
      </c>
      <c r="C8732" s="13">
        <v>35308</v>
      </c>
      <c r="D8732" s="13" t="s">
        <v>8465</v>
      </c>
      <c r="E8732" s="10" t="s">
        <v>66</v>
      </c>
      <c r="F8732" s="10" t="s">
        <v>1269</v>
      </c>
      <c r="G8732" s="11" t="s">
        <v>1270</v>
      </c>
      <c r="H8732" s="2" t="s">
        <v>149</v>
      </c>
      <c r="L8732" s="18">
        <v>0</v>
      </c>
      <c r="Q8732" s="18">
        <v>1</v>
      </c>
      <c r="T8732" s="22">
        <v>0.8</v>
      </c>
      <c r="U8732" s="22">
        <v>0.8</v>
      </c>
      <c r="V8732" s="22">
        <f>4.32/5</f>
        <v>0.8640000000000001</v>
      </c>
      <c r="AB8732" s="18">
        <f t="shared" si="272"/>
        <v>1996</v>
      </c>
      <c r="AC8732" s="22">
        <f t="shared" si="273"/>
        <v>0.82133333333333347</v>
      </c>
    </row>
    <row r="8733" spans="1:29">
      <c r="A8733" s="8" t="s">
        <v>590</v>
      </c>
      <c r="B8733" s="17" t="s">
        <v>7736</v>
      </c>
      <c r="C8733" s="12">
        <v>35278</v>
      </c>
      <c r="D8733" s="13" t="s">
        <v>8465</v>
      </c>
      <c r="E8733" s="10" t="s">
        <v>86</v>
      </c>
      <c r="F8733" s="10" t="s">
        <v>142</v>
      </c>
      <c r="G8733" s="11" t="s">
        <v>98</v>
      </c>
      <c r="H8733" s="2" t="s">
        <v>78</v>
      </c>
      <c r="L8733" s="18">
        <v>0</v>
      </c>
      <c r="Q8733" s="18">
        <v>1</v>
      </c>
      <c r="T8733" s="22">
        <v>0.9</v>
      </c>
      <c r="U8733" s="22">
        <v>0.9</v>
      </c>
      <c r="V8733" s="22">
        <f>4.29/5</f>
        <v>0.85799999999999998</v>
      </c>
      <c r="AB8733" s="18">
        <f t="shared" si="272"/>
        <v>1996</v>
      </c>
      <c r="AC8733" s="22">
        <f t="shared" si="273"/>
        <v>0.88600000000000001</v>
      </c>
    </row>
    <row r="8734" spans="1:29" ht="25.5">
      <c r="A8734" s="8" t="s">
        <v>316</v>
      </c>
      <c r="B8734" s="17" t="s">
        <v>6317</v>
      </c>
      <c r="C8734" s="13">
        <v>35254</v>
      </c>
      <c r="D8734" s="13" t="s">
        <v>8465</v>
      </c>
      <c r="E8734" s="10" t="s">
        <v>73</v>
      </c>
      <c r="F8734" s="10" t="s">
        <v>73</v>
      </c>
      <c r="G8734" s="11" t="s">
        <v>89</v>
      </c>
      <c r="H8734" s="2" t="s">
        <v>459</v>
      </c>
      <c r="L8734" s="18">
        <v>0</v>
      </c>
      <c r="Q8734" s="18">
        <v>1</v>
      </c>
      <c r="T8734" s="22">
        <v>0.7</v>
      </c>
      <c r="V8734" s="22">
        <f>3.97/5</f>
        <v>0.79400000000000004</v>
      </c>
      <c r="AB8734" s="18">
        <f t="shared" si="272"/>
        <v>1996</v>
      </c>
      <c r="AC8734" s="22">
        <f t="shared" si="273"/>
        <v>0.747</v>
      </c>
    </row>
    <row r="8735" spans="1:29" ht="25.5">
      <c r="A8735" s="8" t="s">
        <v>319</v>
      </c>
      <c r="B8735" s="17" t="s">
        <v>6317</v>
      </c>
      <c r="C8735" s="13">
        <v>35235</v>
      </c>
      <c r="D8735" s="13" t="s">
        <v>8465</v>
      </c>
      <c r="E8735" s="10" t="s">
        <v>73</v>
      </c>
      <c r="F8735" s="10" t="s">
        <v>73</v>
      </c>
      <c r="G8735" s="11" t="s">
        <v>445</v>
      </c>
      <c r="H8735" s="2" t="s">
        <v>153</v>
      </c>
      <c r="L8735" s="18">
        <v>0</v>
      </c>
      <c r="Q8735" s="18">
        <v>1</v>
      </c>
      <c r="T8735" s="22">
        <v>0.9</v>
      </c>
      <c r="V8735" s="22">
        <f>4.07/5</f>
        <v>0.81400000000000006</v>
      </c>
      <c r="AB8735" s="18">
        <f t="shared" si="272"/>
        <v>1996</v>
      </c>
      <c r="AC8735" s="22">
        <f t="shared" si="273"/>
        <v>0.85699999999999998</v>
      </c>
    </row>
    <row r="8736" spans="1:29">
      <c r="A8736" s="8" t="s">
        <v>450</v>
      </c>
      <c r="B8736" s="17" t="s">
        <v>7731</v>
      </c>
      <c r="C8736" s="13">
        <v>35209</v>
      </c>
      <c r="D8736" s="13" t="s">
        <v>8465</v>
      </c>
      <c r="E8736" s="10" t="s">
        <v>170</v>
      </c>
      <c r="F8736" s="10" t="s">
        <v>562</v>
      </c>
      <c r="G8736" s="11" t="s">
        <v>450</v>
      </c>
      <c r="H8736" s="2" t="s">
        <v>147</v>
      </c>
      <c r="L8736" s="18">
        <v>0</v>
      </c>
      <c r="Q8736" s="18">
        <v>1</v>
      </c>
      <c r="T8736" s="22">
        <v>0.8</v>
      </c>
      <c r="V8736" s="22">
        <f>4.1/5</f>
        <v>0.82</v>
      </c>
      <c r="AB8736" s="18">
        <f t="shared" si="272"/>
        <v>1996</v>
      </c>
      <c r="AC8736" s="22">
        <f t="shared" si="273"/>
        <v>0.81</v>
      </c>
    </row>
    <row r="8737" spans="1:29" ht="38.25">
      <c r="A8737" s="8" t="s">
        <v>587</v>
      </c>
      <c r="B8737" s="17" t="s">
        <v>7736</v>
      </c>
      <c r="C8737" s="13">
        <v>35198</v>
      </c>
      <c r="D8737" s="13" t="s">
        <v>8465</v>
      </c>
      <c r="E8737" s="10" t="s">
        <v>86</v>
      </c>
      <c r="F8737" s="10" t="s">
        <v>161</v>
      </c>
      <c r="G8737" s="11" t="s">
        <v>137</v>
      </c>
      <c r="H8737" s="2" t="s">
        <v>149</v>
      </c>
      <c r="L8737" s="18">
        <v>0</v>
      </c>
      <c r="Q8737" s="18">
        <v>1</v>
      </c>
      <c r="T8737" s="22">
        <v>0.9</v>
      </c>
      <c r="U8737" s="22">
        <v>0.89</v>
      </c>
      <c r="V8737" s="22">
        <f>4.45/5</f>
        <v>0.89</v>
      </c>
      <c r="Y8737" s="18">
        <v>1</v>
      </c>
      <c r="AB8737" s="18">
        <f t="shared" si="272"/>
        <v>1996</v>
      </c>
      <c r="AC8737" s="22">
        <f t="shared" si="273"/>
        <v>0.89333333333333342</v>
      </c>
    </row>
    <row r="8738" spans="1:29">
      <c r="A8738" s="8" t="s">
        <v>6934</v>
      </c>
      <c r="B8738" s="17" t="s">
        <v>7800</v>
      </c>
      <c r="C8738" s="13">
        <v>35137</v>
      </c>
      <c r="D8738" s="13" t="s">
        <v>8465</v>
      </c>
      <c r="E8738" s="10" t="s">
        <v>6928</v>
      </c>
      <c r="F8738" s="10" t="s">
        <v>6930</v>
      </c>
      <c r="G8738" s="11" t="s">
        <v>6929</v>
      </c>
      <c r="H8738" s="2" t="s">
        <v>2138</v>
      </c>
      <c r="L8738" s="18">
        <v>1</v>
      </c>
      <c r="N8738" s="13">
        <v>39704</v>
      </c>
      <c r="O8738" s="29">
        <v>2.99</v>
      </c>
      <c r="P8738" s="18" t="s">
        <v>1107</v>
      </c>
      <c r="Q8738" s="18">
        <v>1</v>
      </c>
      <c r="T8738" s="22">
        <v>0.8</v>
      </c>
      <c r="U8738" s="22">
        <v>0.92</v>
      </c>
      <c r="V8738" s="22">
        <f>4.01/5</f>
        <v>0.80199999999999994</v>
      </c>
      <c r="W8738" s="14" t="s">
        <v>7778</v>
      </c>
      <c r="AB8738" s="18">
        <f t="shared" si="272"/>
        <v>1996</v>
      </c>
      <c r="AC8738" s="22">
        <f t="shared" si="273"/>
        <v>0.84066666666666678</v>
      </c>
    </row>
    <row r="8739" spans="1:29">
      <c r="A8739" s="8" t="s">
        <v>2903</v>
      </c>
      <c r="B8739" s="17" t="s">
        <v>7757</v>
      </c>
      <c r="C8739" s="13">
        <v>35104</v>
      </c>
      <c r="D8739" s="13" t="s">
        <v>8463</v>
      </c>
      <c r="E8739" s="10" t="s">
        <v>72</v>
      </c>
      <c r="F8739" s="10" t="s">
        <v>72</v>
      </c>
      <c r="H8739" s="2" t="s">
        <v>67</v>
      </c>
      <c r="K8739" s="18">
        <v>2</v>
      </c>
      <c r="L8739" s="18">
        <v>0</v>
      </c>
      <c r="Q8739" s="18">
        <v>1</v>
      </c>
      <c r="T8739" s="22">
        <v>0.9</v>
      </c>
      <c r="V8739" s="22">
        <f>4/5</f>
        <v>0.8</v>
      </c>
      <c r="AB8739" s="18">
        <f t="shared" si="272"/>
        <v>1996</v>
      </c>
      <c r="AC8739" s="22">
        <f t="shared" si="273"/>
        <v>0.85000000000000009</v>
      </c>
    </row>
    <row r="8740" spans="1:29" ht="25.5">
      <c r="A8740" s="8" t="s">
        <v>611</v>
      </c>
      <c r="B8740" s="17" t="s">
        <v>7737</v>
      </c>
      <c r="C8740" s="13">
        <v>35098</v>
      </c>
      <c r="D8740" s="13" t="s">
        <v>8463</v>
      </c>
      <c r="E8740" s="10" t="s">
        <v>161</v>
      </c>
      <c r="F8740" s="10" t="s">
        <v>161</v>
      </c>
      <c r="G8740" s="11" t="s">
        <v>1251</v>
      </c>
      <c r="H8740" s="2" t="s">
        <v>1057</v>
      </c>
      <c r="K8740" s="18">
        <v>2</v>
      </c>
      <c r="L8740" s="18">
        <v>0</v>
      </c>
      <c r="Q8740" s="18">
        <v>1</v>
      </c>
      <c r="T8740" s="22">
        <v>0.9</v>
      </c>
      <c r="V8740" s="22">
        <f>4.03/5</f>
        <v>0.80600000000000005</v>
      </c>
      <c r="AB8740" s="18">
        <f t="shared" si="272"/>
        <v>1996</v>
      </c>
      <c r="AC8740" s="22">
        <f t="shared" si="273"/>
        <v>0.85299999999999998</v>
      </c>
    </row>
    <row r="8741" spans="1:29">
      <c r="A8741" s="8" t="s">
        <v>5647</v>
      </c>
      <c r="B8741" s="17" t="s">
        <v>7800</v>
      </c>
      <c r="C8741" s="13">
        <v>35065</v>
      </c>
      <c r="D8741" s="13" t="s">
        <v>8465</v>
      </c>
      <c r="E8741" s="10" t="s">
        <v>5685</v>
      </c>
      <c r="F8741" s="10" t="s">
        <v>5686</v>
      </c>
      <c r="G8741" s="11" t="s">
        <v>5687</v>
      </c>
      <c r="H8741" s="2" t="s">
        <v>1334</v>
      </c>
      <c r="L8741" s="18">
        <v>0</v>
      </c>
      <c r="Q8741" s="18">
        <v>1</v>
      </c>
      <c r="T8741" s="22">
        <v>0.8</v>
      </c>
      <c r="V8741" s="22">
        <f>4.18/5</f>
        <v>0.83599999999999997</v>
      </c>
      <c r="W8741" s="14" t="s">
        <v>8468</v>
      </c>
      <c r="AB8741" s="18">
        <f t="shared" si="272"/>
        <v>1996</v>
      </c>
      <c r="AC8741" s="22">
        <f t="shared" si="273"/>
        <v>0.81800000000000006</v>
      </c>
    </row>
    <row r="8742" spans="1:29">
      <c r="A8742" s="8" t="s">
        <v>613</v>
      </c>
      <c r="B8742" s="17" t="s">
        <v>7736</v>
      </c>
      <c r="C8742" s="12">
        <v>35065</v>
      </c>
      <c r="D8742" s="13" t="s">
        <v>8465</v>
      </c>
      <c r="E8742" s="10" t="s">
        <v>73</v>
      </c>
      <c r="F8742" s="10" t="s">
        <v>73</v>
      </c>
      <c r="G8742" s="11" t="s">
        <v>601</v>
      </c>
      <c r="H8742" s="2" t="s">
        <v>56</v>
      </c>
      <c r="L8742" s="18">
        <v>0</v>
      </c>
      <c r="Q8742" s="18">
        <v>1</v>
      </c>
      <c r="T8742" s="22">
        <v>0.7</v>
      </c>
      <c r="U8742" s="22">
        <v>0.71</v>
      </c>
      <c r="V8742" s="22">
        <f>4.09/5</f>
        <v>0.81799999999999995</v>
      </c>
      <c r="AB8742" s="18">
        <f t="shared" si="272"/>
        <v>1996</v>
      </c>
      <c r="AC8742" s="22">
        <f t="shared" si="273"/>
        <v>0.74266666666666659</v>
      </c>
    </row>
    <row r="8743" spans="1:29" ht="25.5">
      <c r="A8743" s="8" t="s">
        <v>6784</v>
      </c>
      <c r="B8743" s="17" t="s">
        <v>7800</v>
      </c>
      <c r="C8743" s="13">
        <v>35063</v>
      </c>
      <c r="D8743" s="13" t="s">
        <v>8465</v>
      </c>
      <c r="E8743" s="10" t="s">
        <v>1272</v>
      </c>
      <c r="F8743" s="10" t="s">
        <v>6928</v>
      </c>
      <c r="H8743" s="2" t="s">
        <v>1194</v>
      </c>
      <c r="L8743" s="18">
        <v>1</v>
      </c>
      <c r="N8743" s="13">
        <v>41201</v>
      </c>
      <c r="O8743" s="29">
        <v>0</v>
      </c>
      <c r="P8743" s="18" t="s">
        <v>1107</v>
      </c>
      <c r="Q8743" s="18">
        <v>0</v>
      </c>
      <c r="U8743" s="22">
        <v>0.7</v>
      </c>
      <c r="V8743" s="22">
        <f>3.5/5</f>
        <v>0.7</v>
      </c>
      <c r="W8743" s="14" t="s">
        <v>7778</v>
      </c>
      <c r="X8743" s="3">
        <v>2</v>
      </c>
      <c r="AB8743" s="18">
        <f t="shared" si="272"/>
        <v>1995</v>
      </c>
      <c r="AC8743" s="22">
        <f t="shared" si="273"/>
        <v>0.6</v>
      </c>
    </row>
    <row r="8744" spans="1:29">
      <c r="A8744" s="8" t="s">
        <v>1890</v>
      </c>
      <c r="B8744" s="17" t="s">
        <v>7792</v>
      </c>
      <c r="C8744" s="13">
        <v>35062</v>
      </c>
      <c r="D8744" s="13" t="s">
        <v>8465</v>
      </c>
      <c r="E8744" s="10" t="s">
        <v>11038</v>
      </c>
      <c r="F8744" s="10" t="s">
        <v>11039</v>
      </c>
      <c r="G8744" s="11" t="s">
        <v>1890</v>
      </c>
      <c r="H8744" s="2" t="s">
        <v>1050</v>
      </c>
      <c r="L8744" s="18">
        <v>0</v>
      </c>
      <c r="Q8744" s="18">
        <v>0</v>
      </c>
      <c r="V8744" s="22">
        <f>2.9/5</f>
        <v>0.57999999999999996</v>
      </c>
      <c r="X8744" s="3">
        <v>2</v>
      </c>
      <c r="Z8744" s="23">
        <v>4.5</v>
      </c>
      <c r="AB8744" s="18">
        <f t="shared" si="272"/>
        <v>1995</v>
      </c>
      <c r="AC8744" s="22">
        <f t="shared" si="273"/>
        <v>0.49</v>
      </c>
    </row>
    <row r="8745" spans="1:29" ht="25.5">
      <c r="A8745" s="8" t="s">
        <v>828</v>
      </c>
      <c r="B8745" s="17" t="s">
        <v>7736</v>
      </c>
      <c r="C8745" s="13">
        <v>35062</v>
      </c>
      <c r="D8745" s="13" t="s">
        <v>8463</v>
      </c>
      <c r="E8745" s="10" t="s">
        <v>1245</v>
      </c>
      <c r="F8745" s="10" t="s">
        <v>1245</v>
      </c>
      <c r="G8745" s="11" t="s">
        <v>304</v>
      </c>
      <c r="H8745" s="2" t="s">
        <v>171</v>
      </c>
      <c r="K8745" s="18">
        <v>2</v>
      </c>
      <c r="L8745" s="18">
        <v>0</v>
      </c>
      <c r="Q8745" s="18">
        <v>0</v>
      </c>
      <c r="U8745" s="22">
        <v>0.4</v>
      </c>
      <c r="V8745" s="22">
        <f>3.46/5</f>
        <v>0.69199999999999995</v>
      </c>
      <c r="X8745" s="3">
        <v>3</v>
      </c>
      <c r="Z8745" s="23">
        <v>8</v>
      </c>
      <c r="AB8745" s="18">
        <f t="shared" si="272"/>
        <v>1995</v>
      </c>
      <c r="AC8745" s="22">
        <f t="shared" si="273"/>
        <v>0.56400000000000006</v>
      </c>
    </row>
    <row r="8746" spans="1:29">
      <c r="A8746" s="8" t="s">
        <v>8430</v>
      </c>
      <c r="B8746" s="17" t="s">
        <v>7736</v>
      </c>
      <c r="C8746" s="13">
        <v>35055</v>
      </c>
      <c r="D8746" s="13" t="s">
        <v>8463</v>
      </c>
      <c r="E8746" s="10" t="s">
        <v>62</v>
      </c>
      <c r="F8746" s="10" t="s">
        <v>1318</v>
      </c>
      <c r="G8746" s="11" t="s">
        <v>1968</v>
      </c>
      <c r="H8746" s="2" t="s">
        <v>149</v>
      </c>
      <c r="K8746" s="18">
        <v>2</v>
      </c>
      <c r="L8746" s="18">
        <v>0</v>
      </c>
      <c r="Q8746" s="18">
        <v>0</v>
      </c>
      <c r="V8746" s="22">
        <f>3.8/5</f>
        <v>0.76</v>
      </c>
      <c r="X8746" s="3">
        <v>3</v>
      </c>
      <c r="Z8746" s="23">
        <v>21</v>
      </c>
      <c r="AB8746" s="18">
        <f t="shared" si="272"/>
        <v>1995</v>
      </c>
      <c r="AC8746" s="22">
        <f t="shared" si="273"/>
        <v>0.67999999999999994</v>
      </c>
    </row>
    <row r="8747" spans="1:29">
      <c r="A8747" s="8" t="s">
        <v>8413</v>
      </c>
      <c r="B8747" s="17" t="s">
        <v>7736</v>
      </c>
      <c r="C8747" s="13">
        <v>35055</v>
      </c>
      <c r="D8747" s="13" t="s">
        <v>8463</v>
      </c>
      <c r="E8747" s="10" t="s">
        <v>9035</v>
      </c>
      <c r="F8747" s="10" t="s">
        <v>9036</v>
      </c>
      <c r="G8747" s="11" t="s">
        <v>8413</v>
      </c>
      <c r="H8747" s="2" t="s">
        <v>75</v>
      </c>
      <c r="K8747" s="18">
        <v>2</v>
      </c>
      <c r="L8747" s="18">
        <v>0</v>
      </c>
      <c r="Q8747" s="18">
        <v>0</v>
      </c>
      <c r="V8747" s="22">
        <f>3.53/5</f>
        <v>0.70599999999999996</v>
      </c>
      <c r="X8747" s="3">
        <v>3</v>
      </c>
      <c r="AB8747" s="18">
        <f t="shared" si="272"/>
        <v>1995</v>
      </c>
      <c r="AC8747" s="22">
        <f t="shared" si="273"/>
        <v>0.65300000000000002</v>
      </c>
    </row>
    <row r="8748" spans="1:29" ht="25.5">
      <c r="A8748" s="8" t="s">
        <v>10907</v>
      </c>
      <c r="B8748" s="17" t="s">
        <v>10908</v>
      </c>
      <c r="C8748" s="13">
        <v>35055</v>
      </c>
      <c r="D8748" s="13" t="s">
        <v>8463</v>
      </c>
      <c r="E8748" s="10" t="s">
        <v>62</v>
      </c>
      <c r="F8748" s="10" t="s">
        <v>62</v>
      </c>
      <c r="G8748" s="11" t="s">
        <v>10909</v>
      </c>
      <c r="H8748" s="2" t="s">
        <v>153</v>
      </c>
      <c r="K8748" s="18">
        <v>0</v>
      </c>
      <c r="L8748" s="18">
        <v>0</v>
      </c>
      <c r="Q8748" s="18">
        <v>0</v>
      </c>
      <c r="V8748" s="22">
        <f>4.16/5</f>
        <v>0.83200000000000007</v>
      </c>
      <c r="X8748" s="3">
        <v>2</v>
      </c>
      <c r="Z8748" s="23">
        <f>40/60</f>
        <v>0.66666666666666663</v>
      </c>
      <c r="AB8748" s="18">
        <f t="shared" si="272"/>
        <v>1995</v>
      </c>
      <c r="AC8748" s="22">
        <f t="shared" si="273"/>
        <v>0.6160000000000001</v>
      </c>
    </row>
    <row r="8749" spans="1:29" ht="51">
      <c r="A8749" s="8" t="s">
        <v>729</v>
      </c>
      <c r="B8749" s="17" t="s">
        <v>7736</v>
      </c>
      <c r="C8749" s="13">
        <v>35055</v>
      </c>
      <c r="D8749" s="13" t="s">
        <v>8463</v>
      </c>
      <c r="E8749" s="10" t="s">
        <v>72</v>
      </c>
      <c r="F8749" s="10" t="s">
        <v>72</v>
      </c>
      <c r="G8749" s="11" t="s">
        <v>1242</v>
      </c>
      <c r="H8749" s="2" t="s">
        <v>56</v>
      </c>
      <c r="K8749" s="18">
        <v>2</v>
      </c>
      <c r="L8749" s="18">
        <v>0</v>
      </c>
      <c r="Q8749" s="18">
        <v>0</v>
      </c>
      <c r="V8749" s="22">
        <f>3.8/5</f>
        <v>0.76</v>
      </c>
      <c r="X8749" s="3">
        <v>2</v>
      </c>
      <c r="AB8749" s="18">
        <f t="shared" si="272"/>
        <v>1995</v>
      </c>
      <c r="AC8749" s="22">
        <f t="shared" si="273"/>
        <v>0.58000000000000007</v>
      </c>
    </row>
    <row r="8750" spans="1:29" ht="25.5">
      <c r="A8750" s="8" t="s">
        <v>14443</v>
      </c>
      <c r="B8750" s="17" t="s">
        <v>7757</v>
      </c>
      <c r="C8750" s="13">
        <v>35055</v>
      </c>
      <c r="D8750" s="13" t="s">
        <v>8463</v>
      </c>
      <c r="E8750" s="10" t="s">
        <v>81</v>
      </c>
      <c r="F8750" s="10" t="s">
        <v>10862</v>
      </c>
      <c r="G8750" s="11" t="s">
        <v>690</v>
      </c>
      <c r="H8750" s="2" t="s">
        <v>80</v>
      </c>
      <c r="K8750" s="18">
        <v>0</v>
      </c>
      <c r="L8750" s="18">
        <v>0</v>
      </c>
      <c r="Q8750" s="18">
        <v>0</v>
      </c>
      <c r="V8750" s="22">
        <f>3.73/5</f>
        <v>0.746</v>
      </c>
      <c r="X8750" s="3">
        <v>2</v>
      </c>
      <c r="AB8750" s="18">
        <f t="shared" si="272"/>
        <v>1995</v>
      </c>
      <c r="AC8750" s="22">
        <f t="shared" si="273"/>
        <v>0.57299999999999995</v>
      </c>
    </row>
    <row r="8751" spans="1:29">
      <c r="A8751" s="8" t="s">
        <v>14984</v>
      </c>
      <c r="B8751" s="17" t="s">
        <v>7736</v>
      </c>
      <c r="C8751" s="13">
        <v>35055</v>
      </c>
      <c r="D8751" s="13" t="s">
        <v>8463</v>
      </c>
      <c r="E8751" s="10" t="s">
        <v>6575</v>
      </c>
      <c r="F8751" s="10" t="s">
        <v>6575</v>
      </c>
      <c r="H8751" s="2" t="s">
        <v>67</v>
      </c>
      <c r="K8751" s="18">
        <v>0</v>
      </c>
      <c r="L8751" s="18">
        <v>0</v>
      </c>
      <c r="Q8751" s="18">
        <v>0</v>
      </c>
      <c r="V8751" s="22">
        <f>3.71/5</f>
        <v>0.74199999999999999</v>
      </c>
      <c r="X8751" s="3">
        <v>2</v>
      </c>
      <c r="AB8751" s="18">
        <f t="shared" si="272"/>
        <v>1995</v>
      </c>
      <c r="AC8751" s="22">
        <f t="shared" si="273"/>
        <v>0.57099999999999995</v>
      </c>
    </row>
    <row r="8752" spans="1:29">
      <c r="A8752" s="8" t="s">
        <v>771</v>
      </c>
      <c r="B8752" s="17" t="s">
        <v>7736</v>
      </c>
      <c r="C8752" s="13">
        <v>35055</v>
      </c>
      <c r="D8752" s="13" t="s">
        <v>8463</v>
      </c>
      <c r="E8752" s="10" t="s">
        <v>1385</v>
      </c>
      <c r="F8752" s="10" t="s">
        <v>1385</v>
      </c>
      <c r="H8752" s="2" t="s">
        <v>153</v>
      </c>
      <c r="K8752" s="18">
        <v>2</v>
      </c>
      <c r="L8752" s="18">
        <v>0</v>
      </c>
      <c r="Q8752" s="18">
        <v>0</v>
      </c>
      <c r="V8752" s="22">
        <f>3.38/5</f>
        <v>0.67599999999999993</v>
      </c>
      <c r="X8752" s="3">
        <v>2</v>
      </c>
      <c r="Z8752" s="23">
        <f>49/60</f>
        <v>0.81666666666666665</v>
      </c>
      <c r="AB8752" s="18">
        <f t="shared" si="272"/>
        <v>1995</v>
      </c>
      <c r="AC8752" s="22">
        <f t="shared" si="273"/>
        <v>0.53800000000000003</v>
      </c>
    </row>
    <row r="8753" spans="1:29">
      <c r="A8753" s="8" t="s">
        <v>11881</v>
      </c>
      <c r="B8753" s="17" t="s">
        <v>7736</v>
      </c>
      <c r="C8753" s="13">
        <v>35055</v>
      </c>
      <c r="D8753" s="13" t="s">
        <v>8463</v>
      </c>
      <c r="E8753" s="10" t="s">
        <v>239</v>
      </c>
      <c r="F8753" s="10" t="s">
        <v>239</v>
      </c>
      <c r="G8753" s="11" t="s">
        <v>7640</v>
      </c>
      <c r="H8753" s="2" t="s">
        <v>171</v>
      </c>
      <c r="K8753" s="18">
        <v>2</v>
      </c>
      <c r="L8753" s="18">
        <v>0</v>
      </c>
      <c r="Q8753" s="18">
        <v>0</v>
      </c>
      <c r="V8753" s="22">
        <f>3.23/5</f>
        <v>0.64600000000000002</v>
      </c>
      <c r="X8753" s="3">
        <v>2</v>
      </c>
      <c r="AB8753" s="18">
        <f t="shared" si="272"/>
        <v>1995</v>
      </c>
      <c r="AC8753" s="22">
        <f t="shared" si="273"/>
        <v>0.52300000000000002</v>
      </c>
    </row>
    <row r="8754" spans="1:29" ht="30">
      <c r="A8754" s="8" t="s">
        <v>10921</v>
      </c>
      <c r="B8754" s="17" t="s">
        <v>7736</v>
      </c>
      <c r="C8754" s="13">
        <v>35055</v>
      </c>
      <c r="D8754" s="13" t="s">
        <v>8463</v>
      </c>
      <c r="E8754" s="10" t="s">
        <v>470</v>
      </c>
      <c r="F8754" s="10" t="s">
        <v>10919</v>
      </c>
      <c r="G8754" s="11" t="s">
        <v>10920</v>
      </c>
      <c r="H8754" s="2" t="s">
        <v>75</v>
      </c>
      <c r="K8754" s="18">
        <v>0</v>
      </c>
      <c r="L8754" s="18">
        <v>0</v>
      </c>
      <c r="Q8754" s="18">
        <v>0</v>
      </c>
      <c r="V8754" s="22">
        <f>3.15/5</f>
        <v>0.63</v>
      </c>
      <c r="X8754" s="3">
        <v>2</v>
      </c>
      <c r="AB8754" s="18">
        <f t="shared" si="272"/>
        <v>1995</v>
      </c>
      <c r="AC8754" s="22">
        <f t="shared" si="273"/>
        <v>0.51500000000000001</v>
      </c>
    </row>
    <row r="8755" spans="1:29" ht="25.5">
      <c r="A8755" s="8" t="s">
        <v>14282</v>
      </c>
      <c r="B8755" s="17" t="s">
        <v>7738</v>
      </c>
      <c r="C8755" s="13">
        <v>35055</v>
      </c>
      <c r="D8755" s="13" t="s">
        <v>8463</v>
      </c>
      <c r="E8755" s="10" t="s">
        <v>157</v>
      </c>
      <c r="F8755" s="10" t="s">
        <v>14283</v>
      </c>
      <c r="G8755" s="11" t="s">
        <v>1395</v>
      </c>
      <c r="H8755" s="2" t="s">
        <v>75</v>
      </c>
      <c r="K8755" s="18">
        <v>2</v>
      </c>
      <c r="L8755" s="18">
        <v>0</v>
      </c>
      <c r="Q8755" s="18">
        <v>0</v>
      </c>
      <c r="V8755" s="22">
        <f>1.78/5</f>
        <v>0.35599999999999998</v>
      </c>
      <c r="X8755" s="3">
        <v>2</v>
      </c>
      <c r="AB8755" s="18">
        <f t="shared" si="272"/>
        <v>1995</v>
      </c>
      <c r="AC8755" s="22">
        <f t="shared" si="273"/>
        <v>0.378</v>
      </c>
    </row>
    <row r="8756" spans="1:29" ht="25.5">
      <c r="A8756" s="8" t="s">
        <v>14031</v>
      </c>
      <c r="B8756" s="17" t="s">
        <v>7800</v>
      </c>
      <c r="C8756" s="13">
        <v>35053</v>
      </c>
      <c r="D8756" s="13" t="s">
        <v>8463</v>
      </c>
      <c r="E8756" s="10" t="s">
        <v>8933</v>
      </c>
      <c r="F8756" s="10" t="s">
        <v>8933</v>
      </c>
      <c r="G8756" s="11" t="s">
        <v>14032</v>
      </c>
      <c r="H8756" s="2" t="s">
        <v>1720</v>
      </c>
      <c r="K8756" s="18">
        <v>2</v>
      </c>
      <c r="L8756" s="18">
        <v>0</v>
      </c>
      <c r="Q8756" s="18">
        <v>0</v>
      </c>
      <c r="V8756" s="22">
        <f>3.63/5</f>
        <v>0.72599999999999998</v>
      </c>
      <c r="X8756" s="3">
        <v>2</v>
      </c>
      <c r="AB8756" s="18">
        <f t="shared" si="272"/>
        <v>1995</v>
      </c>
      <c r="AC8756" s="22">
        <f t="shared" si="273"/>
        <v>0.56299999999999994</v>
      </c>
    </row>
    <row r="8757" spans="1:29" ht="25.5">
      <c r="A8757" s="8" t="s">
        <v>14017</v>
      </c>
      <c r="B8757" s="17" t="s">
        <v>7800</v>
      </c>
      <c r="C8757" s="13">
        <v>35053</v>
      </c>
      <c r="D8757" s="13" t="s">
        <v>10067</v>
      </c>
      <c r="E8757" s="10" t="s">
        <v>14018</v>
      </c>
      <c r="F8757" s="10" t="s">
        <v>14018</v>
      </c>
      <c r="H8757" s="2" t="s">
        <v>149</v>
      </c>
      <c r="K8757" s="18">
        <v>2</v>
      </c>
      <c r="L8757" s="18">
        <v>0</v>
      </c>
      <c r="Q8757" s="18">
        <v>0</v>
      </c>
      <c r="V8757" s="22">
        <f>2/5</f>
        <v>0.4</v>
      </c>
      <c r="X8757" s="3">
        <v>2</v>
      </c>
      <c r="AB8757" s="18">
        <f t="shared" si="272"/>
        <v>1995</v>
      </c>
      <c r="AC8757" s="22">
        <f t="shared" si="273"/>
        <v>0.4</v>
      </c>
    </row>
    <row r="8758" spans="1:29">
      <c r="A8758" s="8" t="s">
        <v>839</v>
      </c>
      <c r="B8758" s="17" t="s">
        <v>7736</v>
      </c>
      <c r="C8758" s="13">
        <v>35048</v>
      </c>
      <c r="D8758" s="13" t="s">
        <v>8463</v>
      </c>
      <c r="E8758" s="10" t="s">
        <v>158</v>
      </c>
      <c r="F8758" s="10" t="s">
        <v>1379</v>
      </c>
      <c r="G8758" s="11" t="s">
        <v>1422</v>
      </c>
      <c r="H8758" s="2" t="s">
        <v>149</v>
      </c>
      <c r="K8758" s="18">
        <v>2</v>
      </c>
      <c r="L8758" s="18">
        <v>0</v>
      </c>
      <c r="Q8758" s="18">
        <v>0</v>
      </c>
      <c r="U8758" s="22">
        <v>0.94</v>
      </c>
      <c r="V8758" s="22">
        <f>4.12/5</f>
        <v>0.82400000000000007</v>
      </c>
      <c r="X8758" s="3">
        <v>4</v>
      </c>
      <c r="Z8758" s="23">
        <v>31.5</v>
      </c>
      <c r="AB8758" s="18">
        <f t="shared" si="272"/>
        <v>1995</v>
      </c>
      <c r="AC8758" s="22">
        <f t="shared" si="273"/>
        <v>0.85466666666666669</v>
      </c>
    </row>
    <row r="8759" spans="1:29" ht="25.5">
      <c r="A8759" s="8" t="s">
        <v>769</v>
      </c>
      <c r="B8759" s="17" t="s">
        <v>7736</v>
      </c>
      <c r="C8759" s="13">
        <v>35048</v>
      </c>
      <c r="D8759" s="13" t="s">
        <v>8463</v>
      </c>
      <c r="E8759" s="10" t="s">
        <v>72</v>
      </c>
      <c r="F8759" s="10" t="s">
        <v>72</v>
      </c>
      <c r="G8759" s="11" t="s">
        <v>451</v>
      </c>
      <c r="H8759" s="2" t="s">
        <v>21</v>
      </c>
      <c r="K8759" s="18">
        <v>0</v>
      </c>
      <c r="L8759" s="18">
        <v>0</v>
      </c>
      <c r="Q8759" s="18">
        <v>0</v>
      </c>
      <c r="V8759" s="22">
        <f>3.78/5</f>
        <v>0.75600000000000001</v>
      </c>
      <c r="X8759" s="3">
        <v>3</v>
      </c>
      <c r="Z8759" s="23">
        <v>0.83</v>
      </c>
      <c r="AB8759" s="18">
        <f t="shared" si="272"/>
        <v>1995</v>
      </c>
      <c r="AC8759" s="22">
        <f t="shared" si="273"/>
        <v>0.67799999999999994</v>
      </c>
    </row>
    <row r="8760" spans="1:29">
      <c r="A8760" s="8" t="s">
        <v>739</v>
      </c>
      <c r="B8760" s="17" t="s">
        <v>7736</v>
      </c>
      <c r="C8760" s="13">
        <v>35048</v>
      </c>
      <c r="D8760" s="13" t="s">
        <v>8463</v>
      </c>
      <c r="E8760" s="10" t="s">
        <v>470</v>
      </c>
      <c r="F8760" s="10" t="s">
        <v>470</v>
      </c>
      <c r="G8760" s="11" t="s">
        <v>737</v>
      </c>
      <c r="H8760" s="2" t="s">
        <v>56</v>
      </c>
      <c r="K8760" s="18">
        <v>0</v>
      </c>
      <c r="L8760" s="18">
        <v>0</v>
      </c>
      <c r="Q8760" s="18">
        <v>0</v>
      </c>
      <c r="V8760" s="22">
        <f>3.38/5</f>
        <v>0.67599999999999993</v>
      </c>
      <c r="X8760" s="3">
        <v>2</v>
      </c>
      <c r="Z8760" s="23">
        <v>1.5</v>
      </c>
      <c r="AB8760" s="18">
        <f t="shared" si="272"/>
        <v>1995</v>
      </c>
      <c r="AC8760" s="22">
        <f t="shared" si="273"/>
        <v>0.53800000000000003</v>
      </c>
    </row>
    <row r="8761" spans="1:29">
      <c r="A8761" s="8" t="s">
        <v>8031</v>
      </c>
      <c r="B8761" s="17" t="s">
        <v>7757</v>
      </c>
      <c r="C8761" s="13">
        <v>35045</v>
      </c>
      <c r="D8761" s="13" t="s">
        <v>8465</v>
      </c>
      <c r="E8761" s="10" t="s">
        <v>1272</v>
      </c>
      <c r="F8761" s="10" t="s">
        <v>8032</v>
      </c>
      <c r="H8761" s="2" t="s">
        <v>1054</v>
      </c>
      <c r="L8761" s="18">
        <v>0</v>
      </c>
      <c r="Q8761" s="18">
        <v>0</v>
      </c>
      <c r="U8761" s="22">
        <v>0.81499999999999995</v>
      </c>
      <c r="V8761" s="22">
        <f>3.31/5</f>
        <v>0.66200000000000003</v>
      </c>
      <c r="X8761" s="3">
        <v>2</v>
      </c>
      <c r="Z8761" s="23">
        <v>4.5</v>
      </c>
      <c r="AB8761" s="18">
        <f t="shared" si="272"/>
        <v>1995</v>
      </c>
      <c r="AC8761" s="22">
        <f t="shared" si="273"/>
        <v>0.62566666666666659</v>
      </c>
    </row>
    <row r="8762" spans="1:29">
      <c r="A8762" s="8" t="s">
        <v>701</v>
      </c>
      <c r="B8762" s="17" t="s">
        <v>7736</v>
      </c>
      <c r="C8762" s="13">
        <v>35043</v>
      </c>
      <c r="D8762" s="13" t="s">
        <v>8465</v>
      </c>
      <c r="E8762" s="10" t="s">
        <v>73</v>
      </c>
      <c r="F8762" s="10" t="s">
        <v>73</v>
      </c>
      <c r="G8762" s="11" t="s">
        <v>700</v>
      </c>
      <c r="H8762" s="2" t="s">
        <v>149</v>
      </c>
      <c r="L8762" s="18">
        <v>0</v>
      </c>
      <c r="Q8762" s="18">
        <v>0</v>
      </c>
      <c r="U8762" s="22">
        <v>0.76</v>
      </c>
      <c r="V8762" s="22">
        <f>4.05/5</f>
        <v>0.80999999999999994</v>
      </c>
      <c r="X8762" s="3">
        <v>4</v>
      </c>
      <c r="Z8762" s="23">
        <v>38.5</v>
      </c>
      <c r="AB8762" s="18">
        <f t="shared" si="272"/>
        <v>1995</v>
      </c>
      <c r="AC8762" s="22">
        <f t="shared" si="273"/>
        <v>0.79</v>
      </c>
    </row>
    <row r="8763" spans="1:29" ht="25.5">
      <c r="A8763" s="8" t="s">
        <v>6873</v>
      </c>
      <c r="B8763" s="17" t="s">
        <v>7800</v>
      </c>
      <c r="C8763" s="13">
        <v>35042</v>
      </c>
      <c r="D8763" s="13" t="s">
        <v>8465</v>
      </c>
      <c r="E8763" s="10" t="s">
        <v>1296</v>
      </c>
      <c r="F8763" s="10" t="s">
        <v>1296</v>
      </c>
      <c r="G8763" s="11" t="s">
        <v>6917</v>
      </c>
      <c r="H8763" s="2" t="s">
        <v>1143</v>
      </c>
      <c r="L8763" s="18">
        <v>0</v>
      </c>
      <c r="Q8763" s="18">
        <v>0</v>
      </c>
      <c r="U8763" s="22">
        <v>0.95</v>
      </c>
      <c r="V8763" s="22">
        <f>4.04/5</f>
        <v>0.80800000000000005</v>
      </c>
      <c r="X8763" s="3">
        <v>4</v>
      </c>
      <c r="Z8763" s="23">
        <v>21</v>
      </c>
      <c r="AB8763" s="18">
        <f t="shared" si="272"/>
        <v>1995</v>
      </c>
      <c r="AC8763" s="22">
        <f t="shared" si="273"/>
        <v>0.85266666666666657</v>
      </c>
    </row>
    <row r="8764" spans="1:29" ht="25.5">
      <c r="A8764" s="8" t="s">
        <v>1463</v>
      </c>
      <c r="B8764" s="17" t="s">
        <v>7736</v>
      </c>
      <c r="C8764" s="13">
        <v>35042</v>
      </c>
      <c r="D8764" s="13" t="s">
        <v>8463</v>
      </c>
      <c r="E8764" s="10" t="s">
        <v>257</v>
      </c>
      <c r="F8764" s="10" t="s">
        <v>1407</v>
      </c>
      <c r="G8764" s="11" t="s">
        <v>140</v>
      </c>
      <c r="H8764" s="2" t="s">
        <v>149</v>
      </c>
      <c r="K8764" s="18">
        <v>2</v>
      </c>
      <c r="L8764" s="18">
        <v>0</v>
      </c>
      <c r="Q8764" s="18">
        <v>0</v>
      </c>
      <c r="V8764" s="22">
        <f>4.11/5</f>
        <v>0.82200000000000006</v>
      </c>
      <c r="X8764" s="3">
        <v>4</v>
      </c>
      <c r="Z8764" s="23">
        <v>40.5</v>
      </c>
      <c r="AB8764" s="18">
        <f t="shared" si="272"/>
        <v>1995</v>
      </c>
      <c r="AC8764" s="22">
        <f t="shared" si="273"/>
        <v>0.81100000000000005</v>
      </c>
    </row>
    <row r="8765" spans="1:29" ht="25.5">
      <c r="A8765" s="8" t="s">
        <v>14291</v>
      </c>
      <c r="B8765" s="17" t="s">
        <v>7756</v>
      </c>
      <c r="C8765" s="13">
        <v>35041</v>
      </c>
      <c r="D8765" s="13" t="s">
        <v>8463</v>
      </c>
      <c r="E8765" s="10" t="s">
        <v>455</v>
      </c>
      <c r="F8765" s="10" t="s">
        <v>2509</v>
      </c>
      <c r="G8765" s="11" t="s">
        <v>13083</v>
      </c>
      <c r="H8765" s="2" t="s">
        <v>75</v>
      </c>
      <c r="K8765" s="18">
        <v>2</v>
      </c>
      <c r="L8765" s="18">
        <v>0</v>
      </c>
      <c r="Q8765" s="18">
        <v>0</v>
      </c>
      <c r="V8765" s="22">
        <f>2.88/5</f>
        <v>0.57599999999999996</v>
      </c>
      <c r="X8765" s="3">
        <v>2</v>
      </c>
      <c r="AB8765" s="18">
        <f t="shared" si="272"/>
        <v>1995</v>
      </c>
      <c r="AC8765" s="22">
        <f t="shared" si="273"/>
        <v>0.48799999999999999</v>
      </c>
    </row>
    <row r="8766" spans="1:29">
      <c r="A8766" s="8" t="s">
        <v>15987</v>
      </c>
      <c r="B8766" s="17" t="s">
        <v>7738</v>
      </c>
      <c r="C8766" s="13">
        <v>35041</v>
      </c>
      <c r="D8766" s="13" t="s">
        <v>8463</v>
      </c>
      <c r="E8766" s="10" t="s">
        <v>1380</v>
      </c>
      <c r="F8766" s="10" t="s">
        <v>15988</v>
      </c>
      <c r="H8766" s="2" t="s">
        <v>78</v>
      </c>
      <c r="K8766" s="18">
        <v>0</v>
      </c>
      <c r="L8766" s="18">
        <v>0</v>
      </c>
      <c r="Q8766" s="18">
        <v>0</v>
      </c>
      <c r="V8766" s="22">
        <f>1.93/5</f>
        <v>0.38600000000000001</v>
      </c>
      <c r="X8766" s="3">
        <v>2</v>
      </c>
      <c r="AB8766" s="18">
        <f t="shared" si="272"/>
        <v>1995</v>
      </c>
      <c r="AC8766" s="22">
        <f t="shared" si="273"/>
        <v>0.39300000000000002</v>
      </c>
    </row>
    <row r="8767" spans="1:29" ht="25.5">
      <c r="A8767" s="8" t="s">
        <v>764</v>
      </c>
      <c r="B8767" s="17" t="s">
        <v>7736</v>
      </c>
      <c r="C8767" s="13">
        <v>35034</v>
      </c>
      <c r="D8767" s="13" t="s">
        <v>8463</v>
      </c>
      <c r="E8767" s="10" t="s">
        <v>164</v>
      </c>
      <c r="F8767" s="10" t="s">
        <v>164</v>
      </c>
      <c r="G8767" s="11" t="s">
        <v>11001</v>
      </c>
      <c r="H8767" s="2" t="s">
        <v>1377</v>
      </c>
      <c r="K8767" s="18">
        <v>2</v>
      </c>
      <c r="L8767" s="18">
        <v>0</v>
      </c>
      <c r="Q8767" s="18">
        <v>0</v>
      </c>
      <c r="V8767" s="22">
        <f>3.87/5</f>
        <v>0.77400000000000002</v>
      </c>
      <c r="X8767" s="3">
        <v>3</v>
      </c>
      <c r="AB8767" s="18">
        <f t="shared" si="272"/>
        <v>1995</v>
      </c>
      <c r="AC8767" s="22">
        <f t="shared" si="273"/>
        <v>0.68700000000000006</v>
      </c>
    </row>
    <row r="8768" spans="1:29" ht="25.5">
      <c r="A8768" s="8" t="s">
        <v>520</v>
      </c>
      <c r="B8768" s="17" t="s">
        <v>7731</v>
      </c>
      <c r="C8768" s="13">
        <v>35034</v>
      </c>
      <c r="D8768" s="13" t="s">
        <v>8465</v>
      </c>
      <c r="E8768" s="10" t="s">
        <v>170</v>
      </c>
      <c r="F8768" s="10" t="s">
        <v>170</v>
      </c>
      <c r="G8768" s="11" t="s">
        <v>519</v>
      </c>
      <c r="H8768" s="2" t="s">
        <v>459</v>
      </c>
      <c r="L8768" s="18">
        <v>0</v>
      </c>
      <c r="Q8768" s="18">
        <v>0</v>
      </c>
      <c r="V8768" s="22">
        <f>3.84/5</f>
        <v>0.76800000000000002</v>
      </c>
      <c r="X8768" s="3">
        <v>3</v>
      </c>
      <c r="Z8768" s="23">
        <v>2</v>
      </c>
      <c r="AB8768" s="18">
        <f t="shared" si="272"/>
        <v>1995</v>
      </c>
      <c r="AC8768" s="22">
        <f t="shared" si="273"/>
        <v>0.68399999999999994</v>
      </c>
    </row>
    <row r="8769" spans="1:29">
      <c r="A8769" s="8" t="s">
        <v>749</v>
      </c>
      <c r="B8769" s="17" t="s">
        <v>7736</v>
      </c>
      <c r="C8769" s="13">
        <v>35034</v>
      </c>
      <c r="D8769" s="13" t="s">
        <v>8463</v>
      </c>
      <c r="E8769" s="10" t="s">
        <v>1357</v>
      </c>
      <c r="F8769" s="10" t="s">
        <v>1358</v>
      </c>
      <c r="H8769" s="2" t="s">
        <v>75</v>
      </c>
      <c r="K8769" s="18">
        <v>2</v>
      </c>
      <c r="L8769" s="18">
        <v>0</v>
      </c>
      <c r="Q8769" s="18">
        <v>0</v>
      </c>
      <c r="V8769" s="22">
        <f>3.8/5</f>
        <v>0.76</v>
      </c>
      <c r="X8769" s="3">
        <v>3</v>
      </c>
      <c r="AB8769" s="18">
        <f t="shared" ref="AB8769:AB8832" si="274">IFERROR(YEAR(C8769), "Early Access")</f>
        <v>1995</v>
      </c>
      <c r="AC8769" s="22">
        <f t="shared" ref="AC8769:AC8832" si="275">AVERAGE(T8769, U8769, V8769, IF(ISBLANK(X8769), X8769, X8769/5))</f>
        <v>0.67999999999999994</v>
      </c>
    </row>
    <row r="8770" spans="1:29" ht="25.5">
      <c r="A8770" s="8" t="s">
        <v>622</v>
      </c>
      <c r="B8770" s="17" t="s">
        <v>7736</v>
      </c>
      <c r="C8770" s="12">
        <v>35034</v>
      </c>
      <c r="D8770" s="13" t="s">
        <v>8465</v>
      </c>
      <c r="E8770" s="10" t="s">
        <v>1272</v>
      </c>
      <c r="F8770" s="10" t="s">
        <v>1272</v>
      </c>
      <c r="H8770" s="2" t="s">
        <v>56</v>
      </c>
      <c r="L8770" s="18">
        <v>0</v>
      </c>
      <c r="Q8770" s="18">
        <v>0</v>
      </c>
      <c r="U8770" s="22">
        <v>0.73</v>
      </c>
      <c r="V8770" s="22">
        <f>3.02/5</f>
        <v>0.60399999999999998</v>
      </c>
      <c r="X8770" s="3">
        <v>2</v>
      </c>
      <c r="Z8770" s="23">
        <v>2</v>
      </c>
      <c r="AB8770" s="18">
        <f t="shared" si="274"/>
        <v>1995</v>
      </c>
      <c r="AC8770" s="22">
        <f t="shared" si="275"/>
        <v>0.57799999999999996</v>
      </c>
    </row>
    <row r="8771" spans="1:29" ht="30">
      <c r="A8771" s="8" t="s">
        <v>12389</v>
      </c>
      <c r="B8771" s="17" t="s">
        <v>7736</v>
      </c>
      <c r="C8771" s="13">
        <v>35034</v>
      </c>
      <c r="D8771" s="13" t="s">
        <v>8463</v>
      </c>
      <c r="E8771" s="10" t="s">
        <v>8394</v>
      </c>
      <c r="F8771" s="10" t="s">
        <v>1411</v>
      </c>
      <c r="G8771" s="11" t="s">
        <v>7405</v>
      </c>
      <c r="H8771" s="2" t="s">
        <v>1469</v>
      </c>
      <c r="K8771" s="18">
        <v>2</v>
      </c>
      <c r="L8771" s="18">
        <v>0</v>
      </c>
      <c r="Q8771" s="18">
        <v>0</v>
      </c>
      <c r="V8771" s="22">
        <f>3.32/5</f>
        <v>0.66399999999999992</v>
      </c>
      <c r="X8771" s="3">
        <v>2</v>
      </c>
      <c r="AB8771" s="18">
        <f t="shared" si="274"/>
        <v>1995</v>
      </c>
      <c r="AC8771" s="22">
        <f t="shared" si="275"/>
        <v>0.53200000000000003</v>
      </c>
    </row>
    <row r="8772" spans="1:29">
      <c r="A8772" s="8" t="s">
        <v>847</v>
      </c>
      <c r="B8772" s="17" t="s">
        <v>7738</v>
      </c>
      <c r="C8772" s="13">
        <v>35034</v>
      </c>
      <c r="D8772" s="13" t="s">
        <v>8465</v>
      </c>
      <c r="E8772" s="10" t="s">
        <v>86</v>
      </c>
      <c r="F8772" s="10" t="s">
        <v>62</v>
      </c>
      <c r="H8772" s="2" t="s">
        <v>21</v>
      </c>
      <c r="L8772" s="18">
        <v>0</v>
      </c>
      <c r="Q8772" s="18">
        <v>0</v>
      </c>
      <c r="V8772" s="22">
        <f>3.28/5</f>
        <v>0.65599999999999992</v>
      </c>
      <c r="X8772" s="3">
        <v>2</v>
      </c>
      <c r="Z8772" s="23">
        <f>57/60</f>
        <v>0.95</v>
      </c>
      <c r="AB8772" s="18">
        <f t="shared" si="274"/>
        <v>1995</v>
      </c>
      <c r="AC8772" s="22">
        <f t="shared" si="275"/>
        <v>0.52800000000000002</v>
      </c>
    </row>
    <row r="8773" spans="1:29" ht="30">
      <c r="A8773" s="8" t="s">
        <v>12302</v>
      </c>
      <c r="B8773" s="17" t="s">
        <v>7754</v>
      </c>
      <c r="C8773" s="12">
        <v>35034</v>
      </c>
      <c r="D8773" s="13" t="s">
        <v>8465</v>
      </c>
      <c r="E8773" s="10" t="s">
        <v>250</v>
      </c>
      <c r="F8773" s="10" t="s">
        <v>9863</v>
      </c>
      <c r="G8773" s="11" t="s">
        <v>9862</v>
      </c>
      <c r="H8773" s="2" t="s">
        <v>1194</v>
      </c>
      <c r="L8773" s="18">
        <v>0</v>
      </c>
      <c r="Q8773" s="18">
        <v>0</v>
      </c>
      <c r="V8773" s="22">
        <f>2.97/5</f>
        <v>0.59400000000000008</v>
      </c>
      <c r="X8773" s="3">
        <v>2</v>
      </c>
      <c r="Z8773" s="23">
        <v>1.5</v>
      </c>
      <c r="AB8773" s="18">
        <f t="shared" si="274"/>
        <v>1995</v>
      </c>
      <c r="AC8773" s="22">
        <f t="shared" si="275"/>
        <v>0.49700000000000005</v>
      </c>
    </row>
    <row r="8774" spans="1:29">
      <c r="A8774" s="8" t="s">
        <v>6869</v>
      </c>
      <c r="B8774" s="17" t="s">
        <v>7800</v>
      </c>
      <c r="C8774" s="13">
        <v>35033</v>
      </c>
      <c r="D8774" s="13" t="s">
        <v>8465</v>
      </c>
      <c r="E8774" s="10" t="s">
        <v>1284</v>
      </c>
      <c r="F8774" s="10" t="s">
        <v>1284</v>
      </c>
      <c r="H8774" s="2" t="s">
        <v>67</v>
      </c>
      <c r="L8774" s="18">
        <v>1</v>
      </c>
      <c r="N8774" s="13">
        <v>44805</v>
      </c>
      <c r="O8774" s="29">
        <v>0</v>
      </c>
      <c r="P8774" s="18" t="s">
        <v>1107</v>
      </c>
      <c r="Q8774" s="18">
        <v>0</v>
      </c>
      <c r="U8774" s="22">
        <v>0.7</v>
      </c>
      <c r="V8774" s="22">
        <f>3.95/5</f>
        <v>0.79</v>
      </c>
      <c r="W8774" s="14" t="s">
        <v>7799</v>
      </c>
      <c r="X8774" s="3">
        <v>4</v>
      </c>
      <c r="Z8774" s="23">
        <v>7</v>
      </c>
      <c r="AB8774" s="18">
        <f t="shared" si="274"/>
        <v>1995</v>
      </c>
      <c r="AC8774" s="22">
        <f t="shared" si="275"/>
        <v>0.76333333333333331</v>
      </c>
    </row>
    <row r="8775" spans="1:29">
      <c r="A8775" s="8" t="s">
        <v>703</v>
      </c>
      <c r="B8775" s="17" t="s">
        <v>7800</v>
      </c>
      <c r="C8775" s="13">
        <v>35033</v>
      </c>
      <c r="D8775" s="13" t="s">
        <v>8465</v>
      </c>
      <c r="E8775" s="10" t="s">
        <v>1333</v>
      </c>
      <c r="F8775" s="10" t="s">
        <v>1332</v>
      </c>
      <c r="G8775" s="11" t="s">
        <v>703</v>
      </c>
      <c r="H8775" s="2" t="s">
        <v>64</v>
      </c>
      <c r="L8775" s="18">
        <v>1</v>
      </c>
      <c r="N8775" s="13">
        <v>42046</v>
      </c>
      <c r="O8775" s="29">
        <v>0</v>
      </c>
      <c r="P8775" s="18" t="s">
        <v>1107</v>
      </c>
      <c r="Q8775" s="18">
        <v>0</v>
      </c>
      <c r="U8775" s="22">
        <v>0.71</v>
      </c>
      <c r="V8775" s="22">
        <f>3.79/5</f>
        <v>0.75800000000000001</v>
      </c>
      <c r="W8775" s="14" t="s">
        <v>7778</v>
      </c>
      <c r="X8775" s="3">
        <v>4</v>
      </c>
      <c r="Z8775" s="23">
        <v>3.5</v>
      </c>
      <c r="AB8775" s="18">
        <f t="shared" si="274"/>
        <v>1995</v>
      </c>
      <c r="AC8775" s="22">
        <f t="shared" si="275"/>
        <v>0.75599999999999989</v>
      </c>
    </row>
    <row r="8776" spans="1:29">
      <c r="A8776" s="8" t="s">
        <v>7177</v>
      </c>
      <c r="B8776" s="17" t="s">
        <v>7800</v>
      </c>
      <c r="C8776" s="13">
        <v>35033</v>
      </c>
      <c r="D8776" s="13" t="s">
        <v>8465</v>
      </c>
      <c r="E8776" s="10" t="s">
        <v>4156</v>
      </c>
      <c r="F8776" s="10" t="s">
        <v>4156</v>
      </c>
      <c r="G8776" s="11" t="s">
        <v>6847</v>
      </c>
      <c r="H8776" s="2" t="s">
        <v>67</v>
      </c>
      <c r="L8776" s="18">
        <v>0</v>
      </c>
      <c r="Q8776" s="18">
        <v>0</v>
      </c>
      <c r="U8776" s="22">
        <v>0.64</v>
      </c>
      <c r="V8776" s="22">
        <f>3.45/5</f>
        <v>0.69000000000000006</v>
      </c>
      <c r="X8776" s="3">
        <v>4</v>
      </c>
      <c r="Z8776" s="23">
        <v>4</v>
      </c>
      <c r="AB8776" s="18">
        <f t="shared" si="274"/>
        <v>1995</v>
      </c>
      <c r="AC8776" s="22">
        <f t="shared" si="275"/>
        <v>0.71</v>
      </c>
    </row>
    <row r="8777" spans="1:29" ht="30">
      <c r="A8777" s="8" t="s">
        <v>5260</v>
      </c>
      <c r="B8777" s="17" t="s">
        <v>7800</v>
      </c>
      <c r="C8777" s="13">
        <v>35033</v>
      </c>
      <c r="D8777" s="13" t="s">
        <v>8465</v>
      </c>
      <c r="E8777" s="10" t="s">
        <v>469</v>
      </c>
      <c r="F8777" s="10" t="s">
        <v>5261</v>
      </c>
      <c r="G8777" s="11" t="s">
        <v>5262</v>
      </c>
      <c r="H8777" s="2" t="s">
        <v>67</v>
      </c>
      <c r="L8777" s="18">
        <v>1</v>
      </c>
      <c r="N8777" s="13">
        <v>41744</v>
      </c>
      <c r="P8777" s="18" t="s">
        <v>1107</v>
      </c>
      <c r="Q8777" s="18">
        <v>0</v>
      </c>
      <c r="U8777" s="22">
        <v>0.63</v>
      </c>
      <c r="V8777" s="22">
        <f>3.43/5</f>
        <v>0.68600000000000005</v>
      </c>
      <c r="W8777" s="14" t="s">
        <v>7777</v>
      </c>
      <c r="X8777" s="3">
        <v>3</v>
      </c>
      <c r="Z8777" s="23">
        <v>9</v>
      </c>
      <c r="AB8777" s="18">
        <f t="shared" si="274"/>
        <v>1995</v>
      </c>
      <c r="AC8777" s="22">
        <f t="shared" si="275"/>
        <v>0.6386666666666666</v>
      </c>
    </row>
    <row r="8778" spans="1:29" ht="30">
      <c r="A8778" s="8" t="s">
        <v>15737</v>
      </c>
      <c r="B8778" s="17" t="s">
        <v>7757</v>
      </c>
      <c r="C8778" s="13">
        <v>35032</v>
      </c>
      <c r="D8778" s="13" t="s">
        <v>8465</v>
      </c>
      <c r="E8778" s="10" t="s">
        <v>250</v>
      </c>
      <c r="F8778" s="10" t="s">
        <v>3020</v>
      </c>
      <c r="H8778" s="2" t="s">
        <v>459</v>
      </c>
      <c r="L8778" s="18">
        <v>0</v>
      </c>
      <c r="Q8778" s="18">
        <v>0</v>
      </c>
      <c r="V8778" s="22">
        <f>1.85/5</f>
        <v>0.37</v>
      </c>
      <c r="X8778" s="3">
        <v>2</v>
      </c>
      <c r="Z8778" s="23">
        <v>1</v>
      </c>
      <c r="AB8778" s="18">
        <f t="shared" si="274"/>
        <v>1995</v>
      </c>
      <c r="AC8778" s="22">
        <f t="shared" si="275"/>
        <v>0.38500000000000001</v>
      </c>
    </row>
    <row r="8779" spans="1:29">
      <c r="A8779" s="8" t="s">
        <v>848</v>
      </c>
      <c r="B8779" s="17" t="s">
        <v>7738</v>
      </c>
      <c r="C8779" s="13">
        <v>35030</v>
      </c>
      <c r="D8779" s="13" t="s">
        <v>8465</v>
      </c>
      <c r="E8779" s="10" t="s">
        <v>86</v>
      </c>
      <c r="F8779" s="10" t="s">
        <v>142</v>
      </c>
      <c r="G8779" s="11" t="s">
        <v>1428</v>
      </c>
      <c r="H8779" s="2" t="s">
        <v>64</v>
      </c>
      <c r="L8779" s="18">
        <v>0</v>
      </c>
      <c r="Q8779" s="18">
        <v>0</v>
      </c>
      <c r="V8779" s="22">
        <f>3.85/5</f>
        <v>0.77</v>
      </c>
      <c r="X8779" s="3">
        <v>4</v>
      </c>
      <c r="Z8779" s="23">
        <v>2.5</v>
      </c>
      <c r="AB8779" s="18">
        <f t="shared" si="274"/>
        <v>1995</v>
      </c>
      <c r="AC8779" s="22">
        <f t="shared" si="275"/>
        <v>0.78500000000000003</v>
      </c>
    </row>
    <row r="8780" spans="1:29">
      <c r="A8780" s="8" t="s">
        <v>15748</v>
      </c>
      <c r="B8780" s="17" t="s">
        <v>7800</v>
      </c>
      <c r="C8780" s="13">
        <v>35029</v>
      </c>
      <c r="D8780" s="13" t="s">
        <v>8465</v>
      </c>
      <c r="E8780" s="10" t="s">
        <v>1272</v>
      </c>
      <c r="F8780" s="10" t="s">
        <v>15749</v>
      </c>
      <c r="G8780" s="11" t="s">
        <v>445</v>
      </c>
      <c r="H8780" s="2" t="s">
        <v>1143</v>
      </c>
      <c r="L8780" s="18">
        <v>0</v>
      </c>
      <c r="Q8780" s="18">
        <v>0</v>
      </c>
      <c r="V8780" s="22">
        <f>3.83/5</f>
        <v>0.76600000000000001</v>
      </c>
      <c r="X8780" s="3">
        <v>3</v>
      </c>
      <c r="AB8780" s="18">
        <f t="shared" si="274"/>
        <v>1995</v>
      </c>
      <c r="AC8780" s="22">
        <f t="shared" si="275"/>
        <v>0.68300000000000005</v>
      </c>
    </row>
    <row r="8781" spans="1:29" ht="25.5">
      <c r="A8781" s="8" t="s">
        <v>11842</v>
      </c>
      <c r="B8781" s="17" t="s">
        <v>7756</v>
      </c>
      <c r="C8781" s="13">
        <v>35027</v>
      </c>
      <c r="D8781" s="13" t="s">
        <v>8463</v>
      </c>
      <c r="E8781" s="10" t="s">
        <v>167</v>
      </c>
      <c r="F8781" s="10" t="s">
        <v>167</v>
      </c>
      <c r="G8781" s="11" t="s">
        <v>9777</v>
      </c>
      <c r="H8781" s="2" t="s">
        <v>149</v>
      </c>
      <c r="K8781" s="18">
        <v>2</v>
      </c>
      <c r="L8781" s="18">
        <v>0</v>
      </c>
      <c r="Q8781" s="18">
        <v>0</v>
      </c>
      <c r="V8781" s="22">
        <f>3.2/5</f>
        <v>0.64</v>
      </c>
      <c r="X8781" s="3">
        <v>3</v>
      </c>
      <c r="AB8781" s="18">
        <f t="shared" si="274"/>
        <v>1995</v>
      </c>
      <c r="AC8781" s="22">
        <f t="shared" si="275"/>
        <v>0.62</v>
      </c>
    </row>
    <row r="8782" spans="1:29" ht="25.5">
      <c r="A8782" s="8" t="s">
        <v>2875</v>
      </c>
      <c r="B8782" s="17" t="s">
        <v>7790</v>
      </c>
      <c r="C8782" s="13">
        <v>35027</v>
      </c>
      <c r="D8782" s="13" t="s">
        <v>8463</v>
      </c>
      <c r="E8782" s="10" t="s">
        <v>62</v>
      </c>
      <c r="F8782" s="10" t="s">
        <v>1307</v>
      </c>
      <c r="H8782" s="2" t="s">
        <v>143</v>
      </c>
      <c r="K8782" s="18">
        <v>0</v>
      </c>
      <c r="L8782" s="18">
        <v>0</v>
      </c>
      <c r="Q8782" s="18">
        <v>0</v>
      </c>
      <c r="V8782" s="22">
        <f>3.85/5</f>
        <v>0.77</v>
      </c>
      <c r="X8782" s="3">
        <v>2</v>
      </c>
      <c r="Z8782" s="23">
        <v>1.5</v>
      </c>
      <c r="AB8782" s="18">
        <f t="shared" si="274"/>
        <v>1995</v>
      </c>
      <c r="AC8782" s="22">
        <f t="shared" si="275"/>
        <v>0.58499999999999996</v>
      </c>
    </row>
    <row r="8783" spans="1:29">
      <c r="A8783" s="8" t="s">
        <v>10333</v>
      </c>
      <c r="B8783" s="17" t="s">
        <v>7757</v>
      </c>
      <c r="C8783" s="13">
        <v>35025</v>
      </c>
      <c r="D8783" s="13" t="s">
        <v>8463</v>
      </c>
      <c r="E8783" s="10" t="s">
        <v>10334</v>
      </c>
      <c r="F8783" s="10" t="s">
        <v>10335</v>
      </c>
      <c r="H8783" s="2" t="s">
        <v>1377</v>
      </c>
      <c r="K8783" s="18">
        <v>0</v>
      </c>
      <c r="L8783" s="18">
        <v>0</v>
      </c>
      <c r="Q8783" s="18">
        <v>0</v>
      </c>
      <c r="V8783" s="22">
        <f>3.14/5</f>
        <v>0.628</v>
      </c>
      <c r="X8783" s="3">
        <v>2</v>
      </c>
      <c r="AB8783" s="18">
        <f t="shared" si="274"/>
        <v>1995</v>
      </c>
      <c r="AC8783" s="22">
        <f t="shared" si="275"/>
        <v>0.51400000000000001</v>
      </c>
    </row>
    <row r="8784" spans="1:29">
      <c r="A8784" s="8" t="s">
        <v>15802</v>
      </c>
      <c r="B8784" s="17" t="s">
        <v>7751</v>
      </c>
      <c r="C8784" s="13">
        <v>35025</v>
      </c>
      <c r="D8784" s="13" t="s">
        <v>8465</v>
      </c>
      <c r="E8784" s="10" t="s">
        <v>1532</v>
      </c>
      <c r="F8784" s="10" t="s">
        <v>1309</v>
      </c>
      <c r="G8784" s="11" t="s">
        <v>15802</v>
      </c>
      <c r="H8784" s="2" t="s">
        <v>64</v>
      </c>
      <c r="L8784" s="18">
        <v>0</v>
      </c>
      <c r="Q8784" s="18">
        <v>0</v>
      </c>
      <c r="V8784" s="22">
        <f>3.46/5</f>
        <v>0.69199999999999995</v>
      </c>
      <c r="X8784" s="3">
        <v>3</v>
      </c>
      <c r="Z8784" s="23">
        <v>1.5</v>
      </c>
      <c r="AB8784" s="18">
        <f t="shared" si="274"/>
        <v>1995</v>
      </c>
      <c r="AC8784" s="22">
        <f t="shared" si="275"/>
        <v>0.64599999999999991</v>
      </c>
    </row>
    <row r="8785" spans="1:29">
      <c r="A8785" s="8" t="s">
        <v>6050</v>
      </c>
      <c r="B8785" s="17" t="s">
        <v>7757</v>
      </c>
      <c r="C8785" s="13">
        <v>35024</v>
      </c>
      <c r="D8785" s="13" t="s">
        <v>8465</v>
      </c>
      <c r="E8785" s="10" t="s">
        <v>7826</v>
      </c>
      <c r="F8785" s="10" t="s">
        <v>7826</v>
      </c>
      <c r="G8785" s="11" t="s">
        <v>6050</v>
      </c>
      <c r="H8785" s="2" t="s">
        <v>150</v>
      </c>
      <c r="L8785" s="18">
        <v>0</v>
      </c>
      <c r="Q8785" s="18">
        <v>0</v>
      </c>
      <c r="U8785" s="22">
        <v>0.9</v>
      </c>
      <c r="V8785" s="22">
        <f>3.64/5</f>
        <v>0.72799999999999998</v>
      </c>
      <c r="X8785" s="3">
        <v>3</v>
      </c>
      <c r="Z8785" s="23">
        <v>13</v>
      </c>
      <c r="AB8785" s="18">
        <f t="shared" si="274"/>
        <v>1995</v>
      </c>
      <c r="AC8785" s="22">
        <f t="shared" si="275"/>
        <v>0.7426666666666667</v>
      </c>
    </row>
    <row r="8786" spans="1:29">
      <c r="A8786" s="8" t="s">
        <v>704</v>
      </c>
      <c r="B8786" s="17" t="s">
        <v>7736</v>
      </c>
      <c r="C8786" s="13">
        <v>35018</v>
      </c>
      <c r="D8786" s="13" t="s">
        <v>8465</v>
      </c>
      <c r="E8786" s="10" t="s">
        <v>1333</v>
      </c>
      <c r="F8786" s="10" t="s">
        <v>1332</v>
      </c>
      <c r="G8786" s="11" t="s">
        <v>703</v>
      </c>
      <c r="H8786" s="2" t="s">
        <v>56</v>
      </c>
      <c r="L8786" s="18">
        <v>0</v>
      </c>
      <c r="Q8786" s="18">
        <v>0</v>
      </c>
      <c r="U8786" s="22">
        <v>0.88</v>
      </c>
      <c r="V8786" s="22">
        <f>3.83/5</f>
        <v>0.76600000000000001</v>
      </c>
      <c r="X8786" s="3">
        <v>4</v>
      </c>
      <c r="Z8786" s="23">
        <v>3</v>
      </c>
      <c r="AB8786" s="18">
        <f t="shared" si="274"/>
        <v>1995</v>
      </c>
      <c r="AC8786" s="22">
        <f t="shared" si="275"/>
        <v>0.81533333333333324</v>
      </c>
    </row>
    <row r="8787" spans="1:29">
      <c r="A8787" s="8" t="s">
        <v>12296</v>
      </c>
      <c r="B8787" s="17" t="s">
        <v>7754</v>
      </c>
      <c r="C8787" s="13">
        <v>35018</v>
      </c>
      <c r="D8787" s="13" t="s">
        <v>8465</v>
      </c>
      <c r="E8787" s="10" t="s">
        <v>455</v>
      </c>
      <c r="F8787" s="10" t="s">
        <v>456</v>
      </c>
      <c r="G8787" s="11" t="s">
        <v>12296</v>
      </c>
      <c r="H8787" s="2" t="s">
        <v>1170</v>
      </c>
      <c r="L8787" s="18">
        <v>0</v>
      </c>
      <c r="Q8787" s="18">
        <v>0</v>
      </c>
      <c r="V8787" s="22">
        <f>3.79/5</f>
        <v>0.75800000000000001</v>
      </c>
      <c r="X8787" s="3">
        <v>2</v>
      </c>
      <c r="Z8787" s="23">
        <f>45/60</f>
        <v>0.75</v>
      </c>
      <c r="AB8787" s="18">
        <f t="shared" si="274"/>
        <v>1995</v>
      </c>
      <c r="AC8787" s="22">
        <f t="shared" si="275"/>
        <v>0.57899999999999996</v>
      </c>
    </row>
    <row r="8788" spans="1:29">
      <c r="A8788" s="8" t="s">
        <v>796</v>
      </c>
      <c r="B8788" s="17" t="s">
        <v>7736</v>
      </c>
      <c r="C8788" s="13">
        <v>35014</v>
      </c>
      <c r="D8788" s="13" t="s">
        <v>8463</v>
      </c>
      <c r="E8788" s="10" t="s">
        <v>161</v>
      </c>
      <c r="F8788" s="10" t="s">
        <v>161</v>
      </c>
      <c r="G8788" s="11" t="s">
        <v>9517</v>
      </c>
      <c r="H8788" s="2" t="s">
        <v>149</v>
      </c>
      <c r="K8788" s="18">
        <v>1</v>
      </c>
      <c r="L8788" s="18">
        <v>0</v>
      </c>
      <c r="Q8788" s="18">
        <v>0</v>
      </c>
      <c r="U8788" s="22">
        <v>0.91</v>
      </c>
      <c r="V8788" s="22">
        <f>4.19/5</f>
        <v>0.83800000000000008</v>
      </c>
      <c r="X8788" s="3">
        <v>2</v>
      </c>
      <c r="Z8788" s="23">
        <v>20</v>
      </c>
      <c r="AB8788" s="18">
        <f t="shared" si="274"/>
        <v>1995</v>
      </c>
      <c r="AC8788" s="22">
        <f t="shared" si="275"/>
        <v>0.71600000000000008</v>
      </c>
    </row>
    <row r="8789" spans="1:29" ht="25.5">
      <c r="A8789" s="8" t="s">
        <v>14844</v>
      </c>
      <c r="B8789" s="17" t="s">
        <v>7800</v>
      </c>
      <c r="C8789" s="13">
        <v>35014</v>
      </c>
      <c r="D8789" s="13" t="s">
        <v>8465</v>
      </c>
      <c r="E8789" s="10" t="s">
        <v>3625</v>
      </c>
      <c r="F8789" s="10" t="s">
        <v>3625</v>
      </c>
      <c r="G8789" s="11" t="s">
        <v>4483</v>
      </c>
      <c r="H8789" s="2" t="s">
        <v>1143</v>
      </c>
      <c r="L8789" s="18">
        <v>0</v>
      </c>
      <c r="Q8789" s="18">
        <v>0</v>
      </c>
      <c r="V8789" s="22">
        <f>3.45/5</f>
        <v>0.69000000000000006</v>
      </c>
      <c r="X8789" s="3">
        <v>2</v>
      </c>
      <c r="Z8789" s="23">
        <v>9</v>
      </c>
      <c r="AB8789" s="18">
        <f t="shared" si="274"/>
        <v>1995</v>
      </c>
      <c r="AC8789" s="22">
        <f t="shared" si="275"/>
        <v>0.54500000000000004</v>
      </c>
    </row>
    <row r="8790" spans="1:29">
      <c r="A8790" s="8" t="s">
        <v>8076</v>
      </c>
      <c r="B8790" s="17" t="s">
        <v>7757</v>
      </c>
      <c r="C8790" s="13">
        <v>35011</v>
      </c>
      <c r="D8790" s="13" t="s">
        <v>8465</v>
      </c>
      <c r="E8790" s="10" t="s">
        <v>158</v>
      </c>
      <c r="F8790" s="10" t="s">
        <v>158</v>
      </c>
      <c r="G8790" s="11" t="s">
        <v>8076</v>
      </c>
      <c r="H8790" s="2" t="s">
        <v>459</v>
      </c>
      <c r="L8790" s="18">
        <v>0</v>
      </c>
      <c r="Q8790" s="18">
        <v>0</v>
      </c>
      <c r="U8790" s="22">
        <v>0.75</v>
      </c>
      <c r="V8790" s="22">
        <f>3.43/5</f>
        <v>0.68600000000000005</v>
      </c>
      <c r="X8790" s="3">
        <v>3</v>
      </c>
      <c r="Z8790" s="23">
        <v>2</v>
      </c>
      <c r="AB8790" s="18">
        <f t="shared" si="274"/>
        <v>1995</v>
      </c>
      <c r="AC8790" s="22">
        <f t="shared" si="275"/>
        <v>0.67866666666666664</v>
      </c>
    </row>
    <row r="8791" spans="1:29" ht="30">
      <c r="A8791" s="8" t="s">
        <v>6067</v>
      </c>
      <c r="B8791" s="17" t="s">
        <v>7757</v>
      </c>
      <c r="C8791" s="13">
        <v>35008</v>
      </c>
      <c r="D8791" s="13" t="s">
        <v>8465</v>
      </c>
      <c r="E8791" s="10" t="s">
        <v>2908</v>
      </c>
      <c r="F8791" s="10" t="s">
        <v>7470</v>
      </c>
      <c r="G8791" s="11" t="s">
        <v>6067</v>
      </c>
      <c r="H8791" s="2" t="s">
        <v>1204</v>
      </c>
      <c r="L8791" s="18">
        <v>0</v>
      </c>
      <c r="Q8791" s="18">
        <v>0</v>
      </c>
      <c r="U8791" s="22">
        <v>0.67</v>
      </c>
      <c r="V8791" s="22">
        <f>3.54/5</f>
        <v>0.70799999999999996</v>
      </c>
      <c r="X8791" s="3">
        <v>3</v>
      </c>
      <c r="Z8791" s="23">
        <v>4.5</v>
      </c>
      <c r="AB8791" s="18">
        <f t="shared" si="274"/>
        <v>1995</v>
      </c>
      <c r="AC8791" s="22">
        <f t="shared" si="275"/>
        <v>0.65933333333333344</v>
      </c>
    </row>
    <row r="8792" spans="1:29" ht="30">
      <c r="A8792" s="8" t="s">
        <v>2710</v>
      </c>
      <c r="B8792" s="17" t="s">
        <v>7753</v>
      </c>
      <c r="C8792" s="12">
        <v>35004</v>
      </c>
      <c r="D8792" s="13" t="s">
        <v>8465</v>
      </c>
      <c r="E8792" s="10" t="s">
        <v>455</v>
      </c>
      <c r="F8792" s="10" t="s">
        <v>2652</v>
      </c>
      <c r="H8792" s="2" t="s">
        <v>21</v>
      </c>
      <c r="I8792" s="1"/>
      <c r="J8792" s="1"/>
      <c r="K8792" s="1"/>
      <c r="L8792" s="1">
        <v>0</v>
      </c>
      <c r="M8792" s="26"/>
      <c r="Q8792" s="1">
        <v>0</v>
      </c>
      <c r="V8792" s="22">
        <f>3.59/5</f>
        <v>0.71799999999999997</v>
      </c>
      <c r="W8792" s="3"/>
      <c r="X8792" s="3">
        <v>4</v>
      </c>
      <c r="Z8792" s="23">
        <v>2.5</v>
      </c>
      <c r="AA8792" s="1"/>
      <c r="AB8792" s="18">
        <f t="shared" si="274"/>
        <v>1995</v>
      </c>
      <c r="AC8792" s="22">
        <f t="shared" si="275"/>
        <v>0.75900000000000001</v>
      </c>
    </row>
    <row r="8793" spans="1:29">
      <c r="A8793" s="8" t="s">
        <v>687</v>
      </c>
      <c r="B8793" s="17" t="s">
        <v>7736</v>
      </c>
      <c r="C8793" s="12">
        <v>35004</v>
      </c>
      <c r="D8793" s="13" t="s">
        <v>8465</v>
      </c>
      <c r="E8793" s="10" t="s">
        <v>1324</v>
      </c>
      <c r="F8793" s="10" t="s">
        <v>1322</v>
      </c>
      <c r="G8793" s="11" t="s">
        <v>1323</v>
      </c>
      <c r="H8793" s="2" t="s">
        <v>147</v>
      </c>
      <c r="L8793" s="18">
        <v>0</v>
      </c>
      <c r="Q8793" s="18">
        <v>0</v>
      </c>
      <c r="U8793" s="22">
        <v>0.78</v>
      </c>
      <c r="V8793" s="22">
        <f>4.12/5</f>
        <v>0.82400000000000007</v>
      </c>
      <c r="X8793" s="3">
        <v>3</v>
      </c>
      <c r="Z8793" s="23">
        <v>1.5</v>
      </c>
      <c r="AB8793" s="18">
        <f t="shared" si="274"/>
        <v>1995</v>
      </c>
      <c r="AC8793" s="22">
        <f t="shared" si="275"/>
        <v>0.73466666666666669</v>
      </c>
    </row>
    <row r="8794" spans="1:29">
      <c r="A8794" s="8" t="s">
        <v>8806</v>
      </c>
      <c r="B8794" s="17" t="s">
        <v>7754</v>
      </c>
      <c r="C8794" s="12">
        <v>35004</v>
      </c>
      <c r="D8794" s="13" t="s">
        <v>8465</v>
      </c>
      <c r="E8794" s="10" t="s">
        <v>455</v>
      </c>
      <c r="F8794" s="10" t="s">
        <v>455</v>
      </c>
      <c r="H8794" s="2" t="s">
        <v>75</v>
      </c>
      <c r="L8794" s="18">
        <v>0</v>
      </c>
      <c r="Q8794" s="18">
        <v>0</v>
      </c>
      <c r="V8794" s="22">
        <f>3.78/5</f>
        <v>0.75600000000000001</v>
      </c>
      <c r="X8794" s="3">
        <v>3</v>
      </c>
      <c r="Z8794" s="23">
        <v>21</v>
      </c>
      <c r="AB8794" s="18">
        <f t="shared" si="274"/>
        <v>1995</v>
      </c>
      <c r="AC8794" s="22">
        <f t="shared" si="275"/>
        <v>0.67799999999999994</v>
      </c>
    </row>
    <row r="8795" spans="1:29" ht="25.5">
      <c r="A8795" s="8" t="s">
        <v>651</v>
      </c>
      <c r="B8795" s="17" t="s">
        <v>7736</v>
      </c>
      <c r="C8795" s="12">
        <v>35004</v>
      </c>
      <c r="D8795" s="13" t="s">
        <v>8465</v>
      </c>
      <c r="E8795" s="10" t="s">
        <v>154</v>
      </c>
      <c r="F8795" s="10" t="s">
        <v>82</v>
      </c>
      <c r="G8795" s="11" t="s">
        <v>1264</v>
      </c>
      <c r="H8795" s="2" t="s">
        <v>153</v>
      </c>
      <c r="L8795" s="18">
        <v>0</v>
      </c>
      <c r="Q8795" s="18">
        <v>0</v>
      </c>
      <c r="U8795" s="22">
        <v>0.62</v>
      </c>
      <c r="V8795" s="22">
        <f>3.51/5</f>
        <v>0.70199999999999996</v>
      </c>
      <c r="X8795" s="3">
        <v>2</v>
      </c>
      <c r="Z8795" s="23">
        <v>4.5</v>
      </c>
      <c r="AB8795" s="18">
        <f t="shared" si="274"/>
        <v>1995</v>
      </c>
      <c r="AC8795" s="22">
        <f t="shared" si="275"/>
        <v>0.57399999999999995</v>
      </c>
    </row>
    <row r="8796" spans="1:29">
      <c r="A8796" s="8" t="s">
        <v>2790</v>
      </c>
      <c r="B8796" s="17" t="s">
        <v>7756</v>
      </c>
      <c r="C8796" s="12">
        <v>35004</v>
      </c>
      <c r="D8796" s="13" t="s">
        <v>8465</v>
      </c>
      <c r="E8796" s="10" t="s">
        <v>455</v>
      </c>
      <c r="F8796" s="10" t="s">
        <v>455</v>
      </c>
      <c r="G8796" s="11" t="s">
        <v>1688</v>
      </c>
      <c r="H8796" s="2" t="s">
        <v>1040</v>
      </c>
      <c r="L8796" s="18">
        <v>0</v>
      </c>
      <c r="Q8796" s="18">
        <v>0</v>
      </c>
      <c r="V8796" s="22">
        <f>2.23/5</f>
        <v>0.44600000000000001</v>
      </c>
      <c r="X8796" s="3">
        <v>3</v>
      </c>
      <c r="Z8796" s="23">
        <v>1.5</v>
      </c>
      <c r="AB8796" s="18">
        <f t="shared" si="274"/>
        <v>1995</v>
      </c>
      <c r="AC8796" s="22">
        <f t="shared" si="275"/>
        <v>0.52300000000000002</v>
      </c>
    </row>
    <row r="8797" spans="1:29">
      <c r="A8797" s="8" t="s">
        <v>2789</v>
      </c>
      <c r="B8797" s="17" t="s">
        <v>7756</v>
      </c>
      <c r="C8797" s="12">
        <v>35004</v>
      </c>
      <c r="D8797" s="13" t="s">
        <v>8465</v>
      </c>
      <c r="E8797" s="10" t="s">
        <v>455</v>
      </c>
      <c r="F8797" s="10" t="s">
        <v>455</v>
      </c>
      <c r="G8797" s="11" t="s">
        <v>1688</v>
      </c>
      <c r="H8797" s="2" t="s">
        <v>150</v>
      </c>
      <c r="L8797" s="18">
        <v>0</v>
      </c>
      <c r="Q8797" s="18">
        <v>0</v>
      </c>
      <c r="V8797" s="22">
        <f>3.14/5</f>
        <v>0.628</v>
      </c>
      <c r="X8797" s="3">
        <v>2</v>
      </c>
      <c r="Z8797" s="23">
        <v>0.97</v>
      </c>
      <c r="AB8797" s="18">
        <f t="shared" si="274"/>
        <v>1995</v>
      </c>
      <c r="AC8797" s="22">
        <f t="shared" si="275"/>
        <v>0.51400000000000001</v>
      </c>
    </row>
    <row r="8798" spans="1:29" ht="38.25">
      <c r="A8798" s="8" t="s">
        <v>8070</v>
      </c>
      <c r="B8798" s="17" t="s">
        <v>7757</v>
      </c>
      <c r="C8798" s="12">
        <v>35004</v>
      </c>
      <c r="D8798" s="13" t="s">
        <v>8465</v>
      </c>
      <c r="E8798" s="10" t="s">
        <v>1284</v>
      </c>
      <c r="F8798" s="10" t="s">
        <v>1322</v>
      </c>
      <c r="G8798" s="11" t="s">
        <v>1481</v>
      </c>
      <c r="H8798" s="2" t="s">
        <v>1170</v>
      </c>
      <c r="L8798" s="18">
        <v>0</v>
      </c>
      <c r="Q8798" s="18">
        <v>0</v>
      </c>
      <c r="U8798" s="22">
        <v>0.59830000000000005</v>
      </c>
      <c r="V8798" s="22">
        <f>3.04/5</f>
        <v>0.60799999999999998</v>
      </c>
      <c r="X8798" s="3">
        <v>2</v>
      </c>
      <c r="Z8798" s="23">
        <v>4</v>
      </c>
      <c r="AB8798" s="18">
        <f t="shared" si="274"/>
        <v>1995</v>
      </c>
      <c r="AC8798" s="22">
        <f t="shared" si="275"/>
        <v>0.53543333333333332</v>
      </c>
    </row>
    <row r="8799" spans="1:29" ht="25.5">
      <c r="A8799" s="8" t="s">
        <v>13842</v>
      </c>
      <c r="B8799" s="17" t="s">
        <v>7792</v>
      </c>
      <c r="C8799" s="12">
        <v>35004</v>
      </c>
      <c r="D8799" s="13" t="s">
        <v>8465</v>
      </c>
      <c r="E8799" s="10" t="s">
        <v>6668</v>
      </c>
      <c r="F8799" s="10" t="s">
        <v>1191</v>
      </c>
      <c r="G8799" s="11" t="s">
        <v>445</v>
      </c>
      <c r="H8799" s="2" t="s">
        <v>171</v>
      </c>
      <c r="L8799" s="18">
        <v>0</v>
      </c>
      <c r="Q8799" s="18">
        <v>0</v>
      </c>
      <c r="V8799" s="22">
        <f>2.9/5</f>
        <v>0.57999999999999996</v>
      </c>
      <c r="X8799" s="3">
        <v>2</v>
      </c>
      <c r="AB8799" s="18">
        <f t="shared" si="274"/>
        <v>1995</v>
      </c>
      <c r="AC8799" s="22">
        <f t="shared" si="275"/>
        <v>0.49</v>
      </c>
    </row>
    <row r="8800" spans="1:29" ht="25.5">
      <c r="A8800" s="8" t="s">
        <v>4155</v>
      </c>
      <c r="B8800" s="17" t="s">
        <v>7800</v>
      </c>
      <c r="C8800" s="13">
        <v>35003</v>
      </c>
      <c r="D8800" s="13" t="s">
        <v>8465</v>
      </c>
      <c r="E8800" s="10" t="s">
        <v>4156</v>
      </c>
      <c r="F8800" s="10" t="s">
        <v>4157</v>
      </c>
      <c r="H8800" s="2" t="s">
        <v>67</v>
      </c>
      <c r="L8800" s="18">
        <v>1</v>
      </c>
      <c r="N8800" s="13">
        <v>41986</v>
      </c>
      <c r="O8800" s="29">
        <v>0.59</v>
      </c>
      <c r="P8800" s="18" t="s">
        <v>1107</v>
      </c>
      <c r="Q8800" s="18">
        <v>0</v>
      </c>
      <c r="U8800" s="22">
        <v>0.77</v>
      </c>
      <c r="V8800" s="22">
        <f>3.78/5</f>
        <v>0.75600000000000001</v>
      </c>
      <c r="W8800" s="14" t="s">
        <v>7777</v>
      </c>
      <c r="X8800" s="3">
        <v>3</v>
      </c>
      <c r="Z8800" s="23">
        <v>6</v>
      </c>
      <c r="AB8800" s="18">
        <f t="shared" si="274"/>
        <v>1995</v>
      </c>
      <c r="AC8800" s="22">
        <f t="shared" si="275"/>
        <v>0.70866666666666667</v>
      </c>
    </row>
    <row r="8801" spans="1:29">
      <c r="A8801" s="8" t="s">
        <v>13830</v>
      </c>
      <c r="B8801" s="17" t="s">
        <v>7800</v>
      </c>
      <c r="C8801" s="13">
        <v>35003</v>
      </c>
      <c r="D8801" s="13" t="s">
        <v>8465</v>
      </c>
      <c r="E8801" s="10" t="s">
        <v>6923</v>
      </c>
      <c r="F8801" s="10" t="s">
        <v>6923</v>
      </c>
      <c r="H8801" s="2" t="s">
        <v>67</v>
      </c>
      <c r="L8801" s="18">
        <v>0</v>
      </c>
      <c r="Q8801" s="18">
        <v>0</v>
      </c>
      <c r="V8801" s="22">
        <f>4.04/5</f>
        <v>0.80800000000000005</v>
      </c>
      <c r="X8801" s="3">
        <v>2</v>
      </c>
      <c r="Z8801" s="23">
        <v>5</v>
      </c>
      <c r="AB8801" s="18">
        <f t="shared" si="274"/>
        <v>1995</v>
      </c>
      <c r="AC8801" s="22">
        <f t="shared" si="275"/>
        <v>0.60400000000000009</v>
      </c>
    </row>
    <row r="8802" spans="1:29">
      <c r="A8802" s="8" t="s">
        <v>6774</v>
      </c>
      <c r="B8802" s="17" t="s">
        <v>7800</v>
      </c>
      <c r="C8802" s="13">
        <v>35002</v>
      </c>
      <c r="D8802" s="13" t="s">
        <v>8465</v>
      </c>
      <c r="E8802" s="10" t="s">
        <v>1889</v>
      </c>
      <c r="F8802" s="10" t="s">
        <v>5017</v>
      </c>
      <c r="G8802" s="11" t="s">
        <v>6771</v>
      </c>
      <c r="H8802" s="2" t="s">
        <v>1050</v>
      </c>
      <c r="L8802" s="18">
        <v>1</v>
      </c>
      <c r="N8802" s="13">
        <v>45117</v>
      </c>
      <c r="O8802" s="29">
        <v>0</v>
      </c>
      <c r="P8802" s="18" t="s">
        <v>1107</v>
      </c>
      <c r="Q8802" s="18">
        <v>0</v>
      </c>
      <c r="U8802" s="22">
        <v>0.74</v>
      </c>
      <c r="V8802" s="22">
        <f>3.78/5</f>
        <v>0.75600000000000001</v>
      </c>
      <c r="W8802" s="14" t="s">
        <v>7777</v>
      </c>
      <c r="X8802" s="3">
        <v>3</v>
      </c>
      <c r="Z8802" s="23">
        <v>8</v>
      </c>
      <c r="AB8802" s="18">
        <f t="shared" si="274"/>
        <v>1995</v>
      </c>
      <c r="AC8802" s="22">
        <f t="shared" si="275"/>
        <v>0.69866666666666666</v>
      </c>
    </row>
    <row r="8803" spans="1:29">
      <c r="A8803" s="8" t="s">
        <v>13870</v>
      </c>
      <c r="B8803" s="17" t="s">
        <v>10323</v>
      </c>
      <c r="C8803" s="13">
        <v>35000</v>
      </c>
      <c r="D8803" s="13" t="s">
        <v>8463</v>
      </c>
      <c r="E8803" s="10" t="s">
        <v>13869</v>
      </c>
      <c r="F8803" s="10" t="s">
        <v>13869</v>
      </c>
      <c r="G8803" s="11" t="s">
        <v>13868</v>
      </c>
      <c r="H8803" s="2" t="s">
        <v>56</v>
      </c>
      <c r="K8803" s="18">
        <v>0</v>
      </c>
      <c r="L8803" s="18">
        <v>0</v>
      </c>
      <c r="Q8803" s="18">
        <v>0</v>
      </c>
      <c r="X8803" s="3">
        <v>2</v>
      </c>
      <c r="AB8803" s="18">
        <f t="shared" si="274"/>
        <v>1995</v>
      </c>
      <c r="AC8803" s="22">
        <f t="shared" si="275"/>
        <v>0.4</v>
      </c>
    </row>
    <row r="8804" spans="1:29" ht="25.5">
      <c r="A8804" s="8" t="s">
        <v>12005</v>
      </c>
      <c r="B8804" s="17" t="s">
        <v>7736</v>
      </c>
      <c r="C8804" s="13">
        <v>34999</v>
      </c>
      <c r="D8804" s="13" t="s">
        <v>8463</v>
      </c>
      <c r="E8804" s="10" t="s">
        <v>3019</v>
      </c>
      <c r="F8804" s="10" t="s">
        <v>470</v>
      </c>
      <c r="G8804" s="11" t="s">
        <v>12006</v>
      </c>
      <c r="H8804" s="2" t="s">
        <v>149</v>
      </c>
      <c r="K8804" s="18">
        <v>2</v>
      </c>
      <c r="L8804" s="18">
        <v>0</v>
      </c>
      <c r="Q8804" s="18">
        <v>0</v>
      </c>
      <c r="V8804" s="22">
        <f>3.5/5</f>
        <v>0.7</v>
      </c>
      <c r="X8804" s="3">
        <v>3</v>
      </c>
      <c r="Z8804" s="23">
        <v>5.5</v>
      </c>
      <c r="AB8804" s="18">
        <f t="shared" si="274"/>
        <v>1995</v>
      </c>
      <c r="AC8804" s="22">
        <f t="shared" si="275"/>
        <v>0.64999999999999991</v>
      </c>
    </row>
    <row r="8805" spans="1:29" ht="38.25">
      <c r="A8805" s="8" t="s">
        <v>13275</v>
      </c>
      <c r="B8805" s="17" t="s">
        <v>7745</v>
      </c>
      <c r="C8805" s="13">
        <v>34999</v>
      </c>
      <c r="D8805" s="13" t="s">
        <v>8463</v>
      </c>
      <c r="E8805" s="10" t="s">
        <v>1238</v>
      </c>
      <c r="F8805" s="10" t="s">
        <v>1356</v>
      </c>
      <c r="G8805" s="11" t="s">
        <v>777</v>
      </c>
      <c r="H8805" s="2" t="s">
        <v>149</v>
      </c>
      <c r="K8805" s="18">
        <v>1</v>
      </c>
      <c r="L8805" s="18">
        <v>0</v>
      </c>
      <c r="Q8805" s="18">
        <v>0</v>
      </c>
      <c r="V8805" s="22">
        <f>3.57/5</f>
        <v>0.71399999999999997</v>
      </c>
      <c r="X8805" s="3">
        <v>2</v>
      </c>
      <c r="AB8805" s="18">
        <f t="shared" si="274"/>
        <v>1995</v>
      </c>
      <c r="AC8805" s="22">
        <f t="shared" si="275"/>
        <v>0.55699999999999994</v>
      </c>
    </row>
    <row r="8806" spans="1:29" ht="25.5">
      <c r="A8806" s="8" t="s">
        <v>12002</v>
      </c>
      <c r="B8806" s="17" t="s">
        <v>7736</v>
      </c>
      <c r="C8806" s="13">
        <v>34999</v>
      </c>
      <c r="D8806" s="13" t="s">
        <v>8463</v>
      </c>
      <c r="E8806" s="10" t="s">
        <v>62</v>
      </c>
      <c r="F8806" s="10" t="s">
        <v>2764</v>
      </c>
      <c r="G8806" s="11" t="s">
        <v>7810</v>
      </c>
      <c r="H8806" s="2" t="s">
        <v>171</v>
      </c>
      <c r="K8806" s="18">
        <v>2</v>
      </c>
      <c r="L8806" s="18">
        <v>0</v>
      </c>
      <c r="Q8806" s="18">
        <v>0</v>
      </c>
      <c r="V8806" s="22">
        <f>3.19/5</f>
        <v>0.63800000000000001</v>
      </c>
      <c r="X8806" s="3">
        <v>2</v>
      </c>
      <c r="Z8806" s="23">
        <v>7</v>
      </c>
      <c r="AB8806" s="18">
        <f t="shared" si="274"/>
        <v>1995</v>
      </c>
      <c r="AC8806" s="22">
        <f t="shared" si="275"/>
        <v>0.51900000000000002</v>
      </c>
    </row>
    <row r="8807" spans="1:29" ht="25.5">
      <c r="A8807" s="8" t="s">
        <v>13871</v>
      </c>
      <c r="B8807" s="17" t="s">
        <v>10323</v>
      </c>
      <c r="C8807" s="13">
        <v>34999</v>
      </c>
      <c r="D8807" s="13" t="s">
        <v>8463</v>
      </c>
      <c r="E8807" s="10" t="s">
        <v>13872</v>
      </c>
      <c r="F8807" s="10" t="s">
        <v>13872</v>
      </c>
      <c r="H8807" s="2" t="s">
        <v>171</v>
      </c>
      <c r="K8807" s="18">
        <v>0</v>
      </c>
      <c r="L8807" s="18">
        <v>0</v>
      </c>
      <c r="Q8807" s="18">
        <v>0</v>
      </c>
      <c r="V8807" s="22">
        <f>1.94/5</f>
        <v>0.38800000000000001</v>
      </c>
      <c r="X8807" s="3">
        <v>2</v>
      </c>
      <c r="AB8807" s="18">
        <f t="shared" si="274"/>
        <v>1995</v>
      </c>
      <c r="AC8807" s="22">
        <f t="shared" si="275"/>
        <v>0.39400000000000002</v>
      </c>
    </row>
    <row r="8808" spans="1:29">
      <c r="A8808" s="8" t="s">
        <v>2624</v>
      </c>
      <c r="B8808" s="17" t="s">
        <v>7751</v>
      </c>
      <c r="C8808" s="13">
        <v>34996</v>
      </c>
      <c r="D8808" s="13" t="s">
        <v>8465</v>
      </c>
      <c r="E8808" s="10" t="s">
        <v>455</v>
      </c>
      <c r="F8808" s="10" t="s">
        <v>2658</v>
      </c>
      <c r="G8808" s="11" t="s">
        <v>2624</v>
      </c>
      <c r="H8808" s="2" t="s">
        <v>56</v>
      </c>
      <c r="L8808" s="18">
        <v>0</v>
      </c>
      <c r="Q8808" s="18">
        <v>0</v>
      </c>
      <c r="U8808" s="22">
        <v>0.75</v>
      </c>
      <c r="V8808" s="22">
        <f>3.84/5</f>
        <v>0.76800000000000002</v>
      </c>
      <c r="X8808" s="3">
        <v>4</v>
      </c>
      <c r="Z8808" s="23">
        <v>3</v>
      </c>
      <c r="AB8808" s="18">
        <f t="shared" si="274"/>
        <v>1995</v>
      </c>
      <c r="AC8808" s="22">
        <f t="shared" si="275"/>
        <v>0.77266666666666672</v>
      </c>
    </row>
    <row r="8809" spans="1:29">
      <c r="A8809" s="8" t="s">
        <v>566</v>
      </c>
      <c r="B8809" s="17" t="s">
        <v>7736</v>
      </c>
      <c r="C8809" s="13">
        <v>34992</v>
      </c>
      <c r="D8809" s="13" t="s">
        <v>8463</v>
      </c>
      <c r="E8809" s="10" t="s">
        <v>57</v>
      </c>
      <c r="F8809" s="10" t="s">
        <v>57</v>
      </c>
      <c r="G8809" s="11" t="s">
        <v>566</v>
      </c>
      <c r="H8809" s="2" t="s">
        <v>78</v>
      </c>
      <c r="K8809" s="18">
        <v>2</v>
      </c>
      <c r="L8809" s="18">
        <v>0</v>
      </c>
      <c r="Q8809" s="18">
        <v>0</v>
      </c>
      <c r="V8809" s="22">
        <f>3.82/5</f>
        <v>0.76400000000000001</v>
      </c>
      <c r="X8809" s="3">
        <v>3</v>
      </c>
      <c r="Z8809" s="23">
        <v>1</v>
      </c>
      <c r="AB8809" s="18">
        <f t="shared" si="274"/>
        <v>1995</v>
      </c>
      <c r="AC8809" s="22">
        <f t="shared" si="275"/>
        <v>0.68199999999999994</v>
      </c>
    </row>
    <row r="8810" spans="1:29" ht="25.5">
      <c r="A8810" s="8" t="s">
        <v>15671</v>
      </c>
      <c r="B8810" s="17" t="s">
        <v>7731</v>
      </c>
      <c r="C8810" s="13">
        <v>34992</v>
      </c>
      <c r="D8810" s="13" t="s">
        <v>8465</v>
      </c>
      <c r="E8810" s="10" t="s">
        <v>170</v>
      </c>
      <c r="F8810" s="10" t="s">
        <v>155</v>
      </c>
      <c r="H8810" s="2" t="s">
        <v>459</v>
      </c>
      <c r="L8810" s="18">
        <v>0</v>
      </c>
      <c r="Q8810" s="18">
        <v>0</v>
      </c>
      <c r="V8810" s="22">
        <f>3.47/5</f>
        <v>0.69400000000000006</v>
      </c>
      <c r="X8810" s="3">
        <v>2</v>
      </c>
      <c r="Z8810" s="23">
        <f>59/60</f>
        <v>0.98333333333333328</v>
      </c>
      <c r="AB8810" s="18">
        <f t="shared" si="274"/>
        <v>1995</v>
      </c>
      <c r="AC8810" s="22">
        <f t="shared" si="275"/>
        <v>0.54700000000000004</v>
      </c>
    </row>
    <row r="8811" spans="1:29">
      <c r="A8811" s="8" t="s">
        <v>10324</v>
      </c>
      <c r="B8811" s="17" t="s">
        <v>7738</v>
      </c>
      <c r="C8811" s="13">
        <v>34985</v>
      </c>
      <c r="D8811" s="13" t="s">
        <v>8463</v>
      </c>
      <c r="E8811" s="10" t="s">
        <v>1357</v>
      </c>
      <c r="F8811" s="10" t="s">
        <v>10325</v>
      </c>
      <c r="H8811" s="2" t="s">
        <v>1061</v>
      </c>
      <c r="K8811" s="18">
        <v>2</v>
      </c>
      <c r="L8811" s="18">
        <v>0</v>
      </c>
      <c r="Q8811" s="18">
        <v>0</v>
      </c>
      <c r="V8811" s="22">
        <f>1.64/5</f>
        <v>0.32799999999999996</v>
      </c>
      <c r="X8811" s="3">
        <v>2</v>
      </c>
      <c r="Z8811" s="23">
        <f>25/60</f>
        <v>0.41666666666666669</v>
      </c>
      <c r="AB8811" s="18">
        <f t="shared" si="274"/>
        <v>1995</v>
      </c>
      <c r="AC8811" s="22">
        <f t="shared" si="275"/>
        <v>0.36399999999999999</v>
      </c>
    </row>
    <row r="8812" spans="1:29">
      <c r="A8812" s="8" t="s">
        <v>498</v>
      </c>
      <c r="B8812" s="17" t="s">
        <v>7731</v>
      </c>
      <c r="C8812" s="13">
        <v>34984</v>
      </c>
      <c r="D8812" s="13" t="s">
        <v>8463</v>
      </c>
      <c r="E8812" s="10" t="s">
        <v>454</v>
      </c>
      <c r="F8812" s="10" t="s">
        <v>454</v>
      </c>
      <c r="G8812" s="11" t="s">
        <v>356</v>
      </c>
      <c r="H8812" s="2" t="s">
        <v>21</v>
      </c>
      <c r="K8812" s="18">
        <v>0</v>
      </c>
      <c r="L8812" s="18">
        <v>0</v>
      </c>
      <c r="Q8812" s="18">
        <v>0</v>
      </c>
      <c r="V8812" s="22">
        <f>3.89/5</f>
        <v>0.77800000000000002</v>
      </c>
      <c r="X8812" s="3">
        <v>3</v>
      </c>
      <c r="Z8812" s="23">
        <v>0.83333333333333304</v>
      </c>
      <c r="AB8812" s="18">
        <f t="shared" si="274"/>
        <v>1995</v>
      </c>
      <c r="AC8812" s="22">
        <f t="shared" si="275"/>
        <v>0.68900000000000006</v>
      </c>
    </row>
    <row r="8813" spans="1:29" ht="30">
      <c r="A8813" s="8" t="s">
        <v>10924</v>
      </c>
      <c r="B8813" s="17" t="s">
        <v>10323</v>
      </c>
      <c r="C8813" s="13">
        <v>34983</v>
      </c>
      <c r="D8813" s="13" t="s">
        <v>8463</v>
      </c>
      <c r="E8813" s="10" t="s">
        <v>10919</v>
      </c>
      <c r="F8813" s="10" t="s">
        <v>10919</v>
      </c>
      <c r="G8813" s="11" t="s">
        <v>10920</v>
      </c>
      <c r="H8813" s="2" t="s">
        <v>75</v>
      </c>
      <c r="K8813" s="18">
        <v>0</v>
      </c>
      <c r="L8813" s="18">
        <v>0</v>
      </c>
      <c r="Q8813" s="18">
        <v>0</v>
      </c>
      <c r="V8813" s="22">
        <f>3/5</f>
        <v>0.6</v>
      </c>
      <c r="X8813" s="3">
        <v>2</v>
      </c>
      <c r="AB8813" s="18">
        <f t="shared" si="274"/>
        <v>1995</v>
      </c>
      <c r="AC8813" s="22">
        <f t="shared" si="275"/>
        <v>0.5</v>
      </c>
    </row>
    <row r="8814" spans="1:29" ht="25.5">
      <c r="A8814" s="8" t="s">
        <v>838</v>
      </c>
      <c r="B8814" s="17" t="s">
        <v>7736</v>
      </c>
      <c r="C8814" s="13">
        <v>34978</v>
      </c>
      <c r="D8814" s="13" t="s">
        <v>8463</v>
      </c>
      <c r="E8814" s="10" t="s">
        <v>228</v>
      </c>
      <c r="F8814" s="10" t="s">
        <v>1230</v>
      </c>
      <c r="G8814" s="11" t="s">
        <v>1231</v>
      </c>
      <c r="H8814" s="2" t="s">
        <v>75</v>
      </c>
      <c r="K8814" s="18">
        <v>2</v>
      </c>
      <c r="L8814" s="18">
        <v>0</v>
      </c>
      <c r="Q8814" s="18">
        <v>0</v>
      </c>
      <c r="V8814" s="22">
        <f>4.33/5</f>
        <v>0.86599999999999999</v>
      </c>
      <c r="X8814" s="3">
        <v>4</v>
      </c>
      <c r="Z8814" s="23">
        <v>41.5</v>
      </c>
      <c r="AB8814" s="18">
        <f t="shared" si="274"/>
        <v>1995</v>
      </c>
      <c r="AC8814" s="22">
        <f t="shared" si="275"/>
        <v>0.83299999999999996</v>
      </c>
    </row>
    <row r="8815" spans="1:29" ht="25.5">
      <c r="A8815" s="8" t="s">
        <v>9638</v>
      </c>
      <c r="B8815" s="17" t="s">
        <v>7800</v>
      </c>
      <c r="C8815" s="12">
        <v>34973</v>
      </c>
      <c r="D8815" s="13" t="s">
        <v>8465</v>
      </c>
      <c r="E8815" s="10" t="s">
        <v>9639</v>
      </c>
      <c r="F8815" s="10" t="s">
        <v>9639</v>
      </c>
      <c r="H8815" s="2" t="s">
        <v>1050</v>
      </c>
      <c r="L8815" s="18">
        <v>0</v>
      </c>
      <c r="Q8815" s="18">
        <v>0</v>
      </c>
      <c r="V8815" s="22">
        <f>3.33/5</f>
        <v>0.66600000000000004</v>
      </c>
      <c r="X8815" s="3">
        <v>3</v>
      </c>
      <c r="Z8815" s="23">
        <v>6</v>
      </c>
      <c r="AB8815" s="18">
        <f t="shared" si="274"/>
        <v>1995</v>
      </c>
      <c r="AC8815" s="22">
        <f t="shared" si="275"/>
        <v>0.63300000000000001</v>
      </c>
    </row>
    <row r="8816" spans="1:29" ht="25.5">
      <c r="A8816" s="8" t="s">
        <v>1446</v>
      </c>
      <c r="B8816" s="17" t="s">
        <v>7736</v>
      </c>
      <c r="C8816" s="12">
        <v>34973</v>
      </c>
      <c r="D8816" s="13" t="s">
        <v>8465</v>
      </c>
      <c r="E8816" s="10" t="s">
        <v>86</v>
      </c>
      <c r="F8816" s="10" t="s">
        <v>87</v>
      </c>
      <c r="G8816" s="11" t="s">
        <v>1173</v>
      </c>
      <c r="H8816" s="2" t="s">
        <v>64</v>
      </c>
      <c r="L8816" s="18">
        <v>1</v>
      </c>
      <c r="M8816" s="14" t="s">
        <v>10622</v>
      </c>
      <c r="N8816" s="13">
        <v>44541</v>
      </c>
      <c r="O8816" s="29">
        <v>0</v>
      </c>
      <c r="P8816" s="18" t="s">
        <v>14</v>
      </c>
      <c r="Q8816" s="18">
        <v>0</v>
      </c>
      <c r="U8816" s="22">
        <v>0.96</v>
      </c>
      <c r="V8816" s="22">
        <f>4.33/5</f>
        <v>0.86599999999999999</v>
      </c>
      <c r="X8816" s="3">
        <v>4</v>
      </c>
      <c r="Z8816" s="23">
        <v>8</v>
      </c>
      <c r="AB8816" s="18">
        <f t="shared" si="274"/>
        <v>1995</v>
      </c>
      <c r="AC8816" s="22">
        <f t="shared" si="275"/>
        <v>0.87533333333333341</v>
      </c>
    </row>
    <row r="8817" spans="1:29">
      <c r="A8817" s="8" t="s">
        <v>715</v>
      </c>
      <c r="B8817" s="17" t="s">
        <v>7736</v>
      </c>
      <c r="C8817" s="13">
        <v>34973</v>
      </c>
      <c r="D8817" s="13" t="s">
        <v>8465</v>
      </c>
      <c r="E8817" s="10" t="s">
        <v>161</v>
      </c>
      <c r="F8817" s="10" t="s">
        <v>161</v>
      </c>
      <c r="G8817" s="11" t="s">
        <v>1253</v>
      </c>
      <c r="H8817" s="2" t="s">
        <v>171</v>
      </c>
      <c r="L8817" s="18">
        <v>0</v>
      </c>
      <c r="Q8817" s="18">
        <v>0</v>
      </c>
      <c r="U8817" s="22">
        <v>0.81</v>
      </c>
      <c r="V8817" s="22">
        <f>3.98/5</f>
        <v>0.79600000000000004</v>
      </c>
      <c r="X8817" s="3">
        <v>4</v>
      </c>
      <c r="Z8817" s="23">
        <v>15</v>
      </c>
      <c r="AB8817" s="18">
        <f t="shared" si="274"/>
        <v>1995</v>
      </c>
      <c r="AC8817" s="22">
        <f t="shared" si="275"/>
        <v>0.80200000000000005</v>
      </c>
    </row>
    <row r="8818" spans="1:29">
      <c r="A8818" s="8" t="s">
        <v>648</v>
      </c>
      <c r="B8818" s="17" t="s">
        <v>7736</v>
      </c>
      <c r="C8818" s="12">
        <v>34973</v>
      </c>
      <c r="D8818" s="13" t="s">
        <v>8465</v>
      </c>
      <c r="E8818" s="10" t="s">
        <v>1273</v>
      </c>
      <c r="F8818" s="10" t="s">
        <v>1287</v>
      </c>
      <c r="G8818" s="11" t="s">
        <v>1433</v>
      </c>
      <c r="H8818" s="2" t="s">
        <v>1204</v>
      </c>
      <c r="L8818" s="18">
        <v>0</v>
      </c>
      <c r="Q8818" s="18">
        <v>0</v>
      </c>
      <c r="V8818" s="22">
        <f>3.4/5</f>
        <v>0.67999999999999994</v>
      </c>
      <c r="X8818" s="3">
        <v>3</v>
      </c>
      <c r="Z8818" s="23">
        <v>2</v>
      </c>
      <c r="AB8818" s="18">
        <f t="shared" si="274"/>
        <v>1995</v>
      </c>
      <c r="AC8818" s="22">
        <f t="shared" si="275"/>
        <v>0.6399999999999999</v>
      </c>
    </row>
    <row r="8819" spans="1:29">
      <c r="A8819" s="8" t="s">
        <v>845</v>
      </c>
      <c r="B8819" s="17" t="s">
        <v>7738</v>
      </c>
      <c r="C8819" s="12">
        <v>34973</v>
      </c>
      <c r="D8819" s="13" t="s">
        <v>8465</v>
      </c>
      <c r="E8819" s="10" t="s">
        <v>228</v>
      </c>
      <c r="F8819" s="10" t="s">
        <v>228</v>
      </c>
      <c r="G8819" s="11" t="s">
        <v>1171</v>
      </c>
      <c r="H8819" s="2" t="s">
        <v>1377</v>
      </c>
      <c r="L8819" s="18">
        <v>0</v>
      </c>
      <c r="Q8819" s="18">
        <v>0</v>
      </c>
      <c r="V8819" s="22">
        <f>3.11/5</f>
        <v>0.622</v>
      </c>
      <c r="X8819" s="3">
        <v>3</v>
      </c>
      <c r="Z8819" s="23">
        <v>1.5</v>
      </c>
      <c r="AB8819" s="18">
        <f t="shared" si="274"/>
        <v>1995</v>
      </c>
      <c r="AC8819" s="22">
        <f t="shared" si="275"/>
        <v>0.61099999999999999</v>
      </c>
    </row>
    <row r="8820" spans="1:29">
      <c r="A8820" s="8" t="s">
        <v>1881</v>
      </c>
      <c r="B8820" s="17" t="s">
        <v>7738</v>
      </c>
      <c r="C8820" s="13">
        <v>34973</v>
      </c>
      <c r="D8820" s="13" t="s">
        <v>8465</v>
      </c>
      <c r="E8820" s="10" t="s">
        <v>86</v>
      </c>
      <c r="F8820" s="10" t="s">
        <v>142</v>
      </c>
      <c r="G8820" s="11" t="s">
        <v>137</v>
      </c>
      <c r="H8820" s="2" t="s">
        <v>143</v>
      </c>
      <c r="L8820" s="18">
        <v>0</v>
      </c>
      <c r="Q8820" s="18">
        <v>0</v>
      </c>
      <c r="V8820" s="22">
        <f>3.08/5</f>
        <v>0.61599999999999999</v>
      </c>
      <c r="X8820" s="3">
        <v>3</v>
      </c>
      <c r="Z8820" s="23">
        <v>5</v>
      </c>
      <c r="AB8820" s="18">
        <f t="shared" si="274"/>
        <v>1995</v>
      </c>
      <c r="AC8820" s="22">
        <f t="shared" si="275"/>
        <v>0.60799999999999998</v>
      </c>
    </row>
    <row r="8821" spans="1:29" ht="38.25">
      <c r="A8821" s="8" t="s">
        <v>1434</v>
      </c>
      <c r="B8821" s="17" t="s">
        <v>7736</v>
      </c>
      <c r="C8821" s="12">
        <v>34973</v>
      </c>
      <c r="D8821" s="13" t="s">
        <v>8465</v>
      </c>
      <c r="E8821" s="10" t="s">
        <v>1290</v>
      </c>
      <c r="F8821" s="10" t="s">
        <v>1229</v>
      </c>
      <c r="H8821" s="2" t="s">
        <v>153</v>
      </c>
      <c r="L8821" s="18">
        <v>0</v>
      </c>
      <c r="Q8821" s="18">
        <v>0</v>
      </c>
      <c r="U8821" s="22">
        <v>0.61</v>
      </c>
      <c r="V8821" s="22">
        <f>3.46/5</f>
        <v>0.69199999999999995</v>
      </c>
      <c r="X8821" s="3">
        <v>2</v>
      </c>
      <c r="Z8821" s="23">
        <v>2</v>
      </c>
      <c r="AB8821" s="18">
        <f t="shared" si="274"/>
        <v>1995</v>
      </c>
      <c r="AC8821" s="22">
        <f t="shared" si="275"/>
        <v>0.56733333333333336</v>
      </c>
    </row>
    <row r="8822" spans="1:29" ht="25.5">
      <c r="A8822" s="8" t="s">
        <v>15515</v>
      </c>
      <c r="B8822" s="17" t="s">
        <v>7736</v>
      </c>
      <c r="C8822" s="12">
        <v>34973</v>
      </c>
      <c r="D8822" s="13" t="s">
        <v>8465</v>
      </c>
      <c r="E8822" s="10" t="s">
        <v>76</v>
      </c>
      <c r="F8822" s="10" t="s">
        <v>76</v>
      </c>
      <c r="G8822" s="11" t="s">
        <v>15512</v>
      </c>
      <c r="H8822" s="2" t="s">
        <v>255</v>
      </c>
      <c r="L8822" s="18">
        <v>0</v>
      </c>
      <c r="Q8822" s="18">
        <v>0</v>
      </c>
      <c r="V8822" s="22">
        <f>3.75/5</f>
        <v>0.75</v>
      </c>
      <c r="X8822" s="3">
        <v>2</v>
      </c>
      <c r="AB8822" s="18">
        <f t="shared" si="274"/>
        <v>1995</v>
      </c>
      <c r="AC8822" s="22">
        <f t="shared" si="275"/>
        <v>0.57499999999999996</v>
      </c>
    </row>
    <row r="8823" spans="1:29">
      <c r="A8823" s="8" t="s">
        <v>836</v>
      </c>
      <c r="B8823" s="17" t="s">
        <v>7736</v>
      </c>
      <c r="C8823" s="13">
        <v>34972</v>
      </c>
      <c r="D8823" s="13" t="s">
        <v>8463</v>
      </c>
      <c r="E8823" s="10" t="s">
        <v>161</v>
      </c>
      <c r="F8823" s="10" t="s">
        <v>161</v>
      </c>
      <c r="G8823" s="11" t="s">
        <v>1253</v>
      </c>
      <c r="H8823" s="2" t="s">
        <v>171</v>
      </c>
      <c r="K8823" s="18">
        <v>2</v>
      </c>
      <c r="L8823" s="18">
        <v>0</v>
      </c>
      <c r="Q8823" s="18">
        <v>0</v>
      </c>
      <c r="U8823" s="22">
        <v>0.9</v>
      </c>
      <c r="V8823" s="22">
        <f>4.33/5</f>
        <v>0.86599999999999999</v>
      </c>
      <c r="X8823" s="3">
        <v>3</v>
      </c>
      <c r="Z8823" s="23">
        <v>22.5</v>
      </c>
      <c r="AB8823" s="18">
        <f t="shared" si="274"/>
        <v>1995</v>
      </c>
      <c r="AC8823" s="22">
        <f t="shared" si="275"/>
        <v>0.78866666666666674</v>
      </c>
    </row>
    <row r="8824" spans="1:29">
      <c r="A8824" s="8" t="s">
        <v>7176</v>
      </c>
      <c r="B8824" s="17" t="s">
        <v>7800</v>
      </c>
      <c r="C8824" s="13">
        <v>34972</v>
      </c>
      <c r="D8824" s="13" t="s">
        <v>8465</v>
      </c>
      <c r="E8824" s="10" t="s">
        <v>1496</v>
      </c>
      <c r="F8824" s="10" t="s">
        <v>1496</v>
      </c>
      <c r="G8824" s="11" t="s">
        <v>7176</v>
      </c>
      <c r="H8824" s="2" t="s">
        <v>67</v>
      </c>
      <c r="L8824" s="18">
        <v>0</v>
      </c>
      <c r="Q8824" s="18">
        <v>0</v>
      </c>
      <c r="U8824" s="22">
        <v>0.72</v>
      </c>
      <c r="V8824" s="22">
        <f>4.03/5</f>
        <v>0.80600000000000005</v>
      </c>
      <c r="X8824" s="3">
        <v>3</v>
      </c>
      <c r="Z8824" s="23">
        <v>10</v>
      </c>
      <c r="AB8824" s="18">
        <f t="shared" si="274"/>
        <v>1995</v>
      </c>
      <c r="AC8824" s="22">
        <f t="shared" si="275"/>
        <v>0.70866666666666667</v>
      </c>
    </row>
    <row r="8825" spans="1:29">
      <c r="A8825" s="8" t="s">
        <v>814</v>
      </c>
      <c r="B8825" s="17" t="s">
        <v>7736</v>
      </c>
      <c r="C8825" s="13">
        <v>34971</v>
      </c>
      <c r="D8825" s="13" t="s">
        <v>8463</v>
      </c>
      <c r="E8825" s="10" t="s">
        <v>257</v>
      </c>
      <c r="F8825" s="10" t="s">
        <v>1398</v>
      </c>
      <c r="H8825" s="2" t="s">
        <v>64</v>
      </c>
      <c r="K8825" s="18">
        <v>2</v>
      </c>
      <c r="L8825" s="18">
        <v>0</v>
      </c>
      <c r="Q8825" s="18">
        <v>0</v>
      </c>
      <c r="V8825" s="22">
        <f>3.84/5</f>
        <v>0.76800000000000002</v>
      </c>
      <c r="X8825" s="3">
        <v>4</v>
      </c>
      <c r="Z8825" s="23">
        <v>3</v>
      </c>
      <c r="AB8825" s="18">
        <f t="shared" si="274"/>
        <v>1995</v>
      </c>
      <c r="AC8825" s="22">
        <f t="shared" si="275"/>
        <v>0.78400000000000003</v>
      </c>
    </row>
    <row r="8826" spans="1:29">
      <c r="A8826" s="8" t="s">
        <v>2987</v>
      </c>
      <c r="B8826" s="17" t="s">
        <v>7757</v>
      </c>
      <c r="C8826" s="13">
        <v>34971</v>
      </c>
      <c r="D8826" s="13" t="s">
        <v>8467</v>
      </c>
      <c r="E8826" s="10" t="s">
        <v>1290</v>
      </c>
      <c r="F8826" s="10" t="s">
        <v>3037</v>
      </c>
      <c r="H8826" s="2" t="s">
        <v>147</v>
      </c>
      <c r="L8826" s="18">
        <v>0</v>
      </c>
      <c r="Q8826" s="18">
        <v>0</v>
      </c>
      <c r="V8826" s="22">
        <f>3.76/5</f>
        <v>0.752</v>
      </c>
      <c r="X8826" s="3">
        <v>4</v>
      </c>
      <c r="Z8826" s="23">
        <v>2</v>
      </c>
      <c r="AB8826" s="18">
        <f t="shared" si="274"/>
        <v>1995</v>
      </c>
      <c r="AC8826" s="22">
        <f t="shared" si="275"/>
        <v>0.77600000000000002</v>
      </c>
    </row>
    <row r="8827" spans="1:29" ht="25.5">
      <c r="A8827" s="8" t="s">
        <v>815</v>
      </c>
      <c r="B8827" s="17" t="s">
        <v>7736</v>
      </c>
      <c r="C8827" s="13">
        <v>34971</v>
      </c>
      <c r="D8827" s="13" t="s">
        <v>8463</v>
      </c>
      <c r="E8827" s="10" t="s">
        <v>1247</v>
      </c>
      <c r="F8827" s="10" t="s">
        <v>1411</v>
      </c>
      <c r="H8827" s="2" t="s">
        <v>171</v>
      </c>
      <c r="K8827" s="18">
        <v>2</v>
      </c>
      <c r="L8827" s="18">
        <v>0</v>
      </c>
      <c r="Q8827" s="18">
        <v>0</v>
      </c>
      <c r="V8827" s="22">
        <f>3.73/5</f>
        <v>0.746</v>
      </c>
      <c r="X8827" s="3">
        <v>4</v>
      </c>
      <c r="Z8827" s="23">
        <v>6</v>
      </c>
      <c r="AB8827" s="18">
        <f t="shared" si="274"/>
        <v>1995</v>
      </c>
      <c r="AC8827" s="22">
        <f t="shared" si="275"/>
        <v>0.77300000000000002</v>
      </c>
    </row>
    <row r="8828" spans="1:29">
      <c r="A8828" s="8" t="s">
        <v>783</v>
      </c>
      <c r="B8828" s="17" t="s">
        <v>7736</v>
      </c>
      <c r="C8828" s="13">
        <v>34971</v>
      </c>
      <c r="D8828" s="13" t="s">
        <v>8463</v>
      </c>
      <c r="E8828" s="10" t="s">
        <v>57</v>
      </c>
      <c r="F8828" s="10" t="s">
        <v>1384</v>
      </c>
      <c r="G8828" s="11" t="s">
        <v>1392</v>
      </c>
      <c r="H8828" s="2" t="s">
        <v>149</v>
      </c>
      <c r="K8828" s="18">
        <v>2</v>
      </c>
      <c r="L8828" s="18">
        <v>0</v>
      </c>
      <c r="Q8828" s="18">
        <v>0</v>
      </c>
      <c r="U8828" s="22">
        <v>0.9</v>
      </c>
      <c r="V8828" s="22">
        <f>4.04/5</f>
        <v>0.80800000000000005</v>
      </c>
      <c r="X8828" s="3">
        <v>3</v>
      </c>
      <c r="AB8828" s="18">
        <f t="shared" si="274"/>
        <v>1995</v>
      </c>
      <c r="AC8828" s="22">
        <f t="shared" si="275"/>
        <v>0.76933333333333342</v>
      </c>
    </row>
    <row r="8829" spans="1:29">
      <c r="A8829" s="8" t="s">
        <v>777</v>
      </c>
      <c r="B8829" s="17" t="s">
        <v>7736</v>
      </c>
      <c r="C8829" s="13">
        <v>34971</v>
      </c>
      <c r="D8829" s="13" t="s">
        <v>8463</v>
      </c>
      <c r="E8829" s="10" t="s">
        <v>1238</v>
      </c>
      <c r="F8829" s="10" t="s">
        <v>1356</v>
      </c>
      <c r="G8829" s="11" t="s">
        <v>777</v>
      </c>
      <c r="H8829" s="2" t="s">
        <v>149</v>
      </c>
      <c r="K8829" s="18">
        <v>2</v>
      </c>
      <c r="L8829" s="18">
        <v>0</v>
      </c>
      <c r="Q8829" s="18">
        <v>0</v>
      </c>
      <c r="U8829" s="22">
        <v>0.45</v>
      </c>
      <c r="V8829" s="22">
        <f>3.34/5</f>
        <v>0.66799999999999993</v>
      </c>
      <c r="X8829" s="3">
        <v>3</v>
      </c>
      <c r="Z8829" s="23">
        <v>7</v>
      </c>
      <c r="AB8829" s="18">
        <f t="shared" si="274"/>
        <v>1995</v>
      </c>
      <c r="AC8829" s="22">
        <f t="shared" si="275"/>
        <v>0.57266666666666666</v>
      </c>
    </row>
    <row r="8830" spans="1:29">
      <c r="A8830" s="8" t="s">
        <v>2727</v>
      </c>
      <c r="B8830" s="17" t="s">
        <v>7754</v>
      </c>
      <c r="C8830" s="13">
        <v>34969</v>
      </c>
      <c r="D8830" s="13" t="s">
        <v>8465</v>
      </c>
      <c r="E8830" s="10" t="s">
        <v>455</v>
      </c>
      <c r="F8830" s="10" t="s">
        <v>455</v>
      </c>
      <c r="H8830" s="2" t="s">
        <v>64</v>
      </c>
      <c r="L8830" s="18">
        <v>0</v>
      </c>
      <c r="Q8830" s="18">
        <v>0</v>
      </c>
      <c r="U8830" s="22">
        <v>0.8</v>
      </c>
      <c r="V8830" s="22">
        <f>3.82/5</f>
        <v>0.76400000000000001</v>
      </c>
      <c r="X8830" s="3">
        <v>4</v>
      </c>
      <c r="Z8830" s="23">
        <v>2</v>
      </c>
      <c r="AB8830" s="18">
        <f t="shared" si="274"/>
        <v>1995</v>
      </c>
      <c r="AC8830" s="22">
        <f t="shared" si="275"/>
        <v>0.78799999999999992</v>
      </c>
    </row>
    <row r="8831" spans="1:29" ht="30">
      <c r="A8831" s="8" t="s">
        <v>3043</v>
      </c>
      <c r="B8831" s="17" t="s">
        <v>7800</v>
      </c>
      <c r="C8831" s="13">
        <v>34968</v>
      </c>
      <c r="D8831" s="13" t="s">
        <v>8465</v>
      </c>
      <c r="E8831" s="10" t="s">
        <v>469</v>
      </c>
      <c r="F8831" s="10" t="s">
        <v>2654</v>
      </c>
      <c r="G8831" s="11" t="s">
        <v>3043</v>
      </c>
      <c r="H8831" s="2" t="s">
        <v>1143</v>
      </c>
      <c r="L8831" s="18">
        <v>1</v>
      </c>
      <c r="N8831" s="13">
        <v>41627</v>
      </c>
      <c r="O8831" s="29">
        <v>0.33</v>
      </c>
      <c r="P8831" s="18" t="s">
        <v>1107</v>
      </c>
      <c r="Q8831" s="18">
        <v>0</v>
      </c>
      <c r="U8831" s="22">
        <v>0.84</v>
      </c>
      <c r="V8831" s="22">
        <f>3.95/5</f>
        <v>0.79</v>
      </c>
      <c r="W8831" s="14" t="s">
        <v>7796</v>
      </c>
      <c r="X8831" s="3">
        <v>2</v>
      </c>
      <c r="Z8831" s="23">
        <v>19</v>
      </c>
      <c r="AB8831" s="18">
        <f t="shared" si="274"/>
        <v>1995</v>
      </c>
      <c r="AC8831" s="22">
        <f t="shared" si="275"/>
        <v>0.67666666666666664</v>
      </c>
    </row>
    <row r="8832" spans="1:29" ht="25.5">
      <c r="A8832" s="8" t="s">
        <v>11798</v>
      </c>
      <c r="B8832" s="17" t="s">
        <v>7736</v>
      </c>
      <c r="C8832" s="13">
        <v>34964</v>
      </c>
      <c r="D8832" s="13" t="s">
        <v>8463</v>
      </c>
      <c r="E8832" s="10" t="s">
        <v>11799</v>
      </c>
      <c r="F8832" s="10" t="s">
        <v>11799</v>
      </c>
      <c r="G8832" s="11" t="s">
        <v>11800</v>
      </c>
      <c r="H8832" s="2" t="s">
        <v>149</v>
      </c>
      <c r="K8832" s="18">
        <v>2</v>
      </c>
      <c r="L8832" s="18">
        <v>0</v>
      </c>
      <c r="Q8832" s="18">
        <v>0</v>
      </c>
      <c r="V8832" s="22">
        <f>3.89/5</f>
        <v>0.77800000000000002</v>
      </c>
      <c r="X8832" s="3">
        <v>3</v>
      </c>
      <c r="Z8832" s="23">
        <v>15</v>
      </c>
      <c r="AB8832" s="18">
        <f t="shared" si="274"/>
        <v>1995</v>
      </c>
      <c r="AC8832" s="22">
        <f t="shared" si="275"/>
        <v>0.68900000000000006</v>
      </c>
    </row>
    <row r="8833" spans="1:29" ht="25.5">
      <c r="A8833" s="8" t="s">
        <v>751</v>
      </c>
      <c r="B8833" s="17" t="s">
        <v>7736</v>
      </c>
      <c r="C8833" s="13">
        <v>34964</v>
      </c>
      <c r="D8833" s="13" t="s">
        <v>8463</v>
      </c>
      <c r="E8833" s="10" t="s">
        <v>1360</v>
      </c>
      <c r="F8833" s="10" t="s">
        <v>1361</v>
      </c>
      <c r="G8833" s="11" t="s">
        <v>1362</v>
      </c>
      <c r="H8833" s="2" t="s">
        <v>459</v>
      </c>
      <c r="K8833" s="18">
        <v>0</v>
      </c>
      <c r="L8833" s="18">
        <v>0</v>
      </c>
      <c r="Q8833" s="18">
        <v>0</v>
      </c>
      <c r="V8833" s="22">
        <f>3/5</f>
        <v>0.6</v>
      </c>
      <c r="X8833" s="3">
        <v>3</v>
      </c>
      <c r="AB8833" s="18">
        <f t="shared" ref="AB8833:AB8896" si="276">IFERROR(YEAR(C8833), "Early Access")</f>
        <v>1995</v>
      </c>
      <c r="AC8833" s="22">
        <f t="shared" ref="AC8833:AC8896" si="277">AVERAGE(T8833, U8833, V8833, IF(ISBLANK(X8833), X8833, X8833/5))</f>
        <v>0.6</v>
      </c>
    </row>
    <row r="8834" spans="1:29" ht="25.5">
      <c r="A8834" s="8" t="s">
        <v>14544</v>
      </c>
      <c r="B8834" s="17" t="s">
        <v>7754</v>
      </c>
      <c r="C8834" s="13">
        <v>34964</v>
      </c>
      <c r="D8834" s="13" t="s">
        <v>8463</v>
      </c>
      <c r="E8834" s="10" t="s">
        <v>2890</v>
      </c>
      <c r="F8834" s="10" t="s">
        <v>2890</v>
      </c>
      <c r="G8834" s="11" t="s">
        <v>14543</v>
      </c>
      <c r="H8834" s="2" t="s">
        <v>1057</v>
      </c>
      <c r="K8834" s="18">
        <v>2</v>
      </c>
      <c r="L8834" s="18">
        <v>0</v>
      </c>
      <c r="Q8834" s="18">
        <v>0</v>
      </c>
      <c r="V8834" s="22">
        <f>3/5</f>
        <v>0.6</v>
      </c>
      <c r="X8834" s="3">
        <v>2</v>
      </c>
      <c r="AB8834" s="18">
        <f t="shared" si="276"/>
        <v>1995</v>
      </c>
      <c r="AC8834" s="22">
        <f t="shared" si="277"/>
        <v>0.5</v>
      </c>
    </row>
    <row r="8835" spans="1:29">
      <c r="A8835" s="8" t="s">
        <v>2695</v>
      </c>
      <c r="B8835" s="17" t="s">
        <v>7752</v>
      </c>
      <c r="C8835" s="13">
        <v>34957</v>
      </c>
      <c r="D8835" s="13" t="s">
        <v>8465</v>
      </c>
      <c r="E8835" s="10" t="s">
        <v>2701</v>
      </c>
      <c r="F8835" s="10" t="s">
        <v>1512</v>
      </c>
      <c r="G8835" s="11" t="s">
        <v>1960</v>
      </c>
      <c r="H8835" s="2" t="s">
        <v>149</v>
      </c>
      <c r="L8835" s="18">
        <v>0</v>
      </c>
      <c r="Q8835" s="18">
        <v>0</v>
      </c>
      <c r="U8835" s="22">
        <v>0.91</v>
      </c>
      <c r="V8835" s="22">
        <f>4.45/5</f>
        <v>0.89</v>
      </c>
      <c r="X8835" s="3">
        <v>4</v>
      </c>
      <c r="Z8835" s="23">
        <v>31.5</v>
      </c>
      <c r="AB8835" s="18">
        <f t="shared" si="276"/>
        <v>1995</v>
      </c>
      <c r="AC8835" s="22">
        <f t="shared" si="277"/>
        <v>0.8666666666666667</v>
      </c>
    </row>
    <row r="8836" spans="1:29">
      <c r="A8836" s="8" t="s">
        <v>817</v>
      </c>
      <c r="B8836" s="17" t="s">
        <v>7736</v>
      </c>
      <c r="C8836" s="13">
        <v>34956</v>
      </c>
      <c r="D8836" s="13" t="s">
        <v>8463</v>
      </c>
      <c r="E8836" s="10" t="s">
        <v>86</v>
      </c>
      <c r="F8836" s="10" t="s">
        <v>148</v>
      </c>
      <c r="G8836" s="11" t="s">
        <v>1413</v>
      </c>
      <c r="H8836" s="2" t="s">
        <v>78</v>
      </c>
      <c r="K8836" s="18">
        <v>0</v>
      </c>
      <c r="L8836" s="18">
        <v>0</v>
      </c>
      <c r="Q8836" s="18">
        <v>0</v>
      </c>
      <c r="U8836" s="22">
        <v>0.88</v>
      </c>
      <c r="V8836" s="22">
        <f>3.79/5</f>
        <v>0.75800000000000001</v>
      </c>
      <c r="X8836" s="3">
        <v>4</v>
      </c>
      <c r="Z8836" s="23">
        <v>13</v>
      </c>
      <c r="AB8836" s="18">
        <f t="shared" si="276"/>
        <v>1995</v>
      </c>
      <c r="AC8836" s="22">
        <f t="shared" si="277"/>
        <v>0.81266666666666654</v>
      </c>
    </row>
    <row r="8837" spans="1:29">
      <c r="A8837" s="8" t="s">
        <v>810</v>
      </c>
      <c r="B8837" s="17" t="s">
        <v>7736</v>
      </c>
      <c r="C8837" s="13">
        <v>34956</v>
      </c>
      <c r="D8837" s="13" t="s">
        <v>8463</v>
      </c>
      <c r="E8837" s="10" t="s">
        <v>81</v>
      </c>
      <c r="F8837" s="10" t="s">
        <v>81</v>
      </c>
      <c r="G8837" s="11" t="s">
        <v>810</v>
      </c>
      <c r="H8837" s="2" t="s">
        <v>1061</v>
      </c>
      <c r="K8837" s="18">
        <v>2</v>
      </c>
      <c r="L8837" s="18">
        <v>0</v>
      </c>
      <c r="Q8837" s="18">
        <v>0</v>
      </c>
      <c r="U8837" s="22">
        <v>0.7</v>
      </c>
      <c r="V8837" s="22">
        <f>4.15/5</f>
        <v>0.83000000000000007</v>
      </c>
      <c r="X8837" s="3">
        <v>4</v>
      </c>
      <c r="Z8837" s="23">
        <v>2.5</v>
      </c>
      <c r="AB8837" s="18">
        <f t="shared" si="276"/>
        <v>1995</v>
      </c>
      <c r="AC8837" s="22">
        <f t="shared" si="277"/>
        <v>0.77666666666666673</v>
      </c>
    </row>
    <row r="8838" spans="1:29">
      <c r="A8838" s="8" t="s">
        <v>8037</v>
      </c>
      <c r="B8838" s="17" t="s">
        <v>7757</v>
      </c>
      <c r="C8838" s="13">
        <v>34951</v>
      </c>
      <c r="D8838" s="13" t="s">
        <v>8465</v>
      </c>
      <c r="E8838" s="10" t="s">
        <v>158</v>
      </c>
      <c r="F8838" s="10" t="s">
        <v>158</v>
      </c>
      <c r="G8838" s="11" t="s">
        <v>8037</v>
      </c>
      <c r="H8838" s="2" t="s">
        <v>150</v>
      </c>
      <c r="L8838" s="18">
        <v>0</v>
      </c>
      <c r="Q8838" s="18">
        <v>0</v>
      </c>
      <c r="U8838" s="22">
        <v>0.81</v>
      </c>
      <c r="V8838" s="22">
        <f>3.58/5</f>
        <v>0.71599999999999997</v>
      </c>
      <c r="X8838" s="3">
        <v>3</v>
      </c>
      <c r="Z8838" s="23">
        <v>1</v>
      </c>
      <c r="AB8838" s="18">
        <f t="shared" si="276"/>
        <v>1995</v>
      </c>
      <c r="AC8838" s="22">
        <f t="shared" si="277"/>
        <v>0.70866666666666667</v>
      </c>
    </row>
    <row r="8839" spans="1:29" ht="30">
      <c r="A8839" s="8" t="s">
        <v>8054</v>
      </c>
      <c r="B8839" s="17" t="s">
        <v>7757</v>
      </c>
      <c r="C8839" s="13">
        <v>34951</v>
      </c>
      <c r="D8839" s="13" t="s">
        <v>8465</v>
      </c>
      <c r="E8839" s="10" t="s">
        <v>2908</v>
      </c>
      <c r="F8839" s="10" t="s">
        <v>554</v>
      </c>
      <c r="G8839" s="11" t="s">
        <v>397</v>
      </c>
      <c r="H8839" s="2" t="s">
        <v>21</v>
      </c>
      <c r="L8839" s="18">
        <v>0</v>
      </c>
      <c r="Q8839" s="18">
        <v>0</v>
      </c>
      <c r="U8839" s="22">
        <v>0.65</v>
      </c>
      <c r="V8839" s="22">
        <f>3.8/5</f>
        <v>0.76</v>
      </c>
      <c r="X8839" s="3">
        <v>2</v>
      </c>
      <c r="Z8839" s="23">
        <v>5</v>
      </c>
      <c r="AB8839" s="18">
        <f t="shared" si="276"/>
        <v>1995</v>
      </c>
      <c r="AC8839" s="22">
        <f t="shared" si="277"/>
        <v>0.60333333333333339</v>
      </c>
    </row>
    <row r="8840" spans="1:29">
      <c r="A8840" s="8" t="s">
        <v>7905</v>
      </c>
      <c r="B8840" s="17" t="s">
        <v>7757</v>
      </c>
      <c r="C8840" s="13">
        <v>34951</v>
      </c>
      <c r="D8840" s="13" t="s">
        <v>8465</v>
      </c>
      <c r="E8840" s="10" t="s">
        <v>158</v>
      </c>
      <c r="F8840" s="10" t="s">
        <v>158</v>
      </c>
      <c r="G8840" s="11" t="s">
        <v>3101</v>
      </c>
      <c r="H8840" s="2" t="s">
        <v>7594</v>
      </c>
      <c r="L8840" s="18">
        <v>0</v>
      </c>
      <c r="Q8840" s="18">
        <v>0</v>
      </c>
      <c r="U8840" s="22">
        <v>0.6</v>
      </c>
      <c r="V8840" s="22">
        <f>3.63/5</f>
        <v>0.72599999999999998</v>
      </c>
      <c r="X8840" s="3">
        <v>2</v>
      </c>
      <c r="Z8840" s="23">
        <v>3</v>
      </c>
      <c r="AB8840" s="18">
        <f t="shared" si="276"/>
        <v>1995</v>
      </c>
      <c r="AC8840" s="22">
        <f t="shared" si="277"/>
        <v>0.57533333333333336</v>
      </c>
    </row>
    <row r="8841" spans="1:29">
      <c r="A8841" s="8" t="s">
        <v>9642</v>
      </c>
      <c r="B8841" s="17" t="s">
        <v>7757</v>
      </c>
      <c r="C8841" s="13">
        <v>34951</v>
      </c>
      <c r="D8841" s="13" t="s">
        <v>8465</v>
      </c>
      <c r="E8841" s="10" t="s">
        <v>1310</v>
      </c>
      <c r="F8841" s="10" t="s">
        <v>1310</v>
      </c>
      <c r="H8841" s="2" t="s">
        <v>459</v>
      </c>
      <c r="L8841" s="18">
        <v>0</v>
      </c>
      <c r="Q8841" s="18">
        <v>0</v>
      </c>
      <c r="V8841" s="22">
        <f>3.1/5</f>
        <v>0.62</v>
      </c>
      <c r="X8841" s="3">
        <v>2</v>
      </c>
      <c r="Z8841" s="23">
        <f>18/60</f>
        <v>0.3</v>
      </c>
      <c r="AB8841" s="18">
        <f t="shared" si="276"/>
        <v>1995</v>
      </c>
      <c r="AC8841" s="22">
        <f t="shared" si="277"/>
        <v>0.51</v>
      </c>
    </row>
    <row r="8842" spans="1:29">
      <c r="A8842" s="8" t="s">
        <v>15726</v>
      </c>
      <c r="B8842" s="17" t="s">
        <v>7785</v>
      </c>
      <c r="C8842" s="13">
        <v>34947</v>
      </c>
      <c r="D8842" s="13" t="s">
        <v>8465</v>
      </c>
      <c r="E8842" s="10" t="s">
        <v>311</v>
      </c>
      <c r="F8842" s="10" t="s">
        <v>11451</v>
      </c>
      <c r="H8842" s="2" t="s">
        <v>459</v>
      </c>
      <c r="L8842" s="18">
        <v>0</v>
      </c>
      <c r="Q8842" s="18">
        <v>0</v>
      </c>
      <c r="V8842" s="22">
        <f>3.12/5</f>
        <v>0.624</v>
      </c>
      <c r="X8842" s="3">
        <v>2</v>
      </c>
      <c r="AB8842" s="18">
        <f t="shared" si="276"/>
        <v>1995</v>
      </c>
      <c r="AC8842" s="22">
        <f t="shared" si="277"/>
        <v>0.51200000000000001</v>
      </c>
    </row>
    <row r="8843" spans="1:29">
      <c r="A8843" s="8" t="s">
        <v>1477</v>
      </c>
      <c r="B8843" s="17" t="s">
        <v>7785</v>
      </c>
      <c r="C8843" s="13">
        <v>34943</v>
      </c>
      <c r="D8843" s="13" t="s">
        <v>8465</v>
      </c>
      <c r="E8843" s="10" t="s">
        <v>1047</v>
      </c>
      <c r="F8843" s="10" t="s">
        <v>1147</v>
      </c>
      <c r="G8843" s="11" t="s">
        <v>1477</v>
      </c>
      <c r="H8843" s="2" t="s">
        <v>64</v>
      </c>
      <c r="L8843" s="18">
        <v>0</v>
      </c>
      <c r="Q8843" s="18">
        <v>0</v>
      </c>
      <c r="V8843" s="22">
        <f>4.16/5</f>
        <v>0.83200000000000007</v>
      </c>
      <c r="X8843" s="3">
        <v>4</v>
      </c>
      <c r="Z8843" s="23">
        <v>11.5</v>
      </c>
      <c r="AB8843" s="18">
        <f t="shared" si="276"/>
        <v>1995</v>
      </c>
      <c r="AC8843" s="22">
        <f t="shared" si="277"/>
        <v>0.81600000000000006</v>
      </c>
    </row>
    <row r="8844" spans="1:29">
      <c r="A8844" s="8" t="s">
        <v>525</v>
      </c>
      <c r="B8844" s="17" t="s">
        <v>7731</v>
      </c>
      <c r="C8844" s="13">
        <v>34943</v>
      </c>
      <c r="D8844" s="13" t="s">
        <v>8465</v>
      </c>
      <c r="E8844" s="10" t="s">
        <v>170</v>
      </c>
      <c r="F8844" s="10" t="s">
        <v>170</v>
      </c>
      <c r="G8844" s="11" t="s">
        <v>567</v>
      </c>
      <c r="H8844" s="2" t="s">
        <v>459</v>
      </c>
      <c r="L8844" s="18">
        <v>0</v>
      </c>
      <c r="Q8844" s="18">
        <v>0</v>
      </c>
      <c r="V8844" s="22">
        <f>3.75/5</f>
        <v>0.75</v>
      </c>
      <c r="X8844" s="3">
        <v>3</v>
      </c>
      <c r="Z8844" s="23">
        <v>2</v>
      </c>
      <c r="AB8844" s="18">
        <f t="shared" si="276"/>
        <v>1995</v>
      </c>
      <c r="AC8844" s="22">
        <f t="shared" si="277"/>
        <v>0.67500000000000004</v>
      </c>
    </row>
    <row r="8845" spans="1:29" ht="38.25">
      <c r="A8845" s="8" t="s">
        <v>6773</v>
      </c>
      <c r="B8845" s="17" t="s">
        <v>7800</v>
      </c>
      <c r="C8845" s="12">
        <v>34943</v>
      </c>
      <c r="D8845" s="13" t="s">
        <v>8465</v>
      </c>
      <c r="E8845" s="10" t="s">
        <v>2659</v>
      </c>
      <c r="F8845" s="10" t="s">
        <v>2659</v>
      </c>
      <c r="G8845" s="11" t="s">
        <v>1864</v>
      </c>
      <c r="H8845" s="2" t="s">
        <v>1720</v>
      </c>
      <c r="L8845" s="18">
        <v>0</v>
      </c>
      <c r="Q8845" s="18">
        <v>0</v>
      </c>
      <c r="U8845" s="22">
        <v>0.75</v>
      </c>
      <c r="V8845" s="22">
        <f>3.59/5</f>
        <v>0.71799999999999997</v>
      </c>
      <c r="X8845" s="3">
        <v>3</v>
      </c>
      <c r="Z8845" s="23">
        <v>25.5</v>
      </c>
      <c r="AB8845" s="18">
        <f t="shared" si="276"/>
        <v>1995</v>
      </c>
      <c r="AC8845" s="22">
        <f t="shared" si="277"/>
        <v>0.68933333333333335</v>
      </c>
    </row>
    <row r="8846" spans="1:29">
      <c r="A8846" s="8" t="s">
        <v>8158</v>
      </c>
      <c r="B8846" s="17" t="s">
        <v>7754</v>
      </c>
      <c r="C8846" s="12">
        <v>34943</v>
      </c>
      <c r="D8846" s="13" t="s">
        <v>8465</v>
      </c>
      <c r="E8846" s="10" t="s">
        <v>250</v>
      </c>
      <c r="F8846" s="10" t="s">
        <v>455</v>
      </c>
      <c r="G8846" s="11" t="s">
        <v>2407</v>
      </c>
      <c r="H8846" s="2" t="s">
        <v>56</v>
      </c>
      <c r="L8846" s="18">
        <v>0</v>
      </c>
      <c r="Q8846" s="18">
        <v>0</v>
      </c>
      <c r="U8846" s="22">
        <v>0.82499999999999996</v>
      </c>
      <c r="V8846" s="22">
        <f>3.74/5</f>
        <v>0.748</v>
      </c>
      <c r="X8846" s="3">
        <v>2</v>
      </c>
      <c r="Z8846" s="23">
        <v>1</v>
      </c>
      <c r="AB8846" s="18">
        <f t="shared" si="276"/>
        <v>1995</v>
      </c>
      <c r="AC8846" s="22">
        <f t="shared" si="277"/>
        <v>0.65766666666666662</v>
      </c>
    </row>
    <row r="8847" spans="1:29">
      <c r="A8847" s="8" t="s">
        <v>9640</v>
      </c>
      <c r="B8847" s="17" t="s">
        <v>7752</v>
      </c>
      <c r="C8847" s="12">
        <v>34943</v>
      </c>
      <c r="D8847" s="13" t="s">
        <v>8465</v>
      </c>
      <c r="E8847" s="10" t="s">
        <v>455</v>
      </c>
      <c r="F8847" s="10" t="s">
        <v>9641</v>
      </c>
      <c r="H8847" s="2" t="s">
        <v>1194</v>
      </c>
      <c r="L8847" s="18">
        <v>0</v>
      </c>
      <c r="Q8847" s="18">
        <v>0</v>
      </c>
      <c r="V8847" s="22">
        <f>3.02/5</f>
        <v>0.60399999999999998</v>
      </c>
      <c r="X8847" s="3">
        <v>2</v>
      </c>
      <c r="Z8847" s="23">
        <v>2</v>
      </c>
      <c r="AB8847" s="18">
        <f t="shared" si="276"/>
        <v>1995</v>
      </c>
      <c r="AC8847" s="22">
        <f t="shared" si="277"/>
        <v>0.502</v>
      </c>
    </row>
    <row r="8848" spans="1:29">
      <c r="A8848" s="8" t="s">
        <v>14500</v>
      </c>
      <c r="B8848" s="17" t="s">
        <v>7754</v>
      </c>
      <c r="C8848" s="12">
        <v>34943</v>
      </c>
      <c r="D8848" s="13" t="s">
        <v>8465</v>
      </c>
      <c r="E8848" s="10" t="s">
        <v>14501</v>
      </c>
      <c r="F8848" s="10" t="s">
        <v>1427</v>
      </c>
      <c r="G8848" s="11" t="s">
        <v>14497</v>
      </c>
      <c r="H8848" s="2" t="s">
        <v>171</v>
      </c>
      <c r="L8848" s="18">
        <v>0</v>
      </c>
      <c r="Q8848" s="18">
        <v>0</v>
      </c>
      <c r="V8848" s="22">
        <f>2.76/5</f>
        <v>0.55199999999999994</v>
      </c>
      <c r="X8848" s="3">
        <v>2</v>
      </c>
      <c r="Z8848" s="23">
        <v>3.5</v>
      </c>
      <c r="AB8848" s="18">
        <f t="shared" si="276"/>
        <v>1995</v>
      </c>
      <c r="AC8848" s="22">
        <f t="shared" si="277"/>
        <v>0.47599999999999998</v>
      </c>
    </row>
    <row r="8849" spans="1:29">
      <c r="A8849" s="8" t="s">
        <v>12300</v>
      </c>
      <c r="B8849" s="17" t="s">
        <v>7754</v>
      </c>
      <c r="C8849" s="12">
        <v>34943</v>
      </c>
      <c r="D8849" s="13" t="s">
        <v>8465</v>
      </c>
      <c r="E8849" s="10" t="s">
        <v>455</v>
      </c>
      <c r="F8849" s="10" t="s">
        <v>12301</v>
      </c>
      <c r="H8849" s="2" t="s">
        <v>1050</v>
      </c>
      <c r="L8849" s="18">
        <v>0</v>
      </c>
      <c r="Q8849" s="18">
        <v>0</v>
      </c>
      <c r="V8849" s="22">
        <f>2.84/5</f>
        <v>0.56799999999999995</v>
      </c>
      <c r="X8849" s="3">
        <v>2</v>
      </c>
      <c r="AB8849" s="18">
        <f t="shared" si="276"/>
        <v>1995</v>
      </c>
      <c r="AC8849" s="22">
        <f t="shared" si="277"/>
        <v>0.48399999999999999</v>
      </c>
    </row>
    <row r="8850" spans="1:29">
      <c r="A8850" s="8" t="s">
        <v>2592</v>
      </c>
      <c r="B8850" s="17" t="s">
        <v>7751</v>
      </c>
      <c r="C8850" s="12">
        <v>34943</v>
      </c>
      <c r="D8850" s="13" t="s">
        <v>8465</v>
      </c>
      <c r="E8850" s="10" t="s">
        <v>455</v>
      </c>
      <c r="F8850" s="10" t="s">
        <v>455</v>
      </c>
      <c r="H8850" s="2" t="s">
        <v>143</v>
      </c>
      <c r="L8850" s="18">
        <v>0</v>
      </c>
      <c r="Q8850" s="18">
        <v>0</v>
      </c>
      <c r="U8850" s="22">
        <v>0.39</v>
      </c>
      <c r="V8850" s="22">
        <f>3.18/5</f>
        <v>0.63600000000000001</v>
      </c>
      <c r="X8850" s="3">
        <v>2</v>
      </c>
      <c r="Z8850" s="23">
        <v>2.5</v>
      </c>
      <c r="AB8850" s="18">
        <f t="shared" si="276"/>
        <v>1995</v>
      </c>
      <c r="AC8850" s="22">
        <f t="shared" si="277"/>
        <v>0.47533333333333339</v>
      </c>
    </row>
    <row r="8851" spans="1:29">
      <c r="A8851" s="8" t="s">
        <v>14970</v>
      </c>
      <c r="B8851" s="17" t="s">
        <v>7752</v>
      </c>
      <c r="C8851" s="12">
        <v>34943</v>
      </c>
      <c r="D8851" s="13" t="s">
        <v>8465</v>
      </c>
      <c r="E8851" s="10" t="s">
        <v>455</v>
      </c>
      <c r="F8851" s="10" t="s">
        <v>455</v>
      </c>
      <c r="H8851" s="2" t="s">
        <v>64</v>
      </c>
      <c r="L8851" s="18">
        <v>0</v>
      </c>
      <c r="Q8851" s="18">
        <v>0</v>
      </c>
      <c r="V8851" s="22">
        <f>1.79/5</f>
        <v>0.35799999999999998</v>
      </c>
      <c r="X8851" s="3">
        <v>2</v>
      </c>
      <c r="Z8851" s="23">
        <v>2</v>
      </c>
      <c r="AB8851" s="18">
        <f t="shared" si="276"/>
        <v>1995</v>
      </c>
      <c r="AC8851" s="22">
        <f t="shared" si="277"/>
        <v>0.379</v>
      </c>
    </row>
    <row r="8852" spans="1:29">
      <c r="A8852" s="8" t="s">
        <v>6762</v>
      </c>
      <c r="B8852" s="17" t="s">
        <v>7800</v>
      </c>
      <c r="C8852" s="13">
        <v>34942</v>
      </c>
      <c r="D8852" s="13" t="s">
        <v>8465</v>
      </c>
      <c r="E8852" s="10" t="s">
        <v>231</v>
      </c>
      <c r="F8852" s="10" t="s">
        <v>1784</v>
      </c>
      <c r="G8852" s="11" t="s">
        <v>9621</v>
      </c>
      <c r="H8852" s="2" t="s">
        <v>143</v>
      </c>
      <c r="L8852" s="18">
        <v>0</v>
      </c>
      <c r="Q8852" s="18">
        <v>0</v>
      </c>
      <c r="U8852" s="22">
        <v>0.84</v>
      </c>
      <c r="V8852" s="22">
        <f>3.91/5</f>
        <v>0.78200000000000003</v>
      </c>
      <c r="X8852" s="3">
        <v>3</v>
      </c>
      <c r="Z8852" s="23">
        <v>16</v>
      </c>
      <c r="AB8852" s="18">
        <f t="shared" si="276"/>
        <v>1995</v>
      </c>
      <c r="AC8852" s="22">
        <f t="shared" si="277"/>
        <v>0.7406666666666667</v>
      </c>
    </row>
    <row r="8853" spans="1:29">
      <c r="A8853" s="8" t="s">
        <v>6769</v>
      </c>
      <c r="B8853" s="17" t="s">
        <v>7800</v>
      </c>
      <c r="C8853" s="13">
        <v>34942</v>
      </c>
      <c r="D8853" s="13" t="s">
        <v>8465</v>
      </c>
      <c r="E8853" s="10" t="s">
        <v>231</v>
      </c>
      <c r="F8853" s="10" t="s">
        <v>1265</v>
      </c>
      <c r="G8853" s="11" t="s">
        <v>1305</v>
      </c>
      <c r="H8853" s="2" t="s">
        <v>1267</v>
      </c>
      <c r="L8853" s="18">
        <v>0</v>
      </c>
      <c r="Q8853" s="18">
        <v>0</v>
      </c>
      <c r="U8853" s="22">
        <v>0.74</v>
      </c>
      <c r="V8853" s="22">
        <f>2.97/5</f>
        <v>0.59400000000000008</v>
      </c>
      <c r="X8853" s="3">
        <v>3</v>
      </c>
      <c r="Z8853" s="23">
        <v>9</v>
      </c>
      <c r="AB8853" s="18">
        <f t="shared" si="276"/>
        <v>1995</v>
      </c>
      <c r="AC8853" s="22">
        <f t="shared" si="277"/>
        <v>0.64466666666666672</v>
      </c>
    </row>
    <row r="8854" spans="1:29">
      <c r="A8854" s="8" t="s">
        <v>518</v>
      </c>
      <c r="B8854" s="17" t="s">
        <v>7731</v>
      </c>
      <c r="C8854" s="13">
        <v>34939</v>
      </c>
      <c r="D8854" s="13" t="s">
        <v>8465</v>
      </c>
      <c r="E8854" s="10" t="s">
        <v>170</v>
      </c>
      <c r="F8854" s="10" t="s">
        <v>71</v>
      </c>
      <c r="H8854" s="2" t="s">
        <v>21</v>
      </c>
      <c r="L8854" s="18">
        <v>0</v>
      </c>
      <c r="Q8854" s="18">
        <v>0</v>
      </c>
      <c r="V8854" s="22">
        <f>3.92/5</f>
        <v>0.78400000000000003</v>
      </c>
      <c r="X8854" s="3">
        <v>3</v>
      </c>
      <c r="Z8854" s="23">
        <v>1.5</v>
      </c>
      <c r="AB8854" s="18">
        <f t="shared" si="276"/>
        <v>1995</v>
      </c>
      <c r="AC8854" s="22">
        <f t="shared" si="277"/>
        <v>0.69199999999999995</v>
      </c>
    </row>
    <row r="8855" spans="1:29">
      <c r="A8855" s="8" t="s">
        <v>816</v>
      </c>
      <c r="B8855" s="17" t="s">
        <v>7736</v>
      </c>
      <c r="C8855" s="13">
        <v>34936</v>
      </c>
      <c r="D8855" s="13" t="s">
        <v>8463</v>
      </c>
      <c r="E8855" s="10" t="s">
        <v>1412</v>
      </c>
      <c r="F8855" s="10" t="s">
        <v>1412</v>
      </c>
      <c r="H8855" s="2" t="s">
        <v>143</v>
      </c>
      <c r="K8855" s="18">
        <v>2</v>
      </c>
      <c r="L8855" s="18">
        <v>0</v>
      </c>
      <c r="Q8855" s="18">
        <v>0</v>
      </c>
      <c r="V8855" s="22">
        <f>3.73/5</f>
        <v>0.746</v>
      </c>
      <c r="X8855" s="3">
        <v>4</v>
      </c>
      <c r="Z8855" s="23">
        <v>1.5</v>
      </c>
      <c r="AB8855" s="18">
        <f t="shared" si="276"/>
        <v>1995</v>
      </c>
      <c r="AC8855" s="22">
        <f t="shared" si="277"/>
        <v>0.77300000000000002</v>
      </c>
    </row>
    <row r="8856" spans="1:29" ht="25.5">
      <c r="A8856" s="8" t="s">
        <v>15484</v>
      </c>
      <c r="B8856" s="17" t="s">
        <v>7754</v>
      </c>
      <c r="C8856" s="13">
        <v>34934</v>
      </c>
      <c r="D8856" s="13" t="s">
        <v>8465</v>
      </c>
      <c r="E8856" s="10" t="s">
        <v>154</v>
      </c>
      <c r="F8856" s="10" t="s">
        <v>73</v>
      </c>
      <c r="G8856" s="11" t="s">
        <v>227</v>
      </c>
      <c r="H8856" s="2" t="s">
        <v>459</v>
      </c>
      <c r="L8856" s="18">
        <v>0</v>
      </c>
      <c r="Q8856" s="18">
        <v>0</v>
      </c>
      <c r="V8856" s="22">
        <f>2.51/5</f>
        <v>0.502</v>
      </c>
      <c r="X8856" s="3">
        <v>2</v>
      </c>
      <c r="Z8856" s="23">
        <f>56/60</f>
        <v>0.93333333333333335</v>
      </c>
      <c r="AB8856" s="18">
        <f t="shared" si="276"/>
        <v>1995</v>
      </c>
      <c r="AC8856" s="22">
        <f t="shared" si="277"/>
        <v>0.45100000000000001</v>
      </c>
    </row>
    <row r="8857" spans="1:29">
      <c r="A8857" s="8" t="s">
        <v>8039</v>
      </c>
      <c r="B8857" s="17" t="s">
        <v>6317</v>
      </c>
      <c r="C8857" s="13">
        <v>34927</v>
      </c>
      <c r="D8857" s="13" t="s">
        <v>8465</v>
      </c>
      <c r="E8857" s="10" t="s">
        <v>158</v>
      </c>
      <c r="F8857" s="10" t="s">
        <v>158</v>
      </c>
      <c r="G8857" s="11" t="s">
        <v>8037</v>
      </c>
      <c r="H8857" s="2" t="s">
        <v>150</v>
      </c>
      <c r="L8857" s="18">
        <v>0</v>
      </c>
      <c r="Q8857" s="18">
        <v>0</v>
      </c>
      <c r="V8857" s="22">
        <f>3.55/5</f>
        <v>0.71</v>
      </c>
      <c r="X8857" s="3">
        <v>2</v>
      </c>
      <c r="AB8857" s="18">
        <f t="shared" si="276"/>
        <v>1995</v>
      </c>
      <c r="AC8857" s="22">
        <f t="shared" si="277"/>
        <v>0.55499999999999994</v>
      </c>
    </row>
    <row r="8858" spans="1:29">
      <c r="A8858" s="8" t="s">
        <v>2679</v>
      </c>
      <c r="B8858" s="17" t="s">
        <v>7751</v>
      </c>
      <c r="C8858" s="13">
        <v>34926</v>
      </c>
      <c r="D8858" s="13" t="s">
        <v>8465</v>
      </c>
      <c r="E8858" s="10" t="s">
        <v>455</v>
      </c>
      <c r="F8858" s="10" t="s">
        <v>2680</v>
      </c>
      <c r="G8858" s="11" t="s">
        <v>2656</v>
      </c>
      <c r="H8858" s="2" t="s">
        <v>80</v>
      </c>
      <c r="L8858" s="18">
        <v>0</v>
      </c>
      <c r="Q8858" s="18">
        <v>0</v>
      </c>
      <c r="U8858" s="22">
        <v>0.51</v>
      </c>
      <c r="V8858" s="22">
        <f>3.09/5</f>
        <v>0.61799999999999999</v>
      </c>
      <c r="X8858" s="3">
        <v>2</v>
      </c>
      <c r="Z8858" s="23">
        <v>0.72</v>
      </c>
      <c r="AB8858" s="18">
        <f t="shared" si="276"/>
        <v>1995</v>
      </c>
      <c r="AC8858" s="22">
        <f t="shared" si="277"/>
        <v>0.5093333333333333</v>
      </c>
    </row>
    <row r="8859" spans="1:29">
      <c r="A8859" s="8" t="s">
        <v>1882</v>
      </c>
      <c r="B8859" s="17" t="s">
        <v>7738</v>
      </c>
      <c r="C8859" s="13">
        <v>34925</v>
      </c>
      <c r="D8859" s="13" t="s">
        <v>8465</v>
      </c>
      <c r="E8859" s="10" t="s">
        <v>86</v>
      </c>
      <c r="F8859" s="10" t="s">
        <v>142</v>
      </c>
      <c r="G8859" s="11" t="s">
        <v>877</v>
      </c>
      <c r="H8859" s="2" t="s">
        <v>255</v>
      </c>
      <c r="L8859" s="18">
        <v>0</v>
      </c>
      <c r="Q8859" s="18">
        <v>0</v>
      </c>
      <c r="V8859" s="22">
        <f>3.16/5</f>
        <v>0.63200000000000001</v>
      </c>
      <c r="X8859" s="3">
        <v>3</v>
      </c>
      <c r="Z8859" s="23">
        <v>1</v>
      </c>
      <c r="AB8859" s="18">
        <f t="shared" si="276"/>
        <v>1995</v>
      </c>
      <c r="AC8859" s="22">
        <f t="shared" si="277"/>
        <v>0.61599999999999999</v>
      </c>
    </row>
    <row r="8860" spans="1:29">
      <c r="A8860" s="8" t="s">
        <v>846</v>
      </c>
      <c r="B8860" s="17" t="s">
        <v>7738</v>
      </c>
      <c r="C8860" s="13">
        <v>34925</v>
      </c>
      <c r="D8860" s="13" t="s">
        <v>8465</v>
      </c>
      <c r="E8860" s="10" t="s">
        <v>86</v>
      </c>
      <c r="F8860" s="10" t="s">
        <v>1427</v>
      </c>
      <c r="H8860" s="2" t="s">
        <v>1170</v>
      </c>
      <c r="L8860" s="18">
        <v>0</v>
      </c>
      <c r="Q8860" s="18">
        <v>0</v>
      </c>
      <c r="V8860" s="22">
        <f>3.2/5</f>
        <v>0.64</v>
      </c>
      <c r="X8860" s="3">
        <v>2</v>
      </c>
      <c r="AB8860" s="18">
        <f t="shared" si="276"/>
        <v>1995</v>
      </c>
      <c r="AC8860" s="22">
        <f t="shared" si="277"/>
        <v>0.52</v>
      </c>
    </row>
    <row r="8861" spans="1:29">
      <c r="A8861" s="8" t="s">
        <v>15984</v>
      </c>
      <c r="B8861" s="17" t="s">
        <v>7738</v>
      </c>
      <c r="C8861" s="13">
        <v>34925</v>
      </c>
      <c r="D8861" s="13" t="s">
        <v>8465</v>
      </c>
      <c r="E8861" s="10" t="s">
        <v>86</v>
      </c>
      <c r="F8861" s="10" t="s">
        <v>1069</v>
      </c>
      <c r="H8861" s="2" t="s">
        <v>1383</v>
      </c>
      <c r="L8861" s="18">
        <v>0</v>
      </c>
      <c r="Q8861" s="18">
        <v>0</v>
      </c>
      <c r="V8861" s="22">
        <f>3.36/5</f>
        <v>0.67199999999999993</v>
      </c>
      <c r="X8861" s="3">
        <v>2</v>
      </c>
      <c r="Z8861" s="23">
        <f>53/60</f>
        <v>0.8833333333333333</v>
      </c>
      <c r="AB8861" s="18">
        <f t="shared" si="276"/>
        <v>1995</v>
      </c>
      <c r="AC8861" s="22">
        <f t="shared" si="277"/>
        <v>0.53600000000000003</v>
      </c>
    </row>
    <row r="8862" spans="1:29">
      <c r="A8862" s="8" t="s">
        <v>15986</v>
      </c>
      <c r="B8862" s="17" t="s">
        <v>7738</v>
      </c>
      <c r="C8862" s="13">
        <v>34925</v>
      </c>
      <c r="D8862" s="13" t="s">
        <v>8465</v>
      </c>
      <c r="E8862" s="10" t="s">
        <v>86</v>
      </c>
      <c r="F8862" s="10" t="s">
        <v>142</v>
      </c>
      <c r="H8862" s="2" t="s">
        <v>459</v>
      </c>
      <c r="L8862" s="18">
        <v>0</v>
      </c>
      <c r="Q8862" s="18">
        <v>0</v>
      </c>
      <c r="V8862" s="22">
        <f>3.19/5</f>
        <v>0.63800000000000001</v>
      </c>
      <c r="X8862" s="3">
        <v>2</v>
      </c>
      <c r="Z8862" s="23">
        <f>53/60</f>
        <v>0.8833333333333333</v>
      </c>
      <c r="AB8862" s="18">
        <f t="shared" si="276"/>
        <v>1995</v>
      </c>
      <c r="AC8862" s="22">
        <f t="shared" si="277"/>
        <v>0.51900000000000002</v>
      </c>
    </row>
    <row r="8863" spans="1:29">
      <c r="A8863" s="8" t="s">
        <v>13337</v>
      </c>
      <c r="B8863" s="17" t="s">
        <v>7790</v>
      </c>
      <c r="C8863" s="13">
        <v>34922</v>
      </c>
      <c r="D8863" s="13" t="s">
        <v>8463</v>
      </c>
      <c r="E8863" s="10" t="s">
        <v>2870</v>
      </c>
      <c r="F8863" s="10" t="s">
        <v>10824</v>
      </c>
      <c r="H8863" s="2" t="s">
        <v>67</v>
      </c>
      <c r="K8863" s="18">
        <v>2</v>
      </c>
      <c r="L8863" s="18">
        <v>0</v>
      </c>
      <c r="Q8863" s="18">
        <v>0</v>
      </c>
      <c r="V8863" s="22">
        <f>3.81/5</f>
        <v>0.76200000000000001</v>
      </c>
      <c r="X8863" s="3">
        <v>2</v>
      </c>
      <c r="Z8863" s="23">
        <v>15.5</v>
      </c>
      <c r="AB8863" s="18">
        <f t="shared" si="276"/>
        <v>1995</v>
      </c>
      <c r="AC8863" s="22">
        <f t="shared" si="277"/>
        <v>0.58099999999999996</v>
      </c>
    </row>
    <row r="8864" spans="1:29">
      <c r="A8864" s="8" t="s">
        <v>843</v>
      </c>
      <c r="B8864" s="17" t="s">
        <v>7737</v>
      </c>
      <c r="C8864" s="13">
        <v>34917</v>
      </c>
      <c r="D8864" s="13" t="s">
        <v>8463</v>
      </c>
      <c r="E8864" s="10" t="s">
        <v>1431</v>
      </c>
      <c r="F8864" s="10" t="s">
        <v>1432</v>
      </c>
      <c r="G8864" s="11" t="s">
        <v>85</v>
      </c>
      <c r="H8864" s="2" t="s">
        <v>80</v>
      </c>
      <c r="K8864" s="18">
        <v>2</v>
      </c>
      <c r="L8864" s="18">
        <v>0</v>
      </c>
      <c r="Q8864" s="18">
        <v>0</v>
      </c>
      <c r="V8864" s="22">
        <f>3.8/5</f>
        <v>0.76</v>
      </c>
      <c r="X8864" s="3">
        <v>4</v>
      </c>
      <c r="Z8864" s="23">
        <v>3.5</v>
      </c>
      <c r="AB8864" s="18">
        <f t="shared" si="276"/>
        <v>1995</v>
      </c>
      <c r="AC8864" s="22">
        <f t="shared" si="277"/>
        <v>0.78</v>
      </c>
    </row>
    <row r="8865" spans="1:29" ht="38.25">
      <c r="A8865" s="8" t="s">
        <v>13274</v>
      </c>
      <c r="B8865" s="17" t="s">
        <v>7756</v>
      </c>
      <c r="C8865" s="13">
        <v>34915</v>
      </c>
      <c r="D8865" s="13" t="s">
        <v>8463</v>
      </c>
      <c r="E8865" s="10" t="s">
        <v>455</v>
      </c>
      <c r="F8865" s="10" t="s">
        <v>455</v>
      </c>
      <c r="G8865" s="11" t="s">
        <v>777</v>
      </c>
      <c r="H8865" s="2" t="s">
        <v>149</v>
      </c>
      <c r="K8865" s="18">
        <v>1</v>
      </c>
      <c r="L8865" s="18">
        <v>0</v>
      </c>
      <c r="Q8865" s="18">
        <v>0</v>
      </c>
      <c r="V8865" s="22">
        <f>3.41/5</f>
        <v>0.68200000000000005</v>
      </c>
      <c r="X8865" s="3">
        <v>2</v>
      </c>
      <c r="AB8865" s="18">
        <f t="shared" si="276"/>
        <v>1995</v>
      </c>
      <c r="AC8865" s="22">
        <f t="shared" si="277"/>
        <v>0.54100000000000004</v>
      </c>
    </row>
    <row r="8866" spans="1:29">
      <c r="A8866" s="8" t="s">
        <v>753</v>
      </c>
      <c r="B8866" s="17" t="s">
        <v>7736</v>
      </c>
      <c r="C8866" s="13">
        <v>34915</v>
      </c>
      <c r="D8866" s="13" t="s">
        <v>8463</v>
      </c>
      <c r="E8866" s="10" t="s">
        <v>1326</v>
      </c>
      <c r="F8866" s="10" t="s">
        <v>1318</v>
      </c>
      <c r="H8866" s="2" t="s">
        <v>149</v>
      </c>
      <c r="K8866" s="18">
        <v>2</v>
      </c>
      <c r="L8866" s="18">
        <v>0</v>
      </c>
      <c r="Q8866" s="18">
        <v>0</v>
      </c>
      <c r="U8866" s="22">
        <v>0.4</v>
      </c>
      <c r="V8866" s="22">
        <f>3.62/5</f>
        <v>0.72399999999999998</v>
      </c>
      <c r="X8866" s="3">
        <v>2</v>
      </c>
      <c r="Z8866" s="23">
        <v>27</v>
      </c>
      <c r="AB8866" s="18">
        <f t="shared" si="276"/>
        <v>1995</v>
      </c>
      <c r="AC8866" s="22">
        <f t="shared" si="277"/>
        <v>0.50800000000000001</v>
      </c>
    </row>
    <row r="8867" spans="1:29">
      <c r="A8867" s="8" t="s">
        <v>2610</v>
      </c>
      <c r="B8867" s="17" t="s">
        <v>7751</v>
      </c>
      <c r="C8867" s="13">
        <v>34913</v>
      </c>
      <c r="D8867" s="13" t="s">
        <v>8465</v>
      </c>
      <c r="E8867" s="10" t="s">
        <v>455</v>
      </c>
      <c r="F8867" s="10" t="s">
        <v>455</v>
      </c>
      <c r="H8867" s="2" t="s">
        <v>153</v>
      </c>
      <c r="L8867" s="18">
        <v>0</v>
      </c>
      <c r="Q8867" s="18">
        <v>0</v>
      </c>
      <c r="U8867" s="22">
        <v>0.76</v>
      </c>
      <c r="V8867" s="22">
        <f>3.92/5</f>
        <v>0.78400000000000003</v>
      </c>
      <c r="X8867" s="3">
        <v>4</v>
      </c>
      <c r="Z8867" s="23">
        <v>2</v>
      </c>
      <c r="AB8867" s="18">
        <f t="shared" si="276"/>
        <v>1995</v>
      </c>
      <c r="AC8867" s="22">
        <f t="shared" si="277"/>
        <v>0.78133333333333344</v>
      </c>
    </row>
    <row r="8868" spans="1:29" ht="25.5">
      <c r="A8868" s="8" t="s">
        <v>10607</v>
      </c>
      <c r="B8868" s="17" t="s">
        <v>7800</v>
      </c>
      <c r="C8868" s="12">
        <v>34912</v>
      </c>
      <c r="D8868" s="13" t="s">
        <v>8465</v>
      </c>
      <c r="E8868" s="10" t="s">
        <v>1690</v>
      </c>
      <c r="F8868" s="10" t="s">
        <v>1690</v>
      </c>
      <c r="G8868" s="11" t="s">
        <v>10608</v>
      </c>
      <c r="H8868" s="2" t="s">
        <v>1050</v>
      </c>
      <c r="L8868" s="18">
        <v>0</v>
      </c>
      <c r="Q8868" s="18">
        <v>0</v>
      </c>
      <c r="V8868" s="22">
        <f>3.72/5</f>
        <v>0.74399999999999999</v>
      </c>
      <c r="X8868" s="3">
        <v>2</v>
      </c>
      <c r="Z8868" s="23">
        <v>15.5</v>
      </c>
      <c r="AB8868" s="18">
        <f t="shared" si="276"/>
        <v>1995</v>
      </c>
      <c r="AC8868" s="22">
        <f t="shared" si="277"/>
        <v>0.57200000000000006</v>
      </c>
    </row>
    <row r="8869" spans="1:29">
      <c r="A8869" s="8" t="s">
        <v>11782</v>
      </c>
      <c r="B8869" s="17" t="s">
        <v>7754</v>
      </c>
      <c r="C8869" s="12">
        <v>34912</v>
      </c>
      <c r="D8869" s="13" t="s">
        <v>8465</v>
      </c>
      <c r="E8869" s="10" t="s">
        <v>455</v>
      </c>
      <c r="F8869" s="10" t="s">
        <v>11783</v>
      </c>
      <c r="G8869" s="11" t="s">
        <v>11782</v>
      </c>
      <c r="H8869" s="2" t="s">
        <v>64</v>
      </c>
      <c r="L8869" s="18">
        <v>0</v>
      </c>
      <c r="Q8869" s="18">
        <v>0</v>
      </c>
      <c r="V8869" s="22">
        <f>3.21/5</f>
        <v>0.64200000000000002</v>
      </c>
      <c r="X8869" s="3">
        <v>3</v>
      </c>
      <c r="Z8869" s="23">
        <v>4</v>
      </c>
      <c r="AB8869" s="18">
        <f t="shared" si="276"/>
        <v>1995</v>
      </c>
      <c r="AC8869" s="22">
        <f t="shared" si="277"/>
        <v>0.621</v>
      </c>
    </row>
    <row r="8870" spans="1:29" ht="30">
      <c r="A8870" s="8" t="s">
        <v>13513</v>
      </c>
      <c r="B8870" s="17" t="s">
        <v>7800</v>
      </c>
      <c r="C8870" s="12">
        <v>34912</v>
      </c>
      <c r="D8870" s="13" t="s">
        <v>8465</v>
      </c>
      <c r="E8870" s="10" t="s">
        <v>1281</v>
      </c>
      <c r="F8870" s="10" t="s">
        <v>13514</v>
      </c>
      <c r="H8870" s="2" t="s">
        <v>67</v>
      </c>
      <c r="L8870" s="18">
        <v>0</v>
      </c>
      <c r="Q8870" s="18">
        <v>0</v>
      </c>
      <c r="V8870" s="22">
        <f>4.07/5</f>
        <v>0.81400000000000006</v>
      </c>
      <c r="X8870" s="3">
        <v>2</v>
      </c>
      <c r="AB8870" s="18">
        <f t="shared" si="276"/>
        <v>1995</v>
      </c>
      <c r="AC8870" s="22">
        <f t="shared" si="277"/>
        <v>0.60699999999999998</v>
      </c>
    </row>
    <row r="8871" spans="1:29">
      <c r="A8871" s="8" t="s">
        <v>14330</v>
      </c>
      <c r="B8871" s="17" t="s">
        <v>7792</v>
      </c>
      <c r="C8871" s="13">
        <v>34912</v>
      </c>
      <c r="D8871" s="13" t="s">
        <v>8465</v>
      </c>
      <c r="E8871" s="10" t="s">
        <v>1201</v>
      </c>
      <c r="F8871" s="10" t="s">
        <v>5542</v>
      </c>
      <c r="H8871" s="2" t="s">
        <v>78</v>
      </c>
      <c r="L8871" s="18">
        <v>0</v>
      </c>
      <c r="Q8871" s="18">
        <v>0</v>
      </c>
      <c r="V8871" s="22">
        <f>3.25/5</f>
        <v>0.65</v>
      </c>
      <c r="X8871" s="3">
        <v>2</v>
      </c>
      <c r="Z8871" s="23">
        <v>1.5</v>
      </c>
      <c r="AB8871" s="18">
        <f t="shared" si="276"/>
        <v>1995</v>
      </c>
      <c r="AC8871" s="22">
        <f t="shared" si="277"/>
        <v>0.52500000000000002</v>
      </c>
    </row>
    <row r="8872" spans="1:29">
      <c r="A8872" s="8" t="s">
        <v>344</v>
      </c>
      <c r="B8872" s="17" t="s">
        <v>6317</v>
      </c>
      <c r="C8872" s="12">
        <v>34912</v>
      </c>
      <c r="D8872" s="13" t="s">
        <v>8465</v>
      </c>
      <c r="E8872" s="10" t="s">
        <v>72</v>
      </c>
      <c r="F8872" s="10" t="s">
        <v>72</v>
      </c>
      <c r="H8872" s="2" t="s">
        <v>459</v>
      </c>
      <c r="L8872" s="18">
        <v>0</v>
      </c>
      <c r="Q8872" s="18">
        <v>0</v>
      </c>
      <c r="V8872" s="22">
        <f>3.2/5</f>
        <v>0.64</v>
      </c>
      <c r="X8872" s="3">
        <v>2</v>
      </c>
      <c r="Z8872" s="23">
        <v>0.25</v>
      </c>
      <c r="AB8872" s="18">
        <f t="shared" si="276"/>
        <v>1995</v>
      </c>
      <c r="AC8872" s="22">
        <f t="shared" si="277"/>
        <v>0.52</v>
      </c>
    </row>
    <row r="8873" spans="1:29">
      <c r="A8873" s="8" t="s">
        <v>15897</v>
      </c>
      <c r="B8873" s="17" t="s">
        <v>7736</v>
      </c>
      <c r="C8873" s="13">
        <v>34912</v>
      </c>
      <c r="D8873" s="13" t="s">
        <v>8465</v>
      </c>
      <c r="E8873" s="10" t="s">
        <v>154</v>
      </c>
      <c r="F8873" s="10" t="s">
        <v>14882</v>
      </c>
      <c r="G8873" s="11" t="s">
        <v>207</v>
      </c>
      <c r="H8873" s="2" t="s">
        <v>153</v>
      </c>
      <c r="L8873" s="18">
        <v>0</v>
      </c>
      <c r="Q8873" s="18">
        <v>0</v>
      </c>
      <c r="V8873" s="22">
        <f>2.03/5</f>
        <v>0.40599999999999997</v>
      </c>
      <c r="X8873" s="3">
        <v>2</v>
      </c>
      <c r="Z8873" s="23">
        <v>3</v>
      </c>
      <c r="AB8873" s="18">
        <f t="shared" si="276"/>
        <v>1995</v>
      </c>
      <c r="AC8873" s="22">
        <f t="shared" si="277"/>
        <v>0.40300000000000002</v>
      </c>
    </row>
    <row r="8874" spans="1:29">
      <c r="A8874" s="8" t="s">
        <v>8640</v>
      </c>
      <c r="B8874" s="17" t="s">
        <v>7800</v>
      </c>
      <c r="C8874" s="13">
        <v>34911</v>
      </c>
      <c r="D8874" s="13" t="s">
        <v>8465</v>
      </c>
      <c r="E8874" s="10" t="s">
        <v>1273</v>
      </c>
      <c r="F8874" s="10" t="s">
        <v>3978</v>
      </c>
      <c r="G8874" s="11" t="s">
        <v>8640</v>
      </c>
      <c r="H8874" s="2" t="s">
        <v>1194</v>
      </c>
      <c r="L8874" s="18">
        <v>1</v>
      </c>
      <c r="N8874" s="13">
        <v>43956</v>
      </c>
      <c r="O8874" s="29">
        <v>0</v>
      </c>
      <c r="P8874" s="18" t="s">
        <v>1107</v>
      </c>
      <c r="Q8874" s="18">
        <v>0</v>
      </c>
      <c r="V8874" s="22">
        <f>3.64/5</f>
        <v>0.72799999999999998</v>
      </c>
      <c r="W8874" s="14" t="s">
        <v>7777</v>
      </c>
      <c r="X8874" s="3">
        <v>3</v>
      </c>
      <c r="Z8874" s="23">
        <v>6.5</v>
      </c>
      <c r="AB8874" s="18">
        <f t="shared" si="276"/>
        <v>1995</v>
      </c>
      <c r="AC8874" s="22">
        <f t="shared" si="277"/>
        <v>0.66399999999999992</v>
      </c>
    </row>
    <row r="8875" spans="1:29">
      <c r="A8875" s="8" t="s">
        <v>16039</v>
      </c>
      <c r="B8875" s="17" t="s">
        <v>7800</v>
      </c>
      <c r="C8875" s="13">
        <v>34911</v>
      </c>
      <c r="D8875" s="13" t="s">
        <v>8465</v>
      </c>
      <c r="E8875" s="10" t="s">
        <v>7826</v>
      </c>
      <c r="F8875" s="10" t="s">
        <v>16040</v>
      </c>
      <c r="G8875" s="11" t="s">
        <v>16035</v>
      </c>
      <c r="H8875" s="2" t="s">
        <v>31</v>
      </c>
      <c r="L8875" s="18">
        <v>0</v>
      </c>
      <c r="Q8875" s="18">
        <v>0</v>
      </c>
      <c r="V8875" s="22">
        <f>3.06/5</f>
        <v>0.61199999999999999</v>
      </c>
      <c r="X8875" s="3">
        <v>2</v>
      </c>
      <c r="Z8875" s="23">
        <v>6</v>
      </c>
      <c r="AB8875" s="18">
        <f t="shared" si="276"/>
        <v>1995</v>
      </c>
      <c r="AC8875" s="22">
        <f t="shared" si="277"/>
        <v>0.50600000000000001</v>
      </c>
    </row>
    <row r="8876" spans="1:29">
      <c r="A8876" s="8" t="s">
        <v>752</v>
      </c>
      <c r="B8876" s="17" t="s">
        <v>7736</v>
      </c>
      <c r="C8876" s="13">
        <v>34908</v>
      </c>
      <c r="D8876" s="13" t="s">
        <v>8463</v>
      </c>
      <c r="E8876" s="10" t="s">
        <v>62</v>
      </c>
      <c r="F8876" s="10" t="s">
        <v>1318</v>
      </c>
      <c r="G8876" s="11" t="s">
        <v>1319</v>
      </c>
      <c r="H8876" s="2" t="s">
        <v>64</v>
      </c>
      <c r="K8876" s="18">
        <v>1</v>
      </c>
      <c r="L8876" s="18">
        <v>0</v>
      </c>
      <c r="Q8876" s="18">
        <v>0</v>
      </c>
      <c r="U8876" s="22">
        <v>0.9</v>
      </c>
      <c r="V8876" s="22">
        <f>3.62/5</f>
        <v>0.72399999999999998</v>
      </c>
      <c r="X8876" s="3">
        <v>3</v>
      </c>
      <c r="Z8876" s="23">
        <v>3</v>
      </c>
      <c r="AB8876" s="18">
        <f t="shared" si="276"/>
        <v>1995</v>
      </c>
      <c r="AC8876" s="22">
        <f t="shared" si="277"/>
        <v>0.7413333333333334</v>
      </c>
    </row>
    <row r="8877" spans="1:29">
      <c r="A8877" s="8" t="s">
        <v>762</v>
      </c>
      <c r="B8877" s="17" t="s">
        <v>7736</v>
      </c>
      <c r="C8877" s="13">
        <v>34908</v>
      </c>
      <c r="D8877" s="13" t="s">
        <v>8463</v>
      </c>
      <c r="E8877" s="10" t="s">
        <v>1374</v>
      </c>
      <c r="F8877" s="10" t="s">
        <v>1375</v>
      </c>
      <c r="H8877" s="2" t="s">
        <v>149</v>
      </c>
      <c r="K8877" s="18">
        <v>2</v>
      </c>
      <c r="L8877" s="18">
        <v>0</v>
      </c>
      <c r="Q8877" s="18">
        <v>0</v>
      </c>
      <c r="U8877" s="22">
        <v>0.7</v>
      </c>
      <c r="V8877" s="22">
        <f>3.67/5</f>
        <v>0.73399999999999999</v>
      </c>
      <c r="X8877" s="3">
        <v>3</v>
      </c>
      <c r="Z8877" s="23">
        <v>15.5</v>
      </c>
      <c r="AB8877" s="18">
        <f t="shared" si="276"/>
        <v>1995</v>
      </c>
      <c r="AC8877" s="22">
        <f t="shared" si="277"/>
        <v>0.67799999999999994</v>
      </c>
    </row>
    <row r="8878" spans="1:29" ht="25.5">
      <c r="A8878" s="8" t="s">
        <v>7542</v>
      </c>
      <c r="B8878" s="17" t="s">
        <v>7800</v>
      </c>
      <c r="C8878" s="13">
        <v>34904</v>
      </c>
      <c r="D8878" s="13" t="s">
        <v>8465</v>
      </c>
      <c r="E8878" s="10" t="s">
        <v>1273</v>
      </c>
      <c r="F8878" s="10" t="s">
        <v>1273</v>
      </c>
      <c r="G8878" s="11" t="s">
        <v>1433</v>
      </c>
      <c r="H8878" s="2" t="s">
        <v>1204</v>
      </c>
      <c r="L8878" s="18">
        <v>0</v>
      </c>
      <c r="Q8878" s="18">
        <v>0</v>
      </c>
      <c r="V8878" s="22">
        <f>3.95/5</f>
        <v>0.79</v>
      </c>
      <c r="X8878" s="3">
        <v>3</v>
      </c>
      <c r="Z8878" s="23">
        <v>8</v>
      </c>
      <c r="AB8878" s="18">
        <f t="shared" si="276"/>
        <v>1995</v>
      </c>
      <c r="AC8878" s="22">
        <f t="shared" si="277"/>
        <v>0.69500000000000006</v>
      </c>
    </row>
    <row r="8879" spans="1:29" ht="30">
      <c r="A8879" s="8" t="s">
        <v>10923</v>
      </c>
      <c r="B8879" s="17" t="s">
        <v>10323</v>
      </c>
      <c r="C8879" s="13">
        <v>34901</v>
      </c>
      <c r="D8879" s="13" t="s">
        <v>8463</v>
      </c>
      <c r="E8879" s="10" t="s">
        <v>10919</v>
      </c>
      <c r="F8879" s="10" t="s">
        <v>10919</v>
      </c>
      <c r="G8879" s="11" t="s">
        <v>10920</v>
      </c>
      <c r="H8879" s="2" t="s">
        <v>75</v>
      </c>
      <c r="K8879" s="18">
        <v>2</v>
      </c>
      <c r="L8879" s="18">
        <v>0</v>
      </c>
      <c r="Q8879" s="18">
        <v>0</v>
      </c>
      <c r="V8879" s="22">
        <f>4/5</f>
        <v>0.8</v>
      </c>
      <c r="X8879" s="3">
        <v>2</v>
      </c>
      <c r="AB8879" s="18">
        <f t="shared" si="276"/>
        <v>1995</v>
      </c>
      <c r="AC8879" s="22">
        <f t="shared" si="277"/>
        <v>0.60000000000000009</v>
      </c>
    </row>
    <row r="8880" spans="1:29">
      <c r="A8880" s="8" t="s">
        <v>2948</v>
      </c>
      <c r="B8880" s="17" t="s">
        <v>7757</v>
      </c>
      <c r="C8880" s="13">
        <v>34901</v>
      </c>
      <c r="D8880" s="13" t="s">
        <v>8463</v>
      </c>
      <c r="E8880" s="10" t="s">
        <v>1297</v>
      </c>
      <c r="F8880" s="10" t="s">
        <v>1297</v>
      </c>
      <c r="H8880" s="2" t="s">
        <v>153</v>
      </c>
      <c r="K8880" s="18">
        <v>2</v>
      </c>
      <c r="L8880" s="18">
        <v>0</v>
      </c>
      <c r="Q8880" s="18">
        <v>0</v>
      </c>
      <c r="V8880" s="22">
        <f>3.65/5</f>
        <v>0.73</v>
      </c>
      <c r="X8880" s="3">
        <v>2</v>
      </c>
      <c r="Z8880" s="23">
        <v>1.5</v>
      </c>
      <c r="AB8880" s="18">
        <f t="shared" si="276"/>
        <v>1995</v>
      </c>
      <c r="AC8880" s="22">
        <f t="shared" si="277"/>
        <v>0.56499999999999995</v>
      </c>
    </row>
    <row r="8881" spans="1:29">
      <c r="A8881" s="8" t="s">
        <v>738</v>
      </c>
      <c r="B8881" s="17" t="s">
        <v>7736</v>
      </c>
      <c r="C8881" s="13">
        <v>34901</v>
      </c>
      <c r="D8881" s="13" t="s">
        <v>8463</v>
      </c>
      <c r="E8881" s="10" t="s">
        <v>470</v>
      </c>
      <c r="F8881" s="10" t="s">
        <v>470</v>
      </c>
      <c r="G8881" s="11" t="s">
        <v>737</v>
      </c>
      <c r="H8881" s="2" t="s">
        <v>56</v>
      </c>
      <c r="K8881" s="18">
        <v>2</v>
      </c>
      <c r="L8881" s="18">
        <v>0</v>
      </c>
      <c r="Q8881" s="18">
        <v>0</v>
      </c>
      <c r="V8881" s="22">
        <f>3.34/5</f>
        <v>0.66799999999999993</v>
      </c>
      <c r="X8881" s="3">
        <v>2</v>
      </c>
      <c r="Z8881" s="23">
        <v>3</v>
      </c>
      <c r="AB8881" s="18">
        <f t="shared" si="276"/>
        <v>1995</v>
      </c>
      <c r="AC8881" s="22">
        <f t="shared" si="277"/>
        <v>0.53400000000000003</v>
      </c>
    </row>
    <row r="8882" spans="1:29">
      <c r="A8882" s="8" t="s">
        <v>835</v>
      </c>
      <c r="B8882" s="17" t="s">
        <v>7736</v>
      </c>
      <c r="C8882" s="13">
        <v>34894</v>
      </c>
      <c r="D8882" s="13" t="s">
        <v>8463</v>
      </c>
      <c r="E8882" s="10" t="s">
        <v>257</v>
      </c>
      <c r="F8882" s="10" t="s">
        <v>1291</v>
      </c>
      <c r="H8882" s="2" t="s">
        <v>149</v>
      </c>
      <c r="K8882" s="18">
        <v>2</v>
      </c>
      <c r="L8882" s="18">
        <v>0</v>
      </c>
      <c r="Q8882" s="18">
        <v>0</v>
      </c>
      <c r="V8882" s="22">
        <f>3.88/5</f>
        <v>0.77600000000000002</v>
      </c>
      <c r="X8882" s="3">
        <v>4</v>
      </c>
      <c r="Z8882" s="23">
        <v>31</v>
      </c>
      <c r="AB8882" s="18">
        <f t="shared" si="276"/>
        <v>1995</v>
      </c>
      <c r="AC8882" s="22">
        <f t="shared" si="277"/>
        <v>0.78800000000000003</v>
      </c>
    </row>
    <row r="8883" spans="1:29">
      <c r="A8883" s="8" t="s">
        <v>774</v>
      </c>
      <c r="B8883" s="17" t="s">
        <v>7736</v>
      </c>
      <c r="C8883" s="13">
        <v>34894</v>
      </c>
      <c r="D8883" s="13" t="s">
        <v>8463</v>
      </c>
      <c r="E8883" s="10" t="s">
        <v>250</v>
      </c>
      <c r="F8883" s="10" t="s">
        <v>250</v>
      </c>
      <c r="G8883" s="11" t="s">
        <v>12429</v>
      </c>
      <c r="H8883" s="2" t="s">
        <v>149</v>
      </c>
      <c r="K8883" s="18">
        <v>2</v>
      </c>
      <c r="L8883" s="18">
        <v>0</v>
      </c>
      <c r="Q8883" s="18">
        <v>0</v>
      </c>
      <c r="V8883" s="22">
        <f>3.41/5</f>
        <v>0.68200000000000005</v>
      </c>
      <c r="X8883" s="3">
        <v>2</v>
      </c>
      <c r="Z8883" s="23">
        <v>27</v>
      </c>
      <c r="AB8883" s="18">
        <f t="shared" si="276"/>
        <v>1995</v>
      </c>
      <c r="AC8883" s="22">
        <f t="shared" si="277"/>
        <v>0.54100000000000004</v>
      </c>
    </row>
    <row r="8884" spans="1:29">
      <c r="A8884" s="8" t="s">
        <v>14218</v>
      </c>
      <c r="B8884" s="17" t="s">
        <v>7792</v>
      </c>
      <c r="C8884" s="13">
        <v>34894</v>
      </c>
      <c r="D8884" s="13" t="s">
        <v>8463</v>
      </c>
      <c r="E8884" s="10" t="s">
        <v>2736</v>
      </c>
      <c r="F8884" s="10" t="s">
        <v>2736</v>
      </c>
      <c r="H8884" s="2" t="s">
        <v>1469</v>
      </c>
      <c r="K8884" s="18">
        <v>2</v>
      </c>
      <c r="L8884" s="18">
        <v>0</v>
      </c>
      <c r="Q8884" s="18">
        <v>0</v>
      </c>
      <c r="X8884" s="3">
        <v>2</v>
      </c>
      <c r="AB8884" s="18">
        <f t="shared" si="276"/>
        <v>1995</v>
      </c>
      <c r="AC8884" s="22">
        <f t="shared" si="277"/>
        <v>0.4</v>
      </c>
    </row>
    <row r="8885" spans="1:29" ht="38.25">
      <c r="A8885" s="8" t="s">
        <v>6815</v>
      </c>
      <c r="B8885" s="17" t="s">
        <v>7800</v>
      </c>
      <c r="C8885" s="13">
        <v>34891</v>
      </c>
      <c r="D8885" s="13" t="s">
        <v>8465</v>
      </c>
      <c r="E8885" s="10" t="s">
        <v>1496</v>
      </c>
      <c r="F8885" s="10" t="s">
        <v>1496</v>
      </c>
      <c r="G8885" s="11" t="s">
        <v>6903</v>
      </c>
      <c r="H8885" s="2" t="s">
        <v>67</v>
      </c>
      <c r="L8885" s="18">
        <v>1</v>
      </c>
      <c r="N8885" s="13">
        <v>43956</v>
      </c>
      <c r="O8885" s="29">
        <v>0</v>
      </c>
      <c r="P8885" s="18" t="s">
        <v>1107</v>
      </c>
      <c r="Q8885" s="18">
        <v>0</v>
      </c>
      <c r="U8885" s="22">
        <v>0.72</v>
      </c>
      <c r="V8885" s="22">
        <f>3.64/5</f>
        <v>0.72799999999999998</v>
      </c>
      <c r="W8885" s="14" t="s">
        <v>7777</v>
      </c>
      <c r="X8885" s="3">
        <v>3</v>
      </c>
      <c r="Z8885" s="23">
        <v>6.5</v>
      </c>
      <c r="AB8885" s="18">
        <f t="shared" si="276"/>
        <v>1995</v>
      </c>
      <c r="AC8885" s="22">
        <f t="shared" si="277"/>
        <v>0.68266666666666664</v>
      </c>
    </row>
    <row r="8886" spans="1:29">
      <c r="A8886" s="8" t="s">
        <v>9839</v>
      </c>
      <c r="B8886" s="17" t="s">
        <v>7736</v>
      </c>
      <c r="C8886" s="13">
        <v>34887</v>
      </c>
      <c r="D8886" s="13" t="s">
        <v>8463</v>
      </c>
      <c r="E8886" s="10" t="s">
        <v>9840</v>
      </c>
      <c r="F8886" s="10" t="s">
        <v>9840</v>
      </c>
      <c r="H8886" s="2" t="s">
        <v>149</v>
      </c>
      <c r="K8886" s="18">
        <v>2</v>
      </c>
      <c r="L8886" s="18">
        <v>0</v>
      </c>
      <c r="Q8886" s="18">
        <v>0</v>
      </c>
      <c r="V8886" s="22">
        <f>2.81/5</f>
        <v>0.56200000000000006</v>
      </c>
      <c r="X8886" s="3">
        <v>2</v>
      </c>
      <c r="AB8886" s="18">
        <f t="shared" si="276"/>
        <v>1995</v>
      </c>
      <c r="AC8886" s="22">
        <f t="shared" si="277"/>
        <v>0.48100000000000004</v>
      </c>
    </row>
    <row r="8887" spans="1:29">
      <c r="A8887" s="8" t="s">
        <v>697</v>
      </c>
      <c r="B8887" s="17" t="s">
        <v>7736</v>
      </c>
      <c r="C8887" s="12">
        <v>34881</v>
      </c>
      <c r="D8887" s="13" t="s">
        <v>8465</v>
      </c>
      <c r="E8887" s="10" t="s">
        <v>66</v>
      </c>
      <c r="F8887" s="10" t="s">
        <v>66</v>
      </c>
      <c r="G8887" s="11" t="s">
        <v>697</v>
      </c>
      <c r="H8887" s="2" t="s">
        <v>1170</v>
      </c>
      <c r="L8887" s="18">
        <v>0</v>
      </c>
      <c r="Q8887" s="18">
        <v>0</v>
      </c>
      <c r="U8887" s="22">
        <v>0.79</v>
      </c>
      <c r="V8887" s="22">
        <f>4.11/5</f>
        <v>0.82200000000000006</v>
      </c>
      <c r="X8887" s="3">
        <v>3</v>
      </c>
      <c r="Z8887" s="23">
        <v>0.75</v>
      </c>
      <c r="AB8887" s="18">
        <f t="shared" si="276"/>
        <v>1995</v>
      </c>
      <c r="AC8887" s="22">
        <f t="shared" si="277"/>
        <v>0.7373333333333334</v>
      </c>
    </row>
    <row r="8888" spans="1:29">
      <c r="A8888" s="8" t="s">
        <v>678</v>
      </c>
      <c r="B8888" s="17" t="s">
        <v>7736</v>
      </c>
      <c r="C8888" s="12">
        <v>34881</v>
      </c>
      <c r="D8888" s="13" t="s">
        <v>8465</v>
      </c>
      <c r="E8888" s="10" t="s">
        <v>76</v>
      </c>
      <c r="F8888" s="10" t="s">
        <v>76</v>
      </c>
      <c r="H8888" s="2" t="s">
        <v>149</v>
      </c>
      <c r="L8888" s="18">
        <v>0</v>
      </c>
      <c r="Q8888" s="18">
        <v>0</v>
      </c>
      <c r="U8888" s="22">
        <v>0.45</v>
      </c>
      <c r="V8888" s="22">
        <f>3.24/5</f>
        <v>0.64800000000000002</v>
      </c>
      <c r="X8888" s="3">
        <v>3</v>
      </c>
      <c r="Z8888" s="23">
        <v>22</v>
      </c>
      <c r="AB8888" s="18">
        <f t="shared" si="276"/>
        <v>1995</v>
      </c>
      <c r="AC8888" s="22">
        <f t="shared" si="277"/>
        <v>0.56599999999999995</v>
      </c>
    </row>
    <row r="8889" spans="1:29" ht="25.5">
      <c r="A8889" s="8" t="s">
        <v>13531</v>
      </c>
      <c r="B8889" s="17" t="s">
        <v>7800</v>
      </c>
      <c r="C8889" s="12">
        <v>34881</v>
      </c>
      <c r="D8889" s="13" t="s">
        <v>8465</v>
      </c>
      <c r="E8889" s="10" t="s">
        <v>1272</v>
      </c>
      <c r="F8889" s="10" t="s">
        <v>13528</v>
      </c>
      <c r="G8889" s="11" t="s">
        <v>13526</v>
      </c>
      <c r="H8889" s="2" t="s">
        <v>1377</v>
      </c>
      <c r="L8889" s="18">
        <v>0</v>
      </c>
      <c r="Q8889" s="18">
        <v>0</v>
      </c>
      <c r="V8889" s="22">
        <f>3.62/5</f>
        <v>0.72399999999999998</v>
      </c>
      <c r="X8889" s="3">
        <v>2</v>
      </c>
      <c r="Z8889" s="23">
        <v>15</v>
      </c>
      <c r="AB8889" s="18">
        <f t="shared" si="276"/>
        <v>1995</v>
      </c>
      <c r="AC8889" s="22">
        <f t="shared" si="277"/>
        <v>0.56200000000000006</v>
      </c>
    </row>
    <row r="8890" spans="1:29" ht="38.25">
      <c r="A8890" s="8" t="s">
        <v>620</v>
      </c>
      <c r="B8890" s="17" t="s">
        <v>7736</v>
      </c>
      <c r="C8890" s="12">
        <v>34881</v>
      </c>
      <c r="D8890" s="13" t="s">
        <v>8465</v>
      </c>
      <c r="E8890" s="10" t="s">
        <v>68</v>
      </c>
      <c r="F8890" s="10" t="s">
        <v>68</v>
      </c>
      <c r="G8890" s="11" t="s">
        <v>40</v>
      </c>
      <c r="H8890" s="2" t="s">
        <v>69</v>
      </c>
      <c r="L8890" s="18">
        <v>0</v>
      </c>
      <c r="Q8890" s="18">
        <v>0</v>
      </c>
      <c r="U8890" s="22">
        <v>0.64</v>
      </c>
      <c r="V8890" s="22">
        <f>3.92/5</f>
        <v>0.78400000000000003</v>
      </c>
      <c r="X8890" s="3">
        <v>2</v>
      </c>
      <c r="Z8890" s="23">
        <v>17</v>
      </c>
      <c r="AB8890" s="18">
        <f t="shared" si="276"/>
        <v>1995</v>
      </c>
      <c r="AC8890" s="22">
        <f t="shared" si="277"/>
        <v>0.60799999999999998</v>
      </c>
    </row>
    <row r="8891" spans="1:29" ht="38.25">
      <c r="A8891" s="8" t="s">
        <v>14351</v>
      </c>
      <c r="B8891" s="17" t="s">
        <v>10323</v>
      </c>
      <c r="C8891" s="12">
        <v>34881</v>
      </c>
      <c r="D8891" s="13" t="s">
        <v>8463</v>
      </c>
      <c r="E8891" s="10" t="s">
        <v>11749</v>
      </c>
      <c r="F8891" s="10" t="s">
        <v>11749</v>
      </c>
      <c r="G8891" s="11" t="s">
        <v>298</v>
      </c>
      <c r="H8891" s="2" t="s">
        <v>75</v>
      </c>
      <c r="K8891" s="18">
        <v>2</v>
      </c>
      <c r="L8891" s="18">
        <v>0</v>
      </c>
      <c r="Q8891" s="18">
        <v>0</v>
      </c>
      <c r="V8891" s="22">
        <f>3/5</f>
        <v>0.6</v>
      </c>
      <c r="X8891" s="3">
        <v>2</v>
      </c>
      <c r="AB8891" s="18">
        <f t="shared" si="276"/>
        <v>1995</v>
      </c>
      <c r="AC8891" s="22">
        <f t="shared" si="277"/>
        <v>0.5</v>
      </c>
    </row>
    <row r="8892" spans="1:29">
      <c r="A8892" s="8" t="s">
        <v>758</v>
      </c>
      <c r="B8892" s="17" t="s">
        <v>7736</v>
      </c>
      <c r="C8892" s="13">
        <v>34880</v>
      </c>
      <c r="D8892" s="13" t="s">
        <v>8463</v>
      </c>
      <c r="E8892" s="10" t="s">
        <v>1330</v>
      </c>
      <c r="F8892" s="10" t="s">
        <v>1330</v>
      </c>
      <c r="G8892" s="11" t="s">
        <v>1369</v>
      </c>
      <c r="H8892" s="2" t="s">
        <v>75</v>
      </c>
      <c r="K8892" s="18">
        <v>2</v>
      </c>
      <c r="L8892" s="18">
        <v>0</v>
      </c>
      <c r="Q8892" s="18">
        <v>0</v>
      </c>
      <c r="V8892" s="22">
        <f>4.02/5</f>
        <v>0.80399999999999994</v>
      </c>
      <c r="X8892" s="3">
        <v>3</v>
      </c>
      <c r="Z8892" s="23">
        <v>33</v>
      </c>
      <c r="AB8892" s="18">
        <f t="shared" si="276"/>
        <v>1995</v>
      </c>
      <c r="AC8892" s="22">
        <f t="shared" si="277"/>
        <v>0.70199999999999996</v>
      </c>
    </row>
    <row r="8893" spans="1:29" ht="30">
      <c r="A8893" s="8" t="s">
        <v>2784</v>
      </c>
      <c r="B8893" s="17" t="s">
        <v>7756</v>
      </c>
      <c r="C8893" s="13">
        <v>34880</v>
      </c>
      <c r="D8893" s="13" t="s">
        <v>8463</v>
      </c>
      <c r="E8893" s="10" t="s">
        <v>455</v>
      </c>
      <c r="F8893" s="10" t="s">
        <v>2677</v>
      </c>
      <c r="G8893" s="11" t="s">
        <v>1661</v>
      </c>
      <c r="H8893" s="2" t="s">
        <v>75</v>
      </c>
      <c r="K8893" s="18">
        <v>2</v>
      </c>
      <c r="L8893" s="18">
        <v>0</v>
      </c>
      <c r="Q8893" s="18">
        <v>0</v>
      </c>
      <c r="V8893" s="22">
        <f>4.01/5</f>
        <v>0.80199999999999994</v>
      </c>
      <c r="X8893" s="3">
        <v>3</v>
      </c>
      <c r="Z8893" s="23">
        <v>11.5</v>
      </c>
      <c r="AB8893" s="18">
        <f t="shared" si="276"/>
        <v>1995</v>
      </c>
      <c r="AC8893" s="22">
        <f t="shared" si="277"/>
        <v>0.70099999999999996</v>
      </c>
    </row>
    <row r="8894" spans="1:29" ht="38.25">
      <c r="A8894" s="8" t="s">
        <v>10814</v>
      </c>
      <c r="B8894" s="17" t="s">
        <v>7790</v>
      </c>
      <c r="C8894" s="13">
        <v>34880</v>
      </c>
      <c r="D8894" s="13" t="s">
        <v>8463</v>
      </c>
      <c r="E8894" s="10" t="s">
        <v>62</v>
      </c>
      <c r="F8894" s="10" t="s">
        <v>10489</v>
      </c>
      <c r="G8894" s="11" t="s">
        <v>10813</v>
      </c>
      <c r="H8894" s="2" t="s">
        <v>1057</v>
      </c>
      <c r="K8894" s="18">
        <v>2</v>
      </c>
      <c r="L8894" s="18">
        <v>0</v>
      </c>
      <c r="Q8894" s="18">
        <v>0</v>
      </c>
      <c r="V8894" s="22">
        <f>4.03/5</f>
        <v>0.80600000000000005</v>
      </c>
      <c r="X8894" s="3">
        <v>2</v>
      </c>
      <c r="Z8894" s="23">
        <v>4.5</v>
      </c>
      <c r="AB8894" s="18">
        <f t="shared" si="276"/>
        <v>1995</v>
      </c>
      <c r="AC8894" s="22">
        <f t="shared" si="277"/>
        <v>0.60299999999999998</v>
      </c>
    </row>
    <row r="8895" spans="1:29">
      <c r="A8895" s="8" t="s">
        <v>434</v>
      </c>
      <c r="B8895" s="17" t="s">
        <v>6317</v>
      </c>
      <c r="C8895" s="13">
        <v>34877</v>
      </c>
      <c r="D8895" s="13" t="s">
        <v>8465</v>
      </c>
      <c r="E8895" s="10" t="s">
        <v>73</v>
      </c>
      <c r="F8895" s="10" t="s">
        <v>73</v>
      </c>
      <c r="G8895" s="11" t="s">
        <v>227</v>
      </c>
      <c r="H8895" s="2" t="s">
        <v>459</v>
      </c>
      <c r="L8895" s="18">
        <v>0</v>
      </c>
      <c r="Q8895" s="18">
        <v>0</v>
      </c>
      <c r="V8895" s="22">
        <f>3.81/5</f>
        <v>0.76200000000000001</v>
      </c>
      <c r="X8895" s="3">
        <v>3</v>
      </c>
      <c r="Z8895" s="23">
        <v>0.73</v>
      </c>
      <c r="AB8895" s="18">
        <f t="shared" si="276"/>
        <v>1995</v>
      </c>
      <c r="AC8895" s="22">
        <f t="shared" si="277"/>
        <v>0.68100000000000005</v>
      </c>
    </row>
    <row r="8896" spans="1:29">
      <c r="A8896" s="8" t="s">
        <v>1809</v>
      </c>
      <c r="B8896" s="17" t="s">
        <v>7745</v>
      </c>
      <c r="C8896" s="13">
        <v>34876</v>
      </c>
      <c r="D8896" s="13" t="s">
        <v>8465</v>
      </c>
      <c r="E8896" s="10" t="s">
        <v>86</v>
      </c>
      <c r="F8896" s="10" t="s">
        <v>163</v>
      </c>
      <c r="G8896" s="11" t="s">
        <v>1254</v>
      </c>
      <c r="H8896" s="2" t="s">
        <v>64</v>
      </c>
      <c r="L8896" s="18">
        <v>0</v>
      </c>
      <c r="Q8896" s="18">
        <v>0</v>
      </c>
      <c r="U8896" s="22">
        <v>0.75</v>
      </c>
      <c r="V8896" s="22">
        <f>3.54/5</f>
        <v>0.70799999999999996</v>
      </c>
      <c r="X8896" s="3">
        <v>3</v>
      </c>
      <c r="Z8896" s="23">
        <v>2.5</v>
      </c>
      <c r="AB8896" s="18">
        <f t="shared" si="276"/>
        <v>1995</v>
      </c>
      <c r="AC8896" s="22">
        <f t="shared" si="277"/>
        <v>0.68599999999999994</v>
      </c>
    </row>
    <row r="8897" spans="1:29">
      <c r="A8897" s="8" t="s">
        <v>9154</v>
      </c>
      <c r="B8897" s="17" t="s">
        <v>7736</v>
      </c>
      <c r="C8897" s="13">
        <v>34873</v>
      </c>
      <c r="D8897" s="13" t="s">
        <v>8463</v>
      </c>
      <c r="E8897" s="10" t="s">
        <v>250</v>
      </c>
      <c r="F8897" s="10" t="s">
        <v>2890</v>
      </c>
      <c r="H8897" s="2" t="s">
        <v>149</v>
      </c>
      <c r="K8897" s="18">
        <v>2</v>
      </c>
      <c r="L8897" s="18">
        <v>0</v>
      </c>
      <c r="Q8897" s="18">
        <v>0</v>
      </c>
      <c r="V8897" s="22">
        <f>3.72/5</f>
        <v>0.74399999999999999</v>
      </c>
      <c r="X8897" s="3">
        <v>2</v>
      </c>
      <c r="Z8897" s="23">
        <v>25.5</v>
      </c>
      <c r="AB8897" s="18">
        <f t="shared" ref="AB8897:AB8960" si="278">IFERROR(YEAR(C8897), "Early Access")</f>
        <v>1995</v>
      </c>
      <c r="AC8897" s="22">
        <f t="shared" ref="AC8897:AC8960" si="279">AVERAGE(T8897, U8897, V8897, IF(ISBLANK(X8897), X8897, X8897/5))</f>
        <v>0.57200000000000006</v>
      </c>
    </row>
    <row r="8898" spans="1:29">
      <c r="A8898" s="8" t="s">
        <v>4211</v>
      </c>
      <c r="B8898" s="17" t="s">
        <v>7736</v>
      </c>
      <c r="C8898" s="13">
        <v>34866</v>
      </c>
      <c r="D8898" s="13" t="s">
        <v>8465</v>
      </c>
      <c r="E8898" s="10" t="s">
        <v>154</v>
      </c>
      <c r="F8898" s="10" t="s">
        <v>7639</v>
      </c>
      <c r="G8898" s="11" t="s">
        <v>4211</v>
      </c>
      <c r="H8898" s="2" t="s">
        <v>56</v>
      </c>
      <c r="L8898" s="18">
        <v>0</v>
      </c>
      <c r="Q8898" s="18">
        <v>0</v>
      </c>
      <c r="U8898" s="22">
        <v>0.72</v>
      </c>
      <c r="V8898" s="22">
        <f>3.75/5</f>
        <v>0.75</v>
      </c>
      <c r="X8898" s="3">
        <v>2</v>
      </c>
      <c r="Z8898" s="23">
        <v>4</v>
      </c>
      <c r="AB8898" s="18">
        <f t="shared" si="278"/>
        <v>1995</v>
      </c>
      <c r="AC8898" s="22">
        <f t="shared" si="279"/>
        <v>0.62333333333333341</v>
      </c>
    </row>
    <row r="8899" spans="1:29" ht="25.5">
      <c r="A8899" s="8" t="s">
        <v>6763</v>
      </c>
      <c r="B8899" s="17" t="s">
        <v>7800</v>
      </c>
      <c r="C8899" s="13">
        <v>34865</v>
      </c>
      <c r="D8899" s="13" t="s">
        <v>8465</v>
      </c>
      <c r="E8899" s="10" t="s">
        <v>231</v>
      </c>
      <c r="F8899" s="10" t="s">
        <v>1784</v>
      </c>
      <c r="H8899" s="2" t="s">
        <v>1050</v>
      </c>
      <c r="L8899" s="18">
        <v>0</v>
      </c>
      <c r="Q8899" s="18">
        <v>0</v>
      </c>
      <c r="U8899" s="22">
        <v>0.73</v>
      </c>
      <c r="V8899" s="22">
        <f>3.5/5</f>
        <v>0.7</v>
      </c>
      <c r="X8899" s="3">
        <v>3</v>
      </c>
      <c r="Z8899" s="23">
        <v>12</v>
      </c>
      <c r="AB8899" s="18">
        <f t="shared" si="278"/>
        <v>1995</v>
      </c>
      <c r="AC8899" s="22">
        <f t="shared" si="279"/>
        <v>0.67666666666666664</v>
      </c>
    </row>
    <row r="8900" spans="1:29" ht="38.25">
      <c r="A8900" s="8" t="s">
        <v>14449</v>
      </c>
      <c r="B8900" s="17" t="s">
        <v>7752</v>
      </c>
      <c r="C8900" s="13">
        <v>34856</v>
      </c>
      <c r="D8900" s="13" t="s">
        <v>8465</v>
      </c>
      <c r="E8900" s="10" t="s">
        <v>455</v>
      </c>
      <c r="F8900" s="10" t="s">
        <v>455</v>
      </c>
      <c r="G8900" s="11" t="s">
        <v>14448</v>
      </c>
      <c r="H8900" s="2" t="s">
        <v>459</v>
      </c>
      <c r="L8900" s="18">
        <v>0</v>
      </c>
      <c r="Q8900" s="18">
        <v>0</v>
      </c>
      <c r="V8900" s="22">
        <f>3.82/5</f>
        <v>0.76400000000000001</v>
      </c>
      <c r="X8900" s="3">
        <v>2</v>
      </c>
      <c r="Z8900" s="23">
        <v>1</v>
      </c>
      <c r="AB8900" s="18">
        <f t="shared" si="278"/>
        <v>1995</v>
      </c>
      <c r="AC8900" s="22">
        <f t="shared" si="279"/>
        <v>0.58200000000000007</v>
      </c>
    </row>
    <row r="8901" spans="1:29">
      <c r="A8901" s="8" t="s">
        <v>11850</v>
      </c>
      <c r="B8901" s="17" t="s">
        <v>7745</v>
      </c>
      <c r="C8901" s="13">
        <v>34852</v>
      </c>
      <c r="D8901" s="13" t="s">
        <v>8463</v>
      </c>
      <c r="E8901" s="10" t="s">
        <v>1238</v>
      </c>
      <c r="F8901" s="10" t="s">
        <v>1356</v>
      </c>
      <c r="G8901" s="11" t="s">
        <v>777</v>
      </c>
      <c r="H8901" s="2" t="s">
        <v>149</v>
      </c>
      <c r="K8901" s="18">
        <v>2</v>
      </c>
      <c r="L8901" s="18">
        <v>0</v>
      </c>
      <c r="Q8901" s="18">
        <v>0</v>
      </c>
      <c r="V8901" s="22">
        <f>3.87/5</f>
        <v>0.77400000000000002</v>
      </c>
      <c r="X8901" s="3">
        <v>2</v>
      </c>
      <c r="AB8901" s="18">
        <f t="shared" si="278"/>
        <v>1995</v>
      </c>
      <c r="AC8901" s="22">
        <f t="shared" si="279"/>
        <v>0.58699999999999997</v>
      </c>
    </row>
    <row r="8902" spans="1:29" ht="25.5">
      <c r="A8902" s="8" t="s">
        <v>6840</v>
      </c>
      <c r="B8902" s="17" t="s">
        <v>7800</v>
      </c>
      <c r="C8902" s="12">
        <v>34851</v>
      </c>
      <c r="D8902" s="13" t="s">
        <v>8465</v>
      </c>
      <c r="E8902" s="10" t="s">
        <v>6884</v>
      </c>
      <c r="F8902" s="10" t="s">
        <v>6884</v>
      </c>
      <c r="G8902" s="11" t="s">
        <v>5594</v>
      </c>
      <c r="H8902" s="2" t="s">
        <v>61</v>
      </c>
      <c r="L8902" s="18">
        <v>1</v>
      </c>
      <c r="N8902" s="13">
        <v>43955</v>
      </c>
      <c r="O8902" s="29">
        <v>0.75</v>
      </c>
      <c r="P8902" s="18" t="s">
        <v>1107</v>
      </c>
      <c r="Q8902" s="18">
        <v>0</v>
      </c>
      <c r="U8902" s="22">
        <v>0.86</v>
      </c>
      <c r="V8902" s="22">
        <f>3.91/5</f>
        <v>0.78200000000000003</v>
      </c>
      <c r="W8902" s="14" t="s">
        <v>7777</v>
      </c>
      <c r="X8902" s="3">
        <v>3</v>
      </c>
      <c r="Z8902" s="23">
        <v>32</v>
      </c>
      <c r="AB8902" s="18">
        <f t="shared" si="278"/>
        <v>1995</v>
      </c>
      <c r="AC8902" s="22">
        <f t="shared" si="279"/>
        <v>0.74733333333333329</v>
      </c>
    </row>
    <row r="8903" spans="1:29" ht="25.5">
      <c r="A8903" s="8" t="s">
        <v>668</v>
      </c>
      <c r="B8903" s="17" t="s">
        <v>7736</v>
      </c>
      <c r="C8903" s="12">
        <v>34851</v>
      </c>
      <c r="D8903" s="13" t="s">
        <v>8465</v>
      </c>
      <c r="E8903" s="10" t="s">
        <v>62</v>
      </c>
      <c r="F8903" s="10" t="s">
        <v>1307</v>
      </c>
      <c r="H8903" s="2" t="s">
        <v>143</v>
      </c>
      <c r="L8903" s="18">
        <v>0</v>
      </c>
      <c r="Q8903" s="18">
        <v>0</v>
      </c>
      <c r="V8903" s="22">
        <f>3.81/5</f>
        <v>0.76200000000000001</v>
      </c>
      <c r="X8903" s="3">
        <v>2</v>
      </c>
      <c r="Z8903" s="23">
        <v>2</v>
      </c>
      <c r="AB8903" s="18">
        <f t="shared" si="278"/>
        <v>1995</v>
      </c>
      <c r="AC8903" s="22">
        <f t="shared" si="279"/>
        <v>0.58099999999999996</v>
      </c>
    </row>
    <row r="8904" spans="1:29">
      <c r="A8904" s="8" t="s">
        <v>673</v>
      </c>
      <c r="B8904" s="17" t="s">
        <v>7736</v>
      </c>
      <c r="C8904" s="12">
        <v>34851</v>
      </c>
      <c r="D8904" s="13" t="s">
        <v>8465</v>
      </c>
      <c r="E8904" s="10" t="s">
        <v>1311</v>
      </c>
      <c r="F8904" s="10" t="s">
        <v>160</v>
      </c>
      <c r="H8904" s="2" t="s">
        <v>151</v>
      </c>
      <c r="L8904" s="18">
        <v>0</v>
      </c>
      <c r="Q8904" s="18">
        <v>0</v>
      </c>
      <c r="U8904" s="22">
        <v>0.68</v>
      </c>
      <c r="V8904" s="22">
        <f>3.91/5</f>
        <v>0.78200000000000003</v>
      </c>
      <c r="X8904" s="3">
        <v>2</v>
      </c>
      <c r="AB8904" s="18">
        <f t="shared" si="278"/>
        <v>1995</v>
      </c>
      <c r="AC8904" s="22">
        <f t="shared" si="279"/>
        <v>0.6206666666666667</v>
      </c>
    </row>
    <row r="8905" spans="1:29" ht="25.5">
      <c r="A8905" s="8" t="s">
        <v>15484</v>
      </c>
      <c r="B8905" s="17" t="s">
        <v>6317</v>
      </c>
      <c r="C8905" s="12">
        <v>34851</v>
      </c>
      <c r="D8905" s="13" t="s">
        <v>8465</v>
      </c>
      <c r="E8905" s="10" t="s">
        <v>73</v>
      </c>
      <c r="F8905" s="10" t="s">
        <v>15485</v>
      </c>
      <c r="G8905" s="11" t="s">
        <v>227</v>
      </c>
      <c r="H8905" s="2" t="s">
        <v>459</v>
      </c>
      <c r="L8905" s="18">
        <v>0</v>
      </c>
      <c r="Q8905" s="18">
        <v>0</v>
      </c>
      <c r="V8905" s="22">
        <f>2.23/5</f>
        <v>0.44600000000000001</v>
      </c>
      <c r="X8905" s="3">
        <v>2</v>
      </c>
      <c r="Z8905" s="23">
        <f>56/60</f>
        <v>0.93333333333333335</v>
      </c>
      <c r="AB8905" s="18">
        <f t="shared" si="278"/>
        <v>1995</v>
      </c>
      <c r="AC8905" s="22">
        <f t="shared" si="279"/>
        <v>0.42300000000000004</v>
      </c>
    </row>
    <row r="8906" spans="1:29" ht="25.5">
      <c r="A8906" s="8" t="s">
        <v>15898</v>
      </c>
      <c r="B8906" s="17" t="s">
        <v>7736</v>
      </c>
      <c r="C8906" s="12">
        <v>34851</v>
      </c>
      <c r="D8906" s="13" t="s">
        <v>8465</v>
      </c>
      <c r="E8906" s="10" t="s">
        <v>154</v>
      </c>
      <c r="F8906" s="10" t="s">
        <v>1296</v>
      </c>
      <c r="G8906" s="11" t="s">
        <v>15899</v>
      </c>
      <c r="H8906" s="2" t="s">
        <v>459</v>
      </c>
      <c r="L8906" s="18">
        <v>0</v>
      </c>
      <c r="Q8906" s="18">
        <v>0</v>
      </c>
      <c r="V8906" s="22">
        <f>2.81/5</f>
        <v>0.56200000000000006</v>
      </c>
      <c r="X8906" s="3">
        <v>2</v>
      </c>
      <c r="Z8906" s="23">
        <f>43/60</f>
        <v>0.71666666666666667</v>
      </c>
      <c r="AB8906" s="18">
        <f t="shared" si="278"/>
        <v>1995</v>
      </c>
      <c r="AC8906" s="22">
        <f t="shared" si="279"/>
        <v>0.48100000000000004</v>
      </c>
    </row>
    <row r="8907" spans="1:29" ht="25.5">
      <c r="A8907" s="8" t="s">
        <v>11631</v>
      </c>
      <c r="B8907" s="17" t="s">
        <v>7736</v>
      </c>
      <c r="C8907" s="13">
        <v>34845</v>
      </c>
      <c r="D8907" s="13" t="s">
        <v>8463</v>
      </c>
      <c r="E8907" s="10" t="s">
        <v>470</v>
      </c>
      <c r="F8907" s="10" t="s">
        <v>167</v>
      </c>
      <c r="G8907" s="11" t="s">
        <v>1211</v>
      </c>
      <c r="H8907" s="2" t="s">
        <v>78</v>
      </c>
      <c r="K8907" s="18">
        <v>2</v>
      </c>
      <c r="L8907" s="18">
        <v>0</v>
      </c>
      <c r="Q8907" s="18">
        <v>0</v>
      </c>
      <c r="V8907" s="22">
        <f>3.7/5</f>
        <v>0.74</v>
      </c>
      <c r="X8907" s="3">
        <v>2</v>
      </c>
      <c r="AB8907" s="18">
        <f t="shared" si="278"/>
        <v>1995</v>
      </c>
      <c r="AC8907" s="22">
        <f t="shared" si="279"/>
        <v>0.57000000000000006</v>
      </c>
    </row>
    <row r="8908" spans="1:29">
      <c r="A8908" s="8" t="s">
        <v>2575</v>
      </c>
      <c r="B8908" s="17" t="s">
        <v>7751</v>
      </c>
      <c r="C8908" s="13">
        <v>34844</v>
      </c>
      <c r="D8908" s="13" t="s">
        <v>8465</v>
      </c>
      <c r="E8908" s="10" t="s">
        <v>455</v>
      </c>
      <c r="F8908" s="10" t="s">
        <v>1474</v>
      </c>
      <c r="H8908" s="2" t="s">
        <v>171</v>
      </c>
      <c r="L8908" s="18">
        <v>0</v>
      </c>
      <c r="Q8908" s="18">
        <v>0</v>
      </c>
      <c r="U8908" s="22">
        <v>0.68</v>
      </c>
      <c r="V8908" s="22">
        <f>3.7/5</f>
        <v>0.74</v>
      </c>
      <c r="X8908" s="3">
        <v>3</v>
      </c>
      <c r="Z8908" s="23">
        <v>5</v>
      </c>
      <c r="AB8908" s="18">
        <f t="shared" si="278"/>
        <v>1995</v>
      </c>
      <c r="AC8908" s="22">
        <f t="shared" si="279"/>
        <v>0.67333333333333334</v>
      </c>
    </row>
    <row r="8909" spans="1:29">
      <c r="A8909" s="8" t="s">
        <v>2707</v>
      </c>
      <c r="B8909" s="17" t="s">
        <v>7753</v>
      </c>
      <c r="C8909" s="13">
        <v>34844</v>
      </c>
      <c r="D8909" s="13" t="s">
        <v>8465</v>
      </c>
      <c r="E8909" s="10" t="s">
        <v>455</v>
      </c>
      <c r="F8909" s="10" t="s">
        <v>455</v>
      </c>
      <c r="H8909" s="2" t="s">
        <v>6563</v>
      </c>
      <c r="I8909" s="1"/>
      <c r="J8909" s="1"/>
      <c r="K8909" s="1"/>
      <c r="L8909" s="1">
        <v>0</v>
      </c>
      <c r="M8909" s="26"/>
      <c r="Q8909" s="1">
        <v>0</v>
      </c>
      <c r="V8909" s="22">
        <f>3.67/5</f>
        <v>0.73399999999999999</v>
      </c>
      <c r="W8909" s="3"/>
      <c r="X8909" s="3">
        <v>2</v>
      </c>
      <c r="Z8909" s="23">
        <v>2</v>
      </c>
      <c r="AA8909" s="1"/>
      <c r="AB8909" s="18">
        <f t="shared" si="278"/>
        <v>1995</v>
      </c>
      <c r="AC8909" s="22">
        <f t="shared" si="279"/>
        <v>0.56699999999999995</v>
      </c>
    </row>
    <row r="8910" spans="1:29" ht="25.5">
      <c r="A8910" s="8" t="s">
        <v>14885</v>
      </c>
      <c r="B8910" s="17" t="s">
        <v>7800</v>
      </c>
      <c r="C8910" s="13">
        <v>34844</v>
      </c>
      <c r="D8910" s="13" t="s">
        <v>8465</v>
      </c>
      <c r="E8910" s="10" t="s">
        <v>3625</v>
      </c>
      <c r="F8910" s="10" t="s">
        <v>6892</v>
      </c>
      <c r="G8910" s="11" t="s">
        <v>442</v>
      </c>
      <c r="H8910" s="2" t="s">
        <v>67</v>
      </c>
      <c r="L8910" s="18">
        <v>0</v>
      </c>
      <c r="Q8910" s="18">
        <v>0</v>
      </c>
      <c r="V8910" s="22">
        <f>3/5</f>
        <v>0.6</v>
      </c>
      <c r="X8910" s="3">
        <v>2</v>
      </c>
      <c r="AB8910" s="18">
        <f t="shared" si="278"/>
        <v>1995</v>
      </c>
      <c r="AC8910" s="22">
        <f t="shared" si="279"/>
        <v>0.5</v>
      </c>
    </row>
    <row r="8911" spans="1:29" ht="38.25">
      <c r="A8911" s="8" t="s">
        <v>728</v>
      </c>
      <c r="B8911" s="17" t="s">
        <v>7736</v>
      </c>
      <c r="C8911" s="13">
        <v>34834</v>
      </c>
      <c r="D8911" s="13" t="s">
        <v>8465</v>
      </c>
      <c r="E8911" s="10" t="s">
        <v>257</v>
      </c>
      <c r="F8911" s="10" t="s">
        <v>1230</v>
      </c>
      <c r="G8911" s="11" t="s">
        <v>1231</v>
      </c>
      <c r="H8911" s="2" t="s">
        <v>75</v>
      </c>
      <c r="L8911" s="18">
        <v>0</v>
      </c>
      <c r="Q8911" s="18">
        <v>0</v>
      </c>
      <c r="U8911" s="22">
        <v>0.84</v>
      </c>
      <c r="V8911" s="22">
        <f>4.1/5</f>
        <v>0.82</v>
      </c>
      <c r="X8911" s="3">
        <v>4</v>
      </c>
      <c r="Z8911" s="23">
        <v>14</v>
      </c>
      <c r="AB8911" s="18">
        <f t="shared" si="278"/>
        <v>1995</v>
      </c>
      <c r="AC8911" s="22">
        <f t="shared" si="279"/>
        <v>0.82</v>
      </c>
    </row>
    <row r="8912" spans="1:29">
      <c r="A8912" s="8" t="s">
        <v>2607</v>
      </c>
      <c r="B8912" s="17" t="s">
        <v>7751</v>
      </c>
      <c r="C8912" s="13">
        <v>34834</v>
      </c>
      <c r="D8912" s="13" t="s">
        <v>8465</v>
      </c>
      <c r="E8912" s="10" t="s">
        <v>455</v>
      </c>
      <c r="F8912" s="10" t="s">
        <v>2675</v>
      </c>
      <c r="G8912" s="11" t="s">
        <v>440</v>
      </c>
      <c r="H8912" s="2" t="s">
        <v>143</v>
      </c>
      <c r="L8912" s="18">
        <v>0</v>
      </c>
      <c r="Q8912" s="18">
        <v>0</v>
      </c>
      <c r="U8912" s="22">
        <v>0.7</v>
      </c>
      <c r="V8912" s="22">
        <f>3.77/5</f>
        <v>0.754</v>
      </c>
      <c r="X8912" s="3">
        <v>2</v>
      </c>
      <c r="Z8912" s="23">
        <v>2.5</v>
      </c>
      <c r="AB8912" s="18">
        <f t="shared" si="278"/>
        <v>1995</v>
      </c>
      <c r="AC8912" s="22">
        <f t="shared" si="279"/>
        <v>0.61799999999999999</v>
      </c>
    </row>
    <row r="8913" spans="1:29">
      <c r="A8913" s="8" t="s">
        <v>2732</v>
      </c>
      <c r="B8913" s="17" t="s">
        <v>7754</v>
      </c>
      <c r="C8913" s="13">
        <v>34830</v>
      </c>
      <c r="D8913" s="13" t="s">
        <v>8465</v>
      </c>
      <c r="E8913" s="10" t="s">
        <v>455</v>
      </c>
      <c r="F8913" s="10" t="s">
        <v>2740</v>
      </c>
      <c r="G8913" s="11" t="s">
        <v>2732</v>
      </c>
      <c r="H8913" s="2" t="s">
        <v>1170</v>
      </c>
      <c r="L8913" s="18">
        <v>0</v>
      </c>
      <c r="Q8913" s="18">
        <v>0</v>
      </c>
      <c r="U8913" s="22">
        <v>0.91</v>
      </c>
      <c r="V8913" s="22">
        <f>4.06/5</f>
        <v>0.81199999999999994</v>
      </c>
      <c r="X8913" s="3">
        <v>2</v>
      </c>
      <c r="Z8913" s="23">
        <v>1.5</v>
      </c>
      <c r="AB8913" s="18">
        <f t="shared" si="278"/>
        <v>1995</v>
      </c>
      <c r="AC8913" s="22">
        <f t="shared" si="279"/>
        <v>0.70733333333333326</v>
      </c>
    </row>
    <row r="8914" spans="1:29">
      <c r="A8914" s="8" t="s">
        <v>2714</v>
      </c>
      <c r="B8914" s="17" t="s">
        <v>7754</v>
      </c>
      <c r="C8914" s="13">
        <v>34830</v>
      </c>
      <c r="D8914" s="13" t="s">
        <v>8465</v>
      </c>
      <c r="E8914" s="10" t="s">
        <v>455</v>
      </c>
      <c r="F8914" s="10" t="s">
        <v>455</v>
      </c>
      <c r="G8914" s="11" t="s">
        <v>2714</v>
      </c>
      <c r="H8914" s="2" t="s">
        <v>64</v>
      </c>
      <c r="L8914" s="18">
        <v>0</v>
      </c>
      <c r="Q8914" s="18">
        <v>0</v>
      </c>
      <c r="U8914" s="22">
        <v>0.67</v>
      </c>
      <c r="V8914" s="22">
        <f>3.53/5</f>
        <v>0.70599999999999996</v>
      </c>
      <c r="X8914" s="3">
        <v>2</v>
      </c>
      <c r="Z8914" s="23">
        <v>2</v>
      </c>
      <c r="AB8914" s="18">
        <f t="shared" si="278"/>
        <v>1995</v>
      </c>
      <c r="AC8914" s="22">
        <f t="shared" si="279"/>
        <v>0.59199999999999997</v>
      </c>
    </row>
    <row r="8915" spans="1:29">
      <c r="A8915" s="8" t="s">
        <v>690</v>
      </c>
      <c r="B8915" s="17" t="s">
        <v>7736</v>
      </c>
      <c r="C8915" s="12">
        <v>34820</v>
      </c>
      <c r="D8915" s="13" t="s">
        <v>8467</v>
      </c>
      <c r="E8915" s="10" t="s">
        <v>62</v>
      </c>
      <c r="F8915" s="10" t="s">
        <v>62</v>
      </c>
      <c r="G8915" s="11" t="s">
        <v>690</v>
      </c>
      <c r="H8915" s="2" t="s">
        <v>143</v>
      </c>
      <c r="L8915" s="18">
        <v>0</v>
      </c>
      <c r="Q8915" s="18">
        <v>0</v>
      </c>
      <c r="V8915" s="22">
        <f>3.77/5</f>
        <v>0.754</v>
      </c>
      <c r="X8915" s="3">
        <v>2</v>
      </c>
      <c r="Z8915" s="23">
        <v>1.5</v>
      </c>
      <c r="AB8915" s="18">
        <f t="shared" si="278"/>
        <v>1995</v>
      </c>
      <c r="AC8915" s="22">
        <f t="shared" si="279"/>
        <v>0.57699999999999996</v>
      </c>
    </row>
    <row r="8916" spans="1:29">
      <c r="A8916" s="8" t="s">
        <v>7810</v>
      </c>
      <c r="B8916" s="17" t="s">
        <v>7752</v>
      </c>
      <c r="C8916" s="12">
        <v>34820</v>
      </c>
      <c r="D8916" s="13" t="s">
        <v>8465</v>
      </c>
      <c r="E8916" s="10" t="s">
        <v>455</v>
      </c>
      <c r="F8916" s="10" t="s">
        <v>62</v>
      </c>
      <c r="G8916" s="11" t="s">
        <v>7810</v>
      </c>
      <c r="H8916" s="2" t="s">
        <v>171</v>
      </c>
      <c r="L8916" s="18">
        <v>0</v>
      </c>
      <c r="Q8916" s="18">
        <v>0</v>
      </c>
      <c r="V8916" s="22">
        <f>3.45/5</f>
        <v>0.69000000000000006</v>
      </c>
      <c r="X8916" s="3">
        <v>2</v>
      </c>
      <c r="Z8916" s="23">
        <v>11</v>
      </c>
      <c r="AB8916" s="18">
        <f t="shared" si="278"/>
        <v>1995</v>
      </c>
      <c r="AC8916" s="22">
        <f t="shared" si="279"/>
        <v>0.54500000000000004</v>
      </c>
    </row>
    <row r="8917" spans="1:29" ht="25.5">
      <c r="A8917" s="8" t="s">
        <v>15619</v>
      </c>
      <c r="B8917" s="17" t="s">
        <v>7736</v>
      </c>
      <c r="C8917" s="12">
        <v>34820</v>
      </c>
      <c r="D8917" s="13" t="s">
        <v>8465</v>
      </c>
      <c r="E8917" s="10" t="s">
        <v>257</v>
      </c>
      <c r="F8917" s="10" t="s">
        <v>15620</v>
      </c>
      <c r="H8917" s="2" t="s">
        <v>80</v>
      </c>
      <c r="L8917" s="18">
        <v>0</v>
      </c>
      <c r="Q8917" s="18">
        <v>0</v>
      </c>
      <c r="V8917" s="22">
        <f>2.58/5</f>
        <v>0.51600000000000001</v>
      </c>
      <c r="X8917" s="3">
        <v>2</v>
      </c>
      <c r="AB8917" s="18">
        <f t="shared" si="278"/>
        <v>1995</v>
      </c>
      <c r="AC8917" s="22">
        <f t="shared" si="279"/>
        <v>0.45800000000000002</v>
      </c>
    </row>
    <row r="8918" spans="1:29">
      <c r="A8918" s="8" t="s">
        <v>3945</v>
      </c>
      <c r="B8918" s="17" t="s">
        <v>7800</v>
      </c>
      <c r="C8918" s="13">
        <v>34819</v>
      </c>
      <c r="D8918" s="13" t="s">
        <v>8465</v>
      </c>
      <c r="E8918" s="10" t="s">
        <v>1284</v>
      </c>
      <c r="F8918" s="10" t="s">
        <v>1284</v>
      </c>
      <c r="H8918" s="2" t="s">
        <v>67</v>
      </c>
      <c r="L8918" s="18">
        <v>0</v>
      </c>
      <c r="Q8918" s="18">
        <v>0</v>
      </c>
      <c r="U8918" s="22">
        <v>0.79</v>
      </c>
      <c r="V8918" s="22">
        <f>4.11/5</f>
        <v>0.82200000000000006</v>
      </c>
      <c r="X8918" s="3">
        <v>4</v>
      </c>
      <c r="Z8918" s="23">
        <v>6</v>
      </c>
      <c r="AB8918" s="18">
        <f t="shared" si="278"/>
        <v>1995</v>
      </c>
      <c r="AC8918" s="22">
        <f t="shared" si="279"/>
        <v>0.80399999999999994</v>
      </c>
    </row>
    <row r="8919" spans="1:29">
      <c r="A8919" s="8" t="s">
        <v>2792</v>
      </c>
      <c r="B8919" s="17" t="s">
        <v>7756</v>
      </c>
      <c r="C8919" s="13">
        <v>34817</v>
      </c>
      <c r="D8919" s="13" t="s">
        <v>8463</v>
      </c>
      <c r="E8919" s="10" t="s">
        <v>455</v>
      </c>
      <c r="F8919" s="10" t="s">
        <v>2509</v>
      </c>
      <c r="G8919" s="11" t="s">
        <v>1688</v>
      </c>
      <c r="H8919" s="2" t="s">
        <v>64</v>
      </c>
      <c r="K8919" s="18">
        <v>0</v>
      </c>
      <c r="L8919" s="18">
        <v>0</v>
      </c>
      <c r="Q8919" s="18">
        <v>0</v>
      </c>
      <c r="V8919" s="22">
        <f>2.61/5</f>
        <v>0.52200000000000002</v>
      </c>
      <c r="X8919" s="3">
        <v>3</v>
      </c>
      <c r="Z8919" s="23">
        <v>0.75</v>
      </c>
      <c r="AB8919" s="18">
        <f t="shared" si="278"/>
        <v>1995</v>
      </c>
      <c r="AC8919" s="22">
        <f t="shared" si="279"/>
        <v>0.56099999999999994</v>
      </c>
    </row>
    <row r="8920" spans="1:29">
      <c r="A8920" s="8" t="s">
        <v>13664</v>
      </c>
      <c r="B8920" s="17" t="s">
        <v>7736</v>
      </c>
      <c r="C8920" s="13">
        <v>34814</v>
      </c>
      <c r="D8920" s="13" t="s">
        <v>8465</v>
      </c>
      <c r="E8920" s="10" t="s">
        <v>86</v>
      </c>
      <c r="F8920" s="10" t="s">
        <v>30</v>
      </c>
      <c r="G8920" s="11" t="s">
        <v>223</v>
      </c>
      <c r="H8920" s="2" t="s">
        <v>78</v>
      </c>
      <c r="L8920" s="18">
        <v>0</v>
      </c>
      <c r="Q8920" s="18">
        <v>0</v>
      </c>
      <c r="V8920" s="22">
        <f>3.52/5</f>
        <v>0.70399999999999996</v>
      </c>
      <c r="X8920" s="3">
        <v>2</v>
      </c>
      <c r="Z8920" s="23">
        <v>2.5</v>
      </c>
      <c r="AB8920" s="18">
        <f t="shared" si="278"/>
        <v>1995</v>
      </c>
      <c r="AC8920" s="22">
        <f t="shared" si="279"/>
        <v>0.55200000000000005</v>
      </c>
    </row>
    <row r="8921" spans="1:29" ht="25.5">
      <c r="A8921" s="8" t="s">
        <v>425</v>
      </c>
      <c r="B8921" s="17" t="s">
        <v>6317</v>
      </c>
      <c r="C8921" s="12">
        <v>34813</v>
      </c>
      <c r="D8921" s="13" t="s">
        <v>8465</v>
      </c>
      <c r="E8921" s="10" t="s">
        <v>73</v>
      </c>
      <c r="F8921" s="10" t="s">
        <v>73</v>
      </c>
      <c r="G8921" s="11" t="s">
        <v>464</v>
      </c>
      <c r="H8921" s="2" t="s">
        <v>459</v>
      </c>
      <c r="L8921" s="18">
        <v>0</v>
      </c>
      <c r="Q8921" s="18">
        <v>0</v>
      </c>
      <c r="V8921" s="22">
        <f>3.58/5</f>
        <v>0.71599999999999997</v>
      </c>
      <c r="X8921" s="3">
        <v>2</v>
      </c>
      <c r="Z8921" s="23">
        <v>0.62</v>
      </c>
      <c r="AB8921" s="18">
        <f t="shared" si="278"/>
        <v>1995</v>
      </c>
      <c r="AC8921" s="22">
        <f t="shared" si="279"/>
        <v>0.55800000000000005</v>
      </c>
    </row>
    <row r="8922" spans="1:29" ht="25.5">
      <c r="A8922" s="8" t="s">
        <v>510</v>
      </c>
      <c r="B8922" s="17" t="s">
        <v>7731</v>
      </c>
      <c r="C8922" s="13">
        <v>34810</v>
      </c>
      <c r="D8922" s="13" t="s">
        <v>8465</v>
      </c>
      <c r="E8922" s="10" t="s">
        <v>170</v>
      </c>
      <c r="F8922" s="10" t="s">
        <v>170</v>
      </c>
      <c r="G8922" s="11" t="s">
        <v>563</v>
      </c>
      <c r="H8922" s="2" t="s">
        <v>459</v>
      </c>
      <c r="L8922" s="18">
        <v>0</v>
      </c>
      <c r="Q8922" s="18">
        <v>0</v>
      </c>
      <c r="V8922" s="22">
        <f>3.84/5</f>
        <v>0.76800000000000002</v>
      </c>
      <c r="X8922" s="3">
        <v>2</v>
      </c>
      <c r="Z8922" s="23">
        <v>1</v>
      </c>
      <c r="AB8922" s="18">
        <f t="shared" si="278"/>
        <v>1995</v>
      </c>
      <c r="AC8922" s="22">
        <f t="shared" si="279"/>
        <v>0.58400000000000007</v>
      </c>
    </row>
    <row r="8923" spans="1:29" ht="25.5">
      <c r="A8923" s="8" t="s">
        <v>731</v>
      </c>
      <c r="B8923" s="17" t="s">
        <v>7736</v>
      </c>
      <c r="C8923" s="13">
        <v>34810</v>
      </c>
      <c r="D8923" s="13" t="s">
        <v>8463</v>
      </c>
      <c r="E8923" s="10" t="s">
        <v>1344</v>
      </c>
      <c r="F8923" s="10" t="s">
        <v>1345</v>
      </c>
      <c r="G8923" s="11" t="s">
        <v>1450</v>
      </c>
      <c r="H8923" s="2" t="s">
        <v>149</v>
      </c>
      <c r="K8923" s="18">
        <v>0</v>
      </c>
      <c r="L8923" s="18">
        <v>0</v>
      </c>
      <c r="Q8923" s="18">
        <v>0</v>
      </c>
      <c r="V8923" s="22">
        <f>3.75/5</f>
        <v>0.75</v>
      </c>
      <c r="X8923" s="3">
        <v>2</v>
      </c>
      <c r="AB8923" s="18">
        <f t="shared" si="278"/>
        <v>1995</v>
      </c>
      <c r="AC8923" s="22">
        <f t="shared" si="279"/>
        <v>0.57499999999999996</v>
      </c>
    </row>
    <row r="8924" spans="1:29" ht="25.5">
      <c r="A8924" s="8" t="s">
        <v>9112</v>
      </c>
      <c r="B8924" s="17" t="s">
        <v>7736</v>
      </c>
      <c r="C8924" s="13">
        <v>34810</v>
      </c>
      <c r="D8924" s="13" t="s">
        <v>8463</v>
      </c>
      <c r="E8924" s="10" t="s">
        <v>1400</v>
      </c>
      <c r="F8924" s="10" t="s">
        <v>1399</v>
      </c>
      <c r="H8924" s="2" t="s">
        <v>149</v>
      </c>
      <c r="K8924" s="18">
        <v>2</v>
      </c>
      <c r="L8924" s="18">
        <v>0</v>
      </c>
      <c r="Q8924" s="18">
        <v>0</v>
      </c>
      <c r="V8924" s="22">
        <f>2.61/5</f>
        <v>0.52200000000000002</v>
      </c>
      <c r="X8924" s="3">
        <v>2</v>
      </c>
      <c r="Z8924" s="23">
        <v>10.5</v>
      </c>
      <c r="AB8924" s="18">
        <f t="shared" si="278"/>
        <v>1995</v>
      </c>
      <c r="AC8924" s="22">
        <f t="shared" si="279"/>
        <v>0.46100000000000002</v>
      </c>
    </row>
    <row r="8925" spans="1:29">
      <c r="A8925" s="8" t="s">
        <v>421</v>
      </c>
      <c r="B8925" s="17" t="s">
        <v>6317</v>
      </c>
      <c r="C8925" s="13">
        <v>34808</v>
      </c>
      <c r="D8925" s="13" t="s">
        <v>8463</v>
      </c>
      <c r="E8925" s="10" t="s">
        <v>72</v>
      </c>
      <c r="F8925" s="10" t="s">
        <v>72</v>
      </c>
      <c r="G8925" s="11" t="s">
        <v>230</v>
      </c>
      <c r="H8925" s="2" t="s">
        <v>21</v>
      </c>
      <c r="K8925" s="18">
        <v>0</v>
      </c>
      <c r="L8925" s="18">
        <v>0</v>
      </c>
      <c r="Q8925" s="18">
        <v>0</v>
      </c>
      <c r="V8925" s="22">
        <f>3.42/5</f>
        <v>0.68399999999999994</v>
      </c>
      <c r="X8925" s="3">
        <v>3</v>
      </c>
      <c r="Z8925" s="23">
        <v>0.35</v>
      </c>
      <c r="AB8925" s="18">
        <f t="shared" si="278"/>
        <v>1995</v>
      </c>
      <c r="AC8925" s="22">
        <f t="shared" si="279"/>
        <v>0.6419999999999999</v>
      </c>
    </row>
    <row r="8926" spans="1:29">
      <c r="A8926" s="8" t="s">
        <v>389</v>
      </c>
      <c r="B8926" s="17" t="s">
        <v>6317</v>
      </c>
      <c r="C8926" s="13">
        <v>34804</v>
      </c>
      <c r="D8926" s="13" t="s">
        <v>8465</v>
      </c>
      <c r="E8926" s="10" t="s">
        <v>485</v>
      </c>
      <c r="F8926" s="10" t="s">
        <v>485</v>
      </c>
      <c r="G8926" s="11" t="s">
        <v>17</v>
      </c>
      <c r="H8926" s="2" t="s">
        <v>459</v>
      </c>
      <c r="L8926" s="18">
        <v>0</v>
      </c>
      <c r="Q8926" s="18">
        <v>0</v>
      </c>
      <c r="V8926" s="22">
        <f>3.57/5</f>
        <v>0.71399999999999997</v>
      </c>
      <c r="X8926" s="3">
        <v>3</v>
      </c>
      <c r="Z8926" s="23">
        <v>2.5</v>
      </c>
      <c r="AB8926" s="18">
        <f t="shared" si="278"/>
        <v>1995</v>
      </c>
      <c r="AC8926" s="22">
        <f t="shared" si="279"/>
        <v>0.65700000000000003</v>
      </c>
    </row>
    <row r="8927" spans="1:29" ht="25.5">
      <c r="A8927" s="8" t="s">
        <v>483</v>
      </c>
      <c r="B8927" s="17" t="s">
        <v>6317</v>
      </c>
      <c r="C8927" s="13">
        <v>34795</v>
      </c>
      <c r="D8927" s="13" t="s">
        <v>8465</v>
      </c>
      <c r="E8927" s="10" t="s">
        <v>73</v>
      </c>
      <c r="F8927" s="10" t="s">
        <v>73</v>
      </c>
      <c r="G8927" s="11" t="s">
        <v>444</v>
      </c>
      <c r="H8927" s="2" t="s">
        <v>459</v>
      </c>
      <c r="L8927" s="18">
        <v>0</v>
      </c>
      <c r="Q8927" s="18">
        <v>0</v>
      </c>
      <c r="V8927" s="22">
        <f>3.94/5</f>
        <v>0.78800000000000003</v>
      </c>
      <c r="X8927" s="3">
        <v>3</v>
      </c>
      <c r="Z8927" s="23">
        <v>0.87</v>
      </c>
      <c r="AB8927" s="18">
        <f t="shared" si="278"/>
        <v>1995</v>
      </c>
      <c r="AC8927" s="22">
        <f t="shared" si="279"/>
        <v>0.69399999999999995</v>
      </c>
    </row>
    <row r="8928" spans="1:29">
      <c r="A8928" s="8" t="s">
        <v>2709</v>
      </c>
      <c r="B8928" s="17" t="s">
        <v>7753</v>
      </c>
      <c r="C8928" s="12">
        <v>34790</v>
      </c>
      <c r="D8928" s="13" t="s">
        <v>8465</v>
      </c>
      <c r="E8928" s="10" t="s">
        <v>455</v>
      </c>
      <c r="F8928" s="10" t="s">
        <v>1492</v>
      </c>
      <c r="G8928" s="11" t="s">
        <v>1688</v>
      </c>
      <c r="H8928" s="2" t="s">
        <v>64</v>
      </c>
      <c r="I8928" s="1"/>
      <c r="J8928" s="1"/>
      <c r="K8928" s="1"/>
      <c r="L8928" s="1">
        <v>0</v>
      </c>
      <c r="M8928" s="26"/>
      <c r="Q8928" s="1">
        <v>0</v>
      </c>
      <c r="V8928" s="22">
        <f>3.71/5</f>
        <v>0.74199999999999999</v>
      </c>
      <c r="W8928" s="3"/>
      <c r="X8928" s="3">
        <v>4</v>
      </c>
      <c r="Z8928" s="23">
        <v>1.5</v>
      </c>
      <c r="AA8928" s="1"/>
      <c r="AB8928" s="18">
        <f t="shared" si="278"/>
        <v>1995</v>
      </c>
      <c r="AC8928" s="22">
        <f t="shared" si="279"/>
        <v>0.77100000000000002</v>
      </c>
    </row>
    <row r="8929" spans="1:29">
      <c r="A8929" s="8" t="s">
        <v>670</v>
      </c>
      <c r="B8929" s="17" t="s">
        <v>7736</v>
      </c>
      <c r="C8929" s="12">
        <v>34790</v>
      </c>
      <c r="D8929" s="13" t="s">
        <v>8465</v>
      </c>
      <c r="E8929" s="10" t="s">
        <v>72</v>
      </c>
      <c r="F8929" s="10" t="s">
        <v>1284</v>
      </c>
      <c r="H8929" s="2" t="s">
        <v>56</v>
      </c>
      <c r="L8929" s="18">
        <v>0</v>
      </c>
      <c r="Q8929" s="18">
        <v>0</v>
      </c>
      <c r="U8929" s="22">
        <v>0.81</v>
      </c>
      <c r="V8929" s="22">
        <f>3.83/5</f>
        <v>0.76600000000000001</v>
      </c>
      <c r="X8929" s="3">
        <v>3</v>
      </c>
      <c r="Z8929" s="23">
        <v>3</v>
      </c>
      <c r="AB8929" s="18">
        <f t="shared" si="278"/>
        <v>1995</v>
      </c>
      <c r="AC8929" s="22">
        <f t="shared" si="279"/>
        <v>0.72533333333333339</v>
      </c>
    </row>
    <row r="8930" spans="1:29">
      <c r="A8930" s="8" t="s">
        <v>1186</v>
      </c>
      <c r="B8930" s="17" t="s">
        <v>7792</v>
      </c>
      <c r="C8930" s="12">
        <v>34790</v>
      </c>
      <c r="D8930" s="13" t="s">
        <v>8465</v>
      </c>
      <c r="E8930" s="10" t="s">
        <v>1197</v>
      </c>
      <c r="F8930" s="10" t="s">
        <v>1198</v>
      </c>
      <c r="G8930" s="11" t="s">
        <v>1186</v>
      </c>
      <c r="H8930" s="2" t="s">
        <v>64</v>
      </c>
      <c r="L8930" s="18">
        <v>0</v>
      </c>
      <c r="Q8930" s="18">
        <v>0</v>
      </c>
      <c r="V8930" s="22">
        <f>3.91/5</f>
        <v>0.78200000000000003</v>
      </c>
      <c r="X8930" s="3">
        <v>3</v>
      </c>
      <c r="Z8930" s="23">
        <v>5</v>
      </c>
      <c r="AB8930" s="18">
        <f t="shared" si="278"/>
        <v>1995</v>
      </c>
      <c r="AC8930" s="22">
        <f t="shared" si="279"/>
        <v>0.69100000000000006</v>
      </c>
    </row>
    <row r="8931" spans="1:29" ht="38.25">
      <c r="A8931" s="8" t="s">
        <v>773</v>
      </c>
      <c r="B8931" s="17" t="s">
        <v>7736</v>
      </c>
      <c r="C8931" s="13">
        <v>34790</v>
      </c>
      <c r="D8931" s="13" t="s">
        <v>8463</v>
      </c>
      <c r="E8931" s="10" t="s">
        <v>54</v>
      </c>
      <c r="F8931" s="10" t="s">
        <v>1387</v>
      </c>
      <c r="G8931" s="11" t="s">
        <v>5897</v>
      </c>
      <c r="H8931" s="2" t="s">
        <v>171</v>
      </c>
      <c r="K8931" s="18">
        <v>0</v>
      </c>
      <c r="L8931" s="18">
        <v>0</v>
      </c>
      <c r="Q8931" s="18">
        <v>0</v>
      </c>
      <c r="V8931" s="22">
        <f>3.39/5</f>
        <v>0.67800000000000005</v>
      </c>
      <c r="X8931" s="3">
        <v>3</v>
      </c>
      <c r="AB8931" s="18">
        <f t="shared" si="278"/>
        <v>1995</v>
      </c>
      <c r="AC8931" s="22">
        <f t="shared" si="279"/>
        <v>0.63900000000000001</v>
      </c>
    </row>
    <row r="8932" spans="1:29" ht="25.5">
      <c r="A8932" s="8" t="s">
        <v>13255</v>
      </c>
      <c r="B8932" s="17" t="s">
        <v>7792</v>
      </c>
      <c r="C8932" s="12">
        <v>34790</v>
      </c>
      <c r="D8932" s="13" t="s">
        <v>8465</v>
      </c>
      <c r="E8932" s="10" t="s">
        <v>1201</v>
      </c>
      <c r="F8932" s="10" t="s">
        <v>13256</v>
      </c>
      <c r="H8932" s="2" t="s">
        <v>1194</v>
      </c>
      <c r="L8932" s="18">
        <v>0</v>
      </c>
      <c r="Q8932" s="18">
        <v>0</v>
      </c>
      <c r="V8932" s="22">
        <f>3.73/5</f>
        <v>0.746</v>
      </c>
      <c r="X8932" s="3">
        <v>2</v>
      </c>
      <c r="Z8932" s="23">
        <v>6</v>
      </c>
      <c r="AB8932" s="18">
        <f t="shared" si="278"/>
        <v>1995</v>
      </c>
      <c r="AC8932" s="22">
        <f t="shared" si="279"/>
        <v>0.57299999999999995</v>
      </c>
    </row>
    <row r="8933" spans="1:29" ht="25.5">
      <c r="A8933" s="8" t="s">
        <v>9064</v>
      </c>
      <c r="B8933" s="17" t="s">
        <v>7736</v>
      </c>
      <c r="C8933" s="13">
        <v>34789</v>
      </c>
      <c r="D8933" s="13" t="s">
        <v>8463</v>
      </c>
      <c r="E8933" s="10" t="s">
        <v>228</v>
      </c>
      <c r="F8933" s="10" t="s">
        <v>9065</v>
      </c>
      <c r="G8933" s="11" t="s">
        <v>1171</v>
      </c>
      <c r="H8933" s="2" t="s">
        <v>149</v>
      </c>
      <c r="K8933" s="18">
        <v>2</v>
      </c>
      <c r="L8933" s="18">
        <v>0</v>
      </c>
      <c r="Q8933" s="18">
        <v>0</v>
      </c>
      <c r="V8933" s="22">
        <f>3.6/5</f>
        <v>0.72</v>
      </c>
      <c r="X8933" s="3">
        <v>3</v>
      </c>
      <c r="Z8933" s="23">
        <v>48</v>
      </c>
      <c r="AB8933" s="18">
        <f t="shared" si="278"/>
        <v>1995</v>
      </c>
      <c r="AC8933" s="22">
        <f t="shared" si="279"/>
        <v>0.65999999999999992</v>
      </c>
    </row>
    <row r="8934" spans="1:29" ht="25.5">
      <c r="A8934" s="8" t="s">
        <v>757</v>
      </c>
      <c r="B8934" s="17" t="s">
        <v>7736</v>
      </c>
      <c r="C8934" s="13">
        <v>34789</v>
      </c>
      <c r="D8934" s="13" t="s">
        <v>8463</v>
      </c>
      <c r="E8934" s="10" t="s">
        <v>160</v>
      </c>
      <c r="F8934" s="10" t="s">
        <v>160</v>
      </c>
      <c r="H8934" s="2" t="s">
        <v>56</v>
      </c>
      <c r="K8934" s="18">
        <v>0</v>
      </c>
      <c r="L8934" s="18">
        <v>0</v>
      </c>
      <c r="Q8934" s="18">
        <v>0</v>
      </c>
      <c r="V8934" s="22">
        <f>3.27/5</f>
        <v>0.65400000000000003</v>
      </c>
      <c r="X8934" s="3">
        <v>2</v>
      </c>
      <c r="AB8934" s="18">
        <f t="shared" si="278"/>
        <v>1995</v>
      </c>
      <c r="AC8934" s="22">
        <f t="shared" si="279"/>
        <v>0.52700000000000002</v>
      </c>
    </row>
    <row r="8935" spans="1:29">
      <c r="A8935" s="8" t="s">
        <v>6877</v>
      </c>
      <c r="B8935" s="17" t="s">
        <v>7800</v>
      </c>
      <c r="C8935" s="13">
        <v>34787</v>
      </c>
      <c r="D8935" s="13" t="s">
        <v>8465</v>
      </c>
      <c r="E8935" s="10" t="s">
        <v>231</v>
      </c>
      <c r="F8935" s="10" t="s">
        <v>1784</v>
      </c>
      <c r="H8935" s="2" t="s">
        <v>67</v>
      </c>
      <c r="L8935" s="18">
        <v>0</v>
      </c>
      <c r="Q8935" s="18">
        <v>0</v>
      </c>
      <c r="V8935" s="22">
        <f>3.41/5</f>
        <v>0.68200000000000005</v>
      </c>
      <c r="X8935" s="3">
        <v>3</v>
      </c>
      <c r="Z8935" s="23">
        <v>12</v>
      </c>
      <c r="AB8935" s="18">
        <f t="shared" si="278"/>
        <v>1995</v>
      </c>
      <c r="AC8935" s="22">
        <f t="shared" si="279"/>
        <v>0.64100000000000001</v>
      </c>
    </row>
    <row r="8936" spans="1:29">
      <c r="A8936" s="8" t="s">
        <v>2612</v>
      </c>
      <c r="B8936" s="17" t="s">
        <v>7756</v>
      </c>
      <c r="C8936" s="13">
        <v>34782</v>
      </c>
      <c r="D8936" s="13" t="s">
        <v>8465</v>
      </c>
      <c r="E8936" s="10" t="s">
        <v>455</v>
      </c>
      <c r="F8936" s="10" t="s">
        <v>1081</v>
      </c>
      <c r="G8936" s="11" t="s">
        <v>1891</v>
      </c>
      <c r="H8936" s="2" t="s">
        <v>147</v>
      </c>
      <c r="L8936" s="18">
        <v>0</v>
      </c>
      <c r="Q8936" s="18">
        <v>0</v>
      </c>
      <c r="V8936" s="22">
        <f>2.91/5</f>
        <v>0.58200000000000007</v>
      </c>
      <c r="X8936" s="3">
        <v>2</v>
      </c>
      <c r="Z8936" s="23">
        <v>2</v>
      </c>
      <c r="AB8936" s="18">
        <f t="shared" si="278"/>
        <v>1995</v>
      </c>
      <c r="AC8936" s="22">
        <f t="shared" si="279"/>
        <v>0.49100000000000005</v>
      </c>
    </row>
    <row r="8937" spans="1:29" ht="38.25">
      <c r="A8937" s="8" t="s">
        <v>7813</v>
      </c>
      <c r="B8937" s="17" t="s">
        <v>7756</v>
      </c>
      <c r="C8937" s="13">
        <v>34782</v>
      </c>
      <c r="D8937" s="13" t="s">
        <v>8463</v>
      </c>
      <c r="E8937" s="10" t="s">
        <v>228</v>
      </c>
      <c r="F8937" s="10" t="s">
        <v>455</v>
      </c>
      <c r="G8937" s="11" t="s">
        <v>1171</v>
      </c>
      <c r="H8937" s="2" t="s">
        <v>149</v>
      </c>
      <c r="K8937" s="18">
        <v>2</v>
      </c>
      <c r="L8937" s="18">
        <v>0</v>
      </c>
      <c r="Q8937" s="18">
        <v>0</v>
      </c>
      <c r="V8937" s="22">
        <f>1.76/5</f>
        <v>0.35199999999999998</v>
      </c>
      <c r="X8937" s="3">
        <v>3</v>
      </c>
      <c r="AB8937" s="18">
        <f t="shared" si="278"/>
        <v>1995</v>
      </c>
      <c r="AC8937" s="22">
        <f t="shared" si="279"/>
        <v>0.47599999999999998</v>
      </c>
    </row>
    <row r="8938" spans="1:29" ht="25.5">
      <c r="A8938" s="8" t="s">
        <v>14290</v>
      </c>
      <c r="B8938" s="17" t="s">
        <v>7756</v>
      </c>
      <c r="C8938" s="13">
        <v>34782</v>
      </c>
      <c r="D8938" s="13" t="s">
        <v>8463</v>
      </c>
      <c r="E8938" s="10" t="s">
        <v>157</v>
      </c>
      <c r="F8938" s="10" t="s">
        <v>157</v>
      </c>
      <c r="G8938" s="11" t="s">
        <v>1395</v>
      </c>
      <c r="H8938" s="2" t="s">
        <v>75</v>
      </c>
      <c r="K8938" s="18">
        <v>2</v>
      </c>
      <c r="L8938" s="18">
        <v>0</v>
      </c>
      <c r="Q8938" s="18">
        <v>0</v>
      </c>
      <c r="V8938" s="22">
        <f>2.56/5</f>
        <v>0.51200000000000001</v>
      </c>
      <c r="X8938" s="3">
        <v>2</v>
      </c>
      <c r="AB8938" s="18">
        <f t="shared" si="278"/>
        <v>1995</v>
      </c>
      <c r="AC8938" s="22">
        <f t="shared" si="279"/>
        <v>0.45600000000000002</v>
      </c>
    </row>
    <row r="8939" spans="1:29" ht="30">
      <c r="A8939" s="8" t="s">
        <v>2694</v>
      </c>
      <c r="B8939" s="17" t="s">
        <v>7752</v>
      </c>
      <c r="C8939" s="13">
        <v>34780</v>
      </c>
      <c r="D8939" s="13" t="s">
        <v>8465</v>
      </c>
      <c r="E8939" s="10" t="s">
        <v>455</v>
      </c>
      <c r="F8939" s="10" t="s">
        <v>2677</v>
      </c>
      <c r="G8939" s="11" t="s">
        <v>1661</v>
      </c>
      <c r="H8939" s="2" t="s">
        <v>75</v>
      </c>
      <c r="L8939" s="18">
        <v>0</v>
      </c>
      <c r="Q8939" s="18">
        <v>0</v>
      </c>
      <c r="U8939" s="22">
        <v>0.85</v>
      </c>
      <c r="V8939" s="22">
        <f>4.15/5</f>
        <v>0.83000000000000007</v>
      </c>
      <c r="X8939" s="3">
        <v>4</v>
      </c>
      <c r="Z8939" s="23">
        <v>24</v>
      </c>
      <c r="AB8939" s="18">
        <f t="shared" si="278"/>
        <v>1995</v>
      </c>
      <c r="AC8939" s="22">
        <f t="shared" si="279"/>
        <v>0.82666666666666677</v>
      </c>
    </row>
    <row r="8940" spans="1:29" ht="25.5">
      <c r="A8940" s="8" t="s">
        <v>15598</v>
      </c>
      <c r="B8940" s="17" t="s">
        <v>6317</v>
      </c>
      <c r="C8940" s="13">
        <v>34780</v>
      </c>
      <c r="D8940" s="13" t="s">
        <v>8465</v>
      </c>
      <c r="E8940" s="10" t="s">
        <v>455</v>
      </c>
      <c r="F8940" s="10" t="s">
        <v>14675</v>
      </c>
      <c r="G8940" s="11" t="s">
        <v>11800</v>
      </c>
      <c r="H8940" s="2" t="s">
        <v>153</v>
      </c>
      <c r="L8940" s="18">
        <v>0</v>
      </c>
      <c r="Q8940" s="18">
        <v>0</v>
      </c>
      <c r="V8940" s="22">
        <f>3.44/5</f>
        <v>0.68799999999999994</v>
      </c>
      <c r="X8940" s="3">
        <v>2</v>
      </c>
      <c r="Z8940" s="23">
        <f>53/60</f>
        <v>0.8833333333333333</v>
      </c>
      <c r="AB8940" s="18">
        <f t="shared" si="278"/>
        <v>1995</v>
      </c>
      <c r="AC8940" s="22">
        <f t="shared" si="279"/>
        <v>0.54400000000000004</v>
      </c>
    </row>
    <row r="8941" spans="1:29">
      <c r="A8941" s="8" t="s">
        <v>8920</v>
      </c>
      <c r="B8941" s="17" t="s">
        <v>7736</v>
      </c>
      <c r="C8941" s="13">
        <v>34775</v>
      </c>
      <c r="D8941" s="13" t="s">
        <v>8463</v>
      </c>
      <c r="E8941" s="10" t="s">
        <v>470</v>
      </c>
      <c r="F8941" s="10" t="s">
        <v>471</v>
      </c>
      <c r="G8941" s="11" t="s">
        <v>299</v>
      </c>
      <c r="H8941" s="2" t="s">
        <v>75</v>
      </c>
      <c r="K8941" s="18">
        <v>1</v>
      </c>
      <c r="L8941" s="18">
        <v>0</v>
      </c>
      <c r="Q8941" s="18">
        <v>0</v>
      </c>
      <c r="V8941" s="22">
        <f>4.02/5</f>
        <v>0.80399999999999994</v>
      </c>
      <c r="X8941" s="3">
        <v>3</v>
      </c>
      <c r="AB8941" s="18">
        <f t="shared" si="278"/>
        <v>1995</v>
      </c>
      <c r="AC8941" s="22">
        <f t="shared" si="279"/>
        <v>0.70199999999999996</v>
      </c>
    </row>
    <row r="8942" spans="1:29" ht="25.5">
      <c r="A8942" s="8" t="s">
        <v>12424</v>
      </c>
      <c r="B8942" s="17" t="s">
        <v>7792</v>
      </c>
      <c r="C8942" s="13">
        <v>34775</v>
      </c>
      <c r="D8942" s="13" t="s">
        <v>8463</v>
      </c>
      <c r="E8942" s="10" t="s">
        <v>157</v>
      </c>
      <c r="F8942" s="10" t="s">
        <v>7406</v>
      </c>
      <c r="G8942" s="11" t="s">
        <v>11800</v>
      </c>
      <c r="H8942" s="2" t="s">
        <v>459</v>
      </c>
      <c r="K8942" s="18">
        <v>0</v>
      </c>
      <c r="L8942" s="18">
        <v>0</v>
      </c>
      <c r="Q8942" s="18">
        <v>0</v>
      </c>
      <c r="V8942" s="22">
        <f>3.98/5</f>
        <v>0.79600000000000004</v>
      </c>
      <c r="X8942" s="3">
        <v>2</v>
      </c>
      <c r="Z8942" s="23">
        <v>1.5</v>
      </c>
      <c r="AB8942" s="18">
        <f t="shared" si="278"/>
        <v>1995</v>
      </c>
      <c r="AC8942" s="22">
        <f t="shared" si="279"/>
        <v>0.59800000000000009</v>
      </c>
    </row>
    <row r="8943" spans="1:29" ht="30">
      <c r="A8943" s="8" t="s">
        <v>11733</v>
      </c>
      <c r="B8943" s="17" t="s">
        <v>7751</v>
      </c>
      <c r="C8943" s="13">
        <v>34775</v>
      </c>
      <c r="D8943" s="13" t="s">
        <v>8463</v>
      </c>
      <c r="E8943" s="10" t="s">
        <v>455</v>
      </c>
      <c r="F8943" s="10" t="s">
        <v>11734</v>
      </c>
      <c r="H8943" s="2" t="s">
        <v>149</v>
      </c>
      <c r="K8943" s="18">
        <v>0</v>
      </c>
      <c r="L8943" s="18">
        <v>0</v>
      </c>
      <c r="Q8943" s="18">
        <v>0</v>
      </c>
      <c r="V8943" s="22">
        <f>3.91/5</f>
        <v>0.78200000000000003</v>
      </c>
      <c r="X8943" s="3">
        <v>2</v>
      </c>
      <c r="AB8943" s="18">
        <f t="shared" si="278"/>
        <v>1995</v>
      </c>
      <c r="AC8943" s="22">
        <f t="shared" si="279"/>
        <v>0.59099999999999997</v>
      </c>
    </row>
    <row r="8944" spans="1:29" ht="25.5">
      <c r="A8944" s="8" t="s">
        <v>791</v>
      </c>
      <c r="B8944" s="17" t="s">
        <v>7736</v>
      </c>
      <c r="C8944" s="13">
        <v>34775</v>
      </c>
      <c r="D8944" s="13" t="s">
        <v>8463</v>
      </c>
      <c r="E8944" s="10" t="s">
        <v>257</v>
      </c>
      <c r="F8944" s="10" t="s">
        <v>1399</v>
      </c>
      <c r="H8944" s="2" t="s">
        <v>149</v>
      </c>
      <c r="K8944" s="18">
        <v>2</v>
      </c>
      <c r="L8944" s="18">
        <v>0</v>
      </c>
      <c r="Q8944" s="18">
        <v>0</v>
      </c>
      <c r="V8944" s="22">
        <f>3.42/5</f>
        <v>0.68399999999999994</v>
      </c>
      <c r="X8944" s="3">
        <v>2</v>
      </c>
      <c r="Z8944" s="23">
        <v>15</v>
      </c>
      <c r="AB8944" s="18">
        <f t="shared" si="278"/>
        <v>1995</v>
      </c>
      <c r="AC8944" s="22">
        <f t="shared" si="279"/>
        <v>0.54200000000000004</v>
      </c>
    </row>
    <row r="8945" spans="1:29" ht="25.5">
      <c r="A8945" s="8" t="s">
        <v>15082</v>
      </c>
      <c r="B8945" s="17" t="s">
        <v>7736</v>
      </c>
      <c r="C8945" s="13">
        <v>34775</v>
      </c>
      <c r="D8945" s="13" t="s">
        <v>8463</v>
      </c>
      <c r="E8945" s="10" t="s">
        <v>11883</v>
      </c>
      <c r="F8945" s="10" t="s">
        <v>15083</v>
      </c>
      <c r="G8945" s="11" t="s">
        <v>1264</v>
      </c>
      <c r="H8945" s="2" t="s">
        <v>56</v>
      </c>
      <c r="K8945" s="18">
        <v>2</v>
      </c>
      <c r="L8945" s="18">
        <v>0</v>
      </c>
      <c r="Q8945" s="18">
        <v>0</v>
      </c>
      <c r="V8945" s="22">
        <f>3.15/5</f>
        <v>0.63</v>
      </c>
      <c r="X8945" s="3">
        <v>2</v>
      </c>
      <c r="Z8945" s="23">
        <v>1</v>
      </c>
      <c r="AB8945" s="18">
        <f t="shared" si="278"/>
        <v>1995</v>
      </c>
      <c r="AC8945" s="22">
        <f t="shared" si="279"/>
        <v>0.51500000000000001</v>
      </c>
    </row>
    <row r="8946" spans="1:29" ht="30">
      <c r="A8946" s="8" t="s">
        <v>10922</v>
      </c>
      <c r="B8946" s="17" t="s">
        <v>10323</v>
      </c>
      <c r="C8946" s="13">
        <v>34775</v>
      </c>
      <c r="D8946" s="13" t="s">
        <v>8463</v>
      </c>
      <c r="E8946" s="10" t="s">
        <v>10919</v>
      </c>
      <c r="F8946" s="10" t="s">
        <v>10919</v>
      </c>
      <c r="G8946" s="11" t="s">
        <v>10920</v>
      </c>
      <c r="H8946" s="2" t="s">
        <v>75</v>
      </c>
      <c r="K8946" s="18">
        <v>2</v>
      </c>
      <c r="L8946" s="18">
        <v>0</v>
      </c>
      <c r="Q8946" s="18">
        <v>0</v>
      </c>
      <c r="V8946" s="22">
        <f>2.5/5</f>
        <v>0.5</v>
      </c>
      <c r="X8946" s="3">
        <v>2</v>
      </c>
      <c r="AB8946" s="18">
        <f t="shared" si="278"/>
        <v>1995</v>
      </c>
      <c r="AC8946" s="22">
        <f t="shared" si="279"/>
        <v>0.45</v>
      </c>
    </row>
    <row r="8947" spans="1:29">
      <c r="A8947" s="8" t="s">
        <v>6843</v>
      </c>
      <c r="B8947" s="17" t="s">
        <v>7800</v>
      </c>
      <c r="C8947" s="13">
        <v>34774</v>
      </c>
      <c r="D8947" s="13" t="s">
        <v>8465</v>
      </c>
      <c r="E8947" s="10" t="s">
        <v>1272</v>
      </c>
      <c r="F8947" s="10" t="s">
        <v>60</v>
      </c>
      <c r="G8947" s="11" t="s">
        <v>1867</v>
      </c>
      <c r="H8947" s="2" t="s">
        <v>1061</v>
      </c>
      <c r="L8947" s="18">
        <v>1</v>
      </c>
      <c r="N8947" s="13">
        <v>44785</v>
      </c>
      <c r="O8947" s="29">
        <v>1.49</v>
      </c>
      <c r="P8947" s="18" t="s">
        <v>1107</v>
      </c>
      <c r="Q8947" s="18">
        <v>0</v>
      </c>
      <c r="U8947" s="22">
        <v>0.6</v>
      </c>
      <c r="V8947" s="22">
        <f>3.31/5</f>
        <v>0.66200000000000003</v>
      </c>
      <c r="W8947" s="14" t="s">
        <v>7777</v>
      </c>
      <c r="X8947" s="3">
        <v>4</v>
      </c>
      <c r="Z8947" s="23">
        <v>5.5</v>
      </c>
      <c r="AB8947" s="18">
        <f t="shared" si="278"/>
        <v>1995</v>
      </c>
      <c r="AC8947" s="22">
        <f t="shared" si="279"/>
        <v>0.68733333333333346</v>
      </c>
    </row>
    <row r="8948" spans="1:29">
      <c r="A8948" s="8" t="s">
        <v>842</v>
      </c>
      <c r="B8948" s="17" t="s">
        <v>7736</v>
      </c>
      <c r="C8948" s="13">
        <v>34768</v>
      </c>
      <c r="D8948" s="13" t="s">
        <v>8463</v>
      </c>
      <c r="E8948" s="10" t="s">
        <v>1237</v>
      </c>
      <c r="F8948" s="10" t="s">
        <v>1390</v>
      </c>
      <c r="H8948" s="2" t="s">
        <v>64</v>
      </c>
      <c r="K8948" s="18">
        <v>2</v>
      </c>
      <c r="L8948" s="18">
        <v>0</v>
      </c>
      <c r="Q8948" s="18">
        <v>0</v>
      </c>
      <c r="V8948" s="22">
        <f>3.82/5</f>
        <v>0.76400000000000001</v>
      </c>
      <c r="X8948" s="3">
        <v>3</v>
      </c>
      <c r="Z8948" s="23">
        <v>4</v>
      </c>
      <c r="AB8948" s="18">
        <f t="shared" si="278"/>
        <v>1995</v>
      </c>
      <c r="AC8948" s="22">
        <f t="shared" si="279"/>
        <v>0.68199999999999994</v>
      </c>
    </row>
    <row r="8949" spans="1:29">
      <c r="A8949" s="8" t="s">
        <v>1879</v>
      </c>
      <c r="B8949" s="17" t="s">
        <v>7736</v>
      </c>
      <c r="C8949" s="13">
        <v>34762</v>
      </c>
      <c r="D8949" s="13" t="s">
        <v>8463</v>
      </c>
      <c r="E8949" s="10" t="s">
        <v>228</v>
      </c>
      <c r="F8949" s="10" t="s">
        <v>1793</v>
      </c>
      <c r="G8949" s="11" t="s">
        <v>1171</v>
      </c>
      <c r="H8949" s="2" t="s">
        <v>149</v>
      </c>
      <c r="K8949" s="18">
        <v>2</v>
      </c>
      <c r="L8949" s="18">
        <v>0</v>
      </c>
      <c r="Q8949" s="18">
        <v>0</v>
      </c>
      <c r="V8949" s="22">
        <f>2.76/5</f>
        <v>0.55199999999999994</v>
      </c>
      <c r="X8949" s="3">
        <v>3</v>
      </c>
      <c r="AB8949" s="18">
        <f t="shared" si="278"/>
        <v>1995</v>
      </c>
      <c r="AC8949" s="22">
        <f t="shared" si="279"/>
        <v>0.57599999999999996</v>
      </c>
    </row>
    <row r="8950" spans="1:29">
      <c r="A8950" s="8" t="s">
        <v>15666</v>
      </c>
      <c r="B8950" s="17" t="s">
        <v>7736</v>
      </c>
      <c r="C8950" s="13">
        <v>34762</v>
      </c>
      <c r="D8950" s="13" t="s">
        <v>8463</v>
      </c>
      <c r="E8950" s="10" t="s">
        <v>15667</v>
      </c>
      <c r="F8950" s="10" t="s">
        <v>15622</v>
      </c>
      <c r="H8950" s="2" t="s">
        <v>150</v>
      </c>
      <c r="K8950" s="18">
        <v>0</v>
      </c>
      <c r="L8950" s="18">
        <v>0</v>
      </c>
      <c r="Q8950" s="18">
        <v>0</v>
      </c>
      <c r="V8950" s="22">
        <f>3.5/5</f>
        <v>0.7</v>
      </c>
      <c r="X8950" s="3">
        <v>2</v>
      </c>
      <c r="AB8950" s="18">
        <f t="shared" si="278"/>
        <v>1995</v>
      </c>
      <c r="AC8950" s="22">
        <f t="shared" si="279"/>
        <v>0.55000000000000004</v>
      </c>
    </row>
    <row r="8951" spans="1:29">
      <c r="A8951" s="8" t="s">
        <v>744</v>
      </c>
      <c r="B8951" s="17" t="s">
        <v>7736</v>
      </c>
      <c r="C8951" s="13">
        <v>34761</v>
      </c>
      <c r="D8951" s="13" t="s">
        <v>8463</v>
      </c>
      <c r="E8951" s="10" t="s">
        <v>144</v>
      </c>
      <c r="F8951" s="10" t="s">
        <v>144</v>
      </c>
      <c r="G8951" s="11" t="s">
        <v>744</v>
      </c>
      <c r="H8951" s="2" t="s">
        <v>153</v>
      </c>
      <c r="K8951" s="18">
        <v>2</v>
      </c>
      <c r="L8951" s="18">
        <v>0</v>
      </c>
      <c r="Q8951" s="18">
        <v>0</v>
      </c>
      <c r="U8951" s="22">
        <v>0.62</v>
      </c>
      <c r="V8951" s="22">
        <f>3.6/5</f>
        <v>0.72</v>
      </c>
      <c r="X8951" s="3">
        <v>2</v>
      </c>
      <c r="Z8951" s="23">
        <f>53/60</f>
        <v>0.8833333333333333</v>
      </c>
      <c r="AB8951" s="18">
        <f t="shared" si="278"/>
        <v>1995</v>
      </c>
      <c r="AC8951" s="22">
        <f t="shared" si="279"/>
        <v>0.57999999999999996</v>
      </c>
    </row>
    <row r="8952" spans="1:29">
      <c r="A8952" s="8" t="s">
        <v>1807</v>
      </c>
      <c r="B8952" s="17" t="s">
        <v>7745</v>
      </c>
      <c r="C8952" s="13">
        <v>34761</v>
      </c>
      <c r="D8952" s="13" t="s">
        <v>8463</v>
      </c>
      <c r="E8952" s="10" t="s">
        <v>228</v>
      </c>
      <c r="F8952" s="10" t="s">
        <v>1793</v>
      </c>
      <c r="G8952" s="11" t="s">
        <v>1171</v>
      </c>
      <c r="H8952" s="2" t="s">
        <v>75</v>
      </c>
      <c r="K8952" s="18">
        <v>2</v>
      </c>
      <c r="L8952" s="18">
        <v>0</v>
      </c>
      <c r="Q8952" s="18">
        <v>0</v>
      </c>
      <c r="V8952" s="22">
        <f>2.34/5</f>
        <v>0.46799999999999997</v>
      </c>
      <c r="X8952" s="3">
        <v>3</v>
      </c>
      <c r="Z8952" s="23">
        <v>12.5</v>
      </c>
      <c r="AB8952" s="18">
        <f t="shared" si="278"/>
        <v>1995</v>
      </c>
      <c r="AC8952" s="22">
        <f t="shared" si="279"/>
        <v>0.53400000000000003</v>
      </c>
    </row>
    <row r="8953" spans="1:29" ht="25.5">
      <c r="A8953" s="8" t="s">
        <v>2617</v>
      </c>
      <c r="B8953" s="17" t="s">
        <v>7751</v>
      </c>
      <c r="C8953" s="12">
        <v>34759</v>
      </c>
      <c r="D8953" s="13" t="s">
        <v>8465</v>
      </c>
      <c r="E8953" s="10" t="s">
        <v>455</v>
      </c>
      <c r="F8953" s="10" t="s">
        <v>455</v>
      </c>
      <c r="G8953" s="11" t="s">
        <v>1936</v>
      </c>
      <c r="H8953" s="2" t="s">
        <v>149</v>
      </c>
      <c r="L8953" s="18">
        <v>0</v>
      </c>
      <c r="Q8953" s="18">
        <v>0</v>
      </c>
      <c r="U8953" s="22">
        <v>0.87</v>
      </c>
      <c r="V8953" s="22">
        <f>4.32/5</f>
        <v>0.8640000000000001</v>
      </c>
      <c r="X8953" s="3">
        <v>4</v>
      </c>
      <c r="Z8953" s="23">
        <v>21</v>
      </c>
      <c r="AB8953" s="18">
        <f t="shared" si="278"/>
        <v>1995</v>
      </c>
      <c r="AC8953" s="22">
        <f t="shared" si="279"/>
        <v>0.84466666666666657</v>
      </c>
    </row>
    <row r="8954" spans="1:29">
      <c r="A8954" s="8" t="s">
        <v>7638</v>
      </c>
      <c r="B8954" s="17" t="s">
        <v>7736</v>
      </c>
      <c r="C8954" s="12">
        <v>34759</v>
      </c>
      <c r="D8954" s="13" t="s">
        <v>8467</v>
      </c>
      <c r="E8954" s="10" t="s">
        <v>1324</v>
      </c>
      <c r="F8954" s="10" t="s">
        <v>7639</v>
      </c>
      <c r="G8954" s="11" t="s">
        <v>7638</v>
      </c>
      <c r="H8954" s="2" t="s">
        <v>56</v>
      </c>
      <c r="L8954" s="18">
        <v>0</v>
      </c>
      <c r="Q8954" s="18">
        <v>0</v>
      </c>
      <c r="U8954" s="22">
        <v>0.61</v>
      </c>
      <c r="V8954" s="22">
        <f>2.67/5</f>
        <v>0.53400000000000003</v>
      </c>
      <c r="X8954" s="3">
        <v>2</v>
      </c>
      <c r="Z8954" s="23">
        <v>5.5</v>
      </c>
      <c r="AB8954" s="18">
        <f t="shared" si="278"/>
        <v>1995</v>
      </c>
      <c r="AC8954" s="22">
        <f t="shared" si="279"/>
        <v>0.51466666666666672</v>
      </c>
    </row>
    <row r="8955" spans="1:29">
      <c r="A8955" s="8" t="s">
        <v>5111</v>
      </c>
      <c r="B8955" s="17" t="s">
        <v>7800</v>
      </c>
      <c r="C8955" s="13">
        <v>34758</v>
      </c>
      <c r="D8955" s="13" t="s">
        <v>8465</v>
      </c>
      <c r="E8955" s="10" t="s">
        <v>1284</v>
      </c>
      <c r="F8955" s="10" t="s">
        <v>1284</v>
      </c>
      <c r="G8955" s="11" t="s">
        <v>5112</v>
      </c>
      <c r="H8955" s="2" t="s">
        <v>1050</v>
      </c>
      <c r="L8955" s="18">
        <v>1</v>
      </c>
      <c r="N8955" s="13">
        <v>42038</v>
      </c>
      <c r="P8955" s="18" t="s">
        <v>1107</v>
      </c>
      <c r="Q8955" s="18">
        <v>0</v>
      </c>
      <c r="U8955" s="22">
        <v>0.77</v>
      </c>
      <c r="V8955" s="22">
        <f>3.66/5</f>
        <v>0.73199999999999998</v>
      </c>
      <c r="W8955" s="14" t="s">
        <v>7777</v>
      </c>
      <c r="X8955" s="3">
        <v>3</v>
      </c>
      <c r="Z8955" s="23">
        <v>9</v>
      </c>
      <c r="AB8955" s="18">
        <f t="shared" si="278"/>
        <v>1995</v>
      </c>
      <c r="AC8955" s="22">
        <f t="shared" si="279"/>
        <v>0.70066666666666666</v>
      </c>
    </row>
    <row r="8956" spans="1:29">
      <c r="A8956" s="8" t="s">
        <v>12287</v>
      </c>
      <c r="B8956" s="17" t="s">
        <v>10323</v>
      </c>
      <c r="C8956" s="13">
        <v>34758</v>
      </c>
      <c r="D8956" s="13" t="s">
        <v>8463</v>
      </c>
      <c r="E8956" s="10" t="s">
        <v>12288</v>
      </c>
      <c r="F8956" s="10" t="s">
        <v>12288</v>
      </c>
      <c r="H8956" s="2" t="s">
        <v>149</v>
      </c>
      <c r="K8956" s="18">
        <v>0</v>
      </c>
      <c r="L8956" s="18">
        <v>0</v>
      </c>
      <c r="Q8956" s="18">
        <v>0</v>
      </c>
      <c r="V8956" s="22">
        <f>5/5</f>
        <v>1</v>
      </c>
      <c r="X8956" s="3">
        <v>2</v>
      </c>
      <c r="AB8956" s="18">
        <f t="shared" si="278"/>
        <v>1995</v>
      </c>
      <c r="AC8956" s="22">
        <f t="shared" si="279"/>
        <v>0.7</v>
      </c>
    </row>
    <row r="8957" spans="1:29">
      <c r="A8957" s="8" t="s">
        <v>9155</v>
      </c>
      <c r="B8957" s="17" t="s">
        <v>7736</v>
      </c>
      <c r="C8957" s="13">
        <v>34755</v>
      </c>
      <c r="D8957" s="13" t="s">
        <v>8463</v>
      </c>
      <c r="E8957" s="10" t="s">
        <v>1389</v>
      </c>
      <c r="F8957" s="10" t="s">
        <v>1389</v>
      </c>
      <c r="H8957" s="2" t="s">
        <v>149</v>
      </c>
      <c r="K8957" s="18">
        <v>1</v>
      </c>
      <c r="L8957" s="18">
        <v>0</v>
      </c>
      <c r="Q8957" s="18">
        <v>0</v>
      </c>
      <c r="V8957" s="22">
        <f>3.49/5</f>
        <v>0.69800000000000006</v>
      </c>
      <c r="X8957" s="3">
        <v>2</v>
      </c>
      <c r="AB8957" s="18">
        <f t="shared" si="278"/>
        <v>1995</v>
      </c>
      <c r="AC8957" s="22">
        <f t="shared" si="279"/>
        <v>0.54900000000000004</v>
      </c>
    </row>
    <row r="8958" spans="1:29" ht="25.5">
      <c r="A8958" s="8" t="s">
        <v>512</v>
      </c>
      <c r="B8958" s="17" t="s">
        <v>7731</v>
      </c>
      <c r="C8958" s="13">
        <v>34755</v>
      </c>
      <c r="D8958" s="13" t="s">
        <v>8465</v>
      </c>
      <c r="E8958" s="10" t="s">
        <v>170</v>
      </c>
      <c r="F8958" s="10" t="s">
        <v>160</v>
      </c>
      <c r="H8958" s="2" t="s">
        <v>459</v>
      </c>
      <c r="L8958" s="18">
        <v>0</v>
      </c>
      <c r="Q8958" s="18">
        <v>0</v>
      </c>
      <c r="V8958" s="22">
        <f>3.32/5</f>
        <v>0.66399999999999992</v>
      </c>
      <c r="X8958" s="3">
        <v>2</v>
      </c>
      <c r="Z8958" s="23">
        <f>32/60</f>
        <v>0.53333333333333333</v>
      </c>
      <c r="AB8958" s="18">
        <f t="shared" si="278"/>
        <v>1995</v>
      </c>
      <c r="AC8958" s="22">
        <f t="shared" si="279"/>
        <v>0.53200000000000003</v>
      </c>
    </row>
    <row r="8959" spans="1:29">
      <c r="A8959" s="8" t="s">
        <v>812</v>
      </c>
      <c r="B8959" s="17" t="s">
        <v>7736</v>
      </c>
      <c r="C8959" s="13">
        <v>34754</v>
      </c>
      <c r="D8959" s="13" t="s">
        <v>8463</v>
      </c>
      <c r="E8959" s="10" t="s">
        <v>161</v>
      </c>
      <c r="F8959" s="10" t="s">
        <v>1409</v>
      </c>
      <c r="G8959" s="11" t="s">
        <v>812</v>
      </c>
      <c r="H8959" s="2" t="s">
        <v>75</v>
      </c>
      <c r="K8959" s="18">
        <v>2</v>
      </c>
      <c r="L8959" s="18">
        <v>0</v>
      </c>
      <c r="Q8959" s="18">
        <v>0</v>
      </c>
      <c r="V8959" s="22">
        <f>4.26/5</f>
        <v>0.85199999999999998</v>
      </c>
      <c r="X8959" s="3">
        <v>4</v>
      </c>
      <c r="Z8959" s="23">
        <v>20.5</v>
      </c>
      <c r="AB8959" s="18">
        <f t="shared" si="278"/>
        <v>1995</v>
      </c>
      <c r="AC8959" s="22">
        <f t="shared" si="279"/>
        <v>0.82600000000000007</v>
      </c>
    </row>
    <row r="8960" spans="1:29">
      <c r="A8960" s="8" t="s">
        <v>2799</v>
      </c>
      <c r="B8960" s="17" t="s">
        <v>7756</v>
      </c>
      <c r="C8960" s="13">
        <v>34754</v>
      </c>
      <c r="D8960" s="13" t="s">
        <v>8463</v>
      </c>
      <c r="E8960" s="10" t="s">
        <v>455</v>
      </c>
      <c r="F8960" s="10" t="s">
        <v>455</v>
      </c>
      <c r="G8960" s="11" t="s">
        <v>2797</v>
      </c>
      <c r="H8960" s="2" t="s">
        <v>75</v>
      </c>
      <c r="K8960" s="18">
        <v>2</v>
      </c>
      <c r="L8960" s="18">
        <v>0</v>
      </c>
      <c r="Q8960" s="18">
        <v>0</v>
      </c>
      <c r="V8960" s="22">
        <f>4.09/5</f>
        <v>0.81799999999999995</v>
      </c>
      <c r="X8960" s="3">
        <v>4</v>
      </c>
      <c r="Z8960" s="23">
        <v>14</v>
      </c>
      <c r="AB8960" s="18">
        <f t="shared" si="278"/>
        <v>1995</v>
      </c>
      <c r="AC8960" s="22">
        <f t="shared" si="279"/>
        <v>0.80899999999999994</v>
      </c>
    </row>
    <row r="8961" spans="1:29">
      <c r="A8961" s="8" t="s">
        <v>13379</v>
      </c>
      <c r="B8961" s="17" t="s">
        <v>7790</v>
      </c>
      <c r="C8961" s="13">
        <v>34754</v>
      </c>
      <c r="D8961" s="13" t="s">
        <v>8463</v>
      </c>
      <c r="E8961" s="10" t="s">
        <v>1430</v>
      </c>
      <c r="F8961" s="10" t="s">
        <v>1397</v>
      </c>
      <c r="G8961" s="11" t="s">
        <v>1362</v>
      </c>
      <c r="H8961" s="2" t="s">
        <v>21</v>
      </c>
      <c r="K8961" s="18">
        <v>0</v>
      </c>
      <c r="L8961" s="18">
        <v>0</v>
      </c>
      <c r="Q8961" s="18">
        <v>0</v>
      </c>
      <c r="V8961" s="22">
        <f>3.44/5</f>
        <v>0.68799999999999994</v>
      </c>
      <c r="X8961" s="3">
        <v>2</v>
      </c>
      <c r="Z8961" s="23">
        <v>1</v>
      </c>
      <c r="AB8961" s="18">
        <f t="shared" ref="AB8961:AB9024" si="280">IFERROR(YEAR(C8961), "Early Access")</f>
        <v>1995</v>
      </c>
      <c r="AC8961" s="22">
        <f t="shared" ref="AC8961:AC9024" si="281">AVERAGE(T8961, U8961, V8961, IF(ISBLANK(X8961), X8961, X8961/5))</f>
        <v>0.54400000000000004</v>
      </c>
    </row>
    <row r="8962" spans="1:29">
      <c r="A8962" s="8" t="s">
        <v>2705</v>
      </c>
      <c r="B8962" s="17" t="s">
        <v>7753</v>
      </c>
      <c r="C8962" s="13">
        <v>34754</v>
      </c>
      <c r="D8962" s="13" t="s">
        <v>8465</v>
      </c>
      <c r="E8962" s="10" t="s">
        <v>455</v>
      </c>
      <c r="F8962" s="10" t="s">
        <v>455</v>
      </c>
      <c r="H8962" s="2" t="s">
        <v>1050</v>
      </c>
      <c r="I8962" s="1"/>
      <c r="J8962" s="1"/>
      <c r="K8962" s="1"/>
      <c r="L8962" s="1">
        <v>0</v>
      </c>
      <c r="M8962" s="26"/>
      <c r="Q8962" s="1">
        <v>0</v>
      </c>
      <c r="V8962" s="22">
        <f>3.24/5</f>
        <v>0.64800000000000002</v>
      </c>
      <c r="W8962" s="3"/>
      <c r="X8962" s="3">
        <v>2</v>
      </c>
      <c r="Z8962" s="23">
        <v>2.5</v>
      </c>
      <c r="AA8962" s="1"/>
      <c r="AB8962" s="18">
        <f t="shared" si="280"/>
        <v>1995</v>
      </c>
      <c r="AC8962" s="22">
        <f t="shared" si="281"/>
        <v>0.52400000000000002</v>
      </c>
    </row>
    <row r="8963" spans="1:29">
      <c r="A8963" s="8" t="s">
        <v>13868</v>
      </c>
      <c r="B8963" s="17" t="s">
        <v>10323</v>
      </c>
      <c r="C8963" s="13">
        <v>34754</v>
      </c>
      <c r="D8963" s="13" t="s">
        <v>8463</v>
      </c>
      <c r="E8963" s="10" t="s">
        <v>13869</v>
      </c>
      <c r="F8963" s="10" t="s">
        <v>13869</v>
      </c>
      <c r="G8963" s="11" t="s">
        <v>13868</v>
      </c>
      <c r="H8963" s="2" t="s">
        <v>56</v>
      </c>
      <c r="K8963" s="18">
        <v>0</v>
      </c>
      <c r="L8963" s="18">
        <v>0</v>
      </c>
      <c r="Q8963" s="18">
        <v>0</v>
      </c>
      <c r="X8963" s="3">
        <v>2</v>
      </c>
      <c r="AB8963" s="18">
        <f t="shared" si="280"/>
        <v>1995</v>
      </c>
      <c r="AC8963" s="22">
        <f t="shared" si="281"/>
        <v>0.4</v>
      </c>
    </row>
    <row r="8964" spans="1:29">
      <c r="A8964" s="8" t="s">
        <v>2693</v>
      </c>
      <c r="B8964" s="17" t="s">
        <v>7752</v>
      </c>
      <c r="C8964" s="13">
        <v>34753</v>
      </c>
      <c r="D8964" s="13" t="s">
        <v>8465</v>
      </c>
      <c r="E8964" s="10" t="s">
        <v>2701</v>
      </c>
      <c r="F8964" s="10" t="s">
        <v>1245</v>
      </c>
      <c r="H8964" s="2" t="s">
        <v>64</v>
      </c>
      <c r="L8964" s="18">
        <v>0</v>
      </c>
      <c r="Q8964" s="18">
        <v>0</v>
      </c>
      <c r="U8964" s="22">
        <v>0.93</v>
      </c>
      <c r="V8964" s="22">
        <f>4.24/5</f>
        <v>0.84800000000000009</v>
      </c>
      <c r="X8964" s="3">
        <v>4</v>
      </c>
      <c r="Z8964" s="23">
        <v>8</v>
      </c>
      <c r="AB8964" s="18">
        <f t="shared" si="280"/>
        <v>1995</v>
      </c>
      <c r="AC8964" s="22">
        <f t="shared" si="281"/>
        <v>0.85933333333333339</v>
      </c>
    </row>
    <row r="8965" spans="1:29" ht="25.5">
      <c r="A8965" s="8" t="s">
        <v>782</v>
      </c>
      <c r="B8965" s="17" t="s">
        <v>7736</v>
      </c>
      <c r="C8965" s="13">
        <v>34749</v>
      </c>
      <c r="D8965" s="13" t="s">
        <v>8463</v>
      </c>
      <c r="E8965" s="10" t="s">
        <v>228</v>
      </c>
      <c r="F8965" s="10" t="s">
        <v>228</v>
      </c>
      <c r="G8965" s="11" t="s">
        <v>1171</v>
      </c>
      <c r="H8965" s="2" t="s">
        <v>75</v>
      </c>
      <c r="K8965" s="18">
        <v>2</v>
      </c>
      <c r="L8965" s="18">
        <v>0</v>
      </c>
      <c r="Q8965" s="18">
        <v>0</v>
      </c>
      <c r="V8965" s="22">
        <f>3.61/5</f>
        <v>0.72199999999999998</v>
      </c>
      <c r="X8965" s="3">
        <v>3</v>
      </c>
      <c r="Z8965" s="23">
        <v>47</v>
      </c>
      <c r="AB8965" s="18">
        <f t="shared" si="280"/>
        <v>1995</v>
      </c>
      <c r="AC8965" s="22">
        <f t="shared" si="281"/>
        <v>0.66100000000000003</v>
      </c>
    </row>
    <row r="8966" spans="1:29" ht="25.5">
      <c r="A8966" s="8" t="s">
        <v>6860</v>
      </c>
      <c r="B8966" s="17" t="s">
        <v>7800</v>
      </c>
      <c r="C8966" s="13">
        <v>34747</v>
      </c>
      <c r="D8966" s="13" t="s">
        <v>8465</v>
      </c>
      <c r="E8966" s="10" t="s">
        <v>3304</v>
      </c>
      <c r="F8966" s="10" t="s">
        <v>3304</v>
      </c>
      <c r="G8966" s="11" t="s">
        <v>4844</v>
      </c>
      <c r="H8966" s="2" t="s">
        <v>1050</v>
      </c>
      <c r="L8966" s="18">
        <v>1</v>
      </c>
      <c r="P8966" s="18" t="s">
        <v>1107</v>
      </c>
      <c r="Q8966" s="18">
        <v>0</v>
      </c>
      <c r="U8966" s="22">
        <v>0.4</v>
      </c>
      <c r="V8966" s="22">
        <f>3.63/5</f>
        <v>0.72599999999999998</v>
      </c>
      <c r="W8966" s="14" t="s">
        <v>7777</v>
      </c>
      <c r="X8966" s="3">
        <v>4</v>
      </c>
      <c r="Z8966" s="23">
        <v>8</v>
      </c>
      <c r="AB8966" s="18">
        <f t="shared" si="280"/>
        <v>1995</v>
      </c>
      <c r="AC8966" s="22">
        <f t="shared" si="281"/>
        <v>0.64200000000000002</v>
      </c>
    </row>
    <row r="8967" spans="1:29">
      <c r="A8967" s="8" t="s">
        <v>2619</v>
      </c>
      <c r="B8967" s="17" t="s">
        <v>7751</v>
      </c>
      <c r="C8967" s="13">
        <v>34746</v>
      </c>
      <c r="D8967" s="13" t="s">
        <v>8465</v>
      </c>
      <c r="E8967" s="10" t="s">
        <v>455</v>
      </c>
      <c r="F8967" s="10" t="s">
        <v>1492</v>
      </c>
      <c r="H8967" s="2" t="s">
        <v>64</v>
      </c>
      <c r="L8967" s="18">
        <v>0</v>
      </c>
      <c r="Q8967" s="18">
        <v>0</v>
      </c>
      <c r="U8967" s="22">
        <v>0.89</v>
      </c>
      <c r="V8967" s="22">
        <f>4.15/5</f>
        <v>0.83000000000000007</v>
      </c>
      <c r="X8967" s="3">
        <v>4</v>
      </c>
      <c r="Z8967" s="23">
        <v>2.5</v>
      </c>
      <c r="AB8967" s="18">
        <f t="shared" si="280"/>
        <v>1995</v>
      </c>
      <c r="AC8967" s="22">
        <f t="shared" si="281"/>
        <v>0.84000000000000019</v>
      </c>
    </row>
    <row r="8968" spans="1:29" ht="25.5">
      <c r="A8968" s="8" t="s">
        <v>787</v>
      </c>
      <c r="B8968" s="17" t="s">
        <v>7736</v>
      </c>
      <c r="C8968" s="13">
        <v>34740</v>
      </c>
      <c r="D8968" s="13" t="s">
        <v>8463</v>
      </c>
      <c r="E8968" s="10" t="s">
        <v>157</v>
      </c>
      <c r="F8968" s="10" t="s">
        <v>1396</v>
      </c>
      <c r="G8968" s="11" t="s">
        <v>1395</v>
      </c>
      <c r="H8968" s="2" t="s">
        <v>75</v>
      </c>
      <c r="K8968" s="18">
        <v>2</v>
      </c>
      <c r="L8968" s="18">
        <v>0</v>
      </c>
      <c r="Q8968" s="18">
        <v>0</v>
      </c>
      <c r="V8968" s="22">
        <f>3.63/5</f>
        <v>0.72599999999999998</v>
      </c>
      <c r="X8968" s="3">
        <v>3</v>
      </c>
      <c r="AB8968" s="18">
        <f t="shared" si="280"/>
        <v>1995</v>
      </c>
      <c r="AC8968" s="22">
        <f t="shared" si="281"/>
        <v>0.66300000000000003</v>
      </c>
    </row>
    <row r="8969" spans="1:29" ht="25.5">
      <c r="A8969" s="8" t="s">
        <v>740</v>
      </c>
      <c r="B8969" s="17" t="s">
        <v>7736</v>
      </c>
      <c r="C8969" s="13">
        <v>34740</v>
      </c>
      <c r="D8969" s="13" t="s">
        <v>8463</v>
      </c>
      <c r="E8969" s="10" t="s">
        <v>1349</v>
      </c>
      <c r="F8969" s="10" t="s">
        <v>1350</v>
      </c>
      <c r="H8969" s="2" t="s">
        <v>153</v>
      </c>
      <c r="K8969" s="18">
        <v>0</v>
      </c>
      <c r="L8969" s="18">
        <v>0</v>
      </c>
      <c r="Q8969" s="18">
        <v>0</v>
      </c>
      <c r="V8969" s="22">
        <f>3.51/5</f>
        <v>0.70199999999999996</v>
      </c>
      <c r="X8969" s="3">
        <v>2</v>
      </c>
      <c r="Z8969" s="23">
        <v>1.5</v>
      </c>
      <c r="AB8969" s="18">
        <f t="shared" si="280"/>
        <v>1995</v>
      </c>
      <c r="AC8969" s="22">
        <f t="shared" si="281"/>
        <v>0.55099999999999993</v>
      </c>
    </row>
    <row r="8970" spans="1:29">
      <c r="A8970" s="8" t="s">
        <v>13663</v>
      </c>
      <c r="B8970" s="17" t="s">
        <v>7736</v>
      </c>
      <c r="C8970" s="13">
        <v>34731</v>
      </c>
      <c r="D8970" s="13" t="s">
        <v>8465</v>
      </c>
      <c r="E8970" s="10" t="s">
        <v>86</v>
      </c>
      <c r="F8970" s="10" t="s">
        <v>30</v>
      </c>
      <c r="G8970" s="11" t="s">
        <v>223</v>
      </c>
      <c r="H8970" s="2" t="s">
        <v>255</v>
      </c>
      <c r="L8970" s="18">
        <v>0</v>
      </c>
      <c r="Q8970" s="18">
        <v>0</v>
      </c>
      <c r="V8970" s="22">
        <f>3.57/5</f>
        <v>0.71399999999999997</v>
      </c>
      <c r="X8970" s="3">
        <v>2</v>
      </c>
      <c r="Z8970" s="23">
        <v>3</v>
      </c>
      <c r="AB8970" s="18">
        <f t="shared" si="280"/>
        <v>1995</v>
      </c>
      <c r="AC8970" s="22">
        <f t="shared" si="281"/>
        <v>0.55699999999999994</v>
      </c>
    </row>
    <row r="8971" spans="1:29">
      <c r="A8971" s="8" t="s">
        <v>8811</v>
      </c>
      <c r="B8971" s="17" t="s">
        <v>7736</v>
      </c>
      <c r="C8971" s="12">
        <v>34731</v>
      </c>
      <c r="D8971" s="13" t="s">
        <v>8465</v>
      </c>
      <c r="E8971" s="10" t="s">
        <v>68</v>
      </c>
      <c r="F8971" s="10" t="s">
        <v>68</v>
      </c>
      <c r="G8971" s="11" t="s">
        <v>8811</v>
      </c>
      <c r="H8971" s="2" t="s">
        <v>171</v>
      </c>
      <c r="L8971" s="18">
        <v>0</v>
      </c>
      <c r="Q8971" s="18">
        <v>0</v>
      </c>
      <c r="V8971" s="22">
        <f>3.25/5</f>
        <v>0.65</v>
      </c>
      <c r="X8971" s="3">
        <v>2</v>
      </c>
      <c r="Z8971" s="23">
        <v>20</v>
      </c>
      <c r="AB8971" s="18">
        <f t="shared" si="280"/>
        <v>1995</v>
      </c>
      <c r="AC8971" s="22">
        <f t="shared" si="281"/>
        <v>0.52500000000000002</v>
      </c>
    </row>
    <row r="8972" spans="1:29">
      <c r="A8972" s="8" t="s">
        <v>13205</v>
      </c>
      <c r="B8972" s="17" t="s">
        <v>7745</v>
      </c>
      <c r="C8972" s="13">
        <v>34712</v>
      </c>
      <c r="D8972" s="13" t="s">
        <v>8463</v>
      </c>
      <c r="E8972" s="10" t="s">
        <v>239</v>
      </c>
      <c r="F8972" s="10" t="s">
        <v>239</v>
      </c>
      <c r="G8972" s="11" t="s">
        <v>7640</v>
      </c>
      <c r="H8972" s="2" t="s">
        <v>171</v>
      </c>
      <c r="K8972" s="18">
        <v>0</v>
      </c>
      <c r="L8972" s="18">
        <v>0</v>
      </c>
      <c r="Q8972" s="18">
        <v>0</v>
      </c>
      <c r="V8972" s="22">
        <f>2.67/5</f>
        <v>0.53400000000000003</v>
      </c>
      <c r="X8972" s="3">
        <v>2</v>
      </c>
      <c r="AB8972" s="18">
        <f t="shared" si="280"/>
        <v>1995</v>
      </c>
      <c r="AC8972" s="22">
        <f t="shared" si="281"/>
        <v>0.46700000000000003</v>
      </c>
    </row>
    <row r="8973" spans="1:29" ht="25.5">
      <c r="A8973" s="8" t="s">
        <v>15104</v>
      </c>
      <c r="B8973" s="17" t="s">
        <v>6317</v>
      </c>
      <c r="C8973" s="13">
        <v>34704</v>
      </c>
      <c r="D8973" s="13" t="s">
        <v>8465</v>
      </c>
      <c r="E8973" s="10" t="s">
        <v>73</v>
      </c>
      <c r="F8973" s="10" t="s">
        <v>73</v>
      </c>
      <c r="G8973" s="11" t="s">
        <v>440</v>
      </c>
      <c r="H8973" s="2" t="s">
        <v>459</v>
      </c>
      <c r="L8973" s="18">
        <v>0</v>
      </c>
      <c r="Q8973" s="18">
        <v>0</v>
      </c>
      <c r="V8973" s="22">
        <f>3.92/5</f>
        <v>0.78400000000000003</v>
      </c>
      <c r="X8973" s="3">
        <v>3</v>
      </c>
      <c r="Z8973" s="23">
        <v>1</v>
      </c>
      <c r="AB8973" s="18">
        <f t="shared" si="280"/>
        <v>1995</v>
      </c>
      <c r="AC8973" s="22">
        <f t="shared" si="281"/>
        <v>0.69199999999999995</v>
      </c>
    </row>
    <row r="8974" spans="1:29">
      <c r="A8974" s="8" t="s">
        <v>12353</v>
      </c>
      <c r="B8974" s="17" t="s">
        <v>7736</v>
      </c>
      <c r="C8974" s="13">
        <v>34702</v>
      </c>
      <c r="D8974" s="13" t="s">
        <v>8465</v>
      </c>
      <c r="E8974" s="10" t="s">
        <v>158</v>
      </c>
      <c r="F8974" s="10" t="s">
        <v>6611</v>
      </c>
      <c r="G8974" s="11" t="s">
        <v>4639</v>
      </c>
      <c r="H8974" s="2" t="s">
        <v>64</v>
      </c>
      <c r="L8974" s="18">
        <v>0</v>
      </c>
      <c r="Q8974" s="18">
        <v>0</v>
      </c>
      <c r="V8974" s="22">
        <f>3.17/5</f>
        <v>0.63400000000000001</v>
      </c>
      <c r="X8974" s="3">
        <v>2</v>
      </c>
      <c r="Z8974" s="23">
        <v>1.5</v>
      </c>
      <c r="AB8974" s="18">
        <f t="shared" si="280"/>
        <v>1995</v>
      </c>
      <c r="AC8974" s="22">
        <f t="shared" si="281"/>
        <v>0.51700000000000002</v>
      </c>
    </row>
    <row r="8975" spans="1:29" ht="30">
      <c r="A8975" s="8" t="s">
        <v>12734</v>
      </c>
      <c r="B8975" s="17" t="s">
        <v>12735</v>
      </c>
      <c r="C8975" s="24">
        <v>34700</v>
      </c>
      <c r="D8975" s="13" t="s">
        <v>8467</v>
      </c>
      <c r="E8975" s="10" t="s">
        <v>1634</v>
      </c>
      <c r="F8975" s="10" t="s">
        <v>1634</v>
      </c>
      <c r="G8975" s="11" t="s">
        <v>3139</v>
      </c>
      <c r="H8975" s="2" t="s">
        <v>1050</v>
      </c>
      <c r="L8975" s="18">
        <v>0</v>
      </c>
      <c r="Q8975" s="18">
        <v>0</v>
      </c>
      <c r="V8975" s="22">
        <f>3.08/5</f>
        <v>0.61599999999999999</v>
      </c>
      <c r="X8975" s="3">
        <v>3</v>
      </c>
      <c r="AB8975" s="18">
        <f t="shared" si="280"/>
        <v>1995</v>
      </c>
      <c r="AC8975" s="22">
        <f t="shared" si="281"/>
        <v>0.60799999999999998</v>
      </c>
    </row>
    <row r="8976" spans="1:29" ht="25.5">
      <c r="A8976" s="8" t="s">
        <v>6868</v>
      </c>
      <c r="B8976" s="17" t="s">
        <v>7800</v>
      </c>
      <c r="C8976" s="13">
        <v>34700</v>
      </c>
      <c r="D8976" s="13" t="s">
        <v>8465</v>
      </c>
      <c r="E8976" s="10" t="s">
        <v>6923</v>
      </c>
      <c r="F8976" s="10" t="s">
        <v>6923</v>
      </c>
      <c r="G8976" s="11" t="s">
        <v>6916</v>
      </c>
      <c r="H8976" s="2" t="s">
        <v>67</v>
      </c>
      <c r="L8976" s="18">
        <v>1</v>
      </c>
      <c r="N8976" s="13">
        <v>41748</v>
      </c>
      <c r="O8976" s="29">
        <v>1.49</v>
      </c>
      <c r="P8976" s="18" t="s">
        <v>1107</v>
      </c>
      <c r="Q8976" s="18">
        <v>0</v>
      </c>
      <c r="U8976" s="22">
        <v>0.91</v>
      </c>
      <c r="V8976" s="22">
        <f>4.11/5</f>
        <v>0.82200000000000006</v>
      </c>
      <c r="W8976" s="14" t="s">
        <v>7778</v>
      </c>
      <c r="X8976" s="3">
        <v>4</v>
      </c>
      <c r="Z8976" s="23">
        <v>13.5</v>
      </c>
      <c r="AB8976" s="18">
        <f t="shared" si="280"/>
        <v>1995</v>
      </c>
      <c r="AC8976" s="22">
        <f t="shared" si="281"/>
        <v>0.84399999999999997</v>
      </c>
    </row>
    <row r="8977" spans="1:29">
      <c r="A8977" s="8" t="s">
        <v>2608</v>
      </c>
      <c r="B8977" s="17" t="s">
        <v>7751</v>
      </c>
      <c r="C8977" s="12">
        <v>34700</v>
      </c>
      <c r="D8977" s="13" t="s">
        <v>8465</v>
      </c>
      <c r="E8977" s="10" t="s">
        <v>455</v>
      </c>
      <c r="F8977" s="10" t="s">
        <v>1474</v>
      </c>
      <c r="H8977" s="2" t="s">
        <v>147</v>
      </c>
      <c r="L8977" s="18">
        <v>0</v>
      </c>
      <c r="Q8977" s="18">
        <v>0</v>
      </c>
      <c r="U8977" s="22">
        <v>0.82</v>
      </c>
      <c r="V8977" s="22">
        <f>4.13/5</f>
        <v>0.82599999999999996</v>
      </c>
      <c r="X8977" s="3">
        <v>3</v>
      </c>
      <c r="Z8977" s="23">
        <v>2.5</v>
      </c>
      <c r="AB8977" s="18">
        <f t="shared" si="280"/>
        <v>1995</v>
      </c>
      <c r="AC8977" s="22">
        <f t="shared" si="281"/>
        <v>0.7486666666666667</v>
      </c>
    </row>
    <row r="8978" spans="1:29">
      <c r="A8978" s="8" t="s">
        <v>2687</v>
      </c>
      <c r="B8978" s="17" t="s">
        <v>7752</v>
      </c>
      <c r="C8978" s="12">
        <v>34700</v>
      </c>
      <c r="D8978" s="13" t="s">
        <v>8465</v>
      </c>
      <c r="E8978" s="10" t="s">
        <v>62</v>
      </c>
      <c r="F8978" s="10" t="s">
        <v>1318</v>
      </c>
      <c r="G8978" s="11" t="s">
        <v>2687</v>
      </c>
      <c r="H8978" s="2" t="s">
        <v>21</v>
      </c>
      <c r="L8978" s="18">
        <v>0</v>
      </c>
      <c r="Q8978" s="18">
        <v>0</v>
      </c>
      <c r="U8978" s="22">
        <v>0.8</v>
      </c>
      <c r="V8978" s="22">
        <f>3.85/5</f>
        <v>0.77</v>
      </c>
      <c r="X8978" s="3">
        <v>3</v>
      </c>
      <c r="Z8978" s="23">
        <v>1.5</v>
      </c>
      <c r="AB8978" s="18">
        <f t="shared" si="280"/>
        <v>1995</v>
      </c>
      <c r="AC8978" s="22">
        <f t="shared" si="281"/>
        <v>0.72333333333333327</v>
      </c>
    </row>
    <row r="8979" spans="1:29">
      <c r="A8979" s="8" t="s">
        <v>13262</v>
      </c>
      <c r="B8979" s="17" t="s">
        <v>7800</v>
      </c>
      <c r="C8979" s="24">
        <v>34700</v>
      </c>
      <c r="D8979" s="13" t="s">
        <v>8465</v>
      </c>
      <c r="E8979" s="10" t="s">
        <v>7826</v>
      </c>
      <c r="F8979" s="10" t="s">
        <v>13263</v>
      </c>
      <c r="G8979" s="11" t="s">
        <v>13262</v>
      </c>
      <c r="H8979" s="2" t="s">
        <v>67</v>
      </c>
      <c r="L8979" s="18">
        <v>0</v>
      </c>
      <c r="Q8979" s="18">
        <v>0</v>
      </c>
      <c r="V8979" s="22">
        <f>3.89/5</f>
        <v>0.77800000000000002</v>
      </c>
      <c r="W8979" s="14" t="s">
        <v>13076</v>
      </c>
      <c r="X8979" s="3">
        <v>3</v>
      </c>
      <c r="Z8979" s="23">
        <v>11</v>
      </c>
      <c r="AB8979" s="18">
        <f t="shared" si="280"/>
        <v>1995</v>
      </c>
      <c r="AC8979" s="22">
        <f t="shared" si="281"/>
        <v>0.68900000000000006</v>
      </c>
    </row>
    <row r="8980" spans="1:29">
      <c r="A8980" s="8" t="s">
        <v>691</v>
      </c>
      <c r="B8980" s="17" t="s">
        <v>7736</v>
      </c>
      <c r="C8980" s="12">
        <v>34700</v>
      </c>
      <c r="D8980" s="13" t="s">
        <v>8465</v>
      </c>
      <c r="E8980" s="10" t="s">
        <v>1240</v>
      </c>
      <c r="F8980" s="10" t="s">
        <v>1240</v>
      </c>
      <c r="H8980" s="2" t="s">
        <v>143</v>
      </c>
      <c r="L8980" s="18">
        <v>0</v>
      </c>
      <c r="Q8980" s="18">
        <v>0</v>
      </c>
      <c r="U8980" s="22">
        <v>0.74</v>
      </c>
      <c r="V8980" s="22">
        <f>3.48/5</f>
        <v>0.69599999999999995</v>
      </c>
      <c r="X8980" s="3">
        <v>3</v>
      </c>
      <c r="Z8980" s="23">
        <v>4.5</v>
      </c>
      <c r="AB8980" s="18">
        <f t="shared" si="280"/>
        <v>1995</v>
      </c>
      <c r="AC8980" s="22">
        <f t="shared" si="281"/>
        <v>0.67866666666666664</v>
      </c>
    </row>
    <row r="8981" spans="1:29" ht="30">
      <c r="A8981" s="8" t="s">
        <v>6850</v>
      </c>
      <c r="B8981" s="17" t="s">
        <v>7800</v>
      </c>
      <c r="C8981" s="13">
        <v>34700</v>
      </c>
      <c r="D8981" s="13" t="s">
        <v>8465</v>
      </c>
      <c r="E8981" s="10" t="s">
        <v>2665</v>
      </c>
      <c r="F8981" s="10" t="s">
        <v>6940</v>
      </c>
      <c r="H8981" s="2" t="s">
        <v>67</v>
      </c>
      <c r="L8981" s="18">
        <v>1</v>
      </c>
      <c r="N8981" s="13">
        <v>41560</v>
      </c>
      <c r="O8981" s="29">
        <v>0</v>
      </c>
      <c r="P8981" s="18" t="s">
        <v>1107</v>
      </c>
      <c r="Q8981" s="18">
        <v>0</v>
      </c>
      <c r="U8981" s="22">
        <v>0.75</v>
      </c>
      <c r="V8981" s="22">
        <f>3.42/5</f>
        <v>0.68399999999999994</v>
      </c>
      <c r="W8981" s="14" t="s">
        <v>7778</v>
      </c>
      <c r="X8981" s="3">
        <v>3</v>
      </c>
      <c r="Z8981" s="23">
        <v>8.5</v>
      </c>
      <c r="AB8981" s="18">
        <f t="shared" si="280"/>
        <v>1995</v>
      </c>
      <c r="AC8981" s="22">
        <f t="shared" si="281"/>
        <v>0.67799999999999994</v>
      </c>
    </row>
    <row r="8982" spans="1:29">
      <c r="A8982" s="8" t="s">
        <v>2791</v>
      </c>
      <c r="B8982" s="17" t="s">
        <v>7756</v>
      </c>
      <c r="C8982" s="12">
        <v>34700</v>
      </c>
      <c r="D8982" s="13" t="s">
        <v>8465</v>
      </c>
      <c r="E8982" s="10" t="s">
        <v>455</v>
      </c>
      <c r="F8982" s="10" t="s">
        <v>2510</v>
      </c>
      <c r="G8982" s="11" t="s">
        <v>1688</v>
      </c>
      <c r="H8982" s="2" t="s">
        <v>64</v>
      </c>
      <c r="L8982" s="18">
        <v>0</v>
      </c>
      <c r="Q8982" s="18">
        <v>0</v>
      </c>
      <c r="V8982" s="22">
        <f>3.57/5</f>
        <v>0.71399999999999997</v>
      </c>
      <c r="X8982" s="3">
        <v>3</v>
      </c>
      <c r="Z8982" s="23">
        <v>2.5</v>
      </c>
      <c r="AB8982" s="18">
        <f t="shared" si="280"/>
        <v>1995</v>
      </c>
      <c r="AC8982" s="22">
        <f t="shared" si="281"/>
        <v>0.65700000000000003</v>
      </c>
    </row>
    <row r="8983" spans="1:29">
      <c r="A8983" s="8" t="s">
        <v>11054</v>
      </c>
      <c r="B8983" s="17" t="s">
        <v>10323</v>
      </c>
      <c r="C8983" s="24">
        <v>34700</v>
      </c>
      <c r="D8983" s="13" t="s">
        <v>8463</v>
      </c>
      <c r="E8983" s="10" t="s">
        <v>11055</v>
      </c>
      <c r="F8983" s="10" t="s">
        <v>11055</v>
      </c>
      <c r="H8983" s="2" t="s">
        <v>1057</v>
      </c>
      <c r="K8983" s="18">
        <v>0</v>
      </c>
      <c r="L8983" s="18">
        <v>0</v>
      </c>
      <c r="Q8983" s="18">
        <v>0</v>
      </c>
      <c r="V8983" s="22">
        <f>4.5/5</f>
        <v>0.9</v>
      </c>
      <c r="X8983" s="3">
        <v>2</v>
      </c>
      <c r="AB8983" s="18">
        <f t="shared" si="280"/>
        <v>1995</v>
      </c>
      <c r="AC8983" s="22">
        <f t="shared" si="281"/>
        <v>0.65</v>
      </c>
    </row>
    <row r="8984" spans="1:29">
      <c r="A8984" s="8" t="s">
        <v>2708</v>
      </c>
      <c r="B8984" s="17" t="s">
        <v>7753</v>
      </c>
      <c r="C8984" s="12">
        <v>34700</v>
      </c>
      <c r="D8984" s="13" t="s">
        <v>8465</v>
      </c>
      <c r="E8984" s="10" t="s">
        <v>455</v>
      </c>
      <c r="F8984" s="10" t="s">
        <v>1318</v>
      </c>
      <c r="G8984" s="11" t="s">
        <v>2708</v>
      </c>
      <c r="H8984" s="2" t="s">
        <v>1220</v>
      </c>
      <c r="I8984" s="1"/>
      <c r="J8984" s="1"/>
      <c r="K8984" s="1"/>
      <c r="L8984" s="1">
        <v>0</v>
      </c>
      <c r="M8984" s="26"/>
      <c r="Q8984" s="1">
        <v>0</v>
      </c>
      <c r="V8984" s="22">
        <f>3.45/5</f>
        <v>0.69000000000000006</v>
      </c>
      <c r="W8984" s="3"/>
      <c r="X8984" s="3">
        <v>3</v>
      </c>
      <c r="Z8984" s="23">
        <v>4</v>
      </c>
      <c r="AA8984" s="1"/>
      <c r="AB8984" s="18">
        <f t="shared" si="280"/>
        <v>1995</v>
      </c>
      <c r="AC8984" s="22">
        <f t="shared" si="281"/>
        <v>0.64500000000000002</v>
      </c>
    </row>
    <row r="8985" spans="1:29">
      <c r="A8985" s="8" t="s">
        <v>6806</v>
      </c>
      <c r="B8985" s="17" t="s">
        <v>7800</v>
      </c>
      <c r="C8985" s="12">
        <v>34700</v>
      </c>
      <c r="D8985" s="13" t="s">
        <v>8465</v>
      </c>
      <c r="E8985" s="10" t="s">
        <v>60</v>
      </c>
      <c r="F8985" s="10" t="s">
        <v>60</v>
      </c>
      <c r="G8985" s="11" t="s">
        <v>6806</v>
      </c>
      <c r="H8985" s="2" t="s">
        <v>67</v>
      </c>
      <c r="L8985" s="18">
        <v>0</v>
      </c>
      <c r="Q8985" s="18">
        <v>0</v>
      </c>
      <c r="U8985" s="22">
        <v>0.65</v>
      </c>
      <c r="V8985" s="22">
        <f>3.5/5</f>
        <v>0.7</v>
      </c>
      <c r="X8985" s="3">
        <v>3</v>
      </c>
      <c r="Z8985" s="23">
        <v>3.5</v>
      </c>
      <c r="AB8985" s="18">
        <f t="shared" si="280"/>
        <v>1995</v>
      </c>
      <c r="AC8985" s="22">
        <f t="shared" si="281"/>
        <v>0.65</v>
      </c>
    </row>
    <row r="8986" spans="1:29" ht="25.5">
      <c r="A8986" s="8" t="s">
        <v>5891</v>
      </c>
      <c r="B8986" s="17" t="s">
        <v>7756</v>
      </c>
      <c r="C8986" s="12">
        <v>34700</v>
      </c>
      <c r="D8986" s="13" t="s">
        <v>8465</v>
      </c>
      <c r="E8986" s="10" t="s">
        <v>455</v>
      </c>
      <c r="F8986" s="10" t="s">
        <v>455</v>
      </c>
      <c r="G8986" s="11" t="s">
        <v>1286</v>
      </c>
      <c r="H8986" s="2" t="s">
        <v>64</v>
      </c>
      <c r="L8986" s="18">
        <v>0</v>
      </c>
      <c r="Q8986" s="18">
        <v>0</v>
      </c>
      <c r="V8986" s="22">
        <f>3.23/5</f>
        <v>0.64600000000000002</v>
      </c>
      <c r="X8986" s="3">
        <v>3</v>
      </c>
      <c r="Z8986" s="23">
        <v>1.5</v>
      </c>
      <c r="AB8986" s="18">
        <f t="shared" si="280"/>
        <v>1995</v>
      </c>
      <c r="AC8986" s="22">
        <f t="shared" si="281"/>
        <v>0.623</v>
      </c>
    </row>
    <row r="8987" spans="1:29">
      <c r="A8987" s="8" t="s">
        <v>2568</v>
      </c>
      <c r="B8987" s="17" t="s">
        <v>7751</v>
      </c>
      <c r="C8987" s="12">
        <v>34700</v>
      </c>
      <c r="D8987" s="13" t="s">
        <v>8465</v>
      </c>
      <c r="E8987" s="10" t="s">
        <v>455</v>
      </c>
      <c r="F8987" s="10" t="s">
        <v>455</v>
      </c>
      <c r="G8987" s="11" t="s">
        <v>446</v>
      </c>
      <c r="H8987" s="2" t="s">
        <v>153</v>
      </c>
      <c r="L8987" s="18">
        <v>0</v>
      </c>
      <c r="Q8987" s="18">
        <v>0</v>
      </c>
      <c r="U8987" s="22">
        <v>0.53</v>
      </c>
      <c r="V8987" s="22">
        <f>3.77/5</f>
        <v>0.754</v>
      </c>
      <c r="X8987" s="3">
        <v>3</v>
      </c>
      <c r="Z8987" s="23">
        <v>2</v>
      </c>
      <c r="AB8987" s="18">
        <f t="shared" si="280"/>
        <v>1995</v>
      </c>
      <c r="AC8987" s="22">
        <f t="shared" si="281"/>
        <v>0.628</v>
      </c>
    </row>
    <row r="8988" spans="1:29" ht="38.25">
      <c r="A8988" s="8" t="s">
        <v>13945</v>
      </c>
      <c r="B8988" s="17" t="s">
        <v>7800</v>
      </c>
      <c r="C8988" s="24">
        <v>34700</v>
      </c>
      <c r="D8988" s="13" t="s">
        <v>8465</v>
      </c>
      <c r="E8988" s="10" t="s">
        <v>13946</v>
      </c>
      <c r="F8988" s="10" t="s">
        <v>13944</v>
      </c>
      <c r="G8988" s="11" t="s">
        <v>13943</v>
      </c>
      <c r="H8988" s="2" t="s">
        <v>67</v>
      </c>
      <c r="L8988" s="18">
        <v>0</v>
      </c>
      <c r="Q8988" s="18">
        <v>0</v>
      </c>
      <c r="V8988" s="22">
        <f>4.06/5</f>
        <v>0.81199999999999994</v>
      </c>
      <c r="X8988" s="3">
        <v>2</v>
      </c>
      <c r="Z8988" s="23">
        <v>7.5</v>
      </c>
      <c r="AB8988" s="18">
        <f t="shared" si="280"/>
        <v>1995</v>
      </c>
      <c r="AC8988" s="22">
        <f t="shared" si="281"/>
        <v>0.60599999999999998</v>
      </c>
    </row>
    <row r="8989" spans="1:29">
      <c r="A8989" s="8" t="s">
        <v>9605</v>
      </c>
      <c r="B8989" s="17" t="s">
        <v>7792</v>
      </c>
      <c r="C8989" s="12">
        <v>34700</v>
      </c>
      <c r="D8989" s="13" t="s">
        <v>8465</v>
      </c>
      <c r="E8989" s="10" t="s">
        <v>231</v>
      </c>
      <c r="F8989" s="10" t="s">
        <v>9606</v>
      </c>
      <c r="H8989" s="2" t="s">
        <v>171</v>
      </c>
      <c r="L8989" s="18">
        <v>0</v>
      </c>
      <c r="Q8989" s="18">
        <v>0</v>
      </c>
      <c r="V8989" s="22">
        <f>3.93/5</f>
        <v>0.78600000000000003</v>
      </c>
      <c r="X8989" s="3">
        <v>2</v>
      </c>
      <c r="AB8989" s="18">
        <f t="shared" si="280"/>
        <v>1995</v>
      </c>
      <c r="AC8989" s="22">
        <f t="shared" si="281"/>
        <v>0.59299999999999997</v>
      </c>
    </row>
    <row r="8990" spans="1:29">
      <c r="A8990" s="8" t="s">
        <v>1189</v>
      </c>
      <c r="B8990" s="17" t="s">
        <v>7792</v>
      </c>
      <c r="C8990" s="12">
        <v>34700</v>
      </c>
      <c r="D8990" s="13" t="s">
        <v>8465</v>
      </c>
      <c r="E8990" s="10" t="s">
        <v>1202</v>
      </c>
      <c r="F8990" s="10" t="s">
        <v>1203</v>
      </c>
      <c r="H8990" s="2" t="s">
        <v>1204</v>
      </c>
      <c r="L8990" s="18">
        <v>0</v>
      </c>
      <c r="Q8990" s="18">
        <v>0</v>
      </c>
      <c r="V8990" s="22">
        <f>3.93/5</f>
        <v>0.78600000000000003</v>
      </c>
      <c r="X8990" s="3">
        <v>2</v>
      </c>
      <c r="AB8990" s="18">
        <f t="shared" si="280"/>
        <v>1995</v>
      </c>
      <c r="AC8990" s="22">
        <f t="shared" si="281"/>
        <v>0.59299999999999997</v>
      </c>
    </row>
    <row r="8991" spans="1:29">
      <c r="A8991" s="8" t="s">
        <v>348</v>
      </c>
      <c r="B8991" s="17" t="s">
        <v>6317</v>
      </c>
      <c r="C8991" s="12">
        <v>34700</v>
      </c>
      <c r="D8991" s="13" t="s">
        <v>8465</v>
      </c>
      <c r="E8991" s="10" t="s">
        <v>470</v>
      </c>
      <c r="F8991" s="10" t="s">
        <v>471</v>
      </c>
      <c r="G8991" s="11" t="s">
        <v>369</v>
      </c>
      <c r="H8991" s="2" t="s">
        <v>153</v>
      </c>
      <c r="L8991" s="18">
        <v>0</v>
      </c>
      <c r="Q8991" s="18">
        <v>0</v>
      </c>
      <c r="V8991" s="22">
        <f>3.92/5</f>
        <v>0.78400000000000003</v>
      </c>
      <c r="X8991" s="3">
        <v>2</v>
      </c>
      <c r="Z8991" s="23">
        <v>0.57999999999999996</v>
      </c>
      <c r="AB8991" s="18">
        <f t="shared" si="280"/>
        <v>1995</v>
      </c>
      <c r="AC8991" s="22">
        <f t="shared" si="281"/>
        <v>0.59200000000000008</v>
      </c>
    </row>
    <row r="8992" spans="1:29" ht="51">
      <c r="A8992" s="8" t="s">
        <v>13833</v>
      </c>
      <c r="B8992" s="17" t="s">
        <v>7800</v>
      </c>
      <c r="C8992" s="24">
        <v>34700</v>
      </c>
      <c r="D8992" s="13" t="s">
        <v>8465</v>
      </c>
      <c r="E8992" s="10" t="s">
        <v>6923</v>
      </c>
      <c r="F8992" s="10" t="s">
        <v>13834</v>
      </c>
      <c r="H8992" s="2" t="s">
        <v>67</v>
      </c>
      <c r="L8992" s="18">
        <v>0</v>
      </c>
      <c r="Q8992" s="18">
        <v>0</v>
      </c>
      <c r="V8992" s="22">
        <f>3.89/5</f>
        <v>0.77800000000000002</v>
      </c>
      <c r="X8992" s="3">
        <v>2</v>
      </c>
      <c r="Z8992" s="23">
        <v>4</v>
      </c>
      <c r="AB8992" s="18">
        <f t="shared" si="280"/>
        <v>1995</v>
      </c>
      <c r="AC8992" s="22">
        <f t="shared" si="281"/>
        <v>0.58899999999999997</v>
      </c>
    </row>
    <row r="8993" spans="1:29" ht="30">
      <c r="A8993" s="8" t="s">
        <v>2895</v>
      </c>
      <c r="B8993" s="17" t="s">
        <v>7751</v>
      </c>
      <c r="C8993" s="12">
        <v>34700</v>
      </c>
      <c r="D8993" s="13" t="s">
        <v>8465</v>
      </c>
      <c r="E8993" s="10" t="s">
        <v>1333</v>
      </c>
      <c r="F8993" s="10" t="s">
        <v>2637</v>
      </c>
      <c r="H8993" s="2" t="s">
        <v>147</v>
      </c>
      <c r="L8993" s="18">
        <v>0</v>
      </c>
      <c r="Q8993" s="18">
        <v>0</v>
      </c>
      <c r="U8993" s="22">
        <v>0.8</v>
      </c>
      <c r="V8993" s="22">
        <f>3.72/5</f>
        <v>0.74399999999999999</v>
      </c>
      <c r="X8993" s="3">
        <v>2</v>
      </c>
      <c r="Z8993" s="23">
        <v>0.9</v>
      </c>
      <c r="AB8993" s="18">
        <f t="shared" si="280"/>
        <v>1995</v>
      </c>
      <c r="AC8993" s="22">
        <f t="shared" si="281"/>
        <v>0.64800000000000002</v>
      </c>
    </row>
    <row r="8994" spans="1:29">
      <c r="A8994" s="8" t="s">
        <v>696</v>
      </c>
      <c r="B8994" s="17" t="s">
        <v>7736</v>
      </c>
      <c r="C8994" s="12">
        <v>34700</v>
      </c>
      <c r="D8994" s="13" t="s">
        <v>8465</v>
      </c>
      <c r="E8994" s="10" t="s">
        <v>158</v>
      </c>
      <c r="F8994" s="10" t="s">
        <v>1328</v>
      </c>
      <c r="H8994" s="2" t="s">
        <v>459</v>
      </c>
      <c r="L8994" s="18">
        <v>0</v>
      </c>
      <c r="Q8994" s="18">
        <v>0</v>
      </c>
      <c r="U8994" s="22">
        <v>0.71</v>
      </c>
      <c r="V8994" s="22">
        <f>3.94/5</f>
        <v>0.78800000000000003</v>
      </c>
      <c r="X8994" s="3">
        <v>2</v>
      </c>
      <c r="Z8994" s="23">
        <v>0.88</v>
      </c>
      <c r="AB8994" s="18">
        <f t="shared" si="280"/>
        <v>1995</v>
      </c>
      <c r="AC8994" s="22">
        <f t="shared" si="281"/>
        <v>0.63266666666666671</v>
      </c>
    </row>
    <row r="8995" spans="1:29">
      <c r="A8995" s="8" t="s">
        <v>13752</v>
      </c>
      <c r="B8995" s="17" t="s">
        <v>7754</v>
      </c>
      <c r="C8995" s="24">
        <v>34700</v>
      </c>
      <c r="D8995" s="13" t="s">
        <v>8465</v>
      </c>
      <c r="E8995" s="10" t="s">
        <v>455</v>
      </c>
      <c r="F8995" s="10" t="s">
        <v>13753</v>
      </c>
      <c r="G8995" s="11" t="s">
        <v>13747</v>
      </c>
      <c r="H8995" s="2" t="s">
        <v>150</v>
      </c>
      <c r="L8995" s="18">
        <v>0</v>
      </c>
      <c r="Q8995" s="18">
        <v>0</v>
      </c>
      <c r="V8995" s="22">
        <f>3.54/5</f>
        <v>0.70799999999999996</v>
      </c>
      <c r="X8995" s="3">
        <v>2</v>
      </c>
      <c r="AB8995" s="18">
        <f t="shared" si="280"/>
        <v>1995</v>
      </c>
      <c r="AC8995" s="22">
        <f t="shared" si="281"/>
        <v>0.55400000000000005</v>
      </c>
    </row>
    <row r="8996" spans="1:29">
      <c r="A8996" s="8" t="s">
        <v>14432</v>
      </c>
      <c r="B8996" s="17" t="s">
        <v>7756</v>
      </c>
      <c r="C8996" s="24">
        <v>34700</v>
      </c>
      <c r="D8996" s="13" t="s">
        <v>8465</v>
      </c>
      <c r="E8996" s="10" t="s">
        <v>455</v>
      </c>
      <c r="F8996" s="10" t="s">
        <v>2509</v>
      </c>
      <c r="G8996" s="11" t="s">
        <v>2708</v>
      </c>
      <c r="H8996" s="2" t="s">
        <v>56</v>
      </c>
      <c r="L8996" s="18">
        <v>0</v>
      </c>
      <c r="Q8996" s="18">
        <v>0</v>
      </c>
      <c r="V8996" s="22">
        <f>3.15/5</f>
        <v>0.63</v>
      </c>
      <c r="X8996" s="3">
        <v>2</v>
      </c>
      <c r="Z8996" s="23">
        <v>1</v>
      </c>
      <c r="AB8996" s="18">
        <f t="shared" si="280"/>
        <v>1995</v>
      </c>
      <c r="AC8996" s="22">
        <f t="shared" si="281"/>
        <v>0.51500000000000001</v>
      </c>
    </row>
    <row r="8997" spans="1:29" ht="25.5">
      <c r="A8997" s="8" t="s">
        <v>15092</v>
      </c>
      <c r="B8997" s="17" t="s">
        <v>6317</v>
      </c>
      <c r="C8997" s="24">
        <v>34700</v>
      </c>
      <c r="D8997" s="13" t="s">
        <v>8465</v>
      </c>
      <c r="E8997" s="10" t="s">
        <v>57</v>
      </c>
      <c r="F8997" s="10" t="s">
        <v>57</v>
      </c>
      <c r="G8997" s="11" t="s">
        <v>9258</v>
      </c>
      <c r="H8997" s="2" t="s">
        <v>459</v>
      </c>
      <c r="L8997" s="18">
        <v>0</v>
      </c>
      <c r="Q8997" s="18">
        <v>0</v>
      </c>
      <c r="V8997" s="22">
        <f>3.02/5</f>
        <v>0.60399999999999998</v>
      </c>
      <c r="X8997" s="3">
        <v>2</v>
      </c>
      <c r="AB8997" s="18">
        <f t="shared" si="280"/>
        <v>1995</v>
      </c>
      <c r="AC8997" s="22">
        <f t="shared" si="281"/>
        <v>0.502</v>
      </c>
    </row>
    <row r="8998" spans="1:29" ht="30">
      <c r="A8998" s="8" t="s">
        <v>14532</v>
      </c>
      <c r="B8998" s="17" t="s">
        <v>12735</v>
      </c>
      <c r="C8998" s="24">
        <v>34700</v>
      </c>
      <c r="D8998" s="13" t="s">
        <v>8467</v>
      </c>
      <c r="E8998" s="10" t="s">
        <v>7826</v>
      </c>
      <c r="F8998" s="10" t="s">
        <v>7826</v>
      </c>
      <c r="H8998" s="2" t="s">
        <v>56</v>
      </c>
      <c r="L8998" s="18">
        <v>0</v>
      </c>
      <c r="Q8998" s="18">
        <v>0</v>
      </c>
      <c r="V8998" s="22">
        <f>3/5</f>
        <v>0.6</v>
      </c>
      <c r="X8998" s="3">
        <v>2</v>
      </c>
      <c r="Z8998" s="23">
        <v>2.5</v>
      </c>
      <c r="AB8998" s="18">
        <f t="shared" si="280"/>
        <v>1995</v>
      </c>
      <c r="AC8998" s="22">
        <f t="shared" si="281"/>
        <v>0.5</v>
      </c>
    </row>
    <row r="8999" spans="1:29">
      <c r="A8999" s="8" t="s">
        <v>13886</v>
      </c>
      <c r="B8999" s="17" t="s">
        <v>7800</v>
      </c>
      <c r="C8999" s="24">
        <v>34700</v>
      </c>
      <c r="D8999" s="13" t="s">
        <v>8465</v>
      </c>
      <c r="E8999" s="10" t="s">
        <v>6923</v>
      </c>
      <c r="F8999" s="10" t="s">
        <v>7607</v>
      </c>
      <c r="G8999" s="11" t="s">
        <v>13885</v>
      </c>
      <c r="H8999" s="2" t="s">
        <v>147</v>
      </c>
      <c r="L8999" s="18">
        <v>0</v>
      </c>
      <c r="Q8999" s="18">
        <v>0</v>
      </c>
      <c r="V8999" s="22">
        <f>3/5</f>
        <v>0.6</v>
      </c>
      <c r="X8999" s="3">
        <v>2</v>
      </c>
      <c r="AB8999" s="18">
        <f t="shared" si="280"/>
        <v>1995</v>
      </c>
      <c r="AC8999" s="22">
        <f t="shared" si="281"/>
        <v>0.5</v>
      </c>
    </row>
    <row r="9000" spans="1:29">
      <c r="A9000" s="8" t="s">
        <v>12425</v>
      </c>
      <c r="B9000" s="17" t="s">
        <v>7792</v>
      </c>
      <c r="C9000" s="24">
        <v>34700</v>
      </c>
      <c r="D9000" s="13" t="s">
        <v>8465</v>
      </c>
      <c r="E9000" s="10" t="s">
        <v>1195</v>
      </c>
      <c r="F9000" s="10" t="s">
        <v>12426</v>
      </c>
      <c r="H9000" s="2" t="s">
        <v>1168</v>
      </c>
      <c r="L9000" s="18">
        <v>0</v>
      </c>
      <c r="Q9000" s="18">
        <v>0</v>
      </c>
      <c r="V9000" s="22">
        <f>2.94/5</f>
        <v>0.58799999999999997</v>
      </c>
      <c r="X9000" s="3">
        <v>2</v>
      </c>
      <c r="AB9000" s="18">
        <f t="shared" si="280"/>
        <v>1995</v>
      </c>
      <c r="AC9000" s="22">
        <f t="shared" si="281"/>
        <v>0.49399999999999999</v>
      </c>
    </row>
    <row r="9001" spans="1:29">
      <c r="A9001" s="8" t="s">
        <v>14534</v>
      </c>
      <c r="B9001" s="17" t="s">
        <v>7792</v>
      </c>
      <c r="C9001" s="24">
        <v>34700</v>
      </c>
      <c r="D9001" s="13" t="s">
        <v>8465</v>
      </c>
      <c r="E9001" s="10" t="s">
        <v>1201</v>
      </c>
      <c r="F9001" s="10" t="s">
        <v>57</v>
      </c>
      <c r="H9001" s="2" t="s">
        <v>1194</v>
      </c>
      <c r="L9001" s="18">
        <v>0</v>
      </c>
      <c r="Q9001" s="18">
        <v>0</v>
      </c>
      <c r="V9001" s="22">
        <f>2.94/5</f>
        <v>0.58799999999999997</v>
      </c>
      <c r="X9001" s="3">
        <v>2</v>
      </c>
      <c r="Z9001" s="23">
        <f>23/60</f>
        <v>0.38333333333333336</v>
      </c>
      <c r="AB9001" s="18">
        <f t="shared" si="280"/>
        <v>1995</v>
      </c>
      <c r="AC9001" s="22">
        <f t="shared" si="281"/>
        <v>0.49399999999999999</v>
      </c>
    </row>
    <row r="9002" spans="1:29" ht="25.5">
      <c r="A9002" s="8" t="s">
        <v>2793</v>
      </c>
      <c r="B9002" s="17" t="s">
        <v>7756</v>
      </c>
      <c r="C9002" s="12">
        <v>34700</v>
      </c>
      <c r="D9002" s="13" t="s">
        <v>8465</v>
      </c>
      <c r="E9002" s="10" t="s">
        <v>455</v>
      </c>
      <c r="F9002" s="10" t="s">
        <v>455</v>
      </c>
      <c r="G9002" s="11" t="s">
        <v>440</v>
      </c>
      <c r="H9002" s="2" t="s">
        <v>143</v>
      </c>
      <c r="L9002" s="18">
        <v>0</v>
      </c>
      <c r="Q9002" s="18">
        <v>0</v>
      </c>
      <c r="V9002" s="22">
        <f>2.92/5</f>
        <v>0.58399999999999996</v>
      </c>
      <c r="X9002" s="3">
        <v>2</v>
      </c>
      <c r="AB9002" s="18">
        <f t="shared" si="280"/>
        <v>1995</v>
      </c>
      <c r="AC9002" s="22">
        <f t="shared" si="281"/>
        <v>0.49199999999999999</v>
      </c>
    </row>
    <row r="9003" spans="1:29">
      <c r="A9003" s="8" t="s">
        <v>1264</v>
      </c>
      <c r="B9003" s="17" t="s">
        <v>7751</v>
      </c>
      <c r="C9003" s="24">
        <v>34700</v>
      </c>
      <c r="D9003" s="13" t="s">
        <v>8465</v>
      </c>
      <c r="E9003" s="10" t="s">
        <v>154</v>
      </c>
      <c r="F9003" s="10" t="s">
        <v>2674</v>
      </c>
      <c r="G9003" s="11" t="s">
        <v>1264</v>
      </c>
      <c r="H9003" s="2" t="s">
        <v>56</v>
      </c>
      <c r="L9003" s="18">
        <v>0</v>
      </c>
      <c r="Q9003" s="18">
        <v>0</v>
      </c>
      <c r="V9003" s="22">
        <f>2.91/5</f>
        <v>0.58200000000000007</v>
      </c>
      <c r="X9003" s="3">
        <v>2</v>
      </c>
      <c r="AB9003" s="18">
        <f t="shared" si="280"/>
        <v>1995</v>
      </c>
      <c r="AC9003" s="22">
        <f t="shared" si="281"/>
        <v>0.49100000000000005</v>
      </c>
    </row>
    <row r="9004" spans="1:29" ht="30">
      <c r="A9004" s="8" t="s">
        <v>10614</v>
      </c>
      <c r="B9004" s="17" t="s">
        <v>7800</v>
      </c>
      <c r="C9004" s="12">
        <v>34700</v>
      </c>
      <c r="D9004" s="13" t="s">
        <v>8465</v>
      </c>
      <c r="E9004" s="10" t="s">
        <v>10615</v>
      </c>
      <c r="F9004" s="10" t="s">
        <v>10615</v>
      </c>
      <c r="G9004" s="11" t="s">
        <v>10612</v>
      </c>
      <c r="H9004" s="2" t="s">
        <v>67</v>
      </c>
      <c r="L9004" s="18">
        <v>0</v>
      </c>
      <c r="Q9004" s="18">
        <v>0</v>
      </c>
      <c r="V9004" s="22">
        <f>2.75/5</f>
        <v>0.55000000000000004</v>
      </c>
      <c r="X9004" s="3">
        <v>2</v>
      </c>
      <c r="AB9004" s="18">
        <f t="shared" si="280"/>
        <v>1995</v>
      </c>
      <c r="AC9004" s="22">
        <f t="shared" si="281"/>
        <v>0.47500000000000003</v>
      </c>
    </row>
    <row r="9005" spans="1:29" ht="30">
      <c r="A9005" s="8" t="s">
        <v>14841</v>
      </c>
      <c r="B9005" s="17" t="s">
        <v>7800</v>
      </c>
      <c r="C9005" s="24">
        <v>34700</v>
      </c>
      <c r="D9005" s="13" t="s">
        <v>8465</v>
      </c>
      <c r="E9005" s="10" t="s">
        <v>14842</v>
      </c>
      <c r="F9005" s="10" t="s">
        <v>14843</v>
      </c>
      <c r="G9005" s="11" t="s">
        <v>14841</v>
      </c>
      <c r="H9005" s="2" t="s">
        <v>3937</v>
      </c>
      <c r="L9005" s="18">
        <v>0</v>
      </c>
      <c r="Q9005" s="18">
        <v>0</v>
      </c>
      <c r="V9005" s="22">
        <f>2.43/5</f>
        <v>0.48600000000000004</v>
      </c>
      <c r="X9005" s="3">
        <v>2</v>
      </c>
      <c r="AB9005" s="18">
        <f t="shared" si="280"/>
        <v>1995</v>
      </c>
      <c r="AC9005" s="22">
        <f t="shared" si="281"/>
        <v>0.44300000000000006</v>
      </c>
    </row>
    <row r="9006" spans="1:29">
      <c r="A9006" s="8" t="s">
        <v>14452</v>
      </c>
      <c r="B9006" s="17" t="s">
        <v>7756</v>
      </c>
      <c r="C9006" s="24">
        <v>34700</v>
      </c>
      <c r="D9006" s="13" t="s">
        <v>8465</v>
      </c>
      <c r="E9006" s="10" t="s">
        <v>455</v>
      </c>
      <c r="F9006" s="10" t="s">
        <v>455</v>
      </c>
      <c r="G9006" s="11" t="s">
        <v>14448</v>
      </c>
      <c r="H9006" s="2" t="s">
        <v>153</v>
      </c>
      <c r="L9006" s="18">
        <v>0</v>
      </c>
      <c r="Q9006" s="18">
        <v>0</v>
      </c>
      <c r="V9006" s="22">
        <f>2.32/5</f>
        <v>0.46399999999999997</v>
      </c>
      <c r="X9006" s="3">
        <v>2</v>
      </c>
      <c r="AB9006" s="18">
        <f t="shared" si="280"/>
        <v>1995</v>
      </c>
      <c r="AC9006" s="22">
        <f t="shared" si="281"/>
        <v>0.432</v>
      </c>
    </row>
    <row r="9007" spans="1:29" ht="25.5">
      <c r="A9007" s="8" t="s">
        <v>13863</v>
      </c>
      <c r="B9007" s="17" t="s">
        <v>10323</v>
      </c>
      <c r="C9007" s="24">
        <v>34700</v>
      </c>
      <c r="D9007" s="13" t="s">
        <v>8463</v>
      </c>
      <c r="E9007" s="10" t="s">
        <v>13864</v>
      </c>
      <c r="F9007" s="10" t="s">
        <v>13864</v>
      </c>
      <c r="H9007" s="2" t="s">
        <v>21</v>
      </c>
      <c r="K9007" s="18">
        <v>0</v>
      </c>
      <c r="L9007" s="18">
        <v>0</v>
      </c>
      <c r="Q9007" s="18">
        <v>0</v>
      </c>
      <c r="X9007" s="3">
        <v>2</v>
      </c>
      <c r="AB9007" s="18">
        <f t="shared" si="280"/>
        <v>1995</v>
      </c>
      <c r="AC9007" s="22">
        <f t="shared" si="281"/>
        <v>0.4</v>
      </c>
    </row>
    <row r="9008" spans="1:29">
      <c r="A9008" s="8" t="s">
        <v>12299</v>
      </c>
      <c r="B9008" s="17" t="s">
        <v>7754</v>
      </c>
      <c r="C9008" s="24">
        <v>34700</v>
      </c>
      <c r="D9008" s="13" t="s">
        <v>8465</v>
      </c>
      <c r="E9008" s="10" t="s">
        <v>154</v>
      </c>
      <c r="F9008" s="10" t="s">
        <v>2651</v>
      </c>
      <c r="H9008" s="2" t="s">
        <v>1050</v>
      </c>
      <c r="L9008" s="18">
        <v>0</v>
      </c>
      <c r="Q9008" s="18">
        <v>0</v>
      </c>
      <c r="V9008" s="22">
        <f>2.59/5</f>
        <v>0.51800000000000002</v>
      </c>
      <c r="X9008" s="3">
        <v>2</v>
      </c>
      <c r="Z9008" s="23">
        <v>3</v>
      </c>
      <c r="AB9008" s="18">
        <f t="shared" si="280"/>
        <v>1995</v>
      </c>
      <c r="AC9008" s="22">
        <f t="shared" si="281"/>
        <v>0.45900000000000002</v>
      </c>
    </row>
    <row r="9009" spans="1:29" ht="25.5">
      <c r="A9009" s="8" t="s">
        <v>15514</v>
      </c>
      <c r="B9009" s="17" t="s">
        <v>7736</v>
      </c>
      <c r="C9009" s="12">
        <v>34700</v>
      </c>
      <c r="D9009" s="13" t="s">
        <v>8465</v>
      </c>
      <c r="E9009" s="10" t="s">
        <v>76</v>
      </c>
      <c r="F9009" s="10" t="s">
        <v>76</v>
      </c>
      <c r="G9009" s="11" t="s">
        <v>15512</v>
      </c>
      <c r="H9009" s="2" t="s">
        <v>255</v>
      </c>
      <c r="L9009" s="18">
        <v>0</v>
      </c>
      <c r="Q9009" s="18">
        <v>0</v>
      </c>
      <c r="V9009" s="22">
        <f>3.63/5</f>
        <v>0.72599999999999998</v>
      </c>
      <c r="X9009" s="3">
        <v>2</v>
      </c>
      <c r="AB9009" s="18">
        <f t="shared" si="280"/>
        <v>1995</v>
      </c>
      <c r="AC9009" s="22">
        <f t="shared" si="281"/>
        <v>0.56299999999999994</v>
      </c>
    </row>
    <row r="9010" spans="1:29">
      <c r="A9010" s="8" t="s">
        <v>15654</v>
      </c>
      <c r="B9010" s="17" t="s">
        <v>6317</v>
      </c>
      <c r="C9010" s="24">
        <v>34700</v>
      </c>
      <c r="D9010" s="13" t="s">
        <v>8465</v>
      </c>
      <c r="E9010" s="10" t="s">
        <v>228</v>
      </c>
      <c r="F9010" s="10" t="s">
        <v>228</v>
      </c>
      <c r="G9010" s="11" t="s">
        <v>477</v>
      </c>
      <c r="H9010" s="2" t="s">
        <v>459</v>
      </c>
      <c r="L9010" s="18">
        <v>0</v>
      </c>
      <c r="Q9010" s="18">
        <v>0</v>
      </c>
      <c r="V9010" s="22">
        <f>3.38/5</f>
        <v>0.67599999999999993</v>
      </c>
      <c r="X9010" s="3">
        <v>2</v>
      </c>
      <c r="Z9010" s="23">
        <f>33/60</f>
        <v>0.55000000000000004</v>
      </c>
      <c r="AB9010" s="18">
        <f t="shared" si="280"/>
        <v>1995</v>
      </c>
      <c r="AC9010" s="22">
        <f t="shared" si="281"/>
        <v>0.53800000000000003</v>
      </c>
    </row>
    <row r="9011" spans="1:29" ht="25.5">
      <c r="A9011" s="8" t="s">
        <v>15720</v>
      </c>
      <c r="B9011" s="17" t="s">
        <v>6317</v>
      </c>
      <c r="C9011" s="24">
        <v>34700</v>
      </c>
      <c r="D9011" s="13" t="s">
        <v>8465</v>
      </c>
      <c r="E9011" s="10" t="s">
        <v>465</v>
      </c>
      <c r="F9011" s="10" t="s">
        <v>465</v>
      </c>
      <c r="G9011" s="11" t="s">
        <v>2092</v>
      </c>
      <c r="H9011" s="2" t="s">
        <v>459</v>
      </c>
      <c r="L9011" s="18">
        <v>0</v>
      </c>
      <c r="Q9011" s="18">
        <v>0</v>
      </c>
      <c r="V9011" s="22">
        <f>3.03/5</f>
        <v>0.60599999999999998</v>
      </c>
      <c r="X9011" s="3">
        <v>2</v>
      </c>
      <c r="AB9011" s="18">
        <f t="shared" si="280"/>
        <v>1995</v>
      </c>
      <c r="AC9011" s="22">
        <f t="shared" si="281"/>
        <v>0.503</v>
      </c>
    </row>
    <row r="9012" spans="1:29">
      <c r="A9012" s="8" t="s">
        <v>15730</v>
      </c>
      <c r="B9012" s="17" t="s">
        <v>7800</v>
      </c>
      <c r="C9012" s="24">
        <v>34700</v>
      </c>
      <c r="D9012" s="13" t="s">
        <v>8465</v>
      </c>
      <c r="E9012" s="10" t="s">
        <v>15731</v>
      </c>
      <c r="F9012" s="10" t="s">
        <v>15731</v>
      </c>
      <c r="H9012" s="2" t="s">
        <v>459</v>
      </c>
      <c r="L9012" s="18">
        <v>0</v>
      </c>
      <c r="Q9012" s="18">
        <v>0</v>
      </c>
      <c r="V9012" s="22">
        <f>1.08/5</f>
        <v>0.21600000000000003</v>
      </c>
      <c r="X9012" s="3">
        <v>2</v>
      </c>
      <c r="AB9012" s="18">
        <f t="shared" si="280"/>
        <v>1995</v>
      </c>
      <c r="AC9012" s="22">
        <f t="shared" si="281"/>
        <v>0.30800000000000005</v>
      </c>
    </row>
    <row r="9013" spans="1:29" ht="30">
      <c r="A9013" s="8" t="s">
        <v>15763</v>
      </c>
      <c r="B9013" s="17" t="s">
        <v>7800</v>
      </c>
      <c r="C9013" s="24">
        <v>34700</v>
      </c>
      <c r="D9013" s="13" t="s">
        <v>8465</v>
      </c>
      <c r="E9013" s="10" t="s">
        <v>6668</v>
      </c>
      <c r="F9013" s="10" t="s">
        <v>7058</v>
      </c>
      <c r="G9013" s="11" t="s">
        <v>445</v>
      </c>
      <c r="H9013" s="2" t="s">
        <v>1720</v>
      </c>
      <c r="L9013" s="18">
        <v>0</v>
      </c>
      <c r="Q9013" s="18">
        <v>0</v>
      </c>
      <c r="V9013" s="22">
        <f>3.6/5</f>
        <v>0.72</v>
      </c>
      <c r="X9013" s="3">
        <v>2</v>
      </c>
      <c r="Z9013" s="23">
        <v>16.5</v>
      </c>
      <c r="AB9013" s="18">
        <f t="shared" si="280"/>
        <v>1995</v>
      </c>
      <c r="AC9013" s="22">
        <f t="shared" si="281"/>
        <v>0.56000000000000005</v>
      </c>
    </row>
    <row r="9014" spans="1:29" ht="25.5">
      <c r="A9014" s="8" t="s">
        <v>15768</v>
      </c>
      <c r="B9014" s="17" t="s">
        <v>7736</v>
      </c>
      <c r="C9014" s="13">
        <v>34700</v>
      </c>
      <c r="D9014" s="13" t="s">
        <v>8465</v>
      </c>
      <c r="E9014" s="10" t="s">
        <v>1272</v>
      </c>
      <c r="F9014" s="10" t="s">
        <v>1272</v>
      </c>
      <c r="G9014" s="11" t="s">
        <v>15767</v>
      </c>
      <c r="H9014" s="2" t="s">
        <v>459</v>
      </c>
      <c r="L9014" s="18">
        <v>0</v>
      </c>
      <c r="Q9014" s="18">
        <v>0</v>
      </c>
      <c r="V9014" s="22">
        <f>2.89/5</f>
        <v>0.57800000000000007</v>
      </c>
      <c r="X9014" s="3">
        <v>2</v>
      </c>
      <c r="Z9014" s="23">
        <f>43/60</f>
        <v>0.71666666666666667</v>
      </c>
      <c r="AB9014" s="18">
        <f t="shared" si="280"/>
        <v>1995</v>
      </c>
      <c r="AC9014" s="22">
        <f t="shared" si="281"/>
        <v>0.48900000000000005</v>
      </c>
    </row>
    <row r="9015" spans="1:29">
      <c r="A9015" s="8" t="s">
        <v>16003</v>
      </c>
      <c r="B9015" s="17" t="s">
        <v>7800</v>
      </c>
      <c r="C9015" s="24">
        <v>34700</v>
      </c>
      <c r="D9015" s="13" t="s">
        <v>8465</v>
      </c>
      <c r="E9015" s="10" t="s">
        <v>16004</v>
      </c>
      <c r="F9015" s="10" t="s">
        <v>16002</v>
      </c>
      <c r="G9015" s="11" t="s">
        <v>16000</v>
      </c>
      <c r="H9015" s="2" t="s">
        <v>1377</v>
      </c>
      <c r="L9015" s="18">
        <v>0</v>
      </c>
      <c r="Q9015" s="18">
        <v>0</v>
      </c>
      <c r="V9015" s="22">
        <f>3.37/5</f>
        <v>0.67400000000000004</v>
      </c>
      <c r="X9015" s="3">
        <v>2</v>
      </c>
      <c r="AB9015" s="18">
        <f t="shared" si="280"/>
        <v>1995</v>
      </c>
      <c r="AC9015" s="22">
        <f t="shared" si="281"/>
        <v>0.53700000000000003</v>
      </c>
    </row>
    <row r="9016" spans="1:29" ht="25.5">
      <c r="A9016" s="8" t="s">
        <v>325</v>
      </c>
      <c r="B9016" s="17" t="s">
        <v>6317</v>
      </c>
      <c r="C9016" s="13">
        <v>35040</v>
      </c>
      <c r="D9016" s="13" t="s">
        <v>8465</v>
      </c>
      <c r="E9016" s="10" t="s">
        <v>73</v>
      </c>
      <c r="F9016" s="10" t="s">
        <v>73</v>
      </c>
      <c r="G9016" s="11" t="s">
        <v>441</v>
      </c>
      <c r="H9016" s="2" t="s">
        <v>21</v>
      </c>
      <c r="L9016" s="18">
        <v>0</v>
      </c>
      <c r="Q9016" s="18">
        <v>1</v>
      </c>
      <c r="T9016" s="22">
        <v>0.7</v>
      </c>
      <c r="V9016" s="22">
        <f>3.98/5</f>
        <v>0.79600000000000004</v>
      </c>
      <c r="AB9016" s="18">
        <f t="shared" si="280"/>
        <v>1995</v>
      </c>
      <c r="AC9016" s="22">
        <f t="shared" si="281"/>
        <v>0.748</v>
      </c>
    </row>
    <row r="9017" spans="1:29" ht="25.5">
      <c r="A9017" s="8" t="s">
        <v>594</v>
      </c>
      <c r="B9017" s="17" t="s">
        <v>7736</v>
      </c>
      <c r="C9017" s="13">
        <v>35023</v>
      </c>
      <c r="D9017" s="13" t="s">
        <v>8465</v>
      </c>
      <c r="E9017" s="10" t="s">
        <v>86</v>
      </c>
      <c r="F9017" s="10" t="s">
        <v>163</v>
      </c>
      <c r="G9017" s="11" t="s">
        <v>1254</v>
      </c>
      <c r="H9017" s="2" t="s">
        <v>64</v>
      </c>
      <c r="L9017" s="18">
        <v>0</v>
      </c>
      <c r="Q9017" s="18">
        <v>1</v>
      </c>
      <c r="T9017" s="22">
        <v>0.8</v>
      </c>
      <c r="U9017" s="22">
        <v>0.9</v>
      </c>
      <c r="V9017" s="22">
        <f>4.42/5</f>
        <v>0.88400000000000001</v>
      </c>
      <c r="Y9017" s="18">
        <v>1</v>
      </c>
      <c r="AB9017" s="18">
        <f t="shared" si="280"/>
        <v>1995</v>
      </c>
      <c r="AC9017" s="22">
        <f t="shared" si="281"/>
        <v>0.8613333333333334</v>
      </c>
    </row>
    <row r="9018" spans="1:29">
      <c r="A9018" s="8" t="s">
        <v>603</v>
      </c>
      <c r="B9018" s="17" t="s">
        <v>7736</v>
      </c>
      <c r="C9018" s="13">
        <v>35020</v>
      </c>
      <c r="D9018" s="13" t="s">
        <v>8463</v>
      </c>
      <c r="E9018" s="10" t="s">
        <v>1259</v>
      </c>
      <c r="F9018" s="10" t="s">
        <v>1260</v>
      </c>
      <c r="H9018" s="2" t="s">
        <v>21</v>
      </c>
      <c r="K9018" s="18">
        <v>0</v>
      </c>
      <c r="L9018" s="18">
        <v>0</v>
      </c>
      <c r="Q9018" s="18">
        <v>1</v>
      </c>
      <c r="T9018" s="22">
        <v>0.9</v>
      </c>
      <c r="V9018" s="22">
        <f>4.22/5</f>
        <v>0.84399999999999997</v>
      </c>
      <c r="AB9018" s="18">
        <f t="shared" si="280"/>
        <v>1995</v>
      </c>
      <c r="AC9018" s="22">
        <f t="shared" si="281"/>
        <v>0.872</v>
      </c>
    </row>
    <row r="9019" spans="1:29">
      <c r="A9019" s="8" t="s">
        <v>323</v>
      </c>
      <c r="B9019" s="17" t="s">
        <v>6317</v>
      </c>
      <c r="C9019" s="12">
        <v>35004</v>
      </c>
      <c r="D9019" s="13" t="s">
        <v>8465</v>
      </c>
      <c r="E9019" s="10" t="s">
        <v>228</v>
      </c>
      <c r="F9019" s="10" t="s">
        <v>467</v>
      </c>
      <c r="G9019" s="11" t="s">
        <v>323</v>
      </c>
      <c r="H9019" s="2" t="s">
        <v>21</v>
      </c>
      <c r="L9019" s="18">
        <v>0</v>
      </c>
      <c r="Q9019" s="18">
        <v>1</v>
      </c>
      <c r="T9019" s="22">
        <v>0.7</v>
      </c>
      <c r="V9019" s="22">
        <f>3.64/5</f>
        <v>0.72799999999999998</v>
      </c>
      <c r="AB9019" s="18">
        <f t="shared" si="280"/>
        <v>1995</v>
      </c>
      <c r="AC9019" s="22">
        <f t="shared" si="281"/>
        <v>0.71399999999999997</v>
      </c>
    </row>
    <row r="9020" spans="1:29" ht="25.5">
      <c r="A9020" s="8" t="s">
        <v>315</v>
      </c>
      <c r="B9020" s="17" t="s">
        <v>6317</v>
      </c>
      <c r="C9020" s="13">
        <v>34978</v>
      </c>
      <c r="D9020" s="13" t="s">
        <v>8465</v>
      </c>
      <c r="E9020" s="10" t="s">
        <v>73</v>
      </c>
      <c r="F9020" s="10" t="s">
        <v>73</v>
      </c>
      <c r="G9020" s="11" t="s">
        <v>89</v>
      </c>
      <c r="H9020" s="2" t="s">
        <v>459</v>
      </c>
      <c r="L9020" s="18">
        <v>0</v>
      </c>
      <c r="Q9020" s="18">
        <v>1</v>
      </c>
      <c r="T9020" s="22">
        <v>0.8</v>
      </c>
      <c r="V9020" s="22">
        <f>3.86/5</f>
        <v>0.77200000000000002</v>
      </c>
      <c r="AB9020" s="18">
        <f t="shared" si="280"/>
        <v>1995</v>
      </c>
      <c r="AC9020" s="22">
        <f t="shared" si="281"/>
        <v>0.78600000000000003</v>
      </c>
    </row>
    <row r="9021" spans="1:29">
      <c r="A9021" s="8" t="s">
        <v>324</v>
      </c>
      <c r="B9021" s="17" t="s">
        <v>6317</v>
      </c>
      <c r="C9021" s="13">
        <v>34963</v>
      </c>
      <c r="D9021" s="13" t="s">
        <v>8467</v>
      </c>
      <c r="E9021" s="10" t="s">
        <v>54</v>
      </c>
      <c r="F9021" s="10" t="s">
        <v>54</v>
      </c>
      <c r="H9021" s="2" t="s">
        <v>21</v>
      </c>
      <c r="L9021" s="18">
        <v>0</v>
      </c>
      <c r="Q9021" s="18">
        <v>1</v>
      </c>
      <c r="T9021" s="22">
        <v>0.5</v>
      </c>
      <c r="V9021" s="22">
        <f>3.1/5</f>
        <v>0.62</v>
      </c>
      <c r="AB9021" s="18">
        <f t="shared" si="280"/>
        <v>1995</v>
      </c>
      <c r="AC9021" s="22">
        <f t="shared" si="281"/>
        <v>0.56000000000000005</v>
      </c>
    </row>
    <row r="9022" spans="1:29">
      <c r="A9022" s="8" t="s">
        <v>605</v>
      </c>
      <c r="B9022" s="17" t="s">
        <v>7736</v>
      </c>
      <c r="C9022" s="12">
        <v>34943</v>
      </c>
      <c r="D9022" s="13" t="s">
        <v>8465</v>
      </c>
      <c r="E9022" s="10" t="s">
        <v>72</v>
      </c>
      <c r="F9022" s="10" t="s">
        <v>72</v>
      </c>
      <c r="G9022" s="11" t="s">
        <v>113</v>
      </c>
      <c r="H9022" s="2" t="s">
        <v>56</v>
      </c>
      <c r="L9022" s="18">
        <v>0</v>
      </c>
      <c r="Q9022" s="18">
        <v>1</v>
      </c>
      <c r="T9022" s="22">
        <v>0.8</v>
      </c>
      <c r="U9022" s="22">
        <v>0.71</v>
      </c>
      <c r="V9022" s="22">
        <f>3.59/5</f>
        <v>0.71799999999999997</v>
      </c>
      <c r="AB9022" s="18">
        <f t="shared" si="280"/>
        <v>1995</v>
      </c>
      <c r="AC9022" s="22">
        <f t="shared" si="281"/>
        <v>0.74266666666666659</v>
      </c>
    </row>
    <row r="9023" spans="1:29">
      <c r="A9023" s="8" t="s">
        <v>582</v>
      </c>
      <c r="B9023" s="17" t="s">
        <v>7736</v>
      </c>
      <c r="C9023" s="12">
        <v>34943</v>
      </c>
      <c r="D9023" s="13" t="s">
        <v>8465</v>
      </c>
      <c r="E9023" s="10" t="s">
        <v>73</v>
      </c>
      <c r="F9023" s="10" t="s">
        <v>73</v>
      </c>
      <c r="G9023" s="11" t="s">
        <v>89</v>
      </c>
      <c r="H9023" s="2" t="s">
        <v>56</v>
      </c>
      <c r="L9023" s="18">
        <v>0</v>
      </c>
      <c r="Q9023" s="18">
        <v>1</v>
      </c>
      <c r="T9023" s="22">
        <v>0.7</v>
      </c>
      <c r="U9023" s="22">
        <v>0.71</v>
      </c>
      <c r="V9023" s="22">
        <f>3.86/5</f>
        <v>0.77200000000000002</v>
      </c>
      <c r="AB9023" s="18">
        <f t="shared" si="280"/>
        <v>1995</v>
      </c>
      <c r="AC9023" s="22">
        <f t="shared" si="281"/>
        <v>0.72733333333333328</v>
      </c>
    </row>
    <row r="9024" spans="1:29">
      <c r="A9024" s="8" t="s">
        <v>581</v>
      </c>
      <c r="B9024" s="17" t="s">
        <v>7736</v>
      </c>
      <c r="C9024" s="13">
        <v>34933</v>
      </c>
      <c r="D9024" s="13" t="s">
        <v>8465</v>
      </c>
      <c r="E9024" s="10" t="s">
        <v>161</v>
      </c>
      <c r="F9024" s="10" t="s">
        <v>161</v>
      </c>
      <c r="G9024" s="11" t="s">
        <v>1251</v>
      </c>
      <c r="H9024" s="2" t="s">
        <v>149</v>
      </c>
      <c r="L9024" s="18">
        <v>0</v>
      </c>
      <c r="Q9024" s="18">
        <v>1</v>
      </c>
      <c r="T9024" s="22">
        <v>1</v>
      </c>
      <c r="U9024" s="22">
        <v>0.96</v>
      </c>
      <c r="V9024" s="22">
        <f>4.58/5</f>
        <v>0.91600000000000004</v>
      </c>
      <c r="Y9024" s="18">
        <v>1</v>
      </c>
      <c r="AB9024" s="18">
        <f t="shared" si="280"/>
        <v>1995</v>
      </c>
      <c r="AC9024" s="22">
        <f t="shared" si="281"/>
        <v>0.95866666666666667</v>
      </c>
    </row>
    <row r="9025" spans="1:29">
      <c r="A9025" s="8" t="s">
        <v>586</v>
      </c>
      <c r="B9025" s="17" t="s">
        <v>7736</v>
      </c>
      <c r="C9025" s="13">
        <v>34855</v>
      </c>
      <c r="D9025" s="13" t="s">
        <v>8465</v>
      </c>
      <c r="E9025" s="10" t="s">
        <v>86</v>
      </c>
      <c r="F9025" s="10" t="s">
        <v>30</v>
      </c>
      <c r="G9025" s="11" t="s">
        <v>99</v>
      </c>
      <c r="H9025" s="2" t="s">
        <v>149</v>
      </c>
      <c r="L9025" s="18">
        <v>0</v>
      </c>
      <c r="Q9025" s="18">
        <v>1</v>
      </c>
      <c r="T9025" s="22">
        <v>0.9</v>
      </c>
      <c r="U9025" s="22">
        <v>0.88</v>
      </c>
      <c r="V9025" s="22">
        <f>4.35/5</f>
        <v>0.86999999999999988</v>
      </c>
      <c r="Y9025" s="18">
        <v>1</v>
      </c>
      <c r="AB9025" s="18">
        <f t="shared" ref="AB9025:AB9088" si="282">IFERROR(YEAR(C9025), "Early Access")</f>
        <v>1995</v>
      </c>
      <c r="AC9025" s="22">
        <f t="shared" ref="AC9025:AC9088" si="283">AVERAGE(T9025, U9025, V9025, IF(ISBLANK(X9025), X9025, X9025/5))</f>
        <v>0.8833333333333333</v>
      </c>
    </row>
    <row r="9026" spans="1:29">
      <c r="A9026" s="8" t="s">
        <v>1768</v>
      </c>
      <c r="B9026" s="17" t="s">
        <v>7745</v>
      </c>
      <c r="C9026" s="13">
        <v>34820</v>
      </c>
      <c r="D9026" s="13" t="s">
        <v>8465</v>
      </c>
      <c r="E9026" s="10" t="s">
        <v>86</v>
      </c>
      <c r="F9026" s="10" t="s">
        <v>30</v>
      </c>
      <c r="G9026" s="11" t="s">
        <v>223</v>
      </c>
      <c r="H9026" s="2" t="s">
        <v>64</v>
      </c>
      <c r="L9026" s="18">
        <v>0</v>
      </c>
      <c r="Q9026" s="18">
        <v>1</v>
      </c>
      <c r="T9026" s="22">
        <v>0.8</v>
      </c>
      <c r="U9026" s="22">
        <v>0.82</v>
      </c>
      <c r="V9026" s="22">
        <f>3.98/5</f>
        <v>0.79600000000000004</v>
      </c>
      <c r="AB9026" s="18">
        <f t="shared" si="282"/>
        <v>1995</v>
      </c>
      <c r="AC9026" s="22">
        <f t="shared" si="283"/>
        <v>0.80533333333333346</v>
      </c>
    </row>
    <row r="9027" spans="1:29">
      <c r="A9027" s="8" t="s">
        <v>111</v>
      </c>
      <c r="B9027" s="17" t="s">
        <v>7731</v>
      </c>
      <c r="C9027" s="13">
        <v>34789</v>
      </c>
      <c r="D9027" s="13" t="s">
        <v>8465</v>
      </c>
      <c r="E9027" s="10" t="s">
        <v>170</v>
      </c>
      <c r="F9027" s="10" t="s">
        <v>155</v>
      </c>
      <c r="G9027" s="11" t="s">
        <v>111</v>
      </c>
      <c r="H9027" s="2" t="s">
        <v>459</v>
      </c>
      <c r="L9027" s="18">
        <v>0</v>
      </c>
      <c r="Q9027" s="18">
        <v>1</v>
      </c>
      <c r="T9027" s="22">
        <v>0.6</v>
      </c>
      <c r="V9027" s="22">
        <f>3.41/5</f>
        <v>0.68200000000000005</v>
      </c>
      <c r="AB9027" s="18">
        <f t="shared" si="282"/>
        <v>1995</v>
      </c>
      <c r="AC9027" s="22">
        <f t="shared" si="283"/>
        <v>0.64100000000000001</v>
      </c>
    </row>
    <row r="9028" spans="1:29">
      <c r="A9028" s="8" t="s">
        <v>2520</v>
      </c>
      <c r="B9028" s="17" t="s">
        <v>7751</v>
      </c>
      <c r="C9028" s="13">
        <v>34773</v>
      </c>
      <c r="D9028" s="13" t="s">
        <v>8465</v>
      </c>
      <c r="E9028" s="10" t="s">
        <v>455</v>
      </c>
      <c r="F9028" s="10" t="s">
        <v>1944</v>
      </c>
      <c r="G9028" s="11" t="s">
        <v>2521</v>
      </c>
      <c r="H9028" s="2" t="s">
        <v>80</v>
      </c>
      <c r="L9028" s="18">
        <v>0</v>
      </c>
      <c r="Q9028" s="18">
        <v>1</v>
      </c>
      <c r="T9028" s="22">
        <v>0.6</v>
      </c>
      <c r="U9028" s="22">
        <v>0.78</v>
      </c>
      <c r="V9028" s="22">
        <f>3.58/5</f>
        <v>0.71599999999999997</v>
      </c>
      <c r="AB9028" s="18">
        <f t="shared" si="282"/>
        <v>1995</v>
      </c>
      <c r="AC9028" s="22">
        <f t="shared" si="283"/>
        <v>0.69866666666666666</v>
      </c>
    </row>
    <row r="9029" spans="1:29">
      <c r="A9029" s="8" t="s">
        <v>6929</v>
      </c>
      <c r="B9029" s="17" t="s">
        <v>7800</v>
      </c>
      <c r="C9029" s="13">
        <v>34758</v>
      </c>
      <c r="D9029" s="13" t="s">
        <v>8465</v>
      </c>
      <c r="E9029" s="10" t="s">
        <v>6928</v>
      </c>
      <c r="F9029" s="10" t="s">
        <v>6930</v>
      </c>
      <c r="G9029" s="11" t="s">
        <v>6929</v>
      </c>
      <c r="H9029" s="2" t="s">
        <v>2138</v>
      </c>
      <c r="L9029" s="18">
        <v>1</v>
      </c>
      <c r="N9029" s="13">
        <v>39704</v>
      </c>
      <c r="O9029" s="29">
        <v>2.99</v>
      </c>
      <c r="P9029" s="18" t="s">
        <v>1107</v>
      </c>
      <c r="Q9029" s="18">
        <v>1</v>
      </c>
      <c r="T9029" s="22">
        <v>0.8</v>
      </c>
      <c r="U9029" s="22">
        <v>0.8</v>
      </c>
      <c r="V9029" s="22">
        <f>3.85/5</f>
        <v>0.77</v>
      </c>
      <c r="W9029" s="14" t="s">
        <v>7778</v>
      </c>
      <c r="AB9029" s="18">
        <f t="shared" si="282"/>
        <v>1995</v>
      </c>
      <c r="AC9029" s="22">
        <f t="shared" si="283"/>
        <v>0.79</v>
      </c>
    </row>
    <row r="9030" spans="1:29" ht="25.5">
      <c r="A9030" s="8" t="s">
        <v>2517</v>
      </c>
      <c r="B9030" s="17" t="s">
        <v>7751</v>
      </c>
      <c r="C9030" s="12">
        <v>34731</v>
      </c>
      <c r="D9030" s="13" t="s">
        <v>8465</v>
      </c>
      <c r="E9030" s="10" t="s">
        <v>73</v>
      </c>
      <c r="F9030" s="10" t="s">
        <v>1745</v>
      </c>
      <c r="G9030" s="11" t="s">
        <v>89</v>
      </c>
      <c r="H9030" s="2" t="s">
        <v>56</v>
      </c>
      <c r="L9030" s="18">
        <v>0</v>
      </c>
      <c r="Q9030" s="18">
        <v>1</v>
      </c>
      <c r="T9030" s="22">
        <v>0.7</v>
      </c>
      <c r="U9030" s="22">
        <v>0.9</v>
      </c>
      <c r="V9030" s="22">
        <f>3.95/5</f>
        <v>0.79</v>
      </c>
      <c r="AB9030" s="18">
        <f t="shared" si="282"/>
        <v>1995</v>
      </c>
      <c r="AC9030" s="22">
        <f t="shared" si="283"/>
        <v>0.79666666666666675</v>
      </c>
    </row>
    <row r="9031" spans="1:29">
      <c r="A9031" s="8" t="s">
        <v>2773</v>
      </c>
      <c r="B9031" s="17" t="s">
        <v>7756</v>
      </c>
      <c r="C9031" s="13">
        <v>34726</v>
      </c>
      <c r="D9031" s="13" t="s">
        <v>8463</v>
      </c>
      <c r="E9031" s="10" t="s">
        <v>455</v>
      </c>
      <c r="F9031" s="10" t="s">
        <v>455</v>
      </c>
      <c r="H9031" s="2" t="s">
        <v>80</v>
      </c>
      <c r="K9031" s="18">
        <v>2</v>
      </c>
      <c r="L9031" s="18">
        <v>0</v>
      </c>
      <c r="Q9031" s="18">
        <v>1</v>
      </c>
      <c r="T9031" s="22">
        <v>0.8</v>
      </c>
      <c r="V9031" s="22">
        <f>3.97/5</f>
        <v>0.79400000000000004</v>
      </c>
      <c r="AB9031" s="18">
        <f t="shared" si="282"/>
        <v>1995</v>
      </c>
      <c r="AC9031" s="22">
        <f t="shared" si="283"/>
        <v>0.79700000000000004</v>
      </c>
    </row>
    <row r="9032" spans="1:29">
      <c r="A9032" s="8" t="s">
        <v>607</v>
      </c>
      <c r="B9032" s="17" t="s">
        <v>7736</v>
      </c>
      <c r="C9032" s="12">
        <v>34700</v>
      </c>
      <c r="D9032" s="13" t="s">
        <v>8465</v>
      </c>
      <c r="E9032" s="10" t="s">
        <v>73</v>
      </c>
      <c r="F9032" s="10" t="s">
        <v>73</v>
      </c>
      <c r="G9032" s="11" t="s">
        <v>601</v>
      </c>
      <c r="H9032" s="2" t="s">
        <v>56</v>
      </c>
      <c r="L9032" s="18">
        <v>0</v>
      </c>
      <c r="Q9032" s="18">
        <v>1</v>
      </c>
      <c r="T9032" s="22">
        <v>0.7</v>
      </c>
      <c r="U9032" s="22">
        <v>0.82</v>
      </c>
      <c r="V9032" s="22">
        <f>4.16/5</f>
        <v>0.83200000000000007</v>
      </c>
      <c r="AB9032" s="18">
        <f t="shared" si="282"/>
        <v>1995</v>
      </c>
      <c r="AC9032" s="22">
        <f t="shared" si="283"/>
        <v>0.78400000000000014</v>
      </c>
    </row>
    <row r="9033" spans="1:29">
      <c r="A9033" s="8" t="s">
        <v>599</v>
      </c>
      <c r="B9033" s="17" t="s">
        <v>7736</v>
      </c>
      <c r="C9033" s="12">
        <v>34700</v>
      </c>
      <c r="D9033" s="13" t="s">
        <v>8465</v>
      </c>
      <c r="E9033" s="10" t="s">
        <v>76</v>
      </c>
      <c r="F9033" s="10" t="s">
        <v>76</v>
      </c>
      <c r="G9033" s="11" t="s">
        <v>139</v>
      </c>
      <c r="H9033" s="2" t="s">
        <v>56</v>
      </c>
      <c r="L9033" s="18">
        <v>0</v>
      </c>
      <c r="Q9033" s="18">
        <v>1</v>
      </c>
      <c r="T9033" s="22">
        <v>0.7</v>
      </c>
      <c r="U9033" s="22">
        <v>0.85</v>
      </c>
      <c r="V9033" s="22">
        <f>3.66/5</f>
        <v>0.73199999999999998</v>
      </c>
      <c r="AB9033" s="18">
        <f t="shared" si="282"/>
        <v>1995</v>
      </c>
      <c r="AC9033" s="22">
        <f t="shared" si="283"/>
        <v>0.76066666666666671</v>
      </c>
    </row>
    <row r="9034" spans="1:29">
      <c r="A9034" s="8" t="s">
        <v>328</v>
      </c>
      <c r="B9034" s="17" t="s">
        <v>6317</v>
      </c>
      <c r="C9034" s="12">
        <v>34700</v>
      </c>
      <c r="D9034" s="13" t="s">
        <v>8465</v>
      </c>
      <c r="E9034" s="10" t="s">
        <v>473</v>
      </c>
      <c r="F9034" s="10" t="s">
        <v>473</v>
      </c>
      <c r="G9034" s="11" t="s">
        <v>328</v>
      </c>
      <c r="H9034" s="2" t="s">
        <v>21</v>
      </c>
      <c r="L9034" s="18">
        <v>0</v>
      </c>
      <c r="Q9034" s="18">
        <v>1</v>
      </c>
      <c r="T9034" s="22">
        <v>0.7</v>
      </c>
      <c r="V9034" s="22">
        <f>3.73/5</f>
        <v>0.746</v>
      </c>
      <c r="AB9034" s="18">
        <f t="shared" si="282"/>
        <v>1995</v>
      </c>
      <c r="AC9034" s="22">
        <f t="shared" si="283"/>
        <v>0.72299999999999998</v>
      </c>
    </row>
    <row r="9035" spans="1:29">
      <c r="A9035" s="8" t="s">
        <v>89</v>
      </c>
      <c r="B9035" s="17" t="s">
        <v>7756</v>
      </c>
      <c r="C9035" s="12">
        <v>34700</v>
      </c>
      <c r="D9035" s="13" t="s">
        <v>8465</v>
      </c>
      <c r="E9035" s="10" t="s">
        <v>73</v>
      </c>
      <c r="F9035" s="10" t="s">
        <v>2774</v>
      </c>
      <c r="G9035" s="11" t="s">
        <v>89</v>
      </c>
      <c r="H9035" s="2" t="s">
        <v>56</v>
      </c>
      <c r="L9035" s="18">
        <v>0</v>
      </c>
      <c r="Q9035" s="18">
        <v>1</v>
      </c>
      <c r="T9035" s="22">
        <v>0.7</v>
      </c>
      <c r="V9035" s="22">
        <f>3.6/5</f>
        <v>0.72</v>
      </c>
      <c r="AB9035" s="18">
        <f t="shared" si="282"/>
        <v>1995</v>
      </c>
      <c r="AC9035" s="22">
        <f t="shared" si="283"/>
        <v>0.71</v>
      </c>
    </row>
    <row r="9036" spans="1:29">
      <c r="A9036" s="8" t="s">
        <v>760</v>
      </c>
      <c r="B9036" s="17" t="s">
        <v>7736</v>
      </c>
      <c r="C9036" s="13">
        <v>34697</v>
      </c>
      <c r="D9036" s="13" t="s">
        <v>8463</v>
      </c>
      <c r="E9036" s="10" t="s">
        <v>1357</v>
      </c>
      <c r="F9036" s="10" t="s">
        <v>1357</v>
      </c>
      <c r="G9036" s="11" t="s">
        <v>1371</v>
      </c>
      <c r="H9036" s="2" t="s">
        <v>149</v>
      </c>
      <c r="K9036" s="18">
        <v>2</v>
      </c>
      <c r="L9036" s="18">
        <v>0</v>
      </c>
      <c r="Q9036" s="18">
        <v>0</v>
      </c>
      <c r="V9036" s="22">
        <f>3.73/5</f>
        <v>0.746</v>
      </c>
      <c r="X9036" s="3">
        <v>3</v>
      </c>
      <c r="Z9036" s="23">
        <v>25</v>
      </c>
      <c r="AB9036" s="18">
        <f t="shared" si="282"/>
        <v>1994</v>
      </c>
      <c r="AC9036" s="22">
        <f t="shared" si="283"/>
        <v>0.67300000000000004</v>
      </c>
    </row>
    <row r="9037" spans="1:29">
      <c r="A9037" s="8" t="s">
        <v>825</v>
      </c>
      <c r="B9037" s="17" t="s">
        <v>7736</v>
      </c>
      <c r="C9037" s="13">
        <v>34691</v>
      </c>
      <c r="D9037" s="13" t="s">
        <v>8463</v>
      </c>
      <c r="E9037" s="10" t="s">
        <v>1417</v>
      </c>
      <c r="F9037" s="10" t="s">
        <v>1418</v>
      </c>
      <c r="G9037" s="11" t="s">
        <v>825</v>
      </c>
      <c r="H9037" s="2" t="s">
        <v>56</v>
      </c>
      <c r="K9037" s="18">
        <v>2</v>
      </c>
      <c r="L9037" s="18">
        <v>0</v>
      </c>
      <c r="Q9037" s="18">
        <v>0</v>
      </c>
      <c r="V9037" s="22">
        <f>3.97/5</f>
        <v>0.79400000000000004</v>
      </c>
      <c r="X9037" s="3">
        <v>3</v>
      </c>
      <c r="Z9037" s="23">
        <v>4.5</v>
      </c>
      <c r="AB9037" s="18">
        <f t="shared" si="282"/>
        <v>1994</v>
      </c>
      <c r="AC9037" s="22">
        <f t="shared" si="283"/>
        <v>0.69700000000000006</v>
      </c>
    </row>
    <row r="9038" spans="1:29">
      <c r="A9038" s="8" t="s">
        <v>737</v>
      </c>
      <c r="B9038" s="17" t="s">
        <v>7736</v>
      </c>
      <c r="C9038" s="13">
        <v>34691</v>
      </c>
      <c r="D9038" s="13" t="s">
        <v>8463</v>
      </c>
      <c r="E9038" s="10" t="s">
        <v>470</v>
      </c>
      <c r="F9038" s="10" t="s">
        <v>470</v>
      </c>
      <c r="G9038" s="11" t="s">
        <v>737</v>
      </c>
      <c r="H9038" s="2" t="s">
        <v>56</v>
      </c>
      <c r="K9038" s="18">
        <v>2</v>
      </c>
      <c r="L9038" s="18">
        <v>0</v>
      </c>
      <c r="Q9038" s="18">
        <v>0</v>
      </c>
      <c r="V9038" s="22">
        <f>3.54/5</f>
        <v>0.70799999999999996</v>
      </c>
      <c r="X9038" s="3">
        <v>2</v>
      </c>
      <c r="Z9038" s="23">
        <v>2</v>
      </c>
      <c r="AB9038" s="18">
        <f t="shared" si="282"/>
        <v>1994</v>
      </c>
      <c r="AC9038" s="22">
        <f t="shared" si="283"/>
        <v>0.55400000000000005</v>
      </c>
    </row>
    <row r="9039" spans="1:29">
      <c r="A9039" s="8" t="s">
        <v>12431</v>
      </c>
      <c r="B9039" s="17" t="s">
        <v>7792</v>
      </c>
      <c r="C9039" s="13">
        <v>34691</v>
      </c>
      <c r="D9039" s="13" t="s">
        <v>8463</v>
      </c>
      <c r="E9039" s="10" t="s">
        <v>1238</v>
      </c>
      <c r="F9039" s="10" t="s">
        <v>62</v>
      </c>
      <c r="G9039" s="11" t="s">
        <v>11120</v>
      </c>
      <c r="H9039" s="2" t="s">
        <v>459</v>
      </c>
      <c r="K9039" s="18">
        <v>0</v>
      </c>
      <c r="L9039" s="18">
        <v>0</v>
      </c>
      <c r="Q9039" s="18">
        <v>0</v>
      </c>
      <c r="V9039" s="22">
        <f>3.35/5</f>
        <v>0.67</v>
      </c>
      <c r="X9039" s="3">
        <v>2</v>
      </c>
      <c r="AB9039" s="18">
        <f t="shared" si="282"/>
        <v>1994</v>
      </c>
      <c r="AC9039" s="22">
        <f t="shared" si="283"/>
        <v>0.53500000000000003</v>
      </c>
    </row>
    <row r="9040" spans="1:29" ht="25.5">
      <c r="A9040" s="8" t="s">
        <v>13848</v>
      </c>
      <c r="B9040" s="17" t="s">
        <v>10908</v>
      </c>
      <c r="C9040" s="13">
        <v>34691</v>
      </c>
      <c r="D9040" s="13" t="s">
        <v>8463</v>
      </c>
      <c r="E9040" s="10" t="s">
        <v>62</v>
      </c>
      <c r="F9040" s="10" t="s">
        <v>62</v>
      </c>
      <c r="H9040" s="2" t="s">
        <v>67</v>
      </c>
      <c r="K9040" s="18">
        <v>0</v>
      </c>
      <c r="L9040" s="18">
        <v>0</v>
      </c>
      <c r="Q9040" s="18">
        <v>0</v>
      </c>
      <c r="V9040" s="22">
        <f>3.14/5</f>
        <v>0.628</v>
      </c>
      <c r="X9040" s="3">
        <v>2</v>
      </c>
      <c r="AB9040" s="18">
        <f t="shared" si="282"/>
        <v>1994</v>
      </c>
      <c r="AC9040" s="22">
        <f t="shared" si="283"/>
        <v>0.51400000000000001</v>
      </c>
    </row>
    <row r="9041" spans="1:29">
      <c r="A9041" s="8" t="s">
        <v>11669</v>
      </c>
      <c r="B9041" s="17" t="s">
        <v>7736</v>
      </c>
      <c r="C9041" s="13">
        <v>34690</v>
      </c>
      <c r="D9041" s="13" t="s">
        <v>8463</v>
      </c>
      <c r="E9041" s="10" t="s">
        <v>62</v>
      </c>
      <c r="F9041" s="10" t="s">
        <v>2764</v>
      </c>
      <c r="G9041" s="11" t="s">
        <v>11669</v>
      </c>
      <c r="H9041" s="2" t="s">
        <v>149</v>
      </c>
      <c r="K9041" s="18">
        <v>2</v>
      </c>
      <c r="L9041" s="18">
        <v>0</v>
      </c>
      <c r="Q9041" s="18">
        <v>0</v>
      </c>
      <c r="V9041" s="22">
        <f>3.84/5</f>
        <v>0.76800000000000002</v>
      </c>
      <c r="X9041" s="3">
        <v>2</v>
      </c>
      <c r="Z9041" s="23">
        <v>23.5</v>
      </c>
      <c r="AB9041" s="18">
        <f t="shared" si="282"/>
        <v>1994</v>
      </c>
      <c r="AC9041" s="22">
        <f t="shared" si="283"/>
        <v>0.58400000000000007</v>
      </c>
    </row>
    <row r="9042" spans="1:29" ht="25.5">
      <c r="A9042" s="8" t="s">
        <v>14466</v>
      </c>
      <c r="B9042" s="17" t="s">
        <v>7736</v>
      </c>
      <c r="C9042" s="13">
        <v>34690</v>
      </c>
      <c r="D9042" s="13" t="s">
        <v>8463</v>
      </c>
      <c r="E9042" s="10" t="s">
        <v>160</v>
      </c>
      <c r="F9042" s="10" t="s">
        <v>160</v>
      </c>
      <c r="G9042" s="11" t="s">
        <v>2735</v>
      </c>
      <c r="H9042" s="2" t="s">
        <v>149</v>
      </c>
      <c r="K9042" s="18">
        <v>0</v>
      </c>
      <c r="L9042" s="18">
        <v>0</v>
      </c>
      <c r="Q9042" s="18">
        <v>0</v>
      </c>
      <c r="V9042" s="22">
        <f>3.56/5</f>
        <v>0.71199999999999997</v>
      </c>
      <c r="X9042" s="3">
        <v>2</v>
      </c>
      <c r="AB9042" s="18">
        <f t="shared" si="282"/>
        <v>1994</v>
      </c>
      <c r="AC9042" s="22">
        <f t="shared" si="283"/>
        <v>0.55600000000000005</v>
      </c>
    </row>
    <row r="9043" spans="1:29">
      <c r="A9043" s="8" t="s">
        <v>10063</v>
      </c>
      <c r="B9043" s="17" t="s">
        <v>7736</v>
      </c>
      <c r="C9043" s="13">
        <v>34690</v>
      </c>
      <c r="D9043" s="13" t="s">
        <v>8463</v>
      </c>
      <c r="E9043" s="10" t="s">
        <v>1430</v>
      </c>
      <c r="F9043" s="10" t="s">
        <v>1430</v>
      </c>
      <c r="H9043" s="2" t="s">
        <v>75</v>
      </c>
      <c r="K9043" s="18">
        <v>2</v>
      </c>
      <c r="L9043" s="18">
        <v>0</v>
      </c>
      <c r="Q9043" s="18">
        <v>0</v>
      </c>
      <c r="V9043" s="22">
        <f>3.44/5</f>
        <v>0.68799999999999994</v>
      </c>
      <c r="X9043" s="3">
        <v>2</v>
      </c>
      <c r="AB9043" s="18">
        <f t="shared" si="282"/>
        <v>1994</v>
      </c>
      <c r="AC9043" s="22">
        <f t="shared" si="283"/>
        <v>0.54400000000000004</v>
      </c>
    </row>
    <row r="9044" spans="1:29" ht="25.5">
      <c r="A9044" s="8" t="s">
        <v>793</v>
      </c>
      <c r="B9044" s="17" t="s">
        <v>7736</v>
      </c>
      <c r="C9044" s="13">
        <v>34690</v>
      </c>
      <c r="D9044" s="13" t="s">
        <v>8463</v>
      </c>
      <c r="E9044" s="10" t="s">
        <v>1314</v>
      </c>
      <c r="F9044" s="10" t="s">
        <v>1314</v>
      </c>
      <c r="H9044" s="2" t="s">
        <v>56</v>
      </c>
      <c r="K9044" s="18">
        <v>0</v>
      </c>
      <c r="L9044" s="18">
        <v>0</v>
      </c>
      <c r="Q9044" s="18">
        <v>0</v>
      </c>
      <c r="V9044" s="22">
        <f>3.08/5</f>
        <v>0.61599999999999999</v>
      </c>
      <c r="X9044" s="3">
        <v>2</v>
      </c>
      <c r="AB9044" s="18">
        <f t="shared" si="282"/>
        <v>1994</v>
      </c>
      <c r="AC9044" s="22">
        <f t="shared" si="283"/>
        <v>0.50800000000000001</v>
      </c>
    </row>
    <row r="9045" spans="1:29" ht="25.5">
      <c r="A9045" s="8" t="s">
        <v>15985</v>
      </c>
      <c r="B9045" s="17" t="s">
        <v>7790</v>
      </c>
      <c r="C9045" s="13">
        <v>34690</v>
      </c>
      <c r="D9045" s="13" t="s">
        <v>8463</v>
      </c>
      <c r="E9045" s="10" t="s">
        <v>62</v>
      </c>
      <c r="F9045" s="10" t="s">
        <v>62</v>
      </c>
      <c r="G9045" s="11" t="s">
        <v>7674</v>
      </c>
      <c r="H9045" s="2" t="s">
        <v>78</v>
      </c>
      <c r="K9045" s="18">
        <v>0</v>
      </c>
      <c r="L9045" s="18">
        <v>0</v>
      </c>
      <c r="Q9045" s="18">
        <v>0</v>
      </c>
      <c r="V9045" s="22">
        <f>3.13/5</f>
        <v>0.626</v>
      </c>
      <c r="X9045" s="3">
        <v>2</v>
      </c>
      <c r="Z9045" s="23">
        <v>1.5</v>
      </c>
      <c r="AB9045" s="18">
        <f t="shared" si="282"/>
        <v>1994</v>
      </c>
      <c r="AC9045" s="22">
        <f t="shared" si="283"/>
        <v>0.51300000000000001</v>
      </c>
    </row>
    <row r="9046" spans="1:29">
      <c r="A9046" s="8" t="s">
        <v>7170</v>
      </c>
      <c r="B9046" s="17" t="s">
        <v>7800</v>
      </c>
      <c r="C9046" s="13">
        <v>34689</v>
      </c>
      <c r="D9046" s="13" t="s">
        <v>8465</v>
      </c>
      <c r="E9046" s="10" t="s">
        <v>7238</v>
      </c>
      <c r="F9046" s="10" t="s">
        <v>7238</v>
      </c>
      <c r="G9046" s="11" t="s">
        <v>7170</v>
      </c>
      <c r="H9046" s="2" t="s">
        <v>1050</v>
      </c>
      <c r="L9046" s="18">
        <v>0</v>
      </c>
      <c r="Q9046" s="18">
        <v>0</v>
      </c>
      <c r="V9046" s="22">
        <f>3.71/5</f>
        <v>0.74199999999999999</v>
      </c>
      <c r="X9046" s="3">
        <v>3</v>
      </c>
      <c r="Z9046" s="23">
        <v>7</v>
      </c>
      <c r="AB9046" s="18">
        <f t="shared" si="282"/>
        <v>1994</v>
      </c>
      <c r="AC9046" s="22">
        <f t="shared" si="283"/>
        <v>0.67100000000000004</v>
      </c>
    </row>
    <row r="9047" spans="1:29">
      <c r="A9047" s="8" t="s">
        <v>15724</v>
      </c>
      <c r="B9047" s="17" t="s">
        <v>7785</v>
      </c>
      <c r="C9047" s="13">
        <v>34689</v>
      </c>
      <c r="D9047" s="13" t="s">
        <v>8465</v>
      </c>
      <c r="E9047" s="10" t="s">
        <v>311</v>
      </c>
      <c r="F9047" s="10" t="s">
        <v>15725</v>
      </c>
      <c r="H9047" s="2" t="s">
        <v>459</v>
      </c>
      <c r="L9047" s="18">
        <v>0</v>
      </c>
      <c r="Q9047" s="18">
        <v>0</v>
      </c>
      <c r="V9047" s="22">
        <f>1.97/5</f>
        <v>0.39400000000000002</v>
      </c>
      <c r="X9047" s="3">
        <v>2</v>
      </c>
      <c r="Z9047" s="23">
        <f>31/60</f>
        <v>0.51666666666666672</v>
      </c>
      <c r="AB9047" s="18">
        <f t="shared" si="282"/>
        <v>1994</v>
      </c>
      <c r="AC9047" s="22">
        <f t="shared" si="283"/>
        <v>0.39700000000000002</v>
      </c>
    </row>
    <row r="9048" spans="1:29">
      <c r="A9048" s="8" t="s">
        <v>2977</v>
      </c>
      <c r="B9048" s="17" t="s">
        <v>7757</v>
      </c>
      <c r="C9048" s="13">
        <v>34684</v>
      </c>
      <c r="D9048" s="13" t="s">
        <v>8463</v>
      </c>
      <c r="E9048" s="10" t="s">
        <v>1580</v>
      </c>
      <c r="F9048" s="10" t="s">
        <v>1580</v>
      </c>
      <c r="G9048" s="11" t="s">
        <v>2977</v>
      </c>
      <c r="H9048" s="2" t="s">
        <v>171</v>
      </c>
      <c r="K9048" s="18">
        <v>2</v>
      </c>
      <c r="L9048" s="18">
        <v>0</v>
      </c>
      <c r="Q9048" s="18">
        <v>0</v>
      </c>
      <c r="V9048" s="22">
        <f>3.5/5</f>
        <v>0.7</v>
      </c>
      <c r="X9048" s="3">
        <v>4</v>
      </c>
      <c r="Z9048" s="23">
        <v>15.5</v>
      </c>
      <c r="AB9048" s="18">
        <f t="shared" si="282"/>
        <v>1994</v>
      </c>
      <c r="AC9048" s="22">
        <f t="shared" si="283"/>
        <v>0.75</v>
      </c>
    </row>
    <row r="9049" spans="1:29" ht="25.5">
      <c r="A9049" s="8" t="s">
        <v>784</v>
      </c>
      <c r="B9049" s="17" t="s">
        <v>7736</v>
      </c>
      <c r="C9049" s="13">
        <v>34684</v>
      </c>
      <c r="D9049" s="13" t="s">
        <v>8463</v>
      </c>
      <c r="E9049" s="10" t="s">
        <v>1238</v>
      </c>
      <c r="F9049" s="10" t="s">
        <v>1393</v>
      </c>
      <c r="G9049" s="11" t="s">
        <v>1286</v>
      </c>
      <c r="H9049" s="2" t="s">
        <v>64</v>
      </c>
      <c r="K9049" s="18">
        <v>2</v>
      </c>
      <c r="L9049" s="18">
        <v>0</v>
      </c>
      <c r="Q9049" s="18">
        <v>0</v>
      </c>
      <c r="V9049" s="22">
        <f>3.58/5</f>
        <v>0.71599999999999997</v>
      </c>
      <c r="X9049" s="3">
        <v>3</v>
      </c>
      <c r="Z9049" s="23">
        <v>8</v>
      </c>
      <c r="AB9049" s="18">
        <f t="shared" si="282"/>
        <v>1994</v>
      </c>
      <c r="AC9049" s="22">
        <f t="shared" si="283"/>
        <v>0.65799999999999992</v>
      </c>
    </row>
    <row r="9050" spans="1:29">
      <c r="A9050" s="8" t="s">
        <v>11850</v>
      </c>
      <c r="B9050" s="17" t="s">
        <v>7756</v>
      </c>
      <c r="C9050" s="13">
        <v>34684</v>
      </c>
      <c r="D9050" s="13" t="s">
        <v>8463</v>
      </c>
      <c r="E9050" s="10" t="s">
        <v>455</v>
      </c>
      <c r="F9050" s="10" t="s">
        <v>455</v>
      </c>
      <c r="G9050" s="11" t="s">
        <v>777</v>
      </c>
      <c r="H9050" s="2" t="s">
        <v>149</v>
      </c>
      <c r="K9050" s="18">
        <v>2</v>
      </c>
      <c r="L9050" s="18">
        <v>0</v>
      </c>
      <c r="Q9050" s="18">
        <v>0</v>
      </c>
      <c r="V9050" s="22">
        <f>3.5/5</f>
        <v>0.7</v>
      </c>
      <c r="X9050" s="3">
        <v>3</v>
      </c>
      <c r="AB9050" s="18">
        <f t="shared" si="282"/>
        <v>1994</v>
      </c>
      <c r="AC9050" s="22">
        <f t="shared" si="283"/>
        <v>0.64999999999999991</v>
      </c>
    </row>
    <row r="9051" spans="1:29" ht="38.25">
      <c r="A9051" s="8" t="s">
        <v>733</v>
      </c>
      <c r="B9051" s="17" t="s">
        <v>7736</v>
      </c>
      <c r="C9051" s="13">
        <v>34684</v>
      </c>
      <c r="D9051" s="13" t="s">
        <v>8463</v>
      </c>
      <c r="E9051" s="10" t="s">
        <v>72</v>
      </c>
      <c r="F9051" s="10" t="s">
        <v>72</v>
      </c>
      <c r="G9051" s="11" t="s">
        <v>1242</v>
      </c>
      <c r="H9051" s="2" t="s">
        <v>143</v>
      </c>
      <c r="K9051" s="18">
        <v>2</v>
      </c>
      <c r="L9051" s="18">
        <v>0</v>
      </c>
      <c r="Q9051" s="18">
        <v>0</v>
      </c>
      <c r="V9051" s="22">
        <f>3.81/5</f>
        <v>0.76200000000000001</v>
      </c>
      <c r="X9051" s="3">
        <v>2</v>
      </c>
      <c r="AB9051" s="18">
        <f t="shared" si="282"/>
        <v>1994</v>
      </c>
      <c r="AC9051" s="22">
        <f t="shared" si="283"/>
        <v>0.58099999999999996</v>
      </c>
    </row>
    <row r="9052" spans="1:29">
      <c r="A9052" s="8" t="s">
        <v>809</v>
      </c>
      <c r="B9052" s="17" t="s">
        <v>7736</v>
      </c>
      <c r="C9052" s="13">
        <v>34684</v>
      </c>
      <c r="D9052" s="13" t="s">
        <v>8463</v>
      </c>
      <c r="E9052" s="10" t="s">
        <v>1326</v>
      </c>
      <c r="F9052" s="10" t="s">
        <v>58</v>
      </c>
      <c r="G9052" s="11" t="s">
        <v>98</v>
      </c>
      <c r="H9052" s="2" t="s">
        <v>78</v>
      </c>
      <c r="K9052" s="18">
        <v>0</v>
      </c>
      <c r="L9052" s="18">
        <v>0</v>
      </c>
      <c r="Q9052" s="18">
        <v>0</v>
      </c>
      <c r="V9052" s="22">
        <f>3.81/5</f>
        <v>0.76200000000000001</v>
      </c>
      <c r="X9052" s="3">
        <v>2</v>
      </c>
      <c r="Z9052" s="23">
        <v>7</v>
      </c>
      <c r="AB9052" s="18">
        <f t="shared" si="282"/>
        <v>1994</v>
      </c>
      <c r="AC9052" s="22">
        <f t="shared" si="283"/>
        <v>0.58099999999999996</v>
      </c>
    </row>
    <row r="9053" spans="1:29" ht="25.5">
      <c r="A9053" s="8" t="s">
        <v>13878</v>
      </c>
      <c r="B9053" s="17" t="s">
        <v>10323</v>
      </c>
      <c r="C9053" s="13">
        <v>34684</v>
      </c>
      <c r="D9053" s="13" t="s">
        <v>8463</v>
      </c>
      <c r="E9053" s="10" t="s">
        <v>13877</v>
      </c>
      <c r="F9053" s="10" t="s">
        <v>13877</v>
      </c>
      <c r="G9053" s="11" t="s">
        <v>13876</v>
      </c>
      <c r="H9053" s="2" t="s">
        <v>75</v>
      </c>
      <c r="K9053" s="18">
        <v>0</v>
      </c>
      <c r="L9053" s="18">
        <v>0</v>
      </c>
      <c r="Q9053" s="18">
        <v>0</v>
      </c>
      <c r="X9053" s="3">
        <v>2</v>
      </c>
      <c r="Z9053" s="23">
        <v>13.5</v>
      </c>
      <c r="AB9053" s="18">
        <f t="shared" si="282"/>
        <v>1994</v>
      </c>
      <c r="AC9053" s="22">
        <f t="shared" si="283"/>
        <v>0.4</v>
      </c>
    </row>
    <row r="9054" spans="1:29" ht="25.5">
      <c r="A9054" s="8" t="s">
        <v>826</v>
      </c>
      <c r="B9054" s="17" t="s">
        <v>7736</v>
      </c>
      <c r="C9054" s="13">
        <v>34677</v>
      </c>
      <c r="D9054" s="13" t="s">
        <v>8463</v>
      </c>
      <c r="E9054" s="10" t="s">
        <v>257</v>
      </c>
      <c r="F9054" s="10" t="s">
        <v>1302</v>
      </c>
      <c r="G9054" s="11" t="s">
        <v>1419</v>
      </c>
      <c r="H9054" s="2" t="s">
        <v>149</v>
      </c>
      <c r="K9054" s="18">
        <v>2</v>
      </c>
      <c r="L9054" s="18">
        <v>0</v>
      </c>
      <c r="Q9054" s="18">
        <v>0</v>
      </c>
      <c r="V9054" s="22">
        <f>3.97/5</f>
        <v>0.79400000000000004</v>
      </c>
      <c r="X9054" s="3">
        <v>4</v>
      </c>
      <c r="Z9054" s="23">
        <v>15.5</v>
      </c>
      <c r="AB9054" s="18">
        <f t="shared" si="282"/>
        <v>1994</v>
      </c>
      <c r="AC9054" s="22">
        <f t="shared" si="283"/>
        <v>0.79700000000000004</v>
      </c>
    </row>
    <row r="9055" spans="1:29">
      <c r="A9055" s="8" t="s">
        <v>2829</v>
      </c>
      <c r="B9055" s="17" t="s">
        <v>7785</v>
      </c>
      <c r="C9055" s="13">
        <v>34677</v>
      </c>
      <c r="D9055" s="13" t="s">
        <v>8465</v>
      </c>
      <c r="E9055" s="10" t="s">
        <v>1299</v>
      </c>
      <c r="F9055" s="10" t="s">
        <v>1299</v>
      </c>
      <c r="G9055" s="11" t="s">
        <v>1300</v>
      </c>
      <c r="H9055" s="2" t="s">
        <v>64</v>
      </c>
      <c r="L9055" s="18">
        <v>0</v>
      </c>
      <c r="Q9055" s="18">
        <v>0</v>
      </c>
      <c r="V9055" s="22">
        <f>3.49/5</f>
        <v>0.69800000000000006</v>
      </c>
      <c r="X9055" s="3">
        <v>2</v>
      </c>
      <c r="Z9055" s="23">
        <v>1.5</v>
      </c>
      <c r="AB9055" s="18">
        <f t="shared" si="282"/>
        <v>1994</v>
      </c>
      <c r="AC9055" s="22">
        <f t="shared" si="283"/>
        <v>0.54900000000000004</v>
      </c>
    </row>
    <row r="9056" spans="1:29" ht="25.5">
      <c r="A9056" s="8" t="s">
        <v>14964</v>
      </c>
      <c r="B9056" s="17" t="s">
        <v>7785</v>
      </c>
      <c r="C9056" s="13">
        <v>34677</v>
      </c>
      <c r="D9056" s="13" t="s">
        <v>8465</v>
      </c>
      <c r="E9056" s="10" t="s">
        <v>311</v>
      </c>
      <c r="F9056" s="10" t="s">
        <v>14965</v>
      </c>
      <c r="G9056" s="11" t="s">
        <v>14962</v>
      </c>
      <c r="H9056" s="2" t="s">
        <v>64</v>
      </c>
      <c r="L9056" s="18">
        <v>0</v>
      </c>
      <c r="Q9056" s="18">
        <v>0</v>
      </c>
      <c r="V9056" s="22">
        <f>2.12/5</f>
        <v>0.42400000000000004</v>
      </c>
      <c r="X9056" s="3">
        <v>2</v>
      </c>
      <c r="AB9056" s="18">
        <f t="shared" si="282"/>
        <v>1994</v>
      </c>
      <c r="AC9056" s="22">
        <f t="shared" si="283"/>
        <v>0.41200000000000003</v>
      </c>
    </row>
    <row r="9057" spans="1:29">
      <c r="A9057" s="8" t="s">
        <v>2591</v>
      </c>
      <c r="B9057" s="17" t="s">
        <v>7751</v>
      </c>
      <c r="C9057" s="13">
        <v>34676</v>
      </c>
      <c r="D9057" s="13" t="s">
        <v>8465</v>
      </c>
      <c r="E9057" s="10" t="s">
        <v>1259</v>
      </c>
      <c r="F9057" s="10" t="s">
        <v>2654</v>
      </c>
      <c r="G9057" s="11" t="s">
        <v>2591</v>
      </c>
      <c r="H9057" s="2" t="s">
        <v>56</v>
      </c>
      <c r="L9057" s="18">
        <v>0</v>
      </c>
      <c r="Q9057" s="18">
        <v>0</v>
      </c>
      <c r="U9057" s="22">
        <v>0.85</v>
      </c>
      <c r="V9057" s="22">
        <f>3.52/5</f>
        <v>0.70399999999999996</v>
      </c>
      <c r="X9057" s="3">
        <v>3</v>
      </c>
      <c r="Z9057" s="23">
        <v>2</v>
      </c>
      <c r="AB9057" s="18">
        <f t="shared" si="282"/>
        <v>1994</v>
      </c>
      <c r="AC9057" s="22">
        <f t="shared" si="283"/>
        <v>0.71799999999999997</v>
      </c>
    </row>
    <row r="9058" spans="1:29" ht="30">
      <c r="A9058" s="8" t="s">
        <v>10382</v>
      </c>
      <c r="B9058" s="17" t="s">
        <v>7757</v>
      </c>
      <c r="C9058" s="13">
        <v>34671</v>
      </c>
      <c r="D9058" s="13" t="s">
        <v>8463</v>
      </c>
      <c r="E9058" s="10" t="s">
        <v>2908</v>
      </c>
      <c r="F9058" s="10" t="s">
        <v>6092</v>
      </c>
      <c r="G9058" s="11" t="s">
        <v>10382</v>
      </c>
      <c r="H9058" s="2" t="s">
        <v>1050</v>
      </c>
      <c r="K9058" s="18">
        <v>0</v>
      </c>
      <c r="L9058" s="18">
        <v>0</v>
      </c>
      <c r="Q9058" s="18">
        <v>0</v>
      </c>
      <c r="V9058" s="22">
        <f>3.68/5</f>
        <v>0.73599999999999999</v>
      </c>
      <c r="X9058" s="3">
        <v>2</v>
      </c>
      <c r="AB9058" s="18">
        <f t="shared" si="282"/>
        <v>1994</v>
      </c>
      <c r="AC9058" s="22">
        <f t="shared" si="283"/>
        <v>0.56800000000000006</v>
      </c>
    </row>
    <row r="9059" spans="1:29">
      <c r="A9059" s="8" t="s">
        <v>536</v>
      </c>
      <c r="B9059" s="17" t="s">
        <v>7731</v>
      </c>
      <c r="C9059" s="13">
        <v>34670</v>
      </c>
      <c r="D9059" s="13" t="s">
        <v>8465</v>
      </c>
      <c r="E9059" s="10" t="s">
        <v>170</v>
      </c>
      <c r="F9059" s="10" t="s">
        <v>170</v>
      </c>
      <c r="G9059" s="11" t="s">
        <v>519</v>
      </c>
      <c r="H9059" s="2" t="s">
        <v>459</v>
      </c>
      <c r="L9059" s="18">
        <v>0</v>
      </c>
      <c r="Q9059" s="18">
        <v>0</v>
      </c>
      <c r="V9059" s="22">
        <f>4.27/5</f>
        <v>0.85399999999999987</v>
      </c>
      <c r="X9059" s="3">
        <v>3</v>
      </c>
      <c r="Z9059" s="23">
        <v>0.8</v>
      </c>
      <c r="AB9059" s="18">
        <f t="shared" si="282"/>
        <v>1994</v>
      </c>
      <c r="AC9059" s="22">
        <f t="shared" si="283"/>
        <v>0.72699999999999987</v>
      </c>
    </row>
    <row r="9060" spans="1:29">
      <c r="A9060" s="8" t="s">
        <v>12432</v>
      </c>
      <c r="B9060" s="17" t="s">
        <v>10323</v>
      </c>
      <c r="C9060" s="13">
        <v>34670</v>
      </c>
      <c r="D9060" s="13" t="s">
        <v>8463</v>
      </c>
      <c r="E9060" s="10" t="s">
        <v>11808</v>
      </c>
      <c r="F9060" s="10" t="s">
        <v>1364</v>
      </c>
      <c r="G9060" s="11" t="s">
        <v>12429</v>
      </c>
      <c r="H9060" s="2" t="s">
        <v>1061</v>
      </c>
      <c r="K9060" s="18">
        <v>0</v>
      </c>
      <c r="L9060" s="18">
        <v>0</v>
      </c>
      <c r="Q9060" s="18">
        <v>0</v>
      </c>
      <c r="V9060" s="22">
        <f>5/5</f>
        <v>1</v>
      </c>
      <c r="X9060" s="3">
        <v>2</v>
      </c>
      <c r="AB9060" s="18">
        <f t="shared" si="282"/>
        <v>1994</v>
      </c>
      <c r="AC9060" s="22">
        <f t="shared" si="283"/>
        <v>0.7</v>
      </c>
    </row>
    <row r="9061" spans="1:29" ht="25.5">
      <c r="A9061" s="8" t="s">
        <v>8405</v>
      </c>
      <c r="B9061" s="17" t="s">
        <v>7736</v>
      </c>
      <c r="C9061" s="13">
        <v>34670</v>
      </c>
      <c r="D9061" s="13" t="s">
        <v>8463</v>
      </c>
      <c r="E9061" s="10" t="s">
        <v>1344</v>
      </c>
      <c r="F9061" s="10" t="s">
        <v>1345</v>
      </c>
      <c r="G9061" s="11" t="s">
        <v>1450</v>
      </c>
      <c r="H9061" s="2" t="s">
        <v>149</v>
      </c>
      <c r="K9061" s="18">
        <v>2</v>
      </c>
      <c r="L9061" s="18">
        <v>0</v>
      </c>
      <c r="Q9061" s="18">
        <v>0</v>
      </c>
      <c r="V9061" s="22">
        <f>3.7/5</f>
        <v>0.74</v>
      </c>
      <c r="X9061" s="3">
        <v>3</v>
      </c>
      <c r="AB9061" s="18">
        <f t="shared" si="282"/>
        <v>1994</v>
      </c>
      <c r="AC9061" s="22">
        <f t="shared" si="283"/>
        <v>0.66999999999999993</v>
      </c>
    </row>
    <row r="9062" spans="1:29" ht="30">
      <c r="A9062" s="8" t="s">
        <v>13335</v>
      </c>
      <c r="B9062" s="17" t="s">
        <v>7736</v>
      </c>
      <c r="C9062" s="13">
        <v>34670</v>
      </c>
      <c r="D9062" s="13" t="s">
        <v>8463</v>
      </c>
      <c r="E9062" s="10" t="s">
        <v>8394</v>
      </c>
      <c r="F9062" s="10" t="s">
        <v>8394</v>
      </c>
      <c r="G9062" s="11" t="s">
        <v>7405</v>
      </c>
      <c r="H9062" s="2" t="s">
        <v>1469</v>
      </c>
      <c r="K9062" s="18">
        <v>2</v>
      </c>
      <c r="L9062" s="18">
        <v>0</v>
      </c>
      <c r="Q9062" s="18">
        <v>0</v>
      </c>
      <c r="V9062" s="22">
        <f>3.39/5</f>
        <v>0.67800000000000005</v>
      </c>
      <c r="X9062" s="3">
        <v>2</v>
      </c>
      <c r="AB9062" s="18">
        <f t="shared" si="282"/>
        <v>1994</v>
      </c>
      <c r="AC9062" s="22">
        <f t="shared" si="283"/>
        <v>0.53900000000000003</v>
      </c>
    </row>
    <row r="9063" spans="1:29">
      <c r="A9063" s="8" t="s">
        <v>13244</v>
      </c>
      <c r="B9063" s="17" t="s">
        <v>7800</v>
      </c>
      <c r="C9063" s="12">
        <v>34669</v>
      </c>
      <c r="D9063" s="13" t="s">
        <v>8465</v>
      </c>
      <c r="E9063" s="10" t="s">
        <v>1259</v>
      </c>
      <c r="F9063" s="10" t="s">
        <v>1421</v>
      </c>
      <c r="H9063" s="2" t="s">
        <v>1050</v>
      </c>
      <c r="L9063" s="18">
        <v>0</v>
      </c>
      <c r="Q9063" s="18">
        <v>0</v>
      </c>
      <c r="V9063" s="22">
        <f>3.13/5</f>
        <v>0.626</v>
      </c>
      <c r="W9063" s="14" t="s">
        <v>13076</v>
      </c>
      <c r="X9063" s="3">
        <v>2</v>
      </c>
      <c r="Z9063" s="23">
        <v>3</v>
      </c>
      <c r="AB9063" s="18">
        <f t="shared" si="282"/>
        <v>1994</v>
      </c>
      <c r="AC9063" s="22">
        <f t="shared" si="283"/>
        <v>0.51300000000000001</v>
      </c>
    </row>
    <row r="9064" spans="1:29">
      <c r="A9064" s="8" t="s">
        <v>2706</v>
      </c>
      <c r="B9064" s="17" t="s">
        <v>7800</v>
      </c>
      <c r="C9064" s="12">
        <v>34669</v>
      </c>
      <c r="D9064" s="13" t="s">
        <v>8465</v>
      </c>
      <c r="E9064" s="10" t="s">
        <v>1272</v>
      </c>
      <c r="F9064" s="10" t="s">
        <v>1296</v>
      </c>
      <c r="G9064" s="11" t="s">
        <v>2706</v>
      </c>
      <c r="H9064" s="2" t="s">
        <v>1267</v>
      </c>
      <c r="L9064" s="18">
        <v>0</v>
      </c>
      <c r="Q9064" s="18">
        <v>0</v>
      </c>
      <c r="V9064" s="22">
        <f>3.58/5</f>
        <v>0.71599999999999997</v>
      </c>
      <c r="X9064" s="3">
        <v>4</v>
      </c>
      <c r="Z9064" s="23">
        <v>6.5</v>
      </c>
      <c r="AB9064" s="18">
        <f t="shared" si="282"/>
        <v>1994</v>
      </c>
      <c r="AC9064" s="22">
        <f t="shared" si="283"/>
        <v>0.75800000000000001</v>
      </c>
    </row>
    <row r="9065" spans="1:29">
      <c r="A9065" s="8" t="s">
        <v>695</v>
      </c>
      <c r="B9065" s="17" t="s">
        <v>7736</v>
      </c>
      <c r="C9065" s="12">
        <v>34669</v>
      </c>
      <c r="D9065" s="13" t="s">
        <v>8465</v>
      </c>
      <c r="E9065" s="10" t="s">
        <v>86</v>
      </c>
      <c r="F9065" s="10" t="s">
        <v>1327</v>
      </c>
      <c r="H9065" s="2" t="s">
        <v>150</v>
      </c>
      <c r="L9065" s="18">
        <v>0</v>
      </c>
      <c r="Q9065" s="18">
        <v>0</v>
      </c>
      <c r="U9065" s="22">
        <v>0.79</v>
      </c>
      <c r="V9065" s="22">
        <f>3.72/5</f>
        <v>0.74399999999999999</v>
      </c>
      <c r="X9065" s="3">
        <v>2</v>
      </c>
      <c r="Z9065" s="23">
        <v>2</v>
      </c>
      <c r="AB9065" s="18">
        <f t="shared" si="282"/>
        <v>1994</v>
      </c>
      <c r="AC9065" s="22">
        <f t="shared" si="283"/>
        <v>0.64466666666666672</v>
      </c>
    </row>
    <row r="9066" spans="1:29">
      <c r="A9066" s="8" t="s">
        <v>13659</v>
      </c>
      <c r="B9066" s="17" t="s">
        <v>7736</v>
      </c>
      <c r="C9066" s="12">
        <v>34669</v>
      </c>
      <c r="D9066" s="13" t="s">
        <v>8465</v>
      </c>
      <c r="E9066" s="10" t="s">
        <v>86</v>
      </c>
      <c r="F9066" s="10" t="s">
        <v>1069</v>
      </c>
      <c r="G9066" s="11" t="s">
        <v>1155</v>
      </c>
      <c r="H9066" s="2" t="s">
        <v>78</v>
      </c>
      <c r="L9066" s="18">
        <v>0</v>
      </c>
      <c r="Q9066" s="18">
        <v>0</v>
      </c>
      <c r="V9066" s="22">
        <f>3.61/5</f>
        <v>0.72199999999999998</v>
      </c>
      <c r="X9066" s="3">
        <v>2</v>
      </c>
      <c r="Z9066" s="23">
        <v>5.5</v>
      </c>
      <c r="AB9066" s="18">
        <f t="shared" si="282"/>
        <v>1994</v>
      </c>
      <c r="AC9066" s="22">
        <f t="shared" si="283"/>
        <v>0.56099999999999994</v>
      </c>
    </row>
    <row r="9067" spans="1:29" ht="25.5">
      <c r="A9067" s="8" t="s">
        <v>9602</v>
      </c>
      <c r="B9067" s="17" t="s">
        <v>7800</v>
      </c>
      <c r="C9067" s="12">
        <v>34669</v>
      </c>
      <c r="D9067" s="13" t="s">
        <v>8465</v>
      </c>
      <c r="E9067" s="10" t="s">
        <v>9603</v>
      </c>
      <c r="F9067" s="10" t="s">
        <v>1480</v>
      </c>
      <c r="H9067" s="2" t="s">
        <v>67</v>
      </c>
      <c r="L9067" s="18">
        <v>0</v>
      </c>
      <c r="Q9067" s="18">
        <v>0</v>
      </c>
      <c r="V9067" s="22">
        <f>2.29/5</f>
        <v>0.45800000000000002</v>
      </c>
      <c r="X9067" s="3">
        <v>2</v>
      </c>
      <c r="Z9067" s="23">
        <v>9.5</v>
      </c>
      <c r="AB9067" s="18">
        <f t="shared" si="282"/>
        <v>1994</v>
      </c>
      <c r="AC9067" s="22">
        <f t="shared" si="283"/>
        <v>0.42900000000000005</v>
      </c>
    </row>
    <row r="9068" spans="1:29">
      <c r="A9068" s="8" t="s">
        <v>477</v>
      </c>
      <c r="B9068" s="17" t="s">
        <v>7736</v>
      </c>
      <c r="C9068" s="12">
        <v>34669</v>
      </c>
      <c r="D9068" s="13" t="s">
        <v>8465</v>
      </c>
      <c r="E9068" s="10" t="s">
        <v>228</v>
      </c>
      <c r="F9068" s="10" t="s">
        <v>1402</v>
      </c>
      <c r="G9068" s="11" t="s">
        <v>477</v>
      </c>
      <c r="H9068" s="2" t="s">
        <v>459</v>
      </c>
      <c r="L9068" s="18">
        <v>0</v>
      </c>
      <c r="Q9068" s="18">
        <v>0</v>
      </c>
      <c r="V9068" s="22">
        <f>3.48/5</f>
        <v>0.69599999999999995</v>
      </c>
      <c r="X9068" s="3">
        <v>2</v>
      </c>
      <c r="Z9068" s="23">
        <f>30/60</f>
        <v>0.5</v>
      </c>
      <c r="AB9068" s="18">
        <f t="shared" si="282"/>
        <v>1994</v>
      </c>
      <c r="AC9068" s="22">
        <f t="shared" si="283"/>
        <v>0.54800000000000004</v>
      </c>
    </row>
    <row r="9069" spans="1:29" ht="25.5">
      <c r="A9069" s="8" t="s">
        <v>765</v>
      </c>
      <c r="B9069" s="17" t="s">
        <v>7736</v>
      </c>
      <c r="C9069" s="13">
        <v>34663</v>
      </c>
      <c r="D9069" s="13" t="s">
        <v>8463</v>
      </c>
      <c r="E9069" s="10" t="s">
        <v>72</v>
      </c>
      <c r="F9069" s="10" t="s">
        <v>72</v>
      </c>
      <c r="G9069" s="11" t="s">
        <v>451</v>
      </c>
      <c r="H9069" s="2" t="s">
        <v>21</v>
      </c>
      <c r="K9069" s="18">
        <v>2</v>
      </c>
      <c r="L9069" s="18">
        <v>0</v>
      </c>
      <c r="Q9069" s="18">
        <v>0</v>
      </c>
      <c r="V9069" s="22">
        <f>3.87/5</f>
        <v>0.77400000000000002</v>
      </c>
      <c r="X9069" s="3">
        <v>3</v>
      </c>
      <c r="AB9069" s="18">
        <f t="shared" si="282"/>
        <v>1994</v>
      </c>
      <c r="AC9069" s="22">
        <f t="shared" si="283"/>
        <v>0.68700000000000006</v>
      </c>
    </row>
    <row r="9070" spans="1:29">
      <c r="A9070" s="8" t="s">
        <v>11756</v>
      </c>
      <c r="B9070" s="17" t="s">
        <v>7790</v>
      </c>
      <c r="C9070" s="13">
        <v>34663</v>
      </c>
      <c r="D9070" s="13" t="s">
        <v>8463</v>
      </c>
      <c r="E9070" s="10" t="s">
        <v>2870</v>
      </c>
      <c r="F9070" s="10" t="s">
        <v>8894</v>
      </c>
      <c r="H9070" s="2" t="s">
        <v>80</v>
      </c>
      <c r="K9070" s="18">
        <v>0</v>
      </c>
      <c r="L9070" s="18">
        <v>0</v>
      </c>
      <c r="Q9070" s="18">
        <v>0</v>
      </c>
      <c r="V9070" s="22">
        <f>3.37/5</f>
        <v>0.67400000000000004</v>
      </c>
      <c r="X9070" s="3">
        <v>2</v>
      </c>
      <c r="Z9070" s="23">
        <v>2</v>
      </c>
      <c r="AB9070" s="18">
        <f t="shared" si="282"/>
        <v>1994</v>
      </c>
      <c r="AC9070" s="22">
        <f t="shared" si="283"/>
        <v>0.53700000000000003</v>
      </c>
    </row>
    <row r="9071" spans="1:29" ht="25.5">
      <c r="A9071" s="8" t="s">
        <v>11847</v>
      </c>
      <c r="B9071" s="17" t="s">
        <v>7756</v>
      </c>
      <c r="C9071" s="13">
        <v>34663</v>
      </c>
      <c r="D9071" s="13" t="s">
        <v>8463</v>
      </c>
      <c r="E9071" s="10" t="s">
        <v>455</v>
      </c>
      <c r="F9071" s="10" t="s">
        <v>167</v>
      </c>
      <c r="G9071" s="11" t="s">
        <v>9777</v>
      </c>
      <c r="H9071" s="2" t="s">
        <v>149</v>
      </c>
      <c r="K9071" s="18">
        <v>2</v>
      </c>
      <c r="L9071" s="18">
        <v>0</v>
      </c>
      <c r="Q9071" s="18">
        <v>0</v>
      </c>
      <c r="V9071" s="22">
        <f>2.33/5</f>
        <v>0.46600000000000003</v>
      </c>
      <c r="X9071" s="3">
        <v>3</v>
      </c>
      <c r="AB9071" s="18">
        <f t="shared" si="282"/>
        <v>1994</v>
      </c>
      <c r="AC9071" s="22">
        <f t="shared" si="283"/>
        <v>0.53300000000000003</v>
      </c>
    </row>
    <row r="9072" spans="1:29" ht="25.5">
      <c r="A9072" s="8" t="s">
        <v>6874</v>
      </c>
      <c r="B9072" s="17" t="s">
        <v>7800</v>
      </c>
      <c r="C9072" s="13">
        <v>34661</v>
      </c>
      <c r="D9072" s="13" t="s">
        <v>8465</v>
      </c>
      <c r="E9072" s="10" t="s">
        <v>1296</v>
      </c>
      <c r="F9072" s="10" t="s">
        <v>1296</v>
      </c>
      <c r="G9072" s="11" t="s">
        <v>6917</v>
      </c>
      <c r="H9072" s="2" t="s">
        <v>1143</v>
      </c>
      <c r="L9072" s="18">
        <v>0</v>
      </c>
      <c r="Q9072" s="18">
        <v>0</v>
      </c>
      <c r="V9072" s="22">
        <f>3.49/5</f>
        <v>0.69800000000000006</v>
      </c>
      <c r="X9072" s="3">
        <v>4</v>
      </c>
      <c r="Z9072" s="23">
        <v>15</v>
      </c>
      <c r="AB9072" s="18">
        <f t="shared" si="282"/>
        <v>1994</v>
      </c>
      <c r="AC9072" s="22">
        <f t="shared" si="283"/>
        <v>0.74900000000000011</v>
      </c>
    </row>
    <row r="9073" spans="1:29" ht="25.5">
      <c r="A9073" s="8" t="s">
        <v>6782</v>
      </c>
      <c r="B9073" s="17" t="s">
        <v>7800</v>
      </c>
      <c r="C9073" s="13">
        <v>34661</v>
      </c>
      <c r="D9073" s="13" t="s">
        <v>8465</v>
      </c>
      <c r="E9073" s="10" t="s">
        <v>1496</v>
      </c>
      <c r="F9073" s="10" t="s">
        <v>1496</v>
      </c>
      <c r="G9073" s="11" t="s">
        <v>6895</v>
      </c>
      <c r="H9073" s="2" t="s">
        <v>67</v>
      </c>
      <c r="L9073" s="18">
        <v>1</v>
      </c>
      <c r="N9073" s="13">
        <v>43956</v>
      </c>
      <c r="O9073" s="29">
        <v>0</v>
      </c>
      <c r="P9073" s="18" t="s">
        <v>1107</v>
      </c>
      <c r="Q9073" s="18">
        <v>0</v>
      </c>
      <c r="U9073" s="22">
        <v>0.6</v>
      </c>
      <c r="V9073" s="22">
        <f>3.61/5</f>
        <v>0.72199999999999998</v>
      </c>
      <c r="W9073" s="14" t="s">
        <v>7777</v>
      </c>
      <c r="X9073" s="3">
        <v>3</v>
      </c>
      <c r="Z9073" s="23">
        <v>8</v>
      </c>
      <c r="AB9073" s="18">
        <f t="shared" si="282"/>
        <v>1994</v>
      </c>
      <c r="AC9073" s="22">
        <f t="shared" si="283"/>
        <v>0.64066666666666672</v>
      </c>
    </row>
    <row r="9074" spans="1:29">
      <c r="A9074" s="8" t="s">
        <v>780</v>
      </c>
      <c r="B9074" s="17" t="s">
        <v>7736</v>
      </c>
      <c r="C9074" s="13">
        <v>34656</v>
      </c>
      <c r="D9074" s="13" t="s">
        <v>8463</v>
      </c>
      <c r="E9074" s="10" t="s">
        <v>1391</v>
      </c>
      <c r="F9074" s="10" t="s">
        <v>1378</v>
      </c>
      <c r="H9074" s="2" t="s">
        <v>149</v>
      </c>
      <c r="K9074" s="18">
        <v>2</v>
      </c>
      <c r="L9074" s="18">
        <v>0</v>
      </c>
      <c r="Q9074" s="18">
        <v>0</v>
      </c>
      <c r="V9074" s="22">
        <f>3.17/5</f>
        <v>0.63400000000000001</v>
      </c>
      <c r="X9074" s="3">
        <v>2</v>
      </c>
      <c r="Z9074" s="23">
        <v>18</v>
      </c>
      <c r="AB9074" s="18">
        <f t="shared" si="282"/>
        <v>1994</v>
      </c>
      <c r="AC9074" s="22">
        <f t="shared" si="283"/>
        <v>0.51700000000000002</v>
      </c>
    </row>
    <row r="9075" spans="1:29" ht="25.5">
      <c r="A9075" s="8" t="s">
        <v>2800</v>
      </c>
      <c r="B9075" s="17" t="s">
        <v>7756</v>
      </c>
      <c r="C9075" s="13">
        <v>34653</v>
      </c>
      <c r="D9075" s="13" t="s">
        <v>8465</v>
      </c>
      <c r="E9075" s="10" t="s">
        <v>455</v>
      </c>
      <c r="F9075" s="10" t="s">
        <v>2510</v>
      </c>
      <c r="G9075" s="11" t="s">
        <v>1688</v>
      </c>
      <c r="H9075" s="2" t="s">
        <v>64</v>
      </c>
      <c r="L9075" s="18">
        <v>0</v>
      </c>
      <c r="Q9075" s="18">
        <v>0</v>
      </c>
      <c r="V9075" s="22">
        <f>3.66/5</f>
        <v>0.73199999999999998</v>
      </c>
      <c r="X9075" s="3">
        <v>4</v>
      </c>
      <c r="Z9075" s="23">
        <v>1.5</v>
      </c>
      <c r="AB9075" s="18">
        <f t="shared" si="282"/>
        <v>1994</v>
      </c>
      <c r="AC9075" s="22">
        <f t="shared" si="283"/>
        <v>0.76600000000000001</v>
      </c>
    </row>
    <row r="9076" spans="1:29" ht="30">
      <c r="A9076" s="8" t="s">
        <v>10927</v>
      </c>
      <c r="B9076" s="17" t="s">
        <v>10323</v>
      </c>
      <c r="C9076" s="13">
        <v>34649</v>
      </c>
      <c r="D9076" s="13" t="s">
        <v>8463</v>
      </c>
      <c r="E9076" s="10" t="s">
        <v>10919</v>
      </c>
      <c r="F9076" s="10" t="s">
        <v>10919</v>
      </c>
      <c r="G9076" s="11" t="s">
        <v>10920</v>
      </c>
      <c r="H9076" s="2" t="s">
        <v>75</v>
      </c>
      <c r="K9076" s="18">
        <v>2</v>
      </c>
      <c r="L9076" s="18">
        <v>0</v>
      </c>
      <c r="Q9076" s="18">
        <v>0</v>
      </c>
      <c r="V9076" s="22">
        <f>4.25/5</f>
        <v>0.85</v>
      </c>
      <c r="X9076" s="3">
        <v>2</v>
      </c>
      <c r="AB9076" s="18">
        <f t="shared" si="282"/>
        <v>1994</v>
      </c>
      <c r="AC9076" s="22">
        <f t="shared" si="283"/>
        <v>0.625</v>
      </c>
    </row>
    <row r="9077" spans="1:29">
      <c r="A9077" s="8" t="s">
        <v>8089</v>
      </c>
      <c r="B9077" s="17" t="s">
        <v>7736</v>
      </c>
      <c r="C9077" s="13">
        <v>34649</v>
      </c>
      <c r="D9077" s="13" t="s">
        <v>8463</v>
      </c>
      <c r="E9077" s="10" t="s">
        <v>157</v>
      </c>
      <c r="F9077" s="10" t="s">
        <v>7406</v>
      </c>
      <c r="H9077" s="2" t="s">
        <v>64</v>
      </c>
      <c r="K9077" s="18">
        <v>0</v>
      </c>
      <c r="L9077" s="18">
        <v>0</v>
      </c>
      <c r="Q9077" s="18">
        <v>0</v>
      </c>
      <c r="V9077" s="22">
        <f>2.77/5</f>
        <v>0.55400000000000005</v>
      </c>
      <c r="X9077" s="3">
        <v>2</v>
      </c>
      <c r="AB9077" s="18">
        <f t="shared" si="282"/>
        <v>1994</v>
      </c>
      <c r="AC9077" s="22">
        <f t="shared" si="283"/>
        <v>0.47700000000000004</v>
      </c>
    </row>
    <row r="9078" spans="1:29">
      <c r="A9078" s="8" t="s">
        <v>2686</v>
      </c>
      <c r="B9078" s="17" t="s">
        <v>7752</v>
      </c>
      <c r="C9078" s="13">
        <v>34648</v>
      </c>
      <c r="D9078" s="13" t="s">
        <v>8465</v>
      </c>
      <c r="E9078" s="10" t="s">
        <v>1468</v>
      </c>
      <c r="F9078" s="10" t="s">
        <v>1468</v>
      </c>
      <c r="G9078" s="11" t="s">
        <v>2686</v>
      </c>
      <c r="H9078" s="2" t="s">
        <v>21</v>
      </c>
      <c r="L9078" s="18">
        <v>0</v>
      </c>
      <c r="Q9078" s="18">
        <v>0</v>
      </c>
      <c r="U9078" s="22">
        <v>0.6</v>
      </c>
      <c r="V9078" s="22">
        <f>3.8/5</f>
        <v>0.76</v>
      </c>
      <c r="X9078" s="3">
        <v>2</v>
      </c>
      <c r="Z9078" s="23">
        <v>0.97</v>
      </c>
      <c r="AB9078" s="18">
        <f t="shared" si="282"/>
        <v>1994</v>
      </c>
      <c r="AC9078" s="22">
        <f t="shared" si="283"/>
        <v>0.58666666666666656</v>
      </c>
    </row>
    <row r="9079" spans="1:29">
      <c r="A9079" s="8" t="s">
        <v>6755</v>
      </c>
      <c r="B9079" s="17" t="s">
        <v>7800</v>
      </c>
      <c r="C9079" s="13">
        <v>34640</v>
      </c>
      <c r="D9079" s="13" t="s">
        <v>8465</v>
      </c>
      <c r="E9079" s="10" t="s">
        <v>3304</v>
      </c>
      <c r="F9079" s="10" t="s">
        <v>6888</v>
      </c>
      <c r="H9079" s="2" t="s">
        <v>56</v>
      </c>
      <c r="L9079" s="18">
        <v>0</v>
      </c>
      <c r="Q9079" s="18">
        <v>0</v>
      </c>
      <c r="V9079" s="22">
        <f>3.19/5</f>
        <v>0.63800000000000001</v>
      </c>
      <c r="X9079" s="3">
        <v>2</v>
      </c>
      <c r="Z9079" s="23">
        <v>3</v>
      </c>
      <c r="AB9079" s="18">
        <f t="shared" si="282"/>
        <v>1994</v>
      </c>
      <c r="AC9079" s="22">
        <f t="shared" si="283"/>
        <v>0.51900000000000002</v>
      </c>
    </row>
    <row r="9080" spans="1:29">
      <c r="A9080" s="8" t="s">
        <v>1442</v>
      </c>
      <c r="B9080" s="17" t="s">
        <v>7736</v>
      </c>
      <c r="C9080" s="13">
        <v>34639</v>
      </c>
      <c r="D9080" s="13" t="s">
        <v>8465</v>
      </c>
      <c r="E9080" s="10" t="s">
        <v>73</v>
      </c>
      <c r="F9080" s="10" t="s">
        <v>73</v>
      </c>
      <c r="G9080" s="11" t="s">
        <v>1447</v>
      </c>
      <c r="H9080" s="2" t="s">
        <v>64</v>
      </c>
      <c r="L9080" s="18">
        <v>0</v>
      </c>
      <c r="Q9080" s="18">
        <v>0</v>
      </c>
      <c r="U9080" s="22">
        <v>0.87</v>
      </c>
      <c r="V9080" s="22">
        <f>4.05/5</f>
        <v>0.80999999999999994</v>
      </c>
      <c r="X9080" s="3">
        <v>4</v>
      </c>
      <c r="Z9080" s="23">
        <v>4</v>
      </c>
      <c r="AB9080" s="18">
        <f t="shared" si="282"/>
        <v>1994</v>
      </c>
      <c r="AC9080" s="22">
        <f t="shared" si="283"/>
        <v>0.82666666666666666</v>
      </c>
    </row>
    <row r="9081" spans="1:29">
      <c r="A9081" s="8" t="s">
        <v>676</v>
      </c>
      <c r="B9081" s="17" t="s">
        <v>7736</v>
      </c>
      <c r="C9081" s="12">
        <v>34639</v>
      </c>
      <c r="D9081" s="13" t="s">
        <v>8465</v>
      </c>
      <c r="E9081" s="10" t="s">
        <v>66</v>
      </c>
      <c r="F9081" s="10" t="s">
        <v>66</v>
      </c>
      <c r="G9081" s="11" t="s">
        <v>714</v>
      </c>
      <c r="H9081" s="2" t="s">
        <v>21</v>
      </c>
      <c r="L9081" s="18">
        <v>0</v>
      </c>
      <c r="Q9081" s="18">
        <v>0</v>
      </c>
      <c r="U9081" s="22">
        <v>0.8</v>
      </c>
      <c r="V9081" s="22">
        <f>3.91/5</f>
        <v>0.78200000000000003</v>
      </c>
      <c r="X9081" s="3">
        <v>3</v>
      </c>
      <c r="Z9081" s="23">
        <v>1</v>
      </c>
      <c r="AB9081" s="18">
        <f t="shared" si="282"/>
        <v>1994</v>
      </c>
      <c r="AC9081" s="22">
        <f t="shared" si="283"/>
        <v>0.72733333333333328</v>
      </c>
    </row>
    <row r="9082" spans="1:29">
      <c r="A9082" s="8" t="s">
        <v>683</v>
      </c>
      <c r="B9082" s="17" t="s">
        <v>7736</v>
      </c>
      <c r="C9082" s="12">
        <v>34639</v>
      </c>
      <c r="D9082" s="13" t="s">
        <v>8465</v>
      </c>
      <c r="E9082" s="10" t="s">
        <v>62</v>
      </c>
      <c r="F9082" s="10" t="s">
        <v>1318</v>
      </c>
      <c r="G9082" s="11" t="s">
        <v>1319</v>
      </c>
      <c r="H9082" s="2" t="s">
        <v>64</v>
      </c>
      <c r="L9082" s="18">
        <v>0</v>
      </c>
      <c r="Q9082" s="18">
        <v>0</v>
      </c>
      <c r="U9082" s="22">
        <v>0.72</v>
      </c>
      <c r="V9082" s="22">
        <f>3.61/5</f>
        <v>0.72199999999999998</v>
      </c>
      <c r="X9082" s="3">
        <v>3</v>
      </c>
      <c r="Z9082" s="23">
        <v>3</v>
      </c>
      <c r="AB9082" s="18">
        <f t="shared" si="282"/>
        <v>1994</v>
      </c>
      <c r="AC9082" s="22">
        <f t="shared" si="283"/>
        <v>0.68066666666666664</v>
      </c>
    </row>
    <row r="9083" spans="1:29" ht="30">
      <c r="A9083" s="8" t="s">
        <v>643</v>
      </c>
      <c r="B9083" s="17" t="s">
        <v>7736</v>
      </c>
      <c r="C9083" s="12">
        <v>34639</v>
      </c>
      <c r="D9083" s="13" t="s">
        <v>8465</v>
      </c>
      <c r="E9083" s="10" t="s">
        <v>1284</v>
      </c>
      <c r="F9083" s="10" t="s">
        <v>1284</v>
      </c>
      <c r="G9083" s="11" t="s">
        <v>727</v>
      </c>
      <c r="H9083" s="2" t="s">
        <v>147</v>
      </c>
      <c r="L9083" s="18">
        <v>0</v>
      </c>
      <c r="Q9083" s="18">
        <v>0</v>
      </c>
      <c r="U9083" s="22">
        <v>0.69</v>
      </c>
      <c r="V9083" s="22">
        <f>3.35/5</f>
        <v>0.67</v>
      </c>
      <c r="X9083" s="3">
        <v>3</v>
      </c>
      <c r="Z9083" s="23">
        <v>1.5</v>
      </c>
      <c r="AB9083" s="18">
        <f t="shared" si="282"/>
        <v>1994</v>
      </c>
      <c r="AC9083" s="22">
        <f t="shared" si="283"/>
        <v>0.65333333333333332</v>
      </c>
    </row>
    <row r="9084" spans="1:29" ht="25.5">
      <c r="A9084" s="8" t="s">
        <v>658</v>
      </c>
      <c r="B9084" s="17" t="s">
        <v>7736</v>
      </c>
      <c r="C9084" s="12">
        <v>34639</v>
      </c>
      <c r="D9084" s="13" t="s">
        <v>8465</v>
      </c>
      <c r="E9084" s="10" t="s">
        <v>73</v>
      </c>
      <c r="F9084" s="10" t="s">
        <v>73</v>
      </c>
      <c r="G9084" s="11" t="s">
        <v>440</v>
      </c>
      <c r="H9084" s="2" t="s">
        <v>56</v>
      </c>
      <c r="L9084" s="18">
        <v>0</v>
      </c>
      <c r="Q9084" s="18">
        <v>0</v>
      </c>
      <c r="U9084" s="22">
        <v>0.76</v>
      </c>
      <c r="V9084" s="22">
        <f>3.7/5</f>
        <v>0.74</v>
      </c>
      <c r="X9084" s="3">
        <v>2</v>
      </c>
      <c r="Z9084" s="23">
        <v>4</v>
      </c>
      <c r="AB9084" s="18">
        <f t="shared" si="282"/>
        <v>1994</v>
      </c>
      <c r="AC9084" s="22">
        <f t="shared" si="283"/>
        <v>0.6333333333333333</v>
      </c>
    </row>
    <row r="9085" spans="1:29">
      <c r="A9085" s="8" t="s">
        <v>635</v>
      </c>
      <c r="B9085" s="17" t="s">
        <v>7736</v>
      </c>
      <c r="C9085" s="12">
        <v>34639</v>
      </c>
      <c r="D9085" s="13" t="s">
        <v>8465</v>
      </c>
      <c r="E9085" s="10" t="s">
        <v>160</v>
      </c>
      <c r="F9085" s="10" t="s">
        <v>1279</v>
      </c>
      <c r="G9085" s="11" t="s">
        <v>634</v>
      </c>
      <c r="H9085" s="2" t="s">
        <v>64</v>
      </c>
      <c r="L9085" s="18">
        <v>0</v>
      </c>
      <c r="Q9085" s="18">
        <v>0</v>
      </c>
      <c r="U9085" s="22">
        <v>0.75</v>
      </c>
      <c r="V9085" s="22">
        <f>3.51/5</f>
        <v>0.70199999999999996</v>
      </c>
      <c r="X9085" s="3">
        <v>2</v>
      </c>
      <c r="Z9085" s="23">
        <v>4.5</v>
      </c>
      <c r="AB9085" s="18">
        <f t="shared" si="282"/>
        <v>1994</v>
      </c>
      <c r="AC9085" s="22">
        <f t="shared" si="283"/>
        <v>0.61733333333333329</v>
      </c>
    </row>
    <row r="9086" spans="1:29">
      <c r="A9086" s="8" t="s">
        <v>14933</v>
      </c>
      <c r="B9086" s="17" t="s">
        <v>7736</v>
      </c>
      <c r="C9086" s="12">
        <v>34639</v>
      </c>
      <c r="D9086" s="13" t="s">
        <v>8465</v>
      </c>
      <c r="E9086" s="10" t="s">
        <v>86</v>
      </c>
      <c r="F9086" s="10" t="s">
        <v>82</v>
      </c>
      <c r="H9086" s="2" t="s">
        <v>1170</v>
      </c>
      <c r="L9086" s="18">
        <v>0</v>
      </c>
      <c r="Q9086" s="18">
        <v>0</v>
      </c>
      <c r="V9086" s="22">
        <f>3.58/5</f>
        <v>0.71599999999999997</v>
      </c>
      <c r="X9086" s="3">
        <v>2</v>
      </c>
      <c r="Z9086" s="23">
        <v>5</v>
      </c>
      <c r="AB9086" s="18">
        <f t="shared" si="282"/>
        <v>1994</v>
      </c>
      <c r="AC9086" s="22">
        <f t="shared" si="283"/>
        <v>0.55800000000000005</v>
      </c>
    </row>
    <row r="9087" spans="1:29">
      <c r="A9087" s="8" t="s">
        <v>11800</v>
      </c>
      <c r="B9087" s="17" t="s">
        <v>7736</v>
      </c>
      <c r="C9087" s="12">
        <v>34639</v>
      </c>
      <c r="D9087" s="13" t="s">
        <v>11862</v>
      </c>
      <c r="E9087" s="10" t="s">
        <v>157</v>
      </c>
      <c r="F9087" s="10" t="s">
        <v>11799</v>
      </c>
      <c r="G9087" s="11" t="s">
        <v>11800</v>
      </c>
      <c r="H9087" s="2" t="s">
        <v>153</v>
      </c>
      <c r="K9087" s="18">
        <v>2</v>
      </c>
      <c r="L9087" s="18">
        <v>0</v>
      </c>
      <c r="Q9087" s="18">
        <v>0</v>
      </c>
      <c r="V9087" s="22">
        <f>3.51/5</f>
        <v>0.70199999999999996</v>
      </c>
      <c r="X9087" s="3">
        <v>2</v>
      </c>
      <c r="Z9087" s="23">
        <v>1</v>
      </c>
      <c r="AB9087" s="18">
        <f t="shared" si="282"/>
        <v>1994</v>
      </c>
      <c r="AC9087" s="22">
        <f t="shared" si="283"/>
        <v>0.55099999999999993</v>
      </c>
    </row>
    <row r="9088" spans="1:29" ht="25.5">
      <c r="A9088" s="8" t="s">
        <v>13660</v>
      </c>
      <c r="B9088" s="17" t="s">
        <v>7745</v>
      </c>
      <c r="C9088" s="12">
        <v>34639</v>
      </c>
      <c r="D9088" s="13" t="s">
        <v>8465</v>
      </c>
      <c r="E9088" s="10" t="s">
        <v>86</v>
      </c>
      <c r="F9088" s="10" t="s">
        <v>62</v>
      </c>
      <c r="G9088" s="11" t="s">
        <v>7674</v>
      </c>
      <c r="H9088" s="2" t="s">
        <v>31</v>
      </c>
      <c r="L9088" s="18">
        <v>0</v>
      </c>
      <c r="Q9088" s="18">
        <v>0</v>
      </c>
      <c r="V9088" s="22">
        <f>3.47/5</f>
        <v>0.69400000000000006</v>
      </c>
      <c r="X9088" s="3">
        <v>2</v>
      </c>
      <c r="Z9088" s="23">
        <v>2</v>
      </c>
      <c r="AB9088" s="18">
        <f t="shared" si="282"/>
        <v>1994</v>
      </c>
      <c r="AC9088" s="22">
        <f t="shared" si="283"/>
        <v>0.54700000000000004</v>
      </c>
    </row>
    <row r="9089" spans="1:29" ht="25.5">
      <c r="A9089" s="8" t="s">
        <v>2549</v>
      </c>
      <c r="B9089" s="17" t="s">
        <v>7751</v>
      </c>
      <c r="C9089" s="12">
        <v>34639</v>
      </c>
      <c r="D9089" s="13" t="s">
        <v>8465</v>
      </c>
      <c r="E9089" s="10" t="s">
        <v>160</v>
      </c>
      <c r="F9089" s="10" t="s">
        <v>1279</v>
      </c>
      <c r="H9089" s="2" t="s">
        <v>56</v>
      </c>
      <c r="L9089" s="18">
        <v>0</v>
      </c>
      <c r="Q9089" s="18">
        <v>0</v>
      </c>
      <c r="U9089" s="22">
        <v>0.71</v>
      </c>
      <c r="V9089" s="22">
        <f>3.22/5</f>
        <v>0.64400000000000002</v>
      </c>
      <c r="X9089" s="3">
        <v>2</v>
      </c>
      <c r="Z9089" s="23">
        <v>3.5</v>
      </c>
      <c r="AB9089" s="18">
        <f t="shared" ref="AB9089:AB9152" si="284">IFERROR(YEAR(C9089), "Early Access")</f>
        <v>1994</v>
      </c>
      <c r="AC9089" s="22">
        <f t="shared" ref="AC9089:AC9152" si="285">AVERAGE(T9089, U9089, V9089, IF(ISBLANK(X9089), X9089, X9089/5))</f>
        <v>0.58466666666666667</v>
      </c>
    </row>
    <row r="9090" spans="1:29">
      <c r="A9090" s="8" t="s">
        <v>2601</v>
      </c>
      <c r="B9090" s="17" t="s">
        <v>7751</v>
      </c>
      <c r="C9090" s="12">
        <v>34639</v>
      </c>
      <c r="D9090" s="13" t="s">
        <v>8465</v>
      </c>
      <c r="E9090" s="10" t="s">
        <v>252</v>
      </c>
      <c r="F9090" s="10" t="s">
        <v>2673</v>
      </c>
      <c r="H9090" s="2" t="s">
        <v>21</v>
      </c>
      <c r="L9090" s="18">
        <v>0</v>
      </c>
      <c r="Q9090" s="18">
        <v>0</v>
      </c>
      <c r="U9090" s="22">
        <v>0.75</v>
      </c>
      <c r="V9090" s="22">
        <f>2.95/5</f>
        <v>0.59000000000000008</v>
      </c>
      <c r="X9090" s="3">
        <v>2</v>
      </c>
      <c r="Z9090" s="23">
        <v>1.5</v>
      </c>
      <c r="AB9090" s="18">
        <f t="shared" si="284"/>
        <v>1994</v>
      </c>
      <c r="AC9090" s="22">
        <f t="shared" si="285"/>
        <v>0.58000000000000007</v>
      </c>
    </row>
    <row r="9091" spans="1:29">
      <c r="A9091" s="8" t="s">
        <v>627</v>
      </c>
      <c r="B9091" s="17" t="s">
        <v>7736</v>
      </c>
      <c r="C9091" s="12">
        <v>34639</v>
      </c>
      <c r="D9091" s="13" t="s">
        <v>8465</v>
      </c>
      <c r="E9091" s="10" t="s">
        <v>59</v>
      </c>
      <c r="F9091" s="10" t="s">
        <v>311</v>
      </c>
      <c r="H9091" s="2" t="s">
        <v>171</v>
      </c>
      <c r="L9091" s="18">
        <v>0</v>
      </c>
      <c r="Q9091" s="18">
        <v>0</v>
      </c>
      <c r="U9091" s="22">
        <v>0.59</v>
      </c>
      <c r="V9091" s="22">
        <f>3.75/5</f>
        <v>0.75</v>
      </c>
      <c r="X9091" s="3">
        <v>2</v>
      </c>
      <c r="Z9091" s="23">
        <v>7.5</v>
      </c>
      <c r="AB9091" s="18">
        <f t="shared" si="284"/>
        <v>1994</v>
      </c>
      <c r="AC9091" s="22">
        <f t="shared" si="285"/>
        <v>0.57999999999999996</v>
      </c>
    </row>
    <row r="9092" spans="1:29" ht="25.5">
      <c r="A9092" s="8" t="s">
        <v>1796</v>
      </c>
      <c r="B9092" s="17" t="s">
        <v>7745</v>
      </c>
      <c r="C9092" s="12">
        <v>34639</v>
      </c>
      <c r="D9092" s="13" t="s">
        <v>8465</v>
      </c>
      <c r="E9092" s="10" t="s">
        <v>1783</v>
      </c>
      <c r="F9092" s="10" t="s">
        <v>1784</v>
      </c>
      <c r="G9092" s="11" t="s">
        <v>1785</v>
      </c>
      <c r="H9092" s="2" t="s">
        <v>1720</v>
      </c>
      <c r="L9092" s="18">
        <v>0</v>
      </c>
      <c r="Q9092" s="18">
        <v>0</v>
      </c>
      <c r="U9092" s="22">
        <v>0.71</v>
      </c>
      <c r="V9092" s="22">
        <f>3.05/5</f>
        <v>0.61</v>
      </c>
      <c r="X9092" s="3">
        <v>2</v>
      </c>
      <c r="Z9092" s="23">
        <v>4</v>
      </c>
      <c r="AB9092" s="18">
        <f t="shared" si="284"/>
        <v>1994</v>
      </c>
      <c r="AC9092" s="22">
        <f t="shared" si="285"/>
        <v>0.57333333333333325</v>
      </c>
    </row>
    <row r="9093" spans="1:29">
      <c r="A9093" s="8" t="s">
        <v>16056</v>
      </c>
      <c r="B9093" s="17" t="s">
        <v>7736</v>
      </c>
      <c r="C9093" s="12">
        <v>34639</v>
      </c>
      <c r="D9093" s="13" t="s">
        <v>8465</v>
      </c>
      <c r="E9093" s="10" t="s">
        <v>59</v>
      </c>
      <c r="F9093" s="10" t="s">
        <v>241</v>
      </c>
      <c r="H9093" s="2" t="s">
        <v>153</v>
      </c>
      <c r="L9093" s="18">
        <v>0</v>
      </c>
      <c r="Q9093" s="18">
        <v>0</v>
      </c>
      <c r="V9093" s="22">
        <f>2.9/5</f>
        <v>0.57999999999999996</v>
      </c>
      <c r="X9093" s="3">
        <v>2</v>
      </c>
      <c r="AB9093" s="18">
        <f t="shared" si="284"/>
        <v>1994</v>
      </c>
      <c r="AC9093" s="22">
        <f t="shared" si="285"/>
        <v>0.49</v>
      </c>
    </row>
    <row r="9094" spans="1:29" ht="25.5">
      <c r="A9094" s="8" t="s">
        <v>5259</v>
      </c>
      <c r="B9094" s="17" t="s">
        <v>7800</v>
      </c>
      <c r="C9094" s="13">
        <v>34638</v>
      </c>
      <c r="D9094" s="13" t="s">
        <v>8465</v>
      </c>
      <c r="E9094" s="10" t="s">
        <v>5258</v>
      </c>
      <c r="F9094" s="10" t="s">
        <v>5258</v>
      </c>
      <c r="G9094" s="11" t="s">
        <v>5254</v>
      </c>
      <c r="H9094" s="2" t="s">
        <v>67</v>
      </c>
      <c r="L9094" s="18">
        <v>1</v>
      </c>
      <c r="N9094" s="13">
        <v>42046</v>
      </c>
      <c r="P9094" s="18" t="s">
        <v>1107</v>
      </c>
      <c r="Q9094" s="18">
        <v>0</v>
      </c>
      <c r="U9094" s="22">
        <v>0.85</v>
      </c>
      <c r="V9094" s="22">
        <f>3.95/5</f>
        <v>0.79</v>
      </c>
      <c r="W9094" s="14" t="s">
        <v>7777</v>
      </c>
      <c r="X9094" s="3">
        <v>3</v>
      </c>
      <c r="Z9094" s="23">
        <v>9</v>
      </c>
      <c r="AB9094" s="18">
        <f t="shared" si="284"/>
        <v>1994</v>
      </c>
      <c r="AC9094" s="22">
        <f t="shared" si="285"/>
        <v>0.7466666666666667</v>
      </c>
    </row>
    <row r="9095" spans="1:29" ht="30">
      <c r="A9095" s="8" t="s">
        <v>14538</v>
      </c>
      <c r="B9095" s="17" t="s">
        <v>14536</v>
      </c>
      <c r="C9095" s="13">
        <v>34638</v>
      </c>
      <c r="D9095" s="13" t="s">
        <v>8463</v>
      </c>
      <c r="E9095" s="10" t="s">
        <v>14537</v>
      </c>
      <c r="F9095" s="10" t="s">
        <v>14537</v>
      </c>
      <c r="G9095" s="11" t="s">
        <v>14535</v>
      </c>
      <c r="H9095" s="2" t="s">
        <v>1170</v>
      </c>
      <c r="K9095" s="18">
        <v>0</v>
      </c>
      <c r="L9095" s="18">
        <v>0</v>
      </c>
      <c r="Q9095" s="18">
        <v>0</v>
      </c>
      <c r="V9095" s="22">
        <f>3.17/5</f>
        <v>0.63400000000000001</v>
      </c>
      <c r="X9095" s="3">
        <v>2</v>
      </c>
      <c r="AB9095" s="18">
        <f t="shared" si="284"/>
        <v>1994</v>
      </c>
      <c r="AC9095" s="22">
        <f t="shared" si="285"/>
        <v>0.51700000000000002</v>
      </c>
    </row>
    <row r="9096" spans="1:29" ht="25.5">
      <c r="A9096" s="8" t="s">
        <v>11853</v>
      </c>
      <c r="B9096" s="17" t="s">
        <v>7756</v>
      </c>
      <c r="C9096" s="13">
        <v>34637</v>
      </c>
      <c r="D9096" s="13" t="s">
        <v>8463</v>
      </c>
      <c r="E9096" s="10" t="s">
        <v>455</v>
      </c>
      <c r="F9096" s="10" t="s">
        <v>11854</v>
      </c>
      <c r="H9096" s="2" t="s">
        <v>149</v>
      </c>
      <c r="K9096" s="18">
        <v>2</v>
      </c>
      <c r="L9096" s="18">
        <v>0</v>
      </c>
      <c r="Q9096" s="18">
        <v>0</v>
      </c>
      <c r="V9096" s="22">
        <f>3.78/5</f>
        <v>0.75600000000000001</v>
      </c>
      <c r="X9096" s="3">
        <v>2</v>
      </c>
      <c r="Z9096" s="23">
        <v>7.5</v>
      </c>
      <c r="AB9096" s="18">
        <f t="shared" si="284"/>
        <v>1994</v>
      </c>
      <c r="AC9096" s="22">
        <f t="shared" si="285"/>
        <v>0.57800000000000007</v>
      </c>
    </row>
    <row r="9097" spans="1:29" ht="25.5">
      <c r="A9097" s="8" t="s">
        <v>3337</v>
      </c>
      <c r="B9097" s="17" t="s">
        <v>7800</v>
      </c>
      <c r="C9097" s="13">
        <v>34635</v>
      </c>
      <c r="D9097" s="13" t="s">
        <v>8465</v>
      </c>
      <c r="E9097" s="10" t="s">
        <v>3304</v>
      </c>
      <c r="F9097" s="10" t="s">
        <v>3335</v>
      </c>
      <c r="G9097" s="11" t="s">
        <v>3336</v>
      </c>
      <c r="H9097" s="2" t="s">
        <v>1050</v>
      </c>
      <c r="L9097" s="18">
        <v>1</v>
      </c>
      <c r="N9097" s="13">
        <v>42359</v>
      </c>
      <c r="P9097" s="18" t="s">
        <v>1107</v>
      </c>
      <c r="Q9097" s="18">
        <v>0</v>
      </c>
      <c r="V9097" s="22">
        <f>3.58/5</f>
        <v>0.71599999999999997</v>
      </c>
      <c r="W9097" s="14" t="s">
        <v>7777</v>
      </c>
      <c r="X9097" s="3">
        <v>2</v>
      </c>
      <c r="Z9097" s="23">
        <v>6.5</v>
      </c>
      <c r="AB9097" s="18">
        <f t="shared" si="284"/>
        <v>1994</v>
      </c>
      <c r="AC9097" s="22">
        <f t="shared" si="285"/>
        <v>0.55800000000000005</v>
      </c>
    </row>
    <row r="9098" spans="1:29" ht="25.5">
      <c r="A9098" s="8" t="s">
        <v>811</v>
      </c>
      <c r="B9098" s="17" t="s">
        <v>7736</v>
      </c>
      <c r="C9098" s="13">
        <v>34635</v>
      </c>
      <c r="D9098" s="13" t="s">
        <v>8463</v>
      </c>
      <c r="E9098" s="10" t="s">
        <v>1344</v>
      </c>
      <c r="F9098" s="10" t="s">
        <v>1408</v>
      </c>
      <c r="G9098" s="11" t="s">
        <v>1459</v>
      </c>
      <c r="H9098" s="2" t="s">
        <v>75</v>
      </c>
      <c r="K9098" s="18">
        <v>2</v>
      </c>
      <c r="L9098" s="18">
        <v>0</v>
      </c>
      <c r="Q9098" s="18">
        <v>0</v>
      </c>
      <c r="V9098" s="22">
        <f>3.66/5</f>
        <v>0.73199999999999998</v>
      </c>
      <c r="X9098" s="3">
        <v>4</v>
      </c>
      <c r="Z9098" s="23">
        <v>47</v>
      </c>
      <c r="AB9098" s="18">
        <f t="shared" si="284"/>
        <v>1994</v>
      </c>
      <c r="AC9098" s="22">
        <f t="shared" si="285"/>
        <v>0.76600000000000001</v>
      </c>
    </row>
    <row r="9099" spans="1:29" ht="25.5">
      <c r="A9099" s="8" t="s">
        <v>820</v>
      </c>
      <c r="B9099" s="17" t="s">
        <v>7736</v>
      </c>
      <c r="C9099" s="13">
        <v>34635</v>
      </c>
      <c r="D9099" s="13" t="s">
        <v>8463</v>
      </c>
      <c r="E9099" s="10" t="s">
        <v>228</v>
      </c>
      <c r="F9099" s="10" t="s">
        <v>228</v>
      </c>
      <c r="G9099" s="11" t="s">
        <v>1171</v>
      </c>
      <c r="H9099" s="2" t="s">
        <v>149</v>
      </c>
      <c r="K9099" s="18">
        <v>2</v>
      </c>
      <c r="L9099" s="18">
        <v>0</v>
      </c>
      <c r="Q9099" s="18">
        <v>0</v>
      </c>
      <c r="V9099" s="22">
        <f>2.93/5</f>
        <v>0.58600000000000008</v>
      </c>
      <c r="X9099" s="3">
        <v>4</v>
      </c>
      <c r="Z9099" s="23">
        <v>20</v>
      </c>
      <c r="AB9099" s="18">
        <f t="shared" si="284"/>
        <v>1994</v>
      </c>
      <c r="AC9099" s="22">
        <f t="shared" si="285"/>
        <v>0.69300000000000006</v>
      </c>
    </row>
    <row r="9100" spans="1:29">
      <c r="A9100" s="8" t="s">
        <v>431</v>
      </c>
      <c r="B9100" s="17" t="s">
        <v>6317</v>
      </c>
      <c r="C9100" s="13">
        <v>34635</v>
      </c>
      <c r="D9100" s="13" t="s">
        <v>8465</v>
      </c>
      <c r="E9100" s="10" t="s">
        <v>485</v>
      </c>
      <c r="F9100" s="10" t="s">
        <v>163</v>
      </c>
      <c r="G9100" s="11" t="s">
        <v>431</v>
      </c>
      <c r="H9100" s="2" t="s">
        <v>459</v>
      </c>
      <c r="L9100" s="18">
        <v>0</v>
      </c>
      <c r="Q9100" s="18">
        <v>0</v>
      </c>
      <c r="V9100" s="22">
        <f>4.08/5</f>
        <v>0.81600000000000006</v>
      </c>
      <c r="X9100" s="3">
        <v>2</v>
      </c>
      <c r="Z9100" s="23">
        <v>1</v>
      </c>
      <c r="AB9100" s="18">
        <f t="shared" si="284"/>
        <v>1994</v>
      </c>
      <c r="AC9100" s="22">
        <f t="shared" si="285"/>
        <v>0.6080000000000001</v>
      </c>
    </row>
    <row r="9101" spans="1:29">
      <c r="A9101" s="8" t="s">
        <v>536</v>
      </c>
      <c r="B9101" s="17" t="s">
        <v>7800</v>
      </c>
      <c r="C9101" s="13">
        <v>34635</v>
      </c>
      <c r="D9101" s="13" t="s">
        <v>8465</v>
      </c>
      <c r="E9101" s="10" t="s">
        <v>170</v>
      </c>
      <c r="F9101" s="10" t="s">
        <v>170</v>
      </c>
      <c r="G9101" s="11" t="s">
        <v>519</v>
      </c>
      <c r="H9101" s="2" t="s">
        <v>459</v>
      </c>
      <c r="L9101" s="18">
        <v>1</v>
      </c>
      <c r="O9101" s="29">
        <v>0</v>
      </c>
      <c r="P9101" s="18" t="s">
        <v>1107</v>
      </c>
      <c r="Q9101" s="18">
        <v>0</v>
      </c>
      <c r="V9101" s="22">
        <f>3.98/5</f>
        <v>0.79600000000000004</v>
      </c>
      <c r="W9101" s="14" t="s">
        <v>7799</v>
      </c>
      <c r="X9101" s="3">
        <v>2</v>
      </c>
      <c r="Z9101" s="23">
        <f>55/60</f>
        <v>0.91666666666666663</v>
      </c>
      <c r="AB9101" s="18">
        <f t="shared" si="284"/>
        <v>1994</v>
      </c>
      <c r="AC9101" s="22">
        <f t="shared" si="285"/>
        <v>0.59800000000000009</v>
      </c>
    </row>
    <row r="9102" spans="1:29">
      <c r="A9102" s="8" t="s">
        <v>9088</v>
      </c>
      <c r="B9102" s="17" t="s">
        <v>7790</v>
      </c>
      <c r="C9102" s="13">
        <v>34635</v>
      </c>
      <c r="D9102" s="13" t="s">
        <v>8463</v>
      </c>
      <c r="E9102" s="10" t="s">
        <v>62</v>
      </c>
      <c r="F9102" s="10" t="s">
        <v>9089</v>
      </c>
      <c r="H9102" s="2" t="s">
        <v>56</v>
      </c>
      <c r="K9102" s="18">
        <v>0</v>
      </c>
      <c r="L9102" s="18">
        <v>0</v>
      </c>
      <c r="Q9102" s="18">
        <v>0</v>
      </c>
      <c r="V9102" s="22">
        <f>3.65/5</f>
        <v>0.73</v>
      </c>
      <c r="X9102" s="3">
        <v>2</v>
      </c>
      <c r="AB9102" s="18">
        <f t="shared" si="284"/>
        <v>1994</v>
      </c>
      <c r="AC9102" s="22">
        <f t="shared" si="285"/>
        <v>0.56499999999999995</v>
      </c>
    </row>
    <row r="9103" spans="1:29">
      <c r="A9103" s="8" t="s">
        <v>802</v>
      </c>
      <c r="B9103" s="17" t="s">
        <v>7736</v>
      </c>
      <c r="C9103" s="13">
        <v>34635</v>
      </c>
      <c r="D9103" s="13" t="s">
        <v>8463</v>
      </c>
      <c r="E9103" s="10" t="s">
        <v>160</v>
      </c>
      <c r="F9103" s="10" t="s">
        <v>160</v>
      </c>
      <c r="H9103" s="2" t="s">
        <v>153</v>
      </c>
      <c r="K9103" s="18">
        <v>0</v>
      </c>
      <c r="L9103" s="18">
        <v>0</v>
      </c>
      <c r="Q9103" s="18">
        <v>0</v>
      </c>
      <c r="V9103" s="22">
        <f>3.42/5</f>
        <v>0.68399999999999994</v>
      </c>
      <c r="X9103" s="3">
        <v>2</v>
      </c>
      <c r="AB9103" s="18">
        <f t="shared" si="284"/>
        <v>1994</v>
      </c>
      <c r="AC9103" s="22">
        <f t="shared" si="285"/>
        <v>0.54200000000000004</v>
      </c>
    </row>
    <row r="9104" spans="1:29" ht="25.5">
      <c r="A9104" s="8" t="s">
        <v>12352</v>
      </c>
      <c r="B9104" s="17" t="s">
        <v>7751</v>
      </c>
      <c r="C9104" s="13">
        <v>34635</v>
      </c>
      <c r="D9104" s="13" t="s">
        <v>8465</v>
      </c>
      <c r="E9104" s="10" t="s">
        <v>158</v>
      </c>
      <c r="F9104" s="10" t="s">
        <v>158</v>
      </c>
      <c r="G9104" s="11" t="s">
        <v>4639</v>
      </c>
      <c r="H9104" s="2" t="s">
        <v>67</v>
      </c>
      <c r="L9104" s="18">
        <v>0</v>
      </c>
      <c r="Q9104" s="18">
        <v>0</v>
      </c>
      <c r="V9104" s="22">
        <f>3.13/5</f>
        <v>0.626</v>
      </c>
      <c r="X9104" s="3">
        <v>2</v>
      </c>
      <c r="Z9104" s="23">
        <v>2</v>
      </c>
      <c r="AB9104" s="18">
        <f t="shared" si="284"/>
        <v>1994</v>
      </c>
      <c r="AC9104" s="22">
        <f t="shared" si="285"/>
        <v>0.51300000000000001</v>
      </c>
    </row>
    <row r="9105" spans="1:29">
      <c r="A9105" s="8" t="s">
        <v>464</v>
      </c>
      <c r="B9105" s="17" t="s">
        <v>6317</v>
      </c>
      <c r="C9105" s="13">
        <v>34631</v>
      </c>
      <c r="D9105" s="13" t="s">
        <v>8465</v>
      </c>
      <c r="E9105" s="10" t="s">
        <v>73</v>
      </c>
      <c r="F9105" s="10" t="s">
        <v>73</v>
      </c>
      <c r="G9105" s="11" t="s">
        <v>464</v>
      </c>
      <c r="H9105" s="2" t="s">
        <v>153</v>
      </c>
      <c r="L9105" s="18">
        <v>0</v>
      </c>
      <c r="Q9105" s="18">
        <v>0</v>
      </c>
      <c r="V9105" s="22">
        <f>3.81/5</f>
        <v>0.76200000000000001</v>
      </c>
      <c r="X9105" s="3">
        <v>3</v>
      </c>
      <c r="Z9105" s="23">
        <f>55/60</f>
        <v>0.91666666666666663</v>
      </c>
      <c r="AB9105" s="18">
        <f t="shared" si="284"/>
        <v>1994</v>
      </c>
      <c r="AC9105" s="22">
        <f t="shared" si="285"/>
        <v>0.68100000000000005</v>
      </c>
    </row>
    <row r="9106" spans="1:29">
      <c r="A9106" s="8" t="s">
        <v>321</v>
      </c>
      <c r="B9106" s="17" t="s">
        <v>7785</v>
      </c>
      <c r="C9106" s="13">
        <v>34628</v>
      </c>
      <c r="D9106" s="13" t="s">
        <v>8465</v>
      </c>
      <c r="E9106" s="10" t="s">
        <v>311</v>
      </c>
      <c r="F9106" s="10" t="s">
        <v>2830</v>
      </c>
      <c r="G9106" s="11" t="s">
        <v>442</v>
      </c>
      <c r="H9106" s="2" t="s">
        <v>1050</v>
      </c>
      <c r="L9106" s="18">
        <v>0</v>
      </c>
      <c r="Q9106" s="18">
        <v>0</v>
      </c>
      <c r="V9106" s="22">
        <f>3.89/5</f>
        <v>0.77800000000000002</v>
      </c>
      <c r="X9106" s="3">
        <v>3</v>
      </c>
      <c r="Z9106" s="23">
        <v>12.5</v>
      </c>
      <c r="AB9106" s="18">
        <f t="shared" si="284"/>
        <v>1994</v>
      </c>
      <c r="AC9106" s="22">
        <f t="shared" si="285"/>
        <v>0.68900000000000006</v>
      </c>
    </row>
    <row r="9107" spans="1:29" ht="38.25">
      <c r="A9107" s="8" t="s">
        <v>11832</v>
      </c>
      <c r="B9107" s="17" t="s">
        <v>7736</v>
      </c>
      <c r="C9107" s="13">
        <v>34628</v>
      </c>
      <c r="D9107" s="13" t="s">
        <v>8463</v>
      </c>
      <c r="E9107" s="10" t="s">
        <v>57</v>
      </c>
      <c r="F9107" s="10" t="s">
        <v>57</v>
      </c>
      <c r="G9107" s="11" t="s">
        <v>1243</v>
      </c>
      <c r="H9107" s="2" t="s">
        <v>149</v>
      </c>
      <c r="K9107" s="18">
        <v>2</v>
      </c>
      <c r="L9107" s="18">
        <v>0</v>
      </c>
      <c r="Q9107" s="18">
        <v>0</v>
      </c>
      <c r="V9107" s="22">
        <f>3.81/5</f>
        <v>0.76200000000000001</v>
      </c>
      <c r="X9107" s="3">
        <v>3</v>
      </c>
      <c r="Z9107" s="23">
        <v>17</v>
      </c>
      <c r="AB9107" s="18">
        <f t="shared" si="284"/>
        <v>1994</v>
      </c>
      <c r="AC9107" s="22">
        <f t="shared" si="285"/>
        <v>0.68100000000000005</v>
      </c>
    </row>
    <row r="9108" spans="1:29">
      <c r="A9108" s="8" t="s">
        <v>11751</v>
      </c>
      <c r="B9108" s="17" t="s">
        <v>7790</v>
      </c>
      <c r="C9108" s="13">
        <v>34628</v>
      </c>
      <c r="D9108" s="13" t="s">
        <v>8463</v>
      </c>
      <c r="E9108" s="10" t="s">
        <v>11752</v>
      </c>
      <c r="F9108" s="10" t="s">
        <v>11753</v>
      </c>
      <c r="H9108" s="2" t="s">
        <v>80</v>
      </c>
      <c r="K9108" s="18">
        <v>0</v>
      </c>
      <c r="L9108" s="18">
        <v>0</v>
      </c>
      <c r="Q9108" s="18">
        <v>0</v>
      </c>
      <c r="V9108" s="22">
        <f>3.43/5</f>
        <v>0.68600000000000005</v>
      </c>
      <c r="X9108" s="3">
        <v>2</v>
      </c>
      <c r="AB9108" s="18">
        <f t="shared" si="284"/>
        <v>1994</v>
      </c>
      <c r="AC9108" s="22">
        <f t="shared" si="285"/>
        <v>0.54300000000000004</v>
      </c>
    </row>
    <row r="9109" spans="1:29">
      <c r="A9109" s="8" t="s">
        <v>2628</v>
      </c>
      <c r="B9109" s="17" t="s">
        <v>7751</v>
      </c>
      <c r="C9109" s="13">
        <v>34625</v>
      </c>
      <c r="D9109" s="13" t="s">
        <v>8465</v>
      </c>
      <c r="E9109" s="10" t="s">
        <v>455</v>
      </c>
      <c r="F9109" s="10" t="s">
        <v>1492</v>
      </c>
      <c r="G9109" s="11" t="s">
        <v>1688</v>
      </c>
      <c r="H9109" s="2" t="s">
        <v>64</v>
      </c>
      <c r="L9109" s="18">
        <v>0</v>
      </c>
      <c r="Q9109" s="18">
        <v>0</v>
      </c>
      <c r="U9109" s="22">
        <v>0.88</v>
      </c>
      <c r="V9109" s="22">
        <f>4.33/5</f>
        <v>0.86599999999999999</v>
      </c>
      <c r="X9109" s="3">
        <v>4</v>
      </c>
      <c r="Z9109" s="23">
        <v>3</v>
      </c>
      <c r="AB9109" s="18">
        <f t="shared" si="284"/>
        <v>1994</v>
      </c>
      <c r="AC9109" s="22">
        <f t="shared" si="285"/>
        <v>0.84866666666666679</v>
      </c>
    </row>
    <row r="9110" spans="1:29">
      <c r="A9110" s="8" t="s">
        <v>14963</v>
      </c>
      <c r="B9110" s="17" t="s">
        <v>7736</v>
      </c>
      <c r="C9110" s="13">
        <v>34622</v>
      </c>
      <c r="D9110" s="13" t="s">
        <v>8465</v>
      </c>
      <c r="E9110" s="10" t="s">
        <v>1781</v>
      </c>
      <c r="F9110" s="10" t="s">
        <v>1781</v>
      </c>
      <c r="G9110" s="11" t="s">
        <v>14962</v>
      </c>
      <c r="H9110" s="2" t="s">
        <v>64</v>
      </c>
      <c r="L9110" s="18">
        <v>0</v>
      </c>
      <c r="Q9110" s="18">
        <v>0</v>
      </c>
      <c r="V9110" s="22">
        <f>2.68/5</f>
        <v>0.53600000000000003</v>
      </c>
      <c r="X9110" s="3">
        <v>2</v>
      </c>
      <c r="Z9110" s="23">
        <v>2</v>
      </c>
      <c r="AB9110" s="18">
        <f t="shared" si="284"/>
        <v>1994</v>
      </c>
      <c r="AC9110" s="22">
        <f t="shared" si="285"/>
        <v>0.46800000000000003</v>
      </c>
    </row>
    <row r="9111" spans="1:29">
      <c r="A9111" s="8" t="s">
        <v>10322</v>
      </c>
      <c r="B9111" s="17" t="s">
        <v>10323</v>
      </c>
      <c r="C9111" s="13">
        <v>34621</v>
      </c>
      <c r="D9111" s="13" t="s">
        <v>8463</v>
      </c>
      <c r="E9111" s="10" t="s">
        <v>6599</v>
      </c>
      <c r="F9111" s="10" t="s">
        <v>6599</v>
      </c>
      <c r="H9111" s="2" t="s">
        <v>171</v>
      </c>
      <c r="K9111" s="18">
        <v>2</v>
      </c>
      <c r="L9111" s="18">
        <v>0</v>
      </c>
      <c r="Q9111" s="18">
        <v>0</v>
      </c>
      <c r="V9111" s="22">
        <f>3/5</f>
        <v>0.6</v>
      </c>
      <c r="X9111" s="3">
        <v>2</v>
      </c>
      <c r="AB9111" s="18">
        <f t="shared" si="284"/>
        <v>1994</v>
      </c>
      <c r="AC9111" s="22">
        <f t="shared" si="285"/>
        <v>0.5</v>
      </c>
    </row>
    <row r="9112" spans="1:29" ht="30">
      <c r="A9112" s="8" t="s">
        <v>2620</v>
      </c>
      <c r="B9112" s="17" t="s">
        <v>7751</v>
      </c>
      <c r="C9112" s="12">
        <v>34608</v>
      </c>
      <c r="D9112" s="13" t="s">
        <v>8465</v>
      </c>
      <c r="E9112" s="10" t="s">
        <v>455</v>
      </c>
      <c r="F9112" s="10" t="s">
        <v>2677</v>
      </c>
      <c r="G9112" s="11" t="s">
        <v>1661</v>
      </c>
      <c r="H9112" s="2" t="s">
        <v>75</v>
      </c>
      <c r="L9112" s="18">
        <v>0</v>
      </c>
      <c r="Q9112" s="18">
        <v>0</v>
      </c>
      <c r="U9112" s="22">
        <v>0.89</v>
      </c>
      <c r="V9112" s="22">
        <f>4.33/5</f>
        <v>0.86599999999999999</v>
      </c>
      <c r="X9112" s="3">
        <v>4</v>
      </c>
      <c r="Z9112" s="23">
        <v>29</v>
      </c>
      <c r="AB9112" s="18">
        <f t="shared" si="284"/>
        <v>1994</v>
      </c>
      <c r="AC9112" s="22">
        <f t="shared" si="285"/>
        <v>0.85199999999999998</v>
      </c>
    </row>
    <row r="9113" spans="1:29">
      <c r="A9113" s="8" t="s">
        <v>703</v>
      </c>
      <c r="B9113" s="17" t="s">
        <v>7736</v>
      </c>
      <c r="C9113" s="12">
        <v>34608</v>
      </c>
      <c r="D9113" s="13" t="s">
        <v>8465</v>
      </c>
      <c r="E9113" s="10" t="s">
        <v>455</v>
      </c>
      <c r="F9113" s="10" t="s">
        <v>1332</v>
      </c>
      <c r="G9113" s="11" t="s">
        <v>703</v>
      </c>
      <c r="H9113" s="2" t="s">
        <v>56</v>
      </c>
      <c r="L9113" s="18">
        <v>0</v>
      </c>
      <c r="Q9113" s="18">
        <v>0</v>
      </c>
      <c r="U9113" s="22">
        <v>0.83</v>
      </c>
      <c r="V9113" s="22">
        <f>3.69/5</f>
        <v>0.73799999999999999</v>
      </c>
      <c r="X9113" s="3">
        <v>4</v>
      </c>
      <c r="Z9113" s="23">
        <v>3.5</v>
      </c>
      <c r="AB9113" s="18">
        <f t="shared" si="284"/>
        <v>1994</v>
      </c>
      <c r="AC9113" s="22">
        <f t="shared" si="285"/>
        <v>0.78933333333333344</v>
      </c>
    </row>
    <row r="9114" spans="1:29" ht="30">
      <c r="A9114" s="8" t="s">
        <v>680</v>
      </c>
      <c r="B9114" s="17" t="s">
        <v>7736</v>
      </c>
      <c r="C9114" s="12">
        <v>34608</v>
      </c>
      <c r="D9114" s="13" t="s">
        <v>8465</v>
      </c>
      <c r="E9114" s="10" t="s">
        <v>72</v>
      </c>
      <c r="F9114" s="10" t="s">
        <v>72</v>
      </c>
      <c r="G9114" s="11" t="s">
        <v>1316</v>
      </c>
      <c r="H9114" s="2" t="s">
        <v>64</v>
      </c>
      <c r="L9114" s="18">
        <v>0</v>
      </c>
      <c r="Q9114" s="18">
        <v>0</v>
      </c>
      <c r="U9114" s="22">
        <v>0.78</v>
      </c>
      <c r="V9114" s="22">
        <f>3.79/5</f>
        <v>0.75800000000000001</v>
      </c>
      <c r="X9114" s="3">
        <v>3</v>
      </c>
      <c r="Z9114" s="23">
        <v>1</v>
      </c>
      <c r="AB9114" s="18">
        <f t="shared" si="284"/>
        <v>1994</v>
      </c>
      <c r="AC9114" s="22">
        <f t="shared" si="285"/>
        <v>0.71266666666666667</v>
      </c>
    </row>
    <row r="9115" spans="1:29" ht="30">
      <c r="A9115" s="8" t="s">
        <v>6859</v>
      </c>
      <c r="B9115" s="17" t="s">
        <v>7800</v>
      </c>
      <c r="C9115" s="13">
        <v>34608</v>
      </c>
      <c r="D9115" s="13" t="s">
        <v>8465</v>
      </c>
      <c r="E9115" s="10" t="s">
        <v>5565</v>
      </c>
      <c r="F9115" s="10" t="s">
        <v>6912</v>
      </c>
      <c r="G9115" s="11" t="s">
        <v>6913</v>
      </c>
      <c r="H9115" s="2" t="s">
        <v>1720</v>
      </c>
      <c r="L9115" s="18">
        <v>1</v>
      </c>
      <c r="N9115" s="13">
        <v>41578</v>
      </c>
      <c r="O9115" s="29">
        <v>0</v>
      </c>
      <c r="P9115" s="18" t="s">
        <v>1107</v>
      </c>
      <c r="Q9115" s="18">
        <v>0</v>
      </c>
      <c r="V9115" s="22">
        <f>3.84/5</f>
        <v>0.76800000000000002</v>
      </c>
      <c r="W9115" s="14" t="s">
        <v>7778</v>
      </c>
      <c r="X9115" s="3">
        <v>3</v>
      </c>
      <c r="Z9115" s="23">
        <v>30</v>
      </c>
      <c r="AB9115" s="18">
        <f t="shared" si="284"/>
        <v>1994</v>
      </c>
      <c r="AC9115" s="22">
        <f t="shared" si="285"/>
        <v>0.68399999999999994</v>
      </c>
    </row>
    <row r="9116" spans="1:29" ht="38.25">
      <c r="A9116" s="8" t="s">
        <v>1424</v>
      </c>
      <c r="B9116" s="17" t="s">
        <v>7736</v>
      </c>
      <c r="C9116" s="12">
        <v>34608</v>
      </c>
      <c r="D9116" s="13" t="s">
        <v>8465</v>
      </c>
      <c r="E9116" s="10" t="s">
        <v>73</v>
      </c>
      <c r="F9116" s="10" t="s">
        <v>73</v>
      </c>
      <c r="G9116" s="11" t="s">
        <v>1286</v>
      </c>
      <c r="H9116" s="2" t="s">
        <v>64</v>
      </c>
      <c r="L9116" s="18">
        <v>0</v>
      </c>
      <c r="Q9116" s="18">
        <v>0</v>
      </c>
      <c r="U9116" s="22">
        <v>0.75</v>
      </c>
      <c r="V9116" s="22">
        <f>3.68/5</f>
        <v>0.73599999999999999</v>
      </c>
      <c r="X9116" s="3">
        <v>3</v>
      </c>
      <c r="Z9116" s="23">
        <v>1</v>
      </c>
      <c r="AB9116" s="18">
        <f t="shared" si="284"/>
        <v>1994</v>
      </c>
      <c r="AC9116" s="22">
        <f t="shared" si="285"/>
        <v>0.69533333333333325</v>
      </c>
    </row>
    <row r="9117" spans="1:29">
      <c r="A9117" s="8" t="s">
        <v>662</v>
      </c>
      <c r="B9117" s="17" t="s">
        <v>7736</v>
      </c>
      <c r="C9117" s="13">
        <v>34608</v>
      </c>
      <c r="D9117" s="13" t="s">
        <v>8465</v>
      </c>
      <c r="E9117" s="10" t="s">
        <v>257</v>
      </c>
      <c r="F9117" s="10" t="s">
        <v>1291</v>
      </c>
      <c r="H9117" s="2" t="s">
        <v>171</v>
      </c>
      <c r="L9117" s="18">
        <v>0</v>
      </c>
      <c r="Q9117" s="18">
        <v>0</v>
      </c>
      <c r="U9117" s="22">
        <v>0.76</v>
      </c>
      <c r="V9117" s="22">
        <f>3.58/5</f>
        <v>0.71599999999999997</v>
      </c>
      <c r="X9117" s="3">
        <v>3</v>
      </c>
      <c r="Z9117" s="23">
        <v>12</v>
      </c>
      <c r="AB9117" s="18">
        <f t="shared" si="284"/>
        <v>1994</v>
      </c>
      <c r="AC9117" s="22">
        <f t="shared" si="285"/>
        <v>0.69200000000000006</v>
      </c>
    </row>
    <row r="9118" spans="1:29" ht="38.25">
      <c r="A9118" s="8" t="s">
        <v>671</v>
      </c>
      <c r="B9118" s="17" t="s">
        <v>7736</v>
      </c>
      <c r="C9118" s="13">
        <v>34608</v>
      </c>
      <c r="D9118" s="13" t="s">
        <v>8465</v>
      </c>
      <c r="E9118" s="10" t="s">
        <v>1281</v>
      </c>
      <c r="F9118" s="10" t="s">
        <v>1309</v>
      </c>
      <c r="G9118" s="11" t="s">
        <v>1286</v>
      </c>
      <c r="H9118" s="2" t="s">
        <v>64</v>
      </c>
      <c r="L9118" s="18">
        <v>0</v>
      </c>
      <c r="Q9118" s="18">
        <v>0</v>
      </c>
      <c r="U9118" s="22">
        <v>0.77</v>
      </c>
      <c r="V9118" s="22">
        <f>3.43/5</f>
        <v>0.68600000000000005</v>
      </c>
      <c r="X9118" s="3">
        <v>3</v>
      </c>
      <c r="Z9118" s="23">
        <v>2</v>
      </c>
      <c r="AB9118" s="18">
        <f t="shared" si="284"/>
        <v>1994</v>
      </c>
      <c r="AC9118" s="22">
        <f t="shared" si="285"/>
        <v>0.68533333333333335</v>
      </c>
    </row>
    <row r="9119" spans="1:29">
      <c r="A9119" s="8" t="s">
        <v>537</v>
      </c>
      <c r="B9119" s="17" t="s">
        <v>7731</v>
      </c>
      <c r="C9119" s="13">
        <v>34608</v>
      </c>
      <c r="D9119" s="13" t="s">
        <v>8465</v>
      </c>
      <c r="E9119" s="10" t="s">
        <v>170</v>
      </c>
      <c r="F9119" s="10" t="s">
        <v>170</v>
      </c>
      <c r="G9119" s="11" t="s">
        <v>567</v>
      </c>
      <c r="H9119" s="2" t="s">
        <v>459</v>
      </c>
      <c r="L9119" s="18">
        <v>0</v>
      </c>
      <c r="Q9119" s="18">
        <v>0</v>
      </c>
      <c r="V9119" s="22">
        <f>3.59/5</f>
        <v>0.71799999999999997</v>
      </c>
      <c r="X9119" s="3">
        <v>3</v>
      </c>
      <c r="Z9119" s="23">
        <v>1.5</v>
      </c>
      <c r="AB9119" s="18">
        <f t="shared" si="284"/>
        <v>1994</v>
      </c>
      <c r="AC9119" s="22">
        <f t="shared" si="285"/>
        <v>0.65900000000000003</v>
      </c>
    </row>
    <row r="9120" spans="1:29" ht="30">
      <c r="A9120" s="8" t="s">
        <v>4332</v>
      </c>
      <c r="B9120" s="17" t="s">
        <v>7800</v>
      </c>
      <c r="C9120" s="13">
        <v>34608</v>
      </c>
      <c r="D9120" s="13" t="s">
        <v>8465</v>
      </c>
      <c r="E9120" s="10" t="s">
        <v>231</v>
      </c>
      <c r="F9120" s="10" t="s">
        <v>4333</v>
      </c>
      <c r="G9120" s="11" t="s">
        <v>4332</v>
      </c>
      <c r="H9120" s="2" t="s">
        <v>80</v>
      </c>
      <c r="L9120" s="18">
        <v>1</v>
      </c>
      <c r="N9120" s="13">
        <v>42362</v>
      </c>
      <c r="P9120" s="18" t="s">
        <v>1107</v>
      </c>
      <c r="Q9120" s="18">
        <v>0</v>
      </c>
      <c r="V9120" s="22">
        <f>4.01/5</f>
        <v>0.80199999999999994</v>
      </c>
      <c r="W9120" s="14" t="s">
        <v>7777</v>
      </c>
      <c r="X9120" s="3">
        <v>2</v>
      </c>
      <c r="Z9120" s="23">
        <v>12</v>
      </c>
      <c r="AB9120" s="18">
        <f t="shared" si="284"/>
        <v>1994</v>
      </c>
      <c r="AC9120" s="22">
        <f t="shared" si="285"/>
        <v>0.60099999999999998</v>
      </c>
    </row>
    <row r="9121" spans="1:29" ht="25.5">
      <c r="A9121" s="8" t="s">
        <v>631</v>
      </c>
      <c r="B9121" s="17" t="s">
        <v>7736</v>
      </c>
      <c r="C9121" s="12">
        <v>34608</v>
      </c>
      <c r="D9121" s="13" t="s">
        <v>8465</v>
      </c>
      <c r="E9121" s="10" t="s">
        <v>62</v>
      </c>
      <c r="F9121" s="10" t="s">
        <v>62</v>
      </c>
      <c r="G9121" s="11" t="s">
        <v>41</v>
      </c>
      <c r="H9121" s="2" t="s">
        <v>64</v>
      </c>
      <c r="L9121" s="18">
        <v>0</v>
      </c>
      <c r="Q9121" s="18">
        <v>0</v>
      </c>
      <c r="U9121" s="22">
        <v>0.76</v>
      </c>
      <c r="V9121" s="22">
        <f>3.67/5</f>
        <v>0.73399999999999999</v>
      </c>
      <c r="X9121" s="3">
        <v>2</v>
      </c>
      <c r="Z9121" s="23">
        <v>6.5</v>
      </c>
      <c r="AB9121" s="18">
        <f t="shared" si="284"/>
        <v>1994</v>
      </c>
      <c r="AC9121" s="22">
        <f t="shared" si="285"/>
        <v>0.63133333333333341</v>
      </c>
    </row>
    <row r="9122" spans="1:29">
      <c r="A9122" s="8" t="s">
        <v>14484</v>
      </c>
      <c r="B9122" s="17" t="s">
        <v>7736</v>
      </c>
      <c r="C9122" s="12">
        <v>34608</v>
      </c>
      <c r="D9122" s="13" t="s">
        <v>8465</v>
      </c>
      <c r="E9122" s="10" t="s">
        <v>68</v>
      </c>
      <c r="F9122" s="10" t="s">
        <v>68</v>
      </c>
      <c r="G9122" s="11" t="s">
        <v>14482</v>
      </c>
      <c r="H9122" s="2" t="s">
        <v>69</v>
      </c>
      <c r="L9122" s="18">
        <v>0</v>
      </c>
      <c r="Q9122" s="18">
        <v>0</v>
      </c>
      <c r="V9122" s="22">
        <f>3.61/5</f>
        <v>0.72199999999999998</v>
      </c>
      <c r="X9122" s="3">
        <v>2</v>
      </c>
      <c r="AB9122" s="18">
        <f t="shared" si="284"/>
        <v>1994</v>
      </c>
      <c r="AC9122" s="22">
        <f t="shared" si="285"/>
        <v>0.56099999999999994</v>
      </c>
    </row>
    <row r="9123" spans="1:29">
      <c r="A9123" s="8" t="s">
        <v>14928</v>
      </c>
      <c r="B9123" s="17" t="s">
        <v>7736</v>
      </c>
      <c r="C9123" s="12">
        <v>34608</v>
      </c>
      <c r="D9123" s="13" t="s">
        <v>8465</v>
      </c>
      <c r="E9123" s="10" t="s">
        <v>54</v>
      </c>
      <c r="F9123" s="10" t="s">
        <v>2636</v>
      </c>
      <c r="G9123" s="11" t="s">
        <v>14929</v>
      </c>
      <c r="H9123" s="2" t="s">
        <v>1170</v>
      </c>
      <c r="L9123" s="18">
        <v>0</v>
      </c>
      <c r="Q9123" s="18">
        <v>0</v>
      </c>
      <c r="V9123" s="22">
        <f>2.82/5</f>
        <v>0.56399999999999995</v>
      </c>
      <c r="X9123" s="3">
        <v>2</v>
      </c>
      <c r="Z9123" s="23">
        <f>22/60</f>
        <v>0.36666666666666664</v>
      </c>
      <c r="AB9123" s="18">
        <f t="shared" si="284"/>
        <v>1994</v>
      </c>
      <c r="AC9123" s="22">
        <f t="shared" si="285"/>
        <v>0.48199999999999998</v>
      </c>
    </row>
    <row r="9124" spans="1:29">
      <c r="A9124" s="8" t="s">
        <v>14893</v>
      </c>
      <c r="B9124" s="17" t="s">
        <v>6317</v>
      </c>
      <c r="C9124" s="13">
        <v>34608</v>
      </c>
      <c r="D9124" s="13" t="s">
        <v>8465</v>
      </c>
      <c r="E9124" s="10" t="s">
        <v>311</v>
      </c>
      <c r="F9124" s="10" t="s">
        <v>311</v>
      </c>
      <c r="H9124" s="2" t="s">
        <v>1170</v>
      </c>
      <c r="L9124" s="18">
        <v>0</v>
      </c>
      <c r="Q9124" s="18">
        <v>0</v>
      </c>
      <c r="V9124" s="22">
        <f>2.5/5</f>
        <v>0.5</v>
      </c>
      <c r="X9124" s="3">
        <v>2</v>
      </c>
      <c r="AB9124" s="18">
        <f t="shared" si="284"/>
        <v>1994</v>
      </c>
      <c r="AC9124" s="22">
        <f t="shared" si="285"/>
        <v>0.45</v>
      </c>
    </row>
    <row r="9125" spans="1:29" ht="25.5">
      <c r="A9125" s="8" t="s">
        <v>13493</v>
      </c>
      <c r="B9125" s="17" t="s">
        <v>7736</v>
      </c>
      <c r="C9125" s="12">
        <v>34608</v>
      </c>
      <c r="D9125" s="13" t="s">
        <v>8465</v>
      </c>
      <c r="E9125" s="10" t="s">
        <v>1272</v>
      </c>
      <c r="F9125" s="10" t="s">
        <v>1272</v>
      </c>
      <c r="G9125" s="11" t="s">
        <v>4445</v>
      </c>
      <c r="H9125" s="2" t="s">
        <v>171</v>
      </c>
      <c r="L9125" s="18">
        <v>0</v>
      </c>
      <c r="Q9125" s="18">
        <v>0</v>
      </c>
      <c r="V9125" s="22">
        <f>2.41/5</f>
        <v>0.48200000000000004</v>
      </c>
      <c r="X9125" s="3">
        <v>2</v>
      </c>
      <c r="Z9125" s="23">
        <v>7</v>
      </c>
      <c r="AB9125" s="18">
        <f t="shared" si="284"/>
        <v>1994</v>
      </c>
      <c r="AC9125" s="22">
        <f t="shared" si="285"/>
        <v>0.44100000000000006</v>
      </c>
    </row>
    <row r="9126" spans="1:29">
      <c r="A9126" s="8" t="s">
        <v>15447</v>
      </c>
      <c r="B9126" s="17" t="s">
        <v>7736</v>
      </c>
      <c r="C9126" s="12">
        <v>34608</v>
      </c>
      <c r="D9126" s="13" t="s">
        <v>8465</v>
      </c>
      <c r="E9126" s="10" t="s">
        <v>73</v>
      </c>
      <c r="F9126" s="10" t="s">
        <v>73</v>
      </c>
      <c r="G9126" s="11" t="s">
        <v>15447</v>
      </c>
      <c r="H9126" s="2" t="s">
        <v>64</v>
      </c>
      <c r="L9126" s="18">
        <v>0</v>
      </c>
      <c r="Q9126" s="18">
        <v>0</v>
      </c>
      <c r="V9126" s="22">
        <f>3.32/5</f>
        <v>0.66399999999999992</v>
      </c>
      <c r="X9126" s="3">
        <v>2</v>
      </c>
      <c r="Z9126" s="23">
        <v>1</v>
      </c>
      <c r="AB9126" s="18">
        <f t="shared" si="284"/>
        <v>1994</v>
      </c>
      <c r="AC9126" s="22">
        <f t="shared" si="285"/>
        <v>0.53200000000000003</v>
      </c>
    </row>
    <row r="9127" spans="1:29">
      <c r="A9127" s="8" t="s">
        <v>6848</v>
      </c>
      <c r="B9127" s="17" t="s">
        <v>7800</v>
      </c>
      <c r="C9127" s="13">
        <v>34607</v>
      </c>
      <c r="D9127" s="13" t="s">
        <v>8465</v>
      </c>
      <c r="E9127" s="10" t="s">
        <v>6906</v>
      </c>
      <c r="F9127" s="10" t="s">
        <v>1889</v>
      </c>
      <c r="G9127" s="11" t="s">
        <v>1890</v>
      </c>
      <c r="H9127" s="2" t="s">
        <v>1050</v>
      </c>
      <c r="L9127" s="18">
        <v>0</v>
      </c>
      <c r="Q9127" s="18">
        <v>0</v>
      </c>
      <c r="U9127" s="22">
        <v>0.95</v>
      </c>
      <c r="V9127" s="22">
        <f>4.27/5</f>
        <v>0.85399999999999987</v>
      </c>
      <c r="X9127" s="3">
        <v>4</v>
      </c>
      <c r="Z9127" s="23">
        <v>7</v>
      </c>
      <c r="AB9127" s="18">
        <f t="shared" si="284"/>
        <v>1994</v>
      </c>
      <c r="AC9127" s="22">
        <f t="shared" si="285"/>
        <v>0.86799999999999999</v>
      </c>
    </row>
    <row r="9128" spans="1:29" ht="25.5">
      <c r="A9128" s="8" t="s">
        <v>11119</v>
      </c>
      <c r="B9128" s="17" t="s">
        <v>7751</v>
      </c>
      <c r="C9128" s="13">
        <v>34607</v>
      </c>
      <c r="D9128" s="13" t="s">
        <v>8463</v>
      </c>
      <c r="E9128" s="10" t="s">
        <v>455</v>
      </c>
      <c r="F9128" s="10" t="s">
        <v>1474</v>
      </c>
      <c r="G9128" s="11" t="s">
        <v>11120</v>
      </c>
      <c r="H9128" s="2" t="s">
        <v>459</v>
      </c>
      <c r="K9128" s="18">
        <v>2</v>
      </c>
      <c r="L9128" s="18">
        <v>0</v>
      </c>
      <c r="Q9128" s="18">
        <v>0</v>
      </c>
      <c r="V9128" s="22">
        <f>4/5</f>
        <v>0.8</v>
      </c>
      <c r="X9128" s="3">
        <v>2</v>
      </c>
      <c r="Z9128" s="23">
        <f>25/60</f>
        <v>0.41666666666666669</v>
      </c>
      <c r="AB9128" s="18">
        <f t="shared" si="284"/>
        <v>1994</v>
      </c>
      <c r="AC9128" s="22">
        <f t="shared" si="285"/>
        <v>0.60000000000000009</v>
      </c>
    </row>
    <row r="9129" spans="1:29" ht="25.5">
      <c r="A9129" s="8" t="s">
        <v>10390</v>
      </c>
      <c r="B9129" s="17" t="s">
        <v>7790</v>
      </c>
      <c r="C9129" s="13">
        <v>34607</v>
      </c>
      <c r="D9129" s="13" t="s">
        <v>8463</v>
      </c>
      <c r="E9129" s="10" t="s">
        <v>10391</v>
      </c>
      <c r="F9129" s="10" t="s">
        <v>1200</v>
      </c>
      <c r="G9129" s="11" t="s">
        <v>2802</v>
      </c>
      <c r="H9129" s="2" t="s">
        <v>171</v>
      </c>
      <c r="K9129" s="18">
        <v>1</v>
      </c>
      <c r="L9129" s="18">
        <v>0</v>
      </c>
      <c r="Q9129" s="18">
        <v>0</v>
      </c>
      <c r="V9129" s="22">
        <f>3.73/5</f>
        <v>0.746</v>
      </c>
      <c r="X9129" s="3">
        <v>2</v>
      </c>
      <c r="Z9129" s="23">
        <v>15.5</v>
      </c>
      <c r="AB9129" s="18">
        <f t="shared" si="284"/>
        <v>1994</v>
      </c>
      <c r="AC9129" s="22">
        <f t="shared" si="285"/>
        <v>0.57299999999999995</v>
      </c>
    </row>
    <row r="9130" spans="1:29">
      <c r="A9130" s="8" t="s">
        <v>6842</v>
      </c>
      <c r="B9130" s="17" t="s">
        <v>7800</v>
      </c>
      <c r="C9130" s="13">
        <v>34602</v>
      </c>
      <c r="D9130" s="13" t="s">
        <v>8465</v>
      </c>
      <c r="E9130" s="10" t="s">
        <v>1272</v>
      </c>
      <c r="F9130" s="10" t="s">
        <v>60</v>
      </c>
      <c r="G9130" s="11" t="s">
        <v>1867</v>
      </c>
      <c r="H9130" s="2" t="s">
        <v>1061</v>
      </c>
      <c r="L9130" s="18">
        <v>1</v>
      </c>
      <c r="N9130" s="13">
        <v>44785</v>
      </c>
      <c r="O9130" s="29">
        <v>0</v>
      </c>
      <c r="P9130" s="18" t="s">
        <v>1107</v>
      </c>
      <c r="Q9130" s="18">
        <v>0</v>
      </c>
      <c r="U9130" s="22">
        <v>0.7</v>
      </c>
      <c r="V9130" s="22">
        <f>3.21/5</f>
        <v>0.64200000000000002</v>
      </c>
      <c r="W9130" s="14" t="s">
        <v>7777</v>
      </c>
      <c r="X9130" s="3">
        <v>4</v>
      </c>
      <c r="Z9130" s="23">
        <v>6</v>
      </c>
      <c r="AB9130" s="18">
        <f t="shared" si="284"/>
        <v>1994</v>
      </c>
      <c r="AC9130" s="22">
        <f t="shared" si="285"/>
        <v>0.71400000000000008</v>
      </c>
    </row>
    <row r="9131" spans="1:29">
      <c r="A9131" s="8" t="s">
        <v>735</v>
      </c>
      <c r="B9131" s="17" t="s">
        <v>7736</v>
      </c>
      <c r="C9131" s="13">
        <v>34600</v>
      </c>
      <c r="D9131" s="13" t="s">
        <v>8463</v>
      </c>
      <c r="E9131" s="10" t="s">
        <v>470</v>
      </c>
      <c r="F9131" s="10" t="s">
        <v>471</v>
      </c>
      <c r="G9131" s="11" t="s">
        <v>369</v>
      </c>
      <c r="H9131" s="2" t="s">
        <v>153</v>
      </c>
      <c r="K9131" s="18">
        <v>2</v>
      </c>
      <c r="L9131" s="18">
        <v>0</v>
      </c>
      <c r="Q9131" s="18">
        <v>0</v>
      </c>
      <c r="V9131" s="22">
        <f>3.63/5</f>
        <v>0.72599999999999998</v>
      </c>
      <c r="X9131" s="3">
        <v>2</v>
      </c>
      <c r="Z9131" s="23">
        <f>50/60</f>
        <v>0.83333333333333337</v>
      </c>
      <c r="AB9131" s="18">
        <f t="shared" si="284"/>
        <v>1994</v>
      </c>
      <c r="AC9131" s="22">
        <f t="shared" si="285"/>
        <v>0.56299999999999994</v>
      </c>
    </row>
    <row r="9132" spans="1:29">
      <c r="A9132" s="8" t="s">
        <v>741</v>
      </c>
      <c r="B9132" s="17" t="s">
        <v>7736</v>
      </c>
      <c r="C9132" s="13">
        <v>34595</v>
      </c>
      <c r="D9132" s="13" t="s">
        <v>8463</v>
      </c>
      <c r="E9132" s="10" t="s">
        <v>157</v>
      </c>
      <c r="F9132" s="10" t="s">
        <v>1351</v>
      </c>
      <c r="G9132" s="11" t="s">
        <v>1352</v>
      </c>
      <c r="H9132" s="2" t="s">
        <v>56</v>
      </c>
      <c r="K9132" s="18">
        <v>0</v>
      </c>
      <c r="L9132" s="18">
        <v>0</v>
      </c>
      <c r="Q9132" s="18">
        <v>0</v>
      </c>
      <c r="V9132" s="22">
        <f>2.79/5</f>
        <v>0.55800000000000005</v>
      </c>
      <c r="X9132" s="3">
        <v>2</v>
      </c>
      <c r="AB9132" s="18">
        <f t="shared" si="284"/>
        <v>1994</v>
      </c>
      <c r="AC9132" s="22">
        <f t="shared" si="285"/>
        <v>0.47900000000000004</v>
      </c>
    </row>
    <row r="9133" spans="1:29" ht="25.5">
      <c r="A9133" s="8" t="s">
        <v>14430</v>
      </c>
      <c r="B9133" s="17" t="s">
        <v>7790</v>
      </c>
      <c r="C9133" s="13">
        <v>34592</v>
      </c>
      <c r="D9133" s="13" t="s">
        <v>8463</v>
      </c>
      <c r="E9133" s="10" t="s">
        <v>1456</v>
      </c>
      <c r="F9133" s="10" t="s">
        <v>1457</v>
      </c>
      <c r="G9133" s="11" t="s">
        <v>1458</v>
      </c>
      <c r="H9133" s="2" t="s">
        <v>153</v>
      </c>
      <c r="K9133" s="18">
        <v>0</v>
      </c>
      <c r="L9133" s="18">
        <v>0</v>
      </c>
      <c r="Q9133" s="18">
        <v>0</v>
      </c>
      <c r="V9133" s="22">
        <f>3.83/5</f>
        <v>0.76600000000000001</v>
      </c>
      <c r="X9133" s="3">
        <v>4</v>
      </c>
      <c r="Z9133" s="23">
        <f>30/60</f>
        <v>0.5</v>
      </c>
      <c r="AB9133" s="18">
        <f t="shared" si="284"/>
        <v>1994</v>
      </c>
      <c r="AC9133" s="22">
        <f t="shared" si="285"/>
        <v>0.78300000000000003</v>
      </c>
    </row>
    <row r="9134" spans="1:29">
      <c r="A9134" s="8" t="s">
        <v>719</v>
      </c>
      <c r="B9134" s="17" t="s">
        <v>7736</v>
      </c>
      <c r="C9134" s="13">
        <v>34591</v>
      </c>
      <c r="D9134" s="13" t="s">
        <v>8465</v>
      </c>
      <c r="E9134" s="10" t="s">
        <v>86</v>
      </c>
      <c r="F9134" s="10" t="s">
        <v>1338</v>
      </c>
      <c r="G9134" s="11" t="s">
        <v>1339</v>
      </c>
      <c r="H9134" s="2" t="s">
        <v>255</v>
      </c>
      <c r="L9134" s="18">
        <v>0</v>
      </c>
      <c r="Q9134" s="18">
        <v>0</v>
      </c>
      <c r="U9134" s="22">
        <v>0.8</v>
      </c>
      <c r="V9134" s="22">
        <f>3.99/5</f>
        <v>0.79800000000000004</v>
      </c>
      <c r="X9134" s="3">
        <v>4</v>
      </c>
      <c r="Z9134" s="23">
        <v>3.5</v>
      </c>
      <c r="AB9134" s="18">
        <f t="shared" si="284"/>
        <v>1994</v>
      </c>
      <c r="AC9134" s="22">
        <f t="shared" si="285"/>
        <v>0.79933333333333334</v>
      </c>
    </row>
    <row r="9135" spans="1:29">
      <c r="A9135" s="8" t="s">
        <v>544</v>
      </c>
      <c r="B9135" s="17" t="s">
        <v>7731</v>
      </c>
      <c r="C9135" s="13">
        <v>34590</v>
      </c>
      <c r="D9135" s="13" t="s">
        <v>8465</v>
      </c>
      <c r="E9135" s="10" t="s">
        <v>480</v>
      </c>
      <c r="F9135" s="10" t="s">
        <v>480</v>
      </c>
      <c r="H9135" s="2" t="s">
        <v>21</v>
      </c>
      <c r="L9135" s="18">
        <v>0</v>
      </c>
      <c r="Q9135" s="18">
        <v>0</v>
      </c>
      <c r="V9135" s="22">
        <f>3.95/5</f>
        <v>0.79</v>
      </c>
      <c r="X9135" s="3">
        <v>3</v>
      </c>
      <c r="Z9135" s="23">
        <v>0.58333333333333304</v>
      </c>
      <c r="AB9135" s="18">
        <f t="shared" si="284"/>
        <v>1994</v>
      </c>
      <c r="AC9135" s="22">
        <f t="shared" si="285"/>
        <v>0.69500000000000006</v>
      </c>
    </row>
    <row r="9136" spans="1:29">
      <c r="A9136" s="8" t="s">
        <v>11284</v>
      </c>
      <c r="B9136" s="17" t="s">
        <v>7736</v>
      </c>
      <c r="C9136" s="13">
        <v>34579</v>
      </c>
      <c r="D9136" s="13" t="s">
        <v>8463</v>
      </c>
      <c r="E9136" s="10" t="s">
        <v>161</v>
      </c>
      <c r="F9136" s="10" t="s">
        <v>161</v>
      </c>
      <c r="G9136" s="11" t="s">
        <v>11284</v>
      </c>
      <c r="H9136" s="2" t="s">
        <v>149</v>
      </c>
      <c r="K9136" s="18">
        <v>2</v>
      </c>
      <c r="L9136" s="18">
        <v>0</v>
      </c>
      <c r="Q9136" s="18">
        <v>0</v>
      </c>
      <c r="U9136" s="22">
        <v>0.88</v>
      </c>
      <c r="V9136" s="22">
        <f>4.12/5</f>
        <v>0.82400000000000007</v>
      </c>
      <c r="X9136" s="3">
        <v>4</v>
      </c>
      <c r="Z9136" s="23">
        <v>18</v>
      </c>
      <c r="AB9136" s="18">
        <f t="shared" si="284"/>
        <v>1994</v>
      </c>
      <c r="AC9136" s="22">
        <f t="shared" si="285"/>
        <v>0.83466666666666678</v>
      </c>
    </row>
    <row r="9137" spans="1:29">
      <c r="A9137" s="8" t="s">
        <v>712</v>
      </c>
      <c r="B9137" s="17" t="s">
        <v>7736</v>
      </c>
      <c r="C9137" s="13">
        <v>34578</v>
      </c>
      <c r="D9137" s="13" t="s">
        <v>8465</v>
      </c>
      <c r="E9137" s="10" t="s">
        <v>86</v>
      </c>
      <c r="F9137" s="10" t="s">
        <v>1252</v>
      </c>
      <c r="G9137" s="11" t="s">
        <v>1255</v>
      </c>
      <c r="H9137" s="2" t="s">
        <v>149</v>
      </c>
      <c r="L9137" s="18">
        <v>0</v>
      </c>
      <c r="Q9137" s="18">
        <v>0</v>
      </c>
      <c r="U9137" s="22">
        <v>0.8</v>
      </c>
      <c r="V9137" s="22">
        <f>4/5</f>
        <v>0.8</v>
      </c>
      <c r="X9137" s="3">
        <v>4</v>
      </c>
      <c r="Z9137" s="23">
        <v>13.5</v>
      </c>
      <c r="AB9137" s="18">
        <f t="shared" si="284"/>
        <v>1994</v>
      </c>
      <c r="AC9137" s="22">
        <f t="shared" si="285"/>
        <v>0.80000000000000016</v>
      </c>
    </row>
    <row r="9138" spans="1:29">
      <c r="A9138" s="8" t="s">
        <v>2558</v>
      </c>
      <c r="B9138" s="17" t="s">
        <v>7751</v>
      </c>
      <c r="C9138" s="12">
        <v>34578</v>
      </c>
      <c r="D9138" s="13" t="s">
        <v>8465</v>
      </c>
      <c r="E9138" s="10" t="s">
        <v>455</v>
      </c>
      <c r="F9138" s="10" t="s">
        <v>1474</v>
      </c>
      <c r="H9138" s="2" t="s">
        <v>56</v>
      </c>
      <c r="L9138" s="18">
        <v>0</v>
      </c>
      <c r="Q9138" s="18">
        <v>0</v>
      </c>
      <c r="U9138" s="22">
        <v>0.77</v>
      </c>
      <c r="V9138" s="22">
        <f>4.1/5</f>
        <v>0.82</v>
      </c>
      <c r="X9138" s="3">
        <v>3</v>
      </c>
      <c r="Z9138" s="23">
        <v>3</v>
      </c>
      <c r="AB9138" s="18">
        <f t="shared" si="284"/>
        <v>1994</v>
      </c>
      <c r="AC9138" s="22">
        <f t="shared" si="285"/>
        <v>0.73</v>
      </c>
    </row>
    <row r="9139" spans="1:29">
      <c r="A9139" s="8" t="s">
        <v>336</v>
      </c>
      <c r="B9139" s="17" t="s">
        <v>6317</v>
      </c>
      <c r="C9139" s="12">
        <v>34578</v>
      </c>
      <c r="D9139" s="13" t="s">
        <v>8465</v>
      </c>
      <c r="E9139" s="10" t="s">
        <v>144</v>
      </c>
      <c r="F9139" s="10" t="s">
        <v>144</v>
      </c>
      <c r="G9139" s="11" t="s">
        <v>448</v>
      </c>
      <c r="H9139" s="2" t="s">
        <v>147</v>
      </c>
      <c r="L9139" s="18">
        <v>0</v>
      </c>
      <c r="Q9139" s="18">
        <v>0</v>
      </c>
      <c r="V9139" s="22">
        <f>3.63/5</f>
        <v>0.72599999999999998</v>
      </c>
      <c r="X9139" s="3">
        <v>2</v>
      </c>
      <c r="Z9139" s="23">
        <v>0.6</v>
      </c>
      <c r="AB9139" s="18">
        <f t="shared" si="284"/>
        <v>1994</v>
      </c>
      <c r="AC9139" s="22">
        <f t="shared" si="285"/>
        <v>0.56299999999999994</v>
      </c>
    </row>
    <row r="9140" spans="1:29" ht="30">
      <c r="A9140" s="8" t="s">
        <v>12748</v>
      </c>
      <c r="B9140" s="17" t="s">
        <v>12735</v>
      </c>
      <c r="C9140" s="12">
        <v>34578</v>
      </c>
      <c r="D9140" s="13" t="s">
        <v>8467</v>
      </c>
      <c r="E9140" s="10" t="s">
        <v>7826</v>
      </c>
      <c r="F9140" s="10" t="s">
        <v>8304</v>
      </c>
      <c r="H9140" s="2" t="s">
        <v>27</v>
      </c>
      <c r="L9140" s="18">
        <v>0</v>
      </c>
      <c r="Q9140" s="18">
        <v>0</v>
      </c>
      <c r="V9140" s="22">
        <f>3.5/5</f>
        <v>0.7</v>
      </c>
      <c r="X9140" s="3">
        <v>2</v>
      </c>
      <c r="Z9140" s="23">
        <v>12</v>
      </c>
      <c r="AB9140" s="18">
        <f t="shared" si="284"/>
        <v>1994</v>
      </c>
      <c r="AC9140" s="22">
        <f t="shared" si="285"/>
        <v>0.55000000000000004</v>
      </c>
    </row>
    <row r="9141" spans="1:29">
      <c r="A9141" s="8" t="s">
        <v>2691</v>
      </c>
      <c r="B9141" s="17" t="s">
        <v>7752</v>
      </c>
      <c r="C9141" s="12">
        <v>34578</v>
      </c>
      <c r="D9141" s="13" t="s">
        <v>8465</v>
      </c>
      <c r="E9141" s="10" t="s">
        <v>1468</v>
      </c>
      <c r="F9141" s="10" t="s">
        <v>1282</v>
      </c>
      <c r="H9141" s="2" t="s">
        <v>1170</v>
      </c>
      <c r="L9141" s="18">
        <v>0</v>
      </c>
      <c r="Q9141" s="18">
        <v>0</v>
      </c>
      <c r="U9141" s="22">
        <v>0.6</v>
      </c>
      <c r="V9141" s="22">
        <f>3.68/5</f>
        <v>0.73599999999999999</v>
      </c>
      <c r="X9141" s="3">
        <v>2</v>
      </c>
      <c r="Z9141" s="23">
        <v>1.5</v>
      </c>
      <c r="AB9141" s="18">
        <f t="shared" si="284"/>
        <v>1994</v>
      </c>
      <c r="AC9141" s="22">
        <f t="shared" si="285"/>
        <v>0.57866666666666655</v>
      </c>
    </row>
    <row r="9142" spans="1:29">
      <c r="A9142" s="8" t="s">
        <v>6692</v>
      </c>
      <c r="B9142" s="17" t="s">
        <v>7792</v>
      </c>
      <c r="C9142" s="13">
        <v>34577</v>
      </c>
      <c r="D9142" s="13" t="s">
        <v>8465</v>
      </c>
      <c r="E9142" s="10" t="s">
        <v>231</v>
      </c>
      <c r="F9142" s="10" t="s">
        <v>6023</v>
      </c>
      <c r="G9142" s="11" t="s">
        <v>4518</v>
      </c>
      <c r="H9142" s="2" t="s">
        <v>150</v>
      </c>
      <c r="L9142" s="18">
        <v>0</v>
      </c>
      <c r="Q9142" s="18">
        <v>0</v>
      </c>
      <c r="V9142" s="22">
        <f>3.93/5</f>
        <v>0.78600000000000003</v>
      </c>
      <c r="X9142" s="3">
        <v>2</v>
      </c>
      <c r="Z9142" s="23">
        <v>3</v>
      </c>
      <c r="AB9142" s="18">
        <f t="shared" si="284"/>
        <v>1994</v>
      </c>
      <c r="AC9142" s="22">
        <f t="shared" si="285"/>
        <v>0.59299999999999997</v>
      </c>
    </row>
    <row r="9143" spans="1:29" ht="30">
      <c r="A9143" s="8" t="s">
        <v>12430</v>
      </c>
      <c r="B9143" s="17" t="s">
        <v>7792</v>
      </c>
      <c r="C9143" s="13">
        <v>34576</v>
      </c>
      <c r="D9143" s="13" t="s">
        <v>8465</v>
      </c>
      <c r="E9143" s="10" t="s">
        <v>5901</v>
      </c>
      <c r="F9143" s="10" t="s">
        <v>2646</v>
      </c>
      <c r="H9143" s="2" t="s">
        <v>459</v>
      </c>
      <c r="L9143" s="18">
        <v>0</v>
      </c>
      <c r="Q9143" s="18">
        <v>0</v>
      </c>
      <c r="V9143" s="22">
        <f>2.12/5</f>
        <v>0.42400000000000004</v>
      </c>
      <c r="X9143" s="3">
        <v>2</v>
      </c>
      <c r="AB9143" s="18">
        <f t="shared" si="284"/>
        <v>1994</v>
      </c>
      <c r="AC9143" s="22">
        <f t="shared" si="285"/>
        <v>0.41200000000000003</v>
      </c>
    </row>
    <row r="9144" spans="1:29">
      <c r="A9144" s="8" t="s">
        <v>2573</v>
      </c>
      <c r="B9144" s="17" t="s">
        <v>7751</v>
      </c>
      <c r="C9144" s="13">
        <v>34572</v>
      </c>
      <c r="D9144" s="13" t="s">
        <v>8463</v>
      </c>
      <c r="E9144" s="10" t="s">
        <v>1330</v>
      </c>
      <c r="F9144" s="10" t="s">
        <v>2660</v>
      </c>
      <c r="G9144" s="11" t="s">
        <v>1369</v>
      </c>
      <c r="H9144" s="2" t="s">
        <v>75</v>
      </c>
      <c r="K9144" s="18">
        <v>2</v>
      </c>
      <c r="L9144" s="18">
        <v>0</v>
      </c>
      <c r="Q9144" s="18">
        <v>0</v>
      </c>
      <c r="V9144" s="22">
        <f>4.18/5</f>
        <v>0.83599999999999997</v>
      </c>
      <c r="X9144" s="3">
        <v>3</v>
      </c>
      <c r="Z9144" s="23">
        <v>33</v>
      </c>
      <c r="AB9144" s="18">
        <f t="shared" si="284"/>
        <v>1994</v>
      </c>
      <c r="AC9144" s="22">
        <f t="shared" si="285"/>
        <v>0.71799999999999997</v>
      </c>
    </row>
    <row r="9145" spans="1:29" ht="25.5">
      <c r="A9145" s="8" t="s">
        <v>1451</v>
      </c>
      <c r="B9145" s="17" t="s">
        <v>7736</v>
      </c>
      <c r="C9145" s="13">
        <v>34572</v>
      </c>
      <c r="D9145" s="13" t="s">
        <v>8463</v>
      </c>
      <c r="E9145" s="10" t="s">
        <v>1363</v>
      </c>
      <c r="F9145" s="10" t="s">
        <v>1365</v>
      </c>
      <c r="G9145" s="11" t="s">
        <v>754</v>
      </c>
      <c r="H9145" s="2" t="s">
        <v>149</v>
      </c>
      <c r="K9145" s="18">
        <v>2</v>
      </c>
      <c r="L9145" s="18">
        <v>0</v>
      </c>
      <c r="Q9145" s="18">
        <v>0</v>
      </c>
      <c r="V9145" s="22">
        <f>3.45/5</f>
        <v>0.69000000000000006</v>
      </c>
      <c r="X9145" s="3">
        <v>3</v>
      </c>
      <c r="AB9145" s="18">
        <f t="shared" si="284"/>
        <v>1994</v>
      </c>
      <c r="AC9145" s="22">
        <f t="shared" si="285"/>
        <v>0.64500000000000002</v>
      </c>
    </row>
    <row r="9146" spans="1:29" ht="25.5">
      <c r="A9146" s="8" t="s">
        <v>499</v>
      </c>
      <c r="B9146" s="17" t="s">
        <v>7731</v>
      </c>
      <c r="C9146" s="13">
        <v>34572</v>
      </c>
      <c r="D9146" s="13" t="s">
        <v>8465</v>
      </c>
      <c r="E9146" s="10" t="s">
        <v>170</v>
      </c>
      <c r="F9146" s="10" t="s">
        <v>1222</v>
      </c>
      <c r="H9146" s="2" t="s">
        <v>459</v>
      </c>
      <c r="L9146" s="18">
        <v>0</v>
      </c>
      <c r="Q9146" s="18">
        <v>0</v>
      </c>
      <c r="V9146" s="22">
        <f>2.95/5</f>
        <v>0.59000000000000008</v>
      </c>
      <c r="X9146" s="3">
        <v>2</v>
      </c>
      <c r="Z9146" s="23">
        <f>15/60</f>
        <v>0.25</v>
      </c>
      <c r="AB9146" s="18">
        <f t="shared" si="284"/>
        <v>1994</v>
      </c>
      <c r="AC9146" s="22">
        <f t="shared" si="285"/>
        <v>0.49500000000000005</v>
      </c>
    </row>
    <row r="9147" spans="1:29" ht="30">
      <c r="A9147" s="8" t="s">
        <v>14427</v>
      </c>
      <c r="B9147" s="17" t="s">
        <v>7751</v>
      </c>
      <c r="C9147" s="13">
        <v>34571</v>
      </c>
      <c r="D9147" s="13" t="s">
        <v>8465</v>
      </c>
      <c r="E9147" s="10" t="s">
        <v>455</v>
      </c>
      <c r="F9147" s="10" t="s">
        <v>2652</v>
      </c>
      <c r="G9147" s="11" t="s">
        <v>2656</v>
      </c>
      <c r="H9147" s="2" t="s">
        <v>80</v>
      </c>
      <c r="L9147" s="18">
        <v>0</v>
      </c>
      <c r="Q9147" s="18">
        <v>0</v>
      </c>
      <c r="U9147" s="22">
        <v>0.7</v>
      </c>
      <c r="V9147" s="22">
        <f>3.78/5</f>
        <v>0.75600000000000001</v>
      </c>
      <c r="X9147" s="3">
        <v>2</v>
      </c>
      <c r="Z9147" s="23">
        <v>4</v>
      </c>
      <c r="AB9147" s="18">
        <f t="shared" si="284"/>
        <v>1994</v>
      </c>
      <c r="AC9147" s="22">
        <f t="shared" si="285"/>
        <v>0.61866666666666659</v>
      </c>
    </row>
    <row r="9148" spans="1:29">
      <c r="A9148" s="8" t="s">
        <v>2614</v>
      </c>
      <c r="B9148" s="17" t="s">
        <v>7751</v>
      </c>
      <c r="C9148" s="13">
        <v>34558</v>
      </c>
      <c r="D9148" s="13" t="s">
        <v>8463</v>
      </c>
      <c r="E9148" s="10" t="s">
        <v>160</v>
      </c>
      <c r="F9148" s="10" t="s">
        <v>463</v>
      </c>
      <c r="G9148" s="11" t="s">
        <v>443</v>
      </c>
      <c r="H9148" s="2" t="s">
        <v>1170</v>
      </c>
      <c r="K9148" s="18">
        <v>2</v>
      </c>
      <c r="L9148" s="18">
        <v>0</v>
      </c>
      <c r="Q9148" s="18">
        <v>0</v>
      </c>
      <c r="V9148" s="22">
        <f>3.77/5</f>
        <v>0.754</v>
      </c>
      <c r="X9148" s="3">
        <v>3</v>
      </c>
      <c r="Z9148" s="23">
        <v>0.73</v>
      </c>
      <c r="AB9148" s="18">
        <f t="shared" si="284"/>
        <v>1994</v>
      </c>
      <c r="AC9148" s="22">
        <f t="shared" si="285"/>
        <v>0.67700000000000005</v>
      </c>
    </row>
    <row r="9149" spans="1:29">
      <c r="A9149" s="8" t="s">
        <v>700</v>
      </c>
      <c r="B9149" s="17" t="s">
        <v>7736</v>
      </c>
      <c r="C9149" s="13">
        <v>34556</v>
      </c>
      <c r="D9149" s="13" t="s">
        <v>8465</v>
      </c>
      <c r="E9149" s="10" t="s">
        <v>161</v>
      </c>
      <c r="F9149" s="10" t="s">
        <v>73</v>
      </c>
      <c r="G9149" s="11" t="s">
        <v>700</v>
      </c>
      <c r="H9149" s="2" t="s">
        <v>149</v>
      </c>
      <c r="L9149" s="18">
        <v>0</v>
      </c>
      <c r="Q9149" s="18">
        <v>0</v>
      </c>
      <c r="U9149" s="22">
        <v>0.7</v>
      </c>
      <c r="V9149" s="22">
        <f>3.77/5</f>
        <v>0.754</v>
      </c>
      <c r="X9149" s="3">
        <v>4</v>
      </c>
      <c r="Z9149" s="23">
        <v>25</v>
      </c>
      <c r="AB9149" s="18">
        <f t="shared" si="284"/>
        <v>1994</v>
      </c>
      <c r="AC9149" s="22">
        <f t="shared" si="285"/>
        <v>0.7513333333333333</v>
      </c>
    </row>
    <row r="9150" spans="1:29">
      <c r="A9150" s="8" t="s">
        <v>2796</v>
      </c>
      <c r="B9150" s="17" t="s">
        <v>7756</v>
      </c>
      <c r="C9150" s="13">
        <v>34551</v>
      </c>
      <c r="D9150" s="13" t="s">
        <v>8463</v>
      </c>
      <c r="E9150" s="10" t="s">
        <v>455</v>
      </c>
      <c r="F9150" s="10" t="s">
        <v>2510</v>
      </c>
      <c r="H9150" s="2" t="s">
        <v>56</v>
      </c>
      <c r="K9150" s="18">
        <v>2</v>
      </c>
      <c r="L9150" s="18">
        <v>0</v>
      </c>
      <c r="Q9150" s="18">
        <v>0</v>
      </c>
      <c r="V9150" s="22">
        <f>2.96/5</f>
        <v>0.59199999999999997</v>
      </c>
      <c r="X9150" s="3">
        <v>2</v>
      </c>
      <c r="Z9150" s="23">
        <v>1.5</v>
      </c>
      <c r="AB9150" s="18">
        <f t="shared" si="284"/>
        <v>1994</v>
      </c>
      <c r="AC9150" s="22">
        <f t="shared" si="285"/>
        <v>0.496</v>
      </c>
    </row>
    <row r="9151" spans="1:29">
      <c r="A9151" s="8" t="s">
        <v>734</v>
      </c>
      <c r="B9151" s="17" t="s">
        <v>7736</v>
      </c>
      <c r="C9151" s="13">
        <v>34551</v>
      </c>
      <c r="D9151" s="13" t="s">
        <v>8463</v>
      </c>
      <c r="E9151" s="10" t="s">
        <v>59</v>
      </c>
      <c r="F9151" s="10" t="s">
        <v>1258</v>
      </c>
      <c r="G9151" s="11" t="s">
        <v>1346</v>
      </c>
      <c r="H9151" s="2" t="s">
        <v>143</v>
      </c>
      <c r="K9151" s="18">
        <v>0</v>
      </c>
      <c r="L9151" s="18">
        <v>0</v>
      </c>
      <c r="Q9151" s="18">
        <v>0</v>
      </c>
      <c r="V9151" s="22">
        <f>2.94/5</f>
        <v>0.58799999999999997</v>
      </c>
      <c r="X9151" s="3">
        <v>2</v>
      </c>
      <c r="Z9151" s="23">
        <v>1.5</v>
      </c>
      <c r="AB9151" s="18">
        <f t="shared" si="284"/>
        <v>1994</v>
      </c>
      <c r="AC9151" s="22">
        <f t="shared" si="285"/>
        <v>0.49399999999999999</v>
      </c>
    </row>
    <row r="9152" spans="1:29">
      <c r="A9152" s="8" t="s">
        <v>15386</v>
      </c>
      <c r="B9152" s="17" t="s">
        <v>7736</v>
      </c>
      <c r="C9152" s="13">
        <v>34551</v>
      </c>
      <c r="D9152" s="13" t="s">
        <v>8463</v>
      </c>
      <c r="E9152" s="10" t="s">
        <v>1240</v>
      </c>
      <c r="F9152" s="10" t="s">
        <v>1240</v>
      </c>
      <c r="G9152" s="11" t="s">
        <v>13200</v>
      </c>
      <c r="H9152" s="2" t="s">
        <v>56</v>
      </c>
      <c r="K9152" s="18">
        <v>2</v>
      </c>
      <c r="L9152" s="18">
        <v>0</v>
      </c>
      <c r="Q9152" s="18">
        <v>0</v>
      </c>
      <c r="V9152" s="22">
        <f>3.33/5</f>
        <v>0.66600000000000004</v>
      </c>
      <c r="X9152" s="3">
        <v>2</v>
      </c>
      <c r="Z9152" s="23">
        <f>40/60</f>
        <v>0.66666666666666663</v>
      </c>
      <c r="AB9152" s="18">
        <f t="shared" si="284"/>
        <v>1994</v>
      </c>
      <c r="AC9152" s="22">
        <f t="shared" si="285"/>
        <v>0.53300000000000003</v>
      </c>
    </row>
    <row r="9153" spans="1:29">
      <c r="A9153" s="8" t="s">
        <v>6776</v>
      </c>
      <c r="B9153" s="17" t="s">
        <v>7800</v>
      </c>
      <c r="C9153" s="13">
        <v>34547</v>
      </c>
      <c r="D9153" s="13" t="s">
        <v>8465</v>
      </c>
      <c r="E9153" s="10" t="s">
        <v>6894</v>
      </c>
      <c r="F9153" s="10" t="s">
        <v>6894</v>
      </c>
      <c r="G9153" s="11" t="s">
        <v>6776</v>
      </c>
      <c r="H9153" s="2" t="s">
        <v>56</v>
      </c>
      <c r="L9153" s="18">
        <v>0</v>
      </c>
      <c r="Q9153" s="18">
        <v>0</v>
      </c>
      <c r="V9153" s="22">
        <f>3.85/5</f>
        <v>0.77</v>
      </c>
      <c r="X9153" s="3">
        <v>3</v>
      </c>
      <c r="Z9153" s="23">
        <v>6</v>
      </c>
      <c r="AB9153" s="18">
        <f t="shared" ref="AB9153:AB9216" si="286">IFERROR(YEAR(C9153), "Early Access")</f>
        <v>1994</v>
      </c>
      <c r="AC9153" s="22">
        <f t="shared" ref="AC9153:AC9216" si="287">AVERAGE(T9153, U9153, V9153, IF(ISBLANK(X9153), X9153, X9153/5))</f>
        <v>0.68500000000000005</v>
      </c>
    </row>
    <row r="9154" spans="1:29" ht="25.5">
      <c r="A9154" s="8" t="s">
        <v>641</v>
      </c>
      <c r="B9154" s="17" t="s">
        <v>7736</v>
      </c>
      <c r="C9154" s="13">
        <v>34547</v>
      </c>
      <c r="D9154" s="13" t="s">
        <v>8465</v>
      </c>
      <c r="E9154" s="10" t="s">
        <v>152</v>
      </c>
      <c r="F9154" s="10" t="s">
        <v>1283</v>
      </c>
      <c r="G9154" s="11" t="s">
        <v>111</v>
      </c>
      <c r="H9154" s="2" t="s">
        <v>459</v>
      </c>
      <c r="L9154" s="18">
        <v>0</v>
      </c>
      <c r="Q9154" s="18">
        <v>0</v>
      </c>
      <c r="U9154" s="22">
        <v>0.53</v>
      </c>
      <c r="V9154" s="22">
        <f>2.31/5</f>
        <v>0.46200000000000002</v>
      </c>
      <c r="X9154" s="3">
        <v>3</v>
      </c>
      <c r="Z9154" s="23">
        <v>0.75</v>
      </c>
      <c r="AB9154" s="18">
        <f t="shared" si="286"/>
        <v>1994</v>
      </c>
      <c r="AC9154" s="22">
        <f t="shared" si="287"/>
        <v>0.53066666666666673</v>
      </c>
    </row>
    <row r="9155" spans="1:29">
      <c r="A9155" s="8" t="s">
        <v>395</v>
      </c>
      <c r="B9155" s="17" t="s">
        <v>6317</v>
      </c>
      <c r="C9155" s="12">
        <v>34547</v>
      </c>
      <c r="D9155" s="13" t="s">
        <v>8465</v>
      </c>
      <c r="E9155" s="10" t="s">
        <v>311</v>
      </c>
      <c r="F9155" s="10" t="s">
        <v>311</v>
      </c>
      <c r="G9155" s="11" t="s">
        <v>395</v>
      </c>
      <c r="H9155" s="2" t="s">
        <v>459</v>
      </c>
      <c r="L9155" s="18">
        <v>0</v>
      </c>
      <c r="Q9155" s="18">
        <v>0</v>
      </c>
      <c r="V9155" s="22">
        <f>3.11/5</f>
        <v>0.622</v>
      </c>
      <c r="X9155" s="3">
        <v>2</v>
      </c>
      <c r="Z9155" s="23">
        <v>0.68</v>
      </c>
      <c r="AB9155" s="18">
        <f t="shared" si="286"/>
        <v>1994</v>
      </c>
      <c r="AC9155" s="22">
        <f t="shared" si="287"/>
        <v>0.51100000000000001</v>
      </c>
    </row>
    <row r="9156" spans="1:29" ht="25.5">
      <c r="A9156" s="8" t="s">
        <v>11630</v>
      </c>
      <c r="B9156" s="17" t="s">
        <v>7756</v>
      </c>
      <c r="C9156" s="13">
        <v>34544</v>
      </c>
      <c r="D9156" s="13" t="s">
        <v>8463</v>
      </c>
      <c r="E9156" s="10" t="s">
        <v>455</v>
      </c>
      <c r="F9156" s="10" t="s">
        <v>167</v>
      </c>
      <c r="G9156" s="11" t="s">
        <v>1211</v>
      </c>
      <c r="H9156" s="2" t="s">
        <v>78</v>
      </c>
      <c r="K9156" s="18">
        <v>2</v>
      </c>
      <c r="L9156" s="18">
        <v>0</v>
      </c>
      <c r="Q9156" s="18">
        <v>0</v>
      </c>
      <c r="V9156" s="22">
        <f>3.83/5</f>
        <v>0.76600000000000001</v>
      </c>
      <c r="X9156" s="3">
        <v>2</v>
      </c>
      <c r="AB9156" s="18">
        <f t="shared" si="286"/>
        <v>1994</v>
      </c>
      <c r="AC9156" s="22">
        <f t="shared" si="287"/>
        <v>0.58299999999999996</v>
      </c>
    </row>
    <row r="9157" spans="1:29" ht="25.5">
      <c r="A9157" s="8" t="s">
        <v>9107</v>
      </c>
      <c r="B9157" s="17" t="s">
        <v>7736</v>
      </c>
      <c r="C9157" s="13">
        <v>34544</v>
      </c>
      <c r="D9157" s="13" t="s">
        <v>8463</v>
      </c>
      <c r="E9157" s="10" t="s">
        <v>1294</v>
      </c>
      <c r="F9157" s="10" t="s">
        <v>1294</v>
      </c>
      <c r="G9157" s="11" t="s">
        <v>9106</v>
      </c>
      <c r="H9157" s="2" t="s">
        <v>149</v>
      </c>
      <c r="K9157" s="18">
        <v>2</v>
      </c>
      <c r="L9157" s="18">
        <v>0</v>
      </c>
      <c r="Q9157" s="18">
        <v>0</v>
      </c>
      <c r="V9157" s="22">
        <f>3.43/5</f>
        <v>0.68600000000000005</v>
      </c>
      <c r="X9157" s="3">
        <v>2</v>
      </c>
      <c r="Z9157" s="23">
        <v>14.5</v>
      </c>
      <c r="AB9157" s="18">
        <f t="shared" si="286"/>
        <v>1994</v>
      </c>
      <c r="AC9157" s="22">
        <f t="shared" si="287"/>
        <v>0.54300000000000004</v>
      </c>
    </row>
    <row r="9158" spans="1:29">
      <c r="A9158" s="8" t="s">
        <v>1254</v>
      </c>
      <c r="B9158" s="17" t="s">
        <v>7745</v>
      </c>
      <c r="C9158" s="13">
        <v>34537</v>
      </c>
      <c r="D9158" s="13" t="s">
        <v>8465</v>
      </c>
      <c r="E9158" s="10" t="s">
        <v>86</v>
      </c>
      <c r="F9158" s="10" t="s">
        <v>87</v>
      </c>
      <c r="G9158" s="11" t="s">
        <v>1254</v>
      </c>
      <c r="H9158" s="2" t="s">
        <v>27</v>
      </c>
      <c r="L9158" s="18">
        <v>0</v>
      </c>
      <c r="Q9158" s="18">
        <v>0</v>
      </c>
      <c r="U9158" s="22">
        <v>0.85</v>
      </c>
      <c r="V9158" s="22">
        <f>4.12/5</f>
        <v>0.82400000000000007</v>
      </c>
      <c r="X9158" s="3">
        <v>4</v>
      </c>
      <c r="Z9158" s="23">
        <v>4</v>
      </c>
      <c r="AB9158" s="18">
        <f t="shared" si="286"/>
        <v>1994</v>
      </c>
      <c r="AC9158" s="22">
        <f t="shared" si="287"/>
        <v>0.82466666666666677</v>
      </c>
    </row>
    <row r="9159" spans="1:29">
      <c r="A9159" s="8" t="s">
        <v>2618</v>
      </c>
      <c r="B9159" s="17" t="s">
        <v>7751</v>
      </c>
      <c r="C9159" s="13">
        <v>34537</v>
      </c>
      <c r="D9159" s="13" t="s">
        <v>8463</v>
      </c>
      <c r="E9159" s="10" t="s">
        <v>455</v>
      </c>
      <c r="F9159" s="10" t="s">
        <v>1354</v>
      </c>
      <c r="H9159" s="2" t="s">
        <v>56</v>
      </c>
      <c r="K9159" s="18">
        <v>2</v>
      </c>
      <c r="L9159" s="18">
        <v>0</v>
      </c>
      <c r="Q9159" s="18">
        <v>0</v>
      </c>
      <c r="U9159" s="22">
        <v>0.8</v>
      </c>
      <c r="V9159" s="22">
        <f>3.96/5</f>
        <v>0.79200000000000004</v>
      </c>
      <c r="X9159" s="3">
        <v>3</v>
      </c>
      <c r="Z9159" s="23">
        <v>2</v>
      </c>
      <c r="AB9159" s="18">
        <f t="shared" si="286"/>
        <v>1994</v>
      </c>
      <c r="AC9159" s="22">
        <f t="shared" si="287"/>
        <v>0.73066666666666669</v>
      </c>
    </row>
    <row r="9160" spans="1:29">
      <c r="A9160" s="8" t="s">
        <v>497</v>
      </c>
      <c r="B9160" s="17" t="s">
        <v>7731</v>
      </c>
      <c r="C9160" s="13">
        <v>34533</v>
      </c>
      <c r="D9160" s="13" t="s">
        <v>8465</v>
      </c>
      <c r="E9160" s="10" t="s">
        <v>454</v>
      </c>
      <c r="F9160" s="10" t="s">
        <v>454</v>
      </c>
      <c r="G9160" s="11" t="s">
        <v>356</v>
      </c>
      <c r="H9160" s="2" t="s">
        <v>21</v>
      </c>
      <c r="L9160" s="18">
        <v>0</v>
      </c>
      <c r="Q9160" s="18">
        <v>0</v>
      </c>
      <c r="V9160" s="22">
        <f>4.17/5</f>
        <v>0.83399999999999996</v>
      </c>
      <c r="X9160" s="3">
        <v>3</v>
      </c>
      <c r="Z9160" s="23">
        <v>0.83333333333333304</v>
      </c>
      <c r="AB9160" s="18">
        <f t="shared" si="286"/>
        <v>1994</v>
      </c>
      <c r="AC9160" s="22">
        <f t="shared" si="287"/>
        <v>0.71699999999999997</v>
      </c>
    </row>
    <row r="9161" spans="1:29" ht="30">
      <c r="A9161" s="8" t="s">
        <v>10926</v>
      </c>
      <c r="B9161" s="17" t="s">
        <v>10323</v>
      </c>
      <c r="C9161" s="13">
        <v>34530</v>
      </c>
      <c r="D9161" s="13" t="s">
        <v>8463</v>
      </c>
      <c r="E9161" s="10" t="s">
        <v>10919</v>
      </c>
      <c r="F9161" s="10" t="s">
        <v>10919</v>
      </c>
      <c r="G9161" s="11" t="s">
        <v>10920</v>
      </c>
      <c r="H9161" s="2" t="s">
        <v>75</v>
      </c>
      <c r="K9161" s="18">
        <v>2</v>
      </c>
      <c r="L9161" s="18">
        <v>0</v>
      </c>
      <c r="Q9161" s="18">
        <v>0</v>
      </c>
      <c r="V9161" s="22">
        <f>2.5/5</f>
        <v>0.5</v>
      </c>
      <c r="X9161" s="3">
        <v>2</v>
      </c>
      <c r="AB9161" s="18">
        <f t="shared" si="286"/>
        <v>1994</v>
      </c>
      <c r="AC9161" s="22">
        <f t="shared" si="287"/>
        <v>0.45</v>
      </c>
    </row>
    <row r="9162" spans="1:29" ht="30">
      <c r="A9162" s="8" t="s">
        <v>426</v>
      </c>
      <c r="B9162" s="17" t="s">
        <v>6317</v>
      </c>
      <c r="C9162" s="13">
        <v>34520</v>
      </c>
      <c r="D9162" s="13" t="s">
        <v>8467</v>
      </c>
      <c r="E9162" s="10" t="s">
        <v>469</v>
      </c>
      <c r="F9162" s="10" t="s">
        <v>73</v>
      </c>
      <c r="G9162" s="11" t="s">
        <v>444</v>
      </c>
      <c r="H9162" s="2" t="s">
        <v>459</v>
      </c>
      <c r="L9162" s="18">
        <v>0</v>
      </c>
      <c r="Q9162" s="18">
        <v>0</v>
      </c>
      <c r="V9162" s="22">
        <f>3.84/5</f>
        <v>0.76800000000000002</v>
      </c>
      <c r="X9162" s="3">
        <v>2</v>
      </c>
      <c r="Z9162" s="23">
        <v>1</v>
      </c>
      <c r="AB9162" s="18">
        <f t="shared" si="286"/>
        <v>1994</v>
      </c>
      <c r="AC9162" s="22">
        <f t="shared" si="287"/>
        <v>0.58400000000000007</v>
      </c>
    </row>
    <row r="9163" spans="1:29">
      <c r="A9163" s="8" t="s">
        <v>14428</v>
      </c>
      <c r="B9163" s="17" t="s">
        <v>6317</v>
      </c>
      <c r="C9163" s="12">
        <v>34516</v>
      </c>
      <c r="D9163" s="13" t="s">
        <v>8465</v>
      </c>
      <c r="E9163" s="10" t="s">
        <v>54</v>
      </c>
      <c r="F9163" s="10" t="s">
        <v>54</v>
      </c>
      <c r="H9163" s="2" t="s">
        <v>459</v>
      </c>
      <c r="L9163" s="18">
        <v>0</v>
      </c>
      <c r="Q9163" s="18">
        <v>0</v>
      </c>
      <c r="V9163" s="22">
        <f>3.02/5</f>
        <v>0.60399999999999998</v>
      </c>
      <c r="X9163" s="3">
        <v>2</v>
      </c>
      <c r="AB9163" s="18">
        <f t="shared" si="286"/>
        <v>1994</v>
      </c>
      <c r="AC9163" s="22">
        <f t="shared" si="287"/>
        <v>0.502</v>
      </c>
    </row>
    <row r="9164" spans="1:29" ht="25.5">
      <c r="A9164" s="8" t="s">
        <v>14429</v>
      </c>
      <c r="B9164" s="17" t="s">
        <v>7734</v>
      </c>
      <c r="C9164" s="13">
        <v>34509</v>
      </c>
      <c r="D9164" s="13" t="s">
        <v>8463</v>
      </c>
      <c r="E9164" s="10" t="s">
        <v>62</v>
      </c>
      <c r="F9164" s="10" t="s">
        <v>62</v>
      </c>
      <c r="G9164" s="11" t="s">
        <v>41</v>
      </c>
      <c r="H9164" s="2" t="s">
        <v>64</v>
      </c>
      <c r="K9164" s="18">
        <v>0</v>
      </c>
      <c r="L9164" s="18">
        <v>0</v>
      </c>
      <c r="Q9164" s="18">
        <v>0</v>
      </c>
      <c r="V9164" s="22">
        <f>4.02/5</f>
        <v>0.80399999999999994</v>
      </c>
      <c r="X9164" s="3">
        <v>2</v>
      </c>
      <c r="Z9164" s="23">
        <v>2</v>
      </c>
      <c r="AB9164" s="18">
        <f t="shared" si="286"/>
        <v>1994</v>
      </c>
      <c r="AC9164" s="22">
        <f t="shared" si="287"/>
        <v>0.60199999999999998</v>
      </c>
    </row>
    <row r="9165" spans="1:29">
      <c r="A9165" s="8" t="s">
        <v>14296</v>
      </c>
      <c r="B9165" s="17" t="s">
        <v>7751</v>
      </c>
      <c r="C9165" s="13">
        <v>34509</v>
      </c>
      <c r="D9165" s="13" t="s">
        <v>8463</v>
      </c>
      <c r="E9165" s="10" t="s">
        <v>11883</v>
      </c>
      <c r="F9165" s="10" t="s">
        <v>1245</v>
      </c>
      <c r="G9165" s="11" t="s">
        <v>11837</v>
      </c>
      <c r="H9165" s="2" t="s">
        <v>1143</v>
      </c>
      <c r="K9165" s="18">
        <v>2</v>
      </c>
      <c r="L9165" s="18">
        <v>0</v>
      </c>
      <c r="Q9165" s="18">
        <v>0</v>
      </c>
      <c r="V9165" s="22">
        <f>3.45/5</f>
        <v>0.69000000000000006</v>
      </c>
      <c r="X9165" s="3">
        <v>2</v>
      </c>
      <c r="AB9165" s="18">
        <f t="shared" si="286"/>
        <v>1994</v>
      </c>
      <c r="AC9165" s="22">
        <f t="shared" si="287"/>
        <v>0.54500000000000004</v>
      </c>
    </row>
    <row r="9166" spans="1:29">
      <c r="A9166" s="8" t="s">
        <v>804</v>
      </c>
      <c r="B9166" s="17" t="s">
        <v>7736</v>
      </c>
      <c r="C9166" s="13">
        <v>34509</v>
      </c>
      <c r="D9166" s="13" t="s">
        <v>8463</v>
      </c>
      <c r="E9166" s="10" t="s">
        <v>470</v>
      </c>
      <c r="F9166" s="10" t="s">
        <v>1366</v>
      </c>
      <c r="G9166" s="11" t="s">
        <v>804</v>
      </c>
      <c r="H9166" s="2" t="s">
        <v>149</v>
      </c>
      <c r="K9166" s="18">
        <v>2</v>
      </c>
      <c r="L9166" s="18">
        <v>0</v>
      </c>
      <c r="Q9166" s="18">
        <v>0</v>
      </c>
      <c r="V9166" s="22">
        <f>3.32/5</f>
        <v>0.66399999999999992</v>
      </c>
      <c r="X9166" s="3">
        <v>2</v>
      </c>
      <c r="Z9166" s="23">
        <v>9</v>
      </c>
      <c r="AB9166" s="18">
        <f t="shared" si="286"/>
        <v>1994</v>
      </c>
      <c r="AC9166" s="22">
        <f t="shared" si="287"/>
        <v>0.53200000000000003</v>
      </c>
    </row>
    <row r="9167" spans="1:29" ht="25.5">
      <c r="A9167" s="8" t="s">
        <v>722</v>
      </c>
      <c r="B9167" s="17" t="s">
        <v>7736</v>
      </c>
      <c r="C9167" s="13">
        <v>34507</v>
      </c>
      <c r="D9167" s="13" t="s">
        <v>8465</v>
      </c>
      <c r="E9167" s="10" t="s">
        <v>1342</v>
      </c>
      <c r="F9167" s="10" t="s">
        <v>1341</v>
      </c>
      <c r="G9167" s="11" t="s">
        <v>721</v>
      </c>
      <c r="H9167" s="2" t="s">
        <v>56</v>
      </c>
      <c r="L9167" s="18">
        <v>0</v>
      </c>
      <c r="Q9167" s="18">
        <v>0</v>
      </c>
      <c r="U9167" s="22">
        <v>0.83</v>
      </c>
      <c r="V9167" s="22">
        <f>3.63/5</f>
        <v>0.72599999999999998</v>
      </c>
      <c r="X9167" s="3">
        <v>4</v>
      </c>
      <c r="Z9167" s="23">
        <v>3</v>
      </c>
      <c r="AB9167" s="18">
        <f t="shared" si="286"/>
        <v>1994</v>
      </c>
      <c r="AC9167" s="22">
        <f t="shared" si="287"/>
        <v>0.78533333333333333</v>
      </c>
    </row>
    <row r="9168" spans="1:29">
      <c r="A9168" s="8" t="s">
        <v>10936</v>
      </c>
      <c r="B9168" s="17" t="s">
        <v>10323</v>
      </c>
      <c r="C9168" s="13">
        <v>34502</v>
      </c>
      <c r="D9168" s="13" t="s">
        <v>8463</v>
      </c>
      <c r="E9168" s="10" t="s">
        <v>10935</v>
      </c>
      <c r="F9168" s="10" t="s">
        <v>10935</v>
      </c>
      <c r="H9168" s="2" t="s">
        <v>64</v>
      </c>
      <c r="K9168" s="18">
        <v>0</v>
      </c>
      <c r="L9168" s="18">
        <v>0</v>
      </c>
      <c r="Q9168" s="18">
        <v>0</v>
      </c>
      <c r="V9168" s="22">
        <f>3.5/5</f>
        <v>0.7</v>
      </c>
      <c r="X9168" s="3">
        <v>2</v>
      </c>
      <c r="AB9168" s="18">
        <f t="shared" si="286"/>
        <v>1994</v>
      </c>
      <c r="AC9168" s="22">
        <f t="shared" si="287"/>
        <v>0.55000000000000004</v>
      </c>
    </row>
    <row r="9169" spans="1:29">
      <c r="A9169" s="8" t="s">
        <v>2553</v>
      </c>
      <c r="B9169" s="17" t="s">
        <v>7751</v>
      </c>
      <c r="C9169" s="13">
        <v>34501</v>
      </c>
      <c r="D9169" s="13" t="s">
        <v>8465</v>
      </c>
      <c r="E9169" s="10" t="s">
        <v>2461</v>
      </c>
      <c r="F9169" s="10" t="s">
        <v>1974</v>
      </c>
      <c r="H9169" s="2" t="s">
        <v>80</v>
      </c>
      <c r="L9169" s="18">
        <v>0</v>
      </c>
      <c r="Q9169" s="18">
        <v>0</v>
      </c>
      <c r="U9169" s="22">
        <v>0.82</v>
      </c>
      <c r="V9169" s="22">
        <f>4.11/5</f>
        <v>0.82200000000000006</v>
      </c>
      <c r="X9169" s="3">
        <v>3</v>
      </c>
      <c r="Z9169" s="23">
        <v>8</v>
      </c>
      <c r="AB9169" s="18">
        <f t="shared" si="286"/>
        <v>1994</v>
      </c>
      <c r="AC9169" s="22">
        <f t="shared" si="287"/>
        <v>0.74733333333333329</v>
      </c>
    </row>
    <row r="9170" spans="1:29">
      <c r="A9170" s="8" t="s">
        <v>13755</v>
      </c>
      <c r="B9170" s="17" t="s">
        <v>7751</v>
      </c>
      <c r="C9170" s="13">
        <v>34499</v>
      </c>
      <c r="D9170" s="13" t="s">
        <v>8465</v>
      </c>
      <c r="E9170" s="10" t="s">
        <v>455</v>
      </c>
      <c r="F9170" s="10" t="s">
        <v>476</v>
      </c>
      <c r="G9170" s="11" t="s">
        <v>13741</v>
      </c>
      <c r="H9170" s="2" t="s">
        <v>150</v>
      </c>
      <c r="L9170" s="18">
        <v>0</v>
      </c>
      <c r="Q9170" s="18">
        <v>0</v>
      </c>
      <c r="V9170" s="22">
        <f>3.43/5</f>
        <v>0.68600000000000005</v>
      </c>
      <c r="X9170" s="3">
        <v>2</v>
      </c>
      <c r="Z9170" s="23">
        <f>16/60</f>
        <v>0.26666666666666666</v>
      </c>
      <c r="AB9170" s="18">
        <f t="shared" si="286"/>
        <v>1994</v>
      </c>
      <c r="AC9170" s="22">
        <f t="shared" si="287"/>
        <v>0.54300000000000004</v>
      </c>
    </row>
    <row r="9171" spans="1:29">
      <c r="A9171" s="8" t="s">
        <v>1178</v>
      </c>
      <c r="B9171" s="17" t="s">
        <v>7791</v>
      </c>
      <c r="C9171" s="13">
        <v>34490</v>
      </c>
      <c r="D9171" s="13" t="s">
        <v>8465</v>
      </c>
      <c r="E9171" s="10" t="s">
        <v>1179</v>
      </c>
      <c r="F9171" s="10" t="s">
        <v>1182</v>
      </c>
      <c r="G9171" s="11" t="s">
        <v>85</v>
      </c>
      <c r="H9171" s="2" t="s">
        <v>80</v>
      </c>
      <c r="L9171" s="18">
        <v>0</v>
      </c>
      <c r="Q9171" s="18">
        <v>0</v>
      </c>
      <c r="V9171" s="22">
        <f>1.74/5</f>
        <v>0.34799999999999998</v>
      </c>
      <c r="X9171" s="3">
        <v>2</v>
      </c>
      <c r="Y9171" s="18">
        <v>1</v>
      </c>
      <c r="Z9171" s="23">
        <v>6</v>
      </c>
      <c r="AB9171" s="18">
        <f t="shared" si="286"/>
        <v>1994</v>
      </c>
      <c r="AC9171" s="22">
        <f t="shared" si="287"/>
        <v>0.374</v>
      </c>
    </row>
    <row r="9172" spans="1:29" ht="25.5">
      <c r="A9172" s="8" t="s">
        <v>693</v>
      </c>
      <c r="B9172" s="17" t="s">
        <v>7736</v>
      </c>
      <c r="C9172" s="12">
        <v>34486</v>
      </c>
      <c r="D9172" s="13" t="s">
        <v>8465</v>
      </c>
      <c r="E9172" s="10" t="s">
        <v>1247</v>
      </c>
      <c r="F9172" s="10" t="s">
        <v>1326</v>
      </c>
      <c r="H9172" s="2" t="s">
        <v>171</v>
      </c>
      <c r="L9172" s="18">
        <v>0</v>
      </c>
      <c r="Q9172" s="18">
        <v>0</v>
      </c>
      <c r="U9172" s="22">
        <v>0.78</v>
      </c>
      <c r="V9172" s="22">
        <f>3.4/5</f>
        <v>0.67999999999999994</v>
      </c>
      <c r="X9172" s="3">
        <v>3</v>
      </c>
      <c r="Z9172" s="23">
        <v>5</v>
      </c>
      <c r="AB9172" s="18">
        <f t="shared" si="286"/>
        <v>1994</v>
      </c>
      <c r="AC9172" s="22">
        <f t="shared" si="287"/>
        <v>0.68666666666666665</v>
      </c>
    </row>
    <row r="9173" spans="1:29">
      <c r="A9173" s="8" t="s">
        <v>12428</v>
      </c>
      <c r="B9173" s="17" t="s">
        <v>7792</v>
      </c>
      <c r="C9173" s="13">
        <v>34482</v>
      </c>
      <c r="D9173" s="13" t="s">
        <v>8463</v>
      </c>
      <c r="E9173" s="10" t="s">
        <v>1199</v>
      </c>
      <c r="F9173" s="10" t="s">
        <v>11808</v>
      </c>
      <c r="G9173" s="11" t="s">
        <v>12429</v>
      </c>
      <c r="H9173" s="2" t="s">
        <v>1061</v>
      </c>
      <c r="K9173" s="18">
        <v>0</v>
      </c>
      <c r="L9173" s="18">
        <v>0</v>
      </c>
      <c r="Q9173" s="18">
        <v>0</v>
      </c>
      <c r="V9173" s="22">
        <f>4/5</f>
        <v>0.8</v>
      </c>
      <c r="X9173" s="3">
        <v>2</v>
      </c>
      <c r="AB9173" s="18">
        <f t="shared" si="286"/>
        <v>1994</v>
      </c>
      <c r="AC9173" s="22">
        <f t="shared" si="287"/>
        <v>0.60000000000000009</v>
      </c>
    </row>
    <row r="9174" spans="1:29" ht="25.5">
      <c r="A9174" s="8" t="s">
        <v>11846</v>
      </c>
      <c r="B9174" s="17" t="s">
        <v>7756</v>
      </c>
      <c r="C9174" s="13">
        <v>34474</v>
      </c>
      <c r="D9174" s="13" t="s">
        <v>8463</v>
      </c>
      <c r="E9174" s="10" t="s">
        <v>455</v>
      </c>
      <c r="F9174" s="10" t="s">
        <v>167</v>
      </c>
      <c r="G9174" s="11" t="s">
        <v>9777</v>
      </c>
      <c r="H9174" s="2" t="s">
        <v>149</v>
      </c>
      <c r="K9174" s="18">
        <v>2</v>
      </c>
      <c r="L9174" s="18">
        <v>0</v>
      </c>
      <c r="Q9174" s="18">
        <v>0</v>
      </c>
      <c r="V9174" s="22">
        <f>2.42/5</f>
        <v>0.48399999999999999</v>
      </c>
      <c r="X9174" s="3">
        <v>3</v>
      </c>
      <c r="AB9174" s="18">
        <f t="shared" si="286"/>
        <v>1994</v>
      </c>
      <c r="AC9174" s="22">
        <f t="shared" si="287"/>
        <v>0.54200000000000004</v>
      </c>
    </row>
    <row r="9175" spans="1:29" ht="25.5">
      <c r="A9175" s="8" t="s">
        <v>799</v>
      </c>
      <c r="B9175" s="17" t="s">
        <v>7736</v>
      </c>
      <c r="C9175" s="13">
        <v>34453</v>
      </c>
      <c r="D9175" s="13" t="s">
        <v>8463</v>
      </c>
      <c r="E9175" s="10" t="s">
        <v>155</v>
      </c>
      <c r="F9175" s="10" t="s">
        <v>1302</v>
      </c>
      <c r="G9175" s="11" t="s">
        <v>226</v>
      </c>
      <c r="H9175" s="2" t="s">
        <v>153</v>
      </c>
      <c r="K9175" s="18">
        <v>2</v>
      </c>
      <c r="L9175" s="18">
        <v>0</v>
      </c>
      <c r="Q9175" s="18">
        <v>0</v>
      </c>
      <c r="V9175" s="22">
        <f>3.77/5</f>
        <v>0.754</v>
      </c>
      <c r="X9175" s="3">
        <v>3</v>
      </c>
      <c r="Z9175" s="23">
        <v>3.5</v>
      </c>
      <c r="AB9175" s="18">
        <f t="shared" si="286"/>
        <v>1994</v>
      </c>
      <c r="AC9175" s="22">
        <f t="shared" si="287"/>
        <v>0.67700000000000005</v>
      </c>
    </row>
    <row r="9176" spans="1:29">
      <c r="A9176" s="8" t="s">
        <v>10464</v>
      </c>
      <c r="B9176" s="17" t="s">
        <v>7792</v>
      </c>
      <c r="C9176" s="13">
        <v>34453</v>
      </c>
      <c r="D9176" s="13" t="s">
        <v>8463</v>
      </c>
      <c r="E9176" s="10" t="s">
        <v>1201</v>
      </c>
      <c r="F9176" s="10" t="s">
        <v>2890</v>
      </c>
      <c r="H9176" s="2" t="s">
        <v>1061</v>
      </c>
      <c r="K9176" s="18">
        <v>2</v>
      </c>
      <c r="L9176" s="18">
        <v>0</v>
      </c>
      <c r="Q9176" s="18">
        <v>0</v>
      </c>
      <c r="V9176" s="22">
        <f>3.5/5</f>
        <v>0.7</v>
      </c>
      <c r="X9176" s="3">
        <v>2</v>
      </c>
      <c r="Z9176" s="23">
        <v>3.5</v>
      </c>
      <c r="AB9176" s="18">
        <f t="shared" si="286"/>
        <v>1994</v>
      </c>
      <c r="AC9176" s="22">
        <f t="shared" si="287"/>
        <v>0.55000000000000004</v>
      </c>
    </row>
    <row r="9177" spans="1:29" ht="25.5">
      <c r="A9177" s="8" t="s">
        <v>13195</v>
      </c>
      <c r="B9177" s="17" t="s">
        <v>7745</v>
      </c>
      <c r="C9177" s="13">
        <v>34446</v>
      </c>
      <c r="D9177" s="13" t="s">
        <v>8463</v>
      </c>
      <c r="E9177" s="10" t="s">
        <v>62</v>
      </c>
      <c r="F9177" s="10" t="s">
        <v>1402</v>
      </c>
      <c r="G9177" s="11" t="s">
        <v>1319</v>
      </c>
      <c r="H9177" s="2" t="s">
        <v>64</v>
      </c>
      <c r="K9177" s="18">
        <v>0</v>
      </c>
      <c r="L9177" s="18">
        <v>0</v>
      </c>
      <c r="Q9177" s="18">
        <v>0</v>
      </c>
      <c r="V9177" s="22">
        <f>3.64/5</f>
        <v>0.72799999999999998</v>
      </c>
      <c r="X9177" s="3">
        <v>2</v>
      </c>
      <c r="AB9177" s="18">
        <f t="shared" si="286"/>
        <v>1994</v>
      </c>
      <c r="AC9177" s="22">
        <f t="shared" si="287"/>
        <v>0.56400000000000006</v>
      </c>
    </row>
    <row r="9178" spans="1:29" ht="25.5">
      <c r="A9178" s="8" t="s">
        <v>759</v>
      </c>
      <c r="B9178" s="17" t="s">
        <v>7736</v>
      </c>
      <c r="C9178" s="13">
        <v>34439</v>
      </c>
      <c r="D9178" s="13" t="s">
        <v>8463</v>
      </c>
      <c r="E9178" s="10" t="s">
        <v>1239</v>
      </c>
      <c r="F9178" s="10" t="s">
        <v>1370</v>
      </c>
      <c r="H9178" s="2" t="s">
        <v>149</v>
      </c>
      <c r="K9178" s="18">
        <v>2</v>
      </c>
      <c r="L9178" s="18">
        <v>0</v>
      </c>
      <c r="Q9178" s="18">
        <v>0</v>
      </c>
      <c r="V9178" s="22">
        <f>2.71/5</f>
        <v>0.54200000000000004</v>
      </c>
      <c r="X9178" s="3">
        <v>2</v>
      </c>
      <c r="AB9178" s="18">
        <f t="shared" si="286"/>
        <v>1994</v>
      </c>
      <c r="AC9178" s="22">
        <f t="shared" si="287"/>
        <v>0.47100000000000003</v>
      </c>
    </row>
    <row r="9179" spans="1:29">
      <c r="A9179" s="8" t="s">
        <v>2692</v>
      </c>
      <c r="B9179" s="17" t="s">
        <v>7752</v>
      </c>
      <c r="C9179" s="13">
        <v>34438</v>
      </c>
      <c r="D9179" s="13" t="s">
        <v>8465</v>
      </c>
      <c r="E9179" s="10" t="s">
        <v>2701</v>
      </c>
      <c r="F9179" s="10" t="s">
        <v>2702</v>
      </c>
      <c r="H9179" s="2" t="s">
        <v>149</v>
      </c>
      <c r="L9179" s="18">
        <v>0</v>
      </c>
      <c r="Q9179" s="18">
        <v>0</v>
      </c>
      <c r="U9179" s="22">
        <v>0.83</v>
      </c>
      <c r="V9179" s="22">
        <f>3.89/5</f>
        <v>0.77800000000000002</v>
      </c>
      <c r="X9179" s="3">
        <v>4</v>
      </c>
      <c r="Z9179" s="23">
        <v>13.5</v>
      </c>
      <c r="AB9179" s="18">
        <f t="shared" si="286"/>
        <v>1994</v>
      </c>
      <c r="AC9179" s="22">
        <f t="shared" si="287"/>
        <v>0.80266666666666675</v>
      </c>
    </row>
    <row r="9180" spans="1:29" ht="30">
      <c r="A9180" s="8" t="s">
        <v>11769</v>
      </c>
      <c r="B9180" s="17" t="s">
        <v>7791</v>
      </c>
      <c r="C9180" s="13">
        <v>34429</v>
      </c>
      <c r="D9180" s="13" t="s">
        <v>8465</v>
      </c>
      <c r="E9180" s="10" t="s">
        <v>11770</v>
      </c>
      <c r="F9180" s="10" t="s">
        <v>11771</v>
      </c>
      <c r="G9180" s="11" t="s">
        <v>137</v>
      </c>
      <c r="H9180" s="2" t="s">
        <v>78</v>
      </c>
      <c r="L9180" s="18">
        <v>0</v>
      </c>
      <c r="Q9180" s="18">
        <v>0</v>
      </c>
      <c r="V9180" s="22">
        <f>2.87/5</f>
        <v>0.57400000000000007</v>
      </c>
      <c r="X9180" s="3">
        <v>2</v>
      </c>
      <c r="Z9180" s="23">
        <v>2</v>
      </c>
      <c r="AB9180" s="18">
        <f t="shared" si="286"/>
        <v>1994</v>
      </c>
      <c r="AC9180" s="22">
        <f t="shared" si="287"/>
        <v>0.48700000000000004</v>
      </c>
    </row>
    <row r="9181" spans="1:29">
      <c r="A9181" s="8" t="s">
        <v>2579</v>
      </c>
      <c r="B9181" s="17" t="s">
        <v>7751</v>
      </c>
      <c r="C9181" s="13">
        <v>34425</v>
      </c>
      <c r="D9181" s="13" t="s">
        <v>8463</v>
      </c>
      <c r="E9181" s="10" t="s">
        <v>455</v>
      </c>
      <c r="F9181" s="10" t="s">
        <v>2511</v>
      </c>
      <c r="G9181" s="11" t="s">
        <v>1727</v>
      </c>
      <c r="H9181" s="2" t="s">
        <v>1267</v>
      </c>
      <c r="K9181" s="18">
        <v>2</v>
      </c>
      <c r="L9181" s="18">
        <v>0</v>
      </c>
      <c r="Q9181" s="18">
        <v>0</v>
      </c>
      <c r="U9181" s="22">
        <v>0.9</v>
      </c>
      <c r="V9181" s="22">
        <f>4.13/5</f>
        <v>0.82599999999999996</v>
      </c>
      <c r="X9181" s="3">
        <v>3</v>
      </c>
      <c r="Z9181" s="23">
        <v>6.5</v>
      </c>
      <c r="AB9181" s="18">
        <f t="shared" si="286"/>
        <v>1994</v>
      </c>
      <c r="AC9181" s="22">
        <f t="shared" si="287"/>
        <v>0.77533333333333332</v>
      </c>
    </row>
    <row r="9182" spans="1:29" ht="25.5">
      <c r="A9182" s="8" t="s">
        <v>628</v>
      </c>
      <c r="B9182" s="17" t="s">
        <v>7736</v>
      </c>
      <c r="C9182" s="12">
        <v>34425</v>
      </c>
      <c r="D9182" s="13" t="s">
        <v>8465</v>
      </c>
      <c r="E9182" s="10" t="s">
        <v>57</v>
      </c>
      <c r="F9182" s="10" t="s">
        <v>57</v>
      </c>
      <c r="G9182" s="11" t="s">
        <v>1276</v>
      </c>
      <c r="H9182" s="2" t="s">
        <v>56</v>
      </c>
      <c r="L9182" s="18">
        <v>0</v>
      </c>
      <c r="Q9182" s="18">
        <v>0</v>
      </c>
      <c r="U9182" s="22">
        <v>0.68</v>
      </c>
      <c r="V9182" s="22">
        <f>3.6/5</f>
        <v>0.72</v>
      </c>
      <c r="X9182" s="3">
        <v>2</v>
      </c>
      <c r="Z9182" s="23">
        <v>1</v>
      </c>
      <c r="AB9182" s="18">
        <f t="shared" si="286"/>
        <v>1994</v>
      </c>
      <c r="AC9182" s="22">
        <f t="shared" si="287"/>
        <v>0.6</v>
      </c>
    </row>
    <row r="9183" spans="1:29">
      <c r="A9183" s="8" t="s">
        <v>8033</v>
      </c>
      <c r="B9183" s="17" t="s">
        <v>7736</v>
      </c>
      <c r="C9183" s="12">
        <v>34425</v>
      </c>
      <c r="D9183" s="13" t="s">
        <v>8465</v>
      </c>
      <c r="E9183" s="10" t="s">
        <v>1321</v>
      </c>
      <c r="F9183" s="10" t="s">
        <v>1350</v>
      </c>
      <c r="H9183" s="2" t="s">
        <v>153</v>
      </c>
      <c r="L9183" s="18">
        <v>0</v>
      </c>
      <c r="Q9183" s="18">
        <v>0</v>
      </c>
      <c r="U9183" s="22">
        <v>0.67749999999999999</v>
      </c>
      <c r="V9183" s="22">
        <f>3.09/5</f>
        <v>0.61799999999999999</v>
      </c>
      <c r="X9183" s="3">
        <v>2</v>
      </c>
      <c r="Z9183" s="23">
        <v>2</v>
      </c>
      <c r="AB9183" s="18">
        <f t="shared" si="286"/>
        <v>1994</v>
      </c>
      <c r="AC9183" s="22">
        <f t="shared" si="287"/>
        <v>0.56516666666666671</v>
      </c>
    </row>
    <row r="9184" spans="1:29" ht="25.5">
      <c r="A9184" s="8" t="s">
        <v>14931</v>
      </c>
      <c r="B9184" s="17" t="s">
        <v>6317</v>
      </c>
      <c r="C9184" s="12">
        <v>34425</v>
      </c>
      <c r="D9184" s="13" t="s">
        <v>8465</v>
      </c>
      <c r="E9184" s="10" t="s">
        <v>72</v>
      </c>
      <c r="F9184" s="10" t="s">
        <v>72</v>
      </c>
      <c r="G9184" s="11" t="s">
        <v>14930</v>
      </c>
      <c r="H9184" s="2" t="s">
        <v>1170</v>
      </c>
      <c r="L9184" s="18">
        <v>0</v>
      </c>
      <c r="Q9184" s="18">
        <v>0</v>
      </c>
      <c r="V9184" s="22">
        <f>3/5</f>
        <v>0.6</v>
      </c>
      <c r="X9184" s="3">
        <v>2</v>
      </c>
      <c r="Z9184" s="23">
        <f>30/60</f>
        <v>0.5</v>
      </c>
      <c r="AB9184" s="18">
        <f t="shared" si="286"/>
        <v>1994</v>
      </c>
      <c r="AC9184" s="22">
        <f t="shared" si="287"/>
        <v>0.5</v>
      </c>
    </row>
    <row r="9185" spans="1:29" ht="25.5">
      <c r="A9185" s="8" t="s">
        <v>6856</v>
      </c>
      <c r="B9185" s="17" t="s">
        <v>7800</v>
      </c>
      <c r="C9185" s="13">
        <v>34425</v>
      </c>
      <c r="D9185" s="13" t="s">
        <v>8465</v>
      </c>
      <c r="E9185" s="10" t="s">
        <v>3304</v>
      </c>
      <c r="F9185" s="10" t="s">
        <v>6911</v>
      </c>
      <c r="H9185" s="2" t="s">
        <v>21</v>
      </c>
      <c r="L9185" s="18">
        <v>1</v>
      </c>
      <c r="P9185" s="18" t="s">
        <v>1107</v>
      </c>
      <c r="Q9185" s="18">
        <v>0</v>
      </c>
      <c r="U9185" s="22">
        <v>0.4</v>
      </c>
      <c r="V9185" s="22">
        <f>3.79/5</f>
        <v>0.75800000000000001</v>
      </c>
      <c r="W9185" s="14" t="s">
        <v>7777</v>
      </c>
      <c r="X9185" s="3">
        <v>2</v>
      </c>
      <c r="Z9185" s="23">
        <v>3</v>
      </c>
      <c r="AB9185" s="18">
        <f t="shared" si="286"/>
        <v>1994</v>
      </c>
      <c r="AC9185" s="22">
        <f t="shared" si="287"/>
        <v>0.51933333333333331</v>
      </c>
    </row>
    <row r="9186" spans="1:29" ht="25.5">
      <c r="A9186" s="8" t="s">
        <v>6561</v>
      </c>
      <c r="B9186" s="17" t="s">
        <v>7800</v>
      </c>
      <c r="C9186" s="13">
        <v>34420</v>
      </c>
      <c r="D9186" s="13" t="s">
        <v>8465</v>
      </c>
      <c r="E9186" s="10" t="s">
        <v>1784</v>
      </c>
      <c r="F9186" s="10" t="s">
        <v>1784</v>
      </c>
      <c r="G9186" s="11" t="s">
        <v>6562</v>
      </c>
      <c r="H9186" s="2" t="s">
        <v>6563</v>
      </c>
      <c r="L9186" s="18">
        <v>1</v>
      </c>
      <c r="N9186" s="13">
        <v>41860</v>
      </c>
      <c r="O9186" s="29">
        <v>0</v>
      </c>
      <c r="P9186" s="18" t="s">
        <v>1107</v>
      </c>
      <c r="Q9186" s="18">
        <v>0</v>
      </c>
      <c r="V9186" s="22">
        <f>3.9/5</f>
        <v>0.78</v>
      </c>
      <c r="W9186" s="14" t="s">
        <v>7796</v>
      </c>
      <c r="X9186" s="3">
        <v>2</v>
      </c>
      <c r="Z9186" s="23">
        <v>12</v>
      </c>
      <c r="AB9186" s="18">
        <f t="shared" si="286"/>
        <v>1994</v>
      </c>
      <c r="AC9186" s="22">
        <f t="shared" si="287"/>
        <v>0.59000000000000008</v>
      </c>
    </row>
    <row r="9187" spans="1:29" ht="25.5">
      <c r="A9187" s="8" t="s">
        <v>6870</v>
      </c>
      <c r="B9187" s="17" t="s">
        <v>7800</v>
      </c>
      <c r="C9187" s="13">
        <v>34418</v>
      </c>
      <c r="D9187" s="13" t="s">
        <v>8465</v>
      </c>
      <c r="E9187" s="10" t="s">
        <v>1690</v>
      </c>
      <c r="F9187" s="10" t="s">
        <v>1690</v>
      </c>
      <c r="G9187" s="11" t="s">
        <v>1207</v>
      </c>
      <c r="H9187" s="2" t="s">
        <v>171</v>
      </c>
      <c r="L9187" s="18">
        <v>0</v>
      </c>
      <c r="Q9187" s="18">
        <v>0</v>
      </c>
      <c r="U9187" s="22">
        <v>0.8</v>
      </c>
      <c r="V9187" s="22">
        <f>3.32/5</f>
        <v>0.66399999999999992</v>
      </c>
      <c r="X9187" s="3">
        <v>4</v>
      </c>
      <c r="Z9187" s="23">
        <v>22</v>
      </c>
      <c r="AB9187" s="18">
        <f t="shared" si="286"/>
        <v>1994</v>
      </c>
      <c r="AC9187" s="22">
        <f t="shared" si="287"/>
        <v>0.75466666666666671</v>
      </c>
    </row>
    <row r="9188" spans="1:29">
      <c r="A9188" s="8" t="s">
        <v>808</v>
      </c>
      <c r="B9188" s="17" t="s">
        <v>7736</v>
      </c>
      <c r="C9188" s="13">
        <v>34418</v>
      </c>
      <c r="D9188" s="13" t="s">
        <v>8463</v>
      </c>
      <c r="E9188" s="10" t="s">
        <v>470</v>
      </c>
      <c r="F9188" s="10" t="s">
        <v>471</v>
      </c>
      <c r="G9188" s="11" t="s">
        <v>299</v>
      </c>
      <c r="H9188" s="2" t="s">
        <v>75</v>
      </c>
      <c r="K9188" s="18">
        <v>2</v>
      </c>
      <c r="L9188" s="18">
        <v>0</v>
      </c>
      <c r="Q9188" s="18">
        <v>0</v>
      </c>
      <c r="V9188" s="22">
        <f>3.87/5</f>
        <v>0.77400000000000002</v>
      </c>
      <c r="X9188" s="3">
        <v>3</v>
      </c>
      <c r="AB9188" s="18">
        <f t="shared" si="286"/>
        <v>1994</v>
      </c>
      <c r="AC9188" s="22">
        <f t="shared" si="287"/>
        <v>0.68700000000000006</v>
      </c>
    </row>
    <row r="9189" spans="1:29" ht="25.5">
      <c r="A9189" s="8" t="s">
        <v>790</v>
      </c>
      <c r="B9189" s="17" t="s">
        <v>7736</v>
      </c>
      <c r="C9189" s="13">
        <v>34418</v>
      </c>
      <c r="D9189" s="13" t="s">
        <v>8463</v>
      </c>
      <c r="E9189" s="10" t="s">
        <v>257</v>
      </c>
      <c r="F9189" s="10" t="s">
        <v>1398</v>
      </c>
      <c r="H9189" s="2" t="s">
        <v>56</v>
      </c>
      <c r="K9189" s="18">
        <v>1</v>
      </c>
      <c r="L9189" s="18">
        <v>0</v>
      </c>
      <c r="Q9189" s="18">
        <v>0</v>
      </c>
      <c r="V9189" s="22">
        <f>3.8/5</f>
        <v>0.76</v>
      </c>
      <c r="X9189" s="3">
        <v>2</v>
      </c>
      <c r="AB9189" s="18">
        <f t="shared" si="286"/>
        <v>1994</v>
      </c>
      <c r="AC9189" s="22">
        <f t="shared" si="287"/>
        <v>0.58000000000000007</v>
      </c>
    </row>
    <row r="9190" spans="1:29">
      <c r="A9190" s="8" t="s">
        <v>821</v>
      </c>
      <c r="B9190" s="17" t="s">
        <v>7736</v>
      </c>
      <c r="C9190" s="13">
        <v>34411</v>
      </c>
      <c r="D9190" s="13" t="s">
        <v>8463</v>
      </c>
      <c r="E9190" s="10" t="s">
        <v>228</v>
      </c>
      <c r="F9190" s="10" t="s">
        <v>228</v>
      </c>
      <c r="G9190" s="11" t="s">
        <v>1171</v>
      </c>
      <c r="H9190" s="2" t="s">
        <v>149</v>
      </c>
      <c r="K9190" s="18">
        <v>2</v>
      </c>
      <c r="L9190" s="18">
        <v>0</v>
      </c>
      <c r="Q9190" s="18">
        <v>0</v>
      </c>
      <c r="V9190" s="22">
        <f>3.77/5</f>
        <v>0.754</v>
      </c>
      <c r="X9190" s="3">
        <v>4</v>
      </c>
      <c r="Z9190" s="23">
        <v>46.5</v>
      </c>
      <c r="AB9190" s="18">
        <f t="shared" si="286"/>
        <v>1994</v>
      </c>
      <c r="AC9190" s="22">
        <f t="shared" si="287"/>
        <v>0.77700000000000002</v>
      </c>
    </row>
    <row r="9191" spans="1:29">
      <c r="A9191" s="8" t="s">
        <v>2788</v>
      </c>
      <c r="B9191" s="17" t="s">
        <v>7756</v>
      </c>
      <c r="C9191" s="13">
        <v>34411</v>
      </c>
      <c r="D9191" s="13" t="s">
        <v>8463</v>
      </c>
      <c r="E9191" s="10" t="s">
        <v>455</v>
      </c>
      <c r="F9191" s="10" t="s">
        <v>455</v>
      </c>
      <c r="G9191" s="11" t="s">
        <v>1688</v>
      </c>
      <c r="H9191" s="2" t="s">
        <v>150</v>
      </c>
      <c r="K9191" s="18">
        <v>0</v>
      </c>
      <c r="L9191" s="18">
        <v>0</v>
      </c>
      <c r="Q9191" s="18">
        <v>0</v>
      </c>
      <c r="V9191" s="22">
        <f>2.42/5</f>
        <v>0.48399999999999999</v>
      </c>
      <c r="X9191" s="3">
        <v>2</v>
      </c>
      <c r="Z9191" s="23">
        <v>0.75</v>
      </c>
      <c r="AB9191" s="18">
        <f t="shared" si="286"/>
        <v>1994</v>
      </c>
      <c r="AC9191" s="22">
        <f t="shared" si="287"/>
        <v>0.442</v>
      </c>
    </row>
    <row r="9192" spans="1:29">
      <c r="A9192" s="8" t="s">
        <v>10939</v>
      </c>
      <c r="B9192" s="17" t="s">
        <v>10323</v>
      </c>
      <c r="C9192" s="13">
        <v>34411</v>
      </c>
      <c r="D9192" s="13" t="s">
        <v>8463</v>
      </c>
      <c r="E9192" s="10" t="s">
        <v>10940</v>
      </c>
      <c r="F9192" s="10" t="s">
        <v>10940</v>
      </c>
      <c r="H9192" s="2" t="s">
        <v>67</v>
      </c>
      <c r="K9192" s="18">
        <v>0</v>
      </c>
      <c r="L9192" s="18">
        <v>0</v>
      </c>
      <c r="Q9192" s="18">
        <v>0</v>
      </c>
      <c r="V9192" s="22">
        <f>1.7/5</f>
        <v>0.33999999999999997</v>
      </c>
      <c r="X9192" s="3">
        <v>2</v>
      </c>
      <c r="AB9192" s="18">
        <f t="shared" si="286"/>
        <v>1994</v>
      </c>
      <c r="AC9192" s="22">
        <f t="shared" si="287"/>
        <v>0.37</v>
      </c>
    </row>
    <row r="9193" spans="1:29">
      <c r="A9193" s="8" t="s">
        <v>632</v>
      </c>
      <c r="B9193" s="17" t="s">
        <v>7736</v>
      </c>
      <c r="C9193" s="13">
        <v>34410</v>
      </c>
      <c r="D9193" s="13" t="s">
        <v>8465</v>
      </c>
      <c r="E9193" s="10" t="s">
        <v>1240</v>
      </c>
      <c r="F9193" s="10" t="s">
        <v>1240</v>
      </c>
      <c r="G9193" s="11" t="s">
        <v>1277</v>
      </c>
      <c r="H9193" s="2" t="s">
        <v>153</v>
      </c>
      <c r="L9193" s="18">
        <v>0</v>
      </c>
      <c r="Q9193" s="18">
        <v>0</v>
      </c>
      <c r="U9193" s="22">
        <v>0.61</v>
      </c>
      <c r="V9193" s="22">
        <f>3.34/5</f>
        <v>0.66799999999999993</v>
      </c>
      <c r="X9193" s="3">
        <v>2</v>
      </c>
      <c r="Z9193" s="23">
        <v>1.5</v>
      </c>
      <c r="AB9193" s="18">
        <f t="shared" si="286"/>
        <v>1994</v>
      </c>
      <c r="AC9193" s="22">
        <f t="shared" si="287"/>
        <v>0.55933333333333335</v>
      </c>
    </row>
    <row r="9194" spans="1:29">
      <c r="A9194" s="8" t="s">
        <v>6830</v>
      </c>
      <c r="B9194" s="17" t="s">
        <v>7800</v>
      </c>
      <c r="C9194" s="13">
        <v>34408</v>
      </c>
      <c r="D9194" s="13" t="s">
        <v>8465</v>
      </c>
      <c r="E9194" s="10" t="s">
        <v>1784</v>
      </c>
      <c r="F9194" s="10" t="s">
        <v>1784</v>
      </c>
      <c r="G9194" s="11" t="s">
        <v>1785</v>
      </c>
      <c r="H9194" s="2" t="s">
        <v>1720</v>
      </c>
      <c r="L9194" s="18">
        <v>0</v>
      </c>
      <c r="Q9194" s="18">
        <v>0</v>
      </c>
      <c r="V9194" s="22">
        <f>3.26/5</f>
        <v>0.65199999999999991</v>
      </c>
      <c r="X9194" s="3">
        <v>3</v>
      </c>
      <c r="Z9194" s="23">
        <v>32.5</v>
      </c>
      <c r="AB9194" s="18">
        <f t="shared" si="286"/>
        <v>1994</v>
      </c>
      <c r="AC9194" s="22">
        <f t="shared" si="287"/>
        <v>0.62599999999999989</v>
      </c>
    </row>
    <row r="9195" spans="1:29">
      <c r="A9195" s="8" t="s">
        <v>13144</v>
      </c>
      <c r="B9195" s="17" t="s">
        <v>13140</v>
      </c>
      <c r="C9195" s="13">
        <v>34405</v>
      </c>
      <c r="D9195" s="13" t="s">
        <v>8463</v>
      </c>
      <c r="E9195" s="10" t="s">
        <v>8009</v>
      </c>
      <c r="F9195" s="10" t="s">
        <v>8009</v>
      </c>
      <c r="H9195" s="2" t="s">
        <v>1050</v>
      </c>
      <c r="K9195" s="18">
        <v>0</v>
      </c>
      <c r="L9195" s="18">
        <v>0</v>
      </c>
      <c r="Q9195" s="18">
        <v>0</v>
      </c>
      <c r="V9195" s="22">
        <f>4.1/5</f>
        <v>0.82</v>
      </c>
      <c r="X9195" s="3">
        <v>2</v>
      </c>
      <c r="Z9195" s="23">
        <v>2</v>
      </c>
      <c r="AB9195" s="18">
        <f t="shared" si="286"/>
        <v>1994</v>
      </c>
      <c r="AC9195" s="22">
        <f t="shared" si="287"/>
        <v>0.61</v>
      </c>
    </row>
    <row r="9196" spans="1:29">
      <c r="A9196" s="8" t="s">
        <v>11822</v>
      </c>
      <c r="B9196" s="17" t="s">
        <v>7736</v>
      </c>
      <c r="C9196" s="13">
        <v>34404</v>
      </c>
      <c r="D9196" s="13" t="s">
        <v>8463</v>
      </c>
      <c r="E9196" s="10" t="s">
        <v>6575</v>
      </c>
      <c r="F9196" s="10" t="s">
        <v>11823</v>
      </c>
      <c r="H9196" s="2" t="s">
        <v>75</v>
      </c>
      <c r="K9196" s="18">
        <v>2</v>
      </c>
      <c r="L9196" s="18">
        <v>0</v>
      </c>
      <c r="Q9196" s="18">
        <v>0</v>
      </c>
      <c r="V9196" s="22">
        <f>3.33/5</f>
        <v>0.66600000000000004</v>
      </c>
      <c r="X9196" s="3">
        <v>3</v>
      </c>
      <c r="Z9196" s="23">
        <v>34</v>
      </c>
      <c r="AB9196" s="18">
        <f t="shared" si="286"/>
        <v>1994</v>
      </c>
      <c r="AC9196" s="22">
        <f t="shared" si="287"/>
        <v>0.63300000000000001</v>
      </c>
    </row>
    <row r="9197" spans="1:29">
      <c r="A9197" s="8" t="s">
        <v>503</v>
      </c>
      <c r="B9197" s="17" t="s">
        <v>7731</v>
      </c>
      <c r="C9197" s="13">
        <v>34404</v>
      </c>
      <c r="D9197" s="13" t="s">
        <v>8465</v>
      </c>
      <c r="E9197" s="10" t="s">
        <v>170</v>
      </c>
      <c r="F9197" s="10" t="s">
        <v>170</v>
      </c>
      <c r="G9197" s="11" t="s">
        <v>502</v>
      </c>
      <c r="H9197" s="2" t="s">
        <v>459</v>
      </c>
      <c r="L9197" s="18">
        <v>0</v>
      </c>
      <c r="Q9197" s="18">
        <v>0</v>
      </c>
      <c r="V9197" s="22">
        <f>3.38/5</f>
        <v>0.67599999999999993</v>
      </c>
      <c r="X9197" s="3">
        <v>2</v>
      </c>
      <c r="Z9197" s="23">
        <v>0.96666666666666601</v>
      </c>
      <c r="AB9197" s="18">
        <f t="shared" si="286"/>
        <v>1994</v>
      </c>
      <c r="AC9197" s="22">
        <f t="shared" si="287"/>
        <v>0.53800000000000003</v>
      </c>
    </row>
    <row r="9198" spans="1:29" ht="25.5">
      <c r="A9198" s="8" t="s">
        <v>222</v>
      </c>
      <c r="B9198" s="17" t="s">
        <v>7734</v>
      </c>
      <c r="C9198" s="12">
        <v>34394</v>
      </c>
      <c r="D9198" s="13" t="s">
        <v>8465</v>
      </c>
      <c r="E9198" s="10" t="s">
        <v>86</v>
      </c>
      <c r="F9198" s="10" t="s">
        <v>169</v>
      </c>
      <c r="G9198" s="11" t="s">
        <v>134</v>
      </c>
      <c r="H9198" s="2" t="s">
        <v>80</v>
      </c>
      <c r="L9198" s="18">
        <v>0</v>
      </c>
      <c r="Q9198" s="18">
        <v>0</v>
      </c>
      <c r="V9198" s="22">
        <f>3.8/5</f>
        <v>0.76</v>
      </c>
      <c r="X9198" s="3">
        <v>4</v>
      </c>
      <c r="Z9198" s="23">
        <v>6</v>
      </c>
      <c r="AB9198" s="18">
        <f t="shared" si="286"/>
        <v>1994</v>
      </c>
      <c r="AC9198" s="22">
        <f t="shared" si="287"/>
        <v>0.78</v>
      </c>
    </row>
    <row r="9199" spans="1:29">
      <c r="A9199" s="8" t="s">
        <v>6841</v>
      </c>
      <c r="B9199" s="17" t="s">
        <v>7800</v>
      </c>
      <c r="C9199" s="12">
        <v>34394</v>
      </c>
      <c r="D9199" s="13" t="s">
        <v>8465</v>
      </c>
      <c r="E9199" s="10" t="s">
        <v>6884</v>
      </c>
      <c r="F9199" s="10" t="s">
        <v>6905</v>
      </c>
      <c r="G9199" s="11" t="s">
        <v>5594</v>
      </c>
      <c r="H9199" s="2" t="s">
        <v>61</v>
      </c>
      <c r="L9199" s="18">
        <v>1</v>
      </c>
      <c r="N9199" s="13">
        <v>43955</v>
      </c>
      <c r="O9199" s="29">
        <v>0.75</v>
      </c>
      <c r="P9199" s="18" t="s">
        <v>1107</v>
      </c>
      <c r="Q9199" s="18">
        <v>0</v>
      </c>
      <c r="U9199" s="22">
        <v>0.94</v>
      </c>
      <c r="V9199" s="22">
        <f>4.33/5</f>
        <v>0.86599999999999999</v>
      </c>
      <c r="W9199" s="14" t="s">
        <v>7777</v>
      </c>
      <c r="X9199" s="3">
        <v>3</v>
      </c>
      <c r="Z9199" s="23">
        <v>39</v>
      </c>
      <c r="AB9199" s="18">
        <f t="shared" si="286"/>
        <v>1994</v>
      </c>
      <c r="AC9199" s="22">
        <f t="shared" si="287"/>
        <v>0.80200000000000005</v>
      </c>
    </row>
    <row r="9200" spans="1:29" ht="30">
      <c r="A9200" s="8" t="s">
        <v>13875</v>
      </c>
      <c r="B9200" s="17" t="s">
        <v>10323</v>
      </c>
      <c r="C9200" s="12">
        <v>34394</v>
      </c>
      <c r="D9200" s="13" t="s">
        <v>8463</v>
      </c>
      <c r="E9200" s="10" t="s">
        <v>10919</v>
      </c>
      <c r="F9200" s="10" t="s">
        <v>13872</v>
      </c>
      <c r="H9200" s="2" t="s">
        <v>21</v>
      </c>
      <c r="K9200" s="18">
        <v>0</v>
      </c>
      <c r="L9200" s="18">
        <v>0</v>
      </c>
      <c r="Q9200" s="18">
        <v>0</v>
      </c>
      <c r="V9200" s="22">
        <f>3.63/5</f>
        <v>0.72599999999999998</v>
      </c>
      <c r="X9200" s="3">
        <v>2</v>
      </c>
      <c r="Z9200" s="23">
        <v>1.5</v>
      </c>
      <c r="AB9200" s="18">
        <f t="shared" si="286"/>
        <v>1994</v>
      </c>
      <c r="AC9200" s="22">
        <f t="shared" si="287"/>
        <v>0.56299999999999994</v>
      </c>
    </row>
    <row r="9201" spans="1:29">
      <c r="A9201" s="8" t="s">
        <v>642</v>
      </c>
      <c r="B9201" s="17" t="s">
        <v>7736</v>
      </c>
      <c r="C9201" s="12">
        <v>34394</v>
      </c>
      <c r="D9201" s="13" t="s">
        <v>8465</v>
      </c>
      <c r="E9201" s="10" t="s">
        <v>1281</v>
      </c>
      <c r="F9201" s="10" t="s">
        <v>82</v>
      </c>
      <c r="H9201" s="2" t="s">
        <v>80</v>
      </c>
      <c r="L9201" s="18">
        <v>0</v>
      </c>
      <c r="Q9201" s="18">
        <v>0</v>
      </c>
      <c r="U9201" s="22">
        <v>0.72</v>
      </c>
      <c r="V9201" s="22">
        <f>3.14/5</f>
        <v>0.628</v>
      </c>
      <c r="X9201" s="3">
        <v>2</v>
      </c>
      <c r="Z9201" s="23">
        <v>11.5</v>
      </c>
      <c r="AB9201" s="18">
        <f t="shared" si="286"/>
        <v>1994</v>
      </c>
      <c r="AC9201" s="22">
        <f t="shared" si="287"/>
        <v>0.58266666666666656</v>
      </c>
    </row>
    <row r="9202" spans="1:29">
      <c r="A9202" s="8" t="s">
        <v>13858</v>
      </c>
      <c r="B9202" s="17" t="s">
        <v>10323</v>
      </c>
      <c r="C9202" s="13">
        <v>34390</v>
      </c>
      <c r="D9202" s="13" t="s">
        <v>8463</v>
      </c>
      <c r="E9202" s="10" t="s">
        <v>13859</v>
      </c>
      <c r="F9202" s="10" t="s">
        <v>13859</v>
      </c>
      <c r="G9202" s="11" t="s">
        <v>13860</v>
      </c>
      <c r="H9202" s="2" t="s">
        <v>21</v>
      </c>
      <c r="K9202" s="18">
        <v>0</v>
      </c>
      <c r="L9202" s="18">
        <v>0</v>
      </c>
      <c r="Q9202" s="18">
        <v>0</v>
      </c>
      <c r="V9202" s="22">
        <f>4/5</f>
        <v>0.8</v>
      </c>
      <c r="X9202" s="3">
        <v>2</v>
      </c>
      <c r="AB9202" s="18">
        <f t="shared" si="286"/>
        <v>1994</v>
      </c>
      <c r="AC9202" s="22">
        <f t="shared" si="287"/>
        <v>0.60000000000000009</v>
      </c>
    </row>
    <row r="9203" spans="1:29">
      <c r="A9203" s="8" t="s">
        <v>755</v>
      </c>
      <c r="B9203" s="17" t="s">
        <v>7736</v>
      </c>
      <c r="C9203" s="13">
        <v>34390</v>
      </c>
      <c r="D9203" s="13" t="s">
        <v>8463</v>
      </c>
      <c r="E9203" s="10" t="s">
        <v>1366</v>
      </c>
      <c r="F9203" s="10" t="s">
        <v>1366</v>
      </c>
      <c r="G9203" s="11" t="s">
        <v>755</v>
      </c>
      <c r="H9203" s="2" t="s">
        <v>56</v>
      </c>
      <c r="K9203" s="18">
        <v>2</v>
      </c>
      <c r="L9203" s="18">
        <v>0</v>
      </c>
      <c r="Q9203" s="18">
        <v>0</v>
      </c>
      <c r="V9203" s="22">
        <f>3/5</f>
        <v>0.6</v>
      </c>
      <c r="X9203" s="3">
        <v>2</v>
      </c>
      <c r="Z9203" s="23">
        <v>2</v>
      </c>
      <c r="AB9203" s="18">
        <f t="shared" si="286"/>
        <v>1994</v>
      </c>
      <c r="AC9203" s="22">
        <f t="shared" si="287"/>
        <v>0.5</v>
      </c>
    </row>
    <row r="9204" spans="1:29">
      <c r="A9204" s="8" t="s">
        <v>16005</v>
      </c>
      <c r="B9204" s="17" t="s">
        <v>10323</v>
      </c>
      <c r="C9204" s="13">
        <v>34390</v>
      </c>
      <c r="D9204" s="13" t="s">
        <v>8463</v>
      </c>
      <c r="E9204" s="10" t="s">
        <v>16002</v>
      </c>
      <c r="F9204" s="10" t="s">
        <v>16002</v>
      </c>
      <c r="G9204" s="11" t="s">
        <v>16000</v>
      </c>
      <c r="H9204" s="2" t="s">
        <v>1377</v>
      </c>
      <c r="K9204" s="18">
        <v>0</v>
      </c>
      <c r="L9204" s="18">
        <v>0</v>
      </c>
      <c r="Q9204" s="18">
        <v>0</v>
      </c>
      <c r="V9204" s="22">
        <f>3.63/5</f>
        <v>0.72599999999999998</v>
      </c>
      <c r="X9204" s="3">
        <v>2</v>
      </c>
      <c r="AB9204" s="18">
        <f t="shared" si="286"/>
        <v>1994</v>
      </c>
      <c r="AC9204" s="22">
        <f t="shared" si="287"/>
        <v>0.56299999999999994</v>
      </c>
    </row>
    <row r="9205" spans="1:29" ht="25.5">
      <c r="A9205" s="8" t="s">
        <v>437</v>
      </c>
      <c r="B9205" s="17" t="s">
        <v>6317</v>
      </c>
      <c r="C9205" s="13">
        <v>34388</v>
      </c>
      <c r="D9205" s="13" t="s">
        <v>8465</v>
      </c>
      <c r="E9205" s="10" t="s">
        <v>73</v>
      </c>
      <c r="F9205" s="10" t="s">
        <v>73</v>
      </c>
      <c r="G9205" s="11" t="s">
        <v>227</v>
      </c>
      <c r="H9205" s="2" t="s">
        <v>459</v>
      </c>
      <c r="L9205" s="18">
        <v>0</v>
      </c>
      <c r="Q9205" s="18">
        <v>0</v>
      </c>
      <c r="V9205" s="22">
        <f>4.05/5</f>
        <v>0.80999999999999994</v>
      </c>
      <c r="X9205" s="3">
        <v>3</v>
      </c>
      <c r="Z9205" s="23">
        <v>2</v>
      </c>
      <c r="AB9205" s="18">
        <f t="shared" si="286"/>
        <v>1994</v>
      </c>
      <c r="AC9205" s="22">
        <f t="shared" si="287"/>
        <v>0.70499999999999996</v>
      </c>
    </row>
    <row r="9206" spans="1:29" ht="30">
      <c r="A9206" s="8" t="s">
        <v>2622</v>
      </c>
      <c r="B9206" s="17" t="s">
        <v>7751</v>
      </c>
      <c r="C9206" s="13">
        <v>34387</v>
      </c>
      <c r="D9206" s="13" t="s">
        <v>8465</v>
      </c>
      <c r="E9206" s="10" t="s">
        <v>72</v>
      </c>
      <c r="F9206" s="10" t="s">
        <v>72</v>
      </c>
      <c r="G9206" s="11" t="s">
        <v>1316</v>
      </c>
      <c r="H9206" s="2" t="s">
        <v>56</v>
      </c>
      <c r="L9206" s="18">
        <v>0</v>
      </c>
      <c r="Q9206" s="18">
        <v>0</v>
      </c>
      <c r="U9206" s="22">
        <v>0.61</v>
      </c>
      <c r="V9206" s="22">
        <f>3.78/5</f>
        <v>0.75600000000000001</v>
      </c>
      <c r="X9206" s="3">
        <v>4</v>
      </c>
      <c r="Z9206" s="23">
        <v>2.5</v>
      </c>
      <c r="AB9206" s="18">
        <f t="shared" si="286"/>
        <v>1994</v>
      </c>
      <c r="AC9206" s="22">
        <f t="shared" si="287"/>
        <v>0.72200000000000009</v>
      </c>
    </row>
    <row r="9207" spans="1:29">
      <c r="A9207" s="8" t="s">
        <v>823</v>
      </c>
      <c r="B9207" s="17" t="s">
        <v>7736</v>
      </c>
      <c r="C9207" s="13">
        <v>34383</v>
      </c>
      <c r="D9207" s="13" t="s">
        <v>8463</v>
      </c>
      <c r="E9207" s="10" t="s">
        <v>1261</v>
      </c>
      <c r="F9207" s="10" t="s">
        <v>1414</v>
      </c>
      <c r="G9207" s="11" t="s">
        <v>1415</v>
      </c>
      <c r="H9207" s="2" t="s">
        <v>143</v>
      </c>
      <c r="K9207" s="18">
        <v>0</v>
      </c>
      <c r="L9207" s="18">
        <v>0</v>
      </c>
      <c r="Q9207" s="18">
        <v>0</v>
      </c>
      <c r="V9207" s="22">
        <f>2.85/5</f>
        <v>0.57000000000000006</v>
      </c>
      <c r="X9207" s="3">
        <v>2</v>
      </c>
      <c r="AB9207" s="18">
        <f t="shared" si="286"/>
        <v>1994</v>
      </c>
      <c r="AC9207" s="22">
        <f t="shared" si="287"/>
        <v>0.48500000000000004</v>
      </c>
    </row>
    <row r="9208" spans="1:29">
      <c r="A9208" s="8" t="s">
        <v>376</v>
      </c>
      <c r="B9208" s="17" t="s">
        <v>6317</v>
      </c>
      <c r="C9208" s="13">
        <v>34380</v>
      </c>
      <c r="D9208" s="13" t="s">
        <v>8465</v>
      </c>
      <c r="E9208" s="10" t="s">
        <v>73</v>
      </c>
      <c r="F9208" s="10" t="s">
        <v>73</v>
      </c>
      <c r="H9208" s="2" t="s">
        <v>21</v>
      </c>
      <c r="L9208" s="18">
        <v>0</v>
      </c>
      <c r="Q9208" s="18">
        <v>0</v>
      </c>
      <c r="V9208" s="22">
        <f>3.44/5</f>
        <v>0.68799999999999994</v>
      </c>
      <c r="X9208" s="3">
        <v>2</v>
      </c>
      <c r="Z9208" s="23">
        <v>0.6</v>
      </c>
      <c r="AB9208" s="18">
        <f t="shared" si="286"/>
        <v>1994</v>
      </c>
      <c r="AC9208" s="22">
        <f t="shared" si="287"/>
        <v>0.54400000000000004</v>
      </c>
    </row>
    <row r="9209" spans="1:29" ht="25.5">
      <c r="A9209" s="8" t="s">
        <v>766</v>
      </c>
      <c r="B9209" s="17" t="s">
        <v>7736</v>
      </c>
      <c r="C9209" s="13">
        <v>34376</v>
      </c>
      <c r="D9209" s="13" t="s">
        <v>8463</v>
      </c>
      <c r="E9209" s="10" t="s">
        <v>1294</v>
      </c>
      <c r="F9209" s="10" t="s">
        <v>1379</v>
      </c>
      <c r="H9209" s="2" t="s">
        <v>149</v>
      </c>
      <c r="K9209" s="18">
        <v>2</v>
      </c>
      <c r="L9209" s="18">
        <v>0</v>
      </c>
      <c r="Q9209" s="18">
        <v>0</v>
      </c>
      <c r="V9209" s="22">
        <f>3.22/5</f>
        <v>0.64400000000000002</v>
      </c>
      <c r="X9209" s="3">
        <v>2</v>
      </c>
      <c r="AB9209" s="18">
        <f t="shared" si="286"/>
        <v>1994</v>
      </c>
      <c r="AC9209" s="22">
        <f t="shared" si="287"/>
        <v>0.52200000000000002</v>
      </c>
    </row>
    <row r="9210" spans="1:29" ht="30">
      <c r="A9210" s="8" t="s">
        <v>10925</v>
      </c>
      <c r="B9210" s="17" t="s">
        <v>10323</v>
      </c>
      <c r="C9210" s="13">
        <v>34375</v>
      </c>
      <c r="D9210" s="13" t="s">
        <v>8463</v>
      </c>
      <c r="E9210" s="10" t="s">
        <v>10919</v>
      </c>
      <c r="F9210" s="10" t="s">
        <v>10919</v>
      </c>
      <c r="G9210" s="11" t="s">
        <v>10920</v>
      </c>
      <c r="H9210" s="2" t="s">
        <v>75</v>
      </c>
      <c r="K9210" s="18">
        <v>2</v>
      </c>
      <c r="L9210" s="18">
        <v>0</v>
      </c>
      <c r="Q9210" s="18">
        <v>0</v>
      </c>
      <c r="V9210" s="22">
        <f>3/5</f>
        <v>0.6</v>
      </c>
      <c r="X9210" s="3">
        <v>2</v>
      </c>
      <c r="AB9210" s="18">
        <f t="shared" si="286"/>
        <v>1994</v>
      </c>
      <c r="AC9210" s="22">
        <f t="shared" si="287"/>
        <v>0.5</v>
      </c>
    </row>
    <row r="9211" spans="1:29">
      <c r="A9211" s="8" t="s">
        <v>2629</v>
      </c>
      <c r="B9211" s="17" t="s">
        <v>7751</v>
      </c>
      <c r="C9211" s="13">
        <v>34367</v>
      </c>
      <c r="D9211" s="13" t="s">
        <v>8465</v>
      </c>
      <c r="E9211" s="10" t="s">
        <v>455</v>
      </c>
      <c r="F9211" s="10" t="s">
        <v>1492</v>
      </c>
      <c r="G9211" s="11" t="s">
        <v>1688</v>
      </c>
      <c r="H9211" s="2" t="s">
        <v>64</v>
      </c>
      <c r="L9211" s="18">
        <v>0</v>
      </c>
      <c r="Q9211" s="18">
        <v>0</v>
      </c>
      <c r="U9211" s="22">
        <v>0.89</v>
      </c>
      <c r="V9211" s="22">
        <f>4.31/5</f>
        <v>0.86199999999999988</v>
      </c>
      <c r="X9211" s="3">
        <v>4</v>
      </c>
      <c r="Z9211" s="23">
        <v>3</v>
      </c>
      <c r="AB9211" s="18">
        <f t="shared" si="286"/>
        <v>1994</v>
      </c>
      <c r="AC9211" s="22">
        <f t="shared" si="287"/>
        <v>0.85066666666666657</v>
      </c>
    </row>
    <row r="9212" spans="1:29">
      <c r="A9212" s="8" t="s">
        <v>1436</v>
      </c>
      <c r="B9212" s="17" t="s">
        <v>7736</v>
      </c>
      <c r="C9212" s="12">
        <v>34366</v>
      </c>
      <c r="D9212" s="13" t="s">
        <v>8465</v>
      </c>
      <c r="E9212" s="10" t="s">
        <v>54</v>
      </c>
      <c r="F9212" s="10" t="s">
        <v>66</v>
      </c>
      <c r="G9212" s="11" t="s">
        <v>656</v>
      </c>
      <c r="H9212" s="2" t="s">
        <v>153</v>
      </c>
      <c r="L9212" s="18">
        <v>0</v>
      </c>
      <c r="Q9212" s="18">
        <v>0</v>
      </c>
      <c r="U9212" s="22">
        <v>0.75</v>
      </c>
      <c r="V9212" s="22">
        <f>4.11/5</f>
        <v>0.82200000000000006</v>
      </c>
      <c r="X9212" s="3">
        <v>3</v>
      </c>
      <c r="Z9212" s="23">
        <v>1</v>
      </c>
      <c r="AB9212" s="18">
        <f t="shared" si="286"/>
        <v>1994</v>
      </c>
      <c r="AC9212" s="22">
        <f t="shared" si="287"/>
        <v>0.72400000000000009</v>
      </c>
    </row>
    <row r="9213" spans="1:29">
      <c r="A9213" s="8" t="s">
        <v>14918</v>
      </c>
      <c r="B9213" s="17" t="s">
        <v>6317</v>
      </c>
      <c r="C9213" s="12">
        <v>34366</v>
      </c>
      <c r="D9213" s="13" t="s">
        <v>8465</v>
      </c>
      <c r="E9213" s="10" t="s">
        <v>54</v>
      </c>
      <c r="F9213" s="10" t="s">
        <v>54</v>
      </c>
      <c r="H9213" s="2" t="s">
        <v>1170</v>
      </c>
      <c r="L9213" s="18">
        <v>0</v>
      </c>
      <c r="Q9213" s="18">
        <v>0</v>
      </c>
      <c r="V9213" s="22">
        <f>3.3/5</f>
        <v>0.65999999999999992</v>
      </c>
      <c r="X9213" s="3">
        <v>2</v>
      </c>
      <c r="AB9213" s="18">
        <f t="shared" si="286"/>
        <v>1994</v>
      </c>
      <c r="AC9213" s="22">
        <f t="shared" si="287"/>
        <v>0.53</v>
      </c>
    </row>
    <row r="9214" spans="1:29">
      <c r="A9214" s="8" t="s">
        <v>698</v>
      </c>
      <c r="B9214" s="17" t="s">
        <v>7736</v>
      </c>
      <c r="C9214" s="12">
        <v>34366</v>
      </c>
      <c r="D9214" s="13" t="s">
        <v>8465</v>
      </c>
      <c r="E9214" s="10" t="s">
        <v>1273</v>
      </c>
      <c r="F9214" s="10" t="s">
        <v>1329</v>
      </c>
      <c r="H9214" s="2" t="s">
        <v>56</v>
      </c>
      <c r="L9214" s="18">
        <v>0</v>
      </c>
      <c r="Q9214" s="18">
        <v>0</v>
      </c>
      <c r="U9214" s="22">
        <v>0.69</v>
      </c>
      <c r="V9214" s="22">
        <f>3.03/5</f>
        <v>0.60599999999999998</v>
      </c>
      <c r="X9214" s="3">
        <v>2</v>
      </c>
      <c r="Z9214" s="23">
        <v>3</v>
      </c>
      <c r="AB9214" s="18">
        <f t="shared" si="286"/>
        <v>1994</v>
      </c>
      <c r="AC9214" s="22">
        <f t="shared" si="287"/>
        <v>0.56533333333333324</v>
      </c>
    </row>
    <row r="9215" spans="1:29">
      <c r="A9215" s="8" t="s">
        <v>781</v>
      </c>
      <c r="B9215" s="17" t="s">
        <v>7736</v>
      </c>
      <c r="C9215" s="13">
        <v>34362</v>
      </c>
      <c r="D9215" s="13" t="s">
        <v>8463</v>
      </c>
      <c r="E9215" s="10" t="s">
        <v>228</v>
      </c>
      <c r="F9215" s="10" t="s">
        <v>228</v>
      </c>
      <c r="G9215" s="11" t="s">
        <v>1171</v>
      </c>
      <c r="H9215" s="2" t="s">
        <v>75</v>
      </c>
      <c r="K9215" s="18">
        <v>2</v>
      </c>
      <c r="L9215" s="18">
        <v>0</v>
      </c>
      <c r="Q9215" s="18">
        <v>0</v>
      </c>
      <c r="V9215" s="22">
        <f>3.33/5</f>
        <v>0.66600000000000004</v>
      </c>
      <c r="X9215" s="3">
        <v>3</v>
      </c>
      <c r="Z9215" s="23">
        <v>50</v>
      </c>
      <c r="AB9215" s="18">
        <f t="shared" si="286"/>
        <v>1994</v>
      </c>
      <c r="AC9215" s="22">
        <f t="shared" si="287"/>
        <v>0.63300000000000001</v>
      </c>
    </row>
    <row r="9216" spans="1:29" ht="25.5">
      <c r="A9216" s="8" t="s">
        <v>750</v>
      </c>
      <c r="B9216" s="17" t="s">
        <v>7736</v>
      </c>
      <c r="C9216" s="13">
        <v>34362</v>
      </c>
      <c r="D9216" s="13" t="s">
        <v>8463</v>
      </c>
      <c r="E9216" s="10" t="s">
        <v>1359</v>
      </c>
      <c r="F9216" s="10" t="s">
        <v>1359</v>
      </c>
      <c r="H9216" s="2" t="s">
        <v>459</v>
      </c>
      <c r="K9216" s="18">
        <v>2</v>
      </c>
      <c r="L9216" s="18">
        <v>0</v>
      </c>
      <c r="Q9216" s="18">
        <v>0</v>
      </c>
      <c r="V9216" s="22">
        <f>2.07/5</f>
        <v>0.41399999999999998</v>
      </c>
      <c r="X9216" s="3">
        <v>2</v>
      </c>
      <c r="AB9216" s="18">
        <f t="shared" si="286"/>
        <v>1994</v>
      </c>
      <c r="AC9216" s="22">
        <f t="shared" si="287"/>
        <v>0.40700000000000003</v>
      </c>
    </row>
    <row r="9217" spans="1:29" ht="25.5">
      <c r="A9217" s="8" t="s">
        <v>832</v>
      </c>
      <c r="B9217" s="17" t="s">
        <v>7736</v>
      </c>
      <c r="C9217" s="13">
        <v>34355</v>
      </c>
      <c r="D9217" s="13" t="s">
        <v>8463</v>
      </c>
      <c r="E9217" s="10" t="s">
        <v>86</v>
      </c>
      <c r="F9217" s="10" t="s">
        <v>1069</v>
      </c>
      <c r="G9217" s="11" t="s">
        <v>305</v>
      </c>
      <c r="H9217" s="2" t="s">
        <v>75</v>
      </c>
      <c r="K9217" s="18">
        <v>2</v>
      </c>
      <c r="L9217" s="18">
        <v>0</v>
      </c>
      <c r="Q9217" s="18">
        <v>0</v>
      </c>
      <c r="U9217" s="22">
        <v>0.5</v>
      </c>
      <c r="V9217" s="22">
        <f>3.86/5</f>
        <v>0.77200000000000002</v>
      </c>
      <c r="X9217" s="3">
        <v>4</v>
      </c>
      <c r="Z9217" s="23">
        <v>37</v>
      </c>
      <c r="AB9217" s="18">
        <f t="shared" ref="AB9217:AB9280" si="288">IFERROR(YEAR(C9217), "Early Access")</f>
        <v>1994</v>
      </c>
      <c r="AC9217" s="22">
        <f t="shared" ref="AC9217:AC9280" si="289">AVERAGE(T9217, U9217, V9217, IF(ISBLANK(X9217), X9217, X9217/5))</f>
        <v>0.69066666666666665</v>
      </c>
    </row>
    <row r="9218" spans="1:29" ht="38.25">
      <c r="A9218" s="8" t="s">
        <v>1441</v>
      </c>
      <c r="B9218" s="17" t="s">
        <v>7736</v>
      </c>
      <c r="C9218" s="13">
        <v>34341</v>
      </c>
      <c r="D9218" s="13" t="s">
        <v>8467</v>
      </c>
      <c r="E9218" s="10" t="s">
        <v>72</v>
      </c>
      <c r="F9218" s="10" t="s">
        <v>72</v>
      </c>
      <c r="G9218" s="11" t="s">
        <v>230</v>
      </c>
      <c r="H9218" s="2" t="s">
        <v>21</v>
      </c>
      <c r="L9218" s="18">
        <v>0</v>
      </c>
      <c r="Q9218" s="18">
        <v>0</v>
      </c>
      <c r="V9218" s="22">
        <f>3.72/5</f>
        <v>0.74399999999999999</v>
      </c>
      <c r="X9218" s="3">
        <v>3</v>
      </c>
      <c r="Z9218" s="23">
        <v>5</v>
      </c>
      <c r="AB9218" s="18">
        <f t="shared" si="288"/>
        <v>1994</v>
      </c>
      <c r="AC9218" s="22">
        <f t="shared" si="289"/>
        <v>0.67199999999999993</v>
      </c>
    </row>
    <row r="9219" spans="1:29">
      <c r="A9219" s="8" t="s">
        <v>6751</v>
      </c>
      <c r="B9219" s="17" t="s">
        <v>7800</v>
      </c>
      <c r="C9219" s="13">
        <v>34341</v>
      </c>
      <c r="D9219" s="13" t="s">
        <v>8465</v>
      </c>
      <c r="E9219" s="10" t="s">
        <v>6884</v>
      </c>
      <c r="F9219" s="10" t="s">
        <v>6935</v>
      </c>
      <c r="H9219" s="2" t="s">
        <v>67</v>
      </c>
      <c r="L9219" s="18">
        <v>1</v>
      </c>
      <c r="N9219" s="13">
        <v>41078</v>
      </c>
      <c r="O9219" s="29">
        <v>0</v>
      </c>
      <c r="P9219" s="18" t="s">
        <v>1107</v>
      </c>
      <c r="Q9219" s="18">
        <v>0</v>
      </c>
      <c r="U9219" s="22">
        <v>0.8</v>
      </c>
      <c r="V9219" s="22">
        <f>3.41/5</f>
        <v>0.68200000000000005</v>
      </c>
      <c r="W9219" s="14" t="s">
        <v>7778</v>
      </c>
      <c r="X9219" s="3">
        <v>2</v>
      </c>
      <c r="Z9219" s="23">
        <v>6</v>
      </c>
      <c r="AB9219" s="18">
        <f t="shared" si="288"/>
        <v>1994</v>
      </c>
      <c r="AC9219" s="22">
        <f t="shared" si="289"/>
        <v>0.62733333333333341</v>
      </c>
    </row>
    <row r="9220" spans="1:29" ht="25.5">
      <c r="A9220" s="8" t="s">
        <v>4173</v>
      </c>
      <c r="B9220" s="17" t="s">
        <v>7800</v>
      </c>
      <c r="C9220" s="13">
        <v>34336</v>
      </c>
      <c r="D9220" s="13" t="s">
        <v>8465</v>
      </c>
      <c r="E9220" s="10" t="s">
        <v>2659</v>
      </c>
      <c r="F9220" s="10" t="s">
        <v>4157</v>
      </c>
      <c r="H9220" s="2" t="s">
        <v>67</v>
      </c>
      <c r="L9220" s="18">
        <v>1</v>
      </c>
      <c r="N9220" s="13">
        <v>42010</v>
      </c>
      <c r="P9220" s="18" t="s">
        <v>1107</v>
      </c>
      <c r="Q9220" s="18">
        <v>0</v>
      </c>
      <c r="U9220" s="22">
        <v>0.7</v>
      </c>
      <c r="V9220" s="22">
        <f>3.78/5</f>
        <v>0.75600000000000001</v>
      </c>
      <c r="W9220" s="14" t="s">
        <v>7777</v>
      </c>
      <c r="X9220" s="3">
        <v>2</v>
      </c>
      <c r="Z9220" s="23">
        <v>5</v>
      </c>
      <c r="AB9220" s="18">
        <f t="shared" si="288"/>
        <v>1994</v>
      </c>
      <c r="AC9220" s="22">
        <f t="shared" si="289"/>
        <v>0.61866666666666659</v>
      </c>
    </row>
    <row r="9221" spans="1:29">
      <c r="A9221" s="8" t="s">
        <v>9623</v>
      </c>
      <c r="B9221" s="17" t="s">
        <v>7800</v>
      </c>
      <c r="C9221" s="12">
        <v>34335</v>
      </c>
      <c r="D9221" s="13" t="s">
        <v>8465</v>
      </c>
      <c r="E9221" s="10" t="s">
        <v>9603</v>
      </c>
      <c r="F9221" s="10" t="s">
        <v>9624</v>
      </c>
      <c r="H9221" s="2" t="s">
        <v>1050</v>
      </c>
      <c r="L9221" s="18">
        <v>0</v>
      </c>
      <c r="Q9221" s="18">
        <v>0</v>
      </c>
      <c r="V9221" s="22">
        <f>3.92/5</f>
        <v>0.78400000000000003</v>
      </c>
      <c r="X9221" s="3">
        <v>2</v>
      </c>
      <c r="Z9221" s="23">
        <f>54/60</f>
        <v>0.9</v>
      </c>
      <c r="AB9221" s="18">
        <f t="shared" si="288"/>
        <v>1994</v>
      </c>
      <c r="AC9221" s="22">
        <f t="shared" si="289"/>
        <v>0.59200000000000008</v>
      </c>
    </row>
    <row r="9222" spans="1:29">
      <c r="A9222" s="8" t="s">
        <v>606</v>
      </c>
      <c r="B9222" s="17" t="s">
        <v>7751</v>
      </c>
      <c r="C9222" s="12">
        <v>34335</v>
      </c>
      <c r="D9222" s="13" t="s">
        <v>8465</v>
      </c>
      <c r="E9222" s="10" t="s">
        <v>455</v>
      </c>
      <c r="F9222" s="10" t="s">
        <v>2658</v>
      </c>
      <c r="G9222" s="11" t="s">
        <v>606</v>
      </c>
      <c r="H9222" s="2" t="s">
        <v>171</v>
      </c>
      <c r="L9222" s="18">
        <v>0</v>
      </c>
      <c r="Q9222" s="18">
        <v>0</v>
      </c>
      <c r="U9222" s="22">
        <v>0.76</v>
      </c>
      <c r="V9222" s="22">
        <f>3.88/5</f>
        <v>0.77600000000000002</v>
      </c>
      <c r="X9222" s="3">
        <v>4</v>
      </c>
      <c r="Z9222" s="23">
        <v>18</v>
      </c>
      <c r="AB9222" s="18">
        <f t="shared" si="288"/>
        <v>1994</v>
      </c>
      <c r="AC9222" s="22">
        <f t="shared" si="289"/>
        <v>0.77866666666666673</v>
      </c>
    </row>
    <row r="9223" spans="1:29" ht="30">
      <c r="A9223" s="8" t="s">
        <v>2785</v>
      </c>
      <c r="B9223" s="17" t="s">
        <v>7756</v>
      </c>
      <c r="C9223" s="12">
        <v>34335</v>
      </c>
      <c r="D9223" s="13" t="s">
        <v>8465</v>
      </c>
      <c r="E9223" s="10" t="s">
        <v>455</v>
      </c>
      <c r="F9223" s="10" t="s">
        <v>2677</v>
      </c>
      <c r="G9223" s="11" t="s">
        <v>1661</v>
      </c>
      <c r="H9223" s="2" t="s">
        <v>75</v>
      </c>
      <c r="L9223" s="18">
        <v>0</v>
      </c>
      <c r="Q9223" s="18">
        <v>0</v>
      </c>
      <c r="V9223" s="22">
        <f>4.04/5</f>
        <v>0.80800000000000005</v>
      </c>
      <c r="X9223" s="3">
        <v>3</v>
      </c>
      <c r="Z9223" s="23">
        <v>16</v>
      </c>
      <c r="AB9223" s="18">
        <f t="shared" si="288"/>
        <v>1994</v>
      </c>
      <c r="AC9223" s="22">
        <f t="shared" si="289"/>
        <v>0.70399999999999996</v>
      </c>
    </row>
    <row r="9224" spans="1:29" ht="25.5">
      <c r="A9224" s="8" t="s">
        <v>688</v>
      </c>
      <c r="B9224" s="17" t="s">
        <v>7736</v>
      </c>
      <c r="C9224" s="12">
        <v>34335</v>
      </c>
      <c r="D9224" s="13" t="s">
        <v>8465</v>
      </c>
      <c r="E9224" s="10" t="s">
        <v>72</v>
      </c>
      <c r="F9224" s="10" t="s">
        <v>72</v>
      </c>
      <c r="G9224" s="11" t="s">
        <v>207</v>
      </c>
      <c r="H9224" s="2" t="s">
        <v>153</v>
      </c>
      <c r="L9224" s="18">
        <v>0</v>
      </c>
      <c r="Q9224" s="18">
        <v>0</v>
      </c>
      <c r="U9224" s="22">
        <v>0.84</v>
      </c>
      <c r="V9224" s="22">
        <f>3.86/5</f>
        <v>0.77200000000000002</v>
      </c>
      <c r="X9224" s="3">
        <v>3</v>
      </c>
      <c r="Z9224" s="23">
        <v>3</v>
      </c>
      <c r="AB9224" s="18">
        <f t="shared" si="288"/>
        <v>1994</v>
      </c>
      <c r="AC9224" s="22">
        <f t="shared" si="289"/>
        <v>0.7373333333333334</v>
      </c>
    </row>
    <row r="9225" spans="1:29">
      <c r="A9225" s="8" t="s">
        <v>343</v>
      </c>
      <c r="B9225" s="17" t="s">
        <v>6317</v>
      </c>
      <c r="C9225" s="12">
        <v>34335</v>
      </c>
      <c r="D9225" s="13" t="s">
        <v>8465</v>
      </c>
      <c r="E9225" s="10" t="s">
        <v>468</v>
      </c>
      <c r="F9225" s="10" t="s">
        <v>54</v>
      </c>
      <c r="G9225" s="11" t="s">
        <v>330</v>
      </c>
      <c r="H9225" s="2" t="s">
        <v>21</v>
      </c>
      <c r="L9225" s="18">
        <v>0</v>
      </c>
      <c r="Q9225" s="18">
        <v>0</v>
      </c>
      <c r="V9225" s="22">
        <f>4/5</f>
        <v>0.8</v>
      </c>
      <c r="X9225" s="3">
        <v>3</v>
      </c>
      <c r="Z9225" s="23">
        <v>0.75</v>
      </c>
      <c r="AB9225" s="18">
        <f t="shared" si="288"/>
        <v>1994</v>
      </c>
      <c r="AC9225" s="22">
        <f t="shared" si="289"/>
        <v>0.7</v>
      </c>
    </row>
    <row r="9226" spans="1:29">
      <c r="A9226" s="8" t="s">
        <v>127</v>
      </c>
      <c r="B9226" s="17" t="s">
        <v>6317</v>
      </c>
      <c r="C9226" s="12">
        <v>34335</v>
      </c>
      <c r="D9226" s="13" t="s">
        <v>8465</v>
      </c>
      <c r="E9226" s="10" t="s">
        <v>231</v>
      </c>
      <c r="F9226" s="10" t="s">
        <v>163</v>
      </c>
      <c r="G9226" s="11" t="s">
        <v>127</v>
      </c>
      <c r="H9226" s="2" t="s">
        <v>153</v>
      </c>
      <c r="L9226" s="18">
        <v>0</v>
      </c>
      <c r="Q9226" s="18">
        <v>0</v>
      </c>
      <c r="V9226" s="22">
        <f>3.9/5</f>
        <v>0.78</v>
      </c>
      <c r="X9226" s="3">
        <v>3</v>
      </c>
      <c r="Z9226" s="23">
        <v>1</v>
      </c>
      <c r="AB9226" s="18">
        <f t="shared" si="288"/>
        <v>1994</v>
      </c>
      <c r="AC9226" s="22">
        <f t="shared" si="289"/>
        <v>0.69</v>
      </c>
    </row>
    <row r="9227" spans="1:29" ht="25.5">
      <c r="A9227" s="8" t="s">
        <v>235</v>
      </c>
      <c r="B9227" s="17" t="s">
        <v>7734</v>
      </c>
      <c r="C9227" s="12">
        <v>34335</v>
      </c>
      <c r="D9227" s="13" t="s">
        <v>8465</v>
      </c>
      <c r="E9227" s="10" t="s">
        <v>73</v>
      </c>
      <c r="F9227" s="10" t="s">
        <v>73</v>
      </c>
      <c r="G9227" s="11" t="s">
        <v>236</v>
      </c>
      <c r="H9227" s="2" t="s">
        <v>64</v>
      </c>
      <c r="L9227" s="18">
        <v>0</v>
      </c>
      <c r="Q9227" s="18">
        <v>0</v>
      </c>
      <c r="V9227" s="22">
        <f>3.85/5</f>
        <v>0.77</v>
      </c>
      <c r="X9227" s="3">
        <v>3</v>
      </c>
      <c r="Z9227" s="23">
        <v>1</v>
      </c>
      <c r="AB9227" s="18">
        <f t="shared" si="288"/>
        <v>1994</v>
      </c>
      <c r="AC9227" s="22">
        <f t="shared" si="289"/>
        <v>0.68500000000000005</v>
      </c>
    </row>
    <row r="9228" spans="1:29">
      <c r="A9228" s="8" t="s">
        <v>398</v>
      </c>
      <c r="B9228" s="17" t="s">
        <v>6317</v>
      </c>
      <c r="C9228" s="12">
        <v>34335</v>
      </c>
      <c r="D9228" s="13" t="s">
        <v>8465</v>
      </c>
      <c r="E9228" s="10" t="s">
        <v>555</v>
      </c>
      <c r="F9228" s="10" t="s">
        <v>554</v>
      </c>
      <c r="G9228" s="11" t="s">
        <v>397</v>
      </c>
      <c r="H9228" s="2" t="s">
        <v>21</v>
      </c>
      <c r="L9228" s="18">
        <v>0</v>
      </c>
      <c r="Q9228" s="18">
        <v>0</v>
      </c>
      <c r="V9228" s="22">
        <f>3.55/5</f>
        <v>0.71</v>
      </c>
      <c r="X9228" s="3">
        <v>3</v>
      </c>
      <c r="Z9228" s="23">
        <v>0.62</v>
      </c>
      <c r="AB9228" s="18">
        <f t="shared" si="288"/>
        <v>1994</v>
      </c>
      <c r="AC9228" s="22">
        <f t="shared" si="289"/>
        <v>0.65500000000000003</v>
      </c>
    </row>
    <row r="9229" spans="1:29" ht="30">
      <c r="A9229" s="8" t="s">
        <v>12737</v>
      </c>
      <c r="B9229" s="17" t="s">
        <v>12735</v>
      </c>
      <c r="C9229" s="24">
        <v>34335</v>
      </c>
      <c r="D9229" s="13" t="s">
        <v>8467</v>
      </c>
      <c r="E9229" s="10" t="s">
        <v>1634</v>
      </c>
      <c r="F9229" s="10" t="s">
        <v>1634</v>
      </c>
      <c r="G9229" s="11" t="s">
        <v>3139</v>
      </c>
      <c r="H9229" s="2" t="s">
        <v>2138</v>
      </c>
      <c r="L9229" s="18">
        <v>0</v>
      </c>
      <c r="Q9229" s="18">
        <v>0</v>
      </c>
      <c r="V9229" s="22">
        <f>3.5/5</f>
        <v>0.7</v>
      </c>
      <c r="X9229" s="3">
        <v>3</v>
      </c>
      <c r="Z9229" s="23">
        <v>5.5</v>
      </c>
      <c r="AB9229" s="18">
        <f t="shared" si="288"/>
        <v>1994</v>
      </c>
      <c r="AC9229" s="22">
        <f t="shared" si="289"/>
        <v>0.64999999999999991</v>
      </c>
    </row>
    <row r="9230" spans="1:29" ht="30">
      <c r="A9230" s="8" t="s">
        <v>9583</v>
      </c>
      <c r="B9230" s="17" t="s">
        <v>9581</v>
      </c>
      <c r="C9230" s="12">
        <v>34335</v>
      </c>
      <c r="D9230" s="13" t="s">
        <v>8467</v>
      </c>
      <c r="E9230" s="10" t="s">
        <v>1634</v>
      </c>
      <c r="F9230" s="10" t="s">
        <v>9582</v>
      </c>
      <c r="G9230" s="11" t="s">
        <v>9580</v>
      </c>
      <c r="H9230" s="2" t="s">
        <v>1054</v>
      </c>
      <c r="L9230" s="18">
        <v>0</v>
      </c>
      <c r="Q9230" s="18">
        <v>0</v>
      </c>
      <c r="V9230" s="22">
        <f>4.38/5</f>
        <v>0.876</v>
      </c>
      <c r="X9230" s="3">
        <v>2</v>
      </c>
      <c r="Z9230" s="23">
        <f>30/60</f>
        <v>0.5</v>
      </c>
      <c r="AB9230" s="18">
        <f t="shared" si="288"/>
        <v>1994</v>
      </c>
      <c r="AC9230" s="22">
        <f t="shared" si="289"/>
        <v>0.63800000000000001</v>
      </c>
    </row>
    <row r="9231" spans="1:29">
      <c r="A9231" s="8" t="s">
        <v>9264</v>
      </c>
      <c r="B9231" s="17" t="s">
        <v>7752</v>
      </c>
      <c r="C9231" s="24">
        <v>34335</v>
      </c>
      <c r="D9231" s="13" t="s">
        <v>8465</v>
      </c>
      <c r="E9231" s="10" t="s">
        <v>455</v>
      </c>
      <c r="F9231" s="10" t="s">
        <v>455</v>
      </c>
      <c r="H9231" s="2" t="s">
        <v>75</v>
      </c>
      <c r="L9231" s="18">
        <v>0</v>
      </c>
      <c r="Q9231" s="18">
        <v>0</v>
      </c>
      <c r="V9231" s="22">
        <f>4.18/5</f>
        <v>0.83599999999999997</v>
      </c>
      <c r="X9231" s="3">
        <v>2</v>
      </c>
      <c r="Z9231" s="23">
        <v>38.5</v>
      </c>
      <c r="AB9231" s="18">
        <f t="shared" si="288"/>
        <v>1994</v>
      </c>
      <c r="AC9231" s="22">
        <f t="shared" si="289"/>
        <v>0.61799999999999999</v>
      </c>
    </row>
    <row r="9232" spans="1:29" ht="30">
      <c r="A9232" s="8" t="s">
        <v>12747</v>
      </c>
      <c r="B9232" s="17" t="s">
        <v>12735</v>
      </c>
      <c r="C9232" s="24">
        <v>34335</v>
      </c>
      <c r="D9232" s="13" t="s">
        <v>8467</v>
      </c>
      <c r="E9232" s="10" t="s">
        <v>1282</v>
      </c>
      <c r="F9232" s="10" t="s">
        <v>1282</v>
      </c>
      <c r="H9232" s="2" t="s">
        <v>21</v>
      </c>
      <c r="L9232" s="18">
        <v>0</v>
      </c>
      <c r="Q9232" s="18">
        <v>0</v>
      </c>
      <c r="V9232" s="22">
        <f>4.1/5</f>
        <v>0.82</v>
      </c>
      <c r="X9232" s="3">
        <v>2</v>
      </c>
      <c r="Z9232" s="23">
        <v>1</v>
      </c>
      <c r="AB9232" s="18">
        <f t="shared" si="288"/>
        <v>1994</v>
      </c>
      <c r="AC9232" s="22">
        <f t="shared" si="289"/>
        <v>0.61</v>
      </c>
    </row>
    <row r="9233" spans="1:29">
      <c r="A9233" s="8" t="s">
        <v>14525</v>
      </c>
      <c r="B9233" s="17" t="s">
        <v>7791</v>
      </c>
      <c r="C9233" s="24">
        <v>34335</v>
      </c>
      <c r="D9233" s="13" t="s">
        <v>8465</v>
      </c>
      <c r="E9233" s="10" t="s">
        <v>14526</v>
      </c>
      <c r="F9233" s="10" t="s">
        <v>14527</v>
      </c>
      <c r="H9233" s="2" t="s">
        <v>56</v>
      </c>
      <c r="L9233" s="18">
        <v>0</v>
      </c>
      <c r="Q9233" s="18">
        <v>0</v>
      </c>
      <c r="V9233" s="22">
        <f>4/5</f>
        <v>0.8</v>
      </c>
      <c r="X9233" s="3">
        <v>2</v>
      </c>
      <c r="Z9233" s="23">
        <v>3</v>
      </c>
      <c r="AB9233" s="18">
        <f t="shared" si="288"/>
        <v>1994</v>
      </c>
      <c r="AC9233" s="22">
        <f t="shared" si="289"/>
        <v>0.60000000000000009</v>
      </c>
    </row>
    <row r="9234" spans="1:29">
      <c r="A9234" s="8" t="s">
        <v>623</v>
      </c>
      <c r="B9234" s="17" t="s">
        <v>7736</v>
      </c>
      <c r="C9234" s="12">
        <v>34335</v>
      </c>
      <c r="D9234" s="13" t="s">
        <v>8465</v>
      </c>
      <c r="E9234" s="10" t="s">
        <v>68</v>
      </c>
      <c r="F9234" s="10" t="s">
        <v>68</v>
      </c>
      <c r="G9234" s="11" t="s">
        <v>633</v>
      </c>
      <c r="H9234" s="2" t="s">
        <v>61</v>
      </c>
      <c r="L9234" s="18">
        <v>0</v>
      </c>
      <c r="Q9234" s="18">
        <v>0</v>
      </c>
      <c r="U9234" s="22">
        <v>0.78</v>
      </c>
      <c r="V9234" s="22">
        <f>3.95/5</f>
        <v>0.79</v>
      </c>
      <c r="X9234" s="3">
        <v>2</v>
      </c>
      <c r="AB9234" s="18">
        <f t="shared" si="288"/>
        <v>1994</v>
      </c>
      <c r="AC9234" s="22">
        <f t="shared" si="289"/>
        <v>0.65666666666666673</v>
      </c>
    </row>
    <row r="9235" spans="1:29">
      <c r="A9235" s="8" t="s">
        <v>1187</v>
      </c>
      <c r="B9235" s="17" t="s">
        <v>7792</v>
      </c>
      <c r="C9235" s="12">
        <v>34335</v>
      </c>
      <c r="D9235" s="13" t="s">
        <v>8465</v>
      </c>
      <c r="E9235" s="10" t="s">
        <v>1199</v>
      </c>
      <c r="F9235" s="10" t="s">
        <v>1200</v>
      </c>
      <c r="H9235" s="2" t="s">
        <v>75</v>
      </c>
      <c r="L9235" s="18">
        <v>0</v>
      </c>
      <c r="Q9235" s="18">
        <v>0</v>
      </c>
      <c r="V9235" s="22">
        <f>3.88/5</f>
        <v>0.77600000000000002</v>
      </c>
      <c r="X9235" s="3">
        <v>2</v>
      </c>
      <c r="Z9235" s="23">
        <v>23</v>
      </c>
      <c r="AB9235" s="18">
        <f t="shared" si="288"/>
        <v>1994</v>
      </c>
      <c r="AC9235" s="22">
        <f t="shared" si="289"/>
        <v>0.58800000000000008</v>
      </c>
    </row>
    <row r="9236" spans="1:29" ht="25.5">
      <c r="A9236" s="8" t="s">
        <v>1176</v>
      </c>
      <c r="B9236" s="17" t="s">
        <v>7791</v>
      </c>
      <c r="C9236" s="12">
        <v>34335</v>
      </c>
      <c r="D9236" s="13" t="s">
        <v>8465</v>
      </c>
      <c r="E9236" s="10" t="s">
        <v>1179</v>
      </c>
      <c r="F9236" s="10" t="s">
        <v>1181</v>
      </c>
      <c r="H9236" s="2" t="s">
        <v>153</v>
      </c>
      <c r="L9236" s="18">
        <v>0</v>
      </c>
      <c r="Q9236" s="18">
        <v>0</v>
      </c>
      <c r="V9236" s="22">
        <f>3.85/5</f>
        <v>0.77</v>
      </c>
      <c r="X9236" s="3">
        <v>2</v>
      </c>
      <c r="Z9236" s="23">
        <v>2</v>
      </c>
      <c r="AB9236" s="18">
        <f t="shared" si="288"/>
        <v>1994</v>
      </c>
      <c r="AC9236" s="22">
        <f t="shared" si="289"/>
        <v>0.58499999999999996</v>
      </c>
    </row>
    <row r="9237" spans="1:29" ht="30">
      <c r="A9237" s="8" t="s">
        <v>12755</v>
      </c>
      <c r="B9237" s="17" t="s">
        <v>9581</v>
      </c>
      <c r="C9237" s="24">
        <v>34335</v>
      </c>
      <c r="D9237" s="13" t="s">
        <v>8467</v>
      </c>
      <c r="E9237" s="10" t="s">
        <v>1282</v>
      </c>
      <c r="F9237" s="10" t="s">
        <v>12756</v>
      </c>
      <c r="H9237" s="2" t="s">
        <v>80</v>
      </c>
      <c r="L9237" s="18">
        <v>0</v>
      </c>
      <c r="Q9237" s="18">
        <v>0</v>
      </c>
      <c r="V9237" s="22">
        <f>3.83/5</f>
        <v>0.76600000000000001</v>
      </c>
      <c r="X9237" s="3">
        <v>2</v>
      </c>
      <c r="Z9237" s="23">
        <v>4.5</v>
      </c>
      <c r="AB9237" s="18">
        <f t="shared" si="288"/>
        <v>1994</v>
      </c>
      <c r="AC9237" s="22">
        <f t="shared" si="289"/>
        <v>0.58299999999999996</v>
      </c>
    </row>
    <row r="9238" spans="1:29" ht="25.5">
      <c r="A9238" s="8" t="s">
        <v>2685</v>
      </c>
      <c r="B9238" s="17" t="s">
        <v>7752</v>
      </c>
      <c r="C9238" s="12">
        <v>34335</v>
      </c>
      <c r="D9238" s="13" t="s">
        <v>8465</v>
      </c>
      <c r="E9238" s="10" t="s">
        <v>2699</v>
      </c>
      <c r="F9238" s="10" t="s">
        <v>81</v>
      </c>
      <c r="H9238" s="2" t="s">
        <v>21</v>
      </c>
      <c r="L9238" s="18">
        <v>0</v>
      </c>
      <c r="Q9238" s="18">
        <v>0</v>
      </c>
      <c r="V9238" s="22">
        <f>3.8/5</f>
        <v>0.76</v>
      </c>
      <c r="X9238" s="3">
        <v>2</v>
      </c>
      <c r="Z9238" s="23">
        <v>1.5</v>
      </c>
      <c r="AB9238" s="18">
        <f t="shared" si="288"/>
        <v>1994</v>
      </c>
      <c r="AC9238" s="22">
        <f t="shared" si="289"/>
        <v>0.58000000000000007</v>
      </c>
    </row>
    <row r="9239" spans="1:29">
      <c r="A9239" s="8" t="s">
        <v>716</v>
      </c>
      <c r="B9239" s="17" t="s">
        <v>7736</v>
      </c>
      <c r="C9239" s="12">
        <v>34335</v>
      </c>
      <c r="D9239" s="13" t="s">
        <v>8465</v>
      </c>
      <c r="E9239" s="10" t="s">
        <v>1281</v>
      </c>
      <c r="F9239" s="10" t="s">
        <v>1229</v>
      </c>
      <c r="H9239" s="2" t="s">
        <v>56</v>
      </c>
      <c r="L9239" s="18">
        <v>0</v>
      </c>
      <c r="Q9239" s="18">
        <v>0</v>
      </c>
      <c r="U9239" s="22">
        <v>0.77</v>
      </c>
      <c r="V9239" s="22">
        <f>3.68/5</f>
        <v>0.73599999999999999</v>
      </c>
      <c r="X9239" s="3">
        <v>2</v>
      </c>
      <c r="Z9239" s="23">
        <v>2.5</v>
      </c>
      <c r="AB9239" s="18">
        <f t="shared" si="288"/>
        <v>1994</v>
      </c>
      <c r="AC9239" s="22">
        <f t="shared" si="289"/>
        <v>0.63533333333333342</v>
      </c>
    </row>
    <row r="9240" spans="1:29">
      <c r="A9240" s="8" t="s">
        <v>8038</v>
      </c>
      <c r="B9240" s="17" t="s">
        <v>6317</v>
      </c>
      <c r="C9240" s="12">
        <v>34335</v>
      </c>
      <c r="D9240" s="13" t="s">
        <v>8465</v>
      </c>
      <c r="E9240" s="10" t="s">
        <v>158</v>
      </c>
      <c r="F9240" s="10" t="s">
        <v>158</v>
      </c>
      <c r="G9240" s="11" t="s">
        <v>8037</v>
      </c>
      <c r="H9240" s="2" t="s">
        <v>150</v>
      </c>
      <c r="L9240" s="18">
        <v>0</v>
      </c>
      <c r="Q9240" s="18">
        <v>0</v>
      </c>
      <c r="V9240" s="22">
        <f>3.67/5</f>
        <v>0.73399999999999999</v>
      </c>
      <c r="X9240" s="3">
        <v>2</v>
      </c>
      <c r="AB9240" s="18">
        <f t="shared" si="288"/>
        <v>1994</v>
      </c>
      <c r="AC9240" s="22">
        <f t="shared" si="289"/>
        <v>0.56699999999999995</v>
      </c>
    </row>
    <row r="9241" spans="1:29">
      <c r="A9241" s="8" t="s">
        <v>11923</v>
      </c>
      <c r="B9241" s="17" t="s">
        <v>6317</v>
      </c>
      <c r="C9241" s="24">
        <v>34335</v>
      </c>
      <c r="D9241" s="13" t="s">
        <v>8463</v>
      </c>
      <c r="E9241" s="10" t="s">
        <v>11920</v>
      </c>
      <c r="F9241" s="10" t="s">
        <v>11920</v>
      </c>
      <c r="G9241" s="11" t="s">
        <v>11921</v>
      </c>
      <c r="H9241" s="2" t="s">
        <v>21</v>
      </c>
      <c r="K9241" s="18">
        <v>0</v>
      </c>
      <c r="L9241" s="18">
        <v>0</v>
      </c>
      <c r="Q9241" s="18">
        <v>0</v>
      </c>
      <c r="V9241" s="22">
        <f>3.63/5</f>
        <v>0.72599999999999998</v>
      </c>
      <c r="X9241" s="3">
        <v>2</v>
      </c>
      <c r="Z9241" s="23">
        <f>25/60</f>
        <v>0.41666666666666669</v>
      </c>
      <c r="AB9241" s="18">
        <f t="shared" si="288"/>
        <v>1994</v>
      </c>
      <c r="AC9241" s="22">
        <f t="shared" si="289"/>
        <v>0.56299999999999994</v>
      </c>
    </row>
    <row r="9242" spans="1:29">
      <c r="A9242" s="8" t="s">
        <v>369</v>
      </c>
      <c r="B9242" s="17" t="s">
        <v>6317</v>
      </c>
      <c r="C9242" s="13">
        <v>34335</v>
      </c>
      <c r="D9242" s="13" t="s">
        <v>8465</v>
      </c>
      <c r="E9242" s="10" t="s">
        <v>470</v>
      </c>
      <c r="F9242" s="10" t="s">
        <v>471</v>
      </c>
      <c r="G9242" s="11" t="s">
        <v>369</v>
      </c>
      <c r="H9242" s="2" t="s">
        <v>153</v>
      </c>
      <c r="L9242" s="18">
        <v>0</v>
      </c>
      <c r="Q9242" s="18">
        <v>0</v>
      </c>
      <c r="V9242" s="22">
        <f>3.6/5</f>
        <v>0.72</v>
      </c>
      <c r="X9242" s="3">
        <v>2</v>
      </c>
      <c r="Z9242" s="23">
        <v>0.73</v>
      </c>
      <c r="AB9242" s="18">
        <f t="shared" si="288"/>
        <v>1994</v>
      </c>
      <c r="AC9242" s="22">
        <f t="shared" si="289"/>
        <v>0.56000000000000005</v>
      </c>
    </row>
    <row r="9243" spans="1:29">
      <c r="A9243" s="8" t="s">
        <v>1174</v>
      </c>
      <c r="B9243" s="17" t="s">
        <v>7791</v>
      </c>
      <c r="C9243" s="12">
        <v>34335</v>
      </c>
      <c r="D9243" s="13" t="s">
        <v>8465</v>
      </c>
      <c r="E9243" s="10" t="s">
        <v>1179</v>
      </c>
      <c r="F9243" s="10" t="s">
        <v>1180</v>
      </c>
      <c r="H9243" s="2" t="s">
        <v>67</v>
      </c>
      <c r="L9243" s="18">
        <v>0</v>
      </c>
      <c r="Q9243" s="18">
        <v>0</v>
      </c>
      <c r="V9243" s="22">
        <f>3.57/5</f>
        <v>0.71399999999999997</v>
      </c>
      <c r="X9243" s="3">
        <v>2</v>
      </c>
      <c r="Z9243" s="23">
        <v>2.5</v>
      </c>
      <c r="AB9243" s="18">
        <f t="shared" si="288"/>
        <v>1994</v>
      </c>
      <c r="AC9243" s="22">
        <f t="shared" si="289"/>
        <v>0.55699999999999994</v>
      </c>
    </row>
    <row r="9244" spans="1:29">
      <c r="A9244" s="8" t="s">
        <v>12550</v>
      </c>
      <c r="B9244" s="17" t="s">
        <v>7800</v>
      </c>
      <c r="C9244" s="24">
        <v>34335</v>
      </c>
      <c r="D9244" s="13" t="s">
        <v>8465</v>
      </c>
      <c r="E9244" s="10" t="s">
        <v>6884</v>
      </c>
      <c r="F9244" s="10" t="s">
        <v>6884</v>
      </c>
      <c r="H9244" s="2" t="s">
        <v>67</v>
      </c>
      <c r="L9244" s="18">
        <v>1</v>
      </c>
      <c r="P9244" s="18" t="s">
        <v>1107</v>
      </c>
      <c r="Q9244" s="18">
        <v>0</v>
      </c>
      <c r="V9244" s="22">
        <f>3.5/5</f>
        <v>0.7</v>
      </c>
      <c r="W9244" s="14" t="s">
        <v>7777</v>
      </c>
      <c r="X9244" s="3">
        <v>2</v>
      </c>
      <c r="Z9244" s="23">
        <v>8</v>
      </c>
      <c r="AB9244" s="18">
        <f t="shared" si="288"/>
        <v>1994</v>
      </c>
      <c r="AC9244" s="22">
        <f t="shared" si="289"/>
        <v>0.55000000000000004</v>
      </c>
    </row>
    <row r="9245" spans="1:29" ht="25.5">
      <c r="A9245" s="8" t="s">
        <v>1183</v>
      </c>
      <c r="B9245" s="17" t="s">
        <v>7792</v>
      </c>
      <c r="C9245" s="12">
        <v>34335</v>
      </c>
      <c r="D9245" s="13" t="s">
        <v>8465</v>
      </c>
      <c r="E9245" s="10" t="s">
        <v>1190</v>
      </c>
      <c r="F9245" s="10" t="s">
        <v>1191</v>
      </c>
      <c r="G9245" s="11" t="s">
        <v>445</v>
      </c>
      <c r="H9245" s="2" t="s">
        <v>171</v>
      </c>
      <c r="L9245" s="18">
        <v>0</v>
      </c>
      <c r="Q9245" s="18">
        <v>0</v>
      </c>
      <c r="V9245" s="22">
        <f>3.47/5</f>
        <v>0.69400000000000006</v>
      </c>
      <c r="X9245" s="3">
        <v>2</v>
      </c>
      <c r="AB9245" s="18">
        <f t="shared" si="288"/>
        <v>1994</v>
      </c>
      <c r="AC9245" s="22">
        <f t="shared" si="289"/>
        <v>0.54700000000000004</v>
      </c>
    </row>
    <row r="9246" spans="1:29">
      <c r="A9246" s="8" t="s">
        <v>374</v>
      </c>
      <c r="B9246" s="17" t="s">
        <v>6317</v>
      </c>
      <c r="C9246" s="12">
        <v>34335</v>
      </c>
      <c r="D9246" s="13" t="s">
        <v>8465</v>
      </c>
      <c r="E9246" s="10" t="s">
        <v>54</v>
      </c>
      <c r="F9246" s="10" t="s">
        <v>54</v>
      </c>
      <c r="H9246" s="2" t="s">
        <v>153</v>
      </c>
      <c r="L9246" s="18">
        <v>0</v>
      </c>
      <c r="Q9246" s="18">
        <v>0</v>
      </c>
      <c r="V9246" s="22">
        <f>3.4/5</f>
        <v>0.67999999999999994</v>
      </c>
      <c r="X9246" s="3">
        <v>2</v>
      </c>
      <c r="Z9246" s="23">
        <v>1</v>
      </c>
      <c r="AB9246" s="18">
        <f t="shared" si="288"/>
        <v>1994</v>
      </c>
      <c r="AC9246" s="22">
        <f t="shared" si="289"/>
        <v>0.54</v>
      </c>
    </row>
    <row r="9247" spans="1:29">
      <c r="A9247" s="8" t="s">
        <v>2522</v>
      </c>
      <c r="B9247" s="17" t="s">
        <v>7751</v>
      </c>
      <c r="C9247" s="12">
        <v>34335</v>
      </c>
      <c r="D9247" s="13" t="s">
        <v>8465</v>
      </c>
      <c r="E9247" s="10" t="s">
        <v>1259</v>
      </c>
      <c r="F9247" s="10" t="s">
        <v>2631</v>
      </c>
      <c r="G9247" s="11" t="s">
        <v>2522</v>
      </c>
      <c r="H9247" s="2" t="s">
        <v>61</v>
      </c>
      <c r="L9247" s="18">
        <v>0</v>
      </c>
      <c r="Q9247" s="18">
        <v>0</v>
      </c>
      <c r="U9247" s="22">
        <v>0.6</v>
      </c>
      <c r="V9247" s="22">
        <f>3.57/5</f>
        <v>0.71399999999999997</v>
      </c>
      <c r="X9247" s="3">
        <v>2</v>
      </c>
      <c r="Z9247" s="23">
        <v>4</v>
      </c>
      <c r="AB9247" s="18">
        <f t="shared" si="288"/>
        <v>1994</v>
      </c>
      <c r="AC9247" s="22">
        <f t="shared" si="289"/>
        <v>0.57133333333333336</v>
      </c>
    </row>
    <row r="9248" spans="1:29" ht="25.5">
      <c r="A9248" s="8" t="s">
        <v>13901</v>
      </c>
      <c r="B9248" s="17" t="s">
        <v>7751</v>
      </c>
      <c r="C9248" s="24">
        <v>34335</v>
      </c>
      <c r="D9248" s="13" t="s">
        <v>8465</v>
      </c>
      <c r="E9248" s="10" t="s">
        <v>1273</v>
      </c>
      <c r="F9248" s="10" t="s">
        <v>1273</v>
      </c>
      <c r="G9248" s="11" t="s">
        <v>13898</v>
      </c>
      <c r="H9248" s="2" t="s">
        <v>64</v>
      </c>
      <c r="L9248" s="18">
        <v>0</v>
      </c>
      <c r="Q9248" s="18">
        <v>0</v>
      </c>
      <c r="V9248" s="22">
        <f>3.27/5</f>
        <v>0.65400000000000003</v>
      </c>
      <c r="X9248" s="3">
        <v>2</v>
      </c>
      <c r="Z9248" s="23">
        <v>4</v>
      </c>
      <c r="AB9248" s="18">
        <f t="shared" si="288"/>
        <v>1994</v>
      </c>
      <c r="AC9248" s="22">
        <f t="shared" si="289"/>
        <v>0.52700000000000002</v>
      </c>
    </row>
    <row r="9249" spans="1:29" ht="38.25">
      <c r="A9249" s="8" t="s">
        <v>7532</v>
      </c>
      <c r="B9249" s="17" t="s">
        <v>7800</v>
      </c>
      <c r="C9249" s="12">
        <v>34335</v>
      </c>
      <c r="D9249" s="13" t="s">
        <v>8465</v>
      </c>
      <c r="E9249" s="10" t="s">
        <v>1259</v>
      </c>
      <c r="F9249" s="10" t="s">
        <v>2654</v>
      </c>
      <c r="G9249" s="11" t="s">
        <v>7530</v>
      </c>
      <c r="H9249" s="2" t="s">
        <v>67</v>
      </c>
      <c r="L9249" s="18">
        <v>0</v>
      </c>
      <c r="Q9249" s="18">
        <v>0</v>
      </c>
      <c r="U9249" s="22">
        <v>0.62</v>
      </c>
      <c r="V9249" s="22">
        <f>3.37/5</f>
        <v>0.67400000000000004</v>
      </c>
      <c r="X9249" s="3">
        <v>2</v>
      </c>
      <c r="Z9249" s="23">
        <v>5</v>
      </c>
      <c r="AB9249" s="18">
        <f t="shared" si="288"/>
        <v>1994</v>
      </c>
      <c r="AC9249" s="22">
        <f t="shared" si="289"/>
        <v>0.56466666666666665</v>
      </c>
    </row>
    <row r="9250" spans="1:29" ht="25.5">
      <c r="A9250" s="8" t="s">
        <v>689</v>
      </c>
      <c r="B9250" s="17" t="s">
        <v>7736</v>
      </c>
      <c r="C9250" s="12">
        <v>34335</v>
      </c>
      <c r="D9250" s="13" t="s">
        <v>8465</v>
      </c>
      <c r="E9250" s="10" t="s">
        <v>160</v>
      </c>
      <c r="F9250" s="10" t="s">
        <v>160</v>
      </c>
      <c r="G9250" s="11" t="s">
        <v>1325</v>
      </c>
      <c r="H9250" s="2" t="s">
        <v>153</v>
      </c>
      <c r="L9250" s="18">
        <v>0</v>
      </c>
      <c r="Q9250" s="18">
        <v>0</v>
      </c>
      <c r="U9250" s="22">
        <v>0.59</v>
      </c>
      <c r="V9250" s="22">
        <f>3.26/5</f>
        <v>0.65199999999999991</v>
      </c>
      <c r="X9250" s="3">
        <v>2</v>
      </c>
      <c r="Z9250" s="23">
        <v>2</v>
      </c>
      <c r="AB9250" s="18">
        <f t="shared" si="288"/>
        <v>1994</v>
      </c>
      <c r="AC9250" s="22">
        <f t="shared" si="289"/>
        <v>0.54733333333333334</v>
      </c>
    </row>
    <row r="9251" spans="1:29">
      <c r="A9251" s="8" t="s">
        <v>2569</v>
      </c>
      <c r="B9251" s="17" t="s">
        <v>6317</v>
      </c>
      <c r="C9251" s="24">
        <v>34335</v>
      </c>
      <c r="D9251" s="13" t="s">
        <v>8465</v>
      </c>
      <c r="E9251" s="10" t="s">
        <v>455</v>
      </c>
      <c r="F9251" s="10" t="s">
        <v>10994</v>
      </c>
      <c r="G9251" s="11" t="s">
        <v>2569</v>
      </c>
      <c r="H9251" s="2" t="s">
        <v>1170</v>
      </c>
      <c r="L9251" s="18">
        <v>0</v>
      </c>
      <c r="Q9251" s="18">
        <v>0</v>
      </c>
      <c r="V9251" s="22">
        <f>3.06/5</f>
        <v>0.61199999999999999</v>
      </c>
      <c r="X9251" s="3">
        <v>2</v>
      </c>
      <c r="Z9251" s="23">
        <f>20/60</f>
        <v>0.33333333333333331</v>
      </c>
      <c r="AB9251" s="18">
        <f t="shared" si="288"/>
        <v>1994</v>
      </c>
      <c r="AC9251" s="22">
        <f t="shared" si="289"/>
        <v>0.50600000000000001</v>
      </c>
    </row>
    <row r="9252" spans="1:29" ht="30">
      <c r="A9252" s="8" t="s">
        <v>2540</v>
      </c>
      <c r="B9252" s="17" t="s">
        <v>7751</v>
      </c>
      <c r="C9252" s="12">
        <v>34335</v>
      </c>
      <c r="D9252" s="13" t="s">
        <v>8467</v>
      </c>
      <c r="E9252" s="10" t="s">
        <v>2643</v>
      </c>
      <c r="F9252" s="10" t="s">
        <v>2644</v>
      </c>
      <c r="G9252" s="11" t="s">
        <v>2645</v>
      </c>
      <c r="H9252" s="2" t="s">
        <v>21</v>
      </c>
      <c r="L9252" s="18">
        <v>0</v>
      </c>
      <c r="Q9252" s="18">
        <v>0</v>
      </c>
      <c r="V9252" s="22">
        <f>3/5</f>
        <v>0.6</v>
      </c>
      <c r="X9252" s="3">
        <v>2</v>
      </c>
      <c r="Z9252" s="23">
        <f>59/60</f>
        <v>0.98333333333333328</v>
      </c>
      <c r="AB9252" s="18">
        <f t="shared" si="288"/>
        <v>1994</v>
      </c>
      <c r="AC9252" s="22">
        <f t="shared" si="289"/>
        <v>0.5</v>
      </c>
    </row>
    <row r="9253" spans="1:29">
      <c r="A9253" s="8" t="s">
        <v>7540</v>
      </c>
      <c r="B9253" s="17" t="s">
        <v>7736</v>
      </c>
      <c r="C9253" s="12">
        <v>34335</v>
      </c>
      <c r="D9253" s="13" t="s">
        <v>8465</v>
      </c>
      <c r="E9253" s="10" t="s">
        <v>1259</v>
      </c>
      <c r="F9253" s="10" t="s">
        <v>2654</v>
      </c>
      <c r="H9253" s="2" t="s">
        <v>80</v>
      </c>
      <c r="L9253" s="18">
        <v>0</v>
      </c>
      <c r="Q9253" s="18">
        <v>0</v>
      </c>
      <c r="U9253" s="22">
        <v>0.59</v>
      </c>
      <c r="V9253" s="22">
        <f>3.03/5</f>
        <v>0.60599999999999998</v>
      </c>
      <c r="X9253" s="3">
        <v>2</v>
      </c>
      <c r="Z9253" s="23">
        <v>3.5</v>
      </c>
      <c r="AB9253" s="18">
        <f t="shared" si="288"/>
        <v>1994</v>
      </c>
      <c r="AC9253" s="22">
        <f t="shared" si="289"/>
        <v>0.53200000000000003</v>
      </c>
    </row>
    <row r="9254" spans="1:29" ht="25.5">
      <c r="A9254" s="8" t="s">
        <v>15110</v>
      </c>
      <c r="B9254" s="17" t="s">
        <v>7751</v>
      </c>
      <c r="C9254" s="24">
        <v>34335</v>
      </c>
      <c r="D9254" s="13" t="s">
        <v>8465</v>
      </c>
      <c r="E9254" s="10" t="s">
        <v>154</v>
      </c>
      <c r="F9254" s="10" t="s">
        <v>14881</v>
      </c>
      <c r="G9254" s="11" t="s">
        <v>440</v>
      </c>
      <c r="H9254" s="2" t="s">
        <v>56</v>
      </c>
      <c r="L9254" s="18">
        <v>0</v>
      </c>
      <c r="Q9254" s="18">
        <v>0</v>
      </c>
      <c r="V9254" s="22">
        <f>2.89/5</f>
        <v>0.57800000000000007</v>
      </c>
      <c r="X9254" s="3">
        <v>2</v>
      </c>
      <c r="Z9254" s="23">
        <v>2</v>
      </c>
      <c r="AB9254" s="18">
        <f t="shared" si="288"/>
        <v>1994</v>
      </c>
      <c r="AC9254" s="22">
        <f t="shared" si="289"/>
        <v>0.48900000000000005</v>
      </c>
    </row>
    <row r="9255" spans="1:29" ht="30">
      <c r="A9255" s="8" t="s">
        <v>12759</v>
      </c>
      <c r="B9255" s="17" t="s">
        <v>12735</v>
      </c>
      <c r="C9255" s="24">
        <v>34335</v>
      </c>
      <c r="D9255" s="13" t="s">
        <v>8467</v>
      </c>
      <c r="E9255" s="10" t="s">
        <v>1299</v>
      </c>
      <c r="F9255" s="10" t="s">
        <v>1299</v>
      </c>
      <c r="G9255" s="11" t="s">
        <v>12757</v>
      </c>
      <c r="H9255" s="2" t="s">
        <v>1720</v>
      </c>
      <c r="L9255" s="18">
        <v>0</v>
      </c>
      <c r="Q9255" s="18">
        <v>0</v>
      </c>
      <c r="X9255" s="3">
        <v>2</v>
      </c>
      <c r="AB9255" s="18">
        <f t="shared" si="288"/>
        <v>1994</v>
      </c>
      <c r="AC9255" s="22">
        <f t="shared" si="289"/>
        <v>0.4</v>
      </c>
    </row>
    <row r="9256" spans="1:29">
      <c r="A9256" s="8" t="s">
        <v>14338</v>
      </c>
      <c r="B9256" s="17" t="s">
        <v>10323</v>
      </c>
      <c r="C9256" s="24">
        <v>34335</v>
      </c>
      <c r="D9256" s="13" t="s">
        <v>8463</v>
      </c>
      <c r="E9256" s="10" t="s">
        <v>14339</v>
      </c>
      <c r="F9256" s="10" t="s">
        <v>14339</v>
      </c>
      <c r="H9256" s="2" t="s">
        <v>78</v>
      </c>
      <c r="K9256" s="18">
        <v>2</v>
      </c>
      <c r="L9256" s="18">
        <v>0</v>
      </c>
      <c r="Q9256" s="18">
        <v>0</v>
      </c>
      <c r="V9256" s="22">
        <f>1.31/5</f>
        <v>0.26200000000000001</v>
      </c>
      <c r="X9256" s="3">
        <v>2</v>
      </c>
      <c r="AB9256" s="18">
        <f t="shared" si="288"/>
        <v>1994</v>
      </c>
      <c r="AC9256" s="22">
        <f t="shared" si="289"/>
        <v>0.33100000000000002</v>
      </c>
    </row>
    <row r="9257" spans="1:29" ht="30">
      <c r="A9257" s="8" t="s">
        <v>13257</v>
      </c>
      <c r="B9257" s="17" t="s">
        <v>7800</v>
      </c>
      <c r="C9257" s="24">
        <v>34335</v>
      </c>
      <c r="D9257" s="13" t="s">
        <v>8465</v>
      </c>
      <c r="E9257" s="10" t="s">
        <v>13258</v>
      </c>
      <c r="F9257" s="10" t="s">
        <v>13259</v>
      </c>
      <c r="H9257" s="2" t="s">
        <v>1194</v>
      </c>
      <c r="L9257" s="18">
        <v>0</v>
      </c>
      <c r="Q9257" s="18">
        <v>0</v>
      </c>
      <c r="V9257" s="22">
        <f>1.31/5</f>
        <v>0.26200000000000001</v>
      </c>
      <c r="W9257" s="14" t="s">
        <v>13076</v>
      </c>
      <c r="X9257" s="3">
        <v>2</v>
      </c>
      <c r="AB9257" s="18">
        <f t="shared" si="288"/>
        <v>1994</v>
      </c>
      <c r="AC9257" s="22">
        <f t="shared" si="289"/>
        <v>0.33100000000000002</v>
      </c>
    </row>
    <row r="9258" spans="1:29">
      <c r="A9258" s="8" t="s">
        <v>14293</v>
      </c>
      <c r="B9258" s="17" t="s">
        <v>10323</v>
      </c>
      <c r="C9258" s="24">
        <v>34335</v>
      </c>
      <c r="D9258" s="13" t="s">
        <v>8463</v>
      </c>
      <c r="E9258" s="10" t="s">
        <v>14294</v>
      </c>
      <c r="F9258" s="10" t="s">
        <v>14295</v>
      </c>
      <c r="H9258" s="2" t="s">
        <v>75</v>
      </c>
      <c r="K9258" s="18">
        <v>2</v>
      </c>
      <c r="L9258" s="18">
        <v>0</v>
      </c>
      <c r="Q9258" s="18">
        <v>0</v>
      </c>
      <c r="V9258" s="22">
        <f>1.25/5</f>
        <v>0.25</v>
      </c>
      <c r="X9258" s="3">
        <v>2</v>
      </c>
      <c r="Z9258" s="23">
        <v>11</v>
      </c>
      <c r="AB9258" s="18">
        <f t="shared" si="288"/>
        <v>1994</v>
      </c>
      <c r="AC9258" s="22">
        <f t="shared" si="289"/>
        <v>0.32500000000000001</v>
      </c>
    </row>
    <row r="9259" spans="1:29">
      <c r="A9259" s="8" t="s">
        <v>15653</v>
      </c>
      <c r="B9259" s="17" t="s">
        <v>6317</v>
      </c>
      <c r="C9259" s="24">
        <v>34335</v>
      </c>
      <c r="D9259" s="13" t="s">
        <v>8465</v>
      </c>
      <c r="E9259" s="10" t="s">
        <v>228</v>
      </c>
      <c r="F9259" s="10" t="s">
        <v>228</v>
      </c>
      <c r="G9259" s="11" t="s">
        <v>477</v>
      </c>
      <c r="H9259" s="2" t="s">
        <v>459</v>
      </c>
      <c r="L9259" s="18">
        <v>0</v>
      </c>
      <c r="Q9259" s="18">
        <v>0</v>
      </c>
      <c r="V9259" s="22">
        <f>3.03/5</f>
        <v>0.60599999999999998</v>
      </c>
      <c r="X9259" s="3">
        <v>2</v>
      </c>
      <c r="Z9259" s="23">
        <f>49/60</f>
        <v>0.81666666666666665</v>
      </c>
      <c r="AB9259" s="18">
        <f t="shared" si="288"/>
        <v>1994</v>
      </c>
      <c r="AC9259" s="22">
        <f t="shared" si="289"/>
        <v>0.503</v>
      </c>
    </row>
    <row r="9260" spans="1:29">
      <c r="A9260" s="8" t="s">
        <v>15717</v>
      </c>
      <c r="B9260" s="17" t="s">
        <v>6317</v>
      </c>
      <c r="C9260" s="24">
        <v>34335</v>
      </c>
      <c r="D9260" s="13" t="s">
        <v>8465</v>
      </c>
      <c r="E9260" s="10" t="s">
        <v>15716</v>
      </c>
      <c r="F9260" s="10" t="s">
        <v>15485</v>
      </c>
      <c r="H9260" s="2" t="s">
        <v>459</v>
      </c>
      <c r="L9260" s="18">
        <v>0</v>
      </c>
      <c r="Q9260" s="18">
        <v>0</v>
      </c>
      <c r="V9260" s="22">
        <f>3.54/5</f>
        <v>0.70799999999999996</v>
      </c>
      <c r="X9260" s="3">
        <v>2</v>
      </c>
      <c r="AB9260" s="18">
        <f t="shared" si="288"/>
        <v>1994</v>
      </c>
      <c r="AC9260" s="22">
        <f t="shared" si="289"/>
        <v>0.55400000000000005</v>
      </c>
    </row>
    <row r="9261" spans="1:29">
      <c r="A9261" s="8" t="s">
        <v>15718</v>
      </c>
      <c r="B9261" s="17" t="s">
        <v>6317</v>
      </c>
      <c r="C9261" s="24">
        <v>34335</v>
      </c>
      <c r="D9261" s="13" t="s">
        <v>8465</v>
      </c>
      <c r="E9261" s="10" t="s">
        <v>465</v>
      </c>
      <c r="F9261" s="10" t="s">
        <v>15719</v>
      </c>
      <c r="H9261" s="2" t="s">
        <v>459</v>
      </c>
      <c r="L9261" s="18">
        <v>0</v>
      </c>
      <c r="Q9261" s="18">
        <v>0</v>
      </c>
      <c r="V9261" s="22">
        <f>2/5</f>
        <v>0.4</v>
      </c>
      <c r="X9261" s="3">
        <v>2</v>
      </c>
      <c r="AB9261" s="18">
        <f t="shared" si="288"/>
        <v>1994</v>
      </c>
      <c r="AC9261" s="22">
        <f t="shared" si="289"/>
        <v>0.4</v>
      </c>
    </row>
    <row r="9262" spans="1:29" ht="25.5">
      <c r="A9262" s="8" t="s">
        <v>15721</v>
      </c>
      <c r="B9262" s="17" t="s">
        <v>7792</v>
      </c>
      <c r="C9262" s="24">
        <v>34335</v>
      </c>
      <c r="D9262" s="13" t="s">
        <v>8465</v>
      </c>
      <c r="E9262" s="10" t="s">
        <v>15722</v>
      </c>
      <c r="F9262" s="10" t="s">
        <v>15722</v>
      </c>
      <c r="H9262" s="2" t="s">
        <v>459</v>
      </c>
      <c r="L9262" s="18">
        <v>0</v>
      </c>
      <c r="Q9262" s="18">
        <v>0</v>
      </c>
      <c r="V9262" s="22">
        <f>1.27/5</f>
        <v>0.254</v>
      </c>
      <c r="X9262" s="3">
        <v>2</v>
      </c>
      <c r="AB9262" s="18">
        <f t="shared" si="288"/>
        <v>1994</v>
      </c>
      <c r="AC9262" s="22">
        <f t="shared" si="289"/>
        <v>0.32700000000000001</v>
      </c>
    </row>
    <row r="9263" spans="1:29" ht="30">
      <c r="A9263" s="8" t="s">
        <v>15747</v>
      </c>
      <c r="B9263" s="17" t="s">
        <v>7800</v>
      </c>
      <c r="C9263" s="24">
        <v>34335</v>
      </c>
      <c r="D9263" s="13" t="s">
        <v>8465</v>
      </c>
      <c r="E9263" s="10" t="s">
        <v>6668</v>
      </c>
      <c r="F9263" s="10" t="s">
        <v>7058</v>
      </c>
      <c r="G9263" s="11" t="s">
        <v>445</v>
      </c>
      <c r="H9263" s="2" t="s">
        <v>1720</v>
      </c>
      <c r="L9263" s="18">
        <v>0</v>
      </c>
      <c r="Q9263" s="18">
        <v>0</v>
      </c>
      <c r="V9263" s="22">
        <f>3.37/5</f>
        <v>0.67400000000000004</v>
      </c>
      <c r="X9263" s="3">
        <v>2</v>
      </c>
      <c r="Z9263" s="23">
        <v>10.5</v>
      </c>
      <c r="AB9263" s="18">
        <f t="shared" si="288"/>
        <v>1994</v>
      </c>
      <c r="AC9263" s="22">
        <f t="shared" si="289"/>
        <v>0.53700000000000003</v>
      </c>
    </row>
    <row r="9264" spans="1:29" ht="25.5">
      <c r="A9264" s="8" t="s">
        <v>15761</v>
      </c>
      <c r="B9264" s="17" t="s">
        <v>7800</v>
      </c>
      <c r="C9264" s="24">
        <v>34335</v>
      </c>
      <c r="D9264" s="13" t="s">
        <v>8465</v>
      </c>
      <c r="E9264" s="10" t="s">
        <v>6668</v>
      </c>
      <c r="F9264" s="10" t="s">
        <v>6668</v>
      </c>
      <c r="G9264" s="11" t="s">
        <v>445</v>
      </c>
      <c r="H9264" s="2" t="s">
        <v>1720</v>
      </c>
      <c r="L9264" s="18">
        <v>0</v>
      </c>
      <c r="Q9264" s="18">
        <v>0</v>
      </c>
      <c r="V9264" s="22">
        <f>3.81/5</f>
        <v>0.76200000000000001</v>
      </c>
      <c r="X9264" s="3">
        <v>3</v>
      </c>
      <c r="Z9264" s="23">
        <v>13</v>
      </c>
      <c r="AB9264" s="18">
        <f t="shared" si="288"/>
        <v>1994</v>
      </c>
      <c r="AC9264" s="22">
        <f t="shared" si="289"/>
        <v>0.68100000000000005</v>
      </c>
    </row>
    <row r="9265" spans="1:29" ht="30">
      <c r="A9265" s="8" t="s">
        <v>15762</v>
      </c>
      <c r="B9265" s="17" t="s">
        <v>7800</v>
      </c>
      <c r="C9265" s="24">
        <v>34335</v>
      </c>
      <c r="D9265" s="13" t="s">
        <v>8465</v>
      </c>
      <c r="E9265" s="10" t="s">
        <v>6668</v>
      </c>
      <c r="F9265" s="10" t="s">
        <v>7058</v>
      </c>
      <c r="G9265" s="11" t="s">
        <v>445</v>
      </c>
      <c r="H9265" s="2" t="s">
        <v>1720</v>
      </c>
      <c r="L9265" s="18">
        <v>0</v>
      </c>
      <c r="Q9265" s="18">
        <v>0</v>
      </c>
      <c r="V9265" s="22">
        <f>3.55/5</f>
        <v>0.71</v>
      </c>
      <c r="X9265" s="3">
        <v>2</v>
      </c>
      <c r="Z9265" s="23">
        <v>13.5</v>
      </c>
      <c r="AB9265" s="18">
        <f t="shared" si="288"/>
        <v>1994</v>
      </c>
      <c r="AC9265" s="22">
        <f t="shared" si="289"/>
        <v>0.55499999999999994</v>
      </c>
    </row>
    <row r="9266" spans="1:29" ht="25.5">
      <c r="A9266" s="8" t="s">
        <v>15764</v>
      </c>
      <c r="B9266" s="17" t="s">
        <v>7800</v>
      </c>
      <c r="C9266" s="24">
        <v>34335</v>
      </c>
      <c r="D9266" s="13" t="s">
        <v>8465</v>
      </c>
      <c r="E9266" s="10" t="s">
        <v>6668</v>
      </c>
      <c r="F9266" s="10" t="s">
        <v>15765</v>
      </c>
      <c r="G9266" s="11" t="s">
        <v>445</v>
      </c>
      <c r="H9266" s="2" t="s">
        <v>171</v>
      </c>
      <c r="L9266" s="18">
        <v>0</v>
      </c>
      <c r="Q9266" s="18">
        <v>0</v>
      </c>
      <c r="V9266" s="22">
        <f>3.57/5</f>
        <v>0.71399999999999997</v>
      </c>
      <c r="X9266" s="3">
        <v>2</v>
      </c>
      <c r="Z9266" s="23">
        <v>11.5</v>
      </c>
      <c r="AB9266" s="18">
        <f t="shared" si="288"/>
        <v>1994</v>
      </c>
      <c r="AC9266" s="22">
        <f t="shared" si="289"/>
        <v>0.55699999999999994</v>
      </c>
    </row>
    <row r="9267" spans="1:29" ht="25.5">
      <c r="A9267" s="8" t="s">
        <v>16038</v>
      </c>
      <c r="B9267" s="17" t="s">
        <v>7800</v>
      </c>
      <c r="C9267" s="24">
        <v>34335</v>
      </c>
      <c r="D9267" s="13" t="s">
        <v>8465</v>
      </c>
      <c r="E9267" s="10" t="s">
        <v>7826</v>
      </c>
      <c r="F9267" s="10" t="s">
        <v>1327</v>
      </c>
      <c r="G9267" s="11" t="s">
        <v>16035</v>
      </c>
      <c r="H9267" s="2" t="s">
        <v>31</v>
      </c>
      <c r="L9267" s="18">
        <v>0</v>
      </c>
      <c r="Q9267" s="18">
        <v>0</v>
      </c>
      <c r="V9267" s="22">
        <f>3.55/5</f>
        <v>0.71</v>
      </c>
      <c r="X9267" s="3">
        <v>2</v>
      </c>
      <c r="AB9267" s="18">
        <f t="shared" si="288"/>
        <v>1994</v>
      </c>
      <c r="AC9267" s="22">
        <f t="shared" si="289"/>
        <v>0.55499999999999994</v>
      </c>
    </row>
    <row r="9268" spans="1:29">
      <c r="A9268" s="8" t="s">
        <v>16057</v>
      </c>
      <c r="B9268" s="17" t="s">
        <v>7751</v>
      </c>
      <c r="C9268" s="24">
        <v>34335</v>
      </c>
      <c r="D9268" s="13" t="s">
        <v>8465</v>
      </c>
      <c r="E9268" s="10" t="s">
        <v>1781</v>
      </c>
      <c r="F9268" s="10" t="s">
        <v>2698</v>
      </c>
      <c r="H9268" s="2" t="s">
        <v>1050</v>
      </c>
      <c r="L9268" s="18">
        <v>0</v>
      </c>
      <c r="Q9268" s="18">
        <v>0</v>
      </c>
      <c r="V9268" s="22">
        <f>3.58/5</f>
        <v>0.71599999999999997</v>
      </c>
      <c r="X9268" s="3">
        <v>2</v>
      </c>
      <c r="Z9268" s="23">
        <v>8</v>
      </c>
      <c r="AB9268" s="18">
        <f t="shared" si="288"/>
        <v>1994</v>
      </c>
      <c r="AC9268" s="22">
        <f t="shared" si="289"/>
        <v>0.55800000000000005</v>
      </c>
    </row>
    <row r="9269" spans="1:29">
      <c r="A9269" s="8" t="s">
        <v>2703</v>
      </c>
      <c r="B9269" s="17" t="s">
        <v>7752</v>
      </c>
      <c r="C9269" s="13">
        <v>34668</v>
      </c>
      <c r="D9269" s="13" t="s">
        <v>8465</v>
      </c>
      <c r="E9269" s="10" t="s">
        <v>72</v>
      </c>
      <c r="F9269" s="10" t="s">
        <v>72</v>
      </c>
      <c r="H9269" s="2" t="s">
        <v>67</v>
      </c>
      <c r="L9269" s="18">
        <v>0</v>
      </c>
      <c r="Q9269" s="18">
        <v>1</v>
      </c>
      <c r="T9269" s="22">
        <v>0.9</v>
      </c>
      <c r="U9269" s="22">
        <v>0.85</v>
      </c>
      <c r="V9269" s="22">
        <f>4.43/5</f>
        <v>0.8859999999999999</v>
      </c>
      <c r="Y9269" s="18">
        <v>1</v>
      </c>
      <c r="AB9269" s="18">
        <f t="shared" si="288"/>
        <v>1994</v>
      </c>
      <c r="AC9269" s="22">
        <f t="shared" si="289"/>
        <v>0.87866666666666671</v>
      </c>
    </row>
    <row r="9270" spans="1:29">
      <c r="A9270" s="8" t="s">
        <v>589</v>
      </c>
      <c r="B9270" s="17" t="s">
        <v>7736</v>
      </c>
      <c r="C9270" s="13">
        <v>34659</v>
      </c>
      <c r="D9270" s="13" t="s">
        <v>8465</v>
      </c>
      <c r="E9270" s="10" t="s">
        <v>86</v>
      </c>
      <c r="F9270" s="10" t="s">
        <v>163</v>
      </c>
      <c r="G9270" s="11" t="s">
        <v>1254</v>
      </c>
      <c r="H9270" s="2" t="s">
        <v>64</v>
      </c>
      <c r="L9270" s="18">
        <v>1</v>
      </c>
      <c r="M9270" s="14" t="s">
        <v>10622</v>
      </c>
      <c r="P9270" s="18" t="s">
        <v>14</v>
      </c>
      <c r="Q9270" s="18">
        <v>1</v>
      </c>
      <c r="T9270" s="22">
        <v>0.9</v>
      </c>
      <c r="U9270" s="22">
        <v>0.89</v>
      </c>
      <c r="V9270" s="22">
        <f>4.27/5</f>
        <v>0.85399999999999987</v>
      </c>
      <c r="AB9270" s="18">
        <f t="shared" si="288"/>
        <v>1994</v>
      </c>
      <c r="AC9270" s="22">
        <f t="shared" si="289"/>
        <v>0.88133333333333341</v>
      </c>
    </row>
    <row r="9271" spans="1:29">
      <c r="A9271" s="8" t="s">
        <v>296</v>
      </c>
      <c r="B9271" s="17" t="s">
        <v>7736</v>
      </c>
      <c r="C9271" s="13">
        <v>34627</v>
      </c>
      <c r="D9271" s="13" t="s">
        <v>8465</v>
      </c>
      <c r="E9271" s="10" t="s">
        <v>161</v>
      </c>
      <c r="F9271" s="10" t="s">
        <v>161</v>
      </c>
      <c r="G9271" s="11" t="s">
        <v>126</v>
      </c>
      <c r="H9271" s="2" t="s">
        <v>149</v>
      </c>
      <c r="L9271" s="18">
        <v>0</v>
      </c>
      <c r="Q9271" s="18">
        <v>1</v>
      </c>
      <c r="T9271" s="22">
        <v>1</v>
      </c>
      <c r="U9271" s="22">
        <v>0.94</v>
      </c>
      <c r="V9271" s="22">
        <f>4.55/5</f>
        <v>0.90999999999999992</v>
      </c>
      <c r="Y9271" s="18">
        <v>1</v>
      </c>
      <c r="AB9271" s="18">
        <f t="shared" si="288"/>
        <v>1994</v>
      </c>
      <c r="AC9271" s="22">
        <f t="shared" si="289"/>
        <v>0.94999999999999984</v>
      </c>
    </row>
    <row r="9272" spans="1:29">
      <c r="A9272" s="8" t="s">
        <v>1764</v>
      </c>
      <c r="B9272" s="17" t="s">
        <v>7745</v>
      </c>
      <c r="C9272" s="12">
        <v>34608</v>
      </c>
      <c r="D9272" s="13" t="s">
        <v>8465</v>
      </c>
      <c r="E9272" s="10" t="s">
        <v>72</v>
      </c>
      <c r="F9272" s="10" t="s">
        <v>1322</v>
      </c>
      <c r="G9272" s="11" t="s">
        <v>97</v>
      </c>
      <c r="H9272" s="2" t="s">
        <v>147</v>
      </c>
      <c r="L9272" s="18">
        <v>0</v>
      </c>
      <c r="Q9272" s="18">
        <v>1</v>
      </c>
      <c r="T9272" s="22">
        <v>0.7</v>
      </c>
      <c r="U9272" s="22">
        <v>0.72</v>
      </c>
      <c r="V9272" s="22">
        <f>3.61/5</f>
        <v>0.72199999999999998</v>
      </c>
      <c r="AB9272" s="18">
        <f t="shared" si="288"/>
        <v>1994</v>
      </c>
      <c r="AC9272" s="22">
        <f t="shared" si="289"/>
        <v>0.71399999999999997</v>
      </c>
    </row>
    <row r="9273" spans="1:29">
      <c r="A9273" s="8" t="s">
        <v>600</v>
      </c>
      <c r="B9273" s="17" t="s">
        <v>7736</v>
      </c>
      <c r="C9273" s="13">
        <v>34608</v>
      </c>
      <c r="D9273" s="13" t="s">
        <v>8465</v>
      </c>
      <c r="E9273" s="10" t="s">
        <v>257</v>
      </c>
      <c r="F9273" s="10" t="s">
        <v>1252</v>
      </c>
      <c r="H9273" s="2" t="s">
        <v>149</v>
      </c>
      <c r="L9273" s="18">
        <v>0</v>
      </c>
      <c r="Q9273" s="18">
        <v>1</v>
      </c>
      <c r="T9273" s="22">
        <v>0.7</v>
      </c>
      <c r="U9273" s="22">
        <v>0.67</v>
      </c>
      <c r="V9273" s="22">
        <f>3.79/5</f>
        <v>0.75800000000000001</v>
      </c>
      <c r="AB9273" s="18">
        <f t="shared" si="288"/>
        <v>1994</v>
      </c>
      <c r="AC9273" s="22">
        <f t="shared" si="289"/>
        <v>0.70933333333333337</v>
      </c>
    </row>
    <row r="9274" spans="1:29">
      <c r="A9274" s="8" t="s">
        <v>1749</v>
      </c>
      <c r="B9274" s="17" t="s">
        <v>7745</v>
      </c>
      <c r="C9274" s="12">
        <v>34578</v>
      </c>
      <c r="D9274" s="13" t="s">
        <v>8465</v>
      </c>
      <c r="E9274" s="10" t="s">
        <v>73</v>
      </c>
      <c r="F9274" s="10" t="s">
        <v>1745</v>
      </c>
      <c r="G9274" s="11" t="s">
        <v>89</v>
      </c>
      <c r="H9274" s="2" t="s">
        <v>56</v>
      </c>
      <c r="L9274" s="18">
        <v>0</v>
      </c>
      <c r="Q9274" s="18">
        <v>1</v>
      </c>
      <c r="T9274" s="22">
        <v>0.7</v>
      </c>
      <c r="U9274" s="22">
        <v>0.76</v>
      </c>
      <c r="V9274" s="22">
        <f>4.21/5</f>
        <v>0.84199999999999997</v>
      </c>
      <c r="AB9274" s="18">
        <f t="shared" si="288"/>
        <v>1994</v>
      </c>
      <c r="AC9274" s="22">
        <f t="shared" si="289"/>
        <v>0.76733333333333331</v>
      </c>
    </row>
    <row r="9275" spans="1:29" ht="38.25">
      <c r="A9275" s="8" t="s">
        <v>608</v>
      </c>
      <c r="B9275" s="17" t="s">
        <v>7736</v>
      </c>
      <c r="C9275" s="12">
        <v>34578</v>
      </c>
      <c r="D9275" s="13" t="s">
        <v>8465</v>
      </c>
      <c r="E9275" s="10" t="s">
        <v>1263</v>
      </c>
      <c r="F9275" s="10" t="s">
        <v>82</v>
      </c>
      <c r="G9275" s="11" t="s">
        <v>1264</v>
      </c>
      <c r="H9275" s="2" t="s">
        <v>153</v>
      </c>
      <c r="L9275" s="18">
        <v>0</v>
      </c>
      <c r="Q9275" s="18">
        <v>1</v>
      </c>
      <c r="T9275" s="22">
        <v>0.6</v>
      </c>
      <c r="U9275" s="22">
        <v>0.66</v>
      </c>
      <c r="V9275" s="22">
        <f>3.59/5</f>
        <v>0.71799999999999997</v>
      </c>
      <c r="AB9275" s="18">
        <f t="shared" si="288"/>
        <v>1994</v>
      </c>
      <c r="AC9275" s="22">
        <f t="shared" si="289"/>
        <v>0.65933333333333333</v>
      </c>
    </row>
    <row r="9276" spans="1:29">
      <c r="A9276" s="8" t="s">
        <v>2514</v>
      </c>
      <c r="B9276" s="17" t="s">
        <v>7751</v>
      </c>
      <c r="C9276" s="13">
        <v>34554</v>
      </c>
      <c r="D9276" s="13" t="s">
        <v>8465</v>
      </c>
      <c r="E9276" s="10" t="s">
        <v>72</v>
      </c>
      <c r="F9276" s="10" t="s">
        <v>72</v>
      </c>
      <c r="G9276" s="11" t="s">
        <v>97</v>
      </c>
      <c r="H9276" s="2" t="s">
        <v>147</v>
      </c>
      <c r="L9276" s="18">
        <v>0</v>
      </c>
      <c r="Q9276" s="18">
        <v>1</v>
      </c>
      <c r="T9276" s="22">
        <v>0.8</v>
      </c>
      <c r="U9276" s="22">
        <v>0.88</v>
      </c>
      <c r="V9276" s="22">
        <f>4.21/5</f>
        <v>0.84199999999999997</v>
      </c>
      <c r="AB9276" s="18">
        <f t="shared" si="288"/>
        <v>1994</v>
      </c>
      <c r="AC9276" s="22">
        <f t="shared" si="289"/>
        <v>0.84066666666666678</v>
      </c>
    </row>
    <row r="9277" spans="1:29" ht="25.5">
      <c r="A9277" s="8" t="s">
        <v>616</v>
      </c>
      <c r="B9277" s="17" t="s">
        <v>7736</v>
      </c>
      <c r="C9277" s="13">
        <v>34548</v>
      </c>
      <c r="D9277" s="13" t="s">
        <v>8465</v>
      </c>
      <c r="E9277" s="10" t="s">
        <v>70</v>
      </c>
      <c r="F9277" s="10" t="s">
        <v>144</v>
      </c>
      <c r="G9277" s="11" t="s">
        <v>404</v>
      </c>
      <c r="H9277" s="2" t="s">
        <v>21</v>
      </c>
      <c r="L9277" s="18">
        <v>0</v>
      </c>
      <c r="Q9277" s="18">
        <v>1</v>
      </c>
      <c r="T9277" s="22">
        <v>0.8</v>
      </c>
      <c r="U9277" s="22">
        <v>0.82</v>
      </c>
      <c r="V9277" s="22">
        <f>4.05/5</f>
        <v>0.80999999999999994</v>
      </c>
      <c r="AB9277" s="18">
        <f t="shared" si="288"/>
        <v>1994</v>
      </c>
      <c r="AC9277" s="22">
        <f t="shared" si="289"/>
        <v>0.81</v>
      </c>
    </row>
    <row r="9278" spans="1:29" ht="25.5">
      <c r="A9278" s="8" t="s">
        <v>540</v>
      </c>
      <c r="B9278" s="17" t="s">
        <v>7731</v>
      </c>
      <c r="C9278" s="13">
        <v>34509</v>
      </c>
      <c r="D9278" s="13" t="s">
        <v>8465</v>
      </c>
      <c r="E9278" s="10" t="s">
        <v>170</v>
      </c>
      <c r="F9278" s="10" t="s">
        <v>170</v>
      </c>
      <c r="H9278" s="2" t="s">
        <v>56</v>
      </c>
      <c r="L9278" s="18">
        <v>0</v>
      </c>
      <c r="Q9278" s="18">
        <v>1</v>
      </c>
      <c r="R9278" s="13">
        <v>44014</v>
      </c>
      <c r="S9278" s="21">
        <f>45/60+23/3600</f>
        <v>0.75638888888888889</v>
      </c>
      <c r="T9278" s="22">
        <v>0.5</v>
      </c>
      <c r="V9278" s="22">
        <f>3.51/5</f>
        <v>0.70199999999999996</v>
      </c>
      <c r="AB9278" s="18">
        <f t="shared" si="288"/>
        <v>1994</v>
      </c>
      <c r="AC9278" s="22">
        <f t="shared" si="289"/>
        <v>0.60099999999999998</v>
      </c>
    </row>
    <row r="9279" spans="1:29">
      <c r="A9279" s="8" t="s">
        <v>2518</v>
      </c>
      <c r="B9279" s="17" t="s">
        <v>7751</v>
      </c>
      <c r="C9279" s="12">
        <v>34486</v>
      </c>
      <c r="D9279" s="13" t="s">
        <v>8465</v>
      </c>
      <c r="E9279" s="10" t="s">
        <v>455</v>
      </c>
      <c r="F9279" s="10" t="s">
        <v>455</v>
      </c>
      <c r="G9279" s="11" t="s">
        <v>2516</v>
      </c>
      <c r="H9279" s="2" t="s">
        <v>153</v>
      </c>
      <c r="L9279" s="18">
        <v>0</v>
      </c>
      <c r="Q9279" s="18">
        <v>1</v>
      </c>
      <c r="T9279" s="22">
        <v>0.8</v>
      </c>
      <c r="U9279" s="22">
        <v>0.83</v>
      </c>
      <c r="V9279" s="22">
        <f>4.05/5</f>
        <v>0.80999999999999994</v>
      </c>
      <c r="AB9279" s="18">
        <f t="shared" si="288"/>
        <v>1994</v>
      </c>
      <c r="AC9279" s="22">
        <f t="shared" si="289"/>
        <v>0.81333333333333335</v>
      </c>
    </row>
    <row r="9280" spans="1:29">
      <c r="A9280" s="8" t="s">
        <v>321</v>
      </c>
      <c r="B9280" s="17" t="s">
        <v>6317</v>
      </c>
      <c r="C9280" s="13">
        <v>34474</v>
      </c>
      <c r="D9280" s="13" t="s">
        <v>8465</v>
      </c>
      <c r="E9280" s="10" t="s">
        <v>73</v>
      </c>
      <c r="F9280" s="10" t="s">
        <v>73</v>
      </c>
      <c r="G9280" s="11" t="s">
        <v>442</v>
      </c>
      <c r="H9280" s="2" t="s">
        <v>153</v>
      </c>
      <c r="L9280" s="18">
        <v>0</v>
      </c>
      <c r="Q9280" s="18">
        <v>1</v>
      </c>
      <c r="T9280" s="22">
        <v>0.8</v>
      </c>
      <c r="V9280" s="22">
        <f>4.05/5</f>
        <v>0.80999999999999994</v>
      </c>
      <c r="AB9280" s="18">
        <f t="shared" si="288"/>
        <v>1994</v>
      </c>
      <c r="AC9280" s="22">
        <f t="shared" si="289"/>
        <v>0.80499999999999994</v>
      </c>
    </row>
    <row r="9281" spans="1:29">
      <c r="A9281" s="8" t="s">
        <v>576</v>
      </c>
      <c r="B9281" s="17" t="s">
        <v>7736</v>
      </c>
      <c r="C9281" s="13">
        <v>34442</v>
      </c>
      <c r="D9281" s="13" t="s">
        <v>8465</v>
      </c>
      <c r="E9281" s="10" t="s">
        <v>86</v>
      </c>
      <c r="F9281" s="10" t="s">
        <v>142</v>
      </c>
      <c r="G9281" s="11" t="s">
        <v>109</v>
      </c>
      <c r="H9281" s="2" t="s">
        <v>151</v>
      </c>
      <c r="L9281" s="18">
        <v>1</v>
      </c>
      <c r="M9281" s="14" t="s">
        <v>10622</v>
      </c>
      <c r="N9281" s="13">
        <v>44541</v>
      </c>
      <c r="O9281" s="29">
        <v>0</v>
      </c>
      <c r="P9281" s="18" t="s">
        <v>14</v>
      </c>
      <c r="Q9281" s="18">
        <v>1</v>
      </c>
      <c r="T9281" s="22">
        <v>1</v>
      </c>
      <c r="U9281" s="22">
        <v>0.96</v>
      </c>
      <c r="V9281" s="22">
        <f>4.46/5</f>
        <v>0.89200000000000002</v>
      </c>
      <c r="AB9281" s="18">
        <f t="shared" ref="AB9281:AB9344" si="290">IFERROR(YEAR(C9281), "Early Access")</f>
        <v>1994</v>
      </c>
      <c r="AC9281" s="22">
        <f t="shared" ref="AC9281:AC9344" si="291">AVERAGE(T9281, U9281, V9281, IF(ISBLANK(X9281), X9281, X9281/5))</f>
        <v>0.95066666666666666</v>
      </c>
    </row>
    <row r="9282" spans="1:29">
      <c r="A9282" s="8" t="s">
        <v>543</v>
      </c>
      <c r="B9282" s="17" t="s">
        <v>7731</v>
      </c>
      <c r="C9282" s="13">
        <v>34432</v>
      </c>
      <c r="D9282" s="13" t="s">
        <v>8465</v>
      </c>
      <c r="E9282" s="10" t="s">
        <v>170</v>
      </c>
      <c r="F9282" s="10" t="s">
        <v>57</v>
      </c>
      <c r="G9282" s="11" t="s">
        <v>543</v>
      </c>
      <c r="H9282" s="2" t="s">
        <v>255</v>
      </c>
      <c r="L9282" s="18">
        <v>0</v>
      </c>
      <c r="Q9282" s="18">
        <v>1</v>
      </c>
      <c r="R9282" s="13">
        <v>44014</v>
      </c>
      <c r="S9282" s="21">
        <f>1+5/60+28/3600</f>
        <v>1.0911111111111111</v>
      </c>
      <c r="T9282" s="22">
        <v>0.6</v>
      </c>
      <c r="V9282" s="22">
        <f>4.08/5</f>
        <v>0.81600000000000006</v>
      </c>
      <c r="AB9282" s="18">
        <f t="shared" si="290"/>
        <v>1994</v>
      </c>
      <c r="AC9282" s="22">
        <f t="shared" si="291"/>
        <v>0.70799999999999996</v>
      </c>
    </row>
    <row r="9283" spans="1:29">
      <c r="A9283" s="8" t="s">
        <v>2519</v>
      </c>
      <c r="B9283" s="17" t="s">
        <v>7751</v>
      </c>
      <c r="C9283" s="13">
        <v>34410</v>
      </c>
      <c r="D9283" s="13" t="s">
        <v>8465</v>
      </c>
      <c r="E9283" s="10" t="s">
        <v>72</v>
      </c>
      <c r="F9283" s="10" t="s">
        <v>72</v>
      </c>
      <c r="G9283" s="11" t="s">
        <v>113</v>
      </c>
      <c r="H9283" s="2" t="s">
        <v>56</v>
      </c>
      <c r="L9283" s="18">
        <v>0</v>
      </c>
      <c r="Q9283" s="18">
        <v>1</v>
      </c>
      <c r="T9283" s="22">
        <v>0.8</v>
      </c>
      <c r="U9283" s="22">
        <v>0.84</v>
      </c>
      <c r="V9283" s="22">
        <f>4.04/5</f>
        <v>0.80800000000000005</v>
      </c>
      <c r="AB9283" s="18">
        <f t="shared" si="290"/>
        <v>1994</v>
      </c>
      <c r="AC9283" s="22">
        <f t="shared" si="291"/>
        <v>0.81600000000000017</v>
      </c>
    </row>
    <row r="9284" spans="1:29" ht="25.5">
      <c r="A9284" s="8" t="s">
        <v>1776</v>
      </c>
      <c r="B9284" s="17" t="s">
        <v>7745</v>
      </c>
      <c r="C9284" s="13">
        <v>34406</v>
      </c>
      <c r="D9284" s="13" t="s">
        <v>8465</v>
      </c>
      <c r="E9284" s="10" t="s">
        <v>86</v>
      </c>
      <c r="F9284" s="10" t="s">
        <v>142</v>
      </c>
      <c r="G9284" s="11" t="s">
        <v>1428</v>
      </c>
      <c r="H9284" s="2" t="s">
        <v>64</v>
      </c>
      <c r="L9284" s="18">
        <v>0</v>
      </c>
      <c r="Q9284" s="18">
        <v>1</v>
      </c>
      <c r="T9284" s="22">
        <v>0.8</v>
      </c>
      <c r="U9284" s="22">
        <v>0.83</v>
      </c>
      <c r="V9284" s="22">
        <f>3.99/5</f>
        <v>0.79800000000000004</v>
      </c>
      <c r="Y9284" s="18">
        <v>1</v>
      </c>
      <c r="AB9284" s="18">
        <f t="shared" si="290"/>
        <v>1994</v>
      </c>
      <c r="AC9284" s="22">
        <f t="shared" si="291"/>
        <v>0.80933333333333335</v>
      </c>
    </row>
    <row r="9285" spans="1:29">
      <c r="A9285" s="8" t="s">
        <v>6919</v>
      </c>
      <c r="B9285" s="17" t="s">
        <v>7800</v>
      </c>
      <c r="C9285" s="12">
        <v>34394</v>
      </c>
      <c r="D9285" s="13" t="s">
        <v>8465</v>
      </c>
      <c r="E9285" s="10" t="s">
        <v>1259</v>
      </c>
      <c r="F9285" s="10" t="s">
        <v>3372</v>
      </c>
      <c r="G9285" s="11" t="s">
        <v>6919</v>
      </c>
      <c r="H9285" s="2" t="s">
        <v>67</v>
      </c>
      <c r="L9285" s="18">
        <v>1</v>
      </c>
      <c r="N9285" s="13">
        <v>39800</v>
      </c>
      <c r="O9285" s="29">
        <v>0</v>
      </c>
      <c r="P9285" s="18" t="s">
        <v>1107</v>
      </c>
      <c r="Q9285" s="18">
        <v>1</v>
      </c>
      <c r="T9285" s="22">
        <v>0.8</v>
      </c>
      <c r="U9285" s="22">
        <v>0.77</v>
      </c>
      <c r="V9285" s="22">
        <f>3.76/5</f>
        <v>0.752</v>
      </c>
      <c r="W9285" s="14" t="s">
        <v>7778</v>
      </c>
      <c r="AB9285" s="18">
        <f t="shared" si="290"/>
        <v>1994</v>
      </c>
      <c r="AC9285" s="22">
        <f t="shared" si="291"/>
        <v>0.77400000000000002</v>
      </c>
    </row>
    <row r="9286" spans="1:29">
      <c r="A9286" s="8" t="s">
        <v>106</v>
      </c>
      <c r="B9286" s="17" t="s">
        <v>7734</v>
      </c>
      <c r="C9286" s="12">
        <v>34394</v>
      </c>
      <c r="D9286" s="13" t="s">
        <v>8465</v>
      </c>
      <c r="E9286" s="10" t="s">
        <v>73</v>
      </c>
      <c r="F9286" s="10" t="s">
        <v>73</v>
      </c>
      <c r="G9286" s="11" t="s">
        <v>89</v>
      </c>
      <c r="H9286" s="2" t="s">
        <v>56</v>
      </c>
      <c r="L9286" s="18">
        <v>0</v>
      </c>
      <c r="Q9286" s="18">
        <v>1</v>
      </c>
      <c r="T9286" s="22">
        <v>0.7</v>
      </c>
      <c r="V9286" s="22">
        <f>3.88/5</f>
        <v>0.77600000000000002</v>
      </c>
      <c r="AB9286" s="18">
        <f t="shared" si="290"/>
        <v>1994</v>
      </c>
      <c r="AC9286" s="22">
        <f t="shared" si="291"/>
        <v>0.73799999999999999</v>
      </c>
    </row>
    <row r="9287" spans="1:29" ht="25.5">
      <c r="A9287" s="8" t="s">
        <v>320</v>
      </c>
      <c r="B9287" s="17" t="s">
        <v>6317</v>
      </c>
      <c r="C9287" s="13">
        <v>34359</v>
      </c>
      <c r="D9287" s="13" t="s">
        <v>8465</v>
      </c>
      <c r="E9287" s="10" t="s">
        <v>73</v>
      </c>
      <c r="F9287" s="10" t="s">
        <v>73</v>
      </c>
      <c r="G9287" s="11" t="s">
        <v>445</v>
      </c>
      <c r="H9287" s="2" t="s">
        <v>153</v>
      </c>
      <c r="L9287" s="18">
        <v>0</v>
      </c>
      <c r="Q9287" s="18">
        <v>1</v>
      </c>
      <c r="T9287" s="22">
        <v>0.8</v>
      </c>
      <c r="V9287" s="22">
        <f>3.89/5</f>
        <v>0.77800000000000002</v>
      </c>
      <c r="AB9287" s="18">
        <f t="shared" si="290"/>
        <v>1994</v>
      </c>
      <c r="AC9287" s="22">
        <f t="shared" si="291"/>
        <v>0.78900000000000003</v>
      </c>
    </row>
    <row r="9288" spans="1:29">
      <c r="A9288" s="8" t="s">
        <v>601</v>
      </c>
      <c r="B9288" s="17" t="s">
        <v>7736</v>
      </c>
      <c r="C9288" s="12">
        <v>34335</v>
      </c>
      <c r="D9288" s="13" t="s">
        <v>8465</v>
      </c>
      <c r="E9288" s="10" t="s">
        <v>73</v>
      </c>
      <c r="F9288" s="10" t="s">
        <v>73</v>
      </c>
      <c r="G9288" s="11" t="s">
        <v>601</v>
      </c>
      <c r="H9288" s="2" t="s">
        <v>56</v>
      </c>
      <c r="L9288" s="18">
        <v>0</v>
      </c>
      <c r="Q9288" s="18">
        <v>1</v>
      </c>
      <c r="T9288" s="22">
        <v>0.8</v>
      </c>
      <c r="U9288" s="22">
        <v>0.89</v>
      </c>
      <c r="V9288" s="22">
        <f>4.36/5</f>
        <v>0.87200000000000011</v>
      </c>
      <c r="Y9288" s="18">
        <v>1</v>
      </c>
      <c r="AB9288" s="18">
        <f t="shared" si="290"/>
        <v>1994</v>
      </c>
      <c r="AC9288" s="22">
        <f t="shared" si="291"/>
        <v>0.85400000000000009</v>
      </c>
    </row>
    <row r="9289" spans="1:29">
      <c r="A9289" s="8" t="s">
        <v>331</v>
      </c>
      <c r="B9289" s="17" t="s">
        <v>6317</v>
      </c>
      <c r="C9289" s="12">
        <v>34335</v>
      </c>
      <c r="D9289" s="13" t="s">
        <v>8465</v>
      </c>
      <c r="E9289" s="10" t="s">
        <v>70</v>
      </c>
      <c r="F9289" s="10" t="s">
        <v>473</v>
      </c>
      <c r="G9289" s="11" t="s">
        <v>331</v>
      </c>
      <c r="H9289" s="2" t="s">
        <v>21</v>
      </c>
      <c r="L9289" s="18">
        <v>0</v>
      </c>
      <c r="Q9289" s="18">
        <v>1</v>
      </c>
      <c r="T9289" s="22">
        <v>0.7</v>
      </c>
      <c r="V9289" s="22">
        <f>3.66/5</f>
        <v>0.73199999999999998</v>
      </c>
      <c r="AB9289" s="18">
        <f t="shared" si="290"/>
        <v>1994</v>
      </c>
      <c r="AC9289" s="22">
        <f t="shared" si="291"/>
        <v>0.71599999999999997</v>
      </c>
    </row>
    <row r="9290" spans="1:29">
      <c r="A9290" s="8" t="s">
        <v>332</v>
      </c>
      <c r="B9290" s="17" t="s">
        <v>6317</v>
      </c>
      <c r="C9290" s="12">
        <v>34335</v>
      </c>
      <c r="D9290" s="13" t="s">
        <v>8465</v>
      </c>
      <c r="E9290" s="10" t="s">
        <v>54</v>
      </c>
      <c r="F9290" s="10" t="s">
        <v>54</v>
      </c>
      <c r="G9290" s="11" t="s">
        <v>556</v>
      </c>
      <c r="H9290" s="2" t="s">
        <v>21</v>
      </c>
      <c r="L9290" s="18">
        <v>0</v>
      </c>
      <c r="Q9290" s="18">
        <v>1</v>
      </c>
      <c r="T9290" s="22">
        <v>0.7</v>
      </c>
      <c r="V9290" s="22">
        <f>3.65/5</f>
        <v>0.73</v>
      </c>
      <c r="AB9290" s="18">
        <f t="shared" si="290"/>
        <v>1994</v>
      </c>
      <c r="AC9290" s="22">
        <f t="shared" si="291"/>
        <v>0.71499999999999997</v>
      </c>
    </row>
    <row r="9291" spans="1:29" ht="25.5">
      <c r="A9291" s="8" t="s">
        <v>9658</v>
      </c>
      <c r="B9291" s="17" t="s">
        <v>7736</v>
      </c>
      <c r="C9291" s="13">
        <v>34328</v>
      </c>
      <c r="D9291" s="13" t="s">
        <v>8463</v>
      </c>
      <c r="E9291" s="10" t="s">
        <v>9659</v>
      </c>
      <c r="F9291" s="10" t="s">
        <v>9659</v>
      </c>
      <c r="H9291" s="2" t="s">
        <v>153</v>
      </c>
      <c r="K9291" s="18">
        <v>0</v>
      </c>
      <c r="L9291" s="18">
        <v>0</v>
      </c>
      <c r="Q9291" s="18">
        <v>0</v>
      </c>
      <c r="V9291" s="22">
        <f>3.1/5</f>
        <v>0.62</v>
      </c>
      <c r="X9291" s="3">
        <v>2</v>
      </c>
      <c r="AB9291" s="18">
        <f t="shared" si="290"/>
        <v>1993</v>
      </c>
      <c r="AC9291" s="22">
        <f t="shared" si="291"/>
        <v>0.51</v>
      </c>
    </row>
    <row r="9292" spans="1:29">
      <c r="A9292" s="8" t="s">
        <v>7436</v>
      </c>
      <c r="B9292" s="17" t="s">
        <v>7800</v>
      </c>
      <c r="C9292" s="12">
        <v>34328</v>
      </c>
      <c r="D9292" s="13" t="s">
        <v>8465</v>
      </c>
      <c r="E9292" s="10" t="s">
        <v>60</v>
      </c>
      <c r="F9292" s="10" t="s">
        <v>60</v>
      </c>
      <c r="G9292" s="11" t="s">
        <v>1867</v>
      </c>
      <c r="H9292" s="2" t="s">
        <v>1061</v>
      </c>
      <c r="L9292" s="18">
        <v>1</v>
      </c>
      <c r="N9292" s="13">
        <v>44785</v>
      </c>
      <c r="O9292" s="29">
        <v>0</v>
      </c>
      <c r="P9292" s="18" t="s">
        <v>1107</v>
      </c>
      <c r="Q9292" s="18">
        <v>0</v>
      </c>
      <c r="U9292" s="22">
        <v>0.6</v>
      </c>
      <c r="V9292" s="22">
        <f>2.44/5</f>
        <v>0.48799999999999999</v>
      </c>
      <c r="W9292" s="14" t="s">
        <v>7777</v>
      </c>
      <c r="X9292" s="3">
        <v>2</v>
      </c>
      <c r="Z9292" s="23">
        <f>22/60</f>
        <v>0.36666666666666664</v>
      </c>
      <c r="AB9292" s="18">
        <f t="shared" si="290"/>
        <v>1993</v>
      </c>
      <c r="AC9292" s="22">
        <f t="shared" si="291"/>
        <v>0.496</v>
      </c>
    </row>
    <row r="9293" spans="1:29" ht="25.5">
      <c r="A9293" s="8" t="s">
        <v>13876</v>
      </c>
      <c r="B9293" s="17" t="s">
        <v>10323</v>
      </c>
      <c r="C9293" s="13">
        <v>34328</v>
      </c>
      <c r="D9293" s="13" t="s">
        <v>8463</v>
      </c>
      <c r="E9293" s="10" t="s">
        <v>13877</v>
      </c>
      <c r="F9293" s="10" t="s">
        <v>13877</v>
      </c>
      <c r="G9293" s="11" t="s">
        <v>13876</v>
      </c>
      <c r="H9293" s="2" t="s">
        <v>75</v>
      </c>
      <c r="K9293" s="18">
        <v>0</v>
      </c>
      <c r="L9293" s="18">
        <v>0</v>
      </c>
      <c r="Q9293" s="18">
        <v>0</v>
      </c>
      <c r="X9293" s="3">
        <v>2</v>
      </c>
      <c r="Z9293" s="23">
        <v>8</v>
      </c>
      <c r="AB9293" s="18">
        <f t="shared" si="290"/>
        <v>1993</v>
      </c>
      <c r="AC9293" s="22">
        <f t="shared" si="291"/>
        <v>0.4</v>
      </c>
    </row>
    <row r="9294" spans="1:29">
      <c r="A9294" s="8" t="s">
        <v>2880</v>
      </c>
      <c r="B9294" s="17" t="s">
        <v>7790</v>
      </c>
      <c r="C9294" s="13">
        <v>34327</v>
      </c>
      <c r="D9294" s="13" t="s">
        <v>8463</v>
      </c>
      <c r="E9294" s="10" t="s">
        <v>1456</v>
      </c>
      <c r="F9294" s="10" t="s">
        <v>2891</v>
      </c>
      <c r="G9294" s="11" t="s">
        <v>330</v>
      </c>
      <c r="H9294" s="2" t="s">
        <v>21</v>
      </c>
      <c r="K9294" s="18">
        <v>0</v>
      </c>
      <c r="L9294" s="18">
        <v>0</v>
      </c>
      <c r="Q9294" s="18">
        <v>0</v>
      </c>
      <c r="V9294" s="22">
        <f>4.17/5</f>
        <v>0.83399999999999996</v>
      </c>
      <c r="X9294" s="3">
        <v>3</v>
      </c>
      <c r="Z9294" s="23">
        <v>2</v>
      </c>
      <c r="AB9294" s="18">
        <f t="shared" si="290"/>
        <v>1993</v>
      </c>
      <c r="AC9294" s="22">
        <f t="shared" si="291"/>
        <v>0.71699999999999997</v>
      </c>
    </row>
    <row r="9295" spans="1:29">
      <c r="A9295" s="8" t="s">
        <v>2888</v>
      </c>
      <c r="B9295" s="17" t="s">
        <v>7790</v>
      </c>
      <c r="C9295" s="13">
        <v>34325</v>
      </c>
      <c r="D9295" s="13" t="s">
        <v>8463</v>
      </c>
      <c r="E9295" s="10" t="s">
        <v>62</v>
      </c>
      <c r="F9295" s="10" t="s">
        <v>62</v>
      </c>
      <c r="G9295" s="11" t="s">
        <v>304</v>
      </c>
      <c r="H9295" s="2" t="s">
        <v>171</v>
      </c>
      <c r="K9295" s="18">
        <v>2</v>
      </c>
      <c r="L9295" s="18">
        <v>0</v>
      </c>
      <c r="Q9295" s="18">
        <v>0</v>
      </c>
      <c r="V9295" s="22">
        <f>4.15/5</f>
        <v>0.83000000000000007</v>
      </c>
      <c r="X9295" s="3">
        <v>4</v>
      </c>
      <c r="Z9295" s="23">
        <v>9</v>
      </c>
      <c r="AB9295" s="18">
        <f t="shared" si="290"/>
        <v>1993</v>
      </c>
      <c r="AC9295" s="22">
        <f t="shared" si="291"/>
        <v>0.81500000000000006</v>
      </c>
    </row>
    <row r="9296" spans="1:29" ht="38.25">
      <c r="A9296" s="8" t="s">
        <v>732</v>
      </c>
      <c r="B9296" s="17" t="s">
        <v>7736</v>
      </c>
      <c r="C9296" s="13">
        <v>34325</v>
      </c>
      <c r="D9296" s="13" t="s">
        <v>8463</v>
      </c>
      <c r="E9296" s="10" t="s">
        <v>72</v>
      </c>
      <c r="F9296" s="10" t="s">
        <v>72</v>
      </c>
      <c r="G9296" s="11" t="s">
        <v>1242</v>
      </c>
      <c r="H9296" s="2" t="s">
        <v>56</v>
      </c>
      <c r="K9296" s="18">
        <v>2</v>
      </c>
      <c r="L9296" s="18">
        <v>0</v>
      </c>
      <c r="Q9296" s="18">
        <v>0</v>
      </c>
      <c r="V9296" s="22">
        <f>3.95/5</f>
        <v>0.79</v>
      </c>
      <c r="X9296" s="3">
        <v>2</v>
      </c>
      <c r="Z9296" s="23">
        <v>3.5</v>
      </c>
      <c r="AB9296" s="18">
        <f t="shared" si="290"/>
        <v>1993</v>
      </c>
      <c r="AC9296" s="22">
        <f t="shared" si="291"/>
        <v>0.59499999999999997</v>
      </c>
    </row>
    <row r="9297" spans="1:29" ht="25.5">
      <c r="A9297" s="8" t="s">
        <v>730</v>
      </c>
      <c r="B9297" s="17" t="s">
        <v>7736</v>
      </c>
      <c r="C9297" s="13">
        <v>34325</v>
      </c>
      <c r="D9297" s="13" t="s">
        <v>8463</v>
      </c>
      <c r="E9297" s="10" t="s">
        <v>144</v>
      </c>
      <c r="F9297" s="10" t="s">
        <v>144</v>
      </c>
      <c r="G9297" s="11" t="s">
        <v>1343</v>
      </c>
      <c r="H9297" s="2" t="s">
        <v>153</v>
      </c>
      <c r="K9297" s="18">
        <v>0</v>
      </c>
      <c r="L9297" s="18">
        <v>0</v>
      </c>
      <c r="Q9297" s="18">
        <v>0</v>
      </c>
      <c r="V9297" s="22">
        <f t="array" ref="V9297">3.27/5</f>
        <v>0.65400000000000003</v>
      </c>
      <c r="X9297" s="3">
        <v>2</v>
      </c>
      <c r="Z9297" s="23">
        <v>2.5</v>
      </c>
      <c r="AB9297" s="18">
        <f t="shared" si="290"/>
        <v>1993</v>
      </c>
      <c r="AC9297" s="22">
        <f t="shared" si="291"/>
        <v>0.52700000000000002</v>
      </c>
    </row>
    <row r="9298" spans="1:29" ht="25.5">
      <c r="A9298" s="8" t="s">
        <v>6879</v>
      </c>
      <c r="B9298" s="17" t="s">
        <v>7800</v>
      </c>
      <c r="C9298" s="13">
        <v>34320</v>
      </c>
      <c r="D9298" s="13" t="s">
        <v>8465</v>
      </c>
      <c r="E9298" s="10" t="s">
        <v>6923</v>
      </c>
      <c r="F9298" s="10" t="s">
        <v>6923</v>
      </c>
      <c r="G9298" s="11" t="s">
        <v>6916</v>
      </c>
      <c r="H9298" s="2" t="s">
        <v>67</v>
      </c>
      <c r="L9298" s="18">
        <v>1</v>
      </c>
      <c r="N9298" s="13">
        <v>41748</v>
      </c>
      <c r="O9298" s="29">
        <v>1.49</v>
      </c>
      <c r="P9298" s="18" t="s">
        <v>1107</v>
      </c>
      <c r="Q9298" s="18">
        <v>0</v>
      </c>
      <c r="U9298" s="22">
        <v>0.93</v>
      </c>
      <c r="V9298" s="22">
        <f>4.12/5</f>
        <v>0.82400000000000007</v>
      </c>
      <c r="W9298" s="14" t="s">
        <v>7778</v>
      </c>
      <c r="X9298" s="3">
        <v>4</v>
      </c>
      <c r="Z9298" s="23">
        <v>11</v>
      </c>
      <c r="AB9298" s="18">
        <f t="shared" si="290"/>
        <v>1993</v>
      </c>
      <c r="AC9298" s="22">
        <f t="shared" si="291"/>
        <v>0.85133333333333339</v>
      </c>
    </row>
    <row r="9299" spans="1:29">
      <c r="A9299" s="8" t="s">
        <v>746</v>
      </c>
      <c r="B9299" s="17" t="s">
        <v>7736</v>
      </c>
      <c r="C9299" s="13">
        <v>34320</v>
      </c>
      <c r="D9299" s="13" t="s">
        <v>8463</v>
      </c>
      <c r="E9299" s="10" t="s">
        <v>161</v>
      </c>
      <c r="F9299" s="10" t="s">
        <v>30</v>
      </c>
      <c r="H9299" s="2" t="s">
        <v>171</v>
      </c>
      <c r="K9299" s="18">
        <v>2</v>
      </c>
      <c r="L9299" s="18">
        <v>0</v>
      </c>
      <c r="Q9299" s="18">
        <v>0</v>
      </c>
      <c r="V9299" s="22">
        <f>3.65/5</f>
        <v>0.73</v>
      </c>
      <c r="X9299" s="3">
        <v>3</v>
      </c>
      <c r="Z9299" s="23">
        <v>5</v>
      </c>
      <c r="AB9299" s="18">
        <f t="shared" si="290"/>
        <v>1993</v>
      </c>
      <c r="AC9299" s="22">
        <f t="shared" si="291"/>
        <v>0.66500000000000004</v>
      </c>
    </row>
    <row r="9300" spans="1:29" ht="30">
      <c r="A9300" s="8" t="s">
        <v>9661</v>
      </c>
      <c r="B9300" s="17" t="s">
        <v>9581</v>
      </c>
      <c r="C9300" s="13">
        <v>34318</v>
      </c>
      <c r="D9300" s="13" t="s">
        <v>8465</v>
      </c>
      <c r="E9300" s="10" t="s">
        <v>3625</v>
      </c>
      <c r="F9300" s="10" t="s">
        <v>9662</v>
      </c>
      <c r="G9300" s="11" t="s">
        <v>9660</v>
      </c>
      <c r="H9300" s="2" t="s">
        <v>1377</v>
      </c>
      <c r="L9300" s="18">
        <v>0</v>
      </c>
      <c r="Q9300" s="18">
        <v>0</v>
      </c>
      <c r="V9300" s="22">
        <f>2.5/5</f>
        <v>0.5</v>
      </c>
      <c r="X9300" s="3">
        <v>2</v>
      </c>
      <c r="AB9300" s="18">
        <f t="shared" si="290"/>
        <v>1993</v>
      </c>
      <c r="AC9300" s="22">
        <f t="shared" si="291"/>
        <v>0.45</v>
      </c>
    </row>
    <row r="9301" spans="1:29">
      <c r="A9301" s="8" t="s">
        <v>14448</v>
      </c>
      <c r="B9301" s="17" t="s">
        <v>7751</v>
      </c>
      <c r="C9301" s="13">
        <v>34314</v>
      </c>
      <c r="D9301" s="13" t="s">
        <v>8465</v>
      </c>
      <c r="E9301" s="10" t="s">
        <v>455</v>
      </c>
      <c r="F9301" s="10" t="s">
        <v>455</v>
      </c>
      <c r="G9301" s="11" t="s">
        <v>14448</v>
      </c>
      <c r="H9301" s="2" t="s">
        <v>459</v>
      </c>
      <c r="L9301" s="18">
        <v>0</v>
      </c>
      <c r="Q9301" s="18">
        <v>0</v>
      </c>
      <c r="V9301" s="22">
        <f>3.6/5</f>
        <v>0.72</v>
      </c>
      <c r="X9301" s="3">
        <v>2</v>
      </c>
      <c r="Z9301" s="23">
        <f>46/60</f>
        <v>0.76666666666666672</v>
      </c>
      <c r="AB9301" s="18">
        <f t="shared" si="290"/>
        <v>1993</v>
      </c>
      <c r="AC9301" s="22">
        <f t="shared" si="291"/>
        <v>0.56000000000000005</v>
      </c>
    </row>
    <row r="9302" spans="1:29">
      <c r="A9302" s="8" t="s">
        <v>795</v>
      </c>
      <c r="B9302" s="17" t="s">
        <v>7736</v>
      </c>
      <c r="C9302" s="13">
        <v>34313</v>
      </c>
      <c r="D9302" s="13" t="s">
        <v>8463</v>
      </c>
      <c r="E9302" s="10" t="s">
        <v>161</v>
      </c>
      <c r="F9302" s="10" t="s">
        <v>161</v>
      </c>
      <c r="G9302" s="11" t="s">
        <v>9517</v>
      </c>
      <c r="H9302" s="2" t="s">
        <v>149</v>
      </c>
      <c r="K9302" s="18">
        <v>1</v>
      </c>
      <c r="L9302" s="18">
        <v>0</v>
      </c>
      <c r="Q9302" s="18">
        <v>0</v>
      </c>
      <c r="U9302" s="22">
        <v>0.8</v>
      </c>
      <c r="V9302" s="22">
        <f>3.98/5</f>
        <v>0.79600000000000004</v>
      </c>
      <c r="X9302" s="3">
        <v>2</v>
      </c>
      <c r="Z9302" s="23">
        <v>43</v>
      </c>
      <c r="AB9302" s="18">
        <f t="shared" si="290"/>
        <v>1993</v>
      </c>
      <c r="AC9302" s="22">
        <f t="shared" si="291"/>
        <v>0.66533333333333333</v>
      </c>
    </row>
    <row r="9303" spans="1:29" ht="25.5">
      <c r="A9303" s="8" t="s">
        <v>13206</v>
      </c>
      <c r="B9303" s="17" t="s">
        <v>7745</v>
      </c>
      <c r="C9303" s="13">
        <v>34313</v>
      </c>
      <c r="D9303" s="13" t="s">
        <v>8463</v>
      </c>
      <c r="E9303" s="10" t="s">
        <v>144</v>
      </c>
      <c r="F9303" s="10" t="s">
        <v>144</v>
      </c>
      <c r="G9303" s="11" t="s">
        <v>744</v>
      </c>
      <c r="H9303" s="2" t="s">
        <v>3411</v>
      </c>
      <c r="K9303" s="18">
        <v>0</v>
      </c>
      <c r="L9303" s="18">
        <v>0</v>
      </c>
      <c r="Q9303" s="18">
        <v>0</v>
      </c>
      <c r="V9303" s="22">
        <f>3.67/5</f>
        <v>0.73399999999999999</v>
      </c>
      <c r="X9303" s="3">
        <v>2</v>
      </c>
      <c r="AB9303" s="18">
        <f t="shared" si="290"/>
        <v>1993</v>
      </c>
      <c r="AC9303" s="22">
        <f t="shared" si="291"/>
        <v>0.56699999999999995</v>
      </c>
    </row>
    <row r="9304" spans="1:29">
      <c r="A9304" s="8" t="s">
        <v>11629</v>
      </c>
      <c r="B9304" s="17" t="s">
        <v>7756</v>
      </c>
      <c r="C9304" s="13">
        <v>34313</v>
      </c>
      <c r="D9304" s="13" t="s">
        <v>8463</v>
      </c>
      <c r="E9304" s="10" t="s">
        <v>455</v>
      </c>
      <c r="F9304" s="10" t="s">
        <v>167</v>
      </c>
      <c r="G9304" s="11" t="s">
        <v>1211</v>
      </c>
      <c r="H9304" s="2" t="s">
        <v>78</v>
      </c>
      <c r="K9304" s="18">
        <v>0</v>
      </c>
      <c r="L9304" s="18">
        <v>0</v>
      </c>
      <c r="Q9304" s="18">
        <v>0</v>
      </c>
      <c r="V9304" s="22">
        <f>3.04/5</f>
        <v>0.60799999999999998</v>
      </c>
      <c r="X9304" s="3">
        <v>2</v>
      </c>
      <c r="AB9304" s="18">
        <f t="shared" si="290"/>
        <v>1993</v>
      </c>
      <c r="AC9304" s="22">
        <f t="shared" si="291"/>
        <v>0.504</v>
      </c>
    </row>
    <row r="9305" spans="1:29" ht="25.5">
      <c r="A9305" s="8" t="s">
        <v>16066</v>
      </c>
      <c r="B9305" s="17" t="s">
        <v>7736</v>
      </c>
      <c r="C9305" s="13">
        <v>34313</v>
      </c>
      <c r="D9305" s="13" t="s">
        <v>8465</v>
      </c>
      <c r="E9305" s="10" t="s">
        <v>1288</v>
      </c>
      <c r="F9305" s="10" t="s">
        <v>16063</v>
      </c>
      <c r="G9305" s="11" t="s">
        <v>16065</v>
      </c>
      <c r="H9305" s="2" t="s">
        <v>56</v>
      </c>
      <c r="L9305" s="18">
        <v>0</v>
      </c>
      <c r="Q9305" s="18">
        <v>0</v>
      </c>
      <c r="V9305" s="22">
        <f>2.81/5</f>
        <v>0.56200000000000006</v>
      </c>
      <c r="X9305" s="3">
        <v>2</v>
      </c>
      <c r="Z9305" s="23">
        <v>1</v>
      </c>
      <c r="AB9305" s="18">
        <f t="shared" si="290"/>
        <v>1993</v>
      </c>
      <c r="AC9305" s="22">
        <f t="shared" si="291"/>
        <v>0.48100000000000004</v>
      </c>
    </row>
    <row r="9306" spans="1:29" ht="30">
      <c r="A9306" s="8" t="s">
        <v>9862</v>
      </c>
      <c r="B9306" s="17" t="s">
        <v>7752</v>
      </c>
      <c r="C9306" s="13">
        <v>34312</v>
      </c>
      <c r="D9306" s="13" t="s">
        <v>8465</v>
      </c>
      <c r="E9306" s="10" t="s">
        <v>250</v>
      </c>
      <c r="F9306" s="10" t="s">
        <v>9863</v>
      </c>
      <c r="G9306" s="11" t="s">
        <v>9862</v>
      </c>
      <c r="H9306" s="2" t="s">
        <v>1194</v>
      </c>
      <c r="L9306" s="18">
        <v>0</v>
      </c>
      <c r="Q9306" s="18">
        <v>0</v>
      </c>
      <c r="V9306" s="22">
        <f>3.03/5</f>
        <v>0.60599999999999998</v>
      </c>
      <c r="X9306" s="3">
        <v>2</v>
      </c>
      <c r="Z9306" s="23">
        <v>2</v>
      </c>
      <c r="AB9306" s="18">
        <f t="shared" si="290"/>
        <v>1993</v>
      </c>
      <c r="AC9306" s="22">
        <f t="shared" si="291"/>
        <v>0.503</v>
      </c>
    </row>
    <row r="9307" spans="1:29" ht="25.5">
      <c r="A9307" s="8" t="s">
        <v>3334</v>
      </c>
      <c r="B9307" s="17" t="s">
        <v>7800</v>
      </c>
      <c r="C9307" s="13">
        <v>34306</v>
      </c>
      <c r="D9307" s="13" t="s">
        <v>8465</v>
      </c>
      <c r="E9307" s="10" t="s">
        <v>3304</v>
      </c>
      <c r="F9307" s="10" t="s">
        <v>3335</v>
      </c>
      <c r="G9307" s="11" t="s">
        <v>3336</v>
      </c>
      <c r="H9307" s="2" t="s">
        <v>1050</v>
      </c>
      <c r="L9307" s="18">
        <v>1</v>
      </c>
      <c r="N9307" s="13">
        <v>42359</v>
      </c>
      <c r="P9307" s="18" t="s">
        <v>1107</v>
      </c>
      <c r="Q9307" s="18">
        <v>0</v>
      </c>
      <c r="V9307" s="22">
        <f>3.46/5</f>
        <v>0.69199999999999995</v>
      </c>
      <c r="W9307" s="14" t="s">
        <v>7777</v>
      </c>
      <c r="X9307" s="3">
        <v>2</v>
      </c>
      <c r="Z9307" s="23">
        <v>7</v>
      </c>
      <c r="AB9307" s="18">
        <f t="shared" si="290"/>
        <v>1993</v>
      </c>
      <c r="AC9307" s="22">
        <f t="shared" si="291"/>
        <v>0.54600000000000004</v>
      </c>
    </row>
    <row r="9308" spans="1:29" ht="25.5">
      <c r="A9308" s="8" t="s">
        <v>15291</v>
      </c>
      <c r="B9308" s="17" t="s">
        <v>7800</v>
      </c>
      <c r="C9308" s="12">
        <v>34304</v>
      </c>
      <c r="D9308" s="13" t="s">
        <v>8465</v>
      </c>
      <c r="E9308" s="10" t="s">
        <v>1690</v>
      </c>
      <c r="F9308" s="10" t="s">
        <v>1690</v>
      </c>
      <c r="G9308" s="11" t="s">
        <v>10608</v>
      </c>
      <c r="H9308" s="2" t="s">
        <v>1050</v>
      </c>
      <c r="L9308" s="18">
        <v>0</v>
      </c>
      <c r="Q9308" s="18">
        <v>0</v>
      </c>
      <c r="V9308" s="22">
        <f>3.14/5</f>
        <v>0.628</v>
      </c>
      <c r="X9308" s="3">
        <v>2</v>
      </c>
      <c r="Z9308" s="23">
        <v>9</v>
      </c>
      <c r="AB9308" s="18">
        <f t="shared" si="290"/>
        <v>1993</v>
      </c>
      <c r="AC9308" s="22">
        <f t="shared" si="291"/>
        <v>0.51400000000000001</v>
      </c>
    </row>
    <row r="9309" spans="1:29">
      <c r="A9309" s="8" t="s">
        <v>2696</v>
      </c>
      <c r="B9309" s="17" t="s">
        <v>7752</v>
      </c>
      <c r="C9309" s="13">
        <v>34304</v>
      </c>
      <c r="D9309" s="13" t="s">
        <v>8465</v>
      </c>
      <c r="E9309" s="10" t="s">
        <v>2701</v>
      </c>
      <c r="F9309" s="10" t="s">
        <v>1512</v>
      </c>
      <c r="G9309" s="11" t="s">
        <v>1960</v>
      </c>
      <c r="H9309" s="2" t="s">
        <v>149</v>
      </c>
      <c r="L9309" s="18">
        <v>0</v>
      </c>
      <c r="Q9309" s="18">
        <v>0</v>
      </c>
      <c r="U9309" s="22">
        <v>0.88</v>
      </c>
      <c r="V9309" s="22">
        <f>4.32/5</f>
        <v>0.8640000000000001</v>
      </c>
      <c r="X9309" s="3">
        <v>4</v>
      </c>
      <c r="Z9309" s="23">
        <v>19.5</v>
      </c>
      <c r="AB9309" s="18">
        <f t="shared" si="290"/>
        <v>1993</v>
      </c>
      <c r="AC9309" s="22">
        <f t="shared" si="291"/>
        <v>0.8480000000000002</v>
      </c>
    </row>
    <row r="9310" spans="1:29" ht="25.5">
      <c r="A9310" s="8" t="s">
        <v>6809</v>
      </c>
      <c r="B9310" s="17" t="s">
        <v>7800</v>
      </c>
      <c r="C9310" s="12">
        <v>34304</v>
      </c>
      <c r="D9310" s="13" t="s">
        <v>8465</v>
      </c>
      <c r="E9310" s="10" t="s">
        <v>1496</v>
      </c>
      <c r="F9310" s="10" t="s">
        <v>1496</v>
      </c>
      <c r="G9310" s="11" t="s">
        <v>6902</v>
      </c>
      <c r="H9310" s="2" t="s">
        <v>67</v>
      </c>
      <c r="L9310" s="18">
        <v>1</v>
      </c>
      <c r="N9310" s="13">
        <v>43956</v>
      </c>
      <c r="O9310" s="29">
        <v>0</v>
      </c>
      <c r="P9310" s="18" t="s">
        <v>1107</v>
      </c>
      <c r="Q9310" s="18">
        <v>0</v>
      </c>
      <c r="U9310" s="22">
        <v>0.74</v>
      </c>
      <c r="V9310" s="22">
        <f>4.25/5</f>
        <v>0.85</v>
      </c>
      <c r="W9310" s="14" t="s">
        <v>7777</v>
      </c>
      <c r="X9310" s="3">
        <v>3</v>
      </c>
      <c r="Z9310" s="23">
        <v>15</v>
      </c>
      <c r="AB9310" s="18">
        <f t="shared" si="290"/>
        <v>1993</v>
      </c>
      <c r="AC9310" s="22">
        <f t="shared" si="291"/>
        <v>0.73</v>
      </c>
    </row>
    <row r="9311" spans="1:29" ht="38.25">
      <c r="A9311" s="8" t="s">
        <v>660</v>
      </c>
      <c r="B9311" s="17" t="s">
        <v>7736</v>
      </c>
      <c r="C9311" s="13">
        <v>34304</v>
      </c>
      <c r="D9311" s="13" t="s">
        <v>8465</v>
      </c>
      <c r="E9311" s="10" t="s">
        <v>152</v>
      </c>
      <c r="F9311" s="10" t="s">
        <v>163</v>
      </c>
      <c r="G9311" s="11" t="s">
        <v>111</v>
      </c>
      <c r="H9311" s="2" t="s">
        <v>153</v>
      </c>
      <c r="L9311" s="18">
        <v>0</v>
      </c>
      <c r="Q9311" s="18">
        <v>0</v>
      </c>
      <c r="U9311" s="22">
        <v>0.59</v>
      </c>
      <c r="V9311" s="22">
        <f>3.57/5</f>
        <v>0.71399999999999997</v>
      </c>
      <c r="X9311" s="3">
        <v>3</v>
      </c>
      <c r="Z9311" s="23">
        <v>2</v>
      </c>
      <c r="AB9311" s="18">
        <f t="shared" si="290"/>
        <v>1993</v>
      </c>
      <c r="AC9311" s="22">
        <f t="shared" si="291"/>
        <v>0.6346666666666666</v>
      </c>
    </row>
    <row r="9312" spans="1:29">
      <c r="A9312" s="8" t="s">
        <v>653</v>
      </c>
      <c r="B9312" s="17" t="s">
        <v>7736</v>
      </c>
      <c r="C9312" s="12">
        <v>34304</v>
      </c>
      <c r="D9312" s="13" t="s">
        <v>8465</v>
      </c>
      <c r="E9312" s="10" t="s">
        <v>54</v>
      </c>
      <c r="F9312" s="10" t="s">
        <v>1292</v>
      </c>
      <c r="G9312" s="11" t="s">
        <v>330</v>
      </c>
      <c r="H9312" s="2" t="s">
        <v>21</v>
      </c>
      <c r="L9312" s="18">
        <v>0</v>
      </c>
      <c r="Q9312" s="18">
        <v>0</v>
      </c>
      <c r="U9312" s="22">
        <v>0.61</v>
      </c>
      <c r="V9312" s="22">
        <f>3.55/5</f>
        <v>0.71</v>
      </c>
      <c r="X9312" s="3">
        <v>2</v>
      </c>
      <c r="Z9312" s="23">
        <v>0.97</v>
      </c>
      <c r="AB9312" s="18">
        <f t="shared" si="290"/>
        <v>1993</v>
      </c>
      <c r="AC9312" s="22">
        <f t="shared" si="291"/>
        <v>0.57333333333333325</v>
      </c>
    </row>
    <row r="9313" spans="1:29">
      <c r="A9313" s="8" t="s">
        <v>14482</v>
      </c>
      <c r="B9313" s="17" t="s">
        <v>7736</v>
      </c>
      <c r="C9313" s="12">
        <v>34304</v>
      </c>
      <c r="D9313" s="13" t="s">
        <v>8465</v>
      </c>
      <c r="E9313" s="10" t="s">
        <v>68</v>
      </c>
      <c r="F9313" s="10" t="s">
        <v>68</v>
      </c>
      <c r="G9313" s="11" t="s">
        <v>14482</v>
      </c>
      <c r="H9313" s="2" t="s">
        <v>69</v>
      </c>
      <c r="L9313" s="18">
        <v>0</v>
      </c>
      <c r="Q9313" s="18">
        <v>0</v>
      </c>
      <c r="V9313" s="22">
        <f>3.15/5</f>
        <v>0.63</v>
      </c>
      <c r="X9313" s="3">
        <v>2</v>
      </c>
      <c r="AB9313" s="18">
        <f t="shared" si="290"/>
        <v>1993</v>
      </c>
      <c r="AC9313" s="22">
        <f t="shared" si="291"/>
        <v>0.51500000000000001</v>
      </c>
    </row>
    <row r="9314" spans="1:29" ht="25.5">
      <c r="A9314" s="8" t="s">
        <v>15197</v>
      </c>
      <c r="B9314" s="17" t="s">
        <v>7736</v>
      </c>
      <c r="C9314" s="13">
        <v>34304</v>
      </c>
      <c r="D9314" s="13" t="s">
        <v>8465</v>
      </c>
      <c r="E9314" s="10" t="s">
        <v>15198</v>
      </c>
      <c r="F9314" s="10" t="s">
        <v>15199</v>
      </c>
      <c r="G9314" s="11" t="s">
        <v>15195</v>
      </c>
      <c r="H9314" s="2" t="s">
        <v>151</v>
      </c>
      <c r="L9314" s="18">
        <v>0</v>
      </c>
      <c r="Q9314" s="18">
        <v>0</v>
      </c>
      <c r="V9314" s="22">
        <f>2.08/5</f>
        <v>0.41600000000000004</v>
      </c>
      <c r="X9314" s="3">
        <v>2</v>
      </c>
      <c r="Z9314" s="23">
        <v>1.5</v>
      </c>
      <c r="AB9314" s="18">
        <f t="shared" si="290"/>
        <v>1993</v>
      </c>
      <c r="AC9314" s="22">
        <f t="shared" si="291"/>
        <v>0.40800000000000003</v>
      </c>
    </row>
    <row r="9315" spans="1:29">
      <c r="A9315" s="8" t="s">
        <v>7633</v>
      </c>
      <c r="B9315" s="17" t="s">
        <v>7745</v>
      </c>
      <c r="C9315" s="13">
        <v>34303</v>
      </c>
      <c r="D9315" s="13" t="s">
        <v>8465</v>
      </c>
      <c r="E9315" s="10" t="s">
        <v>86</v>
      </c>
      <c r="F9315" s="10" t="s">
        <v>30</v>
      </c>
      <c r="G9315" s="11" t="s">
        <v>223</v>
      </c>
      <c r="H9315" s="2" t="s">
        <v>1383</v>
      </c>
      <c r="L9315" s="18">
        <v>0</v>
      </c>
      <c r="Q9315" s="18">
        <v>0</v>
      </c>
      <c r="U9315" s="22">
        <v>0.7</v>
      </c>
      <c r="V9315" s="22">
        <f>3.62/5</f>
        <v>0.72399999999999998</v>
      </c>
      <c r="X9315" s="3">
        <v>2</v>
      </c>
      <c r="Z9315" s="23">
        <v>1.5</v>
      </c>
      <c r="AB9315" s="18">
        <f t="shared" si="290"/>
        <v>1993</v>
      </c>
      <c r="AC9315" s="22">
        <f t="shared" si="291"/>
        <v>0.60799999999999998</v>
      </c>
    </row>
    <row r="9316" spans="1:29">
      <c r="A9316" s="8" t="s">
        <v>1450</v>
      </c>
      <c r="B9316" s="17" t="s">
        <v>7736</v>
      </c>
      <c r="C9316" s="13">
        <v>34299</v>
      </c>
      <c r="D9316" s="13" t="s">
        <v>8463</v>
      </c>
      <c r="E9316" s="10" t="s">
        <v>1344</v>
      </c>
      <c r="F9316" s="10" t="s">
        <v>1345</v>
      </c>
      <c r="G9316" s="11" t="s">
        <v>1450</v>
      </c>
      <c r="H9316" s="2" t="s">
        <v>149</v>
      </c>
      <c r="K9316" s="18">
        <v>2</v>
      </c>
      <c r="L9316" s="18">
        <v>0</v>
      </c>
      <c r="Q9316" s="18">
        <v>0</v>
      </c>
      <c r="V9316" s="22">
        <f>3.38/5</f>
        <v>0.67599999999999993</v>
      </c>
      <c r="X9316" s="3">
        <v>3</v>
      </c>
      <c r="AB9316" s="18">
        <f t="shared" si="290"/>
        <v>1993</v>
      </c>
      <c r="AC9316" s="22">
        <f t="shared" si="291"/>
        <v>0.6379999999999999</v>
      </c>
    </row>
    <row r="9317" spans="1:29">
      <c r="A9317" s="8" t="s">
        <v>745</v>
      </c>
      <c r="B9317" s="17" t="s">
        <v>7736</v>
      </c>
      <c r="C9317" s="13">
        <v>34299</v>
      </c>
      <c r="D9317" s="13" t="s">
        <v>8463</v>
      </c>
      <c r="E9317" s="10" t="s">
        <v>1238</v>
      </c>
      <c r="F9317" s="10" t="s">
        <v>1355</v>
      </c>
      <c r="H9317" s="2" t="s">
        <v>1170</v>
      </c>
      <c r="K9317" s="18">
        <v>2</v>
      </c>
      <c r="L9317" s="18">
        <v>0</v>
      </c>
      <c r="Q9317" s="18">
        <v>0</v>
      </c>
      <c r="V9317" s="22">
        <f>3.14/5</f>
        <v>0.628</v>
      </c>
      <c r="X9317" s="3">
        <v>3</v>
      </c>
      <c r="AB9317" s="18">
        <f t="shared" si="290"/>
        <v>1993</v>
      </c>
      <c r="AC9317" s="22">
        <f t="shared" si="291"/>
        <v>0.61399999999999999</v>
      </c>
    </row>
    <row r="9318" spans="1:29">
      <c r="A9318" s="8" t="s">
        <v>14038</v>
      </c>
      <c r="B9318" s="17" t="s">
        <v>7734</v>
      </c>
      <c r="C9318" s="13">
        <v>34299</v>
      </c>
      <c r="D9318" s="13" t="s">
        <v>8463</v>
      </c>
      <c r="E9318" s="10" t="s">
        <v>1268</v>
      </c>
      <c r="F9318" s="10" t="s">
        <v>1268</v>
      </c>
      <c r="G9318" s="11" t="s">
        <v>14039</v>
      </c>
      <c r="H9318" s="2" t="s">
        <v>149</v>
      </c>
      <c r="K9318" s="18">
        <v>2</v>
      </c>
      <c r="L9318" s="18">
        <v>0</v>
      </c>
      <c r="Q9318" s="18">
        <v>0</v>
      </c>
      <c r="V9318" s="22">
        <f>3.81/5</f>
        <v>0.76200000000000001</v>
      </c>
      <c r="X9318" s="3">
        <v>2</v>
      </c>
      <c r="AB9318" s="18">
        <f t="shared" si="290"/>
        <v>1993</v>
      </c>
      <c r="AC9318" s="22">
        <f t="shared" si="291"/>
        <v>0.58099999999999996</v>
      </c>
    </row>
    <row r="9319" spans="1:29" ht="25.5">
      <c r="A9319" s="8" t="s">
        <v>12281</v>
      </c>
      <c r="B9319" s="17" t="s">
        <v>10323</v>
      </c>
      <c r="C9319" s="13">
        <v>34299</v>
      </c>
      <c r="D9319" s="13" t="s">
        <v>8463</v>
      </c>
      <c r="E9319" s="10" t="s">
        <v>11602</v>
      </c>
      <c r="F9319" s="10" t="s">
        <v>11602</v>
      </c>
      <c r="G9319" s="11" t="s">
        <v>11603</v>
      </c>
      <c r="H9319" s="2" t="s">
        <v>67</v>
      </c>
      <c r="K9319" s="18">
        <v>0</v>
      </c>
      <c r="L9319" s="18">
        <v>0</v>
      </c>
      <c r="Q9319" s="18">
        <v>0</v>
      </c>
      <c r="X9319" s="3">
        <v>2</v>
      </c>
      <c r="AB9319" s="18">
        <f t="shared" si="290"/>
        <v>1993</v>
      </c>
      <c r="AC9319" s="22">
        <f t="shared" si="291"/>
        <v>0.4</v>
      </c>
    </row>
    <row r="9320" spans="1:29" ht="38.25">
      <c r="A9320" s="8" t="s">
        <v>1795</v>
      </c>
      <c r="B9320" s="17" t="s">
        <v>7745</v>
      </c>
      <c r="C9320" s="13">
        <v>34298</v>
      </c>
      <c r="D9320" s="13" t="s">
        <v>8465</v>
      </c>
      <c r="E9320" s="10" t="s">
        <v>72</v>
      </c>
      <c r="F9320" s="10" t="s">
        <v>72</v>
      </c>
      <c r="G9320" s="11" t="s">
        <v>215</v>
      </c>
      <c r="H9320" s="2" t="s">
        <v>56</v>
      </c>
      <c r="L9320" s="18">
        <v>0</v>
      </c>
      <c r="Q9320" s="18">
        <v>0</v>
      </c>
      <c r="U9320" s="22">
        <v>0.7</v>
      </c>
      <c r="V9320" s="22">
        <f>3.51/5</f>
        <v>0.70199999999999996</v>
      </c>
      <c r="X9320" s="3">
        <v>2</v>
      </c>
      <c r="Z9320" s="23">
        <v>3</v>
      </c>
      <c r="AB9320" s="18">
        <f t="shared" si="290"/>
        <v>1993</v>
      </c>
      <c r="AC9320" s="22">
        <f t="shared" si="291"/>
        <v>0.60066666666666668</v>
      </c>
    </row>
    <row r="9321" spans="1:29" ht="38.25">
      <c r="A9321" s="8" t="s">
        <v>15354</v>
      </c>
      <c r="B9321" s="17" t="s">
        <v>7751</v>
      </c>
      <c r="C9321" s="13">
        <v>34298</v>
      </c>
      <c r="D9321" s="13" t="s">
        <v>8465</v>
      </c>
      <c r="E9321" s="10" t="s">
        <v>2700</v>
      </c>
      <c r="F9321" s="10" t="s">
        <v>2700</v>
      </c>
      <c r="H9321" s="2" t="s">
        <v>64</v>
      </c>
      <c r="L9321" s="18">
        <v>0</v>
      </c>
      <c r="Q9321" s="18">
        <v>0</v>
      </c>
      <c r="V9321" s="22">
        <f>1.84/5</f>
        <v>0.36799999999999999</v>
      </c>
      <c r="X9321" s="3">
        <v>2</v>
      </c>
      <c r="Z9321" s="23">
        <v>4</v>
      </c>
      <c r="AB9321" s="18">
        <f t="shared" si="290"/>
        <v>1993</v>
      </c>
      <c r="AC9321" s="22">
        <f t="shared" si="291"/>
        <v>0.38400000000000001</v>
      </c>
    </row>
    <row r="9322" spans="1:29">
      <c r="A9322" s="8" t="s">
        <v>2787</v>
      </c>
      <c r="B9322" s="17" t="s">
        <v>7756</v>
      </c>
      <c r="C9322" s="13">
        <v>34296</v>
      </c>
      <c r="D9322" s="13" t="s">
        <v>8465</v>
      </c>
      <c r="E9322" s="10" t="s">
        <v>455</v>
      </c>
      <c r="F9322" s="10" t="s">
        <v>2510</v>
      </c>
      <c r="G9322" s="11" t="s">
        <v>1688</v>
      </c>
      <c r="H9322" s="2" t="s">
        <v>64</v>
      </c>
      <c r="L9322" s="18">
        <v>0</v>
      </c>
      <c r="Q9322" s="18">
        <v>0</v>
      </c>
      <c r="V9322" s="22">
        <f>3.48/5</f>
        <v>0.69599999999999995</v>
      </c>
      <c r="X9322" s="3">
        <v>3</v>
      </c>
      <c r="Z9322" s="23">
        <v>1</v>
      </c>
      <c r="AB9322" s="18">
        <f t="shared" si="290"/>
        <v>1993</v>
      </c>
      <c r="AC9322" s="22">
        <f t="shared" si="291"/>
        <v>0.64799999999999991</v>
      </c>
    </row>
    <row r="9323" spans="1:29" ht="25.5">
      <c r="A9323" s="8" t="s">
        <v>12918</v>
      </c>
      <c r="B9323" s="17" t="s">
        <v>7751</v>
      </c>
      <c r="C9323" s="13">
        <v>34296</v>
      </c>
      <c r="D9323" s="13" t="s">
        <v>8465</v>
      </c>
      <c r="E9323" s="10" t="s">
        <v>455</v>
      </c>
      <c r="F9323" s="10" t="s">
        <v>12919</v>
      </c>
      <c r="G9323" s="11" t="s">
        <v>1688</v>
      </c>
      <c r="H9323" s="2" t="s">
        <v>1383</v>
      </c>
      <c r="L9323" s="18">
        <v>0</v>
      </c>
      <c r="Q9323" s="18">
        <v>0</v>
      </c>
      <c r="V9323" s="22">
        <f>3.23/5</f>
        <v>0.64600000000000002</v>
      </c>
      <c r="X9323" s="3">
        <v>2</v>
      </c>
      <c r="Z9323" s="23">
        <v>2.5</v>
      </c>
      <c r="AB9323" s="18">
        <f t="shared" si="290"/>
        <v>1993</v>
      </c>
      <c r="AC9323" s="22">
        <f t="shared" si="291"/>
        <v>0.52300000000000002</v>
      </c>
    </row>
    <row r="9324" spans="1:29">
      <c r="A9324" s="8" t="s">
        <v>1443</v>
      </c>
      <c r="B9324" s="17" t="s">
        <v>7736</v>
      </c>
      <c r="C9324" s="13">
        <v>34294</v>
      </c>
      <c r="D9324" s="13" t="s">
        <v>8465</v>
      </c>
      <c r="E9324" s="10" t="s">
        <v>1259</v>
      </c>
      <c r="F9324" s="10" t="s">
        <v>1259</v>
      </c>
      <c r="G9324" s="11" t="s">
        <v>1331</v>
      </c>
      <c r="H9324" s="2" t="s">
        <v>64</v>
      </c>
      <c r="L9324" s="18">
        <v>0</v>
      </c>
      <c r="Q9324" s="18">
        <v>0</v>
      </c>
      <c r="U9324" s="22">
        <v>0.78</v>
      </c>
      <c r="V9324" s="22">
        <f>3.76/5</f>
        <v>0.752</v>
      </c>
      <c r="X9324" s="3">
        <v>4</v>
      </c>
      <c r="Z9324" s="23">
        <v>2</v>
      </c>
      <c r="AB9324" s="18">
        <f t="shared" si="290"/>
        <v>1993</v>
      </c>
      <c r="AC9324" s="22">
        <f t="shared" si="291"/>
        <v>0.77733333333333332</v>
      </c>
    </row>
    <row r="9325" spans="1:29" ht="30">
      <c r="A9325" s="8" t="s">
        <v>827</v>
      </c>
      <c r="B9325" s="17" t="s">
        <v>7736</v>
      </c>
      <c r="C9325" s="13">
        <v>34292</v>
      </c>
      <c r="D9325" s="13" t="s">
        <v>8463</v>
      </c>
      <c r="E9325" s="10" t="s">
        <v>1363</v>
      </c>
      <c r="F9325" s="10" t="s">
        <v>1420</v>
      </c>
      <c r="G9325" s="11" t="s">
        <v>304</v>
      </c>
      <c r="H9325" s="2" t="s">
        <v>171</v>
      </c>
      <c r="K9325" s="18">
        <v>2</v>
      </c>
      <c r="L9325" s="18">
        <v>0</v>
      </c>
      <c r="Q9325" s="18">
        <v>0</v>
      </c>
      <c r="V9325" s="22">
        <f>3.53/5</f>
        <v>0.70599999999999996</v>
      </c>
      <c r="X9325" s="3">
        <v>4</v>
      </c>
      <c r="Z9325" s="23">
        <v>8</v>
      </c>
      <c r="AB9325" s="18">
        <f t="shared" si="290"/>
        <v>1993</v>
      </c>
      <c r="AC9325" s="22">
        <f t="shared" si="291"/>
        <v>0.753</v>
      </c>
    </row>
    <row r="9326" spans="1:29">
      <c r="A9326" s="8" t="s">
        <v>15767</v>
      </c>
      <c r="B9326" s="17" t="s">
        <v>7736</v>
      </c>
      <c r="C9326" s="13">
        <v>34288</v>
      </c>
      <c r="D9326" s="13" t="s">
        <v>8465</v>
      </c>
      <c r="E9326" s="10" t="s">
        <v>1272</v>
      </c>
      <c r="F9326" s="10" t="s">
        <v>1328</v>
      </c>
      <c r="G9326" s="11" t="s">
        <v>15767</v>
      </c>
      <c r="H9326" s="2" t="s">
        <v>459</v>
      </c>
      <c r="L9326" s="18">
        <v>0</v>
      </c>
      <c r="Q9326" s="18">
        <v>0</v>
      </c>
      <c r="V9326" s="22">
        <f>2.92/5</f>
        <v>0.58399999999999996</v>
      </c>
      <c r="X9326" s="3">
        <v>2</v>
      </c>
      <c r="Z9326" s="23">
        <f>56/60</f>
        <v>0.93333333333333335</v>
      </c>
      <c r="AB9326" s="18">
        <f t="shared" si="290"/>
        <v>1993</v>
      </c>
      <c r="AC9326" s="22">
        <f t="shared" si="291"/>
        <v>0.49199999999999999</v>
      </c>
    </row>
    <row r="9327" spans="1:29">
      <c r="A9327" s="8" t="s">
        <v>742</v>
      </c>
      <c r="B9327" s="17" t="s">
        <v>7736</v>
      </c>
      <c r="C9327" s="13">
        <v>34285</v>
      </c>
      <c r="D9327" s="13" t="s">
        <v>8463</v>
      </c>
      <c r="E9327" s="10" t="s">
        <v>157</v>
      </c>
      <c r="F9327" s="10" t="s">
        <v>1353</v>
      </c>
      <c r="G9327" s="11" t="s">
        <v>742</v>
      </c>
      <c r="H9327" s="2" t="s">
        <v>459</v>
      </c>
      <c r="K9327" s="18">
        <v>0</v>
      </c>
      <c r="L9327" s="18">
        <v>0</v>
      </c>
      <c r="Q9327" s="18">
        <v>0</v>
      </c>
      <c r="V9327" s="22">
        <f>3.3/5</f>
        <v>0.65999999999999992</v>
      </c>
      <c r="X9327" s="3">
        <v>2</v>
      </c>
      <c r="Z9327" s="23">
        <f>40/60</f>
        <v>0.66666666666666663</v>
      </c>
      <c r="AB9327" s="18">
        <f t="shared" si="290"/>
        <v>1993</v>
      </c>
      <c r="AC9327" s="22">
        <f t="shared" si="291"/>
        <v>0.53</v>
      </c>
    </row>
    <row r="9328" spans="1:29">
      <c r="A9328" s="8" t="s">
        <v>1443</v>
      </c>
      <c r="B9328" s="17" t="s">
        <v>7751</v>
      </c>
      <c r="C9328" s="13">
        <v>34284</v>
      </c>
      <c r="D9328" s="13" t="s">
        <v>8465</v>
      </c>
      <c r="E9328" s="10" t="s">
        <v>455</v>
      </c>
      <c r="F9328" s="10" t="s">
        <v>1259</v>
      </c>
      <c r="G9328" s="11" t="s">
        <v>1331</v>
      </c>
      <c r="H9328" s="2" t="s">
        <v>64</v>
      </c>
      <c r="L9328" s="18">
        <v>0</v>
      </c>
      <c r="Q9328" s="18">
        <v>0</v>
      </c>
      <c r="U9328" s="22">
        <v>0.88</v>
      </c>
      <c r="V9328" s="22">
        <f>3.81/5</f>
        <v>0.76200000000000001</v>
      </c>
      <c r="X9328" s="3">
        <v>4</v>
      </c>
      <c r="Z9328" s="23">
        <v>2</v>
      </c>
      <c r="AB9328" s="18">
        <f t="shared" si="290"/>
        <v>1993</v>
      </c>
      <c r="AC9328" s="22">
        <f t="shared" si="291"/>
        <v>0.81400000000000006</v>
      </c>
    </row>
    <row r="9329" spans="1:29">
      <c r="A9329" s="8" t="s">
        <v>3727</v>
      </c>
      <c r="B9329" s="17" t="s">
        <v>7800</v>
      </c>
      <c r="C9329" s="13">
        <v>34276</v>
      </c>
      <c r="D9329" s="13" t="s">
        <v>8465</v>
      </c>
      <c r="E9329" s="10" t="s">
        <v>3304</v>
      </c>
      <c r="F9329" s="10" t="s">
        <v>3304</v>
      </c>
      <c r="G9329" s="11" t="s">
        <v>3723</v>
      </c>
      <c r="H9329" s="2" t="s">
        <v>56</v>
      </c>
      <c r="L9329" s="18">
        <v>1</v>
      </c>
      <c r="N9329" s="13">
        <v>42359</v>
      </c>
      <c r="P9329" s="18" t="s">
        <v>1107</v>
      </c>
      <c r="Q9329" s="18">
        <v>0</v>
      </c>
      <c r="V9329" s="22">
        <f>3.57/5</f>
        <v>0.71399999999999997</v>
      </c>
      <c r="W9329" s="14" t="s">
        <v>7777</v>
      </c>
      <c r="X9329" s="3">
        <v>2</v>
      </c>
      <c r="Z9329" s="23">
        <v>4</v>
      </c>
      <c r="AB9329" s="18">
        <f t="shared" si="290"/>
        <v>1993</v>
      </c>
      <c r="AC9329" s="22">
        <f t="shared" si="291"/>
        <v>0.55699999999999994</v>
      </c>
    </row>
    <row r="9330" spans="1:29" ht="25.5">
      <c r="A9330" s="8" t="s">
        <v>6861</v>
      </c>
      <c r="B9330" s="17" t="s">
        <v>7800</v>
      </c>
      <c r="C9330" s="12">
        <v>34274</v>
      </c>
      <c r="D9330" s="13" t="s">
        <v>8465</v>
      </c>
      <c r="E9330" s="10" t="s">
        <v>1284</v>
      </c>
      <c r="F9330" s="10" t="s">
        <v>1284</v>
      </c>
      <c r="G9330" s="11" t="s">
        <v>4908</v>
      </c>
      <c r="H9330" s="2" t="s">
        <v>67</v>
      </c>
      <c r="L9330" s="18">
        <v>0</v>
      </c>
      <c r="Q9330" s="18">
        <v>0</v>
      </c>
      <c r="U9330" s="22">
        <v>0.84</v>
      </c>
      <c r="V9330" s="22">
        <f>4.1/5</f>
        <v>0.82</v>
      </c>
      <c r="X9330" s="3">
        <v>4</v>
      </c>
      <c r="Z9330" s="23">
        <v>5.5</v>
      </c>
      <c r="AB9330" s="18">
        <f t="shared" si="290"/>
        <v>1993</v>
      </c>
      <c r="AC9330" s="22">
        <f t="shared" si="291"/>
        <v>0.82</v>
      </c>
    </row>
    <row r="9331" spans="1:29" ht="25.5">
      <c r="A9331" s="8" t="s">
        <v>713</v>
      </c>
      <c r="B9331" s="17" t="s">
        <v>7736</v>
      </c>
      <c r="C9331" s="12">
        <v>34274</v>
      </c>
      <c r="D9331" s="13" t="s">
        <v>8465</v>
      </c>
      <c r="E9331" s="10" t="s">
        <v>54</v>
      </c>
      <c r="F9331" s="10" t="s">
        <v>1269</v>
      </c>
      <c r="G9331" s="11" t="s">
        <v>1270</v>
      </c>
      <c r="H9331" s="2" t="s">
        <v>149</v>
      </c>
      <c r="L9331" s="18">
        <v>0</v>
      </c>
      <c r="Q9331" s="18">
        <v>0</v>
      </c>
      <c r="U9331" s="22">
        <v>0.69</v>
      </c>
      <c r="V9331" s="22">
        <f>3.68/5</f>
        <v>0.73599999999999999</v>
      </c>
      <c r="X9331" s="3">
        <v>4</v>
      </c>
      <c r="Z9331" s="23">
        <v>25.5</v>
      </c>
      <c r="AB9331" s="18">
        <f t="shared" si="290"/>
        <v>1993</v>
      </c>
      <c r="AC9331" s="22">
        <f t="shared" si="291"/>
        <v>0.74199999999999999</v>
      </c>
    </row>
    <row r="9332" spans="1:29">
      <c r="A9332" s="8" t="s">
        <v>699</v>
      </c>
      <c r="B9332" s="17" t="s">
        <v>7736</v>
      </c>
      <c r="C9332" s="12">
        <v>34274</v>
      </c>
      <c r="D9332" s="13" t="s">
        <v>8465</v>
      </c>
      <c r="E9332" s="10" t="s">
        <v>257</v>
      </c>
      <c r="F9332" s="10" t="s">
        <v>1252</v>
      </c>
      <c r="G9332" s="11" t="s">
        <v>585</v>
      </c>
      <c r="H9332" s="2" t="s">
        <v>56</v>
      </c>
      <c r="L9332" s="18">
        <v>0</v>
      </c>
      <c r="Q9332" s="18">
        <v>0</v>
      </c>
      <c r="U9332" s="22">
        <v>0.79</v>
      </c>
      <c r="V9332" s="22">
        <f>3.17/5</f>
        <v>0.63400000000000001</v>
      </c>
      <c r="X9332" s="3">
        <v>4</v>
      </c>
      <c r="Z9332" s="23">
        <v>4.5</v>
      </c>
      <c r="AB9332" s="18">
        <f t="shared" si="290"/>
        <v>1993</v>
      </c>
      <c r="AC9332" s="22">
        <f t="shared" si="291"/>
        <v>0.7413333333333334</v>
      </c>
    </row>
    <row r="9333" spans="1:29">
      <c r="A9333" s="8" t="s">
        <v>1440</v>
      </c>
      <c r="B9333" s="17" t="s">
        <v>7736</v>
      </c>
      <c r="C9333" s="12">
        <v>34274</v>
      </c>
      <c r="D9333" s="13" t="s">
        <v>8467</v>
      </c>
      <c r="E9333" s="10" t="s">
        <v>72</v>
      </c>
      <c r="F9333" s="10" t="s">
        <v>72</v>
      </c>
      <c r="G9333" s="11" t="s">
        <v>230</v>
      </c>
      <c r="H9333" s="2" t="s">
        <v>21</v>
      </c>
      <c r="L9333" s="18">
        <v>0</v>
      </c>
      <c r="Q9333" s="18">
        <v>0</v>
      </c>
      <c r="V9333" s="22">
        <f>3.77/5</f>
        <v>0.754</v>
      </c>
      <c r="X9333" s="3">
        <v>3</v>
      </c>
      <c r="Z9333" s="23">
        <v>1</v>
      </c>
      <c r="AB9333" s="18">
        <f t="shared" si="290"/>
        <v>1993</v>
      </c>
      <c r="AC9333" s="22">
        <f t="shared" si="291"/>
        <v>0.67700000000000005</v>
      </c>
    </row>
    <row r="9334" spans="1:29" ht="25.5">
      <c r="A9334" s="8" t="s">
        <v>6804</v>
      </c>
      <c r="B9334" s="17" t="s">
        <v>7800</v>
      </c>
      <c r="C9334" s="12">
        <v>34274</v>
      </c>
      <c r="D9334" s="13" t="s">
        <v>8465</v>
      </c>
      <c r="E9334" s="10" t="s">
        <v>1496</v>
      </c>
      <c r="F9334" s="10" t="s">
        <v>1496</v>
      </c>
      <c r="G9334" s="11" t="s">
        <v>6901</v>
      </c>
      <c r="H9334" s="2" t="s">
        <v>67</v>
      </c>
      <c r="L9334" s="18">
        <v>1</v>
      </c>
      <c r="N9334" s="13">
        <v>43956</v>
      </c>
      <c r="O9334" s="29">
        <v>0</v>
      </c>
      <c r="P9334" s="18" t="s">
        <v>1107</v>
      </c>
      <c r="Q9334" s="18">
        <v>0</v>
      </c>
      <c r="U9334" s="22">
        <v>0.8</v>
      </c>
      <c r="V9334" s="22">
        <f>3.35/5</f>
        <v>0.67</v>
      </c>
      <c r="W9334" s="14" t="s">
        <v>7777</v>
      </c>
      <c r="X9334" s="3">
        <v>3</v>
      </c>
      <c r="Z9334" s="23">
        <v>6</v>
      </c>
      <c r="AB9334" s="18">
        <f t="shared" si="290"/>
        <v>1993</v>
      </c>
      <c r="AC9334" s="22">
        <f t="shared" si="291"/>
        <v>0.69000000000000006</v>
      </c>
    </row>
    <row r="9335" spans="1:29">
      <c r="A9335" s="8" t="s">
        <v>625</v>
      </c>
      <c r="B9335" s="17" t="s">
        <v>7736</v>
      </c>
      <c r="C9335" s="12">
        <v>34274</v>
      </c>
      <c r="D9335" s="13" t="s">
        <v>8465</v>
      </c>
      <c r="E9335" s="10" t="s">
        <v>1273</v>
      </c>
      <c r="F9335" s="10" t="s">
        <v>1274</v>
      </c>
      <c r="H9335" s="2" t="s">
        <v>21</v>
      </c>
      <c r="L9335" s="18">
        <v>0</v>
      </c>
      <c r="Q9335" s="18">
        <v>0</v>
      </c>
      <c r="U9335" s="22">
        <v>0.65</v>
      </c>
      <c r="V9335" s="22">
        <f>3.62/5</f>
        <v>0.72399999999999998</v>
      </c>
      <c r="X9335" s="3">
        <v>2</v>
      </c>
      <c r="Z9335" s="23">
        <v>1.5</v>
      </c>
      <c r="AB9335" s="18">
        <f t="shared" si="290"/>
        <v>1993</v>
      </c>
      <c r="AC9335" s="22">
        <f t="shared" si="291"/>
        <v>0.59133333333333338</v>
      </c>
    </row>
    <row r="9336" spans="1:29" ht="25.5">
      <c r="A9336" s="8" t="s">
        <v>7619</v>
      </c>
      <c r="B9336" s="17" t="s">
        <v>7745</v>
      </c>
      <c r="C9336" s="12">
        <v>34274</v>
      </c>
      <c r="D9336" s="13" t="s">
        <v>8465</v>
      </c>
      <c r="E9336" s="10" t="s">
        <v>1273</v>
      </c>
      <c r="F9336" s="10" t="s">
        <v>7620</v>
      </c>
      <c r="G9336" s="11" t="s">
        <v>442</v>
      </c>
      <c r="H9336" s="2" t="s">
        <v>56</v>
      </c>
      <c r="L9336" s="18">
        <v>0</v>
      </c>
      <c r="Q9336" s="18">
        <v>0</v>
      </c>
      <c r="U9336" s="22">
        <v>0.61</v>
      </c>
      <c r="V9336" s="22">
        <f>2.19/5</f>
        <v>0.438</v>
      </c>
      <c r="X9336" s="3">
        <v>2</v>
      </c>
      <c r="AB9336" s="18">
        <f t="shared" si="290"/>
        <v>1993</v>
      </c>
      <c r="AC9336" s="22">
        <f t="shared" si="291"/>
        <v>0.48266666666666663</v>
      </c>
    </row>
    <row r="9337" spans="1:29" ht="25.5">
      <c r="A9337" s="8" t="s">
        <v>8071</v>
      </c>
      <c r="B9337" s="17" t="s">
        <v>7752</v>
      </c>
      <c r="C9337" s="12">
        <v>34274</v>
      </c>
      <c r="D9337" s="13" t="s">
        <v>8465</v>
      </c>
      <c r="E9337" s="10" t="s">
        <v>1284</v>
      </c>
      <c r="F9337" s="10" t="s">
        <v>1284</v>
      </c>
      <c r="G9337" s="11" t="s">
        <v>1481</v>
      </c>
      <c r="H9337" s="2" t="s">
        <v>1170</v>
      </c>
      <c r="L9337" s="18">
        <v>0</v>
      </c>
      <c r="Q9337" s="18">
        <v>0</v>
      </c>
      <c r="U9337" s="22">
        <v>0.4</v>
      </c>
      <c r="V9337" s="22">
        <f>3.02/5</f>
        <v>0.60399999999999998</v>
      </c>
      <c r="X9337" s="3">
        <v>2</v>
      </c>
      <c r="Z9337" s="23">
        <v>4</v>
      </c>
      <c r="AB9337" s="18">
        <f t="shared" si="290"/>
        <v>1993</v>
      </c>
      <c r="AC9337" s="22">
        <f t="shared" si="291"/>
        <v>0.46799999999999997</v>
      </c>
    </row>
    <row r="9338" spans="1:29">
      <c r="A9338" s="8" t="s">
        <v>15513</v>
      </c>
      <c r="B9338" s="17" t="s">
        <v>7736</v>
      </c>
      <c r="C9338" s="12">
        <v>34274</v>
      </c>
      <c r="D9338" s="13" t="s">
        <v>8465</v>
      </c>
      <c r="E9338" s="10" t="s">
        <v>76</v>
      </c>
      <c r="F9338" s="10" t="s">
        <v>76</v>
      </c>
      <c r="G9338" s="11" t="s">
        <v>15512</v>
      </c>
      <c r="H9338" s="2" t="s">
        <v>255</v>
      </c>
      <c r="L9338" s="18">
        <v>0</v>
      </c>
      <c r="Q9338" s="18">
        <v>0</v>
      </c>
      <c r="V9338" s="22">
        <f>3.8/5</f>
        <v>0.76</v>
      </c>
      <c r="X9338" s="3">
        <v>2</v>
      </c>
      <c r="Z9338" s="23">
        <v>18</v>
      </c>
      <c r="AB9338" s="18">
        <f t="shared" si="290"/>
        <v>1993</v>
      </c>
      <c r="AC9338" s="22">
        <f t="shared" si="291"/>
        <v>0.58000000000000007</v>
      </c>
    </row>
    <row r="9339" spans="1:29" ht="25.5">
      <c r="A9339" s="8" t="s">
        <v>15896</v>
      </c>
      <c r="B9339" s="17" t="s">
        <v>7745</v>
      </c>
      <c r="C9339" s="12">
        <v>34274</v>
      </c>
      <c r="D9339" s="13" t="s">
        <v>8465</v>
      </c>
      <c r="E9339" s="10" t="s">
        <v>72</v>
      </c>
      <c r="F9339" s="10" t="s">
        <v>72</v>
      </c>
      <c r="G9339" s="11" t="s">
        <v>207</v>
      </c>
      <c r="H9339" s="2" t="s">
        <v>56</v>
      </c>
      <c r="L9339" s="18">
        <v>0</v>
      </c>
      <c r="Q9339" s="18">
        <v>0</v>
      </c>
      <c r="V9339" s="22">
        <f>3.34/5</f>
        <v>0.66799999999999993</v>
      </c>
      <c r="X9339" s="3">
        <v>2</v>
      </c>
      <c r="Z9339" s="23">
        <v>3</v>
      </c>
      <c r="AB9339" s="18">
        <f t="shared" si="290"/>
        <v>1993</v>
      </c>
      <c r="AC9339" s="22">
        <f t="shared" si="291"/>
        <v>0.53400000000000003</v>
      </c>
    </row>
    <row r="9340" spans="1:29" ht="25.5">
      <c r="A9340" s="8" t="s">
        <v>2889</v>
      </c>
      <c r="B9340" s="17" t="s">
        <v>7790</v>
      </c>
      <c r="C9340" s="13">
        <v>34271</v>
      </c>
      <c r="D9340" s="13" t="s">
        <v>8463</v>
      </c>
      <c r="E9340" s="10" t="s">
        <v>72</v>
      </c>
      <c r="F9340" s="10" t="s">
        <v>72</v>
      </c>
      <c r="G9340" s="11" t="s">
        <v>113</v>
      </c>
      <c r="H9340" s="2" t="s">
        <v>151</v>
      </c>
      <c r="K9340" s="18">
        <v>2</v>
      </c>
      <c r="L9340" s="18">
        <v>0</v>
      </c>
      <c r="Q9340" s="18">
        <v>0</v>
      </c>
      <c r="V9340" s="22">
        <f>4.37/5</f>
        <v>0.874</v>
      </c>
      <c r="X9340" s="3">
        <v>4</v>
      </c>
      <c r="Z9340" s="23">
        <v>3.5</v>
      </c>
      <c r="AB9340" s="18">
        <f t="shared" si="290"/>
        <v>1993</v>
      </c>
      <c r="AC9340" s="22">
        <f t="shared" si="291"/>
        <v>0.83699999999999997</v>
      </c>
    </row>
    <row r="9341" spans="1:29">
      <c r="A9341" s="8" t="s">
        <v>11880</v>
      </c>
      <c r="B9341" s="17" t="s">
        <v>7736</v>
      </c>
      <c r="C9341" s="13">
        <v>34265</v>
      </c>
      <c r="D9341" s="13" t="s">
        <v>8463</v>
      </c>
      <c r="E9341" s="10" t="s">
        <v>239</v>
      </c>
      <c r="F9341" s="10" t="s">
        <v>239</v>
      </c>
      <c r="G9341" s="11" t="s">
        <v>7640</v>
      </c>
      <c r="H9341" s="2" t="s">
        <v>171</v>
      </c>
      <c r="K9341" s="18">
        <v>2</v>
      </c>
      <c r="L9341" s="18">
        <v>0</v>
      </c>
      <c r="Q9341" s="18">
        <v>0</v>
      </c>
      <c r="V9341" s="22">
        <f>3.21/5</f>
        <v>0.64200000000000002</v>
      </c>
      <c r="X9341" s="3">
        <v>2</v>
      </c>
      <c r="AB9341" s="18">
        <f t="shared" si="290"/>
        <v>1993</v>
      </c>
      <c r="AC9341" s="22">
        <f t="shared" si="291"/>
        <v>0.52100000000000002</v>
      </c>
    </row>
    <row r="9342" spans="1:29" ht="38.25">
      <c r="A9342" s="8" t="s">
        <v>11872</v>
      </c>
      <c r="B9342" s="17" t="s">
        <v>7736</v>
      </c>
      <c r="C9342" s="13">
        <v>34264</v>
      </c>
      <c r="D9342" s="13" t="s">
        <v>8463</v>
      </c>
      <c r="E9342" s="10" t="s">
        <v>1314</v>
      </c>
      <c r="F9342" s="10" t="s">
        <v>11874</v>
      </c>
      <c r="G9342" s="11" t="s">
        <v>11873</v>
      </c>
      <c r="H9342" s="2" t="s">
        <v>149</v>
      </c>
      <c r="K9342" s="18">
        <v>2</v>
      </c>
      <c r="L9342" s="18">
        <v>0</v>
      </c>
      <c r="Q9342" s="18">
        <v>0</v>
      </c>
      <c r="V9342" s="22">
        <f>3.48/5</f>
        <v>0.69599999999999995</v>
      </c>
      <c r="X9342" s="3">
        <v>3</v>
      </c>
      <c r="Z9342" s="23">
        <v>12</v>
      </c>
      <c r="AB9342" s="18">
        <f t="shared" si="290"/>
        <v>1993</v>
      </c>
      <c r="AC9342" s="22">
        <f t="shared" si="291"/>
        <v>0.64799999999999991</v>
      </c>
    </row>
    <row r="9343" spans="1:29">
      <c r="A9343" s="8" t="s">
        <v>15934</v>
      </c>
      <c r="B9343" s="17" t="s">
        <v>7790</v>
      </c>
      <c r="C9343" s="13">
        <v>34264</v>
      </c>
      <c r="D9343" s="13" t="s">
        <v>8463</v>
      </c>
      <c r="E9343" s="10" t="s">
        <v>1363</v>
      </c>
      <c r="F9343" s="10" t="s">
        <v>167</v>
      </c>
      <c r="H9343" s="2" t="s">
        <v>21</v>
      </c>
      <c r="K9343" s="18">
        <v>0</v>
      </c>
      <c r="L9343" s="18">
        <v>0</v>
      </c>
      <c r="Q9343" s="18">
        <v>0</v>
      </c>
      <c r="V9343" s="22">
        <f>3.69/5</f>
        <v>0.73799999999999999</v>
      </c>
      <c r="X9343" s="3">
        <v>2</v>
      </c>
      <c r="Z9343" s="23">
        <v>1</v>
      </c>
      <c r="AB9343" s="18">
        <f t="shared" si="290"/>
        <v>1993</v>
      </c>
      <c r="AC9343" s="22">
        <f t="shared" si="291"/>
        <v>0.56899999999999995</v>
      </c>
    </row>
    <row r="9344" spans="1:29" ht="30">
      <c r="A9344" s="8" t="s">
        <v>10920</v>
      </c>
      <c r="B9344" s="17" t="s">
        <v>10323</v>
      </c>
      <c r="C9344" s="13">
        <v>34257</v>
      </c>
      <c r="D9344" s="13" t="s">
        <v>8463</v>
      </c>
      <c r="E9344" s="10" t="s">
        <v>10919</v>
      </c>
      <c r="F9344" s="10" t="s">
        <v>10919</v>
      </c>
      <c r="G9344" s="11" t="s">
        <v>10920</v>
      </c>
      <c r="H9344" s="2" t="s">
        <v>75</v>
      </c>
      <c r="K9344" s="18">
        <v>2</v>
      </c>
      <c r="L9344" s="18">
        <v>0</v>
      </c>
      <c r="Q9344" s="18">
        <v>0</v>
      </c>
      <c r="V9344" s="22">
        <f>3.5/5</f>
        <v>0.7</v>
      </c>
      <c r="X9344" s="3">
        <v>2</v>
      </c>
      <c r="Z9344" s="23">
        <v>20</v>
      </c>
      <c r="AB9344" s="18">
        <f t="shared" si="290"/>
        <v>1993</v>
      </c>
      <c r="AC9344" s="22">
        <f t="shared" si="291"/>
        <v>0.55000000000000004</v>
      </c>
    </row>
    <row r="9345" spans="1:29">
      <c r="A9345" s="8" t="s">
        <v>634</v>
      </c>
      <c r="B9345" s="17" t="s">
        <v>7736</v>
      </c>
      <c r="C9345" s="13">
        <v>34254</v>
      </c>
      <c r="D9345" s="13" t="s">
        <v>8465</v>
      </c>
      <c r="E9345" s="10" t="s">
        <v>160</v>
      </c>
      <c r="F9345" s="10" t="s">
        <v>1279</v>
      </c>
      <c r="G9345" s="11" t="s">
        <v>634</v>
      </c>
      <c r="H9345" s="2" t="s">
        <v>64</v>
      </c>
      <c r="L9345" s="18">
        <v>0</v>
      </c>
      <c r="Q9345" s="18">
        <v>0</v>
      </c>
      <c r="U9345" s="22">
        <v>0.72</v>
      </c>
      <c r="V9345" s="22">
        <f>3.19/5</f>
        <v>0.63800000000000001</v>
      </c>
      <c r="X9345" s="3">
        <v>2</v>
      </c>
      <c r="Z9345" s="23">
        <v>5</v>
      </c>
      <c r="AB9345" s="18">
        <f t="shared" ref="AB9345:AB9408" si="292">IFERROR(YEAR(C9345), "Early Access")</f>
        <v>1993</v>
      </c>
      <c r="AC9345" s="22">
        <f t="shared" ref="AC9345:AC9408" si="293">AVERAGE(T9345, U9345, V9345, IF(ISBLANK(X9345), X9345, X9345/5))</f>
        <v>0.58599999999999997</v>
      </c>
    </row>
    <row r="9346" spans="1:29" ht="25.5">
      <c r="A9346" s="8" t="s">
        <v>1177</v>
      </c>
      <c r="B9346" s="17" t="s">
        <v>7791</v>
      </c>
      <c r="C9346" s="13">
        <v>34252</v>
      </c>
      <c r="D9346" s="13" t="s">
        <v>8465</v>
      </c>
      <c r="E9346" s="10" t="s">
        <v>1179</v>
      </c>
      <c r="F9346" s="10" t="s">
        <v>1181</v>
      </c>
      <c r="G9346" s="11" t="s">
        <v>85</v>
      </c>
      <c r="H9346" s="2" t="s">
        <v>80</v>
      </c>
      <c r="L9346" s="18">
        <v>0</v>
      </c>
      <c r="Q9346" s="18">
        <v>0</v>
      </c>
      <c r="V9346" s="22">
        <f>2.58/5</f>
        <v>0.51600000000000001</v>
      </c>
      <c r="X9346" s="3">
        <v>2</v>
      </c>
      <c r="Y9346" s="18">
        <v>1</v>
      </c>
      <c r="Z9346" s="23">
        <v>2</v>
      </c>
      <c r="AB9346" s="18">
        <f t="shared" si="292"/>
        <v>1993</v>
      </c>
      <c r="AC9346" s="22">
        <f t="shared" si="293"/>
        <v>0.45800000000000002</v>
      </c>
    </row>
    <row r="9347" spans="1:29">
      <c r="A9347" s="8" t="s">
        <v>1175</v>
      </c>
      <c r="B9347" s="17" t="s">
        <v>7791</v>
      </c>
      <c r="C9347" s="13">
        <v>34252</v>
      </c>
      <c r="D9347" s="13" t="s">
        <v>8465</v>
      </c>
      <c r="E9347" s="10" t="s">
        <v>1179</v>
      </c>
      <c r="F9347" s="10" t="s">
        <v>1181</v>
      </c>
      <c r="G9347" s="11" t="s">
        <v>85</v>
      </c>
      <c r="H9347" s="2" t="s">
        <v>80</v>
      </c>
      <c r="L9347" s="18">
        <v>0</v>
      </c>
      <c r="Q9347" s="18">
        <v>0</v>
      </c>
      <c r="V9347" s="22">
        <f>2.33/5</f>
        <v>0.46600000000000003</v>
      </c>
      <c r="X9347" s="3">
        <v>2</v>
      </c>
      <c r="Y9347" s="18">
        <v>1</v>
      </c>
      <c r="Z9347" s="23">
        <v>2.5</v>
      </c>
      <c r="AB9347" s="18">
        <f t="shared" si="292"/>
        <v>1993</v>
      </c>
      <c r="AC9347" s="22">
        <f t="shared" si="293"/>
        <v>0.43300000000000005</v>
      </c>
    </row>
    <row r="9348" spans="1:29">
      <c r="A9348" s="8" t="s">
        <v>1445</v>
      </c>
      <c r="B9348" s="17" t="s">
        <v>7736</v>
      </c>
      <c r="C9348" s="12">
        <v>34243</v>
      </c>
      <c r="D9348" s="13" t="s">
        <v>8465</v>
      </c>
      <c r="E9348" s="10" t="s">
        <v>257</v>
      </c>
      <c r="F9348" s="10" t="s">
        <v>1336</v>
      </c>
      <c r="G9348" s="11" t="s">
        <v>1337</v>
      </c>
      <c r="H9348" s="2" t="s">
        <v>149</v>
      </c>
      <c r="L9348" s="18">
        <v>0</v>
      </c>
      <c r="Q9348" s="18">
        <v>0</v>
      </c>
      <c r="U9348" s="22">
        <v>0.42</v>
      </c>
      <c r="V9348" s="22">
        <f>3.38/5</f>
        <v>0.67599999999999993</v>
      </c>
      <c r="X9348" s="3">
        <v>4</v>
      </c>
      <c r="Z9348" s="23">
        <v>25</v>
      </c>
      <c r="AB9348" s="18">
        <f t="shared" si="292"/>
        <v>1993</v>
      </c>
      <c r="AC9348" s="22">
        <f t="shared" si="293"/>
        <v>0.63200000000000001</v>
      </c>
    </row>
    <row r="9349" spans="1:29">
      <c r="A9349" s="8" t="s">
        <v>11583</v>
      </c>
      <c r="B9349" s="17" t="s">
        <v>7790</v>
      </c>
      <c r="C9349" s="12">
        <v>34243</v>
      </c>
      <c r="D9349" s="13" t="s">
        <v>8465</v>
      </c>
      <c r="E9349" s="10" t="s">
        <v>2894</v>
      </c>
      <c r="F9349" s="10" t="s">
        <v>62</v>
      </c>
      <c r="G9349" s="11" t="s">
        <v>7810</v>
      </c>
      <c r="H9349" s="2" t="s">
        <v>171</v>
      </c>
      <c r="L9349" s="18">
        <v>0</v>
      </c>
      <c r="Q9349" s="18">
        <v>0</v>
      </c>
      <c r="V9349" s="22">
        <f>3.71/5</f>
        <v>0.74199999999999999</v>
      </c>
      <c r="X9349" s="3">
        <v>2</v>
      </c>
      <c r="Z9349" s="23">
        <v>5</v>
      </c>
      <c r="AB9349" s="18">
        <f t="shared" si="292"/>
        <v>1993</v>
      </c>
      <c r="AC9349" s="22">
        <f t="shared" si="293"/>
        <v>0.57099999999999995</v>
      </c>
    </row>
    <row r="9350" spans="1:29" ht="25.5">
      <c r="A9350" s="8" t="s">
        <v>12328</v>
      </c>
      <c r="B9350" s="17" t="s">
        <v>7745</v>
      </c>
      <c r="C9350" s="13">
        <v>34237</v>
      </c>
      <c r="D9350" s="13" t="s">
        <v>8463</v>
      </c>
      <c r="E9350" s="10" t="s">
        <v>9240</v>
      </c>
      <c r="F9350" s="10" t="s">
        <v>6885</v>
      </c>
      <c r="G9350" s="11" t="s">
        <v>5566</v>
      </c>
      <c r="H9350" s="2" t="s">
        <v>149</v>
      </c>
      <c r="K9350" s="18">
        <v>2</v>
      </c>
      <c r="L9350" s="18">
        <v>0</v>
      </c>
      <c r="Q9350" s="18">
        <v>0</v>
      </c>
      <c r="V9350" s="22">
        <f>3.62/5</f>
        <v>0.72399999999999998</v>
      </c>
      <c r="X9350" s="3">
        <v>3</v>
      </c>
      <c r="Z9350" s="23">
        <v>39</v>
      </c>
      <c r="AB9350" s="18">
        <f t="shared" si="292"/>
        <v>1993</v>
      </c>
      <c r="AC9350" s="22">
        <f t="shared" si="293"/>
        <v>0.66199999999999992</v>
      </c>
    </row>
    <row r="9351" spans="1:29" ht="38.25">
      <c r="A9351" s="8" t="s">
        <v>736</v>
      </c>
      <c r="B9351" s="17" t="s">
        <v>7736</v>
      </c>
      <c r="C9351" s="13">
        <v>34235</v>
      </c>
      <c r="D9351" s="13" t="s">
        <v>8463</v>
      </c>
      <c r="E9351" s="10" t="s">
        <v>1347</v>
      </c>
      <c r="F9351" s="10" t="s">
        <v>66</v>
      </c>
      <c r="G9351" s="11" t="s">
        <v>1348</v>
      </c>
      <c r="H9351" s="2" t="s">
        <v>56</v>
      </c>
      <c r="K9351" s="18">
        <v>0</v>
      </c>
      <c r="L9351" s="18">
        <v>0</v>
      </c>
      <c r="Q9351" s="18">
        <v>0</v>
      </c>
      <c r="V9351" s="22">
        <f>3.68/5</f>
        <v>0.73599999999999999</v>
      </c>
      <c r="X9351" s="3">
        <v>2</v>
      </c>
      <c r="Z9351" s="23">
        <v>1</v>
      </c>
      <c r="AB9351" s="18">
        <f t="shared" si="292"/>
        <v>1993</v>
      </c>
      <c r="AC9351" s="22">
        <f t="shared" si="293"/>
        <v>0.56800000000000006</v>
      </c>
    </row>
    <row r="9352" spans="1:29" ht="25.5">
      <c r="A9352" s="8" t="s">
        <v>667</v>
      </c>
      <c r="B9352" s="17" t="s">
        <v>7736</v>
      </c>
      <c r="C9352" s="13">
        <v>34235</v>
      </c>
      <c r="D9352" s="13" t="s">
        <v>8465</v>
      </c>
      <c r="E9352" s="10" t="s">
        <v>68</v>
      </c>
      <c r="F9352" s="10" t="s">
        <v>68</v>
      </c>
      <c r="G9352" s="11" t="s">
        <v>1306</v>
      </c>
      <c r="H9352" s="2" t="s">
        <v>61</v>
      </c>
      <c r="L9352" s="18">
        <v>0</v>
      </c>
      <c r="Q9352" s="18">
        <v>0</v>
      </c>
      <c r="U9352" s="22">
        <v>0.7</v>
      </c>
      <c r="V9352" s="22">
        <f>3.69/5</f>
        <v>0.73799999999999999</v>
      </c>
      <c r="X9352" s="3">
        <v>2</v>
      </c>
      <c r="Z9352" s="23">
        <v>25</v>
      </c>
      <c r="AB9352" s="18">
        <f t="shared" si="292"/>
        <v>1993</v>
      </c>
      <c r="AC9352" s="22">
        <f t="shared" si="293"/>
        <v>0.61266666666666669</v>
      </c>
    </row>
    <row r="9353" spans="1:29" ht="25.5">
      <c r="A9353" s="8" t="s">
        <v>2351</v>
      </c>
      <c r="B9353" s="17" t="s">
        <v>7736</v>
      </c>
      <c r="C9353" s="13">
        <v>34231</v>
      </c>
      <c r="D9353" s="13" t="s">
        <v>8463</v>
      </c>
      <c r="E9353" s="10" t="s">
        <v>257</v>
      </c>
      <c r="F9353" s="10" t="s">
        <v>164</v>
      </c>
      <c r="G9353" s="11" t="s">
        <v>140</v>
      </c>
      <c r="H9353" s="2" t="s">
        <v>1377</v>
      </c>
      <c r="K9353" s="18">
        <v>2</v>
      </c>
      <c r="L9353" s="18">
        <v>0</v>
      </c>
      <c r="Q9353" s="18">
        <v>0</v>
      </c>
      <c r="V9353" s="22">
        <f>3.59/5</f>
        <v>0.71799999999999997</v>
      </c>
      <c r="X9353" s="3">
        <v>3</v>
      </c>
      <c r="Z9353" s="23">
        <v>16</v>
      </c>
      <c r="AB9353" s="18">
        <f t="shared" si="292"/>
        <v>1993</v>
      </c>
      <c r="AC9353" s="22">
        <f t="shared" si="293"/>
        <v>0.65900000000000003</v>
      </c>
    </row>
    <row r="9354" spans="1:29">
      <c r="A9354" s="8" t="s">
        <v>624</v>
      </c>
      <c r="B9354" s="17" t="s">
        <v>7736</v>
      </c>
      <c r="C9354" s="13">
        <v>34230</v>
      </c>
      <c r="D9354" s="13" t="s">
        <v>8465</v>
      </c>
      <c r="E9354" s="10" t="s">
        <v>144</v>
      </c>
      <c r="F9354" s="10" t="s">
        <v>144</v>
      </c>
      <c r="H9354" s="2" t="s">
        <v>64</v>
      </c>
      <c r="L9354" s="18">
        <v>0</v>
      </c>
      <c r="Q9354" s="18">
        <v>0</v>
      </c>
      <c r="U9354" s="22">
        <v>0.69</v>
      </c>
      <c r="V9354" s="22">
        <f>3.71/5</f>
        <v>0.74199999999999999</v>
      </c>
      <c r="X9354" s="3">
        <v>2</v>
      </c>
      <c r="Z9354" s="23">
        <v>1.5</v>
      </c>
      <c r="AB9354" s="18">
        <f t="shared" si="292"/>
        <v>1993</v>
      </c>
      <c r="AC9354" s="22">
        <f t="shared" si="293"/>
        <v>0.61066666666666658</v>
      </c>
    </row>
    <row r="9355" spans="1:29">
      <c r="A9355" s="8" t="s">
        <v>14935</v>
      </c>
      <c r="B9355" s="17" t="s">
        <v>7736</v>
      </c>
      <c r="C9355" s="13">
        <v>34229</v>
      </c>
      <c r="D9355" s="13" t="s">
        <v>8465</v>
      </c>
      <c r="E9355" s="10" t="s">
        <v>86</v>
      </c>
      <c r="F9355" s="10" t="s">
        <v>142</v>
      </c>
      <c r="G9355" s="11" t="s">
        <v>1173</v>
      </c>
      <c r="H9355" s="2" t="s">
        <v>1170</v>
      </c>
      <c r="L9355" s="18">
        <v>0</v>
      </c>
      <c r="Q9355" s="18">
        <v>0</v>
      </c>
      <c r="V9355" s="22">
        <f>3.3/5</f>
        <v>0.65999999999999992</v>
      </c>
      <c r="X9355" s="3">
        <v>3</v>
      </c>
      <c r="Z9355" s="23">
        <v>1.5</v>
      </c>
      <c r="AB9355" s="18">
        <f t="shared" si="292"/>
        <v>1993</v>
      </c>
      <c r="AC9355" s="22">
        <f t="shared" si="293"/>
        <v>0.62999999999999989</v>
      </c>
    </row>
    <row r="9356" spans="1:29">
      <c r="A9356" s="8" t="s">
        <v>7019</v>
      </c>
      <c r="B9356" s="17" t="s">
        <v>7800</v>
      </c>
      <c r="C9356" s="13">
        <v>34228</v>
      </c>
      <c r="D9356" s="13" t="s">
        <v>8465</v>
      </c>
      <c r="E9356" s="10" t="s">
        <v>170</v>
      </c>
      <c r="F9356" s="10" t="s">
        <v>170</v>
      </c>
      <c r="G9356" s="11" t="s">
        <v>563</v>
      </c>
      <c r="H9356" s="2" t="s">
        <v>459</v>
      </c>
      <c r="L9356" s="18">
        <v>1</v>
      </c>
      <c r="O9356" s="29">
        <v>0</v>
      </c>
      <c r="P9356" s="18" t="s">
        <v>1107</v>
      </c>
      <c r="Q9356" s="18">
        <v>0</v>
      </c>
      <c r="V9356" s="22">
        <f>3.1/5</f>
        <v>0.62</v>
      </c>
      <c r="W9356" s="14" t="s">
        <v>7799</v>
      </c>
      <c r="X9356" s="3">
        <v>2</v>
      </c>
      <c r="Z9356" s="23">
        <v>1</v>
      </c>
      <c r="AB9356" s="18">
        <f t="shared" si="292"/>
        <v>1993</v>
      </c>
      <c r="AC9356" s="22">
        <f t="shared" si="293"/>
        <v>0.51</v>
      </c>
    </row>
    <row r="9357" spans="1:29">
      <c r="A9357" s="8" t="s">
        <v>15935</v>
      </c>
      <c r="B9357" s="17" t="s">
        <v>7751</v>
      </c>
      <c r="C9357" s="13">
        <v>34228</v>
      </c>
      <c r="D9357" s="13" t="s">
        <v>8465</v>
      </c>
      <c r="E9357" s="10" t="s">
        <v>2700</v>
      </c>
      <c r="F9357" s="10" t="s">
        <v>1081</v>
      </c>
      <c r="G9357" s="11" t="s">
        <v>3967</v>
      </c>
      <c r="H9357" s="2" t="s">
        <v>1377</v>
      </c>
      <c r="L9357" s="18">
        <v>0</v>
      </c>
      <c r="Q9357" s="18">
        <v>0</v>
      </c>
      <c r="V9357" s="22">
        <f>3.8/5</f>
        <v>0.76</v>
      </c>
      <c r="X9357" s="3">
        <v>2</v>
      </c>
      <c r="Z9357" s="23">
        <v>7</v>
      </c>
      <c r="AB9357" s="18">
        <f t="shared" si="292"/>
        <v>1993</v>
      </c>
      <c r="AC9357" s="22">
        <f t="shared" si="293"/>
        <v>0.58000000000000007</v>
      </c>
    </row>
    <row r="9358" spans="1:29">
      <c r="A9358" s="8" t="s">
        <v>13472</v>
      </c>
      <c r="B9358" s="17" t="s">
        <v>7800</v>
      </c>
      <c r="C9358" s="13">
        <v>34227</v>
      </c>
      <c r="D9358" s="13" t="s">
        <v>8465</v>
      </c>
      <c r="E9358" s="10" t="s">
        <v>166</v>
      </c>
      <c r="F9358" s="10" t="s">
        <v>1273</v>
      </c>
      <c r="G9358" s="11" t="s">
        <v>6921</v>
      </c>
      <c r="H9358" s="2" t="s">
        <v>67</v>
      </c>
      <c r="L9358" s="18">
        <v>0</v>
      </c>
      <c r="Q9358" s="18">
        <v>0</v>
      </c>
      <c r="V9358" s="22">
        <f>3.65/5</f>
        <v>0.73</v>
      </c>
      <c r="X9358" s="3">
        <v>2</v>
      </c>
      <c r="Z9358" s="23">
        <v>6.5</v>
      </c>
      <c r="AB9358" s="18">
        <f t="shared" si="292"/>
        <v>1993</v>
      </c>
      <c r="AC9358" s="22">
        <f t="shared" si="293"/>
        <v>0.56499999999999995</v>
      </c>
    </row>
    <row r="9359" spans="1:29" ht="25.5">
      <c r="A9359" s="8" t="s">
        <v>15483</v>
      </c>
      <c r="B9359" s="17" t="s">
        <v>6317</v>
      </c>
      <c r="C9359" s="13">
        <v>34223</v>
      </c>
      <c r="D9359" s="13" t="s">
        <v>8465</v>
      </c>
      <c r="E9359" s="10" t="s">
        <v>73</v>
      </c>
      <c r="F9359" s="10" t="s">
        <v>73</v>
      </c>
      <c r="G9359" s="11" t="s">
        <v>227</v>
      </c>
      <c r="H9359" s="2" t="s">
        <v>459</v>
      </c>
      <c r="L9359" s="18">
        <v>0</v>
      </c>
      <c r="Q9359" s="18">
        <v>0</v>
      </c>
      <c r="V9359" s="22">
        <f>4.03/5</f>
        <v>0.80600000000000005</v>
      </c>
      <c r="X9359" s="3">
        <v>2</v>
      </c>
      <c r="Z9359" s="23">
        <v>1</v>
      </c>
      <c r="AB9359" s="18">
        <f t="shared" si="292"/>
        <v>1993</v>
      </c>
      <c r="AC9359" s="22">
        <f t="shared" si="293"/>
        <v>0.60299999999999998</v>
      </c>
    </row>
    <row r="9360" spans="1:29">
      <c r="A9360" s="8" t="s">
        <v>6853</v>
      </c>
      <c r="B9360" s="17" t="s">
        <v>7800</v>
      </c>
      <c r="C9360" s="13">
        <v>34218</v>
      </c>
      <c r="D9360" s="13" t="s">
        <v>8465</v>
      </c>
      <c r="E9360" s="10" t="s">
        <v>6884</v>
      </c>
      <c r="F9360" s="10" t="s">
        <v>6909</v>
      </c>
      <c r="G9360" s="11" t="s">
        <v>6853</v>
      </c>
      <c r="H9360" s="2" t="s">
        <v>3123</v>
      </c>
      <c r="L9360" s="18">
        <v>0</v>
      </c>
      <c r="Q9360" s="18">
        <v>0</v>
      </c>
      <c r="V9360" s="22">
        <f>4.04/5</f>
        <v>0.80800000000000005</v>
      </c>
      <c r="X9360" s="3">
        <v>4</v>
      </c>
      <c r="Z9360" s="23">
        <v>16</v>
      </c>
      <c r="AB9360" s="18">
        <f t="shared" si="292"/>
        <v>1993</v>
      </c>
      <c r="AC9360" s="22">
        <f t="shared" si="293"/>
        <v>0.80400000000000005</v>
      </c>
    </row>
    <row r="9361" spans="1:29" ht="25.5">
      <c r="A9361" s="8" t="s">
        <v>6785</v>
      </c>
      <c r="B9361" s="17" t="s">
        <v>7800</v>
      </c>
      <c r="C9361" s="12">
        <v>34213</v>
      </c>
      <c r="D9361" s="13" t="s">
        <v>8465</v>
      </c>
      <c r="E9361" s="10" t="s">
        <v>1259</v>
      </c>
      <c r="F9361" s="10" t="s">
        <v>2654</v>
      </c>
      <c r="G9361" s="11" t="s">
        <v>6896</v>
      </c>
      <c r="H9361" s="2" t="s">
        <v>1720</v>
      </c>
      <c r="L9361" s="18">
        <v>0</v>
      </c>
      <c r="Q9361" s="18">
        <v>0</v>
      </c>
      <c r="U9361" s="22">
        <v>0.85</v>
      </c>
      <c r="V9361" s="22">
        <f>3.85/5</f>
        <v>0.77</v>
      </c>
      <c r="X9361" s="3">
        <v>3</v>
      </c>
      <c r="Z9361" s="23">
        <v>14.5</v>
      </c>
      <c r="AB9361" s="18">
        <f t="shared" si="292"/>
        <v>1993</v>
      </c>
      <c r="AC9361" s="22">
        <f t="shared" si="293"/>
        <v>0.7400000000000001</v>
      </c>
    </row>
    <row r="9362" spans="1:29">
      <c r="A9362" s="8" t="s">
        <v>433</v>
      </c>
      <c r="B9362" s="17" t="s">
        <v>6317</v>
      </c>
      <c r="C9362" s="12">
        <v>34213</v>
      </c>
      <c r="D9362" s="13" t="s">
        <v>8465</v>
      </c>
      <c r="E9362" s="10" t="s">
        <v>144</v>
      </c>
      <c r="F9362" s="10" t="s">
        <v>144</v>
      </c>
      <c r="H9362" s="2" t="s">
        <v>153</v>
      </c>
      <c r="L9362" s="18">
        <v>0</v>
      </c>
      <c r="Q9362" s="18">
        <v>0</v>
      </c>
      <c r="V9362" s="22">
        <f>4.02/5</f>
        <v>0.80399999999999994</v>
      </c>
      <c r="X9362" s="3">
        <v>3</v>
      </c>
      <c r="Z9362" s="23">
        <v>0.73</v>
      </c>
      <c r="AB9362" s="18">
        <f t="shared" si="292"/>
        <v>1993</v>
      </c>
      <c r="AC9362" s="22">
        <f t="shared" si="293"/>
        <v>0.70199999999999996</v>
      </c>
    </row>
    <row r="9363" spans="1:29">
      <c r="A9363" s="8" t="s">
        <v>663</v>
      </c>
      <c r="B9363" s="17" t="s">
        <v>7736</v>
      </c>
      <c r="C9363" s="12">
        <v>34213</v>
      </c>
      <c r="D9363" s="13" t="s">
        <v>8465</v>
      </c>
      <c r="E9363" s="10" t="s">
        <v>1259</v>
      </c>
      <c r="F9363" s="10" t="s">
        <v>1259</v>
      </c>
      <c r="G9363" s="11" t="s">
        <v>663</v>
      </c>
      <c r="H9363" s="2" t="s">
        <v>64</v>
      </c>
      <c r="L9363" s="18">
        <v>0</v>
      </c>
      <c r="Q9363" s="18">
        <v>0</v>
      </c>
      <c r="U9363" s="22">
        <v>0.82</v>
      </c>
      <c r="V9363" s="22">
        <f>3.38/5</f>
        <v>0.67599999999999993</v>
      </c>
      <c r="X9363" s="3">
        <v>3</v>
      </c>
      <c r="Z9363" s="23">
        <v>2</v>
      </c>
      <c r="AB9363" s="18">
        <f t="shared" si="292"/>
        <v>1993</v>
      </c>
      <c r="AC9363" s="22">
        <f t="shared" si="293"/>
        <v>0.69866666666666666</v>
      </c>
    </row>
    <row r="9364" spans="1:29">
      <c r="A9364" s="8" t="s">
        <v>2612</v>
      </c>
      <c r="B9364" s="17" t="s">
        <v>7751</v>
      </c>
      <c r="C9364" s="12">
        <v>34213</v>
      </c>
      <c r="D9364" s="13" t="s">
        <v>8465</v>
      </c>
      <c r="E9364" s="10" t="s">
        <v>455</v>
      </c>
      <c r="F9364" s="10" t="s">
        <v>1474</v>
      </c>
      <c r="G9364" s="11" t="s">
        <v>1891</v>
      </c>
      <c r="H9364" s="2" t="s">
        <v>147</v>
      </c>
      <c r="L9364" s="18">
        <v>0</v>
      </c>
      <c r="Q9364" s="18">
        <v>0</v>
      </c>
      <c r="U9364" s="22">
        <v>0.88</v>
      </c>
      <c r="V9364" s="22">
        <f>4.19/5</f>
        <v>0.83800000000000008</v>
      </c>
      <c r="X9364" s="3">
        <v>2</v>
      </c>
      <c r="Z9364" s="23">
        <v>2</v>
      </c>
      <c r="AB9364" s="18">
        <f t="shared" si="292"/>
        <v>1993</v>
      </c>
      <c r="AC9364" s="22">
        <f t="shared" si="293"/>
        <v>0.70599999999999996</v>
      </c>
    </row>
    <row r="9365" spans="1:29">
      <c r="A9365" s="8" t="s">
        <v>675</v>
      </c>
      <c r="B9365" s="17" t="s">
        <v>7736</v>
      </c>
      <c r="C9365" s="12">
        <v>34213</v>
      </c>
      <c r="D9365" s="13" t="s">
        <v>8465</v>
      </c>
      <c r="E9365" s="10" t="s">
        <v>152</v>
      </c>
      <c r="F9365" s="10" t="s">
        <v>82</v>
      </c>
      <c r="H9365" s="2" t="s">
        <v>64</v>
      </c>
      <c r="L9365" s="18">
        <v>0</v>
      </c>
      <c r="Q9365" s="18">
        <v>0</v>
      </c>
      <c r="U9365" s="22">
        <v>0.72</v>
      </c>
      <c r="V9365" s="22">
        <f>3.64/5</f>
        <v>0.72799999999999998</v>
      </c>
      <c r="X9365" s="3">
        <v>2</v>
      </c>
      <c r="Z9365" s="23">
        <v>4.5</v>
      </c>
      <c r="AB9365" s="18">
        <f t="shared" si="292"/>
        <v>1993</v>
      </c>
      <c r="AC9365" s="22">
        <f t="shared" si="293"/>
        <v>0.61599999999999999</v>
      </c>
    </row>
    <row r="9366" spans="1:29">
      <c r="A9366" s="8" t="s">
        <v>321</v>
      </c>
      <c r="B9366" s="17" t="s">
        <v>7736</v>
      </c>
      <c r="C9366" s="12">
        <v>34213</v>
      </c>
      <c r="D9366" s="13" t="s">
        <v>8465</v>
      </c>
      <c r="E9366" s="10" t="s">
        <v>1273</v>
      </c>
      <c r="F9366" s="10" t="s">
        <v>1301</v>
      </c>
      <c r="G9366" s="11" t="s">
        <v>442</v>
      </c>
      <c r="H9366" s="2" t="s">
        <v>153</v>
      </c>
      <c r="L9366" s="18">
        <v>0</v>
      </c>
      <c r="Q9366" s="18">
        <v>0</v>
      </c>
      <c r="U9366" s="22">
        <v>0.47</v>
      </c>
      <c r="V9366" s="22">
        <f>2.54/5</f>
        <v>0.50800000000000001</v>
      </c>
      <c r="X9366" s="3">
        <v>3</v>
      </c>
      <c r="Z9366" s="23">
        <v>2</v>
      </c>
      <c r="AB9366" s="18">
        <f t="shared" si="292"/>
        <v>1993</v>
      </c>
      <c r="AC9366" s="22">
        <f t="shared" si="293"/>
        <v>0.52599999999999991</v>
      </c>
    </row>
    <row r="9367" spans="1:29">
      <c r="A9367" s="8" t="s">
        <v>12277</v>
      </c>
      <c r="B9367" s="17" t="s">
        <v>7736</v>
      </c>
      <c r="C9367" s="12">
        <v>34213</v>
      </c>
      <c r="D9367" s="13" t="s">
        <v>8465</v>
      </c>
      <c r="E9367" s="10" t="s">
        <v>70</v>
      </c>
      <c r="F9367" s="10" t="s">
        <v>70</v>
      </c>
      <c r="H9367" s="2" t="s">
        <v>459</v>
      </c>
      <c r="L9367" s="18">
        <v>0</v>
      </c>
      <c r="Q9367" s="18">
        <v>0</v>
      </c>
      <c r="V9367" s="22">
        <f>3.13/5</f>
        <v>0.626</v>
      </c>
      <c r="X9367" s="3">
        <v>2</v>
      </c>
      <c r="Z9367" s="23">
        <f>37/60</f>
        <v>0.6166666666666667</v>
      </c>
      <c r="AB9367" s="18">
        <f t="shared" si="292"/>
        <v>1993</v>
      </c>
      <c r="AC9367" s="22">
        <f t="shared" si="293"/>
        <v>0.51300000000000001</v>
      </c>
    </row>
    <row r="9368" spans="1:29">
      <c r="A9368" s="8" t="s">
        <v>770</v>
      </c>
      <c r="B9368" s="17" t="s">
        <v>7736</v>
      </c>
      <c r="C9368" s="13">
        <v>34208</v>
      </c>
      <c r="D9368" s="13" t="s">
        <v>8463</v>
      </c>
      <c r="E9368" s="10" t="s">
        <v>257</v>
      </c>
      <c r="F9368" s="10" t="s">
        <v>1384</v>
      </c>
      <c r="H9368" s="2" t="s">
        <v>75</v>
      </c>
      <c r="K9368" s="18">
        <v>2</v>
      </c>
      <c r="L9368" s="18">
        <v>0</v>
      </c>
      <c r="Q9368" s="18">
        <v>0</v>
      </c>
      <c r="V9368" s="22">
        <f>3.5/5</f>
        <v>0.7</v>
      </c>
      <c r="X9368" s="3">
        <v>3</v>
      </c>
      <c r="AB9368" s="18">
        <f t="shared" si="292"/>
        <v>1993</v>
      </c>
      <c r="AC9368" s="22">
        <f t="shared" si="293"/>
        <v>0.64999999999999991</v>
      </c>
    </row>
    <row r="9369" spans="1:29">
      <c r="A9369" s="8" t="s">
        <v>743</v>
      </c>
      <c r="B9369" s="17" t="s">
        <v>7736</v>
      </c>
      <c r="C9369" s="13">
        <v>34208</v>
      </c>
      <c r="D9369" s="13" t="s">
        <v>8463</v>
      </c>
      <c r="E9369" s="10" t="s">
        <v>86</v>
      </c>
      <c r="F9369" s="10" t="s">
        <v>1354</v>
      </c>
      <c r="G9369" s="11" t="s">
        <v>137</v>
      </c>
      <c r="H9369" s="2" t="s">
        <v>78</v>
      </c>
      <c r="K9369" s="18">
        <v>0</v>
      </c>
      <c r="L9369" s="18">
        <v>0</v>
      </c>
      <c r="Q9369" s="18">
        <v>0</v>
      </c>
      <c r="V9369" s="22">
        <f>3.41/5</f>
        <v>0.68200000000000005</v>
      </c>
      <c r="X9369" s="3">
        <v>3</v>
      </c>
      <c r="Z9369" s="23">
        <v>3.5</v>
      </c>
      <c r="AB9369" s="18">
        <f t="shared" si="292"/>
        <v>1993</v>
      </c>
      <c r="AC9369" s="22">
        <f t="shared" si="293"/>
        <v>0.64100000000000001</v>
      </c>
    </row>
    <row r="9370" spans="1:29" ht="25.5">
      <c r="A9370" s="8" t="s">
        <v>2582</v>
      </c>
      <c r="B9370" s="17" t="s">
        <v>7751</v>
      </c>
      <c r="C9370" s="13">
        <v>34203</v>
      </c>
      <c r="D9370" s="13" t="s">
        <v>8465</v>
      </c>
      <c r="E9370" s="10" t="s">
        <v>455</v>
      </c>
      <c r="F9370" s="10" t="s">
        <v>455</v>
      </c>
      <c r="G9370" s="11" t="s">
        <v>2407</v>
      </c>
      <c r="H9370" s="2" t="s">
        <v>143</v>
      </c>
      <c r="L9370" s="18">
        <v>0</v>
      </c>
      <c r="Q9370" s="18">
        <v>0</v>
      </c>
      <c r="U9370" s="22">
        <v>0.85</v>
      </c>
      <c r="V9370" s="22">
        <f>4.22/5</f>
        <v>0.84399999999999997</v>
      </c>
      <c r="X9370" s="3">
        <v>3</v>
      </c>
      <c r="Z9370" s="23">
        <v>2.5</v>
      </c>
      <c r="AB9370" s="18">
        <f t="shared" si="292"/>
        <v>1993</v>
      </c>
      <c r="AC9370" s="22">
        <f t="shared" si="293"/>
        <v>0.76466666666666672</v>
      </c>
    </row>
    <row r="9371" spans="1:29">
      <c r="A9371" s="8" t="s">
        <v>16054</v>
      </c>
      <c r="B9371" s="17" t="s">
        <v>7751</v>
      </c>
      <c r="C9371" s="13">
        <v>34200</v>
      </c>
      <c r="D9371" s="13" t="s">
        <v>8465</v>
      </c>
      <c r="E9371" s="10" t="s">
        <v>2653</v>
      </c>
      <c r="F9371" s="10" t="s">
        <v>6884</v>
      </c>
      <c r="H9371" s="2" t="s">
        <v>64</v>
      </c>
      <c r="L9371" s="18">
        <v>0</v>
      </c>
      <c r="Q9371" s="18">
        <v>0</v>
      </c>
      <c r="V9371" s="22">
        <f>3.46/5</f>
        <v>0.69199999999999995</v>
      </c>
      <c r="X9371" s="3">
        <v>2</v>
      </c>
      <c r="Z9371" s="23">
        <v>3.5</v>
      </c>
      <c r="AB9371" s="18">
        <f t="shared" si="292"/>
        <v>1993</v>
      </c>
      <c r="AC9371" s="22">
        <f t="shared" si="293"/>
        <v>0.54600000000000004</v>
      </c>
    </row>
    <row r="9372" spans="1:29">
      <c r="A9372" s="8" t="s">
        <v>14971</v>
      </c>
      <c r="B9372" s="17" t="s">
        <v>7751</v>
      </c>
      <c r="C9372" s="13">
        <v>34198</v>
      </c>
      <c r="D9372" s="13" t="s">
        <v>8465</v>
      </c>
      <c r="E9372" s="10" t="s">
        <v>250</v>
      </c>
      <c r="F9372" s="10" t="s">
        <v>250</v>
      </c>
      <c r="H9372" s="2" t="s">
        <v>64</v>
      </c>
      <c r="L9372" s="18">
        <v>0</v>
      </c>
      <c r="Q9372" s="18">
        <v>0</v>
      </c>
      <c r="V9372" s="22">
        <f>3.19/5</f>
        <v>0.63800000000000001</v>
      </c>
      <c r="X9372" s="3">
        <v>2</v>
      </c>
      <c r="Z9372" s="23">
        <v>2</v>
      </c>
      <c r="AB9372" s="18">
        <f t="shared" si="292"/>
        <v>1993</v>
      </c>
      <c r="AC9372" s="22">
        <f t="shared" si="293"/>
        <v>0.51900000000000002</v>
      </c>
    </row>
    <row r="9373" spans="1:29">
      <c r="A9373" s="8" t="s">
        <v>705</v>
      </c>
      <c r="B9373" s="17" t="s">
        <v>7736</v>
      </c>
      <c r="C9373" s="13">
        <v>34196</v>
      </c>
      <c r="D9373" s="13" t="s">
        <v>8465</v>
      </c>
      <c r="E9373" s="10" t="s">
        <v>73</v>
      </c>
      <c r="F9373" s="10" t="s">
        <v>73</v>
      </c>
      <c r="G9373" s="11" t="s">
        <v>225</v>
      </c>
      <c r="H9373" s="2" t="s">
        <v>153</v>
      </c>
      <c r="L9373" s="18">
        <v>0</v>
      </c>
      <c r="Q9373" s="18">
        <v>0</v>
      </c>
      <c r="U9373" s="22">
        <v>0.69</v>
      </c>
      <c r="V9373" s="22">
        <f>3.61/5</f>
        <v>0.72199999999999998</v>
      </c>
      <c r="X9373" s="3">
        <v>4</v>
      </c>
      <c r="Z9373" s="23">
        <v>1.5</v>
      </c>
      <c r="AB9373" s="18">
        <f t="shared" si="292"/>
        <v>1993</v>
      </c>
      <c r="AC9373" s="22">
        <f t="shared" si="293"/>
        <v>0.73733333333333329</v>
      </c>
    </row>
    <row r="9374" spans="1:29">
      <c r="A9374" s="8" t="s">
        <v>718</v>
      </c>
      <c r="B9374" s="17" t="s">
        <v>7736</v>
      </c>
      <c r="C9374" s="13">
        <v>34192</v>
      </c>
      <c r="D9374" s="13" t="s">
        <v>8465</v>
      </c>
      <c r="E9374" s="10" t="s">
        <v>86</v>
      </c>
      <c r="F9374" s="10" t="s">
        <v>87</v>
      </c>
      <c r="G9374" s="11" t="s">
        <v>137</v>
      </c>
      <c r="H9374" s="2" t="s">
        <v>64</v>
      </c>
      <c r="L9374" s="18">
        <v>0</v>
      </c>
      <c r="Q9374" s="18">
        <v>0</v>
      </c>
      <c r="U9374" s="22">
        <v>0.9</v>
      </c>
      <c r="V9374" s="22">
        <f>4.37/5</f>
        <v>0.874</v>
      </c>
      <c r="X9374" s="3">
        <v>4</v>
      </c>
      <c r="Z9374" s="23">
        <v>14</v>
      </c>
      <c r="AB9374" s="18">
        <f t="shared" si="292"/>
        <v>1993</v>
      </c>
      <c r="AC9374" s="22">
        <f t="shared" si="293"/>
        <v>0.85799999999999998</v>
      </c>
    </row>
    <row r="9375" spans="1:29">
      <c r="A9375" s="8" t="s">
        <v>519</v>
      </c>
      <c r="B9375" s="17" t="s">
        <v>7731</v>
      </c>
      <c r="C9375" s="13">
        <v>34192</v>
      </c>
      <c r="D9375" s="13" t="s">
        <v>8465</v>
      </c>
      <c r="E9375" s="10" t="s">
        <v>170</v>
      </c>
      <c r="F9375" s="10" t="s">
        <v>170</v>
      </c>
      <c r="G9375" s="11" t="s">
        <v>519</v>
      </c>
      <c r="H9375" s="2" t="s">
        <v>459</v>
      </c>
      <c r="L9375" s="18">
        <v>0</v>
      </c>
      <c r="Q9375" s="18">
        <v>0</v>
      </c>
      <c r="V9375" s="22">
        <f>4.03/5</f>
        <v>0.80600000000000005</v>
      </c>
      <c r="X9375" s="3">
        <v>3</v>
      </c>
      <c r="Z9375" s="23">
        <v>1</v>
      </c>
      <c r="AB9375" s="18">
        <f t="shared" si="292"/>
        <v>1993</v>
      </c>
      <c r="AC9375" s="22">
        <f t="shared" si="293"/>
        <v>0.70300000000000007</v>
      </c>
    </row>
    <row r="9376" spans="1:29">
      <c r="A9376" s="8" t="s">
        <v>2569</v>
      </c>
      <c r="B9376" s="17" t="s">
        <v>7751</v>
      </c>
      <c r="C9376" s="13">
        <v>34191</v>
      </c>
      <c r="D9376" s="13" t="s">
        <v>8465</v>
      </c>
      <c r="E9376" s="10" t="s">
        <v>455</v>
      </c>
      <c r="F9376" s="10" t="s">
        <v>2658</v>
      </c>
      <c r="G9376" s="11" t="s">
        <v>2569</v>
      </c>
      <c r="H9376" s="2" t="s">
        <v>1267</v>
      </c>
      <c r="L9376" s="18">
        <v>0</v>
      </c>
      <c r="Q9376" s="18">
        <v>0</v>
      </c>
      <c r="U9376" s="22">
        <v>0.75</v>
      </c>
      <c r="V9376" s="22">
        <f>3.26/5</f>
        <v>0.65199999999999991</v>
      </c>
      <c r="X9376" s="3">
        <v>3</v>
      </c>
      <c r="Z9376" s="23">
        <v>3</v>
      </c>
      <c r="AB9376" s="18">
        <f t="shared" si="292"/>
        <v>1993</v>
      </c>
      <c r="AC9376" s="22">
        <f t="shared" si="293"/>
        <v>0.66733333333333322</v>
      </c>
    </row>
    <row r="9377" spans="1:29" ht="30">
      <c r="A9377" s="8" t="s">
        <v>1316</v>
      </c>
      <c r="B9377" s="17" t="s">
        <v>7751</v>
      </c>
      <c r="C9377" s="13">
        <v>34186</v>
      </c>
      <c r="D9377" s="13" t="s">
        <v>8465</v>
      </c>
      <c r="E9377" s="10" t="s">
        <v>72</v>
      </c>
      <c r="F9377" s="10" t="s">
        <v>72</v>
      </c>
      <c r="G9377" s="11" t="s">
        <v>1316</v>
      </c>
      <c r="H9377" s="2" t="s">
        <v>56</v>
      </c>
      <c r="L9377" s="18">
        <v>0</v>
      </c>
      <c r="Q9377" s="18">
        <v>0</v>
      </c>
      <c r="U9377" s="22">
        <v>0.87</v>
      </c>
      <c r="V9377" s="22">
        <f>4.19/5</f>
        <v>0.83800000000000008</v>
      </c>
      <c r="X9377" s="3">
        <v>4</v>
      </c>
      <c r="Z9377" s="23">
        <v>1</v>
      </c>
      <c r="AB9377" s="18">
        <f t="shared" si="292"/>
        <v>1993</v>
      </c>
      <c r="AC9377" s="22">
        <f t="shared" si="293"/>
        <v>0.83599999999999997</v>
      </c>
    </row>
    <row r="9378" spans="1:29">
      <c r="A9378" s="8" t="s">
        <v>655</v>
      </c>
      <c r="B9378" s="17" t="s">
        <v>7736</v>
      </c>
      <c r="C9378" s="13">
        <v>34184</v>
      </c>
      <c r="D9378" s="13" t="s">
        <v>8465</v>
      </c>
      <c r="E9378" s="10" t="s">
        <v>257</v>
      </c>
      <c r="F9378" s="10" t="s">
        <v>1291</v>
      </c>
      <c r="H9378" s="2" t="s">
        <v>149</v>
      </c>
      <c r="L9378" s="18">
        <v>0</v>
      </c>
      <c r="Q9378" s="18">
        <v>0</v>
      </c>
      <c r="U9378" s="22">
        <v>0.64</v>
      </c>
      <c r="V9378" s="22">
        <f>3.39/5</f>
        <v>0.67800000000000005</v>
      </c>
      <c r="X9378" s="3">
        <v>3</v>
      </c>
      <c r="Z9378" s="23">
        <v>29</v>
      </c>
      <c r="AB9378" s="18">
        <f t="shared" si="292"/>
        <v>1993</v>
      </c>
      <c r="AC9378" s="22">
        <f t="shared" si="293"/>
        <v>0.63933333333333342</v>
      </c>
    </row>
    <row r="9379" spans="1:29">
      <c r="A9379" s="8" t="s">
        <v>3303</v>
      </c>
      <c r="B9379" s="17" t="s">
        <v>7800</v>
      </c>
      <c r="C9379" s="13">
        <v>34184</v>
      </c>
      <c r="D9379" s="13" t="s">
        <v>8465</v>
      </c>
      <c r="E9379" s="10" t="s">
        <v>3304</v>
      </c>
      <c r="F9379" s="10" t="s">
        <v>3304</v>
      </c>
      <c r="H9379" s="2" t="s">
        <v>56</v>
      </c>
      <c r="L9379" s="18">
        <v>1</v>
      </c>
      <c r="N9379" s="13">
        <v>42359</v>
      </c>
      <c r="P9379" s="18" t="s">
        <v>1107</v>
      </c>
      <c r="Q9379" s="18">
        <v>0</v>
      </c>
      <c r="V9379" s="22">
        <f>3.23/5</f>
        <v>0.64600000000000002</v>
      </c>
      <c r="W9379" s="14" t="s">
        <v>7777</v>
      </c>
      <c r="X9379" s="3">
        <v>2</v>
      </c>
      <c r="Z9379" s="23">
        <v>6.5</v>
      </c>
      <c r="AB9379" s="18">
        <f t="shared" si="292"/>
        <v>1993</v>
      </c>
      <c r="AC9379" s="22">
        <f t="shared" si="293"/>
        <v>0.52300000000000002</v>
      </c>
    </row>
    <row r="9380" spans="1:29" ht="25.5">
      <c r="A9380" s="8" t="s">
        <v>1820</v>
      </c>
      <c r="B9380" s="17" t="s">
        <v>7745</v>
      </c>
      <c r="C9380" s="12">
        <v>34182</v>
      </c>
      <c r="D9380" s="13" t="s">
        <v>8465</v>
      </c>
      <c r="E9380" s="10" t="s">
        <v>86</v>
      </c>
      <c r="F9380" s="10" t="s">
        <v>87</v>
      </c>
      <c r="G9380" s="11" t="s">
        <v>85</v>
      </c>
      <c r="H9380" s="2" t="s">
        <v>80</v>
      </c>
      <c r="L9380" s="18">
        <v>1</v>
      </c>
      <c r="M9380" s="14" t="s">
        <v>10622</v>
      </c>
      <c r="N9380" s="13">
        <v>43338</v>
      </c>
      <c r="O9380" s="29">
        <v>18</v>
      </c>
      <c r="P9380" s="18" t="s">
        <v>14</v>
      </c>
      <c r="Q9380" s="18">
        <v>0</v>
      </c>
      <c r="U9380" s="22">
        <v>0.9</v>
      </c>
      <c r="V9380" s="22">
        <f>4.34/5</f>
        <v>0.86799999999999999</v>
      </c>
      <c r="X9380" s="3">
        <v>3</v>
      </c>
      <c r="Z9380" s="23">
        <v>14.5</v>
      </c>
      <c r="AB9380" s="18">
        <f t="shared" si="292"/>
        <v>1993</v>
      </c>
      <c r="AC9380" s="22">
        <f t="shared" si="293"/>
        <v>0.78933333333333333</v>
      </c>
    </row>
    <row r="9381" spans="1:29" ht="25.5">
      <c r="A9381" s="8" t="s">
        <v>1814</v>
      </c>
      <c r="B9381" s="17" t="s">
        <v>7745</v>
      </c>
      <c r="C9381" s="12">
        <v>34182</v>
      </c>
      <c r="D9381" s="13" t="s">
        <v>8465</v>
      </c>
      <c r="E9381" s="10" t="s">
        <v>160</v>
      </c>
      <c r="F9381" s="10" t="s">
        <v>161</v>
      </c>
      <c r="G9381" s="11" t="s">
        <v>126</v>
      </c>
      <c r="H9381" s="2" t="s">
        <v>149</v>
      </c>
      <c r="L9381" s="18">
        <v>0</v>
      </c>
      <c r="Q9381" s="18">
        <v>0</v>
      </c>
      <c r="U9381" s="22">
        <v>0.71</v>
      </c>
      <c r="V9381" s="22">
        <f>3.71/5</f>
        <v>0.74199999999999999</v>
      </c>
      <c r="X9381" s="3">
        <v>3</v>
      </c>
      <c r="Z9381" s="23">
        <v>13.5</v>
      </c>
      <c r="AB9381" s="18">
        <f t="shared" si="292"/>
        <v>1993</v>
      </c>
      <c r="AC9381" s="22">
        <f t="shared" si="293"/>
        <v>0.68400000000000005</v>
      </c>
    </row>
    <row r="9382" spans="1:29" ht="30">
      <c r="A9382" s="8" t="s">
        <v>15929</v>
      </c>
      <c r="B9382" s="17" t="s">
        <v>7750</v>
      </c>
      <c r="C9382" s="12">
        <v>34182</v>
      </c>
      <c r="D9382" s="13" t="s">
        <v>8467</v>
      </c>
      <c r="E9382" s="10" t="s">
        <v>455</v>
      </c>
      <c r="F9382" s="10" t="s">
        <v>167</v>
      </c>
      <c r="G9382" s="11" t="s">
        <v>1315</v>
      </c>
      <c r="H9382" s="2" t="s">
        <v>21</v>
      </c>
      <c r="L9382" s="18">
        <v>0</v>
      </c>
      <c r="Q9382" s="18">
        <v>0</v>
      </c>
      <c r="V9382" s="22">
        <f>3.89/5</f>
        <v>0.77800000000000002</v>
      </c>
      <c r="X9382" s="3">
        <v>2</v>
      </c>
      <c r="Z9382" s="23">
        <f>45/60</f>
        <v>0.75</v>
      </c>
      <c r="AB9382" s="18">
        <f t="shared" si="292"/>
        <v>1993</v>
      </c>
      <c r="AC9382" s="22">
        <f t="shared" si="293"/>
        <v>0.58899999999999997</v>
      </c>
    </row>
    <row r="9383" spans="1:29" ht="25.5">
      <c r="A9383" s="8" t="s">
        <v>805</v>
      </c>
      <c r="B9383" s="17" t="s">
        <v>7736</v>
      </c>
      <c r="C9383" s="13">
        <v>34180</v>
      </c>
      <c r="D9383" s="13" t="s">
        <v>8463</v>
      </c>
      <c r="E9383" s="10" t="s">
        <v>1366</v>
      </c>
      <c r="F9383" s="10" t="s">
        <v>1402</v>
      </c>
      <c r="G9383" s="11" t="s">
        <v>1403</v>
      </c>
      <c r="H9383" s="2" t="s">
        <v>143</v>
      </c>
      <c r="K9383" s="18">
        <v>2</v>
      </c>
      <c r="L9383" s="18">
        <v>0</v>
      </c>
      <c r="Q9383" s="18">
        <v>0</v>
      </c>
      <c r="V9383" s="22">
        <f>3.33/5</f>
        <v>0.66600000000000004</v>
      </c>
      <c r="X9383" s="3">
        <v>2</v>
      </c>
      <c r="AB9383" s="18">
        <f t="shared" si="292"/>
        <v>1993</v>
      </c>
      <c r="AC9383" s="22">
        <f t="shared" si="293"/>
        <v>0.53300000000000003</v>
      </c>
    </row>
    <row r="9384" spans="1:29">
      <c r="A9384" s="8" t="s">
        <v>8919</v>
      </c>
      <c r="B9384" s="17" t="s">
        <v>7736</v>
      </c>
      <c r="C9384" s="13">
        <v>34173</v>
      </c>
      <c r="D9384" s="13" t="s">
        <v>8463</v>
      </c>
      <c r="E9384" s="10" t="s">
        <v>470</v>
      </c>
      <c r="F9384" s="10" t="s">
        <v>471</v>
      </c>
      <c r="G9384" s="11" t="s">
        <v>299</v>
      </c>
      <c r="H9384" s="2" t="s">
        <v>75</v>
      </c>
      <c r="K9384" s="18">
        <v>2</v>
      </c>
      <c r="L9384" s="18">
        <v>0</v>
      </c>
      <c r="Q9384" s="18">
        <v>0</v>
      </c>
      <c r="V9384" s="22">
        <f>3.93/5</f>
        <v>0.78600000000000003</v>
      </c>
      <c r="X9384" s="3">
        <v>4</v>
      </c>
      <c r="Z9384" s="23">
        <v>30.5</v>
      </c>
      <c r="AB9384" s="18">
        <f t="shared" si="292"/>
        <v>1993</v>
      </c>
      <c r="AC9384" s="22">
        <f t="shared" si="293"/>
        <v>0.79300000000000004</v>
      </c>
    </row>
    <row r="9385" spans="1:29" ht="25.5">
      <c r="A9385" s="8" t="s">
        <v>807</v>
      </c>
      <c r="B9385" s="17" t="s">
        <v>7736</v>
      </c>
      <c r="C9385" s="13">
        <v>34173</v>
      </c>
      <c r="D9385" s="13" t="s">
        <v>8463</v>
      </c>
      <c r="E9385" s="10" t="s">
        <v>1405</v>
      </c>
      <c r="F9385" s="10" t="s">
        <v>1398</v>
      </c>
      <c r="G9385" s="11" t="s">
        <v>1406</v>
      </c>
      <c r="H9385" s="2" t="s">
        <v>56</v>
      </c>
      <c r="K9385" s="18">
        <v>2</v>
      </c>
      <c r="L9385" s="18">
        <v>0</v>
      </c>
      <c r="Q9385" s="18">
        <v>0</v>
      </c>
      <c r="V9385" s="22">
        <f>3.37/5</f>
        <v>0.67400000000000004</v>
      </c>
      <c r="X9385" s="3">
        <v>3</v>
      </c>
      <c r="Z9385" s="23">
        <v>2</v>
      </c>
      <c r="AB9385" s="18">
        <f t="shared" si="292"/>
        <v>1993</v>
      </c>
      <c r="AC9385" s="22">
        <f t="shared" si="293"/>
        <v>0.63700000000000001</v>
      </c>
    </row>
    <row r="9386" spans="1:29" ht="25.5">
      <c r="A9386" s="8" t="s">
        <v>747</v>
      </c>
      <c r="B9386" s="17" t="s">
        <v>7736</v>
      </c>
      <c r="C9386" s="13">
        <v>34173</v>
      </c>
      <c r="D9386" s="13" t="s">
        <v>8463</v>
      </c>
      <c r="E9386" s="10" t="s">
        <v>20</v>
      </c>
      <c r="F9386" s="10" t="s">
        <v>20</v>
      </c>
      <c r="H9386" s="2" t="s">
        <v>149</v>
      </c>
      <c r="K9386" s="18">
        <v>2</v>
      </c>
      <c r="L9386" s="18">
        <v>0</v>
      </c>
      <c r="Q9386" s="18">
        <v>0</v>
      </c>
      <c r="V9386" s="22">
        <f>2.95/5</f>
        <v>0.59000000000000008</v>
      </c>
      <c r="X9386" s="3">
        <v>3</v>
      </c>
      <c r="AB9386" s="18">
        <f t="shared" si="292"/>
        <v>1993</v>
      </c>
      <c r="AC9386" s="22">
        <f t="shared" si="293"/>
        <v>0.59499999999999997</v>
      </c>
    </row>
    <row r="9387" spans="1:29">
      <c r="A9387" s="8" t="s">
        <v>11628</v>
      </c>
      <c r="B9387" s="17" t="s">
        <v>7756</v>
      </c>
      <c r="C9387" s="13">
        <v>34173</v>
      </c>
      <c r="D9387" s="13" t="s">
        <v>8463</v>
      </c>
      <c r="E9387" s="10" t="s">
        <v>455</v>
      </c>
      <c r="F9387" s="10" t="s">
        <v>167</v>
      </c>
      <c r="G9387" s="11" t="s">
        <v>1211</v>
      </c>
      <c r="H9387" s="2" t="s">
        <v>78</v>
      </c>
      <c r="K9387" s="18">
        <v>0</v>
      </c>
      <c r="L9387" s="18">
        <v>0</v>
      </c>
      <c r="Q9387" s="18">
        <v>0</v>
      </c>
      <c r="V9387" s="22">
        <f>3.42/5</f>
        <v>0.68399999999999994</v>
      </c>
      <c r="X9387" s="3">
        <v>2</v>
      </c>
      <c r="AB9387" s="18">
        <f t="shared" si="292"/>
        <v>1993</v>
      </c>
      <c r="AC9387" s="22">
        <f t="shared" si="293"/>
        <v>0.54200000000000004</v>
      </c>
    </row>
    <row r="9388" spans="1:29">
      <c r="A9388" s="8" t="s">
        <v>1815</v>
      </c>
      <c r="B9388" s="17" t="s">
        <v>7745</v>
      </c>
      <c r="C9388" s="13">
        <v>34170</v>
      </c>
      <c r="D9388" s="13" t="s">
        <v>8463</v>
      </c>
      <c r="E9388" s="10" t="s">
        <v>72</v>
      </c>
      <c r="F9388" s="10" t="s">
        <v>72</v>
      </c>
      <c r="H9388" s="2" t="s">
        <v>149</v>
      </c>
      <c r="K9388" s="18">
        <v>2</v>
      </c>
      <c r="L9388" s="18">
        <v>0</v>
      </c>
      <c r="Q9388" s="18">
        <v>0</v>
      </c>
      <c r="U9388" s="22">
        <v>0.3</v>
      </c>
      <c r="V9388" s="22">
        <f>3.3/5</f>
        <v>0.65999999999999992</v>
      </c>
      <c r="X9388" s="3">
        <v>3</v>
      </c>
      <c r="Z9388" s="23">
        <v>8.5</v>
      </c>
      <c r="AB9388" s="18">
        <f t="shared" si="292"/>
        <v>1993</v>
      </c>
      <c r="AC9388" s="22">
        <f t="shared" si="293"/>
        <v>0.52</v>
      </c>
    </row>
    <row r="9389" spans="1:29">
      <c r="A9389" s="8" t="s">
        <v>789</v>
      </c>
      <c r="B9389" s="17" t="s">
        <v>7736</v>
      </c>
      <c r="C9389" s="13">
        <v>34166</v>
      </c>
      <c r="D9389" s="13" t="s">
        <v>8463</v>
      </c>
      <c r="E9389" s="10" t="s">
        <v>72</v>
      </c>
      <c r="F9389" s="10" t="s">
        <v>72</v>
      </c>
      <c r="G9389" s="11" t="s">
        <v>297</v>
      </c>
      <c r="H9389" s="2" t="s">
        <v>149</v>
      </c>
      <c r="K9389" s="18">
        <v>0</v>
      </c>
      <c r="L9389" s="18">
        <v>0</v>
      </c>
      <c r="Q9389" s="18">
        <v>0</v>
      </c>
      <c r="V9389" s="22">
        <f>3.59/5</f>
        <v>0.71799999999999997</v>
      </c>
      <c r="X9389" s="3">
        <v>3</v>
      </c>
      <c r="AB9389" s="18">
        <f t="shared" si="292"/>
        <v>1993</v>
      </c>
      <c r="AC9389" s="22">
        <f t="shared" si="293"/>
        <v>0.65900000000000003</v>
      </c>
    </row>
    <row r="9390" spans="1:29">
      <c r="A9390" s="8" t="s">
        <v>10934</v>
      </c>
      <c r="B9390" s="17" t="s">
        <v>10323</v>
      </c>
      <c r="C9390" s="13">
        <v>34166</v>
      </c>
      <c r="D9390" s="13" t="s">
        <v>8463</v>
      </c>
      <c r="E9390" s="10" t="s">
        <v>10935</v>
      </c>
      <c r="F9390" s="10" t="s">
        <v>10935</v>
      </c>
      <c r="H9390" s="2" t="s">
        <v>64</v>
      </c>
      <c r="K9390" s="18">
        <v>2</v>
      </c>
      <c r="L9390" s="18">
        <v>0</v>
      </c>
      <c r="Q9390" s="18">
        <v>0</v>
      </c>
      <c r="V9390" s="22">
        <f>3.85/5</f>
        <v>0.77</v>
      </c>
      <c r="X9390" s="3">
        <v>2</v>
      </c>
      <c r="Z9390" s="23">
        <v>4</v>
      </c>
      <c r="AB9390" s="18">
        <f t="shared" si="292"/>
        <v>1993</v>
      </c>
      <c r="AC9390" s="22">
        <f t="shared" si="293"/>
        <v>0.58499999999999996</v>
      </c>
    </row>
    <row r="9391" spans="1:29" ht="25.5">
      <c r="A9391" s="8" t="s">
        <v>664</v>
      </c>
      <c r="B9391" s="17" t="s">
        <v>7736</v>
      </c>
      <c r="C9391" s="13">
        <v>34165</v>
      </c>
      <c r="D9391" s="13" t="s">
        <v>8465</v>
      </c>
      <c r="E9391" s="10" t="s">
        <v>257</v>
      </c>
      <c r="F9391" s="10" t="s">
        <v>1302</v>
      </c>
      <c r="H9391" s="2" t="s">
        <v>171</v>
      </c>
      <c r="L9391" s="18">
        <v>0</v>
      </c>
      <c r="Q9391" s="18">
        <v>0</v>
      </c>
      <c r="U9391" s="22">
        <v>0.76</v>
      </c>
      <c r="V9391" s="22">
        <f>3.82/5</f>
        <v>0.76400000000000001</v>
      </c>
      <c r="X9391" s="3">
        <v>3</v>
      </c>
      <c r="Z9391" s="23">
        <v>10</v>
      </c>
      <c r="AB9391" s="18">
        <f t="shared" si="292"/>
        <v>1993</v>
      </c>
      <c r="AC9391" s="22">
        <f t="shared" si="293"/>
        <v>0.70800000000000007</v>
      </c>
    </row>
    <row r="9392" spans="1:29">
      <c r="A9392" s="8" t="s">
        <v>708</v>
      </c>
      <c r="B9392" s="17" t="s">
        <v>7736</v>
      </c>
      <c r="C9392" s="13">
        <v>34161</v>
      </c>
      <c r="D9392" s="13" t="s">
        <v>8465</v>
      </c>
      <c r="E9392" s="10" t="s">
        <v>73</v>
      </c>
      <c r="F9392" s="10" t="s">
        <v>73</v>
      </c>
      <c r="G9392" s="11" t="s">
        <v>1286</v>
      </c>
      <c r="H9392" s="2" t="s">
        <v>80</v>
      </c>
      <c r="L9392" s="18">
        <v>0</v>
      </c>
      <c r="Q9392" s="18">
        <v>0</v>
      </c>
      <c r="U9392" s="22">
        <v>0.7</v>
      </c>
      <c r="V9392" s="22">
        <f>3.71/5</f>
        <v>0.74199999999999999</v>
      </c>
      <c r="X9392" s="3">
        <v>4</v>
      </c>
      <c r="Z9392" s="23">
        <v>2</v>
      </c>
      <c r="AB9392" s="18">
        <f t="shared" si="292"/>
        <v>1993</v>
      </c>
      <c r="AC9392" s="22">
        <f t="shared" si="293"/>
        <v>0.74733333333333329</v>
      </c>
    </row>
    <row r="9393" spans="1:29" ht="25.5">
      <c r="A9393" s="8" t="s">
        <v>11517</v>
      </c>
      <c r="B9393" s="17" t="s">
        <v>7734</v>
      </c>
      <c r="C9393" s="13">
        <v>34159</v>
      </c>
      <c r="D9393" s="13" t="s">
        <v>8463</v>
      </c>
      <c r="E9393" s="10" t="s">
        <v>1400</v>
      </c>
      <c r="F9393" s="10" t="s">
        <v>7209</v>
      </c>
      <c r="G9393" s="11" t="s">
        <v>11518</v>
      </c>
      <c r="H9393" s="2" t="s">
        <v>149</v>
      </c>
      <c r="K9393" s="18">
        <v>2</v>
      </c>
      <c r="L9393" s="18">
        <v>0</v>
      </c>
      <c r="Q9393" s="18">
        <v>0</v>
      </c>
      <c r="V9393" s="22">
        <f>3.63/5</f>
        <v>0.72599999999999998</v>
      </c>
      <c r="X9393" s="3">
        <v>2</v>
      </c>
      <c r="Z9393" s="23">
        <f>32/60</f>
        <v>0.53333333333333333</v>
      </c>
      <c r="AB9393" s="18">
        <f t="shared" si="292"/>
        <v>1993</v>
      </c>
      <c r="AC9393" s="22">
        <f t="shared" si="293"/>
        <v>0.56299999999999994</v>
      </c>
    </row>
    <row r="9394" spans="1:29" ht="30">
      <c r="A9394" s="8" t="s">
        <v>727</v>
      </c>
      <c r="B9394" s="17" t="s">
        <v>7736</v>
      </c>
      <c r="C9394" s="12">
        <v>34151</v>
      </c>
      <c r="D9394" s="13" t="s">
        <v>8465</v>
      </c>
      <c r="E9394" s="10" t="s">
        <v>72</v>
      </c>
      <c r="F9394" s="10" t="s">
        <v>1284</v>
      </c>
      <c r="G9394" s="11" t="s">
        <v>727</v>
      </c>
      <c r="H9394" s="2" t="s">
        <v>147</v>
      </c>
      <c r="L9394" s="18">
        <v>0</v>
      </c>
      <c r="Q9394" s="18">
        <v>0</v>
      </c>
      <c r="U9394" s="22">
        <v>0.85</v>
      </c>
      <c r="V9394" s="22">
        <f>3.91/5</f>
        <v>0.78200000000000003</v>
      </c>
      <c r="X9394" s="3">
        <v>4</v>
      </c>
      <c r="Z9394" s="23">
        <v>7.5</v>
      </c>
      <c r="AB9394" s="18">
        <f t="shared" si="292"/>
        <v>1993</v>
      </c>
      <c r="AC9394" s="22">
        <f t="shared" si="293"/>
        <v>0.81066666666666676</v>
      </c>
    </row>
    <row r="9395" spans="1:29" ht="38.25">
      <c r="A9395" s="8" t="s">
        <v>2627</v>
      </c>
      <c r="B9395" s="17" t="s">
        <v>7751</v>
      </c>
      <c r="C9395" s="12">
        <v>34151</v>
      </c>
      <c r="D9395" s="13" t="s">
        <v>8465</v>
      </c>
      <c r="E9395" s="10" t="s">
        <v>455</v>
      </c>
      <c r="F9395" s="10" t="s">
        <v>1387</v>
      </c>
      <c r="G9395" s="11" t="s">
        <v>1661</v>
      </c>
      <c r="H9395" s="2" t="s">
        <v>75</v>
      </c>
      <c r="L9395" s="18">
        <v>0</v>
      </c>
      <c r="Q9395" s="18">
        <v>0</v>
      </c>
      <c r="U9395" s="22">
        <v>0.8</v>
      </c>
      <c r="V9395" s="22">
        <f>4.12/5</f>
        <v>0.82400000000000007</v>
      </c>
      <c r="X9395" s="3">
        <v>4</v>
      </c>
      <c r="Z9395" s="23">
        <v>21.5</v>
      </c>
      <c r="AB9395" s="18">
        <f t="shared" si="292"/>
        <v>1993</v>
      </c>
      <c r="AC9395" s="22">
        <f t="shared" si="293"/>
        <v>0.80800000000000016</v>
      </c>
    </row>
    <row r="9396" spans="1:29">
      <c r="A9396" s="8" t="s">
        <v>190</v>
      </c>
      <c r="B9396" s="17" t="s">
        <v>7734</v>
      </c>
      <c r="C9396" s="12">
        <v>34151</v>
      </c>
      <c r="D9396" s="13" t="s">
        <v>8465</v>
      </c>
      <c r="E9396" s="10" t="s">
        <v>73</v>
      </c>
      <c r="F9396" s="10" t="s">
        <v>73</v>
      </c>
      <c r="G9396" s="11" t="s">
        <v>225</v>
      </c>
      <c r="H9396" s="2" t="s">
        <v>153</v>
      </c>
      <c r="L9396" s="18">
        <v>0</v>
      </c>
      <c r="Q9396" s="18">
        <v>0</v>
      </c>
      <c r="V9396" s="22">
        <f>3.86/5</f>
        <v>0.77200000000000002</v>
      </c>
      <c r="X9396" s="3">
        <v>3</v>
      </c>
      <c r="Z9396" s="23">
        <v>0.83</v>
      </c>
      <c r="AB9396" s="18">
        <f t="shared" si="292"/>
        <v>1993</v>
      </c>
      <c r="AC9396" s="22">
        <f t="shared" si="293"/>
        <v>0.68599999999999994</v>
      </c>
    </row>
    <row r="9397" spans="1:29">
      <c r="A9397" s="8" t="s">
        <v>561</v>
      </c>
      <c r="B9397" s="17" t="s">
        <v>6317</v>
      </c>
      <c r="C9397" s="12">
        <v>34151</v>
      </c>
      <c r="D9397" s="13" t="s">
        <v>8465</v>
      </c>
      <c r="E9397" s="10" t="s">
        <v>72</v>
      </c>
      <c r="F9397" s="10" t="s">
        <v>72</v>
      </c>
      <c r="H9397" s="2" t="s">
        <v>153</v>
      </c>
      <c r="L9397" s="18">
        <v>0</v>
      </c>
      <c r="Q9397" s="18">
        <v>0</v>
      </c>
      <c r="V9397" s="22">
        <f>3.77/5</f>
        <v>0.754</v>
      </c>
      <c r="X9397" s="3">
        <v>2</v>
      </c>
      <c r="Z9397" s="23">
        <v>1.5</v>
      </c>
      <c r="AB9397" s="18">
        <f t="shared" si="292"/>
        <v>1993</v>
      </c>
      <c r="AC9397" s="22">
        <f t="shared" si="293"/>
        <v>0.57699999999999996</v>
      </c>
    </row>
    <row r="9398" spans="1:29" ht="25.5">
      <c r="A9398" s="8" t="s">
        <v>7642</v>
      </c>
      <c r="B9398" s="17" t="s">
        <v>7745</v>
      </c>
      <c r="C9398" s="12">
        <v>34151</v>
      </c>
      <c r="D9398" s="13" t="s">
        <v>8465</v>
      </c>
      <c r="E9398" s="10" t="s">
        <v>154</v>
      </c>
      <c r="F9398" s="10" t="s">
        <v>1258</v>
      </c>
      <c r="G9398" s="11" t="s">
        <v>1264</v>
      </c>
      <c r="H9398" s="2" t="s">
        <v>56</v>
      </c>
      <c r="L9398" s="18">
        <v>0</v>
      </c>
      <c r="Q9398" s="18">
        <v>0</v>
      </c>
      <c r="U9398" s="22">
        <v>0.53</v>
      </c>
      <c r="V9398" s="22">
        <f>2.12/5</f>
        <v>0.42400000000000004</v>
      </c>
      <c r="X9398" s="3">
        <v>2</v>
      </c>
      <c r="AB9398" s="18">
        <f t="shared" si="292"/>
        <v>1993</v>
      </c>
      <c r="AC9398" s="22">
        <f t="shared" si="293"/>
        <v>0.45133333333333336</v>
      </c>
    </row>
    <row r="9399" spans="1:29">
      <c r="A9399" s="8" t="s">
        <v>6878</v>
      </c>
      <c r="B9399" s="17" t="s">
        <v>7800</v>
      </c>
      <c r="C9399" s="13">
        <v>34145</v>
      </c>
      <c r="D9399" s="13" t="s">
        <v>8465</v>
      </c>
      <c r="E9399" s="10" t="s">
        <v>1284</v>
      </c>
      <c r="F9399" s="10" t="s">
        <v>1284</v>
      </c>
      <c r="G9399" s="11" t="s">
        <v>3584</v>
      </c>
      <c r="H9399" s="2" t="s">
        <v>67</v>
      </c>
      <c r="L9399" s="18">
        <v>0</v>
      </c>
      <c r="Q9399" s="18">
        <v>0</v>
      </c>
      <c r="U9399" s="22">
        <v>0.95</v>
      </c>
      <c r="V9399" s="22">
        <f>4.34/5</f>
        <v>0.86799999999999999</v>
      </c>
      <c r="X9399" s="3">
        <v>4</v>
      </c>
      <c r="Z9399" s="23">
        <v>6.5</v>
      </c>
      <c r="AB9399" s="18">
        <f t="shared" si="292"/>
        <v>1993</v>
      </c>
      <c r="AC9399" s="22">
        <f t="shared" si="293"/>
        <v>0.87266666666666681</v>
      </c>
    </row>
    <row r="9400" spans="1:29">
      <c r="A9400" s="8" t="s">
        <v>390</v>
      </c>
      <c r="B9400" s="17" t="s">
        <v>6317</v>
      </c>
      <c r="C9400" s="13">
        <v>34145</v>
      </c>
      <c r="D9400" s="13" t="s">
        <v>8465</v>
      </c>
      <c r="E9400" s="10" t="s">
        <v>485</v>
      </c>
      <c r="F9400" s="10" t="s">
        <v>485</v>
      </c>
      <c r="G9400" s="11" t="s">
        <v>17</v>
      </c>
      <c r="H9400" s="2" t="s">
        <v>459</v>
      </c>
      <c r="L9400" s="18">
        <v>0</v>
      </c>
      <c r="Q9400" s="18">
        <v>0</v>
      </c>
      <c r="V9400" s="22">
        <f>4/5</f>
        <v>0.8</v>
      </c>
      <c r="X9400" s="3">
        <v>3</v>
      </c>
      <c r="Z9400" s="23">
        <v>2</v>
      </c>
      <c r="AB9400" s="18">
        <f t="shared" si="292"/>
        <v>1993</v>
      </c>
      <c r="AC9400" s="22">
        <f t="shared" si="293"/>
        <v>0.7</v>
      </c>
    </row>
    <row r="9401" spans="1:29" ht="38.25">
      <c r="A9401" s="8" t="s">
        <v>803</v>
      </c>
      <c r="B9401" s="17" t="s">
        <v>7736</v>
      </c>
      <c r="C9401" s="13">
        <v>34145</v>
      </c>
      <c r="D9401" s="13" t="s">
        <v>8463</v>
      </c>
      <c r="E9401" s="10" t="s">
        <v>1401</v>
      </c>
      <c r="F9401" s="10" t="s">
        <v>1401</v>
      </c>
      <c r="G9401" s="11" t="s">
        <v>1461</v>
      </c>
      <c r="H9401" s="2" t="s">
        <v>149</v>
      </c>
      <c r="K9401" s="18">
        <v>2</v>
      </c>
      <c r="L9401" s="18">
        <v>0</v>
      </c>
      <c r="Q9401" s="18">
        <v>0</v>
      </c>
      <c r="V9401" s="22">
        <f>3.6/5</f>
        <v>0.72</v>
      </c>
      <c r="X9401" s="3">
        <v>3</v>
      </c>
      <c r="AB9401" s="18">
        <f t="shared" si="292"/>
        <v>1993</v>
      </c>
      <c r="AC9401" s="22">
        <f t="shared" si="293"/>
        <v>0.65999999999999992</v>
      </c>
    </row>
    <row r="9402" spans="1:29" ht="30">
      <c r="A9402" s="8" t="s">
        <v>2533</v>
      </c>
      <c r="B9402" s="17" t="s">
        <v>7751</v>
      </c>
      <c r="C9402" s="13">
        <v>34145</v>
      </c>
      <c r="D9402" s="13" t="s">
        <v>8463</v>
      </c>
      <c r="E9402" s="10" t="s">
        <v>2639</v>
      </c>
      <c r="F9402" s="10" t="s">
        <v>2640</v>
      </c>
      <c r="H9402" s="2" t="s">
        <v>21</v>
      </c>
      <c r="K9402" s="18">
        <v>0</v>
      </c>
      <c r="L9402" s="18">
        <v>0</v>
      </c>
      <c r="Q9402" s="18">
        <v>0</v>
      </c>
      <c r="U9402" s="22">
        <v>1</v>
      </c>
      <c r="V9402" s="22">
        <f>3.94/5</f>
        <v>0.78800000000000003</v>
      </c>
      <c r="X9402" s="3">
        <v>2</v>
      </c>
      <c r="Z9402" s="23">
        <v>1.5</v>
      </c>
      <c r="AB9402" s="18">
        <f t="shared" si="292"/>
        <v>1993</v>
      </c>
      <c r="AC9402" s="22">
        <f t="shared" si="293"/>
        <v>0.72933333333333339</v>
      </c>
    </row>
    <row r="9403" spans="1:29">
      <c r="A9403" s="8" t="s">
        <v>6844</v>
      </c>
      <c r="B9403" s="17" t="s">
        <v>7800</v>
      </c>
      <c r="C9403" s="13">
        <v>34142</v>
      </c>
      <c r="D9403" s="13" t="s">
        <v>8465</v>
      </c>
      <c r="E9403" s="10" t="s">
        <v>1496</v>
      </c>
      <c r="F9403" s="10" t="s">
        <v>2697</v>
      </c>
      <c r="G9403" s="11" t="s">
        <v>13821</v>
      </c>
      <c r="H9403" s="2" t="s">
        <v>1720</v>
      </c>
      <c r="L9403" s="18">
        <v>0</v>
      </c>
      <c r="Q9403" s="18">
        <v>0</v>
      </c>
      <c r="U9403" s="22">
        <v>0.88</v>
      </c>
      <c r="V9403" s="22">
        <f>4.07/5</f>
        <v>0.81400000000000006</v>
      </c>
      <c r="X9403" s="3">
        <v>4</v>
      </c>
      <c r="Z9403" s="23">
        <v>40</v>
      </c>
      <c r="AB9403" s="18">
        <f t="shared" si="292"/>
        <v>1993</v>
      </c>
      <c r="AC9403" s="22">
        <f t="shared" si="293"/>
        <v>0.83133333333333326</v>
      </c>
    </row>
    <row r="9404" spans="1:29" ht="25.5">
      <c r="A9404" s="8" t="s">
        <v>14352</v>
      </c>
      <c r="B9404" s="17" t="s">
        <v>10323</v>
      </c>
      <c r="C9404" s="13">
        <v>34138</v>
      </c>
      <c r="D9404" s="13" t="s">
        <v>8463</v>
      </c>
      <c r="E9404" s="10" t="s">
        <v>1312</v>
      </c>
      <c r="F9404" s="10" t="s">
        <v>1312</v>
      </c>
      <c r="G9404" s="11" t="s">
        <v>10337</v>
      </c>
      <c r="H9404" s="2" t="s">
        <v>171</v>
      </c>
      <c r="K9404" s="18">
        <v>2</v>
      </c>
      <c r="L9404" s="18">
        <v>0</v>
      </c>
      <c r="Q9404" s="18">
        <v>0</v>
      </c>
      <c r="X9404" s="3">
        <v>2</v>
      </c>
      <c r="AB9404" s="18">
        <f t="shared" si="292"/>
        <v>1993</v>
      </c>
      <c r="AC9404" s="22">
        <f t="shared" si="293"/>
        <v>0.4</v>
      </c>
    </row>
    <row r="9405" spans="1:29" ht="25.5">
      <c r="A9405" s="8" t="s">
        <v>6787</v>
      </c>
      <c r="B9405" s="17" t="s">
        <v>7800</v>
      </c>
      <c r="C9405" s="13">
        <v>34135</v>
      </c>
      <c r="D9405" s="13" t="s">
        <v>8465</v>
      </c>
      <c r="E9405" s="10" t="s">
        <v>1496</v>
      </c>
      <c r="F9405" s="10" t="s">
        <v>1496</v>
      </c>
      <c r="G9405" s="11" t="s">
        <v>6897</v>
      </c>
      <c r="H9405" s="2" t="s">
        <v>67</v>
      </c>
      <c r="L9405" s="18">
        <v>0</v>
      </c>
      <c r="Q9405" s="18">
        <v>0</v>
      </c>
      <c r="U9405" s="22">
        <v>0.8</v>
      </c>
      <c r="V9405" s="22">
        <f>3.67/5</f>
        <v>0.73399999999999999</v>
      </c>
      <c r="X9405" s="3">
        <v>2</v>
      </c>
      <c r="Z9405" s="23">
        <v>6</v>
      </c>
      <c r="AB9405" s="18">
        <f t="shared" si="292"/>
        <v>1993</v>
      </c>
      <c r="AC9405" s="22">
        <f t="shared" si="293"/>
        <v>0.64466666666666672</v>
      </c>
    </row>
    <row r="9406" spans="1:29">
      <c r="A9406" s="8" t="s">
        <v>682</v>
      </c>
      <c r="B9406" s="17" t="s">
        <v>7736</v>
      </c>
      <c r="C9406" s="13">
        <v>34128</v>
      </c>
      <c r="D9406" s="13" t="s">
        <v>8465</v>
      </c>
      <c r="E9406" s="10" t="s">
        <v>72</v>
      </c>
      <c r="F9406" s="10" t="s">
        <v>72</v>
      </c>
      <c r="H9406" s="2" t="s">
        <v>147</v>
      </c>
      <c r="L9406" s="18">
        <v>0</v>
      </c>
      <c r="Q9406" s="18">
        <v>0</v>
      </c>
      <c r="U9406" s="22">
        <v>0.8</v>
      </c>
      <c r="V9406" s="22">
        <f>4.05/5</f>
        <v>0.80999999999999994</v>
      </c>
      <c r="X9406" s="3">
        <v>3</v>
      </c>
      <c r="Z9406" s="23">
        <v>1.5</v>
      </c>
      <c r="AB9406" s="18">
        <f t="shared" si="292"/>
        <v>1993</v>
      </c>
      <c r="AC9406" s="22">
        <f t="shared" si="293"/>
        <v>0.73666666666666669</v>
      </c>
    </row>
    <row r="9407" spans="1:29">
      <c r="A9407" s="8" t="s">
        <v>630</v>
      </c>
      <c r="B9407" s="17" t="s">
        <v>7736</v>
      </c>
      <c r="C9407" s="13">
        <v>34128</v>
      </c>
      <c r="D9407" s="13" t="s">
        <v>8465</v>
      </c>
      <c r="E9407" s="10" t="s">
        <v>228</v>
      </c>
      <c r="F9407" s="10" t="s">
        <v>1278</v>
      </c>
      <c r="H9407" s="2" t="s">
        <v>56</v>
      </c>
      <c r="L9407" s="18">
        <v>0</v>
      </c>
      <c r="Q9407" s="18">
        <v>0</v>
      </c>
      <c r="U9407" s="22">
        <v>0.75</v>
      </c>
      <c r="V9407" s="22">
        <f>3.51/5</f>
        <v>0.70199999999999996</v>
      </c>
      <c r="X9407" s="3">
        <v>2</v>
      </c>
      <c r="Z9407" s="23">
        <v>0.88</v>
      </c>
      <c r="AB9407" s="18">
        <f t="shared" si="292"/>
        <v>1993</v>
      </c>
      <c r="AC9407" s="22">
        <f t="shared" si="293"/>
        <v>0.61733333333333329</v>
      </c>
    </row>
    <row r="9408" spans="1:29">
      <c r="A9408" s="8" t="s">
        <v>6556</v>
      </c>
      <c r="B9408" s="17" t="s">
        <v>7800</v>
      </c>
      <c r="C9408" s="13">
        <v>34126</v>
      </c>
      <c r="D9408" s="13" t="s">
        <v>8465</v>
      </c>
      <c r="E9408" s="10" t="s">
        <v>231</v>
      </c>
      <c r="F9408" s="10" t="s">
        <v>6907</v>
      </c>
      <c r="G9408" s="11" t="s">
        <v>6556</v>
      </c>
      <c r="H9408" s="2" t="s">
        <v>61</v>
      </c>
      <c r="L9408" s="18">
        <v>1</v>
      </c>
      <c r="N9408" s="13">
        <v>44418</v>
      </c>
      <c r="O9408" s="29">
        <v>0</v>
      </c>
      <c r="P9408" s="18" t="s">
        <v>1107</v>
      </c>
      <c r="Q9408" s="18">
        <v>0</v>
      </c>
      <c r="V9408" s="22">
        <f>3.91/5</f>
        <v>0.78200000000000003</v>
      </c>
      <c r="W9408" s="14" t="s">
        <v>7778</v>
      </c>
      <c r="X9408" s="3">
        <v>4</v>
      </c>
      <c r="Z9408" s="23">
        <v>11</v>
      </c>
      <c r="AB9408" s="18">
        <f t="shared" si="292"/>
        <v>1993</v>
      </c>
      <c r="AC9408" s="22">
        <f t="shared" si="293"/>
        <v>0.79100000000000004</v>
      </c>
    </row>
    <row r="9409" spans="1:29" ht="30">
      <c r="A9409" s="8" t="s">
        <v>8410</v>
      </c>
      <c r="B9409" s="17" t="s">
        <v>7751</v>
      </c>
      <c r="C9409" s="13">
        <v>34126</v>
      </c>
      <c r="D9409" s="13" t="s">
        <v>8465</v>
      </c>
      <c r="E9409" s="10" t="s">
        <v>2633</v>
      </c>
      <c r="F9409" s="10" t="s">
        <v>8411</v>
      </c>
      <c r="H9409" s="2" t="s">
        <v>75</v>
      </c>
      <c r="L9409" s="18">
        <v>0</v>
      </c>
      <c r="Q9409" s="18">
        <v>0</v>
      </c>
      <c r="V9409" s="22">
        <f>3.13/5</f>
        <v>0.626</v>
      </c>
      <c r="X9409" s="3">
        <v>2</v>
      </c>
      <c r="Z9409" s="23">
        <v>10</v>
      </c>
      <c r="AB9409" s="18">
        <f t="shared" ref="AB9409:AB9472" si="294">IFERROR(YEAR(C9409), "Early Access")</f>
        <v>1993</v>
      </c>
      <c r="AC9409" s="22">
        <f t="shared" ref="AC9409:AC9472" si="295">AVERAGE(T9409, U9409, V9409, IF(ISBLANK(X9409), X9409, X9409/5))</f>
        <v>0.51300000000000001</v>
      </c>
    </row>
    <row r="9410" spans="1:29">
      <c r="A9410" s="8" t="s">
        <v>1437</v>
      </c>
      <c r="B9410" s="17" t="s">
        <v>7736</v>
      </c>
      <c r="C9410" s="13">
        <v>34124</v>
      </c>
      <c r="D9410" s="13" t="s">
        <v>8465</v>
      </c>
      <c r="E9410" s="10" t="s">
        <v>1272</v>
      </c>
      <c r="F9410" s="10" t="s">
        <v>1313</v>
      </c>
      <c r="G9410" s="11" t="s">
        <v>1437</v>
      </c>
      <c r="H9410" s="2" t="s">
        <v>150</v>
      </c>
      <c r="L9410" s="18">
        <v>0</v>
      </c>
      <c r="Q9410" s="18">
        <v>0</v>
      </c>
      <c r="U9410" s="22">
        <v>0.83</v>
      </c>
      <c r="V9410" s="22">
        <f>4.03/5</f>
        <v>0.80600000000000005</v>
      </c>
      <c r="X9410" s="3">
        <v>3</v>
      </c>
      <c r="Z9410" s="23">
        <v>11</v>
      </c>
      <c r="AB9410" s="18">
        <f t="shared" si="294"/>
        <v>1993</v>
      </c>
      <c r="AC9410" s="22">
        <f t="shared" si="295"/>
        <v>0.7453333333333334</v>
      </c>
    </row>
    <row r="9411" spans="1:29">
      <c r="A9411" s="8" t="s">
        <v>534</v>
      </c>
      <c r="B9411" s="17" t="s">
        <v>7731</v>
      </c>
      <c r="C9411" s="13">
        <v>34124</v>
      </c>
      <c r="D9411" s="13" t="s">
        <v>8465</v>
      </c>
      <c r="E9411" s="10" t="s">
        <v>170</v>
      </c>
      <c r="F9411" s="10" t="s">
        <v>1222</v>
      </c>
      <c r="G9411" s="11" t="s">
        <v>533</v>
      </c>
      <c r="H9411" s="2" t="s">
        <v>459</v>
      </c>
      <c r="L9411" s="18">
        <v>0</v>
      </c>
      <c r="Q9411" s="18">
        <v>0</v>
      </c>
      <c r="V9411" s="22">
        <f>3.29/5</f>
        <v>0.65800000000000003</v>
      </c>
      <c r="X9411" s="3">
        <v>2</v>
      </c>
      <c r="Z9411" s="23">
        <v>1</v>
      </c>
      <c r="AB9411" s="18">
        <f t="shared" si="294"/>
        <v>1993</v>
      </c>
      <c r="AC9411" s="22">
        <f t="shared" si="295"/>
        <v>0.52900000000000003</v>
      </c>
    </row>
    <row r="9412" spans="1:29" ht="25.5">
      <c r="A9412" s="8" t="s">
        <v>723</v>
      </c>
      <c r="B9412" s="17" t="s">
        <v>7736</v>
      </c>
      <c r="C9412" s="13">
        <v>34121</v>
      </c>
      <c r="D9412" s="13" t="s">
        <v>8465</v>
      </c>
      <c r="E9412" s="10" t="s">
        <v>1340</v>
      </c>
      <c r="F9412" s="10" t="s">
        <v>1341</v>
      </c>
      <c r="G9412" s="11" t="s">
        <v>721</v>
      </c>
      <c r="H9412" s="2" t="s">
        <v>56</v>
      </c>
      <c r="L9412" s="18">
        <v>0</v>
      </c>
      <c r="Q9412" s="18">
        <v>0</v>
      </c>
      <c r="U9412" s="22">
        <v>0.78</v>
      </c>
      <c r="V9412" s="22">
        <f>3.53/5</f>
        <v>0.70599999999999996</v>
      </c>
      <c r="X9412" s="3">
        <v>4</v>
      </c>
      <c r="Z9412" s="23">
        <v>4.5</v>
      </c>
      <c r="AB9412" s="18">
        <f t="shared" si="294"/>
        <v>1993</v>
      </c>
      <c r="AC9412" s="22">
        <f t="shared" si="295"/>
        <v>0.76200000000000001</v>
      </c>
    </row>
    <row r="9413" spans="1:29">
      <c r="A9413" s="8" t="s">
        <v>183</v>
      </c>
      <c r="B9413" s="17" t="s">
        <v>7734</v>
      </c>
      <c r="C9413" s="12">
        <v>34121</v>
      </c>
      <c r="D9413" s="13" t="s">
        <v>8465</v>
      </c>
      <c r="E9413" s="10" t="s">
        <v>73</v>
      </c>
      <c r="F9413" s="10" t="s">
        <v>237</v>
      </c>
      <c r="G9413" s="11" t="s">
        <v>125</v>
      </c>
      <c r="H9413" s="2" t="s">
        <v>64</v>
      </c>
      <c r="L9413" s="18">
        <v>0</v>
      </c>
      <c r="Q9413" s="18">
        <v>0</v>
      </c>
      <c r="V9413" s="22">
        <f>3.89/5</f>
        <v>0.77800000000000002</v>
      </c>
      <c r="X9413" s="3">
        <v>3</v>
      </c>
      <c r="Z9413" s="23">
        <v>1</v>
      </c>
      <c r="AB9413" s="18">
        <f t="shared" si="294"/>
        <v>1993</v>
      </c>
      <c r="AC9413" s="22">
        <f t="shared" si="295"/>
        <v>0.68900000000000006</v>
      </c>
    </row>
    <row r="9414" spans="1:29">
      <c r="A9414" s="8" t="s">
        <v>714</v>
      </c>
      <c r="B9414" s="17" t="s">
        <v>7736</v>
      </c>
      <c r="C9414" s="12">
        <v>34121</v>
      </c>
      <c r="D9414" s="13" t="s">
        <v>8465</v>
      </c>
      <c r="E9414" s="10" t="s">
        <v>66</v>
      </c>
      <c r="F9414" s="10" t="s">
        <v>66</v>
      </c>
      <c r="G9414" s="11" t="s">
        <v>714</v>
      </c>
      <c r="H9414" s="2" t="s">
        <v>21</v>
      </c>
      <c r="L9414" s="18">
        <v>0</v>
      </c>
      <c r="Q9414" s="18">
        <v>0</v>
      </c>
      <c r="U9414" s="22">
        <v>0.78</v>
      </c>
      <c r="V9414" s="22">
        <f>3.86/5</f>
        <v>0.77200000000000002</v>
      </c>
      <c r="X9414" s="3">
        <v>3</v>
      </c>
      <c r="Z9414" s="23">
        <v>1.5</v>
      </c>
      <c r="AB9414" s="18">
        <f t="shared" si="294"/>
        <v>1993</v>
      </c>
      <c r="AC9414" s="22">
        <f t="shared" si="295"/>
        <v>0.71733333333333338</v>
      </c>
    </row>
    <row r="9415" spans="1:29" ht="30">
      <c r="A9415" s="8" t="s">
        <v>6857</v>
      </c>
      <c r="B9415" s="17" t="s">
        <v>7800</v>
      </c>
      <c r="C9415" s="13">
        <v>34121</v>
      </c>
      <c r="D9415" s="13" t="s">
        <v>8465</v>
      </c>
      <c r="E9415" s="10" t="s">
        <v>5565</v>
      </c>
      <c r="F9415" s="10" t="s">
        <v>6912</v>
      </c>
      <c r="G9415" s="11" t="s">
        <v>6913</v>
      </c>
      <c r="H9415" s="2" t="s">
        <v>1720</v>
      </c>
      <c r="L9415" s="18">
        <v>1</v>
      </c>
      <c r="N9415" s="13">
        <v>41578</v>
      </c>
      <c r="O9415" s="29">
        <v>0</v>
      </c>
      <c r="P9415" s="18" t="s">
        <v>1107</v>
      </c>
      <c r="Q9415" s="18">
        <v>0</v>
      </c>
      <c r="V9415" s="22">
        <f>3.73/5</f>
        <v>0.746</v>
      </c>
      <c r="W9415" s="14" t="s">
        <v>7778</v>
      </c>
      <c r="X9415" s="3">
        <v>3</v>
      </c>
      <c r="Z9415" s="23">
        <v>34</v>
      </c>
      <c r="AB9415" s="18">
        <f t="shared" si="294"/>
        <v>1993</v>
      </c>
      <c r="AC9415" s="22">
        <f t="shared" si="295"/>
        <v>0.67300000000000004</v>
      </c>
    </row>
    <row r="9416" spans="1:29" ht="25.5">
      <c r="A9416" s="8" t="s">
        <v>661</v>
      </c>
      <c r="B9416" s="17" t="s">
        <v>7736</v>
      </c>
      <c r="C9416" s="12">
        <v>34121</v>
      </c>
      <c r="D9416" s="13" t="s">
        <v>8465</v>
      </c>
      <c r="E9416" s="10" t="s">
        <v>152</v>
      </c>
      <c r="F9416" s="10" t="s">
        <v>163</v>
      </c>
      <c r="G9416" s="11" t="s">
        <v>127</v>
      </c>
      <c r="H9416" s="2" t="s">
        <v>153</v>
      </c>
      <c r="L9416" s="18">
        <v>0</v>
      </c>
      <c r="Q9416" s="18">
        <v>0</v>
      </c>
      <c r="U9416" s="22">
        <v>0.78</v>
      </c>
      <c r="V9416" s="22">
        <f>3.44/5</f>
        <v>0.68799999999999994</v>
      </c>
      <c r="X9416" s="3">
        <v>3</v>
      </c>
      <c r="Z9416" s="23">
        <v>0.98</v>
      </c>
      <c r="AB9416" s="18">
        <f t="shared" si="294"/>
        <v>1993</v>
      </c>
      <c r="AC9416" s="22">
        <f t="shared" si="295"/>
        <v>0.68933333333333335</v>
      </c>
    </row>
    <row r="9417" spans="1:29" ht="25.5">
      <c r="A9417" s="8" t="s">
        <v>7624</v>
      </c>
      <c r="B9417" s="17" t="s">
        <v>7745</v>
      </c>
      <c r="C9417" s="12">
        <v>34121</v>
      </c>
      <c r="D9417" s="13" t="s">
        <v>8465</v>
      </c>
      <c r="E9417" s="10" t="s">
        <v>152</v>
      </c>
      <c r="F9417" s="10" t="s">
        <v>163</v>
      </c>
      <c r="G9417" s="11" t="s">
        <v>127</v>
      </c>
      <c r="H9417" s="2" t="s">
        <v>153</v>
      </c>
      <c r="L9417" s="18">
        <v>0</v>
      </c>
      <c r="Q9417" s="18">
        <v>0</v>
      </c>
      <c r="U9417" s="22">
        <v>0.75</v>
      </c>
      <c r="V9417" s="22">
        <f>3.16/5</f>
        <v>0.63200000000000001</v>
      </c>
      <c r="X9417" s="3">
        <v>2</v>
      </c>
      <c r="Z9417" s="23">
        <v>2</v>
      </c>
      <c r="AB9417" s="18">
        <f t="shared" si="294"/>
        <v>1993</v>
      </c>
      <c r="AC9417" s="22">
        <f t="shared" si="295"/>
        <v>0.59399999999999997</v>
      </c>
    </row>
    <row r="9418" spans="1:29">
      <c r="A9418" s="8" t="s">
        <v>6290</v>
      </c>
      <c r="B9418" s="17" t="s">
        <v>7800</v>
      </c>
      <c r="C9418" s="12">
        <v>34121</v>
      </c>
      <c r="D9418" s="13" t="s">
        <v>8465</v>
      </c>
      <c r="E9418" s="10" t="s">
        <v>231</v>
      </c>
      <c r="F9418" s="10" t="s">
        <v>231</v>
      </c>
      <c r="G9418" s="11" t="s">
        <v>5534</v>
      </c>
      <c r="H9418" s="2" t="s">
        <v>1143</v>
      </c>
      <c r="L9418" s="18">
        <v>0</v>
      </c>
      <c r="Q9418" s="18">
        <v>0</v>
      </c>
      <c r="V9418" s="22">
        <f>3.44/5</f>
        <v>0.68799999999999994</v>
      </c>
      <c r="X9418" s="3">
        <v>2</v>
      </c>
      <c r="AB9418" s="18">
        <f t="shared" si="294"/>
        <v>1993</v>
      </c>
      <c r="AC9418" s="22">
        <f t="shared" si="295"/>
        <v>0.54400000000000004</v>
      </c>
    </row>
    <row r="9419" spans="1:29">
      <c r="A9419" s="8" t="s">
        <v>637</v>
      </c>
      <c r="B9419" s="17" t="s">
        <v>7736</v>
      </c>
      <c r="C9419" s="12">
        <v>34121</v>
      </c>
      <c r="D9419" s="13" t="s">
        <v>8465</v>
      </c>
      <c r="E9419" s="10" t="s">
        <v>231</v>
      </c>
      <c r="F9419" s="10" t="s">
        <v>1280</v>
      </c>
      <c r="H9419" s="2" t="s">
        <v>147</v>
      </c>
      <c r="L9419" s="18">
        <v>0</v>
      </c>
      <c r="Q9419" s="18">
        <v>0</v>
      </c>
      <c r="U9419" s="22">
        <v>0.66</v>
      </c>
      <c r="V9419" s="22">
        <f>3.2/5</f>
        <v>0.64</v>
      </c>
      <c r="X9419" s="3">
        <v>2</v>
      </c>
      <c r="Z9419" s="23">
        <v>4</v>
      </c>
      <c r="AB9419" s="18">
        <f t="shared" si="294"/>
        <v>1993</v>
      </c>
      <c r="AC9419" s="22">
        <f t="shared" si="295"/>
        <v>0.56666666666666676</v>
      </c>
    </row>
    <row r="9420" spans="1:29">
      <c r="A9420" s="8" t="s">
        <v>191</v>
      </c>
      <c r="B9420" s="17" t="s">
        <v>7734</v>
      </c>
      <c r="C9420" s="13">
        <v>34108</v>
      </c>
      <c r="D9420" s="13" t="s">
        <v>8465</v>
      </c>
      <c r="E9420" s="10" t="s">
        <v>160</v>
      </c>
      <c r="F9420" s="10" t="s">
        <v>160</v>
      </c>
      <c r="H9420" s="2" t="s">
        <v>64</v>
      </c>
      <c r="L9420" s="18">
        <v>0</v>
      </c>
      <c r="Q9420" s="18">
        <v>0</v>
      </c>
      <c r="V9420" s="22">
        <f>4.09/5</f>
        <v>0.81799999999999995</v>
      </c>
      <c r="X9420" s="3">
        <v>2</v>
      </c>
      <c r="Z9420" s="23">
        <v>2</v>
      </c>
      <c r="AB9420" s="18">
        <f t="shared" si="294"/>
        <v>1993</v>
      </c>
      <c r="AC9420" s="22">
        <f t="shared" si="295"/>
        <v>0.60899999999999999</v>
      </c>
    </row>
    <row r="9421" spans="1:29">
      <c r="A9421" s="8" t="s">
        <v>686</v>
      </c>
      <c r="B9421" s="17" t="s">
        <v>7736</v>
      </c>
      <c r="C9421" s="12">
        <v>34090</v>
      </c>
      <c r="D9421" s="13" t="s">
        <v>8465</v>
      </c>
      <c r="E9421" s="10" t="s">
        <v>1321</v>
      </c>
      <c r="F9421" s="10" t="s">
        <v>1322</v>
      </c>
      <c r="G9421" s="11" t="s">
        <v>1323</v>
      </c>
      <c r="H9421" s="2" t="s">
        <v>147</v>
      </c>
      <c r="L9421" s="18">
        <v>0</v>
      </c>
      <c r="Q9421" s="18">
        <v>0</v>
      </c>
      <c r="U9421" s="22">
        <v>0.77</v>
      </c>
      <c r="V9421" s="22">
        <f>3.78/5</f>
        <v>0.75600000000000001</v>
      </c>
      <c r="X9421" s="3">
        <v>3</v>
      </c>
      <c r="Z9421" s="23">
        <v>1.5</v>
      </c>
      <c r="AB9421" s="18">
        <f t="shared" si="294"/>
        <v>1993</v>
      </c>
      <c r="AC9421" s="22">
        <f t="shared" si="295"/>
        <v>0.70866666666666667</v>
      </c>
    </row>
    <row r="9422" spans="1:29">
      <c r="A9422" s="8" t="s">
        <v>647</v>
      </c>
      <c r="B9422" s="17" t="s">
        <v>7736</v>
      </c>
      <c r="C9422" s="12">
        <v>34090</v>
      </c>
      <c r="D9422" s="13" t="s">
        <v>8465</v>
      </c>
      <c r="E9422" s="10" t="s">
        <v>1273</v>
      </c>
      <c r="F9422" s="10" t="s">
        <v>254</v>
      </c>
      <c r="G9422" s="11" t="s">
        <v>1433</v>
      </c>
      <c r="H9422" s="2" t="s">
        <v>1204</v>
      </c>
      <c r="L9422" s="18">
        <v>0</v>
      </c>
      <c r="Q9422" s="18">
        <v>0</v>
      </c>
      <c r="U9422" s="22">
        <v>0.67</v>
      </c>
      <c r="V9422" s="22">
        <f>2.99/5</f>
        <v>0.59800000000000009</v>
      </c>
      <c r="X9422" s="3">
        <v>3</v>
      </c>
      <c r="Z9422" s="23">
        <v>2.5</v>
      </c>
      <c r="AB9422" s="18">
        <f t="shared" si="294"/>
        <v>1993</v>
      </c>
      <c r="AC9422" s="22">
        <f t="shared" si="295"/>
        <v>0.62266666666666681</v>
      </c>
    </row>
    <row r="9423" spans="1:29">
      <c r="A9423" s="8" t="s">
        <v>224</v>
      </c>
      <c r="B9423" s="17" t="s">
        <v>7734</v>
      </c>
      <c r="C9423" s="12">
        <v>34090</v>
      </c>
      <c r="D9423" s="13" t="s">
        <v>8465</v>
      </c>
      <c r="E9423" s="10" t="s">
        <v>86</v>
      </c>
      <c r="F9423" s="10" t="s">
        <v>30</v>
      </c>
      <c r="G9423" s="11" t="s">
        <v>223</v>
      </c>
      <c r="H9423" s="2" t="s">
        <v>64</v>
      </c>
      <c r="L9423" s="18">
        <v>0</v>
      </c>
      <c r="Q9423" s="18">
        <v>0</v>
      </c>
      <c r="V9423" s="22">
        <f>4.13/5</f>
        <v>0.82599999999999996</v>
      </c>
      <c r="X9423" s="3">
        <v>2</v>
      </c>
      <c r="Z9423" s="23">
        <v>3.5</v>
      </c>
      <c r="AB9423" s="18">
        <f t="shared" si="294"/>
        <v>1993</v>
      </c>
      <c r="AC9423" s="22">
        <f t="shared" si="295"/>
        <v>0.61299999999999999</v>
      </c>
    </row>
    <row r="9424" spans="1:29" ht="30">
      <c r="A9424" s="8" t="s">
        <v>2513</v>
      </c>
      <c r="B9424" s="17" t="s">
        <v>7750</v>
      </c>
      <c r="C9424" s="12">
        <v>34090</v>
      </c>
      <c r="D9424" s="13" t="s">
        <v>8467</v>
      </c>
      <c r="E9424" s="10" t="s">
        <v>455</v>
      </c>
      <c r="F9424" s="10" t="s">
        <v>2509</v>
      </c>
      <c r="H9424" s="2" t="s">
        <v>56</v>
      </c>
      <c r="L9424" s="18">
        <v>0</v>
      </c>
      <c r="Q9424" s="18">
        <v>0</v>
      </c>
      <c r="V9424" s="22">
        <f>3.79/5</f>
        <v>0.75800000000000001</v>
      </c>
      <c r="X9424" s="3">
        <v>2</v>
      </c>
      <c r="Z9424" s="23">
        <v>1.5</v>
      </c>
      <c r="AB9424" s="18">
        <f t="shared" si="294"/>
        <v>1993</v>
      </c>
      <c r="AC9424" s="22">
        <f t="shared" si="295"/>
        <v>0.57899999999999996</v>
      </c>
    </row>
    <row r="9425" spans="1:29">
      <c r="A9425" s="8" t="s">
        <v>11922</v>
      </c>
      <c r="B9425" s="17" t="s">
        <v>6317</v>
      </c>
      <c r="C9425" s="12">
        <v>34090</v>
      </c>
      <c r="D9425" s="13" t="s">
        <v>8467</v>
      </c>
      <c r="E9425" s="10" t="s">
        <v>73</v>
      </c>
      <c r="F9425" s="10" t="s">
        <v>11920</v>
      </c>
      <c r="G9425" s="11" t="s">
        <v>11921</v>
      </c>
      <c r="H9425" s="2" t="s">
        <v>21</v>
      </c>
      <c r="L9425" s="18">
        <v>0</v>
      </c>
      <c r="Q9425" s="18">
        <v>0</v>
      </c>
      <c r="V9425" s="22">
        <f>3.7/5</f>
        <v>0.74</v>
      </c>
      <c r="X9425" s="3">
        <v>2</v>
      </c>
      <c r="Z9425" s="23">
        <v>1</v>
      </c>
      <c r="AB9425" s="18">
        <f t="shared" si="294"/>
        <v>1993</v>
      </c>
      <c r="AC9425" s="22">
        <f t="shared" si="295"/>
        <v>0.57000000000000006</v>
      </c>
    </row>
    <row r="9426" spans="1:29">
      <c r="A9426" s="8" t="s">
        <v>346</v>
      </c>
      <c r="B9426" s="17" t="s">
        <v>6317</v>
      </c>
      <c r="C9426" s="12">
        <v>34090</v>
      </c>
      <c r="D9426" s="13" t="s">
        <v>8465</v>
      </c>
      <c r="E9426" s="10" t="s">
        <v>72</v>
      </c>
      <c r="F9426" s="10" t="s">
        <v>72</v>
      </c>
      <c r="H9426" s="2" t="s">
        <v>171</v>
      </c>
      <c r="L9426" s="18">
        <v>0</v>
      </c>
      <c r="Q9426" s="18">
        <v>0</v>
      </c>
      <c r="V9426" s="22">
        <f>3.61/5</f>
        <v>0.72199999999999998</v>
      </c>
      <c r="X9426" s="3">
        <v>2</v>
      </c>
      <c r="Z9426" s="23">
        <v>1.5</v>
      </c>
      <c r="AB9426" s="18">
        <f t="shared" si="294"/>
        <v>1993</v>
      </c>
      <c r="AC9426" s="22">
        <f t="shared" si="295"/>
        <v>0.56099999999999994</v>
      </c>
    </row>
    <row r="9427" spans="1:29">
      <c r="A9427" s="8" t="s">
        <v>7621</v>
      </c>
      <c r="B9427" s="17" t="s">
        <v>7736</v>
      </c>
      <c r="C9427" s="12">
        <v>34090</v>
      </c>
      <c r="D9427" s="13" t="s">
        <v>8465</v>
      </c>
      <c r="E9427" s="10" t="s">
        <v>1263</v>
      </c>
      <c r="F9427" s="10" t="s">
        <v>14882</v>
      </c>
      <c r="G9427" s="11" t="s">
        <v>442</v>
      </c>
      <c r="H9427" s="2" t="s">
        <v>147</v>
      </c>
      <c r="L9427" s="18">
        <v>0</v>
      </c>
      <c r="Q9427" s="18">
        <v>0</v>
      </c>
      <c r="V9427" s="22">
        <f>3.61/5</f>
        <v>0.72199999999999998</v>
      </c>
      <c r="X9427" s="3">
        <v>2</v>
      </c>
      <c r="Z9427" s="23">
        <v>4</v>
      </c>
      <c r="AB9427" s="18">
        <f t="shared" si="294"/>
        <v>1993</v>
      </c>
      <c r="AC9427" s="22">
        <f t="shared" si="295"/>
        <v>0.56099999999999994</v>
      </c>
    </row>
    <row r="9428" spans="1:29">
      <c r="A9428" s="8" t="s">
        <v>1438</v>
      </c>
      <c r="B9428" s="17" t="s">
        <v>7736</v>
      </c>
      <c r="C9428" s="12">
        <v>34090</v>
      </c>
      <c r="D9428" s="13" t="s">
        <v>8465</v>
      </c>
      <c r="E9428" s="10" t="s">
        <v>57</v>
      </c>
      <c r="F9428" s="10" t="s">
        <v>57</v>
      </c>
      <c r="G9428" s="11" t="s">
        <v>1276</v>
      </c>
      <c r="H9428" s="2" t="s">
        <v>56</v>
      </c>
      <c r="L9428" s="18">
        <v>0</v>
      </c>
      <c r="Q9428" s="18">
        <v>0</v>
      </c>
      <c r="V9428" s="22">
        <f>3.59/5</f>
        <v>0.71799999999999997</v>
      </c>
      <c r="X9428" s="3">
        <v>2</v>
      </c>
      <c r="Z9428" s="23">
        <v>2</v>
      </c>
      <c r="AB9428" s="18">
        <f t="shared" si="294"/>
        <v>1993</v>
      </c>
      <c r="AC9428" s="22">
        <f t="shared" si="295"/>
        <v>0.55899999999999994</v>
      </c>
    </row>
    <row r="9429" spans="1:29">
      <c r="A9429" s="8" t="s">
        <v>14894</v>
      </c>
      <c r="B9429" s="17" t="s">
        <v>6317</v>
      </c>
      <c r="C9429" s="12">
        <v>34090</v>
      </c>
      <c r="D9429" s="13" t="s">
        <v>8465</v>
      </c>
      <c r="E9429" s="10" t="s">
        <v>14895</v>
      </c>
      <c r="F9429" s="10" t="s">
        <v>14895</v>
      </c>
      <c r="G9429" s="11" t="s">
        <v>14894</v>
      </c>
      <c r="H9429" s="2" t="s">
        <v>1170</v>
      </c>
      <c r="L9429" s="18">
        <v>0</v>
      </c>
      <c r="Q9429" s="18">
        <v>0</v>
      </c>
      <c r="V9429" s="22">
        <f>3.08/5</f>
        <v>0.61599999999999999</v>
      </c>
      <c r="X9429" s="3">
        <v>2</v>
      </c>
      <c r="Z9429" s="23">
        <f>41/60</f>
        <v>0.68333333333333335</v>
      </c>
      <c r="AB9429" s="18">
        <f t="shared" si="294"/>
        <v>1993</v>
      </c>
      <c r="AC9429" s="22">
        <f t="shared" si="295"/>
        <v>0.50800000000000001</v>
      </c>
    </row>
    <row r="9430" spans="1:29" ht="38.25">
      <c r="A9430" s="8" t="s">
        <v>14961</v>
      </c>
      <c r="B9430" s="17" t="s">
        <v>7736</v>
      </c>
      <c r="C9430" s="12">
        <v>34090</v>
      </c>
      <c r="D9430" s="13" t="s">
        <v>8465</v>
      </c>
      <c r="E9430" s="10" t="s">
        <v>1781</v>
      </c>
      <c r="F9430" s="10" t="s">
        <v>1781</v>
      </c>
      <c r="G9430" s="11" t="s">
        <v>14962</v>
      </c>
      <c r="H9430" s="2" t="s">
        <v>64</v>
      </c>
      <c r="L9430" s="18">
        <v>0</v>
      </c>
      <c r="Q9430" s="18">
        <v>0</v>
      </c>
      <c r="V9430" s="22">
        <f>2.88/5</f>
        <v>0.57599999999999996</v>
      </c>
      <c r="X9430" s="3">
        <v>2</v>
      </c>
      <c r="Z9430" s="23">
        <v>4</v>
      </c>
      <c r="AB9430" s="18">
        <f t="shared" si="294"/>
        <v>1993</v>
      </c>
      <c r="AC9430" s="22">
        <f t="shared" si="295"/>
        <v>0.48799999999999999</v>
      </c>
    </row>
    <row r="9431" spans="1:29">
      <c r="A9431" s="8" t="s">
        <v>692</v>
      </c>
      <c r="B9431" s="17" t="s">
        <v>7736</v>
      </c>
      <c r="C9431" s="13">
        <v>34088</v>
      </c>
      <c r="D9431" s="13" t="s">
        <v>8465</v>
      </c>
      <c r="E9431" s="10" t="s">
        <v>1272</v>
      </c>
      <c r="F9431" s="10" t="s">
        <v>1313</v>
      </c>
      <c r="G9431" s="11" t="s">
        <v>692</v>
      </c>
      <c r="H9431" s="2" t="s">
        <v>27</v>
      </c>
      <c r="L9431" s="18">
        <v>0</v>
      </c>
      <c r="Q9431" s="18">
        <v>0</v>
      </c>
      <c r="U9431" s="22">
        <v>0.77</v>
      </c>
      <c r="V9431" s="22">
        <f>3.87/5</f>
        <v>0.77400000000000002</v>
      </c>
      <c r="X9431" s="3">
        <v>3</v>
      </c>
      <c r="Z9431" s="23">
        <v>11</v>
      </c>
      <c r="AB9431" s="18">
        <f t="shared" si="294"/>
        <v>1993</v>
      </c>
      <c r="AC9431" s="22">
        <f t="shared" si="295"/>
        <v>0.71466666666666667</v>
      </c>
    </row>
    <row r="9432" spans="1:29">
      <c r="A9432" s="8" t="s">
        <v>798</v>
      </c>
      <c r="B9432" s="17" t="s">
        <v>7736</v>
      </c>
      <c r="C9432" s="13">
        <v>34082</v>
      </c>
      <c r="D9432" s="13" t="s">
        <v>8463</v>
      </c>
      <c r="E9432" s="10" t="s">
        <v>1400</v>
      </c>
      <c r="F9432" s="10" t="s">
        <v>1356</v>
      </c>
      <c r="H9432" s="2" t="s">
        <v>149</v>
      </c>
      <c r="K9432" s="18">
        <v>2</v>
      </c>
      <c r="L9432" s="18">
        <v>0</v>
      </c>
      <c r="Q9432" s="18">
        <v>0</v>
      </c>
      <c r="V9432" s="22">
        <f>3.68/5</f>
        <v>0.73599999999999999</v>
      </c>
      <c r="X9432" s="3">
        <v>3</v>
      </c>
      <c r="Z9432" s="23">
        <v>19.5</v>
      </c>
      <c r="AB9432" s="18">
        <f t="shared" si="294"/>
        <v>1993</v>
      </c>
      <c r="AC9432" s="22">
        <f t="shared" si="295"/>
        <v>0.66799999999999993</v>
      </c>
    </row>
    <row r="9433" spans="1:29">
      <c r="A9433" s="8" t="s">
        <v>409</v>
      </c>
      <c r="B9433" s="17" t="s">
        <v>6317</v>
      </c>
      <c r="C9433" s="13">
        <v>34081</v>
      </c>
      <c r="D9433" s="13" t="s">
        <v>8465</v>
      </c>
      <c r="E9433" s="10" t="s">
        <v>470</v>
      </c>
      <c r="F9433" s="10" t="s">
        <v>473</v>
      </c>
      <c r="G9433" s="11" t="s">
        <v>558</v>
      </c>
      <c r="H9433" s="2" t="s">
        <v>21</v>
      </c>
      <c r="L9433" s="18">
        <v>0</v>
      </c>
      <c r="Q9433" s="18">
        <v>0</v>
      </c>
      <c r="V9433" s="22">
        <f>3.39/5</f>
        <v>0.67800000000000005</v>
      </c>
      <c r="X9433" s="3">
        <v>3</v>
      </c>
      <c r="Z9433" s="23">
        <v>1</v>
      </c>
      <c r="AB9433" s="18">
        <f t="shared" si="294"/>
        <v>1993</v>
      </c>
      <c r="AC9433" s="22">
        <f t="shared" si="295"/>
        <v>0.63900000000000001</v>
      </c>
    </row>
    <row r="9434" spans="1:29">
      <c r="A9434" s="8" t="s">
        <v>524</v>
      </c>
      <c r="B9434" s="17" t="s">
        <v>7731</v>
      </c>
      <c r="C9434" s="13">
        <v>34068</v>
      </c>
      <c r="D9434" s="13" t="s">
        <v>8465</v>
      </c>
      <c r="E9434" s="10" t="s">
        <v>170</v>
      </c>
      <c r="F9434" s="10" t="s">
        <v>170</v>
      </c>
      <c r="G9434" s="11" t="s">
        <v>523</v>
      </c>
      <c r="H9434" s="2" t="s">
        <v>153</v>
      </c>
      <c r="L9434" s="18">
        <v>0</v>
      </c>
      <c r="Q9434" s="18">
        <v>0</v>
      </c>
      <c r="V9434" s="22">
        <f>3.79/5</f>
        <v>0.75800000000000001</v>
      </c>
      <c r="X9434" s="3">
        <v>3</v>
      </c>
      <c r="Z9434" s="23">
        <v>1</v>
      </c>
      <c r="AB9434" s="18">
        <f t="shared" si="294"/>
        <v>1993</v>
      </c>
      <c r="AC9434" s="22">
        <f t="shared" si="295"/>
        <v>0.67900000000000005</v>
      </c>
    </row>
    <row r="9435" spans="1:29">
      <c r="A9435" s="8" t="s">
        <v>702</v>
      </c>
      <c r="B9435" s="17" t="s">
        <v>7736</v>
      </c>
      <c r="C9435" s="13">
        <v>34063</v>
      </c>
      <c r="D9435" s="13" t="s">
        <v>8465</v>
      </c>
      <c r="E9435" s="10" t="s">
        <v>72</v>
      </c>
      <c r="F9435" s="10" t="s">
        <v>1330</v>
      </c>
      <c r="G9435" s="11" t="s">
        <v>6100</v>
      </c>
      <c r="H9435" s="2" t="s">
        <v>143</v>
      </c>
      <c r="L9435" s="18">
        <v>0</v>
      </c>
      <c r="Q9435" s="18">
        <v>0</v>
      </c>
      <c r="U9435" s="22">
        <v>0.74</v>
      </c>
      <c r="V9435" s="22">
        <f>3.99/5</f>
        <v>0.79800000000000004</v>
      </c>
      <c r="X9435" s="3">
        <v>4</v>
      </c>
      <c r="Z9435" s="23">
        <v>1</v>
      </c>
      <c r="AB9435" s="18">
        <f t="shared" si="294"/>
        <v>1993</v>
      </c>
      <c r="AC9435" s="22">
        <f t="shared" si="295"/>
        <v>0.77933333333333332</v>
      </c>
    </row>
    <row r="9436" spans="1:29">
      <c r="A9436" s="8" t="s">
        <v>659</v>
      </c>
      <c r="B9436" s="17" t="s">
        <v>7736</v>
      </c>
      <c r="C9436" s="12">
        <v>34060</v>
      </c>
      <c r="D9436" s="13" t="s">
        <v>8465</v>
      </c>
      <c r="E9436" s="10" t="s">
        <v>72</v>
      </c>
      <c r="F9436" s="10" t="s">
        <v>72</v>
      </c>
      <c r="G9436" s="11" t="s">
        <v>207</v>
      </c>
      <c r="H9436" s="2" t="s">
        <v>153</v>
      </c>
      <c r="L9436" s="18">
        <v>0</v>
      </c>
      <c r="Q9436" s="18">
        <v>0</v>
      </c>
      <c r="U9436" s="22">
        <v>0.79</v>
      </c>
      <c r="V9436" s="22">
        <f>3.66/5</f>
        <v>0.73199999999999998</v>
      </c>
      <c r="X9436" s="3">
        <v>3</v>
      </c>
      <c r="Z9436" s="23">
        <v>2</v>
      </c>
      <c r="AB9436" s="18">
        <f t="shared" si="294"/>
        <v>1993</v>
      </c>
      <c r="AC9436" s="22">
        <f t="shared" si="295"/>
        <v>0.70733333333333326</v>
      </c>
    </row>
    <row r="9437" spans="1:29" ht="30">
      <c r="A9437" s="8" t="s">
        <v>5262</v>
      </c>
      <c r="B9437" s="17" t="s">
        <v>7800</v>
      </c>
      <c r="C9437" s="13">
        <v>34060</v>
      </c>
      <c r="D9437" s="13" t="s">
        <v>8465</v>
      </c>
      <c r="E9437" s="10" t="s">
        <v>469</v>
      </c>
      <c r="F9437" s="10" t="s">
        <v>5261</v>
      </c>
      <c r="G9437" s="11" t="s">
        <v>5262</v>
      </c>
      <c r="H9437" s="2" t="s">
        <v>67</v>
      </c>
      <c r="L9437" s="18">
        <v>1</v>
      </c>
      <c r="N9437" s="13">
        <v>41744</v>
      </c>
      <c r="P9437" s="18" t="s">
        <v>1107</v>
      </c>
      <c r="Q9437" s="18">
        <v>0</v>
      </c>
      <c r="U9437" s="22">
        <v>0.6</v>
      </c>
      <c r="V9437" s="22">
        <f>3.65/5</f>
        <v>0.73</v>
      </c>
      <c r="W9437" s="14" t="s">
        <v>7777</v>
      </c>
      <c r="X9437" s="3">
        <v>3</v>
      </c>
      <c r="Z9437" s="23">
        <v>9</v>
      </c>
      <c r="AB9437" s="18">
        <f t="shared" si="294"/>
        <v>1993</v>
      </c>
      <c r="AC9437" s="22">
        <f t="shared" si="295"/>
        <v>0.64333333333333342</v>
      </c>
    </row>
    <row r="9438" spans="1:29">
      <c r="A9438" s="8" t="s">
        <v>1802</v>
      </c>
      <c r="B9438" s="17" t="s">
        <v>7745</v>
      </c>
      <c r="C9438" s="12">
        <v>34060</v>
      </c>
      <c r="D9438" s="13" t="s">
        <v>8465</v>
      </c>
      <c r="E9438" s="10" t="s">
        <v>239</v>
      </c>
      <c r="F9438" s="10" t="s">
        <v>239</v>
      </c>
      <c r="G9438" s="11" t="s">
        <v>7640</v>
      </c>
      <c r="H9438" s="2" t="s">
        <v>171</v>
      </c>
      <c r="L9438" s="18">
        <v>0</v>
      </c>
      <c r="Q9438" s="18">
        <v>0</v>
      </c>
      <c r="V9438" s="22">
        <f>3.57/5</f>
        <v>0.71399999999999997</v>
      </c>
      <c r="X9438" s="3">
        <v>2</v>
      </c>
      <c r="Z9438" s="23">
        <v>8.5</v>
      </c>
      <c r="AB9438" s="18">
        <f t="shared" si="294"/>
        <v>1993</v>
      </c>
      <c r="AC9438" s="22">
        <f t="shared" si="295"/>
        <v>0.55699999999999994</v>
      </c>
    </row>
    <row r="9439" spans="1:29">
      <c r="A9439" s="8" t="s">
        <v>342</v>
      </c>
      <c r="B9439" s="17" t="s">
        <v>6317</v>
      </c>
      <c r="C9439" s="12">
        <v>34060</v>
      </c>
      <c r="D9439" s="13" t="s">
        <v>8465</v>
      </c>
      <c r="E9439" s="10" t="s">
        <v>70</v>
      </c>
      <c r="F9439" s="10" t="s">
        <v>70</v>
      </c>
      <c r="H9439" s="2" t="s">
        <v>21</v>
      </c>
      <c r="L9439" s="18">
        <v>0</v>
      </c>
      <c r="Q9439" s="18">
        <v>0</v>
      </c>
      <c r="V9439" s="22">
        <f>3.38/5</f>
        <v>0.67599999999999993</v>
      </c>
      <c r="X9439" s="3">
        <v>2</v>
      </c>
      <c r="Z9439" s="23">
        <v>4</v>
      </c>
      <c r="AB9439" s="18">
        <f t="shared" si="294"/>
        <v>1993</v>
      </c>
      <c r="AC9439" s="22">
        <f t="shared" si="295"/>
        <v>0.53800000000000003</v>
      </c>
    </row>
    <row r="9440" spans="1:29" ht="30">
      <c r="A9440" s="8" t="s">
        <v>9604</v>
      </c>
      <c r="B9440" s="17" t="s">
        <v>9581</v>
      </c>
      <c r="C9440" s="12">
        <v>34060</v>
      </c>
      <c r="D9440" s="13" t="s">
        <v>8465</v>
      </c>
      <c r="E9440" s="10" t="s">
        <v>7826</v>
      </c>
      <c r="F9440" s="10" t="s">
        <v>1327</v>
      </c>
      <c r="H9440" s="2" t="s">
        <v>171</v>
      </c>
      <c r="L9440" s="18">
        <v>0</v>
      </c>
      <c r="Q9440" s="18">
        <v>0</v>
      </c>
      <c r="V9440" s="22">
        <f>3.17/5</f>
        <v>0.63400000000000001</v>
      </c>
      <c r="X9440" s="3">
        <v>2</v>
      </c>
      <c r="AB9440" s="18">
        <f t="shared" si="294"/>
        <v>1993</v>
      </c>
      <c r="AC9440" s="22">
        <f t="shared" si="295"/>
        <v>0.51700000000000002</v>
      </c>
    </row>
    <row r="9441" spans="1:29" ht="25.5">
      <c r="A9441" s="8" t="s">
        <v>15760</v>
      </c>
      <c r="B9441" s="17" t="s">
        <v>7800</v>
      </c>
      <c r="C9441" s="12">
        <v>34060</v>
      </c>
      <c r="D9441" s="13" t="s">
        <v>8465</v>
      </c>
      <c r="E9441" s="10" t="s">
        <v>6668</v>
      </c>
      <c r="F9441" s="10" t="s">
        <v>6668</v>
      </c>
      <c r="G9441" s="11" t="s">
        <v>445</v>
      </c>
      <c r="H9441" s="2" t="s">
        <v>1720</v>
      </c>
      <c r="L9441" s="18">
        <v>0</v>
      </c>
      <c r="Q9441" s="18">
        <v>0</v>
      </c>
      <c r="V9441" s="22">
        <f>3.97/5</f>
        <v>0.79400000000000004</v>
      </c>
      <c r="X9441" s="3">
        <v>3</v>
      </c>
      <c r="Z9441" s="23">
        <v>24</v>
      </c>
      <c r="AB9441" s="18">
        <f t="shared" si="294"/>
        <v>1993</v>
      </c>
      <c r="AC9441" s="22">
        <f t="shared" si="295"/>
        <v>0.69700000000000006</v>
      </c>
    </row>
    <row r="9442" spans="1:29">
      <c r="A9442" s="8" t="s">
        <v>13143</v>
      </c>
      <c r="B9442" s="17" t="s">
        <v>13140</v>
      </c>
      <c r="C9442" s="13">
        <v>34054</v>
      </c>
      <c r="D9442" s="13" t="s">
        <v>8463</v>
      </c>
      <c r="E9442" s="10" t="s">
        <v>8009</v>
      </c>
      <c r="F9442" s="10" t="s">
        <v>8009</v>
      </c>
      <c r="H9442" s="2" t="s">
        <v>21</v>
      </c>
      <c r="K9442" s="18">
        <v>0</v>
      </c>
      <c r="L9442" s="18">
        <v>0</v>
      </c>
      <c r="Q9442" s="18">
        <v>0</v>
      </c>
      <c r="V9442" s="22">
        <f>4.25/5</f>
        <v>0.85</v>
      </c>
      <c r="X9442" s="3">
        <v>2</v>
      </c>
      <c r="AB9442" s="18">
        <f t="shared" si="294"/>
        <v>1993</v>
      </c>
      <c r="AC9442" s="22">
        <f t="shared" si="295"/>
        <v>0.625</v>
      </c>
    </row>
    <row r="9443" spans="1:29" ht="25.5">
      <c r="A9443" s="8" t="s">
        <v>792</v>
      </c>
      <c r="B9443" s="17" t="s">
        <v>7736</v>
      </c>
      <c r="C9443" s="13">
        <v>34054</v>
      </c>
      <c r="D9443" s="13" t="s">
        <v>8463</v>
      </c>
      <c r="E9443" s="10" t="s">
        <v>1294</v>
      </c>
      <c r="F9443" s="10" t="s">
        <v>1379</v>
      </c>
      <c r="H9443" s="2" t="s">
        <v>149</v>
      </c>
      <c r="K9443" s="18">
        <v>2</v>
      </c>
      <c r="L9443" s="18">
        <v>0</v>
      </c>
      <c r="Q9443" s="18">
        <v>0</v>
      </c>
      <c r="U9443" s="22">
        <v>0.4</v>
      </c>
      <c r="V9443" s="22">
        <f>2.91/5</f>
        <v>0.58200000000000007</v>
      </c>
      <c r="X9443" s="3">
        <v>2</v>
      </c>
      <c r="Z9443" s="23">
        <v>2.5</v>
      </c>
      <c r="AB9443" s="18">
        <f t="shared" si="294"/>
        <v>1993</v>
      </c>
      <c r="AC9443" s="22">
        <f t="shared" si="295"/>
        <v>0.46066666666666672</v>
      </c>
    </row>
    <row r="9444" spans="1:29" ht="25.5">
      <c r="A9444" s="8" t="s">
        <v>6829</v>
      </c>
      <c r="B9444" s="17" t="s">
        <v>7800</v>
      </c>
      <c r="C9444" s="13">
        <v>34053</v>
      </c>
      <c r="D9444" s="13" t="s">
        <v>8465</v>
      </c>
      <c r="E9444" s="10" t="s">
        <v>1784</v>
      </c>
      <c r="F9444" s="10" t="s">
        <v>1784</v>
      </c>
      <c r="G9444" s="11" t="s">
        <v>1785</v>
      </c>
      <c r="H9444" s="2" t="s">
        <v>1720</v>
      </c>
      <c r="L9444" s="18">
        <v>0</v>
      </c>
      <c r="Q9444" s="18">
        <v>0</v>
      </c>
      <c r="V9444" s="22">
        <f>4.28/5</f>
        <v>0.85600000000000009</v>
      </c>
      <c r="X9444" s="3">
        <v>3</v>
      </c>
      <c r="Z9444" s="23">
        <v>54</v>
      </c>
      <c r="AB9444" s="18">
        <f t="shared" si="294"/>
        <v>1993</v>
      </c>
      <c r="AC9444" s="22">
        <f t="shared" si="295"/>
        <v>0.72799999999999998</v>
      </c>
    </row>
    <row r="9445" spans="1:29">
      <c r="A9445" s="8" t="s">
        <v>6813</v>
      </c>
      <c r="B9445" s="17" t="s">
        <v>7800</v>
      </c>
      <c r="C9445" s="13">
        <v>34053</v>
      </c>
      <c r="D9445" s="13" t="s">
        <v>8465</v>
      </c>
      <c r="E9445" s="10" t="s">
        <v>60</v>
      </c>
      <c r="F9445" s="10" t="s">
        <v>60</v>
      </c>
      <c r="G9445" s="11" t="s">
        <v>6806</v>
      </c>
      <c r="H9445" s="2" t="s">
        <v>67</v>
      </c>
      <c r="L9445" s="18">
        <v>0</v>
      </c>
      <c r="Q9445" s="18">
        <v>0</v>
      </c>
      <c r="U9445" s="22">
        <v>0.8</v>
      </c>
      <c r="V9445" s="22">
        <f>3.37/5</f>
        <v>0.67400000000000004</v>
      </c>
      <c r="X9445" s="3">
        <v>3</v>
      </c>
      <c r="Z9445" s="23">
        <v>6</v>
      </c>
      <c r="AB9445" s="18">
        <f t="shared" si="294"/>
        <v>1993</v>
      </c>
      <c r="AC9445" s="22">
        <f t="shared" si="295"/>
        <v>0.69133333333333347</v>
      </c>
    </row>
    <row r="9446" spans="1:29">
      <c r="A9446" s="8" t="s">
        <v>2584</v>
      </c>
      <c r="B9446" s="17" t="s">
        <v>7751</v>
      </c>
      <c r="C9446" s="13">
        <v>34046</v>
      </c>
      <c r="D9446" s="13" t="s">
        <v>8465</v>
      </c>
      <c r="E9446" s="10" t="s">
        <v>158</v>
      </c>
      <c r="F9446" s="10" t="s">
        <v>63</v>
      </c>
      <c r="G9446" s="11" t="s">
        <v>303</v>
      </c>
      <c r="H9446" s="2" t="s">
        <v>153</v>
      </c>
      <c r="L9446" s="18">
        <v>0</v>
      </c>
      <c r="Q9446" s="18">
        <v>0</v>
      </c>
      <c r="U9446" s="22">
        <v>0.8</v>
      </c>
      <c r="V9446" s="22">
        <f>3.7/5</f>
        <v>0.74</v>
      </c>
      <c r="X9446" s="3">
        <v>3</v>
      </c>
      <c r="Z9446" s="23">
        <v>2</v>
      </c>
      <c r="AB9446" s="18">
        <f t="shared" si="294"/>
        <v>1993</v>
      </c>
      <c r="AC9446" s="22">
        <f t="shared" si="295"/>
        <v>0.71333333333333337</v>
      </c>
    </row>
    <row r="9447" spans="1:29" ht="25.5">
      <c r="A9447" s="8" t="s">
        <v>12003</v>
      </c>
      <c r="B9447" s="17" t="s">
        <v>10323</v>
      </c>
      <c r="C9447" s="13">
        <v>34040</v>
      </c>
      <c r="D9447" s="13" t="s">
        <v>8463</v>
      </c>
      <c r="E9447" s="10" t="s">
        <v>1245</v>
      </c>
      <c r="F9447" s="10" t="s">
        <v>1245</v>
      </c>
      <c r="G9447" s="11" t="s">
        <v>8811</v>
      </c>
      <c r="H9447" s="2" t="s">
        <v>171</v>
      </c>
      <c r="K9447" s="18">
        <v>2</v>
      </c>
      <c r="L9447" s="18">
        <v>0</v>
      </c>
      <c r="Q9447" s="18">
        <v>0</v>
      </c>
      <c r="V9447" s="22">
        <f>4.5/5</f>
        <v>0.9</v>
      </c>
      <c r="X9447" s="3">
        <v>3</v>
      </c>
      <c r="Z9447" s="23">
        <v>16</v>
      </c>
      <c r="AB9447" s="18">
        <f t="shared" si="294"/>
        <v>1993</v>
      </c>
      <c r="AC9447" s="22">
        <f t="shared" si="295"/>
        <v>0.75</v>
      </c>
    </row>
    <row r="9448" spans="1:29">
      <c r="A9448" s="8" t="s">
        <v>761</v>
      </c>
      <c r="B9448" s="17" t="s">
        <v>7736</v>
      </c>
      <c r="C9448" s="13">
        <v>34040</v>
      </c>
      <c r="D9448" s="13" t="s">
        <v>8463</v>
      </c>
      <c r="E9448" s="10" t="s">
        <v>1372</v>
      </c>
      <c r="F9448" s="10" t="s">
        <v>1373</v>
      </c>
      <c r="H9448" s="2" t="s">
        <v>143</v>
      </c>
      <c r="K9448" s="18">
        <v>0</v>
      </c>
      <c r="L9448" s="18">
        <v>0</v>
      </c>
      <c r="Q9448" s="18">
        <v>0</v>
      </c>
      <c r="U9448" s="22">
        <v>0.49</v>
      </c>
      <c r="V9448" s="22">
        <f>3.37/5</f>
        <v>0.67400000000000004</v>
      </c>
      <c r="X9448" s="3">
        <v>2</v>
      </c>
      <c r="AB9448" s="18">
        <f t="shared" si="294"/>
        <v>1993</v>
      </c>
      <c r="AC9448" s="22">
        <f t="shared" si="295"/>
        <v>0.52133333333333332</v>
      </c>
    </row>
    <row r="9449" spans="1:29">
      <c r="A9449" s="8" t="s">
        <v>45</v>
      </c>
      <c r="B9449" s="17" t="s">
        <v>7734</v>
      </c>
      <c r="C9449" s="13">
        <v>34039</v>
      </c>
      <c r="D9449" s="13" t="s">
        <v>8465</v>
      </c>
      <c r="E9449" s="10" t="s">
        <v>76</v>
      </c>
      <c r="F9449" s="10" t="s">
        <v>76</v>
      </c>
      <c r="G9449" s="11" t="s">
        <v>77</v>
      </c>
      <c r="H9449" s="2" t="s">
        <v>78</v>
      </c>
      <c r="L9449" s="18">
        <v>0</v>
      </c>
      <c r="Q9449" s="18">
        <v>0</v>
      </c>
      <c r="V9449" s="22">
        <f>3.89/5</f>
        <v>0.77800000000000002</v>
      </c>
      <c r="X9449" s="3">
        <v>2</v>
      </c>
      <c r="Z9449" s="23">
        <v>10</v>
      </c>
      <c r="AB9449" s="18">
        <f t="shared" si="294"/>
        <v>1993</v>
      </c>
      <c r="AC9449" s="22">
        <f t="shared" si="295"/>
        <v>0.58899999999999997</v>
      </c>
    </row>
    <row r="9450" spans="1:29">
      <c r="A9450" s="8" t="s">
        <v>638</v>
      </c>
      <c r="B9450" s="17" t="s">
        <v>7736</v>
      </c>
      <c r="C9450" s="13">
        <v>34039</v>
      </c>
      <c r="D9450" s="13" t="s">
        <v>8465</v>
      </c>
      <c r="E9450" s="10" t="s">
        <v>1240</v>
      </c>
      <c r="F9450" s="10" t="s">
        <v>1240</v>
      </c>
      <c r="G9450" s="11" t="s">
        <v>1277</v>
      </c>
      <c r="H9450" s="2" t="s">
        <v>153</v>
      </c>
      <c r="L9450" s="18">
        <v>0</v>
      </c>
      <c r="Q9450" s="18">
        <v>0</v>
      </c>
      <c r="U9450" s="22">
        <v>0.65</v>
      </c>
      <c r="V9450" s="22">
        <f>3.27/5</f>
        <v>0.65400000000000003</v>
      </c>
      <c r="X9450" s="3">
        <v>2</v>
      </c>
      <c r="Z9450" s="23">
        <v>1.5</v>
      </c>
      <c r="AB9450" s="18">
        <f t="shared" si="294"/>
        <v>1993</v>
      </c>
      <c r="AC9450" s="22">
        <f t="shared" si="295"/>
        <v>0.56800000000000006</v>
      </c>
    </row>
    <row r="9451" spans="1:29" ht="25.5">
      <c r="A9451" s="8" t="s">
        <v>1452</v>
      </c>
      <c r="B9451" s="17" t="s">
        <v>7736</v>
      </c>
      <c r="C9451" s="13">
        <v>34033</v>
      </c>
      <c r="D9451" s="13" t="s">
        <v>8463</v>
      </c>
      <c r="E9451" s="10" t="s">
        <v>1359</v>
      </c>
      <c r="F9451" s="10" t="s">
        <v>471</v>
      </c>
      <c r="G9451" s="11" t="s">
        <v>484</v>
      </c>
      <c r="H9451" s="2" t="s">
        <v>149</v>
      </c>
      <c r="K9451" s="18">
        <v>2</v>
      </c>
      <c r="L9451" s="18">
        <v>0</v>
      </c>
      <c r="Q9451" s="18">
        <v>0</v>
      </c>
      <c r="V9451" s="22">
        <f>3.4/5</f>
        <v>0.67999999999999994</v>
      </c>
      <c r="X9451" s="3">
        <v>3</v>
      </c>
      <c r="Z9451" s="23">
        <v>6</v>
      </c>
      <c r="AB9451" s="18">
        <f t="shared" si="294"/>
        <v>1993</v>
      </c>
      <c r="AC9451" s="22">
        <f t="shared" si="295"/>
        <v>0.6399999999999999</v>
      </c>
    </row>
    <row r="9452" spans="1:29">
      <c r="A9452" s="8" t="s">
        <v>8946</v>
      </c>
      <c r="B9452" s="17" t="s">
        <v>7736</v>
      </c>
      <c r="C9452" s="13">
        <v>34033</v>
      </c>
      <c r="D9452" s="13" t="s">
        <v>8463</v>
      </c>
      <c r="E9452" s="10" t="s">
        <v>57</v>
      </c>
      <c r="F9452" s="10" t="s">
        <v>8947</v>
      </c>
      <c r="G9452" s="11" t="s">
        <v>1392</v>
      </c>
      <c r="H9452" s="2" t="s">
        <v>149</v>
      </c>
      <c r="K9452" s="18">
        <v>0</v>
      </c>
      <c r="L9452" s="18">
        <v>0</v>
      </c>
      <c r="Q9452" s="18">
        <v>0</v>
      </c>
      <c r="V9452" s="22">
        <f>3.4/5</f>
        <v>0.67999999999999994</v>
      </c>
      <c r="X9452" s="3">
        <v>3</v>
      </c>
      <c r="AB9452" s="18">
        <f t="shared" si="294"/>
        <v>1993</v>
      </c>
      <c r="AC9452" s="22">
        <f t="shared" si="295"/>
        <v>0.6399999999999999</v>
      </c>
    </row>
    <row r="9453" spans="1:29">
      <c r="A9453" s="8" t="s">
        <v>10064</v>
      </c>
      <c r="B9453" s="17" t="s">
        <v>7736</v>
      </c>
      <c r="C9453" s="13">
        <v>34033</v>
      </c>
      <c r="D9453" s="13" t="s">
        <v>8463</v>
      </c>
      <c r="E9453" s="10" t="s">
        <v>1239</v>
      </c>
      <c r="F9453" s="10" t="s">
        <v>1239</v>
      </c>
      <c r="H9453" s="2" t="s">
        <v>80</v>
      </c>
      <c r="K9453" s="18">
        <v>2</v>
      </c>
      <c r="L9453" s="18">
        <v>0</v>
      </c>
      <c r="Q9453" s="18">
        <v>0</v>
      </c>
      <c r="V9453" s="22">
        <f>4.08/5</f>
        <v>0.81600000000000006</v>
      </c>
      <c r="X9453" s="3">
        <v>2</v>
      </c>
      <c r="Z9453" s="23">
        <v>5</v>
      </c>
      <c r="AB9453" s="18">
        <f t="shared" si="294"/>
        <v>1993</v>
      </c>
      <c r="AC9453" s="22">
        <f t="shared" si="295"/>
        <v>0.6080000000000001</v>
      </c>
    </row>
    <row r="9454" spans="1:29">
      <c r="A9454" s="8" t="s">
        <v>509</v>
      </c>
      <c r="B9454" s="17" t="s">
        <v>7731</v>
      </c>
      <c r="C9454" s="13">
        <v>34033</v>
      </c>
      <c r="D9454" s="13" t="s">
        <v>8465</v>
      </c>
      <c r="E9454" s="10" t="s">
        <v>170</v>
      </c>
      <c r="F9454" s="10" t="s">
        <v>170</v>
      </c>
      <c r="G9454" s="11" t="s">
        <v>563</v>
      </c>
      <c r="H9454" s="2" t="s">
        <v>459</v>
      </c>
      <c r="L9454" s="18">
        <v>0</v>
      </c>
      <c r="Q9454" s="18">
        <v>0</v>
      </c>
      <c r="V9454" s="22">
        <f>3.56/5</f>
        <v>0.71199999999999997</v>
      </c>
      <c r="X9454" s="3">
        <v>2</v>
      </c>
      <c r="Z9454" s="23">
        <v>0.76666666666666605</v>
      </c>
      <c r="AB9454" s="18">
        <f t="shared" si="294"/>
        <v>1993</v>
      </c>
      <c r="AC9454" s="22">
        <f t="shared" si="295"/>
        <v>0.55600000000000005</v>
      </c>
    </row>
    <row r="9455" spans="1:29">
      <c r="A9455" s="8" t="s">
        <v>2735</v>
      </c>
      <c r="B9455" s="17" t="s">
        <v>7736</v>
      </c>
      <c r="C9455" s="13">
        <v>34033</v>
      </c>
      <c r="D9455" s="13" t="s">
        <v>8463</v>
      </c>
      <c r="E9455" s="10" t="s">
        <v>160</v>
      </c>
      <c r="F9455" s="10" t="s">
        <v>160</v>
      </c>
      <c r="G9455" s="11" t="s">
        <v>2735</v>
      </c>
      <c r="H9455" s="2" t="s">
        <v>149</v>
      </c>
      <c r="K9455" s="18">
        <v>2</v>
      </c>
      <c r="L9455" s="18">
        <v>0</v>
      </c>
      <c r="Q9455" s="18">
        <v>0</v>
      </c>
      <c r="V9455" s="22">
        <f>3.52/5</f>
        <v>0.70399999999999996</v>
      </c>
      <c r="X9455" s="3">
        <v>2</v>
      </c>
      <c r="AB9455" s="18">
        <f t="shared" si="294"/>
        <v>1993</v>
      </c>
      <c r="AC9455" s="22">
        <f t="shared" si="295"/>
        <v>0.55200000000000005</v>
      </c>
    </row>
    <row r="9456" spans="1:29">
      <c r="A9456" s="8" t="s">
        <v>440</v>
      </c>
      <c r="B9456" s="17" t="s">
        <v>7751</v>
      </c>
      <c r="C9456" s="12">
        <v>34029</v>
      </c>
      <c r="D9456" s="13" t="s">
        <v>8465</v>
      </c>
      <c r="E9456" s="10" t="s">
        <v>455</v>
      </c>
      <c r="F9456" s="10" t="s">
        <v>2674</v>
      </c>
      <c r="G9456" s="11" t="s">
        <v>440</v>
      </c>
      <c r="H9456" s="2" t="s">
        <v>143</v>
      </c>
      <c r="L9456" s="18">
        <v>0</v>
      </c>
      <c r="Q9456" s="18">
        <v>0</v>
      </c>
      <c r="U9456" s="22">
        <v>0.74</v>
      </c>
      <c r="V9456" s="22">
        <f>3.44/5</f>
        <v>0.68799999999999994</v>
      </c>
      <c r="X9456" s="3">
        <v>3</v>
      </c>
      <c r="Z9456" s="23">
        <v>2.5</v>
      </c>
      <c r="AB9456" s="18">
        <f t="shared" si="294"/>
        <v>1993</v>
      </c>
      <c r="AC9456" s="22">
        <f t="shared" si="295"/>
        <v>0.67600000000000005</v>
      </c>
    </row>
    <row r="9457" spans="1:29">
      <c r="A9457" s="8" t="s">
        <v>2897</v>
      </c>
      <c r="B9457" s="17" t="s">
        <v>7800</v>
      </c>
      <c r="C9457" s="13">
        <v>34029</v>
      </c>
      <c r="D9457" s="13" t="s">
        <v>8465</v>
      </c>
      <c r="E9457" s="10" t="s">
        <v>2665</v>
      </c>
      <c r="F9457" s="10" t="s">
        <v>2666</v>
      </c>
      <c r="G9457" s="11" t="s">
        <v>2897</v>
      </c>
      <c r="H9457" s="2" t="s">
        <v>2138</v>
      </c>
      <c r="L9457" s="18">
        <v>1</v>
      </c>
      <c r="N9457" s="13">
        <v>42012</v>
      </c>
      <c r="P9457" s="18" t="s">
        <v>1107</v>
      </c>
      <c r="Q9457" s="18">
        <v>0</v>
      </c>
      <c r="V9457" s="22">
        <f>3.5/5</f>
        <v>0.7</v>
      </c>
      <c r="W9457" s="14" t="s">
        <v>7777</v>
      </c>
      <c r="X9457" s="3">
        <v>3</v>
      </c>
      <c r="Z9457" s="23">
        <v>7.5</v>
      </c>
      <c r="AB9457" s="18">
        <f t="shared" si="294"/>
        <v>1993</v>
      </c>
      <c r="AC9457" s="22">
        <f t="shared" si="295"/>
        <v>0.64999999999999991</v>
      </c>
    </row>
    <row r="9458" spans="1:29">
      <c r="A9458" s="8" t="s">
        <v>2532</v>
      </c>
      <c r="B9458" s="17" t="s">
        <v>7751</v>
      </c>
      <c r="C9458" s="12">
        <v>34029</v>
      </c>
      <c r="D9458" s="13" t="s">
        <v>8465</v>
      </c>
      <c r="E9458" s="10" t="s">
        <v>2638</v>
      </c>
      <c r="F9458" s="10" t="s">
        <v>1297</v>
      </c>
      <c r="H9458" s="2" t="s">
        <v>21</v>
      </c>
      <c r="L9458" s="18">
        <v>0</v>
      </c>
      <c r="Q9458" s="18">
        <v>0</v>
      </c>
      <c r="U9458" s="22">
        <v>0.85</v>
      </c>
      <c r="V9458" s="22">
        <f>3.78/5</f>
        <v>0.75600000000000001</v>
      </c>
      <c r="X9458" s="3">
        <v>2</v>
      </c>
      <c r="Z9458" s="23">
        <v>0.87</v>
      </c>
      <c r="AB9458" s="18">
        <f t="shared" si="294"/>
        <v>1993</v>
      </c>
      <c r="AC9458" s="22">
        <f t="shared" si="295"/>
        <v>0.66866666666666663</v>
      </c>
    </row>
    <row r="9459" spans="1:29">
      <c r="A9459" s="8" t="s">
        <v>9199</v>
      </c>
      <c r="B9459" s="17" t="s">
        <v>7734</v>
      </c>
      <c r="C9459" s="12">
        <v>34029</v>
      </c>
      <c r="D9459" s="13" t="s">
        <v>8465</v>
      </c>
      <c r="E9459" s="10" t="s">
        <v>72</v>
      </c>
      <c r="F9459" s="10" t="s">
        <v>72</v>
      </c>
      <c r="H9459" s="2" t="s">
        <v>56</v>
      </c>
      <c r="L9459" s="18">
        <v>0</v>
      </c>
      <c r="Q9459" s="18">
        <v>0</v>
      </c>
      <c r="V9459" s="22">
        <f>3.66/5</f>
        <v>0.73199999999999998</v>
      </c>
      <c r="X9459" s="3">
        <v>2</v>
      </c>
      <c r="Z9459" s="23">
        <f>56/60</f>
        <v>0.93333333333333335</v>
      </c>
      <c r="AB9459" s="18">
        <f t="shared" si="294"/>
        <v>1993</v>
      </c>
      <c r="AC9459" s="22">
        <f t="shared" si="295"/>
        <v>0.56600000000000006</v>
      </c>
    </row>
    <row r="9460" spans="1:29" ht="25.5">
      <c r="A9460" s="8" t="s">
        <v>8810</v>
      </c>
      <c r="B9460" s="17" t="s">
        <v>7736</v>
      </c>
      <c r="C9460" s="12">
        <v>34029</v>
      </c>
      <c r="D9460" s="13" t="s">
        <v>8465</v>
      </c>
      <c r="E9460" s="10" t="s">
        <v>68</v>
      </c>
      <c r="F9460" s="10" t="s">
        <v>68</v>
      </c>
      <c r="G9460" s="11" t="s">
        <v>14482</v>
      </c>
      <c r="H9460" s="2" t="s">
        <v>75</v>
      </c>
      <c r="L9460" s="18">
        <v>0</v>
      </c>
      <c r="Q9460" s="18">
        <v>0</v>
      </c>
      <c r="V9460" s="22">
        <f>3.39/5</f>
        <v>0.67800000000000005</v>
      </c>
      <c r="X9460" s="3">
        <v>2</v>
      </c>
      <c r="Z9460" s="23">
        <v>32.5</v>
      </c>
      <c r="AB9460" s="18">
        <f t="shared" si="294"/>
        <v>1993</v>
      </c>
      <c r="AC9460" s="22">
        <f t="shared" si="295"/>
        <v>0.53900000000000003</v>
      </c>
    </row>
    <row r="9461" spans="1:29">
      <c r="A9461" s="8" t="s">
        <v>11747</v>
      </c>
      <c r="B9461" s="17" t="s">
        <v>7745</v>
      </c>
      <c r="C9461" s="13">
        <v>34019</v>
      </c>
      <c r="D9461" s="13" t="s">
        <v>8463</v>
      </c>
      <c r="E9461" s="10" t="s">
        <v>250</v>
      </c>
      <c r="F9461" s="10" t="s">
        <v>11746</v>
      </c>
      <c r="G9461" s="11" t="s">
        <v>11745</v>
      </c>
      <c r="H9461" s="2" t="s">
        <v>149</v>
      </c>
      <c r="K9461" s="18">
        <v>0</v>
      </c>
      <c r="L9461" s="18">
        <v>0</v>
      </c>
      <c r="Q9461" s="18">
        <v>0</v>
      </c>
      <c r="V9461" s="22">
        <f>3.64/5</f>
        <v>0.72799999999999998</v>
      </c>
      <c r="X9461" s="3">
        <v>2</v>
      </c>
      <c r="AB9461" s="18">
        <f t="shared" si="294"/>
        <v>1993</v>
      </c>
      <c r="AC9461" s="22">
        <f t="shared" si="295"/>
        <v>0.56400000000000006</v>
      </c>
    </row>
    <row r="9462" spans="1:29" ht="38.25">
      <c r="A9462" s="8" t="s">
        <v>6819</v>
      </c>
      <c r="B9462" s="17" t="s">
        <v>7800</v>
      </c>
      <c r="C9462" s="13">
        <v>34005</v>
      </c>
      <c r="D9462" s="13" t="s">
        <v>8465</v>
      </c>
      <c r="E9462" s="10" t="s">
        <v>1496</v>
      </c>
      <c r="F9462" s="10" t="s">
        <v>2697</v>
      </c>
      <c r="G9462" s="11" t="s">
        <v>6903</v>
      </c>
      <c r="H9462" s="2" t="s">
        <v>67</v>
      </c>
      <c r="L9462" s="18">
        <v>1</v>
      </c>
      <c r="N9462" s="13">
        <v>43956</v>
      </c>
      <c r="O9462" s="29">
        <v>0</v>
      </c>
      <c r="P9462" s="18" t="s">
        <v>1107</v>
      </c>
      <c r="Q9462" s="18">
        <v>0</v>
      </c>
      <c r="U9462" s="22">
        <v>0.79</v>
      </c>
      <c r="V9462" s="22">
        <f>4.12/5</f>
        <v>0.82400000000000007</v>
      </c>
      <c r="W9462" s="14" t="s">
        <v>7777</v>
      </c>
      <c r="X9462" s="3">
        <v>3</v>
      </c>
      <c r="Z9462" s="23">
        <v>7</v>
      </c>
      <c r="AB9462" s="18">
        <f t="shared" si="294"/>
        <v>1993</v>
      </c>
      <c r="AC9462" s="22">
        <f t="shared" si="295"/>
        <v>0.73799999999999999</v>
      </c>
    </row>
    <row r="9463" spans="1:29" ht="25.5">
      <c r="A9463" s="8" t="s">
        <v>10826</v>
      </c>
      <c r="B9463" s="17" t="s">
        <v>7736</v>
      </c>
      <c r="C9463" s="13">
        <v>34005</v>
      </c>
      <c r="D9463" s="13" t="s">
        <v>8463</v>
      </c>
      <c r="E9463" s="10" t="s">
        <v>157</v>
      </c>
      <c r="F9463" s="10" t="s">
        <v>1366</v>
      </c>
      <c r="G9463" s="11" t="s">
        <v>10827</v>
      </c>
      <c r="H9463" s="2" t="s">
        <v>143</v>
      </c>
      <c r="K9463" s="18">
        <v>0</v>
      </c>
      <c r="L9463" s="18">
        <v>0</v>
      </c>
      <c r="Q9463" s="18">
        <v>0</v>
      </c>
      <c r="U9463" s="22">
        <v>0.61</v>
      </c>
      <c r="V9463" s="22">
        <f>3.2/5</f>
        <v>0.64</v>
      </c>
      <c r="X9463" s="3">
        <v>2</v>
      </c>
      <c r="AB9463" s="18">
        <f t="shared" si="294"/>
        <v>1993</v>
      </c>
      <c r="AC9463" s="22">
        <f t="shared" si="295"/>
        <v>0.54999999999999993</v>
      </c>
    </row>
    <row r="9464" spans="1:29" ht="38.25">
      <c r="A9464" s="8" t="s">
        <v>619</v>
      </c>
      <c r="B9464" s="17" t="s">
        <v>7736</v>
      </c>
      <c r="C9464" s="13">
        <v>34004</v>
      </c>
      <c r="D9464" s="13" t="s">
        <v>8465</v>
      </c>
      <c r="E9464" s="10" t="s">
        <v>68</v>
      </c>
      <c r="F9464" s="10" t="s">
        <v>68</v>
      </c>
      <c r="G9464" s="11" t="s">
        <v>40</v>
      </c>
      <c r="H9464" s="2" t="s">
        <v>69</v>
      </c>
      <c r="L9464" s="18">
        <v>0</v>
      </c>
      <c r="Q9464" s="18">
        <v>0</v>
      </c>
      <c r="U9464" s="22">
        <v>0.59</v>
      </c>
      <c r="V9464" s="22">
        <f>3.67/5</f>
        <v>0.73399999999999999</v>
      </c>
      <c r="X9464" s="3">
        <v>2</v>
      </c>
      <c r="AB9464" s="18">
        <f t="shared" si="294"/>
        <v>1993</v>
      </c>
      <c r="AC9464" s="22">
        <f t="shared" si="295"/>
        <v>0.57466666666666655</v>
      </c>
    </row>
    <row r="9465" spans="1:29" ht="25.5">
      <c r="A9465" s="8" t="s">
        <v>725</v>
      </c>
      <c r="B9465" s="17" t="s">
        <v>7736</v>
      </c>
      <c r="C9465" s="12">
        <v>34001</v>
      </c>
      <c r="D9465" s="13" t="s">
        <v>8465</v>
      </c>
      <c r="E9465" s="10" t="s">
        <v>72</v>
      </c>
      <c r="F9465" s="10" t="s">
        <v>72</v>
      </c>
      <c r="G9465" s="11" t="s">
        <v>203</v>
      </c>
      <c r="H9465" s="2" t="s">
        <v>64</v>
      </c>
      <c r="L9465" s="18">
        <v>0</v>
      </c>
      <c r="Q9465" s="18">
        <v>0</v>
      </c>
      <c r="U9465" s="22">
        <v>0.39</v>
      </c>
      <c r="V9465" s="22">
        <f>3.61/5</f>
        <v>0.72199999999999998</v>
      </c>
      <c r="X9465" s="3">
        <v>4</v>
      </c>
      <c r="Z9465" s="23">
        <v>1.5</v>
      </c>
      <c r="AB9465" s="18">
        <f t="shared" si="294"/>
        <v>1993</v>
      </c>
      <c r="AC9465" s="22">
        <f t="shared" si="295"/>
        <v>0.63733333333333342</v>
      </c>
    </row>
    <row r="9466" spans="1:29">
      <c r="A9466" s="8" t="s">
        <v>654</v>
      </c>
      <c r="B9466" s="17" t="s">
        <v>7736</v>
      </c>
      <c r="C9466" s="12">
        <v>34001</v>
      </c>
      <c r="D9466" s="13" t="s">
        <v>8465</v>
      </c>
      <c r="E9466" s="10" t="s">
        <v>1293</v>
      </c>
      <c r="F9466" s="10" t="s">
        <v>1294</v>
      </c>
      <c r="G9466" s="11" t="s">
        <v>1295</v>
      </c>
      <c r="H9466" s="2" t="s">
        <v>56</v>
      </c>
      <c r="L9466" s="18">
        <v>0</v>
      </c>
      <c r="Q9466" s="18">
        <v>0</v>
      </c>
      <c r="U9466" s="22">
        <v>0.7</v>
      </c>
      <c r="V9466" s="22">
        <f>3.27/5</f>
        <v>0.65400000000000003</v>
      </c>
      <c r="X9466" s="3">
        <v>3</v>
      </c>
      <c r="Z9466" s="23">
        <v>2</v>
      </c>
      <c r="AB9466" s="18">
        <f t="shared" si="294"/>
        <v>1993</v>
      </c>
      <c r="AC9466" s="22">
        <f t="shared" si="295"/>
        <v>0.65133333333333343</v>
      </c>
    </row>
    <row r="9467" spans="1:29" ht="25.5">
      <c r="A9467" s="8" t="s">
        <v>7618</v>
      </c>
      <c r="B9467" s="17" t="s">
        <v>7745</v>
      </c>
      <c r="C9467" s="12">
        <v>34001</v>
      </c>
      <c r="D9467" s="13" t="s">
        <v>8465</v>
      </c>
      <c r="E9467" s="10" t="s">
        <v>62</v>
      </c>
      <c r="F9467" s="10" t="s">
        <v>63</v>
      </c>
      <c r="G9467" s="11" t="s">
        <v>41</v>
      </c>
      <c r="H9467" s="2" t="s">
        <v>64</v>
      </c>
      <c r="L9467" s="18">
        <v>0</v>
      </c>
      <c r="Q9467" s="18">
        <v>0</v>
      </c>
      <c r="U9467" s="22">
        <v>0.9</v>
      </c>
      <c r="V9467" s="22">
        <f>3.61/5</f>
        <v>0.72199999999999998</v>
      </c>
      <c r="X9467" s="3">
        <v>2</v>
      </c>
      <c r="AB9467" s="18">
        <f t="shared" si="294"/>
        <v>1993</v>
      </c>
      <c r="AC9467" s="22">
        <f t="shared" si="295"/>
        <v>0.67399999999999993</v>
      </c>
    </row>
    <row r="9468" spans="1:29" ht="30">
      <c r="A9468" s="8" t="s">
        <v>12771</v>
      </c>
      <c r="B9468" s="17" t="s">
        <v>9581</v>
      </c>
      <c r="C9468" s="12">
        <v>34001</v>
      </c>
      <c r="D9468" s="13" t="s">
        <v>8467</v>
      </c>
      <c r="E9468" s="10" t="s">
        <v>7826</v>
      </c>
      <c r="F9468" s="10" t="s">
        <v>1327</v>
      </c>
      <c r="H9468" s="2" t="s">
        <v>147</v>
      </c>
      <c r="L9468" s="18">
        <v>0</v>
      </c>
      <c r="Q9468" s="18">
        <v>0</v>
      </c>
      <c r="V9468" s="22">
        <f>4/5</f>
        <v>0.8</v>
      </c>
      <c r="X9468" s="3">
        <v>2</v>
      </c>
      <c r="AB9468" s="18">
        <f t="shared" si="294"/>
        <v>1993</v>
      </c>
      <c r="AC9468" s="22">
        <f t="shared" si="295"/>
        <v>0.60000000000000009</v>
      </c>
    </row>
    <row r="9469" spans="1:29">
      <c r="A9469" s="8" t="s">
        <v>13334</v>
      </c>
      <c r="B9469" s="17" t="s">
        <v>7790</v>
      </c>
      <c r="C9469" s="13">
        <v>33991</v>
      </c>
      <c r="D9469" s="13" t="s">
        <v>8463</v>
      </c>
      <c r="E9469" s="10" t="s">
        <v>2870</v>
      </c>
      <c r="F9469" s="10" t="s">
        <v>1897</v>
      </c>
      <c r="H9469" s="2" t="s">
        <v>21</v>
      </c>
      <c r="K9469" s="18">
        <v>0</v>
      </c>
      <c r="L9469" s="18">
        <v>0</v>
      </c>
      <c r="Q9469" s="18">
        <v>0</v>
      </c>
      <c r="V9469" s="22">
        <f>3.83/5</f>
        <v>0.76600000000000001</v>
      </c>
      <c r="X9469" s="3">
        <v>2</v>
      </c>
      <c r="AB9469" s="18">
        <f t="shared" si="294"/>
        <v>1993</v>
      </c>
      <c r="AC9469" s="22">
        <f t="shared" si="295"/>
        <v>0.58299999999999996</v>
      </c>
    </row>
    <row r="9470" spans="1:29">
      <c r="A9470" s="8" t="s">
        <v>4393</v>
      </c>
      <c r="B9470" s="17" t="s">
        <v>7800</v>
      </c>
      <c r="C9470" s="13">
        <v>33984</v>
      </c>
      <c r="D9470" s="13" t="s">
        <v>8465</v>
      </c>
      <c r="E9470" s="10" t="s">
        <v>3304</v>
      </c>
      <c r="F9470" s="10" t="s">
        <v>3304</v>
      </c>
      <c r="H9470" s="2" t="s">
        <v>21</v>
      </c>
      <c r="L9470" s="18">
        <v>1</v>
      </c>
      <c r="N9470" s="13">
        <v>42359</v>
      </c>
      <c r="P9470" s="18" t="s">
        <v>1107</v>
      </c>
      <c r="Q9470" s="18">
        <v>0</v>
      </c>
      <c r="V9470" s="22">
        <f>3.43/5</f>
        <v>0.68600000000000005</v>
      </c>
      <c r="W9470" s="14" t="s">
        <v>7777</v>
      </c>
      <c r="X9470" s="3">
        <v>2</v>
      </c>
      <c r="AB9470" s="18">
        <f t="shared" si="294"/>
        <v>1993</v>
      </c>
      <c r="AC9470" s="22">
        <f t="shared" si="295"/>
        <v>0.54300000000000004</v>
      </c>
    </row>
    <row r="9471" spans="1:29" ht="25.5">
      <c r="A9471" s="8" t="s">
        <v>13943</v>
      </c>
      <c r="B9471" s="17" t="s">
        <v>13887</v>
      </c>
      <c r="C9471" s="13">
        <v>33975</v>
      </c>
      <c r="D9471" s="13" t="s">
        <v>8465</v>
      </c>
      <c r="E9471" s="10" t="s">
        <v>13944</v>
      </c>
      <c r="F9471" s="10" t="s">
        <v>13944</v>
      </c>
      <c r="G9471" s="11" t="s">
        <v>13943</v>
      </c>
      <c r="H9471" s="2" t="s">
        <v>67</v>
      </c>
      <c r="L9471" s="18">
        <v>0</v>
      </c>
      <c r="Q9471" s="18">
        <v>0</v>
      </c>
      <c r="V9471" s="22">
        <f>3.38/5</f>
        <v>0.67599999999999993</v>
      </c>
      <c r="X9471" s="3">
        <v>2</v>
      </c>
      <c r="Z9471" s="23">
        <v>1</v>
      </c>
      <c r="AB9471" s="18">
        <f t="shared" si="294"/>
        <v>1993</v>
      </c>
      <c r="AC9471" s="22">
        <f t="shared" si="295"/>
        <v>0.53800000000000003</v>
      </c>
    </row>
    <row r="9472" spans="1:29">
      <c r="A9472" s="8" t="s">
        <v>1867</v>
      </c>
      <c r="B9472" s="17" t="s">
        <v>7800</v>
      </c>
      <c r="C9472" s="12">
        <v>33970</v>
      </c>
      <c r="D9472" s="13" t="s">
        <v>8465</v>
      </c>
      <c r="E9472" s="10" t="s">
        <v>1272</v>
      </c>
      <c r="F9472" s="10" t="s">
        <v>60</v>
      </c>
      <c r="G9472" s="11" t="s">
        <v>1867</v>
      </c>
      <c r="H9472" s="2" t="s">
        <v>1061</v>
      </c>
      <c r="L9472" s="18">
        <v>1</v>
      </c>
      <c r="N9472" s="13">
        <v>44785</v>
      </c>
      <c r="O9472" s="29">
        <v>0</v>
      </c>
      <c r="P9472" s="18" t="s">
        <v>1107</v>
      </c>
      <c r="Q9472" s="18">
        <v>0</v>
      </c>
      <c r="U9472" s="22">
        <v>0.9</v>
      </c>
      <c r="V9472" s="22">
        <f>3.6/5</f>
        <v>0.72</v>
      </c>
      <c r="W9472" s="14" t="s">
        <v>7777</v>
      </c>
      <c r="X9472" s="3">
        <v>4</v>
      </c>
      <c r="Z9472" s="23">
        <v>9</v>
      </c>
      <c r="AB9472" s="18">
        <f t="shared" si="294"/>
        <v>1993</v>
      </c>
      <c r="AC9472" s="22">
        <f t="shared" si="295"/>
        <v>0.80666666666666664</v>
      </c>
    </row>
    <row r="9473" spans="1:29">
      <c r="A9473" s="8" t="s">
        <v>2886</v>
      </c>
      <c r="B9473" s="17" t="s">
        <v>7790</v>
      </c>
      <c r="C9473" s="12">
        <v>33970</v>
      </c>
      <c r="D9473" s="13" t="s">
        <v>8465</v>
      </c>
      <c r="E9473" s="10" t="s">
        <v>2894</v>
      </c>
      <c r="F9473" s="10" t="s">
        <v>146</v>
      </c>
      <c r="G9473" s="11" t="s">
        <v>18</v>
      </c>
      <c r="H9473" s="2" t="s">
        <v>67</v>
      </c>
      <c r="L9473" s="18">
        <v>0</v>
      </c>
      <c r="Q9473" s="18">
        <v>0</v>
      </c>
      <c r="V9473" s="22">
        <f>3.5/5</f>
        <v>0.7</v>
      </c>
      <c r="X9473" s="3">
        <v>4</v>
      </c>
      <c r="AB9473" s="18">
        <f t="shared" ref="AB9473:AB9536" si="296">IFERROR(YEAR(C9473), "Early Access")</f>
        <v>1993</v>
      </c>
      <c r="AC9473" s="22">
        <f t="shared" ref="AC9473:AC9536" si="297">AVERAGE(T9473, U9473, V9473, IF(ISBLANK(X9473), X9473, X9473/5))</f>
        <v>0.75</v>
      </c>
    </row>
    <row r="9474" spans="1:29">
      <c r="A9474" s="8" t="s">
        <v>2689</v>
      </c>
      <c r="B9474" s="17" t="s">
        <v>7752</v>
      </c>
      <c r="C9474" s="12">
        <v>33970</v>
      </c>
      <c r="D9474" s="13" t="s">
        <v>8465</v>
      </c>
      <c r="E9474" s="10" t="s">
        <v>2700</v>
      </c>
      <c r="F9474" s="10" t="s">
        <v>167</v>
      </c>
      <c r="G9474" s="11" t="s">
        <v>1315</v>
      </c>
      <c r="H9474" s="2" t="s">
        <v>21</v>
      </c>
      <c r="L9474" s="18">
        <v>0</v>
      </c>
      <c r="Q9474" s="18">
        <v>0</v>
      </c>
      <c r="U9474" s="22">
        <v>1</v>
      </c>
      <c r="V9474" s="22">
        <f>3.96/5</f>
        <v>0.79200000000000004</v>
      </c>
      <c r="X9474" s="3">
        <v>3</v>
      </c>
      <c r="Z9474" s="23">
        <v>1.5</v>
      </c>
      <c r="AB9474" s="18">
        <f t="shared" si="296"/>
        <v>1993</v>
      </c>
      <c r="AC9474" s="22">
        <f t="shared" si="297"/>
        <v>0.79733333333333334</v>
      </c>
    </row>
    <row r="9475" spans="1:29" ht="25.5">
      <c r="A9475" s="8" t="s">
        <v>2576</v>
      </c>
      <c r="B9475" s="17" t="s">
        <v>7751</v>
      </c>
      <c r="C9475" s="12">
        <v>33970</v>
      </c>
      <c r="D9475" s="13" t="s">
        <v>8465</v>
      </c>
      <c r="E9475" s="10" t="s">
        <v>455</v>
      </c>
      <c r="F9475" s="10" t="s">
        <v>1297</v>
      </c>
      <c r="G9475" s="11" t="s">
        <v>1298</v>
      </c>
      <c r="H9475" s="2" t="s">
        <v>21</v>
      </c>
      <c r="L9475" s="18">
        <v>0</v>
      </c>
      <c r="Q9475" s="18">
        <v>0</v>
      </c>
      <c r="U9475" s="22">
        <v>0.95</v>
      </c>
      <c r="V9475" s="22">
        <f>4.18/5</f>
        <v>0.83599999999999997</v>
      </c>
      <c r="X9475" s="3">
        <v>3</v>
      </c>
      <c r="Z9475" s="23">
        <v>0.75</v>
      </c>
      <c r="AB9475" s="18">
        <f t="shared" si="296"/>
        <v>1993</v>
      </c>
      <c r="AC9475" s="22">
        <f t="shared" si="297"/>
        <v>0.79533333333333334</v>
      </c>
    </row>
    <row r="9476" spans="1:29" ht="25.5">
      <c r="A9476" s="8" t="s">
        <v>6826</v>
      </c>
      <c r="B9476" s="17" t="s">
        <v>7800</v>
      </c>
      <c r="C9476" s="12">
        <v>33970</v>
      </c>
      <c r="D9476" s="13" t="s">
        <v>8465</v>
      </c>
      <c r="E9476" s="10" t="s">
        <v>1784</v>
      </c>
      <c r="F9476" s="10" t="s">
        <v>5234</v>
      </c>
      <c r="G9476" s="11" t="s">
        <v>1785</v>
      </c>
      <c r="H9476" s="2" t="s">
        <v>1720</v>
      </c>
      <c r="L9476" s="18">
        <v>1</v>
      </c>
      <c r="N9476" s="13">
        <v>44418</v>
      </c>
      <c r="O9476" s="29">
        <v>0</v>
      </c>
      <c r="P9476" s="18" t="s">
        <v>1107</v>
      </c>
      <c r="Q9476" s="18">
        <v>0</v>
      </c>
      <c r="U9476" s="22">
        <v>0.9</v>
      </c>
      <c r="V9476" s="22">
        <f>4.21/5</f>
        <v>0.84199999999999997</v>
      </c>
      <c r="W9476" s="14" t="s">
        <v>7778</v>
      </c>
      <c r="X9476" s="3">
        <v>3</v>
      </c>
      <c r="Z9476" s="23">
        <v>19.5</v>
      </c>
      <c r="AB9476" s="18">
        <f t="shared" si="296"/>
        <v>1993</v>
      </c>
      <c r="AC9476" s="22">
        <f t="shared" si="297"/>
        <v>0.78066666666666673</v>
      </c>
    </row>
    <row r="9477" spans="1:29" ht="25.5">
      <c r="A9477" s="8" t="s">
        <v>6800</v>
      </c>
      <c r="B9477" s="17" t="s">
        <v>7800</v>
      </c>
      <c r="C9477" s="12">
        <v>33970</v>
      </c>
      <c r="D9477" s="13" t="s">
        <v>8465</v>
      </c>
      <c r="E9477" s="10" t="s">
        <v>2659</v>
      </c>
      <c r="F9477" s="10" t="s">
        <v>2659</v>
      </c>
      <c r="G9477" s="11" t="s">
        <v>1864</v>
      </c>
      <c r="H9477" s="2" t="s">
        <v>1720</v>
      </c>
      <c r="L9477" s="18">
        <v>0</v>
      </c>
      <c r="Q9477" s="18">
        <v>0</v>
      </c>
      <c r="V9477" s="22">
        <f>4.06/5</f>
        <v>0.81199999999999994</v>
      </c>
      <c r="X9477" s="3">
        <v>3</v>
      </c>
      <c r="AB9477" s="18">
        <f t="shared" si="296"/>
        <v>1993</v>
      </c>
      <c r="AC9477" s="22">
        <f t="shared" si="297"/>
        <v>0.70599999999999996</v>
      </c>
    </row>
    <row r="9478" spans="1:29">
      <c r="A9478" s="8" t="s">
        <v>420</v>
      </c>
      <c r="B9478" s="17" t="s">
        <v>6317</v>
      </c>
      <c r="C9478" s="12">
        <v>33970</v>
      </c>
      <c r="D9478" s="13" t="s">
        <v>8465</v>
      </c>
      <c r="E9478" s="10" t="s">
        <v>73</v>
      </c>
      <c r="F9478" s="10" t="s">
        <v>73</v>
      </c>
      <c r="G9478" s="11" t="s">
        <v>420</v>
      </c>
      <c r="H9478" s="2" t="s">
        <v>153</v>
      </c>
      <c r="L9478" s="18">
        <v>0</v>
      </c>
      <c r="Q9478" s="18">
        <v>0</v>
      </c>
      <c r="V9478" s="22">
        <f>4.02/5</f>
        <v>0.80399999999999994</v>
      </c>
      <c r="X9478" s="3">
        <v>3</v>
      </c>
      <c r="Z9478" s="23">
        <v>1</v>
      </c>
      <c r="AB9478" s="18">
        <f t="shared" si="296"/>
        <v>1993</v>
      </c>
      <c r="AC9478" s="22">
        <f t="shared" si="297"/>
        <v>0.70199999999999996</v>
      </c>
    </row>
    <row r="9479" spans="1:29" ht="25.5">
      <c r="A9479" s="8" t="s">
        <v>2572</v>
      </c>
      <c r="B9479" s="17" t="s">
        <v>7751</v>
      </c>
      <c r="C9479" s="12">
        <v>33970</v>
      </c>
      <c r="D9479" s="13" t="s">
        <v>8465</v>
      </c>
      <c r="E9479" s="10" t="s">
        <v>455</v>
      </c>
      <c r="F9479" s="10" t="s">
        <v>1387</v>
      </c>
      <c r="G9479" s="11" t="s">
        <v>5897</v>
      </c>
      <c r="H9479" s="2" t="s">
        <v>171</v>
      </c>
      <c r="L9479" s="18">
        <v>0</v>
      </c>
      <c r="Q9479" s="18">
        <v>0</v>
      </c>
      <c r="U9479" s="22">
        <v>0.77</v>
      </c>
      <c r="V9479" s="22">
        <f>4.17/5</f>
        <v>0.83399999999999996</v>
      </c>
      <c r="X9479" s="3">
        <v>3</v>
      </c>
      <c r="Z9479" s="23">
        <v>15.5</v>
      </c>
      <c r="AB9479" s="18">
        <f t="shared" si="296"/>
        <v>1993</v>
      </c>
      <c r="AC9479" s="22">
        <f t="shared" si="297"/>
        <v>0.73466666666666669</v>
      </c>
    </row>
    <row r="9480" spans="1:29" ht="25.5">
      <c r="A9480" s="8" t="s">
        <v>7595</v>
      </c>
      <c r="B9480" s="17" t="s">
        <v>7800</v>
      </c>
      <c r="C9480" s="12">
        <v>33970</v>
      </c>
      <c r="D9480" s="13" t="s">
        <v>8465</v>
      </c>
      <c r="E9480" s="10" t="s">
        <v>231</v>
      </c>
      <c r="F9480" s="10" t="s">
        <v>1784</v>
      </c>
      <c r="G9480" s="11" t="s">
        <v>6562</v>
      </c>
      <c r="H9480" s="2" t="s">
        <v>7594</v>
      </c>
      <c r="L9480" s="18">
        <v>0</v>
      </c>
      <c r="Q9480" s="18">
        <v>0</v>
      </c>
      <c r="V9480" s="22">
        <f>4/5</f>
        <v>0.8</v>
      </c>
      <c r="X9480" s="3">
        <v>3</v>
      </c>
      <c r="Z9480" s="23">
        <v>10.5</v>
      </c>
      <c r="AB9480" s="18">
        <f t="shared" si="296"/>
        <v>1993</v>
      </c>
      <c r="AC9480" s="22">
        <f t="shared" si="297"/>
        <v>0.7</v>
      </c>
    </row>
    <row r="9481" spans="1:29" ht="30">
      <c r="A9481" s="8" t="s">
        <v>2505</v>
      </c>
      <c r="B9481" s="17" t="s">
        <v>7750</v>
      </c>
      <c r="C9481" s="12">
        <v>33970</v>
      </c>
      <c r="D9481" s="13" t="s">
        <v>8465</v>
      </c>
      <c r="E9481" s="10" t="s">
        <v>455</v>
      </c>
      <c r="F9481" s="10" t="s">
        <v>455</v>
      </c>
      <c r="G9481" s="11" t="s">
        <v>1727</v>
      </c>
      <c r="H9481" s="2" t="s">
        <v>171</v>
      </c>
      <c r="L9481" s="18">
        <v>0</v>
      </c>
      <c r="Q9481" s="18">
        <v>0</v>
      </c>
      <c r="V9481" s="22">
        <f>3.88/5</f>
        <v>0.77600000000000002</v>
      </c>
      <c r="X9481" s="3">
        <v>3</v>
      </c>
      <c r="Z9481" s="23">
        <v>1</v>
      </c>
      <c r="AB9481" s="18">
        <f t="shared" si="296"/>
        <v>1993</v>
      </c>
      <c r="AC9481" s="22">
        <f t="shared" si="297"/>
        <v>0.68799999999999994</v>
      </c>
    </row>
    <row r="9482" spans="1:29" ht="30">
      <c r="A9482" s="8" t="s">
        <v>12753</v>
      </c>
      <c r="B9482" s="17" t="s">
        <v>9581</v>
      </c>
      <c r="C9482" s="24">
        <v>33970</v>
      </c>
      <c r="D9482" s="13" t="s">
        <v>8465</v>
      </c>
      <c r="E9482" s="10" t="s">
        <v>1282</v>
      </c>
      <c r="F9482" s="10" t="s">
        <v>12754</v>
      </c>
      <c r="H9482" s="2" t="s">
        <v>147</v>
      </c>
      <c r="L9482" s="18">
        <v>0</v>
      </c>
      <c r="Q9482" s="18">
        <v>0</v>
      </c>
      <c r="V9482" s="22">
        <f>4.75/5</f>
        <v>0.95</v>
      </c>
      <c r="X9482" s="3">
        <v>2</v>
      </c>
      <c r="AB9482" s="18">
        <f t="shared" si="296"/>
        <v>1993</v>
      </c>
      <c r="AC9482" s="22">
        <f t="shared" si="297"/>
        <v>0.67500000000000004</v>
      </c>
    </row>
    <row r="9483" spans="1:29">
      <c r="A9483" s="8" t="s">
        <v>1829</v>
      </c>
      <c r="B9483" s="17" t="s">
        <v>7789</v>
      </c>
      <c r="C9483" s="12">
        <v>33970</v>
      </c>
      <c r="D9483" s="13" t="s">
        <v>8465</v>
      </c>
      <c r="E9483" s="10" t="s">
        <v>1828</v>
      </c>
      <c r="F9483" s="10" t="s">
        <v>2873</v>
      </c>
      <c r="G9483" s="11" t="s">
        <v>1829</v>
      </c>
      <c r="H9483" s="2" t="s">
        <v>21</v>
      </c>
      <c r="L9483" s="18">
        <v>0</v>
      </c>
      <c r="Q9483" s="18">
        <v>0</v>
      </c>
      <c r="V9483" s="22">
        <f>3.71/5</f>
        <v>0.74199999999999999</v>
      </c>
      <c r="X9483" s="3">
        <v>3</v>
      </c>
      <c r="Z9483" s="23">
        <v>0.62</v>
      </c>
      <c r="AB9483" s="18">
        <f t="shared" si="296"/>
        <v>1993</v>
      </c>
      <c r="AC9483" s="22">
        <f t="shared" si="297"/>
        <v>0.67100000000000004</v>
      </c>
    </row>
    <row r="9484" spans="1:29" ht="25.5">
      <c r="A9484" s="8" t="s">
        <v>14927</v>
      </c>
      <c r="B9484" s="17" t="s">
        <v>7736</v>
      </c>
      <c r="C9484" s="24">
        <v>33970</v>
      </c>
      <c r="D9484" s="13" t="s">
        <v>8465</v>
      </c>
      <c r="E9484" s="10" t="s">
        <v>86</v>
      </c>
      <c r="F9484" s="10" t="s">
        <v>142</v>
      </c>
      <c r="G9484" s="11" t="s">
        <v>14925</v>
      </c>
      <c r="H9484" s="2" t="s">
        <v>1170</v>
      </c>
      <c r="L9484" s="18">
        <v>0</v>
      </c>
      <c r="Q9484" s="18">
        <v>0</v>
      </c>
      <c r="V9484" s="22">
        <f>3.69/5</f>
        <v>0.73799999999999999</v>
      </c>
      <c r="X9484" s="3">
        <v>3</v>
      </c>
      <c r="Z9484" s="23">
        <f>59/60</f>
        <v>0.98333333333333328</v>
      </c>
      <c r="AB9484" s="18">
        <f t="shared" si="296"/>
        <v>1993</v>
      </c>
      <c r="AC9484" s="22">
        <f t="shared" si="297"/>
        <v>0.66900000000000004</v>
      </c>
    </row>
    <row r="9485" spans="1:29">
      <c r="A9485" s="8" t="s">
        <v>1343</v>
      </c>
      <c r="B9485" s="17" t="s">
        <v>7745</v>
      </c>
      <c r="C9485" s="12">
        <v>33970</v>
      </c>
      <c r="D9485" s="13" t="s">
        <v>8467</v>
      </c>
      <c r="E9485" s="10" t="s">
        <v>144</v>
      </c>
      <c r="F9485" s="10" t="s">
        <v>144</v>
      </c>
      <c r="G9485" s="11" t="s">
        <v>1343</v>
      </c>
      <c r="H9485" s="2" t="s">
        <v>153</v>
      </c>
      <c r="L9485" s="18">
        <v>0</v>
      </c>
      <c r="Q9485" s="18">
        <v>0</v>
      </c>
      <c r="V9485" s="22">
        <f>3.68/5</f>
        <v>0.73599999999999999</v>
      </c>
      <c r="X9485" s="3">
        <v>3</v>
      </c>
      <c r="Z9485" s="23">
        <v>0.78</v>
      </c>
      <c r="AB9485" s="18">
        <f t="shared" si="296"/>
        <v>1993</v>
      </c>
      <c r="AC9485" s="22">
        <f t="shared" si="297"/>
        <v>0.66799999999999993</v>
      </c>
    </row>
    <row r="9486" spans="1:29">
      <c r="A9486" s="8" t="s">
        <v>402</v>
      </c>
      <c r="B9486" s="17" t="s">
        <v>6317</v>
      </c>
      <c r="C9486" s="12">
        <v>33970</v>
      </c>
      <c r="D9486" s="13" t="s">
        <v>8465</v>
      </c>
      <c r="E9486" s="10" t="s">
        <v>555</v>
      </c>
      <c r="F9486" s="10" t="s">
        <v>554</v>
      </c>
      <c r="G9486" s="11" t="s">
        <v>397</v>
      </c>
      <c r="H9486" s="2" t="s">
        <v>21</v>
      </c>
      <c r="L9486" s="18">
        <v>0</v>
      </c>
      <c r="Q9486" s="18">
        <v>0</v>
      </c>
      <c r="V9486" s="22">
        <f>3.67/5</f>
        <v>0.73399999999999999</v>
      </c>
      <c r="X9486" s="3">
        <v>3</v>
      </c>
      <c r="Z9486" s="23">
        <v>0.62</v>
      </c>
      <c r="AB9486" s="18">
        <f t="shared" si="296"/>
        <v>1993</v>
      </c>
      <c r="AC9486" s="22">
        <f t="shared" si="297"/>
        <v>0.66700000000000004</v>
      </c>
    </row>
    <row r="9487" spans="1:29" ht="30">
      <c r="A9487" s="8" t="s">
        <v>9580</v>
      </c>
      <c r="B9487" s="17" t="s">
        <v>9581</v>
      </c>
      <c r="C9487" s="12">
        <v>33970</v>
      </c>
      <c r="D9487" s="13" t="s">
        <v>8467</v>
      </c>
      <c r="E9487" s="10" t="s">
        <v>9582</v>
      </c>
      <c r="F9487" s="10" t="s">
        <v>9582</v>
      </c>
      <c r="G9487" s="11" t="s">
        <v>9580</v>
      </c>
      <c r="H9487" s="2" t="s">
        <v>1054</v>
      </c>
      <c r="L9487" s="18">
        <v>0</v>
      </c>
      <c r="Q9487" s="18">
        <v>0</v>
      </c>
      <c r="V9487" s="22">
        <f>4.67/5</f>
        <v>0.93399999999999994</v>
      </c>
      <c r="X9487" s="3">
        <v>2</v>
      </c>
      <c r="AB9487" s="18">
        <f t="shared" si="296"/>
        <v>1993</v>
      </c>
      <c r="AC9487" s="22">
        <f t="shared" si="297"/>
        <v>0.66700000000000004</v>
      </c>
    </row>
    <row r="9488" spans="1:29" ht="25.5">
      <c r="A9488" s="8" t="s">
        <v>2855</v>
      </c>
      <c r="B9488" s="17" t="s">
        <v>7789</v>
      </c>
      <c r="C9488" s="12">
        <v>33970</v>
      </c>
      <c r="D9488" s="13" t="s">
        <v>8465</v>
      </c>
      <c r="E9488" s="10" t="s">
        <v>2870</v>
      </c>
      <c r="F9488" s="10" t="s">
        <v>1318</v>
      </c>
      <c r="G9488" s="11" t="s">
        <v>1319</v>
      </c>
      <c r="H9488" s="2" t="s">
        <v>64</v>
      </c>
      <c r="L9488" s="18">
        <v>0</v>
      </c>
      <c r="Q9488" s="18">
        <v>0</v>
      </c>
      <c r="V9488" s="22">
        <f>3.67/5</f>
        <v>0.73399999999999999</v>
      </c>
      <c r="X9488" s="3">
        <v>3</v>
      </c>
      <c r="Z9488" s="23">
        <v>2</v>
      </c>
      <c r="AB9488" s="18">
        <f t="shared" si="296"/>
        <v>1993</v>
      </c>
      <c r="AC9488" s="22">
        <f t="shared" si="297"/>
        <v>0.66700000000000004</v>
      </c>
    </row>
    <row r="9489" spans="1:29">
      <c r="A9489" s="8" t="s">
        <v>2583</v>
      </c>
      <c r="B9489" s="17" t="s">
        <v>7751</v>
      </c>
      <c r="C9489" s="12">
        <v>33970</v>
      </c>
      <c r="D9489" s="13" t="s">
        <v>8465</v>
      </c>
      <c r="E9489" s="10" t="s">
        <v>2665</v>
      </c>
      <c r="F9489" s="10" t="s">
        <v>2666</v>
      </c>
      <c r="G9489" s="11" t="s">
        <v>2897</v>
      </c>
      <c r="H9489" s="2" t="s">
        <v>147</v>
      </c>
      <c r="L9489" s="18">
        <v>0</v>
      </c>
      <c r="Q9489" s="18">
        <v>0</v>
      </c>
      <c r="U9489" s="22">
        <v>0.76</v>
      </c>
      <c r="V9489" s="22">
        <f>3.47/5</f>
        <v>0.69400000000000006</v>
      </c>
      <c r="X9489" s="3">
        <v>3</v>
      </c>
      <c r="Z9489" s="23">
        <v>2</v>
      </c>
      <c r="AB9489" s="18">
        <f t="shared" si="296"/>
        <v>1993</v>
      </c>
      <c r="AC9489" s="22">
        <f t="shared" si="297"/>
        <v>0.68466666666666676</v>
      </c>
    </row>
    <row r="9490" spans="1:29">
      <c r="A9490" s="8" t="s">
        <v>2690</v>
      </c>
      <c r="B9490" s="17" t="s">
        <v>7752</v>
      </c>
      <c r="C9490" s="12">
        <v>33970</v>
      </c>
      <c r="D9490" s="13" t="s">
        <v>8465</v>
      </c>
      <c r="E9490" s="10" t="s">
        <v>455</v>
      </c>
      <c r="F9490" s="10" t="s">
        <v>1512</v>
      </c>
      <c r="G9490" s="11" t="s">
        <v>2690</v>
      </c>
      <c r="H9490" s="2" t="s">
        <v>1170</v>
      </c>
      <c r="L9490" s="18">
        <v>0</v>
      </c>
      <c r="Q9490" s="18">
        <v>0</v>
      </c>
      <c r="U9490" s="22">
        <v>0.7</v>
      </c>
      <c r="V9490" s="22">
        <f>3.66/5</f>
        <v>0.73199999999999998</v>
      </c>
      <c r="X9490" s="3">
        <v>3</v>
      </c>
      <c r="Z9490" s="23">
        <v>1</v>
      </c>
      <c r="AB9490" s="18">
        <f t="shared" si="296"/>
        <v>1993</v>
      </c>
      <c r="AC9490" s="22">
        <f t="shared" si="297"/>
        <v>0.67733333333333334</v>
      </c>
    </row>
    <row r="9491" spans="1:29">
      <c r="A9491" s="8" t="s">
        <v>386</v>
      </c>
      <c r="B9491" s="17" t="s">
        <v>6317</v>
      </c>
      <c r="C9491" s="12">
        <v>33970</v>
      </c>
      <c r="D9491" s="13" t="s">
        <v>8465</v>
      </c>
      <c r="E9491" s="10" t="s">
        <v>470</v>
      </c>
      <c r="F9491" s="10" t="s">
        <v>480</v>
      </c>
      <c r="G9491" s="11" t="s">
        <v>298</v>
      </c>
      <c r="H9491" s="2" t="s">
        <v>21</v>
      </c>
      <c r="L9491" s="18">
        <v>0</v>
      </c>
      <c r="Q9491" s="18">
        <v>0</v>
      </c>
      <c r="V9491" s="22">
        <f>3.57/5</f>
        <v>0.71399999999999997</v>
      </c>
      <c r="X9491" s="3">
        <v>3</v>
      </c>
      <c r="AB9491" s="18">
        <f t="shared" si="296"/>
        <v>1993</v>
      </c>
      <c r="AC9491" s="22">
        <f t="shared" si="297"/>
        <v>0.65700000000000003</v>
      </c>
    </row>
    <row r="9492" spans="1:29">
      <c r="A9492" s="8" t="s">
        <v>2688</v>
      </c>
      <c r="B9492" s="17" t="s">
        <v>7752</v>
      </c>
      <c r="C9492" s="12">
        <v>33970</v>
      </c>
      <c r="D9492" s="13" t="s">
        <v>8465</v>
      </c>
      <c r="E9492" s="10" t="s">
        <v>1496</v>
      </c>
      <c r="F9492" s="10" t="s">
        <v>1512</v>
      </c>
      <c r="H9492" s="2" t="s">
        <v>67</v>
      </c>
      <c r="L9492" s="18">
        <v>0</v>
      </c>
      <c r="Q9492" s="18">
        <v>0</v>
      </c>
      <c r="U9492" s="22">
        <v>0.66</v>
      </c>
      <c r="V9492" s="22">
        <f>3.73/5</f>
        <v>0.746</v>
      </c>
      <c r="X9492" s="3">
        <v>3</v>
      </c>
      <c r="Z9492" s="23">
        <v>5</v>
      </c>
      <c r="AB9492" s="18">
        <f t="shared" si="296"/>
        <v>1993</v>
      </c>
      <c r="AC9492" s="22">
        <f t="shared" si="297"/>
        <v>0.66866666666666674</v>
      </c>
    </row>
    <row r="9493" spans="1:29" ht="25.5">
      <c r="A9493" s="8" t="s">
        <v>2885</v>
      </c>
      <c r="B9493" s="17" t="s">
        <v>7790</v>
      </c>
      <c r="C9493" s="12">
        <v>33970</v>
      </c>
      <c r="D9493" s="13" t="s">
        <v>8465</v>
      </c>
      <c r="E9493" s="10" t="s">
        <v>62</v>
      </c>
      <c r="F9493" s="10" t="s">
        <v>2893</v>
      </c>
      <c r="G9493" s="11" t="s">
        <v>1319</v>
      </c>
      <c r="H9493" s="2" t="s">
        <v>21</v>
      </c>
      <c r="L9493" s="18">
        <v>0</v>
      </c>
      <c r="Q9493" s="18">
        <v>0</v>
      </c>
      <c r="V9493" s="22">
        <f>3.48/5</f>
        <v>0.69599999999999995</v>
      </c>
      <c r="X9493" s="3">
        <v>3</v>
      </c>
      <c r="Z9493" s="23">
        <v>2</v>
      </c>
      <c r="AB9493" s="18">
        <f t="shared" si="296"/>
        <v>1993</v>
      </c>
      <c r="AC9493" s="22">
        <f t="shared" si="297"/>
        <v>0.64799999999999991</v>
      </c>
    </row>
    <row r="9494" spans="1:29" ht="38.25">
      <c r="A9494" s="8" t="s">
        <v>14402</v>
      </c>
      <c r="B9494" s="17" t="s">
        <v>7800</v>
      </c>
      <c r="C9494" s="12">
        <v>33970</v>
      </c>
      <c r="D9494" s="13" t="s">
        <v>8465</v>
      </c>
      <c r="E9494" s="10" t="s">
        <v>6668</v>
      </c>
      <c r="F9494" s="10" t="s">
        <v>6668</v>
      </c>
      <c r="G9494" s="11" t="s">
        <v>445</v>
      </c>
      <c r="H9494" s="2" t="s">
        <v>1720</v>
      </c>
      <c r="L9494" s="18">
        <v>1</v>
      </c>
      <c r="N9494" s="13">
        <v>43999</v>
      </c>
      <c r="O9494" s="29">
        <v>0</v>
      </c>
      <c r="P9494" s="18" t="s">
        <v>1107</v>
      </c>
      <c r="Q9494" s="18">
        <v>0</v>
      </c>
      <c r="V9494" s="22">
        <f>3.29/5</f>
        <v>0.65800000000000003</v>
      </c>
      <c r="W9494" s="14" t="s">
        <v>7778</v>
      </c>
      <c r="X9494" s="3">
        <v>3</v>
      </c>
      <c r="Z9494" s="23">
        <v>8</v>
      </c>
      <c r="AB9494" s="18">
        <f t="shared" si="296"/>
        <v>1993</v>
      </c>
      <c r="AC9494" s="22">
        <f t="shared" si="297"/>
        <v>0.629</v>
      </c>
    </row>
    <row r="9495" spans="1:29" ht="25.5">
      <c r="A9495" s="8" t="s">
        <v>2556</v>
      </c>
      <c r="B9495" s="17" t="s">
        <v>7751</v>
      </c>
      <c r="C9495" s="12">
        <v>33970</v>
      </c>
      <c r="D9495" s="13" t="s">
        <v>8465</v>
      </c>
      <c r="E9495" s="10" t="s">
        <v>1259</v>
      </c>
      <c r="F9495" s="10" t="s">
        <v>2654</v>
      </c>
      <c r="G9495" s="11" t="s">
        <v>2655</v>
      </c>
      <c r="H9495" s="2" t="s">
        <v>1143</v>
      </c>
      <c r="L9495" s="18">
        <v>0</v>
      </c>
      <c r="Q9495" s="18">
        <v>0</v>
      </c>
      <c r="U9495" s="22">
        <v>0.9</v>
      </c>
      <c r="V9495" s="22">
        <f>4.02/5</f>
        <v>0.80399999999999994</v>
      </c>
      <c r="X9495" s="3">
        <v>2</v>
      </c>
      <c r="Z9495" s="23">
        <v>14</v>
      </c>
      <c r="AB9495" s="18">
        <f t="shared" si="296"/>
        <v>1993</v>
      </c>
      <c r="AC9495" s="22">
        <f t="shared" si="297"/>
        <v>0.70133333333333336</v>
      </c>
    </row>
    <row r="9496" spans="1:29">
      <c r="A9496" s="8" t="s">
        <v>2580</v>
      </c>
      <c r="B9496" s="17" t="s">
        <v>7751</v>
      </c>
      <c r="C9496" s="12">
        <v>33970</v>
      </c>
      <c r="D9496" s="13" t="s">
        <v>8465</v>
      </c>
      <c r="E9496" s="10" t="s">
        <v>455</v>
      </c>
      <c r="F9496" s="10" t="s">
        <v>2664</v>
      </c>
      <c r="H9496" s="2" t="s">
        <v>21</v>
      </c>
      <c r="L9496" s="18">
        <v>0</v>
      </c>
      <c r="Q9496" s="18">
        <v>0</v>
      </c>
      <c r="U9496" s="22">
        <v>0.9</v>
      </c>
      <c r="V9496" s="22">
        <f>3.94/5</f>
        <v>0.78800000000000003</v>
      </c>
      <c r="X9496" s="3">
        <v>2</v>
      </c>
      <c r="Z9496" s="23">
        <v>2</v>
      </c>
      <c r="AB9496" s="18">
        <f t="shared" si="296"/>
        <v>1993</v>
      </c>
      <c r="AC9496" s="22">
        <f t="shared" si="297"/>
        <v>0.69600000000000006</v>
      </c>
    </row>
    <row r="9497" spans="1:29" ht="30">
      <c r="A9497" s="8" t="s">
        <v>12738</v>
      </c>
      <c r="B9497" s="17" t="s">
        <v>12735</v>
      </c>
      <c r="C9497" s="24">
        <v>33970</v>
      </c>
      <c r="D9497" s="13" t="s">
        <v>8467</v>
      </c>
      <c r="E9497" s="10" t="s">
        <v>1634</v>
      </c>
      <c r="F9497" s="10" t="s">
        <v>1634</v>
      </c>
      <c r="G9497" s="11" t="s">
        <v>3139</v>
      </c>
      <c r="H9497" s="2" t="s">
        <v>2138</v>
      </c>
      <c r="L9497" s="18">
        <v>0</v>
      </c>
      <c r="Q9497" s="18">
        <v>0</v>
      </c>
      <c r="V9497" s="22">
        <f>3.14/5</f>
        <v>0.628</v>
      </c>
      <c r="X9497" s="3">
        <v>3</v>
      </c>
      <c r="AB9497" s="18">
        <f t="shared" si="296"/>
        <v>1993</v>
      </c>
      <c r="AC9497" s="22">
        <f t="shared" si="297"/>
        <v>0.61399999999999999</v>
      </c>
    </row>
    <row r="9498" spans="1:29">
      <c r="A9498" s="8" t="s">
        <v>2527</v>
      </c>
      <c r="B9498" s="17" t="s">
        <v>7751</v>
      </c>
      <c r="C9498" s="12">
        <v>33970</v>
      </c>
      <c r="D9498" s="13" t="s">
        <v>8463</v>
      </c>
      <c r="E9498" s="10" t="s">
        <v>250</v>
      </c>
      <c r="F9498" s="10" t="s">
        <v>250</v>
      </c>
      <c r="G9498" s="11" t="s">
        <v>2635</v>
      </c>
      <c r="H9498" s="2" t="s">
        <v>21</v>
      </c>
      <c r="K9498" s="18">
        <v>2</v>
      </c>
      <c r="L9498" s="18">
        <v>0</v>
      </c>
      <c r="Q9498" s="18">
        <v>0</v>
      </c>
      <c r="V9498" s="22">
        <f>4.1/5</f>
        <v>0.82</v>
      </c>
      <c r="X9498" s="3">
        <v>2</v>
      </c>
      <c r="Z9498" s="23">
        <v>0.98</v>
      </c>
      <c r="AB9498" s="18">
        <f t="shared" si="296"/>
        <v>1993</v>
      </c>
      <c r="AC9498" s="22">
        <f t="shared" si="297"/>
        <v>0.61</v>
      </c>
    </row>
    <row r="9499" spans="1:29" ht="25.5">
      <c r="A9499" s="8" t="s">
        <v>2684</v>
      </c>
      <c r="B9499" s="17" t="s">
        <v>7752</v>
      </c>
      <c r="C9499" s="12">
        <v>33970</v>
      </c>
      <c r="D9499" s="13" t="s">
        <v>8465</v>
      </c>
      <c r="E9499" s="10" t="s">
        <v>455</v>
      </c>
      <c r="F9499" s="10" t="s">
        <v>2698</v>
      </c>
      <c r="G9499" s="11" t="s">
        <v>1264</v>
      </c>
      <c r="H9499" s="2" t="s">
        <v>153</v>
      </c>
      <c r="L9499" s="18">
        <v>0</v>
      </c>
      <c r="Q9499" s="18">
        <v>0</v>
      </c>
      <c r="U9499" s="22">
        <v>0.9</v>
      </c>
      <c r="V9499" s="22">
        <f>3.63/5</f>
        <v>0.72599999999999998</v>
      </c>
      <c r="X9499" s="3">
        <v>2</v>
      </c>
      <c r="Z9499" s="23">
        <v>2</v>
      </c>
      <c r="AB9499" s="18">
        <f t="shared" si="296"/>
        <v>1993</v>
      </c>
      <c r="AC9499" s="22">
        <f t="shared" si="297"/>
        <v>0.67533333333333323</v>
      </c>
    </row>
    <row r="9500" spans="1:29">
      <c r="A9500" s="8" t="s">
        <v>2564</v>
      </c>
      <c r="B9500" s="17" t="s">
        <v>7751</v>
      </c>
      <c r="C9500" s="12">
        <v>33970</v>
      </c>
      <c r="D9500" s="13" t="s">
        <v>8465</v>
      </c>
      <c r="E9500" s="10" t="s">
        <v>231</v>
      </c>
      <c r="F9500" s="10" t="s">
        <v>2657</v>
      </c>
      <c r="H9500" s="2" t="s">
        <v>61</v>
      </c>
      <c r="L9500" s="18">
        <v>0</v>
      </c>
      <c r="Q9500" s="18">
        <v>0</v>
      </c>
      <c r="U9500" s="22">
        <v>0.8</v>
      </c>
      <c r="V9500" s="22">
        <f>3.79/5</f>
        <v>0.75800000000000001</v>
      </c>
      <c r="X9500" s="3">
        <v>2</v>
      </c>
      <c r="Z9500" s="23">
        <v>3</v>
      </c>
      <c r="AB9500" s="18">
        <f t="shared" si="296"/>
        <v>1993</v>
      </c>
      <c r="AC9500" s="22">
        <f t="shared" si="297"/>
        <v>0.65266666666666673</v>
      </c>
    </row>
    <row r="9501" spans="1:29" ht="25.5">
      <c r="A9501" s="8" t="s">
        <v>10914</v>
      </c>
      <c r="B9501" s="17" t="s">
        <v>7790</v>
      </c>
      <c r="C9501" s="24">
        <v>33970</v>
      </c>
      <c r="D9501" s="13" t="s">
        <v>8465</v>
      </c>
      <c r="E9501" s="10" t="s">
        <v>2701</v>
      </c>
      <c r="F9501" s="10" t="s">
        <v>10915</v>
      </c>
      <c r="G9501" s="11" t="s">
        <v>2882</v>
      </c>
      <c r="H9501" s="2" t="s">
        <v>171</v>
      </c>
      <c r="L9501" s="18">
        <v>0</v>
      </c>
      <c r="Q9501" s="18">
        <v>0</v>
      </c>
      <c r="V9501" s="22">
        <f>2.88/5</f>
        <v>0.57599999999999996</v>
      </c>
      <c r="X9501" s="3">
        <v>3</v>
      </c>
      <c r="Z9501" s="23">
        <v>2.5</v>
      </c>
      <c r="AB9501" s="18">
        <f t="shared" si="296"/>
        <v>1993</v>
      </c>
      <c r="AC9501" s="22">
        <f t="shared" si="297"/>
        <v>0.58799999999999997</v>
      </c>
    </row>
    <row r="9502" spans="1:29" ht="38.25">
      <c r="A9502" s="8" t="s">
        <v>7531</v>
      </c>
      <c r="B9502" s="17" t="s">
        <v>7800</v>
      </c>
      <c r="C9502" s="12">
        <v>33970</v>
      </c>
      <c r="D9502" s="13" t="s">
        <v>8465</v>
      </c>
      <c r="E9502" s="10" t="s">
        <v>1259</v>
      </c>
      <c r="F9502" s="10" t="s">
        <v>2654</v>
      </c>
      <c r="G9502" s="11" t="s">
        <v>7530</v>
      </c>
      <c r="H9502" s="2" t="s">
        <v>67</v>
      </c>
      <c r="L9502" s="18">
        <v>0</v>
      </c>
      <c r="Q9502" s="18">
        <v>0</v>
      </c>
      <c r="U9502" s="22">
        <v>0.75</v>
      </c>
      <c r="V9502" s="22">
        <f>3.97/5</f>
        <v>0.79400000000000004</v>
      </c>
      <c r="X9502" s="3">
        <v>2</v>
      </c>
      <c r="Z9502" s="23">
        <v>4</v>
      </c>
      <c r="AB9502" s="18">
        <f t="shared" si="296"/>
        <v>1993</v>
      </c>
      <c r="AC9502" s="22">
        <f t="shared" si="297"/>
        <v>0.64800000000000002</v>
      </c>
    </row>
    <row r="9503" spans="1:29" ht="30">
      <c r="A9503" s="8" t="s">
        <v>12739</v>
      </c>
      <c r="B9503" s="17" t="s">
        <v>9581</v>
      </c>
      <c r="C9503" s="24">
        <v>33970</v>
      </c>
      <c r="D9503" s="13" t="s">
        <v>8466</v>
      </c>
      <c r="E9503" s="10" t="s">
        <v>12740</v>
      </c>
      <c r="F9503" s="10" t="s">
        <v>12740</v>
      </c>
      <c r="G9503" s="11" t="s">
        <v>12741</v>
      </c>
      <c r="H9503" s="2" t="s">
        <v>1720</v>
      </c>
      <c r="K9503" s="18">
        <v>2</v>
      </c>
      <c r="L9503" s="18">
        <v>0</v>
      </c>
      <c r="Q9503" s="18">
        <v>0</v>
      </c>
      <c r="V9503" s="22">
        <f>3.77/5</f>
        <v>0.754</v>
      </c>
      <c r="X9503" s="3">
        <v>2</v>
      </c>
      <c r="AB9503" s="18">
        <f t="shared" si="296"/>
        <v>1993</v>
      </c>
      <c r="AC9503" s="22">
        <f t="shared" si="297"/>
        <v>0.57699999999999996</v>
      </c>
    </row>
    <row r="9504" spans="1:29" ht="25.5">
      <c r="A9504" s="8" t="s">
        <v>2683</v>
      </c>
      <c r="B9504" s="17" t="s">
        <v>7752</v>
      </c>
      <c r="C9504" s="12">
        <v>33970</v>
      </c>
      <c r="D9504" s="13" t="s">
        <v>8465</v>
      </c>
      <c r="E9504" s="10" t="s">
        <v>1496</v>
      </c>
      <c r="F9504" s="10" t="s">
        <v>2697</v>
      </c>
      <c r="H9504" s="2" t="s">
        <v>67</v>
      </c>
      <c r="L9504" s="18">
        <v>0</v>
      </c>
      <c r="Q9504" s="18">
        <v>0</v>
      </c>
      <c r="U9504" s="22">
        <v>0.8</v>
      </c>
      <c r="V9504" s="22">
        <f>3.53/5</f>
        <v>0.70599999999999996</v>
      </c>
      <c r="X9504" s="3">
        <v>2</v>
      </c>
      <c r="Z9504" s="23">
        <v>4</v>
      </c>
      <c r="AB9504" s="18">
        <f t="shared" si="296"/>
        <v>1993</v>
      </c>
      <c r="AC9504" s="22">
        <f t="shared" si="297"/>
        <v>0.63533333333333342</v>
      </c>
    </row>
    <row r="9505" spans="1:29">
      <c r="A9505" s="8" t="s">
        <v>12113</v>
      </c>
      <c r="B9505" s="17" t="s">
        <v>7751</v>
      </c>
      <c r="C9505" s="24">
        <v>33970</v>
      </c>
      <c r="D9505" s="13" t="s">
        <v>8465</v>
      </c>
      <c r="E9505" s="10" t="s">
        <v>160</v>
      </c>
      <c r="F9505" s="10" t="s">
        <v>82</v>
      </c>
      <c r="G9505" s="11" t="s">
        <v>208</v>
      </c>
      <c r="H9505" s="2" t="s">
        <v>151</v>
      </c>
      <c r="L9505" s="18">
        <v>0</v>
      </c>
      <c r="Q9505" s="18">
        <v>0</v>
      </c>
      <c r="V9505" s="22">
        <f>2.74/5</f>
        <v>0.54800000000000004</v>
      </c>
      <c r="X9505" s="3">
        <v>3</v>
      </c>
      <c r="Z9505" s="23">
        <v>2.5</v>
      </c>
      <c r="AB9505" s="18">
        <f t="shared" si="296"/>
        <v>1993</v>
      </c>
      <c r="AC9505" s="22">
        <f t="shared" si="297"/>
        <v>0.57400000000000007</v>
      </c>
    </row>
    <row r="9506" spans="1:29" ht="25.5">
      <c r="A9506" s="8" t="s">
        <v>13831</v>
      </c>
      <c r="B9506" s="17" t="s">
        <v>7800</v>
      </c>
      <c r="C9506" s="24">
        <v>33970</v>
      </c>
      <c r="D9506" s="13" t="s">
        <v>8465</v>
      </c>
      <c r="E9506" s="10" t="s">
        <v>6923</v>
      </c>
      <c r="F9506" s="10" t="s">
        <v>6923</v>
      </c>
      <c r="H9506" s="2" t="s">
        <v>67</v>
      </c>
      <c r="L9506" s="18">
        <v>0</v>
      </c>
      <c r="Q9506" s="18">
        <v>0</v>
      </c>
      <c r="V9506" s="22">
        <f>3.68/5</f>
        <v>0.73599999999999999</v>
      </c>
      <c r="X9506" s="3">
        <v>2</v>
      </c>
      <c r="Z9506" s="23">
        <v>5</v>
      </c>
      <c r="AB9506" s="18">
        <f t="shared" si="296"/>
        <v>1993</v>
      </c>
      <c r="AC9506" s="22">
        <f t="shared" si="297"/>
        <v>0.56800000000000006</v>
      </c>
    </row>
    <row r="9507" spans="1:29">
      <c r="A9507" s="8" t="s">
        <v>338</v>
      </c>
      <c r="B9507" s="17" t="s">
        <v>6317</v>
      </c>
      <c r="C9507" s="12">
        <v>33970</v>
      </c>
      <c r="D9507" s="13" t="s">
        <v>8465</v>
      </c>
      <c r="E9507" s="10" t="s">
        <v>54</v>
      </c>
      <c r="F9507" s="10" t="s">
        <v>460</v>
      </c>
      <c r="G9507" s="11" t="s">
        <v>338</v>
      </c>
      <c r="H9507" s="2" t="s">
        <v>21</v>
      </c>
      <c r="L9507" s="18">
        <v>0</v>
      </c>
      <c r="Q9507" s="18">
        <v>0</v>
      </c>
      <c r="V9507" s="22">
        <f>3.67/5</f>
        <v>0.73399999999999999</v>
      </c>
      <c r="X9507" s="3">
        <v>2</v>
      </c>
      <c r="Z9507" s="23">
        <v>1</v>
      </c>
      <c r="AB9507" s="18">
        <f t="shared" si="296"/>
        <v>1993</v>
      </c>
      <c r="AC9507" s="22">
        <f t="shared" si="297"/>
        <v>0.56699999999999995</v>
      </c>
    </row>
    <row r="9508" spans="1:29" ht="25.5">
      <c r="A9508" s="8" t="s">
        <v>2898</v>
      </c>
      <c r="B9508" s="17" t="s">
        <v>7751</v>
      </c>
      <c r="C9508" s="12">
        <v>33970</v>
      </c>
      <c r="D9508" s="13" t="s">
        <v>8465</v>
      </c>
      <c r="E9508" s="10" t="s">
        <v>455</v>
      </c>
      <c r="F9508" s="10" t="s">
        <v>2670</v>
      </c>
      <c r="G9508" s="11" t="s">
        <v>1704</v>
      </c>
      <c r="H9508" s="2" t="s">
        <v>64</v>
      </c>
      <c r="L9508" s="18">
        <v>0</v>
      </c>
      <c r="Q9508" s="18">
        <v>0</v>
      </c>
      <c r="U9508" s="22">
        <v>0.65</v>
      </c>
      <c r="V9508" s="22">
        <f>3.99/5</f>
        <v>0.79800000000000004</v>
      </c>
      <c r="X9508" s="3">
        <v>2</v>
      </c>
      <c r="Z9508" s="23">
        <v>6</v>
      </c>
      <c r="AB9508" s="18">
        <f t="shared" si="296"/>
        <v>1993</v>
      </c>
      <c r="AC9508" s="22">
        <f t="shared" si="297"/>
        <v>0.61599999999999999</v>
      </c>
    </row>
    <row r="9509" spans="1:29">
      <c r="A9509" s="8" t="s">
        <v>233</v>
      </c>
      <c r="B9509" s="17" t="s">
        <v>7734</v>
      </c>
      <c r="C9509" s="12">
        <v>33970</v>
      </c>
      <c r="D9509" s="13" t="s">
        <v>8465</v>
      </c>
      <c r="E9509" s="10" t="s">
        <v>54</v>
      </c>
      <c r="F9509" s="10" t="s">
        <v>234</v>
      </c>
      <c r="G9509" s="11" t="s">
        <v>51</v>
      </c>
      <c r="H9509" s="2" t="s">
        <v>27</v>
      </c>
      <c r="L9509" s="18">
        <v>0</v>
      </c>
      <c r="Q9509" s="18">
        <v>0</v>
      </c>
      <c r="V9509" s="22">
        <f>3.61/5</f>
        <v>0.72199999999999998</v>
      </c>
      <c r="X9509" s="3">
        <v>2</v>
      </c>
      <c r="Z9509" s="23">
        <v>1.5</v>
      </c>
      <c r="AB9509" s="18">
        <f t="shared" si="296"/>
        <v>1993</v>
      </c>
      <c r="AC9509" s="22">
        <f t="shared" si="297"/>
        <v>0.56099999999999994</v>
      </c>
    </row>
    <row r="9510" spans="1:29">
      <c r="A9510" s="8" t="s">
        <v>351</v>
      </c>
      <c r="B9510" s="17" t="s">
        <v>6317</v>
      </c>
      <c r="C9510" s="12">
        <v>33970</v>
      </c>
      <c r="D9510" s="13" t="s">
        <v>8465</v>
      </c>
      <c r="E9510" s="10" t="s">
        <v>72</v>
      </c>
      <c r="F9510" s="10" t="s">
        <v>72</v>
      </c>
      <c r="H9510" s="2" t="s">
        <v>21</v>
      </c>
      <c r="L9510" s="18">
        <v>0</v>
      </c>
      <c r="Q9510" s="18">
        <v>0</v>
      </c>
      <c r="V9510" s="22">
        <f>3.56/5</f>
        <v>0.71199999999999997</v>
      </c>
      <c r="X9510" s="3">
        <v>2</v>
      </c>
      <c r="Z9510" s="23">
        <v>1.5</v>
      </c>
      <c r="AB9510" s="18">
        <f t="shared" si="296"/>
        <v>1993</v>
      </c>
      <c r="AC9510" s="22">
        <f t="shared" si="297"/>
        <v>0.55600000000000005</v>
      </c>
    </row>
    <row r="9511" spans="1:29" ht="30">
      <c r="A9511" s="8" t="s">
        <v>12764</v>
      </c>
      <c r="B9511" s="17" t="s">
        <v>9581</v>
      </c>
      <c r="C9511" s="24">
        <v>33970</v>
      </c>
      <c r="D9511" s="13" t="s">
        <v>8467</v>
      </c>
      <c r="E9511" s="10" t="s">
        <v>7826</v>
      </c>
      <c r="F9511" s="10" t="s">
        <v>12765</v>
      </c>
      <c r="H9511" s="2" t="s">
        <v>1720</v>
      </c>
      <c r="L9511" s="18">
        <v>0</v>
      </c>
      <c r="Q9511" s="18">
        <v>0</v>
      </c>
      <c r="V9511" s="22">
        <f>3.56/5</f>
        <v>0.71199999999999997</v>
      </c>
      <c r="X9511" s="3">
        <v>2</v>
      </c>
      <c r="AB9511" s="18">
        <f t="shared" si="296"/>
        <v>1993</v>
      </c>
      <c r="AC9511" s="22">
        <f t="shared" si="297"/>
        <v>0.55600000000000005</v>
      </c>
    </row>
    <row r="9512" spans="1:29">
      <c r="A9512" s="8" t="s">
        <v>2586</v>
      </c>
      <c r="B9512" s="17" t="s">
        <v>7751</v>
      </c>
      <c r="C9512" s="12">
        <v>33970</v>
      </c>
      <c r="D9512" s="13" t="s">
        <v>8465</v>
      </c>
      <c r="E9512" s="10" t="s">
        <v>2667</v>
      </c>
      <c r="F9512" s="10" t="s">
        <v>2668</v>
      </c>
      <c r="H9512" s="2" t="s">
        <v>21</v>
      </c>
      <c r="L9512" s="18">
        <v>0</v>
      </c>
      <c r="Q9512" s="18">
        <v>0</v>
      </c>
      <c r="U9512" s="22">
        <v>0.7</v>
      </c>
      <c r="V9512" s="22">
        <f>3.57/5</f>
        <v>0.71399999999999997</v>
      </c>
      <c r="X9512" s="3">
        <v>2</v>
      </c>
      <c r="Z9512" s="23">
        <v>1</v>
      </c>
      <c r="AB9512" s="18">
        <f t="shared" si="296"/>
        <v>1993</v>
      </c>
      <c r="AC9512" s="22">
        <f t="shared" si="297"/>
        <v>0.60466666666666669</v>
      </c>
    </row>
    <row r="9513" spans="1:29" ht="25.5">
      <c r="A9513" s="8" t="s">
        <v>8063</v>
      </c>
      <c r="B9513" s="17" t="s">
        <v>7751</v>
      </c>
      <c r="C9513" s="12">
        <v>33970</v>
      </c>
      <c r="D9513" s="13" t="s">
        <v>8465</v>
      </c>
      <c r="E9513" s="10" t="s">
        <v>455</v>
      </c>
      <c r="F9513" s="10" t="s">
        <v>1474</v>
      </c>
      <c r="G9513" s="11" t="s">
        <v>8064</v>
      </c>
      <c r="H9513" s="2" t="s">
        <v>64</v>
      </c>
      <c r="L9513" s="18">
        <v>0</v>
      </c>
      <c r="Q9513" s="18">
        <v>0</v>
      </c>
      <c r="U9513" s="22">
        <v>0.67500000000000004</v>
      </c>
      <c r="V9513" s="22">
        <f>3.6/5</f>
        <v>0.72</v>
      </c>
      <c r="X9513" s="3">
        <v>2</v>
      </c>
      <c r="Z9513" s="23">
        <v>1.5</v>
      </c>
      <c r="AB9513" s="18">
        <f t="shared" si="296"/>
        <v>1993</v>
      </c>
      <c r="AC9513" s="22">
        <f t="shared" si="297"/>
        <v>0.59833333333333327</v>
      </c>
    </row>
    <row r="9514" spans="1:29">
      <c r="A9514" s="8" t="s">
        <v>6667</v>
      </c>
      <c r="B9514" s="17" t="s">
        <v>7800</v>
      </c>
      <c r="C9514" s="12">
        <v>33970</v>
      </c>
      <c r="D9514" s="13" t="s">
        <v>8465</v>
      </c>
      <c r="E9514" s="10" t="s">
        <v>6668</v>
      </c>
      <c r="F9514" s="10" t="s">
        <v>6666</v>
      </c>
      <c r="G9514" s="11" t="s">
        <v>445</v>
      </c>
      <c r="H9514" s="2" t="s">
        <v>1720</v>
      </c>
      <c r="L9514" s="18">
        <v>0</v>
      </c>
      <c r="Q9514" s="18">
        <v>0</v>
      </c>
      <c r="V9514" s="22">
        <f>3.45/5</f>
        <v>0.69000000000000006</v>
      </c>
      <c r="X9514" s="3">
        <v>2</v>
      </c>
      <c r="AB9514" s="18">
        <f t="shared" si="296"/>
        <v>1993</v>
      </c>
      <c r="AC9514" s="22">
        <f t="shared" si="297"/>
        <v>0.54500000000000004</v>
      </c>
    </row>
    <row r="9515" spans="1:29">
      <c r="A9515" s="8" t="s">
        <v>14884</v>
      </c>
      <c r="B9515" s="17" t="s">
        <v>6317</v>
      </c>
      <c r="C9515" s="24">
        <v>33970</v>
      </c>
      <c r="D9515" s="13" t="s">
        <v>8465</v>
      </c>
      <c r="E9515" s="10" t="s">
        <v>455</v>
      </c>
      <c r="F9515" s="10" t="s">
        <v>455</v>
      </c>
      <c r="G9515" s="11" t="s">
        <v>442</v>
      </c>
      <c r="H9515" s="2" t="s">
        <v>1170</v>
      </c>
      <c r="L9515" s="18">
        <v>0</v>
      </c>
      <c r="Q9515" s="18">
        <v>0</v>
      </c>
      <c r="V9515" s="22">
        <f>3.39/5</f>
        <v>0.67800000000000005</v>
      </c>
      <c r="X9515" s="3">
        <v>2</v>
      </c>
      <c r="Z9515" s="23">
        <f>31/60</f>
        <v>0.51666666666666672</v>
      </c>
      <c r="AB9515" s="18">
        <f t="shared" si="296"/>
        <v>1993</v>
      </c>
      <c r="AC9515" s="22">
        <f t="shared" si="297"/>
        <v>0.53900000000000003</v>
      </c>
    </row>
    <row r="9516" spans="1:29">
      <c r="A9516" s="8" t="s">
        <v>14393</v>
      </c>
      <c r="B9516" s="17" t="s">
        <v>7752</v>
      </c>
      <c r="C9516" s="24">
        <v>33970</v>
      </c>
      <c r="D9516" s="13" t="s">
        <v>8465</v>
      </c>
      <c r="E9516" s="10" t="s">
        <v>10912</v>
      </c>
      <c r="F9516" s="10" t="s">
        <v>1379</v>
      </c>
      <c r="H9516" s="2" t="s">
        <v>1194</v>
      </c>
      <c r="L9516" s="18">
        <v>0</v>
      </c>
      <c r="Q9516" s="18">
        <v>0</v>
      </c>
      <c r="V9516" s="22">
        <f>3.35/5</f>
        <v>0.67</v>
      </c>
      <c r="X9516" s="3">
        <v>2</v>
      </c>
      <c r="Z9516" s="23">
        <f>25/60</f>
        <v>0.41666666666666669</v>
      </c>
      <c r="AB9516" s="18">
        <f t="shared" si="296"/>
        <v>1993</v>
      </c>
      <c r="AC9516" s="22">
        <f t="shared" si="297"/>
        <v>0.53500000000000003</v>
      </c>
    </row>
    <row r="9517" spans="1:29">
      <c r="A9517" s="8" t="s">
        <v>13761</v>
      </c>
      <c r="B9517" s="17" t="s">
        <v>7751</v>
      </c>
      <c r="C9517" s="24">
        <v>33970</v>
      </c>
      <c r="D9517" s="13" t="s">
        <v>8465</v>
      </c>
      <c r="E9517" s="10" t="s">
        <v>455</v>
      </c>
      <c r="F9517" s="10" t="s">
        <v>13762</v>
      </c>
      <c r="G9517" s="11" t="s">
        <v>13741</v>
      </c>
      <c r="H9517" s="2" t="s">
        <v>150</v>
      </c>
      <c r="L9517" s="18">
        <v>0</v>
      </c>
      <c r="Q9517" s="18">
        <v>0</v>
      </c>
      <c r="V9517" s="22">
        <f>3.35/5</f>
        <v>0.67</v>
      </c>
      <c r="X9517" s="3">
        <v>2</v>
      </c>
      <c r="Z9517" s="23">
        <f>25/60</f>
        <v>0.41666666666666669</v>
      </c>
      <c r="AB9517" s="18">
        <f t="shared" si="296"/>
        <v>1993</v>
      </c>
      <c r="AC9517" s="22">
        <f t="shared" si="297"/>
        <v>0.53500000000000003</v>
      </c>
    </row>
    <row r="9518" spans="1:29">
      <c r="A9518" s="8" t="s">
        <v>11882</v>
      </c>
      <c r="B9518" s="17" t="s">
        <v>7736</v>
      </c>
      <c r="C9518" s="24">
        <v>33970</v>
      </c>
      <c r="D9518" s="13" t="s">
        <v>8465</v>
      </c>
      <c r="E9518" s="10" t="s">
        <v>239</v>
      </c>
      <c r="F9518" s="10" t="s">
        <v>239</v>
      </c>
      <c r="G9518" s="11" t="s">
        <v>7640</v>
      </c>
      <c r="H9518" s="2" t="s">
        <v>171</v>
      </c>
      <c r="K9518" s="18">
        <v>2</v>
      </c>
      <c r="L9518" s="18">
        <v>0</v>
      </c>
      <c r="Q9518" s="18">
        <v>0</v>
      </c>
      <c r="V9518" s="22">
        <f>3.3/5</f>
        <v>0.65999999999999992</v>
      </c>
      <c r="X9518" s="3">
        <v>2</v>
      </c>
      <c r="Z9518" s="23">
        <v>3</v>
      </c>
      <c r="AB9518" s="18">
        <f t="shared" si="296"/>
        <v>1993</v>
      </c>
      <c r="AC9518" s="22">
        <f t="shared" si="297"/>
        <v>0.53</v>
      </c>
    </row>
    <row r="9519" spans="1:29">
      <c r="A9519" s="8" t="s">
        <v>7729</v>
      </c>
      <c r="B9519" s="17" t="s">
        <v>7751</v>
      </c>
      <c r="C9519" s="12">
        <v>33970</v>
      </c>
      <c r="D9519" s="13" t="s">
        <v>8465</v>
      </c>
      <c r="E9519" s="10" t="s">
        <v>2700</v>
      </c>
      <c r="F9519" s="10" t="s">
        <v>2700</v>
      </c>
      <c r="G9519" s="11" t="s">
        <v>1382</v>
      </c>
      <c r="H9519" s="2" t="s">
        <v>1383</v>
      </c>
      <c r="L9519" s="18">
        <v>0</v>
      </c>
      <c r="Q9519" s="18">
        <v>0</v>
      </c>
      <c r="U9519" s="22">
        <v>0.65</v>
      </c>
      <c r="V9519" s="22">
        <f>3.33/5</f>
        <v>0.66600000000000004</v>
      </c>
      <c r="X9519" s="3">
        <v>2</v>
      </c>
      <c r="Z9519" s="23">
        <v>2.5</v>
      </c>
      <c r="AB9519" s="18">
        <f t="shared" si="296"/>
        <v>1993</v>
      </c>
      <c r="AC9519" s="22">
        <f t="shared" si="297"/>
        <v>0.57200000000000006</v>
      </c>
    </row>
    <row r="9520" spans="1:29" ht="30">
      <c r="A9520" s="8" t="s">
        <v>14535</v>
      </c>
      <c r="B9520" s="17" t="s">
        <v>14536</v>
      </c>
      <c r="C9520" s="24">
        <v>33970</v>
      </c>
      <c r="D9520" s="13" t="s">
        <v>8465</v>
      </c>
      <c r="E9520" s="10" t="s">
        <v>14537</v>
      </c>
      <c r="F9520" s="10" t="s">
        <v>9109</v>
      </c>
      <c r="G9520" s="11" t="s">
        <v>14535</v>
      </c>
      <c r="H9520" s="2" t="s">
        <v>1170</v>
      </c>
      <c r="L9520" s="18">
        <v>0</v>
      </c>
      <c r="Q9520" s="18">
        <v>0</v>
      </c>
      <c r="V9520" s="22">
        <f>3.25/5</f>
        <v>0.65</v>
      </c>
      <c r="X9520" s="3">
        <v>2</v>
      </c>
      <c r="AB9520" s="18">
        <f t="shared" si="296"/>
        <v>1993</v>
      </c>
      <c r="AC9520" s="22">
        <f t="shared" si="297"/>
        <v>0.52500000000000002</v>
      </c>
    </row>
    <row r="9521" spans="1:29">
      <c r="A9521" s="8" t="s">
        <v>14392</v>
      </c>
      <c r="B9521" s="17" t="s">
        <v>7752</v>
      </c>
      <c r="C9521" s="24">
        <v>33970</v>
      </c>
      <c r="D9521" s="13" t="s">
        <v>8465</v>
      </c>
      <c r="E9521" s="10" t="s">
        <v>10912</v>
      </c>
      <c r="F9521" s="10" t="s">
        <v>1379</v>
      </c>
      <c r="H9521" s="2" t="s">
        <v>1194</v>
      </c>
      <c r="L9521" s="18">
        <v>0</v>
      </c>
      <c r="Q9521" s="18">
        <v>0</v>
      </c>
      <c r="V9521" s="22">
        <f>3.24/5</f>
        <v>0.64800000000000002</v>
      </c>
      <c r="X9521" s="3">
        <v>2</v>
      </c>
      <c r="Z9521" s="23">
        <f>31/60</f>
        <v>0.51666666666666672</v>
      </c>
      <c r="AB9521" s="18">
        <f t="shared" si="296"/>
        <v>1993</v>
      </c>
      <c r="AC9521" s="22">
        <f t="shared" si="297"/>
        <v>0.52400000000000002</v>
      </c>
    </row>
    <row r="9522" spans="1:29">
      <c r="A9522" s="8" t="s">
        <v>11529</v>
      </c>
      <c r="B9522" s="17" t="s">
        <v>7752</v>
      </c>
      <c r="C9522" s="24">
        <v>33970</v>
      </c>
      <c r="D9522" s="13" t="s">
        <v>8465</v>
      </c>
      <c r="E9522" s="10" t="s">
        <v>455</v>
      </c>
      <c r="F9522" s="10" t="s">
        <v>11530</v>
      </c>
      <c r="G9522" s="11" t="s">
        <v>357</v>
      </c>
      <c r="H9522" s="2" t="s">
        <v>7594</v>
      </c>
      <c r="L9522" s="18">
        <v>0</v>
      </c>
      <c r="Q9522" s="18">
        <v>0</v>
      </c>
      <c r="V9522" s="22">
        <f>3.22/5</f>
        <v>0.64400000000000002</v>
      </c>
      <c r="X9522" s="3">
        <v>2</v>
      </c>
      <c r="Z9522" s="23">
        <f>15/60</f>
        <v>0.25</v>
      </c>
      <c r="AB9522" s="18">
        <f t="shared" si="296"/>
        <v>1993</v>
      </c>
      <c r="AC9522" s="22">
        <f t="shared" si="297"/>
        <v>0.52200000000000002</v>
      </c>
    </row>
    <row r="9523" spans="1:29" ht="25.5">
      <c r="A9523" s="8" t="s">
        <v>14805</v>
      </c>
      <c r="B9523" s="17" t="s">
        <v>6317</v>
      </c>
      <c r="C9523" s="24">
        <v>33970</v>
      </c>
      <c r="D9523" s="13" t="s">
        <v>8463</v>
      </c>
      <c r="E9523" s="10" t="s">
        <v>455</v>
      </c>
      <c r="F9523" s="10" t="s">
        <v>10994</v>
      </c>
      <c r="G9523" s="11" t="s">
        <v>1688</v>
      </c>
      <c r="H9523" s="2" t="s">
        <v>1040</v>
      </c>
      <c r="K9523" s="18">
        <v>0</v>
      </c>
      <c r="L9523" s="18">
        <v>0</v>
      </c>
      <c r="Q9523" s="18">
        <v>0</v>
      </c>
      <c r="V9523" s="22">
        <f>3.18/5</f>
        <v>0.63600000000000001</v>
      </c>
      <c r="X9523" s="3">
        <v>2</v>
      </c>
      <c r="Z9523" s="23">
        <f>27/60</f>
        <v>0.45</v>
      </c>
      <c r="AB9523" s="18">
        <f t="shared" si="296"/>
        <v>1993</v>
      </c>
      <c r="AC9523" s="22">
        <f t="shared" si="297"/>
        <v>0.51800000000000002</v>
      </c>
    </row>
    <row r="9524" spans="1:29" ht="25.5">
      <c r="A9524" s="8" t="s">
        <v>13530</v>
      </c>
      <c r="B9524" s="17" t="s">
        <v>7790</v>
      </c>
      <c r="C9524" s="13">
        <v>33970</v>
      </c>
      <c r="D9524" s="13" t="s">
        <v>8465</v>
      </c>
      <c r="E9524" s="10" t="s">
        <v>1468</v>
      </c>
      <c r="F9524" s="10" t="s">
        <v>13528</v>
      </c>
      <c r="G9524" s="11" t="s">
        <v>13526</v>
      </c>
      <c r="H9524" s="2" t="s">
        <v>1377</v>
      </c>
      <c r="L9524" s="18">
        <v>0</v>
      </c>
      <c r="Q9524" s="18">
        <v>0</v>
      </c>
      <c r="V9524" s="22">
        <f>3.1/5</f>
        <v>0.62</v>
      </c>
      <c r="X9524" s="3">
        <v>2</v>
      </c>
      <c r="Z9524" s="23">
        <v>6</v>
      </c>
      <c r="AB9524" s="18">
        <f t="shared" si="296"/>
        <v>1993</v>
      </c>
      <c r="AC9524" s="22">
        <f t="shared" si="297"/>
        <v>0.51</v>
      </c>
    </row>
    <row r="9525" spans="1:29" ht="30">
      <c r="A9525" s="8" t="s">
        <v>2555</v>
      </c>
      <c r="B9525" s="17" t="s">
        <v>7751</v>
      </c>
      <c r="C9525" s="12">
        <v>33970</v>
      </c>
      <c r="D9525" s="13" t="s">
        <v>8465</v>
      </c>
      <c r="E9525" s="10" t="s">
        <v>455</v>
      </c>
      <c r="F9525" s="10" t="s">
        <v>2652</v>
      </c>
      <c r="H9525" s="2" t="s">
        <v>153</v>
      </c>
      <c r="L9525" s="18">
        <v>0</v>
      </c>
      <c r="Q9525" s="18">
        <v>0</v>
      </c>
      <c r="U9525" s="22">
        <v>0.61</v>
      </c>
      <c r="V9525" s="22">
        <f>3.04/5</f>
        <v>0.60799999999999998</v>
      </c>
      <c r="X9525" s="3">
        <v>2</v>
      </c>
      <c r="Z9525" s="23">
        <v>1</v>
      </c>
      <c r="AB9525" s="18">
        <f t="shared" si="296"/>
        <v>1993</v>
      </c>
      <c r="AC9525" s="22">
        <f t="shared" si="297"/>
        <v>0.53933333333333333</v>
      </c>
    </row>
    <row r="9526" spans="1:29">
      <c r="A9526" s="8" t="s">
        <v>12418</v>
      </c>
      <c r="B9526" s="17" t="s">
        <v>7800</v>
      </c>
      <c r="C9526" s="24">
        <v>33970</v>
      </c>
      <c r="D9526" s="13" t="s">
        <v>8467</v>
      </c>
      <c r="E9526" s="10" t="s">
        <v>12419</v>
      </c>
      <c r="F9526" s="10" t="s">
        <v>12419</v>
      </c>
      <c r="G9526" s="11" t="s">
        <v>12418</v>
      </c>
      <c r="H9526" s="2" t="s">
        <v>67</v>
      </c>
      <c r="K9526" s="18">
        <v>2</v>
      </c>
      <c r="L9526" s="18">
        <v>0</v>
      </c>
      <c r="Q9526" s="18">
        <v>0</v>
      </c>
      <c r="V9526" s="22">
        <f>3/5</f>
        <v>0.6</v>
      </c>
      <c r="X9526" s="3">
        <v>2</v>
      </c>
      <c r="AB9526" s="18">
        <f t="shared" si="296"/>
        <v>1993</v>
      </c>
      <c r="AC9526" s="22">
        <f t="shared" si="297"/>
        <v>0.5</v>
      </c>
    </row>
    <row r="9527" spans="1:29">
      <c r="A9527" s="8" t="s">
        <v>411</v>
      </c>
      <c r="B9527" s="17" t="s">
        <v>6317</v>
      </c>
      <c r="C9527" s="12">
        <v>33970</v>
      </c>
      <c r="D9527" s="13" t="s">
        <v>8463</v>
      </c>
      <c r="E9527" s="10" t="s">
        <v>155</v>
      </c>
      <c r="F9527" s="10" t="s">
        <v>155</v>
      </c>
      <c r="H9527" s="2" t="s">
        <v>153</v>
      </c>
      <c r="K9527" s="18">
        <v>0</v>
      </c>
      <c r="L9527" s="18">
        <v>0</v>
      </c>
      <c r="Q9527" s="18">
        <v>0</v>
      </c>
      <c r="V9527" s="22">
        <f>2.88/5</f>
        <v>0.57599999999999996</v>
      </c>
      <c r="X9527" s="3">
        <v>2</v>
      </c>
      <c r="Z9527" s="23">
        <f>55/60</f>
        <v>0.91666666666666663</v>
      </c>
      <c r="AB9527" s="18">
        <f t="shared" si="296"/>
        <v>1993</v>
      </c>
      <c r="AC9527" s="22">
        <f t="shared" si="297"/>
        <v>0.48799999999999999</v>
      </c>
    </row>
    <row r="9528" spans="1:29" ht="25.5">
      <c r="A9528" s="8" t="s">
        <v>12427</v>
      </c>
      <c r="B9528" s="17" t="s">
        <v>7792</v>
      </c>
      <c r="C9528" s="24">
        <v>33970</v>
      </c>
      <c r="D9528" s="13" t="s">
        <v>8465</v>
      </c>
      <c r="E9528" s="10" t="s">
        <v>231</v>
      </c>
      <c r="F9528" s="10" t="s">
        <v>12426</v>
      </c>
      <c r="H9528" s="2" t="s">
        <v>1061</v>
      </c>
      <c r="L9528" s="18">
        <v>0</v>
      </c>
      <c r="Q9528" s="18">
        <v>0</v>
      </c>
      <c r="V9528" s="22">
        <f>2.86/5</f>
        <v>0.57199999999999995</v>
      </c>
      <c r="X9528" s="3">
        <v>2</v>
      </c>
      <c r="Z9528" s="23">
        <v>2.5</v>
      </c>
      <c r="AB9528" s="18">
        <f t="shared" si="296"/>
        <v>1993</v>
      </c>
      <c r="AC9528" s="22">
        <f t="shared" si="297"/>
        <v>0.48599999999999999</v>
      </c>
    </row>
    <row r="9529" spans="1:29" ht="25.5">
      <c r="A9529" s="8" t="s">
        <v>14806</v>
      </c>
      <c r="B9529" s="17" t="s">
        <v>6317</v>
      </c>
      <c r="C9529" s="24">
        <v>33970</v>
      </c>
      <c r="D9529" s="13" t="s">
        <v>8463</v>
      </c>
      <c r="E9529" s="10" t="s">
        <v>455</v>
      </c>
      <c r="F9529" s="10" t="s">
        <v>455</v>
      </c>
      <c r="G9529" s="11" t="s">
        <v>1688</v>
      </c>
      <c r="H9529" s="2" t="s">
        <v>21</v>
      </c>
      <c r="K9529" s="18">
        <v>0</v>
      </c>
      <c r="L9529" s="18">
        <v>0</v>
      </c>
      <c r="Q9529" s="18">
        <v>0</v>
      </c>
      <c r="V9529" s="22">
        <f>2.67/5</f>
        <v>0.53400000000000003</v>
      </c>
      <c r="X9529" s="3">
        <v>2</v>
      </c>
      <c r="Z9529" s="23">
        <f>5/60</f>
        <v>8.3333333333333329E-2</v>
      </c>
      <c r="AB9529" s="18">
        <f t="shared" si="296"/>
        <v>1993</v>
      </c>
      <c r="AC9529" s="22">
        <f t="shared" si="297"/>
        <v>0.46700000000000003</v>
      </c>
    </row>
    <row r="9530" spans="1:29">
      <c r="A9530" s="8" t="s">
        <v>111</v>
      </c>
      <c r="B9530" s="17" t="s">
        <v>7786</v>
      </c>
      <c r="C9530" s="12">
        <v>33970</v>
      </c>
      <c r="D9530" s="13" t="s">
        <v>8465</v>
      </c>
      <c r="E9530" s="10" t="s">
        <v>2835</v>
      </c>
      <c r="F9530" s="10" t="s">
        <v>2835</v>
      </c>
      <c r="G9530" s="11" t="s">
        <v>111</v>
      </c>
      <c r="H9530" s="2" t="s">
        <v>153</v>
      </c>
      <c r="L9530" s="18">
        <v>0</v>
      </c>
      <c r="Q9530" s="18">
        <v>0</v>
      </c>
      <c r="V9530" s="22">
        <f>2.58/5</f>
        <v>0.51600000000000001</v>
      </c>
      <c r="X9530" s="3">
        <v>2</v>
      </c>
      <c r="Z9530" s="23">
        <v>1</v>
      </c>
      <c r="AB9530" s="18">
        <f t="shared" si="296"/>
        <v>1993</v>
      </c>
      <c r="AC9530" s="22">
        <f t="shared" si="297"/>
        <v>0.45800000000000002</v>
      </c>
    </row>
    <row r="9531" spans="1:29">
      <c r="A9531" s="8" t="s">
        <v>111</v>
      </c>
      <c r="B9531" s="17" t="s">
        <v>7751</v>
      </c>
      <c r="C9531" s="12">
        <v>33970</v>
      </c>
      <c r="D9531" s="13" t="s">
        <v>8465</v>
      </c>
      <c r="E9531" s="10" t="s">
        <v>2653</v>
      </c>
      <c r="F9531" s="10" t="s">
        <v>82</v>
      </c>
      <c r="G9531" s="11" t="s">
        <v>111</v>
      </c>
      <c r="H9531" s="2" t="s">
        <v>153</v>
      </c>
      <c r="L9531" s="18">
        <v>0</v>
      </c>
      <c r="Q9531" s="18">
        <v>0</v>
      </c>
      <c r="U9531" s="22">
        <v>0.45</v>
      </c>
      <c r="V9531" s="22">
        <f>2.87/5</f>
        <v>0.57400000000000007</v>
      </c>
      <c r="X9531" s="3">
        <v>2</v>
      </c>
      <c r="Z9531" s="23">
        <v>1</v>
      </c>
      <c r="AB9531" s="18">
        <f t="shared" si="296"/>
        <v>1993</v>
      </c>
      <c r="AC9531" s="22">
        <f t="shared" si="297"/>
        <v>0.47466666666666663</v>
      </c>
    </row>
    <row r="9532" spans="1:29">
      <c r="A9532" s="8" t="s">
        <v>13245</v>
      </c>
      <c r="B9532" s="17" t="s">
        <v>7800</v>
      </c>
      <c r="C9532" s="24">
        <v>33970</v>
      </c>
      <c r="D9532" s="13" t="s">
        <v>8465</v>
      </c>
      <c r="E9532" s="10" t="s">
        <v>13246</v>
      </c>
      <c r="F9532" s="10" t="s">
        <v>13247</v>
      </c>
      <c r="H9532" s="2" t="s">
        <v>67</v>
      </c>
      <c r="L9532" s="18">
        <v>0</v>
      </c>
      <c r="Q9532" s="18">
        <v>0</v>
      </c>
      <c r="V9532" s="22">
        <f>2.5/5</f>
        <v>0.5</v>
      </c>
      <c r="W9532" s="14" t="s">
        <v>13076</v>
      </c>
      <c r="X9532" s="3">
        <v>2</v>
      </c>
      <c r="Z9532" s="23">
        <v>1.5</v>
      </c>
      <c r="AB9532" s="18">
        <f t="shared" si="296"/>
        <v>1993</v>
      </c>
      <c r="AC9532" s="22">
        <f t="shared" si="297"/>
        <v>0.45</v>
      </c>
    </row>
    <row r="9533" spans="1:29">
      <c r="A9533" s="8" t="s">
        <v>111</v>
      </c>
      <c r="B9533" s="17" t="s">
        <v>7756</v>
      </c>
      <c r="C9533" s="12">
        <v>33970</v>
      </c>
      <c r="D9533" s="13" t="s">
        <v>8465</v>
      </c>
      <c r="E9533" s="10" t="s">
        <v>1259</v>
      </c>
      <c r="F9533" s="10" t="s">
        <v>1259</v>
      </c>
      <c r="G9533" s="11" t="s">
        <v>111</v>
      </c>
      <c r="H9533" s="2" t="s">
        <v>153</v>
      </c>
      <c r="L9533" s="18">
        <v>0</v>
      </c>
      <c r="Q9533" s="18">
        <v>0</v>
      </c>
      <c r="V9533" s="22">
        <f>2.36/5</f>
        <v>0.47199999999999998</v>
      </c>
      <c r="X9533" s="3">
        <v>2</v>
      </c>
      <c r="Z9533" s="23">
        <v>1</v>
      </c>
      <c r="AB9533" s="18">
        <f t="shared" si="296"/>
        <v>1993</v>
      </c>
      <c r="AC9533" s="22">
        <f t="shared" si="297"/>
        <v>0.436</v>
      </c>
    </row>
    <row r="9534" spans="1:29">
      <c r="A9534" s="8" t="s">
        <v>7621</v>
      </c>
      <c r="B9534" s="17" t="s">
        <v>7745</v>
      </c>
      <c r="C9534" s="12">
        <v>33970</v>
      </c>
      <c r="D9534" s="13" t="s">
        <v>8465</v>
      </c>
      <c r="E9534" s="10" t="s">
        <v>1263</v>
      </c>
      <c r="F9534" s="10" t="s">
        <v>1258</v>
      </c>
      <c r="G9534" s="11" t="s">
        <v>442</v>
      </c>
      <c r="H9534" s="2" t="s">
        <v>2138</v>
      </c>
      <c r="L9534" s="18">
        <v>0</v>
      </c>
      <c r="Q9534" s="18">
        <v>0</v>
      </c>
      <c r="U9534" s="22">
        <v>0.44</v>
      </c>
      <c r="V9534" s="22">
        <f>2.42/5</f>
        <v>0.48399999999999999</v>
      </c>
      <c r="X9534" s="3">
        <v>2</v>
      </c>
      <c r="Z9534" s="23">
        <v>2.5</v>
      </c>
      <c r="AB9534" s="18">
        <f t="shared" si="296"/>
        <v>1993</v>
      </c>
      <c r="AC9534" s="22">
        <f t="shared" si="297"/>
        <v>0.4413333333333333</v>
      </c>
    </row>
    <row r="9535" spans="1:29" ht="25.5">
      <c r="A9535" s="8" t="s">
        <v>13203</v>
      </c>
      <c r="B9535" s="17" t="s">
        <v>7745</v>
      </c>
      <c r="C9535" s="12">
        <v>33970</v>
      </c>
      <c r="D9535" s="13" t="s">
        <v>8465</v>
      </c>
      <c r="E9535" s="10" t="s">
        <v>13204</v>
      </c>
      <c r="F9535" s="10" t="s">
        <v>1328</v>
      </c>
      <c r="G9535" s="11" t="s">
        <v>663</v>
      </c>
      <c r="H9535" s="2" t="s">
        <v>64</v>
      </c>
      <c r="L9535" s="18">
        <v>0</v>
      </c>
      <c r="Q9535" s="18">
        <v>0</v>
      </c>
      <c r="V9535" s="22">
        <f>2.25/5</f>
        <v>0.45</v>
      </c>
      <c r="X9535" s="3">
        <v>2</v>
      </c>
      <c r="Z9535" s="23">
        <v>1.5</v>
      </c>
      <c r="AB9535" s="18">
        <f t="shared" si="296"/>
        <v>1993</v>
      </c>
      <c r="AC9535" s="22">
        <f t="shared" si="297"/>
        <v>0.42500000000000004</v>
      </c>
    </row>
    <row r="9536" spans="1:29" ht="25.5">
      <c r="A9536" s="8" t="s">
        <v>14896</v>
      </c>
      <c r="B9536" s="17" t="s">
        <v>6317</v>
      </c>
      <c r="C9536" s="24">
        <v>33970</v>
      </c>
      <c r="D9536" s="13" t="s">
        <v>8465</v>
      </c>
      <c r="E9536" s="10" t="s">
        <v>14895</v>
      </c>
      <c r="F9536" s="10" t="s">
        <v>14895</v>
      </c>
      <c r="G9536" s="11" t="s">
        <v>14894</v>
      </c>
      <c r="H9536" s="2" t="s">
        <v>1170</v>
      </c>
      <c r="L9536" s="18">
        <v>0</v>
      </c>
      <c r="Q9536" s="18">
        <v>0</v>
      </c>
      <c r="X9536" s="3">
        <v>2</v>
      </c>
      <c r="Z9536" s="23">
        <f>43/60</f>
        <v>0.71666666666666667</v>
      </c>
      <c r="AB9536" s="18">
        <f t="shared" si="296"/>
        <v>1993</v>
      </c>
      <c r="AC9536" s="22">
        <f t="shared" si="297"/>
        <v>0.4</v>
      </c>
    </row>
    <row r="9537" spans="1:29">
      <c r="A9537" s="8" t="s">
        <v>13248</v>
      </c>
      <c r="B9537" s="17" t="s">
        <v>7800</v>
      </c>
      <c r="C9537" s="24">
        <v>33970</v>
      </c>
      <c r="D9537" s="13" t="s">
        <v>8465</v>
      </c>
      <c r="E9537" s="10" t="s">
        <v>13246</v>
      </c>
      <c r="F9537" s="10" t="s">
        <v>13247</v>
      </c>
      <c r="H9537" s="2" t="s">
        <v>1194</v>
      </c>
      <c r="L9537" s="18">
        <v>0</v>
      </c>
      <c r="Q9537" s="18">
        <v>0</v>
      </c>
      <c r="V9537" s="22">
        <f>0.5/5</f>
        <v>0.1</v>
      </c>
      <c r="W9537" s="14" t="s">
        <v>13076</v>
      </c>
      <c r="X9537" s="3">
        <v>2</v>
      </c>
      <c r="AB9537" s="18">
        <f t="shared" ref="AB9537:AB9600" si="298">IFERROR(YEAR(C9537), "Early Access")</f>
        <v>1993</v>
      </c>
      <c r="AC9537" s="22">
        <f t="shared" ref="AC9537:AC9600" si="299">AVERAGE(T9537, U9537, V9537, IF(ISBLANK(X9537), X9537, X9537/5))</f>
        <v>0.25</v>
      </c>
    </row>
    <row r="9538" spans="1:29" ht="30">
      <c r="A9538" s="8" t="s">
        <v>15746</v>
      </c>
      <c r="B9538" s="17" t="s">
        <v>7800</v>
      </c>
      <c r="C9538" s="24">
        <v>33970</v>
      </c>
      <c r="D9538" s="13" t="s">
        <v>8465</v>
      </c>
      <c r="E9538" s="10" t="s">
        <v>6668</v>
      </c>
      <c r="F9538" s="10" t="s">
        <v>7058</v>
      </c>
      <c r="G9538" s="11" t="s">
        <v>445</v>
      </c>
      <c r="H9538" s="2" t="s">
        <v>1518</v>
      </c>
      <c r="L9538" s="18">
        <v>0</v>
      </c>
      <c r="Q9538" s="18">
        <v>0</v>
      </c>
      <c r="V9538" s="22">
        <f>3.62/5</f>
        <v>0.72399999999999998</v>
      </c>
      <c r="X9538" s="3">
        <v>2</v>
      </c>
      <c r="Z9538" s="23">
        <v>5</v>
      </c>
      <c r="AB9538" s="18">
        <f t="shared" si="298"/>
        <v>1993</v>
      </c>
      <c r="AC9538" s="22">
        <f t="shared" si="299"/>
        <v>0.56200000000000006</v>
      </c>
    </row>
    <row r="9539" spans="1:29">
      <c r="A9539" s="8" t="s">
        <v>15883</v>
      </c>
      <c r="B9539" s="17" t="s">
        <v>7751</v>
      </c>
      <c r="C9539" s="24">
        <v>33970</v>
      </c>
      <c r="D9539" s="13" t="s">
        <v>8465</v>
      </c>
      <c r="E9539" s="10" t="s">
        <v>1513</v>
      </c>
      <c r="F9539" s="10" t="s">
        <v>1513</v>
      </c>
      <c r="G9539" s="11" t="s">
        <v>15868</v>
      </c>
      <c r="H9539" s="2" t="s">
        <v>1267</v>
      </c>
      <c r="L9539" s="18">
        <v>0</v>
      </c>
      <c r="Q9539" s="18">
        <v>0</v>
      </c>
      <c r="V9539" s="22">
        <f>3.54/5</f>
        <v>0.70799999999999996</v>
      </c>
      <c r="X9539" s="3">
        <v>2</v>
      </c>
      <c r="AB9539" s="18">
        <f t="shared" si="298"/>
        <v>1993</v>
      </c>
      <c r="AC9539" s="22">
        <f t="shared" si="299"/>
        <v>0.55400000000000005</v>
      </c>
    </row>
    <row r="9540" spans="1:29" ht="30">
      <c r="A9540" s="8" t="s">
        <v>15884</v>
      </c>
      <c r="B9540" s="17" t="s">
        <v>9581</v>
      </c>
      <c r="C9540" s="24">
        <v>33970</v>
      </c>
      <c r="D9540" s="13" t="s">
        <v>8465</v>
      </c>
      <c r="E9540" s="10" t="s">
        <v>1513</v>
      </c>
      <c r="F9540" s="10" t="s">
        <v>15885</v>
      </c>
      <c r="G9540" s="11" t="s">
        <v>15868</v>
      </c>
      <c r="H9540" s="2" t="s">
        <v>1267</v>
      </c>
      <c r="L9540" s="18">
        <v>0</v>
      </c>
      <c r="Q9540" s="18">
        <v>0</v>
      </c>
      <c r="V9540" s="22">
        <f>3.69/5</f>
        <v>0.73799999999999999</v>
      </c>
      <c r="X9540" s="3">
        <v>2</v>
      </c>
      <c r="AB9540" s="18">
        <f t="shared" si="298"/>
        <v>1993</v>
      </c>
      <c r="AC9540" s="22">
        <f t="shared" si="299"/>
        <v>0.56899999999999995</v>
      </c>
    </row>
    <row r="9541" spans="1:29" ht="30">
      <c r="A9541" s="8" t="s">
        <v>15895</v>
      </c>
      <c r="B9541" s="17" t="s">
        <v>7750</v>
      </c>
      <c r="C9541" s="24">
        <v>33970</v>
      </c>
      <c r="D9541" s="13" t="s">
        <v>8467</v>
      </c>
      <c r="E9541" s="10" t="s">
        <v>455</v>
      </c>
      <c r="F9541" s="10" t="s">
        <v>14882</v>
      </c>
      <c r="G9541" s="11" t="s">
        <v>15895</v>
      </c>
      <c r="H9541" s="2" t="s">
        <v>56</v>
      </c>
      <c r="L9541" s="18">
        <v>0</v>
      </c>
      <c r="Q9541" s="18">
        <v>0</v>
      </c>
      <c r="V9541" s="22">
        <f>2.85/5</f>
        <v>0.57000000000000006</v>
      </c>
      <c r="X9541" s="3">
        <v>2</v>
      </c>
      <c r="Z9541" s="23">
        <v>2.5</v>
      </c>
      <c r="AB9541" s="18">
        <f t="shared" si="298"/>
        <v>1993</v>
      </c>
      <c r="AC9541" s="22">
        <f t="shared" si="299"/>
        <v>0.48500000000000004</v>
      </c>
    </row>
    <row r="9542" spans="1:29">
      <c r="A9542" s="8" t="s">
        <v>15929</v>
      </c>
      <c r="B9542" s="17" t="s">
        <v>7756</v>
      </c>
      <c r="C9542" s="24">
        <v>33970</v>
      </c>
      <c r="D9542" s="13" t="s">
        <v>8467</v>
      </c>
      <c r="E9542" s="10" t="s">
        <v>455</v>
      </c>
      <c r="F9542" s="10" t="s">
        <v>167</v>
      </c>
      <c r="G9542" s="11" t="s">
        <v>1315</v>
      </c>
      <c r="H9542" s="2" t="s">
        <v>21</v>
      </c>
      <c r="L9542" s="18">
        <v>0</v>
      </c>
      <c r="Q9542" s="18">
        <v>0</v>
      </c>
      <c r="V9542" s="22">
        <f>3.45/5</f>
        <v>0.69000000000000006</v>
      </c>
      <c r="X9542" s="3">
        <v>2</v>
      </c>
      <c r="Z9542" s="23">
        <f>45/60</f>
        <v>0.75</v>
      </c>
      <c r="AB9542" s="18">
        <f t="shared" si="298"/>
        <v>1993</v>
      </c>
      <c r="AC9542" s="22">
        <f t="shared" si="299"/>
        <v>0.54500000000000004</v>
      </c>
    </row>
    <row r="9543" spans="1:29" ht="30">
      <c r="A9543" s="8" t="s">
        <v>16037</v>
      </c>
      <c r="B9543" s="17" t="s">
        <v>9581</v>
      </c>
      <c r="C9543" s="12">
        <v>33970</v>
      </c>
      <c r="D9543" s="13" t="s">
        <v>8465</v>
      </c>
      <c r="E9543" s="10" t="s">
        <v>7826</v>
      </c>
      <c r="F9543" s="10" t="s">
        <v>1327</v>
      </c>
      <c r="G9543" s="11" t="s">
        <v>16035</v>
      </c>
      <c r="H9543" s="2" t="s">
        <v>31</v>
      </c>
      <c r="L9543" s="18">
        <v>0</v>
      </c>
      <c r="Q9543" s="18">
        <v>0</v>
      </c>
      <c r="V9543" s="22">
        <f>4/5</f>
        <v>0.8</v>
      </c>
      <c r="X9543" s="3">
        <v>2</v>
      </c>
      <c r="Z9543" s="23">
        <v>11</v>
      </c>
      <c r="AB9543" s="18">
        <f t="shared" si="298"/>
        <v>1993</v>
      </c>
      <c r="AC9543" s="22">
        <f t="shared" si="299"/>
        <v>0.60000000000000009</v>
      </c>
    </row>
    <row r="9544" spans="1:29" ht="30">
      <c r="A9544" s="8" t="s">
        <v>16051</v>
      </c>
      <c r="B9544" s="17" t="s">
        <v>9581</v>
      </c>
      <c r="C9544" s="24">
        <v>33970</v>
      </c>
      <c r="D9544" s="13" t="s">
        <v>8467</v>
      </c>
      <c r="E9544" s="10" t="s">
        <v>7826</v>
      </c>
      <c r="F9544" s="10" t="s">
        <v>9611</v>
      </c>
      <c r="G9544" s="11" t="s">
        <v>16048</v>
      </c>
      <c r="H9544" s="2" t="s">
        <v>56</v>
      </c>
      <c r="L9544" s="18">
        <v>0</v>
      </c>
      <c r="Q9544" s="18">
        <v>0</v>
      </c>
      <c r="V9544" s="22">
        <f>4.5/5</f>
        <v>0.9</v>
      </c>
      <c r="X9544" s="3">
        <v>2</v>
      </c>
      <c r="Z9544" s="23">
        <v>1.5</v>
      </c>
      <c r="AB9544" s="18">
        <f t="shared" si="298"/>
        <v>1993</v>
      </c>
      <c r="AC9544" s="22">
        <f t="shared" si="299"/>
        <v>0.65</v>
      </c>
    </row>
    <row r="9545" spans="1:29">
      <c r="A9545" s="8" t="s">
        <v>1748</v>
      </c>
      <c r="B9545" s="17" t="s">
        <v>7745</v>
      </c>
      <c r="C9545" s="12">
        <v>34304</v>
      </c>
      <c r="D9545" s="13" t="s">
        <v>8465</v>
      </c>
      <c r="E9545" s="10" t="s">
        <v>73</v>
      </c>
      <c r="F9545" s="10" t="s">
        <v>1745</v>
      </c>
      <c r="G9545" s="11" t="s">
        <v>89</v>
      </c>
      <c r="H9545" s="2" t="s">
        <v>56</v>
      </c>
      <c r="L9545" s="18">
        <v>0</v>
      </c>
      <c r="Q9545" s="18">
        <v>1</v>
      </c>
      <c r="T9545" s="22">
        <v>0.7</v>
      </c>
      <c r="U9545" s="22">
        <v>0.74</v>
      </c>
      <c r="V9545" s="22">
        <f>3.94/5</f>
        <v>0.78800000000000003</v>
      </c>
      <c r="AB9545" s="18">
        <f t="shared" si="298"/>
        <v>1993</v>
      </c>
      <c r="AC9545" s="22">
        <f t="shared" si="299"/>
        <v>0.74266666666666659</v>
      </c>
    </row>
    <row r="9546" spans="1:29" ht="25.5">
      <c r="A9546" s="8" t="s">
        <v>2515</v>
      </c>
      <c r="B9546" s="17" t="s">
        <v>7751</v>
      </c>
      <c r="C9546" s="13">
        <v>34299</v>
      </c>
      <c r="D9546" s="13" t="s">
        <v>8465</v>
      </c>
      <c r="E9546" s="10" t="s">
        <v>455</v>
      </c>
      <c r="F9546" s="10" t="s">
        <v>167</v>
      </c>
      <c r="G9546" s="11" t="s">
        <v>1688</v>
      </c>
      <c r="H9546" s="2" t="s">
        <v>78</v>
      </c>
      <c r="L9546" s="18">
        <v>0</v>
      </c>
      <c r="Q9546" s="18">
        <v>1</v>
      </c>
      <c r="T9546" s="22">
        <v>0.7</v>
      </c>
      <c r="U9546" s="22">
        <v>0.75</v>
      </c>
      <c r="V9546" s="22">
        <f>3.81/5</f>
        <v>0.76200000000000001</v>
      </c>
      <c r="AB9546" s="18">
        <f t="shared" si="298"/>
        <v>1993</v>
      </c>
      <c r="AC9546" s="22">
        <f t="shared" si="299"/>
        <v>0.73733333333333329</v>
      </c>
    </row>
    <row r="9547" spans="1:29">
      <c r="A9547" s="8" t="s">
        <v>2704</v>
      </c>
      <c r="B9547" s="17" t="s">
        <v>7752</v>
      </c>
      <c r="C9547" s="13">
        <v>34292</v>
      </c>
      <c r="D9547" s="13" t="s">
        <v>8465</v>
      </c>
      <c r="E9547" s="10" t="s">
        <v>455</v>
      </c>
      <c r="F9547" s="10" t="s">
        <v>1492</v>
      </c>
      <c r="G9547" s="11" t="s">
        <v>1688</v>
      </c>
      <c r="H9547" s="2" t="s">
        <v>64</v>
      </c>
      <c r="L9547" s="18">
        <v>0</v>
      </c>
      <c r="Q9547" s="18">
        <v>1</v>
      </c>
      <c r="T9547" s="22">
        <v>0.8</v>
      </c>
      <c r="U9547" s="22">
        <v>1</v>
      </c>
      <c r="V9547" s="22">
        <f>4.15/5</f>
        <v>0.83000000000000007</v>
      </c>
      <c r="AB9547" s="18">
        <f t="shared" si="298"/>
        <v>1993</v>
      </c>
      <c r="AC9547" s="22">
        <f t="shared" si="299"/>
        <v>0.87666666666666659</v>
      </c>
    </row>
    <row r="9548" spans="1:29">
      <c r="A9548" s="8" t="s">
        <v>598</v>
      </c>
      <c r="B9548" s="17" t="s">
        <v>7736</v>
      </c>
      <c r="C9548" s="12">
        <v>34274</v>
      </c>
      <c r="D9548" s="13" t="s">
        <v>8465</v>
      </c>
      <c r="E9548" s="10" t="s">
        <v>250</v>
      </c>
      <c r="F9548" s="10" t="s">
        <v>1257</v>
      </c>
      <c r="H9548" s="2" t="s">
        <v>147</v>
      </c>
      <c r="L9548" s="18">
        <v>0</v>
      </c>
      <c r="Q9548" s="18">
        <v>1</v>
      </c>
      <c r="T9548" s="22">
        <v>0.4</v>
      </c>
      <c r="U9548" s="22">
        <v>0.36</v>
      </c>
      <c r="V9548" s="22">
        <f>2.53/5</f>
        <v>0.50600000000000001</v>
      </c>
      <c r="AB9548" s="18">
        <f t="shared" si="298"/>
        <v>1993</v>
      </c>
      <c r="AC9548" s="22">
        <f t="shared" si="299"/>
        <v>0.42199999999999999</v>
      </c>
    </row>
    <row r="9549" spans="1:29">
      <c r="A9549" s="8" t="s">
        <v>615</v>
      </c>
      <c r="B9549" s="17" t="s">
        <v>7736</v>
      </c>
      <c r="C9549" s="13">
        <v>34264</v>
      </c>
      <c r="D9549" s="13" t="s">
        <v>8465</v>
      </c>
      <c r="E9549" s="10" t="s">
        <v>1268</v>
      </c>
      <c r="F9549" s="10" t="s">
        <v>63</v>
      </c>
      <c r="H9549" s="2" t="s">
        <v>56</v>
      </c>
      <c r="L9549" s="18">
        <v>0</v>
      </c>
      <c r="Q9549" s="18">
        <v>1</v>
      </c>
      <c r="T9549" s="22">
        <v>0.5</v>
      </c>
      <c r="V9549" s="22">
        <f>3.16/5</f>
        <v>0.63200000000000001</v>
      </c>
      <c r="AB9549" s="18">
        <f t="shared" si="298"/>
        <v>1993</v>
      </c>
      <c r="AC9549" s="22">
        <f t="shared" si="299"/>
        <v>0.56600000000000006</v>
      </c>
    </row>
    <row r="9550" spans="1:29">
      <c r="A9550" s="8" t="s">
        <v>588</v>
      </c>
      <c r="B9550" s="17" t="s">
        <v>7736</v>
      </c>
      <c r="C9550" s="12">
        <v>34243</v>
      </c>
      <c r="D9550" s="13" t="s">
        <v>8465</v>
      </c>
      <c r="E9550" s="10" t="s">
        <v>161</v>
      </c>
      <c r="F9550" s="10" t="s">
        <v>161</v>
      </c>
      <c r="G9550" s="11" t="s">
        <v>1253</v>
      </c>
      <c r="H9550" s="2" t="s">
        <v>171</v>
      </c>
      <c r="L9550" s="18">
        <v>0</v>
      </c>
      <c r="Q9550" s="18">
        <v>1</v>
      </c>
      <c r="T9550" s="22">
        <v>0.8</v>
      </c>
      <c r="U9550" s="22">
        <v>0.87</v>
      </c>
      <c r="V9550" s="22">
        <f>4.22/5</f>
        <v>0.84399999999999997</v>
      </c>
      <c r="Y9550" s="18">
        <v>1</v>
      </c>
      <c r="AB9550" s="18">
        <f t="shared" si="298"/>
        <v>1993</v>
      </c>
      <c r="AC9550" s="22">
        <f t="shared" si="299"/>
        <v>0.83799999999999997</v>
      </c>
    </row>
    <row r="9551" spans="1:29">
      <c r="A9551" s="8" t="s">
        <v>596</v>
      </c>
      <c r="B9551" s="17" t="s">
        <v>7736</v>
      </c>
      <c r="C9551" s="12">
        <v>34213</v>
      </c>
      <c r="D9551" s="13" t="s">
        <v>8465</v>
      </c>
      <c r="E9551" s="10" t="s">
        <v>70</v>
      </c>
      <c r="F9551" s="10" t="s">
        <v>70</v>
      </c>
      <c r="G9551" s="11" t="s">
        <v>1256</v>
      </c>
      <c r="H9551" s="2" t="s">
        <v>147</v>
      </c>
      <c r="L9551" s="18">
        <v>0</v>
      </c>
      <c r="Q9551" s="18">
        <v>1</v>
      </c>
      <c r="T9551" s="22">
        <v>0.8</v>
      </c>
      <c r="U9551" s="22">
        <v>0.72</v>
      </c>
      <c r="V9551" s="22">
        <f>3.53/5</f>
        <v>0.70599999999999996</v>
      </c>
      <c r="AB9551" s="18">
        <f t="shared" si="298"/>
        <v>1993</v>
      </c>
      <c r="AC9551" s="22">
        <f t="shared" si="299"/>
        <v>0.74199999999999999</v>
      </c>
    </row>
    <row r="9552" spans="1:29">
      <c r="A9552" s="8" t="s">
        <v>1775</v>
      </c>
      <c r="B9552" s="17" t="s">
        <v>7745</v>
      </c>
      <c r="C9552" s="13">
        <v>34121</v>
      </c>
      <c r="D9552" s="13" t="s">
        <v>8465</v>
      </c>
      <c r="E9552" s="10" t="s">
        <v>1781</v>
      </c>
      <c r="F9552" s="10" t="s">
        <v>1782</v>
      </c>
      <c r="H9552" s="2" t="s">
        <v>21</v>
      </c>
      <c r="L9552" s="18">
        <v>0</v>
      </c>
      <c r="Q9552" s="18">
        <v>1</v>
      </c>
      <c r="T9552" s="22">
        <v>0.6</v>
      </c>
      <c r="U9552" s="22">
        <v>0.57999999999999996</v>
      </c>
      <c r="V9552" s="22">
        <f>3.26/5</f>
        <v>0.65199999999999991</v>
      </c>
      <c r="AB9552" s="18">
        <f t="shared" si="298"/>
        <v>1993</v>
      </c>
      <c r="AC9552" s="22">
        <f t="shared" si="299"/>
        <v>0.61066666666666658</v>
      </c>
    </row>
    <row r="9553" spans="1:29">
      <c r="A9553" s="8" t="s">
        <v>606</v>
      </c>
      <c r="B9553" s="17" t="s">
        <v>7736</v>
      </c>
      <c r="C9553" s="12">
        <v>34090</v>
      </c>
      <c r="D9553" s="13" t="s">
        <v>8465</v>
      </c>
      <c r="E9553" s="10" t="s">
        <v>57</v>
      </c>
      <c r="F9553" s="10" t="s">
        <v>254</v>
      </c>
      <c r="G9553" s="11" t="s">
        <v>606</v>
      </c>
      <c r="H9553" s="2" t="s">
        <v>149</v>
      </c>
      <c r="L9553" s="18">
        <v>0</v>
      </c>
      <c r="Q9553" s="18">
        <v>1</v>
      </c>
      <c r="T9553" s="22">
        <v>0.8</v>
      </c>
      <c r="U9553" s="22">
        <v>0.7</v>
      </c>
      <c r="V9553" s="22">
        <f>4.05/5</f>
        <v>0.80999999999999994</v>
      </c>
      <c r="AB9553" s="18">
        <f t="shared" si="298"/>
        <v>1993</v>
      </c>
      <c r="AC9553" s="22">
        <f t="shared" si="299"/>
        <v>0.77</v>
      </c>
    </row>
    <row r="9554" spans="1:29">
      <c r="A9554" s="8" t="s">
        <v>1777</v>
      </c>
      <c r="B9554" s="17" t="s">
        <v>7745</v>
      </c>
      <c r="C9554" s="12">
        <v>34060</v>
      </c>
      <c r="D9554" s="13" t="s">
        <v>8465</v>
      </c>
      <c r="E9554" s="10" t="s">
        <v>158</v>
      </c>
      <c r="F9554" s="10" t="s">
        <v>158</v>
      </c>
      <c r="H9554" s="2" t="s">
        <v>149</v>
      </c>
      <c r="L9554" s="18">
        <v>0</v>
      </c>
      <c r="Q9554" s="18">
        <v>1</v>
      </c>
      <c r="R9554" s="13">
        <v>41567</v>
      </c>
      <c r="T9554" s="22">
        <v>0.7</v>
      </c>
      <c r="U9554" s="22">
        <v>0.7</v>
      </c>
      <c r="V9554" s="22">
        <f>3.61/5</f>
        <v>0.72199999999999998</v>
      </c>
      <c r="AB9554" s="18">
        <f t="shared" si="298"/>
        <v>1993</v>
      </c>
      <c r="AC9554" s="22">
        <f t="shared" si="299"/>
        <v>0.70733333333333326</v>
      </c>
    </row>
    <row r="9555" spans="1:29">
      <c r="A9555" s="8" t="s">
        <v>578</v>
      </c>
      <c r="B9555" s="17" t="s">
        <v>7736</v>
      </c>
      <c r="C9555" s="13">
        <v>34051</v>
      </c>
      <c r="D9555" s="13" t="s">
        <v>8465</v>
      </c>
      <c r="E9555" s="10" t="s">
        <v>86</v>
      </c>
      <c r="F9555" s="10" t="s">
        <v>87</v>
      </c>
      <c r="G9555" s="11" t="s">
        <v>578</v>
      </c>
      <c r="H9555" s="2" t="s">
        <v>1170</v>
      </c>
      <c r="L9555" s="18">
        <v>1</v>
      </c>
      <c r="M9555" s="14" t="s">
        <v>10622</v>
      </c>
      <c r="N9555" s="13">
        <v>43354</v>
      </c>
      <c r="O9555" s="29">
        <v>9.94</v>
      </c>
      <c r="P9555" s="18" t="s">
        <v>14</v>
      </c>
      <c r="Q9555" s="18">
        <v>1</v>
      </c>
      <c r="T9555" s="22">
        <v>0.7</v>
      </c>
      <c r="U9555" s="22">
        <v>0.88</v>
      </c>
      <c r="V9555" s="22">
        <f>3.84/5</f>
        <v>0.76800000000000002</v>
      </c>
      <c r="AB9555" s="18">
        <f t="shared" si="298"/>
        <v>1993</v>
      </c>
      <c r="AC9555" s="22">
        <f t="shared" si="299"/>
        <v>0.78266666666666662</v>
      </c>
    </row>
    <row r="9556" spans="1:29">
      <c r="A9556" s="8" t="s">
        <v>1769</v>
      </c>
      <c r="B9556" s="17" t="s">
        <v>7745</v>
      </c>
      <c r="C9556" s="12">
        <v>34029</v>
      </c>
      <c r="D9556" s="13" t="s">
        <v>8465</v>
      </c>
      <c r="E9556" s="10" t="s">
        <v>72</v>
      </c>
      <c r="F9556" s="10" t="s">
        <v>72</v>
      </c>
      <c r="G9556" s="11" t="s">
        <v>113</v>
      </c>
      <c r="H9556" s="2" t="s">
        <v>56</v>
      </c>
      <c r="L9556" s="18">
        <v>0</v>
      </c>
      <c r="Q9556" s="18">
        <v>1</v>
      </c>
      <c r="T9556" s="22">
        <v>0.7</v>
      </c>
      <c r="U9556" s="22">
        <v>0.8</v>
      </c>
      <c r="V9556" s="22">
        <f>3.75/5</f>
        <v>0.75</v>
      </c>
      <c r="AB9556" s="18">
        <f t="shared" si="298"/>
        <v>1993</v>
      </c>
      <c r="AC9556" s="22">
        <f t="shared" si="299"/>
        <v>0.75</v>
      </c>
    </row>
    <row r="9557" spans="1:29" ht="25.5">
      <c r="A9557" s="8" t="s">
        <v>318</v>
      </c>
      <c r="B9557" s="17" t="s">
        <v>6317</v>
      </c>
      <c r="C9557" s="12">
        <v>34001</v>
      </c>
      <c r="D9557" s="13" t="s">
        <v>8465</v>
      </c>
      <c r="E9557" s="10" t="s">
        <v>73</v>
      </c>
      <c r="F9557" s="10" t="s">
        <v>73</v>
      </c>
      <c r="H9557" s="2" t="s">
        <v>153</v>
      </c>
      <c r="L9557" s="18">
        <v>0</v>
      </c>
      <c r="Q9557" s="18">
        <v>1</v>
      </c>
      <c r="T9557" s="22">
        <v>0.6</v>
      </c>
      <c r="V9557" s="22">
        <f>4.08/5</f>
        <v>0.81600000000000006</v>
      </c>
      <c r="AB9557" s="18">
        <f t="shared" si="298"/>
        <v>1993</v>
      </c>
      <c r="AC9557" s="22">
        <f t="shared" si="299"/>
        <v>0.70799999999999996</v>
      </c>
    </row>
    <row r="9558" spans="1:29">
      <c r="A9558" s="8" t="s">
        <v>392</v>
      </c>
      <c r="B9558" s="17" t="s">
        <v>6317</v>
      </c>
      <c r="C9558" s="12">
        <v>33970</v>
      </c>
      <c r="D9558" s="13" t="s">
        <v>8465</v>
      </c>
      <c r="E9558" s="10" t="s">
        <v>57</v>
      </c>
      <c r="F9558" s="10" t="s">
        <v>57</v>
      </c>
      <c r="H9558" s="2" t="s">
        <v>153</v>
      </c>
      <c r="L9558" s="18">
        <v>0</v>
      </c>
      <c r="Q9558" s="18">
        <v>1</v>
      </c>
      <c r="R9558" s="13">
        <v>45119</v>
      </c>
      <c r="S9558" s="21">
        <f>41/60+50/3600</f>
        <v>0.69722222222222219</v>
      </c>
      <c r="T9558" s="22">
        <v>0.5</v>
      </c>
      <c r="V9558" s="22">
        <f>3.65/5</f>
        <v>0.73</v>
      </c>
      <c r="AB9558" s="18">
        <f t="shared" si="298"/>
        <v>1993</v>
      </c>
      <c r="AC9558" s="22">
        <f t="shared" si="299"/>
        <v>0.61499999999999999</v>
      </c>
    </row>
    <row r="9559" spans="1:29" ht="38.25">
      <c r="A9559" s="8" t="s">
        <v>604</v>
      </c>
      <c r="B9559" s="17" t="s">
        <v>7736</v>
      </c>
      <c r="C9559" s="12">
        <v>33970</v>
      </c>
      <c r="D9559" s="13" t="s">
        <v>8465</v>
      </c>
      <c r="E9559" s="10" t="s">
        <v>1261</v>
      </c>
      <c r="F9559" s="10" t="s">
        <v>1262</v>
      </c>
      <c r="G9559" s="11" t="s">
        <v>298</v>
      </c>
      <c r="H9559" s="2" t="s">
        <v>21</v>
      </c>
      <c r="L9559" s="18">
        <v>0</v>
      </c>
      <c r="Q9559" s="18">
        <v>1</v>
      </c>
      <c r="T9559" s="22">
        <v>0.7</v>
      </c>
      <c r="U9559" s="22">
        <v>0.9</v>
      </c>
      <c r="V9559" s="22">
        <f>3.81/5</f>
        <v>0.76200000000000001</v>
      </c>
      <c r="AB9559" s="18">
        <f t="shared" si="298"/>
        <v>1993</v>
      </c>
      <c r="AC9559" s="22">
        <f t="shared" si="299"/>
        <v>0.78733333333333333</v>
      </c>
    </row>
    <row r="9560" spans="1:29" ht="30">
      <c r="A9560" s="8" t="s">
        <v>2559</v>
      </c>
      <c r="B9560" s="17" t="s">
        <v>7751</v>
      </c>
      <c r="C9560" s="13">
        <v>33967</v>
      </c>
      <c r="D9560" s="13" t="s">
        <v>8465</v>
      </c>
      <c r="E9560" s="10" t="s">
        <v>455</v>
      </c>
      <c r="F9560" s="10" t="s">
        <v>2652</v>
      </c>
      <c r="G9560" s="11" t="s">
        <v>2656</v>
      </c>
      <c r="H9560" s="2" t="s">
        <v>80</v>
      </c>
      <c r="L9560" s="18">
        <v>0</v>
      </c>
      <c r="Q9560" s="18">
        <v>0</v>
      </c>
      <c r="U9560" s="22">
        <v>0.76</v>
      </c>
      <c r="V9560" s="22">
        <f>3.59/5</f>
        <v>0.71799999999999997</v>
      </c>
      <c r="X9560" s="3">
        <v>3</v>
      </c>
      <c r="Z9560" s="23">
        <v>4.5</v>
      </c>
      <c r="AB9560" s="18">
        <f t="shared" si="298"/>
        <v>1992</v>
      </c>
      <c r="AC9560" s="22">
        <f t="shared" si="299"/>
        <v>0.69266666666666665</v>
      </c>
    </row>
    <row r="9561" spans="1:29" ht="38.25">
      <c r="A9561" s="8" t="s">
        <v>11830</v>
      </c>
      <c r="B9561" s="17" t="s">
        <v>7745</v>
      </c>
      <c r="C9561" s="13">
        <v>33965</v>
      </c>
      <c r="D9561" s="13" t="s">
        <v>8463</v>
      </c>
      <c r="E9561" s="10" t="s">
        <v>57</v>
      </c>
      <c r="F9561" s="10" t="s">
        <v>1368</v>
      </c>
      <c r="G9561" s="11" t="s">
        <v>1243</v>
      </c>
      <c r="H9561" s="2" t="s">
        <v>149</v>
      </c>
      <c r="K9561" s="18">
        <v>2</v>
      </c>
      <c r="L9561" s="18">
        <v>0</v>
      </c>
      <c r="Q9561" s="18">
        <v>0</v>
      </c>
      <c r="V9561" s="22">
        <f>3.24/5</f>
        <v>0.64800000000000002</v>
      </c>
      <c r="X9561" s="3">
        <v>3</v>
      </c>
      <c r="AB9561" s="18">
        <f t="shared" si="298"/>
        <v>1992</v>
      </c>
      <c r="AC9561" s="22">
        <f t="shared" si="299"/>
        <v>0.624</v>
      </c>
    </row>
    <row r="9562" spans="1:29" ht="30">
      <c r="A9562" s="8" t="s">
        <v>2783</v>
      </c>
      <c r="B9562" s="17" t="s">
        <v>7756</v>
      </c>
      <c r="C9562" s="13">
        <v>33963</v>
      </c>
      <c r="D9562" s="13" t="s">
        <v>8463</v>
      </c>
      <c r="E9562" s="10" t="s">
        <v>455</v>
      </c>
      <c r="F9562" s="10" t="s">
        <v>2677</v>
      </c>
      <c r="G9562" s="11" t="s">
        <v>1661</v>
      </c>
      <c r="H9562" s="2" t="s">
        <v>75</v>
      </c>
      <c r="K9562" s="18">
        <v>0</v>
      </c>
      <c r="L9562" s="18">
        <v>0</v>
      </c>
      <c r="Q9562" s="18">
        <v>0</v>
      </c>
      <c r="V9562" s="22">
        <f>3.61/5</f>
        <v>0.72199999999999998</v>
      </c>
      <c r="X9562" s="3">
        <v>3</v>
      </c>
      <c r="Z9562" s="23">
        <v>11.5</v>
      </c>
      <c r="AB9562" s="18">
        <f t="shared" si="298"/>
        <v>1992</v>
      </c>
      <c r="AC9562" s="22">
        <f t="shared" si="299"/>
        <v>0.66100000000000003</v>
      </c>
    </row>
    <row r="9563" spans="1:29" ht="25.5">
      <c r="A9563" s="8" t="s">
        <v>10883</v>
      </c>
      <c r="B9563" s="17" t="s">
        <v>7790</v>
      </c>
      <c r="C9563" s="13">
        <v>33961</v>
      </c>
      <c r="D9563" s="13" t="s">
        <v>8463</v>
      </c>
      <c r="E9563" s="10" t="s">
        <v>62</v>
      </c>
      <c r="F9563" s="10" t="s">
        <v>10068</v>
      </c>
      <c r="G9563" s="11" t="s">
        <v>2892</v>
      </c>
      <c r="H9563" s="2" t="s">
        <v>171</v>
      </c>
      <c r="K9563" s="18">
        <v>0</v>
      </c>
      <c r="L9563" s="18">
        <v>0</v>
      </c>
      <c r="Q9563" s="18">
        <v>0</v>
      </c>
      <c r="V9563" s="22">
        <f>2.85/5</f>
        <v>0.57000000000000006</v>
      </c>
      <c r="X9563" s="3">
        <v>3</v>
      </c>
      <c r="Z9563" s="23">
        <v>50</v>
      </c>
      <c r="AB9563" s="18">
        <f t="shared" si="298"/>
        <v>1992</v>
      </c>
      <c r="AC9563" s="22">
        <f t="shared" si="299"/>
        <v>0.58499999999999996</v>
      </c>
    </row>
    <row r="9564" spans="1:29" ht="25.5">
      <c r="A9564" s="8" t="s">
        <v>15670</v>
      </c>
      <c r="B9564" s="17" t="s">
        <v>7734</v>
      </c>
      <c r="C9564" s="13">
        <v>33961</v>
      </c>
      <c r="D9564" s="13" t="s">
        <v>8463</v>
      </c>
      <c r="E9564" s="10" t="s">
        <v>155</v>
      </c>
      <c r="F9564" s="10" t="s">
        <v>155</v>
      </c>
      <c r="G9564" s="11" t="s">
        <v>226</v>
      </c>
      <c r="H9564" s="2" t="s">
        <v>459</v>
      </c>
      <c r="K9564" s="18">
        <v>0</v>
      </c>
      <c r="L9564" s="18">
        <v>0</v>
      </c>
      <c r="Q9564" s="18">
        <v>0</v>
      </c>
      <c r="V9564" s="22">
        <f>4.06/5</f>
        <v>0.81199999999999994</v>
      </c>
      <c r="X9564" s="3">
        <v>2</v>
      </c>
      <c r="AB9564" s="18">
        <f t="shared" si="298"/>
        <v>1992</v>
      </c>
      <c r="AC9564" s="22">
        <f t="shared" si="299"/>
        <v>0.60599999999999998</v>
      </c>
    </row>
    <row r="9565" spans="1:29">
      <c r="A9565" s="8" t="s">
        <v>801</v>
      </c>
      <c r="B9565" s="17" t="s">
        <v>7736</v>
      </c>
      <c r="C9565" s="13">
        <v>33960</v>
      </c>
      <c r="D9565" s="13" t="s">
        <v>8463</v>
      </c>
      <c r="E9565" s="10" t="s">
        <v>1268</v>
      </c>
      <c r="F9565" s="10" t="s">
        <v>1394</v>
      </c>
      <c r="H9565" s="2" t="s">
        <v>56</v>
      </c>
      <c r="K9565" s="18">
        <v>0</v>
      </c>
      <c r="L9565" s="18">
        <v>0</v>
      </c>
      <c r="Q9565" s="18">
        <v>0</v>
      </c>
      <c r="V9565" s="22">
        <f>2.68/5</f>
        <v>0.53600000000000003</v>
      </c>
      <c r="X9565" s="3">
        <v>2</v>
      </c>
      <c r="Z9565" s="23">
        <v>2.5</v>
      </c>
      <c r="AB9565" s="18">
        <f t="shared" si="298"/>
        <v>1992</v>
      </c>
      <c r="AC9565" s="22">
        <f t="shared" si="299"/>
        <v>0.46800000000000003</v>
      </c>
    </row>
    <row r="9566" spans="1:29">
      <c r="A9566" s="8" t="s">
        <v>2626</v>
      </c>
      <c r="B9566" s="17" t="s">
        <v>7751</v>
      </c>
      <c r="C9566" s="13">
        <v>33958</v>
      </c>
      <c r="D9566" s="13" t="s">
        <v>8465</v>
      </c>
      <c r="E9566" s="10" t="s">
        <v>455</v>
      </c>
      <c r="F9566" s="10" t="s">
        <v>455</v>
      </c>
      <c r="G9566" s="11" t="s">
        <v>2516</v>
      </c>
      <c r="H9566" s="2" t="s">
        <v>153</v>
      </c>
      <c r="L9566" s="18">
        <v>0</v>
      </c>
      <c r="Q9566" s="18">
        <v>0</v>
      </c>
      <c r="U9566" s="22">
        <v>0.88</v>
      </c>
      <c r="V9566" s="22">
        <f>4.3/5</f>
        <v>0.86</v>
      </c>
      <c r="X9566" s="3">
        <v>3</v>
      </c>
      <c r="Y9566" s="18">
        <v>1</v>
      </c>
      <c r="Z9566" s="23">
        <v>1.5</v>
      </c>
      <c r="AB9566" s="18">
        <f t="shared" si="298"/>
        <v>1992</v>
      </c>
      <c r="AC9566" s="22">
        <f t="shared" si="299"/>
        <v>0.77999999999999992</v>
      </c>
    </row>
    <row r="9567" spans="1:29">
      <c r="A9567" s="8" t="s">
        <v>768</v>
      </c>
      <c r="B9567" s="17" t="s">
        <v>7736</v>
      </c>
      <c r="C9567" s="13">
        <v>33956</v>
      </c>
      <c r="D9567" s="13" t="s">
        <v>8463</v>
      </c>
      <c r="E9567" s="10" t="s">
        <v>1247</v>
      </c>
      <c r="F9567" s="10" t="s">
        <v>167</v>
      </c>
      <c r="G9567" s="11" t="s">
        <v>1382</v>
      </c>
      <c r="H9567" s="2" t="s">
        <v>1383</v>
      </c>
      <c r="K9567" s="18">
        <v>0</v>
      </c>
      <c r="L9567" s="18">
        <v>0</v>
      </c>
      <c r="Q9567" s="18">
        <v>0</v>
      </c>
      <c r="V9567" s="22">
        <f>3.37/5</f>
        <v>0.67400000000000004</v>
      </c>
      <c r="X9567" s="3">
        <v>3</v>
      </c>
      <c r="Z9567" s="23">
        <v>6</v>
      </c>
      <c r="AB9567" s="18">
        <f t="shared" si="298"/>
        <v>1992</v>
      </c>
      <c r="AC9567" s="22">
        <f t="shared" si="299"/>
        <v>0.63700000000000001</v>
      </c>
    </row>
    <row r="9568" spans="1:29" ht="38.25">
      <c r="A9568" s="8" t="s">
        <v>2682</v>
      </c>
      <c r="B9568" s="17" t="s">
        <v>7751</v>
      </c>
      <c r="C9568" s="13">
        <v>33955</v>
      </c>
      <c r="D9568" s="13" t="s">
        <v>8465</v>
      </c>
      <c r="E9568" s="10" t="s">
        <v>455</v>
      </c>
      <c r="F9568" s="10" t="s">
        <v>455</v>
      </c>
      <c r="G9568" s="11" t="s">
        <v>1286</v>
      </c>
      <c r="H9568" s="2" t="s">
        <v>64</v>
      </c>
      <c r="L9568" s="18">
        <v>0</v>
      </c>
      <c r="Q9568" s="18">
        <v>0</v>
      </c>
      <c r="U9568" s="22">
        <v>0.8</v>
      </c>
      <c r="V9568" s="22">
        <f>3.93/5</f>
        <v>0.78600000000000003</v>
      </c>
      <c r="X9568" s="3">
        <v>3</v>
      </c>
      <c r="Z9568" s="23">
        <v>1.5</v>
      </c>
      <c r="AB9568" s="18">
        <f t="shared" si="298"/>
        <v>1992</v>
      </c>
      <c r="AC9568" s="22">
        <f t="shared" si="299"/>
        <v>0.72866666666666668</v>
      </c>
    </row>
    <row r="9569" spans="1:29">
      <c r="A9569" s="8" t="s">
        <v>11833</v>
      </c>
      <c r="B9569" s="17" t="s">
        <v>7734</v>
      </c>
      <c r="C9569" s="13">
        <v>33953</v>
      </c>
      <c r="D9569" s="13" t="s">
        <v>8463</v>
      </c>
      <c r="E9569" s="10" t="s">
        <v>257</v>
      </c>
      <c r="F9569" s="10" t="s">
        <v>11834</v>
      </c>
      <c r="H9569" s="2" t="s">
        <v>75</v>
      </c>
      <c r="K9569" s="18">
        <v>2</v>
      </c>
      <c r="L9569" s="18">
        <v>0</v>
      </c>
      <c r="Q9569" s="18">
        <v>0</v>
      </c>
      <c r="V9569" s="22">
        <f>3.98/5</f>
        <v>0.79600000000000004</v>
      </c>
      <c r="X9569" s="3">
        <v>4</v>
      </c>
      <c r="AB9569" s="18">
        <f t="shared" si="298"/>
        <v>1992</v>
      </c>
      <c r="AC9569" s="22">
        <f t="shared" si="299"/>
        <v>0.79800000000000004</v>
      </c>
    </row>
    <row r="9570" spans="1:29" ht="38.25">
      <c r="A9570" s="8" t="s">
        <v>2590</v>
      </c>
      <c r="B9570" s="17" t="s">
        <v>7751</v>
      </c>
      <c r="C9570" s="13">
        <v>33949</v>
      </c>
      <c r="D9570" s="13" t="s">
        <v>8465</v>
      </c>
      <c r="E9570" s="10" t="s">
        <v>72</v>
      </c>
      <c r="F9570" s="10" t="s">
        <v>72</v>
      </c>
      <c r="G9570" s="11" t="s">
        <v>215</v>
      </c>
      <c r="H9570" s="2" t="s">
        <v>153</v>
      </c>
      <c r="L9570" s="18">
        <v>0</v>
      </c>
      <c r="Q9570" s="18">
        <v>0</v>
      </c>
      <c r="U9570" s="22">
        <v>0.7</v>
      </c>
      <c r="V9570" s="22">
        <f>3.88/5</f>
        <v>0.77600000000000002</v>
      </c>
      <c r="X9570" s="3">
        <v>3</v>
      </c>
      <c r="Z9570" s="23">
        <v>1</v>
      </c>
      <c r="AB9570" s="18">
        <f t="shared" si="298"/>
        <v>1992</v>
      </c>
      <c r="AC9570" s="22">
        <f t="shared" si="299"/>
        <v>0.69200000000000006</v>
      </c>
    </row>
    <row r="9571" spans="1:29">
      <c r="A9571" s="8" t="s">
        <v>502</v>
      </c>
      <c r="B9571" s="17" t="s">
        <v>7731</v>
      </c>
      <c r="C9571" s="13">
        <v>33949</v>
      </c>
      <c r="D9571" s="13" t="s">
        <v>8465</v>
      </c>
      <c r="E9571" s="10" t="s">
        <v>170</v>
      </c>
      <c r="F9571" s="10" t="s">
        <v>170</v>
      </c>
      <c r="G9571" s="11" t="s">
        <v>502</v>
      </c>
      <c r="H9571" s="2" t="s">
        <v>459</v>
      </c>
      <c r="L9571" s="18">
        <v>0</v>
      </c>
      <c r="Q9571" s="18">
        <v>0</v>
      </c>
      <c r="V9571" s="22">
        <f>3.25/5</f>
        <v>0.65</v>
      </c>
      <c r="X9571" s="3">
        <v>2</v>
      </c>
      <c r="Z9571" s="23">
        <v>0.8</v>
      </c>
      <c r="AB9571" s="18">
        <f t="shared" si="298"/>
        <v>1992</v>
      </c>
      <c r="AC9571" s="22">
        <f t="shared" si="299"/>
        <v>0.52500000000000002</v>
      </c>
    </row>
    <row r="9572" spans="1:29">
      <c r="A9572" s="8" t="s">
        <v>831</v>
      </c>
      <c r="B9572" s="17" t="s">
        <v>7736</v>
      </c>
      <c r="C9572" s="13">
        <v>33944</v>
      </c>
      <c r="D9572" s="13" t="s">
        <v>8463</v>
      </c>
      <c r="E9572" s="10" t="s">
        <v>161</v>
      </c>
      <c r="F9572" s="10" t="s">
        <v>161</v>
      </c>
      <c r="G9572" s="11" t="s">
        <v>126</v>
      </c>
      <c r="H9572" s="2" t="s">
        <v>149</v>
      </c>
      <c r="K9572" s="18">
        <v>2</v>
      </c>
      <c r="L9572" s="18">
        <v>0</v>
      </c>
      <c r="Q9572" s="18">
        <v>0</v>
      </c>
      <c r="U9572" s="22">
        <v>0.66</v>
      </c>
      <c r="V9572" s="22">
        <f>4.09/5</f>
        <v>0.81799999999999995</v>
      </c>
      <c r="X9572" s="3">
        <v>2</v>
      </c>
      <c r="Z9572" s="23">
        <v>33</v>
      </c>
      <c r="AB9572" s="18">
        <f t="shared" si="298"/>
        <v>1992</v>
      </c>
      <c r="AC9572" s="22">
        <f t="shared" si="299"/>
        <v>0.626</v>
      </c>
    </row>
    <row r="9573" spans="1:29" ht="25.5">
      <c r="A9573" s="8" t="s">
        <v>12327</v>
      </c>
      <c r="B9573" s="17" t="s">
        <v>7745</v>
      </c>
      <c r="C9573" s="13">
        <v>33940</v>
      </c>
      <c r="D9573" s="13" t="s">
        <v>8463</v>
      </c>
      <c r="E9573" s="10" t="s">
        <v>9240</v>
      </c>
      <c r="F9573" s="10" t="s">
        <v>9240</v>
      </c>
      <c r="G9573" s="11" t="s">
        <v>5566</v>
      </c>
      <c r="H9573" s="2" t="s">
        <v>149</v>
      </c>
      <c r="K9573" s="18">
        <v>2</v>
      </c>
      <c r="L9573" s="18">
        <v>0</v>
      </c>
      <c r="Q9573" s="18">
        <v>0</v>
      </c>
      <c r="V9573" s="22">
        <f>3.5/5</f>
        <v>0.7</v>
      </c>
      <c r="X9573" s="3">
        <v>3</v>
      </c>
      <c r="Z9573" s="23">
        <v>40</v>
      </c>
      <c r="AB9573" s="18">
        <f t="shared" si="298"/>
        <v>1992</v>
      </c>
      <c r="AC9573" s="22">
        <f t="shared" si="299"/>
        <v>0.64999999999999991</v>
      </c>
    </row>
    <row r="9574" spans="1:29" ht="25.5">
      <c r="A9574" s="8" t="s">
        <v>1426</v>
      </c>
      <c r="B9574" s="17" t="s">
        <v>7736</v>
      </c>
      <c r="C9574" s="12">
        <v>33939</v>
      </c>
      <c r="D9574" s="13" t="s">
        <v>8465</v>
      </c>
      <c r="E9574" s="10" t="s">
        <v>73</v>
      </c>
      <c r="F9574" s="10" t="s">
        <v>73</v>
      </c>
      <c r="G9574" s="11" t="s">
        <v>1286</v>
      </c>
      <c r="H9574" s="2" t="s">
        <v>64</v>
      </c>
      <c r="L9574" s="18">
        <v>0</v>
      </c>
      <c r="Q9574" s="18">
        <v>0</v>
      </c>
      <c r="U9574" s="22">
        <v>0.87</v>
      </c>
      <c r="V9574" s="22">
        <f>3.57/5</f>
        <v>0.71399999999999997</v>
      </c>
      <c r="X9574" s="3">
        <v>4</v>
      </c>
      <c r="Z9574" s="23">
        <v>1.5</v>
      </c>
      <c r="AB9574" s="18">
        <f t="shared" si="298"/>
        <v>1992</v>
      </c>
      <c r="AC9574" s="22">
        <f t="shared" si="299"/>
        <v>0.79466666666666674</v>
      </c>
    </row>
    <row r="9575" spans="1:29" ht="25.5">
      <c r="A9575" s="8" t="s">
        <v>6766</v>
      </c>
      <c r="B9575" s="17" t="s">
        <v>7800</v>
      </c>
      <c r="C9575" s="12">
        <v>33939</v>
      </c>
      <c r="D9575" s="13" t="s">
        <v>8465</v>
      </c>
      <c r="E9575" s="10" t="s">
        <v>1259</v>
      </c>
      <c r="F9575" s="10" t="s">
        <v>2654</v>
      </c>
      <c r="G9575" s="11" t="s">
        <v>2655</v>
      </c>
      <c r="H9575" s="2" t="s">
        <v>1143</v>
      </c>
      <c r="L9575" s="18">
        <v>0</v>
      </c>
      <c r="Q9575" s="18">
        <v>0</v>
      </c>
      <c r="V9575" s="22">
        <f>4.15/5</f>
        <v>0.83000000000000007</v>
      </c>
      <c r="X9575" s="3">
        <v>3</v>
      </c>
      <c r="Z9575" s="23">
        <v>14</v>
      </c>
      <c r="AB9575" s="18">
        <f t="shared" si="298"/>
        <v>1992</v>
      </c>
      <c r="AC9575" s="22">
        <f t="shared" si="299"/>
        <v>0.71500000000000008</v>
      </c>
    </row>
    <row r="9576" spans="1:29">
      <c r="A9576" s="8" t="s">
        <v>406</v>
      </c>
      <c r="B9576" s="17" t="s">
        <v>6317</v>
      </c>
      <c r="C9576" s="12">
        <v>33939</v>
      </c>
      <c r="D9576" s="13" t="s">
        <v>8465</v>
      </c>
      <c r="E9576" s="10" t="s">
        <v>144</v>
      </c>
      <c r="F9576" s="10" t="s">
        <v>557</v>
      </c>
      <c r="G9576" s="11" t="s">
        <v>404</v>
      </c>
      <c r="H9576" s="2" t="s">
        <v>21</v>
      </c>
      <c r="L9576" s="18">
        <v>0</v>
      </c>
      <c r="Q9576" s="18">
        <v>0</v>
      </c>
      <c r="V9576" s="22">
        <f>3.75/5</f>
        <v>0.75</v>
      </c>
      <c r="X9576" s="3">
        <v>3</v>
      </c>
      <c r="Z9576" s="23">
        <v>2</v>
      </c>
      <c r="AB9576" s="18">
        <f t="shared" si="298"/>
        <v>1992</v>
      </c>
      <c r="AC9576" s="22">
        <f t="shared" si="299"/>
        <v>0.67500000000000004</v>
      </c>
    </row>
    <row r="9577" spans="1:29">
      <c r="A9577" s="8" t="s">
        <v>717</v>
      </c>
      <c r="B9577" s="17" t="s">
        <v>7736</v>
      </c>
      <c r="C9577" s="13">
        <v>33935</v>
      </c>
      <c r="D9577" s="13" t="s">
        <v>8465</v>
      </c>
      <c r="E9577" s="10" t="s">
        <v>257</v>
      </c>
      <c r="F9577" s="10" t="s">
        <v>1252</v>
      </c>
      <c r="G9577" s="11" t="s">
        <v>1255</v>
      </c>
      <c r="H9577" s="2" t="s">
        <v>171</v>
      </c>
      <c r="L9577" s="18">
        <v>0</v>
      </c>
      <c r="Q9577" s="18">
        <v>0</v>
      </c>
      <c r="U9577" s="22">
        <v>0.86</v>
      </c>
      <c r="V9577" s="22">
        <f>3.95/5</f>
        <v>0.79</v>
      </c>
      <c r="X9577" s="3">
        <v>4</v>
      </c>
      <c r="Z9577" s="23">
        <v>10.5</v>
      </c>
      <c r="AB9577" s="18">
        <f t="shared" si="298"/>
        <v>1992</v>
      </c>
      <c r="AC9577" s="22">
        <f t="shared" si="299"/>
        <v>0.81666666666666676</v>
      </c>
    </row>
    <row r="9578" spans="1:29">
      <c r="A9578" s="8" t="s">
        <v>14562</v>
      </c>
      <c r="B9578" s="17" t="s">
        <v>7789</v>
      </c>
      <c r="C9578" s="13">
        <v>33935</v>
      </c>
      <c r="D9578" s="13" t="s">
        <v>8463</v>
      </c>
      <c r="E9578" s="10" t="s">
        <v>14561</v>
      </c>
      <c r="F9578" s="10" t="s">
        <v>14561</v>
      </c>
      <c r="G9578" s="11" t="s">
        <v>14558</v>
      </c>
      <c r="H9578" s="2" t="s">
        <v>21</v>
      </c>
      <c r="K9578" s="18">
        <v>0</v>
      </c>
      <c r="L9578" s="18">
        <v>0</v>
      </c>
      <c r="Q9578" s="18">
        <v>0</v>
      </c>
      <c r="V9578" s="22">
        <f>3.44/5</f>
        <v>0.68799999999999994</v>
      </c>
      <c r="X9578" s="3">
        <v>2</v>
      </c>
      <c r="AB9578" s="18">
        <f t="shared" si="298"/>
        <v>1992</v>
      </c>
      <c r="AC9578" s="22">
        <f t="shared" si="299"/>
        <v>0.54400000000000004</v>
      </c>
    </row>
    <row r="9579" spans="1:29">
      <c r="A9579" s="8" t="s">
        <v>2502</v>
      </c>
      <c r="B9579" s="17" t="s">
        <v>7751</v>
      </c>
      <c r="C9579" s="13">
        <v>33932</v>
      </c>
      <c r="D9579" s="13" t="s">
        <v>8465</v>
      </c>
      <c r="E9579" s="10" t="s">
        <v>455</v>
      </c>
      <c r="F9579" s="10" t="s">
        <v>1492</v>
      </c>
      <c r="G9579" s="11" t="s">
        <v>1688</v>
      </c>
      <c r="H9579" s="2" t="s">
        <v>64</v>
      </c>
      <c r="L9579" s="18">
        <v>0</v>
      </c>
      <c r="Q9579" s="18">
        <v>0</v>
      </c>
      <c r="U9579" s="22">
        <v>0.88</v>
      </c>
      <c r="V9579" s="22">
        <f>4.31/5</f>
        <v>0.86199999999999988</v>
      </c>
      <c r="X9579" s="3">
        <v>4</v>
      </c>
      <c r="Z9579" s="23">
        <v>2.5</v>
      </c>
      <c r="AB9579" s="18">
        <f t="shared" si="298"/>
        <v>1992</v>
      </c>
      <c r="AC9579" s="22">
        <f t="shared" si="299"/>
        <v>0.84733333333333327</v>
      </c>
    </row>
    <row r="9580" spans="1:29" ht="30">
      <c r="A9580" s="8" t="s">
        <v>13370</v>
      </c>
      <c r="B9580" s="17" t="s">
        <v>7789</v>
      </c>
      <c r="C9580" s="13">
        <v>33930</v>
      </c>
      <c r="D9580" s="13" t="s">
        <v>8465</v>
      </c>
      <c r="E9580" s="10" t="s">
        <v>1361</v>
      </c>
      <c r="F9580" s="10" t="s">
        <v>13371</v>
      </c>
      <c r="G9580" s="11" t="s">
        <v>13369</v>
      </c>
      <c r="H9580" s="2" t="s">
        <v>56</v>
      </c>
      <c r="L9580" s="18">
        <v>0</v>
      </c>
      <c r="Q9580" s="18">
        <v>0</v>
      </c>
      <c r="V9580" s="22">
        <f>3.61/5</f>
        <v>0.72199999999999998</v>
      </c>
      <c r="X9580" s="3">
        <v>2</v>
      </c>
      <c r="Z9580" s="23">
        <v>1</v>
      </c>
      <c r="AB9580" s="18">
        <f t="shared" si="298"/>
        <v>1992</v>
      </c>
      <c r="AC9580" s="22">
        <f t="shared" si="299"/>
        <v>0.56099999999999994</v>
      </c>
    </row>
    <row r="9581" spans="1:29">
      <c r="A9581" s="8" t="s">
        <v>10370</v>
      </c>
      <c r="B9581" s="17" t="s">
        <v>10323</v>
      </c>
      <c r="C9581" s="13">
        <v>33928</v>
      </c>
      <c r="D9581" s="13" t="s">
        <v>8463</v>
      </c>
      <c r="E9581" s="10" t="s">
        <v>1200</v>
      </c>
      <c r="F9581" s="10" t="s">
        <v>1200</v>
      </c>
      <c r="H9581" s="2" t="s">
        <v>1050</v>
      </c>
      <c r="K9581" s="18">
        <v>0</v>
      </c>
      <c r="L9581" s="18">
        <v>0</v>
      </c>
      <c r="Q9581" s="18">
        <v>0</v>
      </c>
      <c r="X9581" s="3">
        <v>2</v>
      </c>
      <c r="AB9581" s="18">
        <f t="shared" si="298"/>
        <v>1992</v>
      </c>
      <c r="AC9581" s="22">
        <f t="shared" si="299"/>
        <v>0.4</v>
      </c>
    </row>
    <row r="9582" spans="1:29">
      <c r="A9582" s="8" t="s">
        <v>8921</v>
      </c>
      <c r="B9582" s="17" t="s">
        <v>7736</v>
      </c>
      <c r="C9582" s="13">
        <v>33928</v>
      </c>
      <c r="D9582" s="13" t="s">
        <v>8463</v>
      </c>
      <c r="E9582" s="10" t="s">
        <v>470</v>
      </c>
      <c r="F9582" s="10" t="s">
        <v>471</v>
      </c>
      <c r="G9582" s="11" t="s">
        <v>8922</v>
      </c>
      <c r="H9582" s="2" t="s">
        <v>75</v>
      </c>
      <c r="K9582" s="18">
        <v>2</v>
      </c>
      <c r="L9582" s="18">
        <v>0</v>
      </c>
      <c r="Q9582" s="18">
        <v>0</v>
      </c>
      <c r="V9582" s="22">
        <f>3.58/5</f>
        <v>0.71599999999999997</v>
      </c>
      <c r="X9582" s="3">
        <v>3</v>
      </c>
      <c r="AB9582" s="18">
        <f t="shared" si="298"/>
        <v>1992</v>
      </c>
      <c r="AC9582" s="22">
        <f t="shared" si="299"/>
        <v>0.65799999999999992</v>
      </c>
    </row>
    <row r="9583" spans="1:29" ht="25.5">
      <c r="A9583" s="8" t="s">
        <v>11804</v>
      </c>
      <c r="B9583" s="17" t="s">
        <v>7734</v>
      </c>
      <c r="C9583" s="13">
        <v>33928</v>
      </c>
      <c r="D9583" s="13" t="s">
        <v>8463</v>
      </c>
      <c r="E9583" s="10" t="s">
        <v>11805</v>
      </c>
      <c r="F9583" s="10" t="s">
        <v>11805</v>
      </c>
      <c r="H9583" s="2" t="s">
        <v>149</v>
      </c>
      <c r="K9583" s="18">
        <v>2</v>
      </c>
      <c r="L9583" s="18">
        <v>0</v>
      </c>
      <c r="Q9583" s="18">
        <v>0</v>
      </c>
      <c r="V9583" s="22">
        <f>3.53/5</f>
        <v>0.70599999999999996</v>
      </c>
      <c r="X9583" s="3">
        <v>2</v>
      </c>
      <c r="AB9583" s="18">
        <f t="shared" si="298"/>
        <v>1992</v>
      </c>
      <c r="AC9583" s="22">
        <f t="shared" si="299"/>
        <v>0.55299999999999994</v>
      </c>
    </row>
    <row r="9584" spans="1:29">
      <c r="A9584" s="8" t="s">
        <v>216</v>
      </c>
      <c r="B9584" s="17" t="s">
        <v>7734</v>
      </c>
      <c r="C9584" s="13">
        <v>33927</v>
      </c>
      <c r="D9584" s="13" t="s">
        <v>8467</v>
      </c>
      <c r="E9584" s="10" t="s">
        <v>160</v>
      </c>
      <c r="F9584" s="10" t="s">
        <v>160</v>
      </c>
      <c r="G9584" s="11" t="s">
        <v>256</v>
      </c>
      <c r="H9584" s="2" t="s">
        <v>151</v>
      </c>
      <c r="L9584" s="18">
        <v>0</v>
      </c>
      <c r="Q9584" s="18">
        <v>0</v>
      </c>
      <c r="V9584" s="22">
        <f>4.03/5</f>
        <v>0.80600000000000005</v>
      </c>
      <c r="X9584" s="3">
        <v>4</v>
      </c>
      <c r="Z9584" s="23">
        <v>4</v>
      </c>
      <c r="AB9584" s="18">
        <f t="shared" si="298"/>
        <v>1992</v>
      </c>
      <c r="AC9584" s="22">
        <f t="shared" si="299"/>
        <v>0.80300000000000005</v>
      </c>
    </row>
    <row r="9585" spans="1:29">
      <c r="A9585" s="8" t="s">
        <v>721</v>
      </c>
      <c r="B9585" s="17" t="s">
        <v>7736</v>
      </c>
      <c r="C9585" s="13">
        <v>33909</v>
      </c>
      <c r="D9585" s="13" t="s">
        <v>8465</v>
      </c>
      <c r="E9585" s="10" t="s">
        <v>1340</v>
      </c>
      <c r="F9585" s="10" t="s">
        <v>1341</v>
      </c>
      <c r="G9585" s="11" t="s">
        <v>721</v>
      </c>
      <c r="H9585" s="2" t="s">
        <v>56</v>
      </c>
      <c r="L9585" s="18">
        <v>1</v>
      </c>
      <c r="M9585" s="14" t="s">
        <v>10622</v>
      </c>
      <c r="P9585" s="18" t="s">
        <v>14</v>
      </c>
      <c r="Q9585" s="18">
        <v>0</v>
      </c>
      <c r="U9585" s="22">
        <v>0.85</v>
      </c>
      <c r="V9585" s="22">
        <f>3.52/5</f>
        <v>0.70399999999999996</v>
      </c>
      <c r="X9585" s="3">
        <v>4</v>
      </c>
      <c r="Z9585" s="23">
        <v>2.5</v>
      </c>
      <c r="AB9585" s="18">
        <f t="shared" si="298"/>
        <v>1992</v>
      </c>
      <c r="AC9585" s="22">
        <f t="shared" si="299"/>
        <v>0.78466666666666673</v>
      </c>
    </row>
    <row r="9586" spans="1:29">
      <c r="A9586" s="8" t="s">
        <v>6865</v>
      </c>
      <c r="B9586" s="17" t="s">
        <v>7800</v>
      </c>
      <c r="C9586" s="12">
        <v>33909</v>
      </c>
      <c r="D9586" s="13" t="s">
        <v>8465</v>
      </c>
      <c r="E9586" s="10" t="s">
        <v>1781</v>
      </c>
      <c r="F9586" s="10" t="s">
        <v>3035</v>
      </c>
      <c r="G9586" s="11" t="s">
        <v>6863</v>
      </c>
      <c r="H9586" s="2" t="s">
        <v>61</v>
      </c>
      <c r="L9586" s="18">
        <v>0</v>
      </c>
      <c r="Q9586" s="18">
        <v>0</v>
      </c>
      <c r="V9586" s="22">
        <f>4.36/5</f>
        <v>0.87200000000000011</v>
      </c>
      <c r="X9586" s="3">
        <v>3</v>
      </c>
      <c r="Z9586" s="23">
        <v>9</v>
      </c>
      <c r="AB9586" s="18">
        <f t="shared" si="298"/>
        <v>1992</v>
      </c>
      <c r="AC9586" s="22">
        <f t="shared" si="299"/>
        <v>0.73599999999999999</v>
      </c>
    </row>
    <row r="9587" spans="1:29">
      <c r="A9587" s="8" t="s">
        <v>677</v>
      </c>
      <c r="B9587" s="17" t="s">
        <v>7736</v>
      </c>
      <c r="C9587" s="13">
        <v>33909</v>
      </c>
      <c r="D9587" s="13" t="s">
        <v>8465</v>
      </c>
      <c r="E9587" s="10" t="s">
        <v>72</v>
      </c>
      <c r="F9587" s="10" t="s">
        <v>1312</v>
      </c>
      <c r="G9587" s="11" t="s">
        <v>677</v>
      </c>
      <c r="H9587" s="2" t="s">
        <v>1267</v>
      </c>
      <c r="L9587" s="18">
        <v>0</v>
      </c>
      <c r="Q9587" s="18">
        <v>0</v>
      </c>
      <c r="U9587" s="22">
        <v>0.82</v>
      </c>
      <c r="V9587" s="22">
        <f>3.65/5</f>
        <v>0.73</v>
      </c>
      <c r="X9587" s="3">
        <v>3</v>
      </c>
      <c r="Z9587" s="23">
        <v>2</v>
      </c>
      <c r="AB9587" s="18">
        <f t="shared" si="298"/>
        <v>1992</v>
      </c>
      <c r="AC9587" s="22">
        <f t="shared" si="299"/>
        <v>0.71666666666666667</v>
      </c>
    </row>
    <row r="9588" spans="1:29" ht="30">
      <c r="A9588" s="8" t="s">
        <v>11455</v>
      </c>
      <c r="B9588" s="17" t="s">
        <v>9581</v>
      </c>
      <c r="C9588" s="12">
        <v>33909</v>
      </c>
      <c r="D9588" s="13" t="s">
        <v>8465</v>
      </c>
      <c r="E9588" s="10" t="s">
        <v>1781</v>
      </c>
      <c r="F9588" s="10" t="s">
        <v>11456</v>
      </c>
      <c r="H9588" s="2" t="s">
        <v>1377</v>
      </c>
      <c r="L9588" s="18">
        <v>0</v>
      </c>
      <c r="Q9588" s="18">
        <v>0</v>
      </c>
      <c r="V9588" s="22">
        <f>3.38/5</f>
        <v>0.67599999999999993</v>
      </c>
      <c r="X9588" s="3">
        <v>2</v>
      </c>
      <c r="Z9588" s="23">
        <v>7.5</v>
      </c>
      <c r="AB9588" s="18">
        <f t="shared" si="298"/>
        <v>1992</v>
      </c>
      <c r="AC9588" s="22">
        <f t="shared" si="299"/>
        <v>0.53800000000000003</v>
      </c>
    </row>
    <row r="9589" spans="1:29" ht="25.5">
      <c r="A9589" s="8" t="s">
        <v>1439</v>
      </c>
      <c r="B9589" s="17" t="s">
        <v>7736</v>
      </c>
      <c r="C9589" s="12">
        <v>33909</v>
      </c>
      <c r="D9589" s="13" t="s">
        <v>8465</v>
      </c>
      <c r="E9589" s="10" t="s">
        <v>1263</v>
      </c>
      <c r="F9589" s="10" t="s">
        <v>82</v>
      </c>
      <c r="G9589" s="11" t="s">
        <v>1264</v>
      </c>
      <c r="H9589" s="2" t="s">
        <v>153</v>
      </c>
      <c r="L9589" s="18">
        <v>0</v>
      </c>
      <c r="Q9589" s="18">
        <v>0</v>
      </c>
      <c r="U9589" s="22">
        <v>0.7</v>
      </c>
      <c r="V9589" s="22">
        <f>2.66/5</f>
        <v>0.53200000000000003</v>
      </c>
      <c r="X9589" s="3">
        <v>2</v>
      </c>
      <c r="Z9589" s="23">
        <v>2.5</v>
      </c>
      <c r="AB9589" s="18">
        <f t="shared" si="298"/>
        <v>1992</v>
      </c>
      <c r="AC9589" s="22">
        <f t="shared" si="299"/>
        <v>0.54400000000000004</v>
      </c>
    </row>
    <row r="9590" spans="1:29" ht="25.5">
      <c r="A9590" s="8" t="s">
        <v>12607</v>
      </c>
      <c r="B9590" s="17" t="s">
        <v>7800</v>
      </c>
      <c r="C9590" s="12">
        <v>33909</v>
      </c>
      <c r="D9590" s="13" t="s">
        <v>8465</v>
      </c>
      <c r="E9590" s="10" t="s">
        <v>6884</v>
      </c>
      <c r="F9590" s="10" t="s">
        <v>6935</v>
      </c>
      <c r="H9590" s="2" t="s">
        <v>67</v>
      </c>
      <c r="L9590" s="18">
        <v>1</v>
      </c>
      <c r="P9590" s="18" t="s">
        <v>1107</v>
      </c>
      <c r="Q9590" s="18">
        <v>0</v>
      </c>
      <c r="V9590" s="22">
        <f>2.81/5</f>
        <v>0.56200000000000006</v>
      </c>
      <c r="W9590" s="14" t="s">
        <v>7777</v>
      </c>
      <c r="X9590" s="3">
        <v>2</v>
      </c>
      <c r="Z9590" s="23">
        <v>6</v>
      </c>
      <c r="AB9590" s="18">
        <f t="shared" si="298"/>
        <v>1992</v>
      </c>
      <c r="AC9590" s="22">
        <f t="shared" si="299"/>
        <v>0.48100000000000004</v>
      </c>
    </row>
    <row r="9591" spans="1:29">
      <c r="A9591" s="8" t="s">
        <v>15715</v>
      </c>
      <c r="B9591" s="17" t="s">
        <v>6317</v>
      </c>
      <c r="C9591" s="12">
        <v>33909</v>
      </c>
      <c r="D9591" s="13" t="s">
        <v>8465</v>
      </c>
      <c r="E9591" s="10" t="s">
        <v>15716</v>
      </c>
      <c r="F9591" s="10" t="s">
        <v>15485</v>
      </c>
      <c r="H9591" s="2" t="s">
        <v>459</v>
      </c>
      <c r="L9591" s="18">
        <v>0</v>
      </c>
      <c r="Q9591" s="18">
        <v>0</v>
      </c>
      <c r="V9591" s="22">
        <f>3.01/5</f>
        <v>0.60199999999999998</v>
      </c>
      <c r="X9591" s="3">
        <v>2</v>
      </c>
      <c r="Z9591" s="23">
        <f>17/60</f>
        <v>0.28333333333333333</v>
      </c>
      <c r="AB9591" s="18">
        <f t="shared" si="298"/>
        <v>1992</v>
      </c>
      <c r="AC9591" s="22">
        <f t="shared" si="299"/>
        <v>0.501</v>
      </c>
    </row>
    <row r="9592" spans="1:29">
      <c r="A9592" s="8" t="s">
        <v>422</v>
      </c>
      <c r="B9592" s="17" t="s">
        <v>6317</v>
      </c>
      <c r="C9592" s="13">
        <v>33908</v>
      </c>
      <c r="D9592" s="13" t="s">
        <v>8465</v>
      </c>
      <c r="E9592" s="10" t="s">
        <v>73</v>
      </c>
      <c r="F9592" s="10" t="s">
        <v>73</v>
      </c>
      <c r="G9592" s="11" t="s">
        <v>74</v>
      </c>
      <c r="H9592" s="2" t="s">
        <v>153</v>
      </c>
      <c r="L9592" s="18">
        <v>0</v>
      </c>
      <c r="Q9592" s="18">
        <v>0</v>
      </c>
      <c r="V9592" s="22">
        <f>3.7/5</f>
        <v>0.74</v>
      </c>
      <c r="X9592" s="3">
        <v>3</v>
      </c>
      <c r="Z9592" s="23">
        <v>1.5</v>
      </c>
      <c r="AB9592" s="18">
        <f t="shared" si="298"/>
        <v>1992</v>
      </c>
      <c r="AC9592" s="22">
        <f t="shared" si="299"/>
        <v>0.66999999999999993</v>
      </c>
    </row>
    <row r="9593" spans="1:29">
      <c r="A9593" s="8" t="s">
        <v>819</v>
      </c>
      <c r="B9593" s="17" t="s">
        <v>7736</v>
      </c>
      <c r="C9593" s="13">
        <v>33907</v>
      </c>
      <c r="D9593" s="13" t="s">
        <v>8463</v>
      </c>
      <c r="E9593" s="10" t="s">
        <v>228</v>
      </c>
      <c r="F9593" s="10" t="s">
        <v>228</v>
      </c>
      <c r="G9593" s="11" t="s">
        <v>1171</v>
      </c>
      <c r="H9593" s="2" t="s">
        <v>149</v>
      </c>
      <c r="K9593" s="18">
        <v>2</v>
      </c>
      <c r="L9593" s="18">
        <v>0</v>
      </c>
      <c r="Q9593" s="18">
        <v>0</v>
      </c>
      <c r="V9593" s="22">
        <f>3.75/5</f>
        <v>0.75</v>
      </c>
      <c r="X9593" s="3">
        <v>4</v>
      </c>
      <c r="Z9593" s="23">
        <v>34</v>
      </c>
      <c r="AB9593" s="18">
        <f t="shared" si="298"/>
        <v>1992</v>
      </c>
      <c r="AC9593" s="22">
        <f t="shared" si="299"/>
        <v>0.77500000000000002</v>
      </c>
    </row>
    <row r="9594" spans="1:29">
      <c r="A9594" s="8" t="s">
        <v>754</v>
      </c>
      <c r="B9594" s="17" t="s">
        <v>7736</v>
      </c>
      <c r="C9594" s="13">
        <v>33907</v>
      </c>
      <c r="D9594" s="13" t="s">
        <v>8463</v>
      </c>
      <c r="E9594" s="10" t="s">
        <v>1363</v>
      </c>
      <c r="F9594" s="10" t="s">
        <v>1364</v>
      </c>
      <c r="G9594" s="11" t="s">
        <v>754</v>
      </c>
      <c r="H9594" s="2" t="s">
        <v>149</v>
      </c>
      <c r="K9594" s="18">
        <v>2</v>
      </c>
      <c r="L9594" s="18">
        <v>0</v>
      </c>
      <c r="Q9594" s="18">
        <v>0</v>
      </c>
      <c r="V9594" s="22">
        <f>3.22/5</f>
        <v>0.64400000000000002</v>
      </c>
      <c r="X9594" s="3">
        <v>3</v>
      </c>
      <c r="AB9594" s="18">
        <f t="shared" si="298"/>
        <v>1992</v>
      </c>
      <c r="AC9594" s="22">
        <f t="shared" si="299"/>
        <v>0.622</v>
      </c>
    </row>
    <row r="9595" spans="1:29">
      <c r="A9595" s="8" t="s">
        <v>14042</v>
      </c>
      <c r="B9595" s="17" t="s">
        <v>7734</v>
      </c>
      <c r="C9595" s="13">
        <v>33907</v>
      </c>
      <c r="D9595" s="13" t="s">
        <v>8463</v>
      </c>
      <c r="E9595" s="10" t="s">
        <v>1430</v>
      </c>
      <c r="F9595" s="10" t="s">
        <v>1430</v>
      </c>
      <c r="H9595" s="2" t="s">
        <v>149</v>
      </c>
      <c r="K9595" s="18">
        <v>2</v>
      </c>
      <c r="L9595" s="18">
        <v>0</v>
      </c>
      <c r="Q9595" s="18">
        <v>0</v>
      </c>
      <c r="V9595" s="22">
        <f>2.63/5</f>
        <v>0.52600000000000002</v>
      </c>
      <c r="X9595" s="3">
        <v>2</v>
      </c>
      <c r="AB9595" s="18">
        <f t="shared" si="298"/>
        <v>1992</v>
      </c>
      <c r="AC9595" s="22">
        <f t="shared" si="299"/>
        <v>0.46300000000000002</v>
      </c>
    </row>
    <row r="9596" spans="1:29">
      <c r="A9596" s="8" t="s">
        <v>13141</v>
      </c>
      <c r="B9596" s="17" t="s">
        <v>13140</v>
      </c>
      <c r="C9596" s="13">
        <v>33907</v>
      </c>
      <c r="D9596" s="13" t="s">
        <v>8463</v>
      </c>
      <c r="E9596" s="10" t="s">
        <v>13142</v>
      </c>
      <c r="F9596" s="10" t="s">
        <v>13142</v>
      </c>
      <c r="H9596" s="2" t="s">
        <v>21</v>
      </c>
      <c r="K9596" s="18">
        <v>2</v>
      </c>
      <c r="L9596" s="18">
        <v>0</v>
      </c>
      <c r="Q9596" s="18">
        <v>0</v>
      </c>
      <c r="X9596" s="3">
        <v>2</v>
      </c>
      <c r="AB9596" s="18">
        <f t="shared" si="298"/>
        <v>1992</v>
      </c>
      <c r="AC9596" s="22">
        <f t="shared" si="299"/>
        <v>0.4</v>
      </c>
    </row>
    <row r="9597" spans="1:29" ht="25.5">
      <c r="A9597" s="8" t="s">
        <v>10811</v>
      </c>
      <c r="B9597" s="17" t="s">
        <v>7790</v>
      </c>
      <c r="C9597" s="13">
        <v>33900</v>
      </c>
      <c r="D9597" s="13" t="s">
        <v>8463</v>
      </c>
      <c r="E9597" s="10" t="s">
        <v>62</v>
      </c>
      <c r="F9597" s="10" t="s">
        <v>10812</v>
      </c>
      <c r="G9597" s="11" t="s">
        <v>10813</v>
      </c>
      <c r="H9597" s="2" t="s">
        <v>1057</v>
      </c>
      <c r="K9597" s="18">
        <v>2</v>
      </c>
      <c r="L9597" s="18">
        <v>0</v>
      </c>
      <c r="Q9597" s="18">
        <v>0</v>
      </c>
      <c r="V9597" s="22">
        <f>3.97/5</f>
        <v>0.79400000000000004</v>
      </c>
      <c r="X9597" s="3">
        <v>3</v>
      </c>
      <c r="Z9597" s="23">
        <v>4.5</v>
      </c>
      <c r="AB9597" s="18">
        <f t="shared" si="298"/>
        <v>1992</v>
      </c>
      <c r="AC9597" s="22">
        <f t="shared" si="299"/>
        <v>0.69700000000000006</v>
      </c>
    </row>
    <row r="9598" spans="1:29">
      <c r="A9598" s="8" t="s">
        <v>9076</v>
      </c>
      <c r="B9598" s="17" t="s">
        <v>7751</v>
      </c>
      <c r="C9598" s="13">
        <v>33900</v>
      </c>
      <c r="D9598" s="13" t="s">
        <v>8463</v>
      </c>
      <c r="E9598" s="10" t="s">
        <v>1361</v>
      </c>
      <c r="F9598" s="10" t="s">
        <v>9077</v>
      </c>
      <c r="H9598" s="2" t="s">
        <v>75</v>
      </c>
      <c r="K9598" s="18">
        <v>2</v>
      </c>
      <c r="L9598" s="18">
        <v>0</v>
      </c>
      <c r="Q9598" s="18">
        <v>0</v>
      </c>
      <c r="V9598" s="22">
        <f>3.82/5</f>
        <v>0.76400000000000001</v>
      </c>
      <c r="X9598" s="3">
        <v>2</v>
      </c>
      <c r="Z9598" s="23">
        <v>17</v>
      </c>
      <c r="AB9598" s="18">
        <f t="shared" si="298"/>
        <v>1992</v>
      </c>
      <c r="AC9598" s="22">
        <f t="shared" si="299"/>
        <v>0.58200000000000007</v>
      </c>
    </row>
    <row r="9599" spans="1:29" ht="30">
      <c r="A9599" s="8" t="s">
        <v>2502</v>
      </c>
      <c r="B9599" s="17" t="s">
        <v>7750</v>
      </c>
      <c r="C9599" s="13">
        <v>33893</v>
      </c>
      <c r="D9599" s="13" t="s">
        <v>8467</v>
      </c>
      <c r="E9599" s="10" t="s">
        <v>455</v>
      </c>
      <c r="F9599" s="10" t="s">
        <v>2510</v>
      </c>
      <c r="G9599" s="11" t="s">
        <v>1688</v>
      </c>
      <c r="H9599" s="2" t="s">
        <v>64</v>
      </c>
      <c r="L9599" s="18">
        <v>0</v>
      </c>
      <c r="Q9599" s="18">
        <v>0</v>
      </c>
      <c r="V9599" s="22">
        <f>3.74/5</f>
        <v>0.748</v>
      </c>
      <c r="X9599" s="3">
        <v>3</v>
      </c>
      <c r="Z9599" s="23">
        <v>2.5</v>
      </c>
      <c r="AB9599" s="18">
        <f t="shared" si="298"/>
        <v>1992</v>
      </c>
      <c r="AC9599" s="22">
        <f t="shared" si="299"/>
        <v>0.67399999999999993</v>
      </c>
    </row>
    <row r="9600" spans="1:29">
      <c r="A9600" s="8" t="s">
        <v>2781</v>
      </c>
      <c r="B9600" s="17" t="s">
        <v>7756</v>
      </c>
      <c r="C9600" s="13">
        <v>33893</v>
      </c>
      <c r="D9600" s="13" t="s">
        <v>8463</v>
      </c>
      <c r="E9600" s="10" t="s">
        <v>455</v>
      </c>
      <c r="F9600" s="10" t="s">
        <v>1786</v>
      </c>
      <c r="G9600" s="11" t="s">
        <v>1936</v>
      </c>
      <c r="H9600" s="2" t="s">
        <v>149</v>
      </c>
      <c r="K9600" s="18">
        <v>2</v>
      </c>
      <c r="L9600" s="18">
        <v>0</v>
      </c>
      <c r="Q9600" s="18">
        <v>0</v>
      </c>
      <c r="V9600" s="22">
        <f>2.8/5</f>
        <v>0.55999999999999994</v>
      </c>
      <c r="X9600" s="3">
        <v>3</v>
      </c>
      <c r="Z9600" s="23">
        <v>8</v>
      </c>
      <c r="AB9600" s="18">
        <f t="shared" si="298"/>
        <v>1992</v>
      </c>
      <c r="AC9600" s="22">
        <f t="shared" si="299"/>
        <v>0.57999999999999996</v>
      </c>
    </row>
    <row r="9601" spans="1:29" ht="38.25">
      <c r="A9601" s="8" t="s">
        <v>6781</v>
      </c>
      <c r="B9601" s="17" t="s">
        <v>7800</v>
      </c>
      <c r="C9601" s="13">
        <v>33890</v>
      </c>
      <c r="D9601" s="13" t="s">
        <v>8465</v>
      </c>
      <c r="E9601" s="10" t="s">
        <v>1496</v>
      </c>
      <c r="F9601" s="10" t="s">
        <v>1496</v>
      </c>
      <c r="G9601" s="11" t="s">
        <v>6895</v>
      </c>
      <c r="H9601" s="2" t="s">
        <v>67</v>
      </c>
      <c r="L9601" s="18">
        <v>1</v>
      </c>
      <c r="N9601" s="13">
        <v>43956</v>
      </c>
      <c r="O9601" s="29">
        <v>0</v>
      </c>
      <c r="P9601" s="18" t="s">
        <v>1107</v>
      </c>
      <c r="Q9601" s="18">
        <v>0</v>
      </c>
      <c r="U9601" s="22">
        <v>0.89</v>
      </c>
      <c r="V9601" s="22">
        <f>4.17/5</f>
        <v>0.83399999999999996</v>
      </c>
      <c r="W9601" s="14" t="s">
        <v>7777</v>
      </c>
      <c r="X9601" s="3">
        <v>3</v>
      </c>
      <c r="Z9601" s="23">
        <v>6</v>
      </c>
      <c r="AB9601" s="18">
        <f t="shared" ref="AB9601:AB9664" si="300">IFERROR(YEAR(C9601), "Early Access")</f>
        <v>1992</v>
      </c>
      <c r="AC9601" s="22">
        <f t="shared" ref="AC9601:AC9664" si="301">AVERAGE(T9601, U9601, V9601, IF(ISBLANK(X9601), X9601, X9601/5))</f>
        <v>0.77466666666666661</v>
      </c>
    </row>
    <row r="9602" spans="1:29">
      <c r="A9602" s="8" t="s">
        <v>17</v>
      </c>
      <c r="B9602" s="17" t="s">
        <v>6317</v>
      </c>
      <c r="C9602" s="13">
        <v>33885</v>
      </c>
      <c r="D9602" s="13" t="s">
        <v>8465</v>
      </c>
      <c r="E9602" s="10" t="s">
        <v>485</v>
      </c>
      <c r="F9602" s="10" t="s">
        <v>485</v>
      </c>
      <c r="G9602" s="11" t="s">
        <v>17</v>
      </c>
      <c r="H9602" s="2" t="s">
        <v>459</v>
      </c>
      <c r="L9602" s="18">
        <v>0</v>
      </c>
      <c r="Q9602" s="18">
        <v>0</v>
      </c>
      <c r="V9602" s="22">
        <f>3.72/5</f>
        <v>0.74399999999999999</v>
      </c>
      <c r="X9602" s="3">
        <v>2</v>
      </c>
      <c r="Z9602" s="23">
        <v>1</v>
      </c>
      <c r="AB9602" s="18">
        <f t="shared" si="300"/>
        <v>1992</v>
      </c>
      <c r="AC9602" s="22">
        <f t="shared" si="301"/>
        <v>0.57200000000000006</v>
      </c>
    </row>
    <row r="9603" spans="1:29" ht="25.5">
      <c r="A9603" s="8" t="s">
        <v>8350</v>
      </c>
      <c r="B9603" s="17" t="s">
        <v>7736</v>
      </c>
      <c r="C9603" s="13">
        <v>33882</v>
      </c>
      <c r="D9603" s="13" t="s">
        <v>8465</v>
      </c>
      <c r="E9603" s="10" t="s">
        <v>161</v>
      </c>
      <c r="F9603" s="10" t="s">
        <v>161</v>
      </c>
      <c r="G9603" s="11" t="s">
        <v>126</v>
      </c>
      <c r="H9603" s="2" t="s">
        <v>149</v>
      </c>
      <c r="L9603" s="18">
        <v>1</v>
      </c>
      <c r="M9603" s="14" t="s">
        <v>10622</v>
      </c>
      <c r="N9603" s="13">
        <v>43871</v>
      </c>
      <c r="O9603" s="29">
        <v>12.9</v>
      </c>
      <c r="P9603" s="18" t="s">
        <v>14</v>
      </c>
      <c r="Q9603" s="18">
        <v>0</v>
      </c>
      <c r="U9603" s="22">
        <v>0.67</v>
      </c>
      <c r="V9603" s="22">
        <f>3.39/5</f>
        <v>0.67800000000000005</v>
      </c>
      <c r="X9603" s="3">
        <v>3</v>
      </c>
      <c r="Z9603" s="23">
        <v>13.5</v>
      </c>
      <c r="AB9603" s="18">
        <f t="shared" si="300"/>
        <v>1992</v>
      </c>
      <c r="AC9603" s="22">
        <f t="shared" si="301"/>
        <v>0.64933333333333332</v>
      </c>
    </row>
    <row r="9604" spans="1:29">
      <c r="A9604" s="8" t="s">
        <v>15079</v>
      </c>
      <c r="B9604" s="17" t="s">
        <v>7789</v>
      </c>
      <c r="C9604" s="13">
        <v>33879</v>
      </c>
      <c r="D9604" s="13" t="s">
        <v>8463</v>
      </c>
      <c r="E9604" s="10" t="s">
        <v>144</v>
      </c>
      <c r="F9604" s="10" t="s">
        <v>15080</v>
      </c>
      <c r="G9604" s="11" t="s">
        <v>15079</v>
      </c>
      <c r="H9604" s="2" t="s">
        <v>1170</v>
      </c>
      <c r="K9604" s="18">
        <v>2</v>
      </c>
      <c r="L9604" s="18">
        <v>0</v>
      </c>
      <c r="Q9604" s="18">
        <v>0</v>
      </c>
      <c r="V9604" s="22">
        <f>3.7/5</f>
        <v>0.74</v>
      </c>
      <c r="X9604" s="3">
        <v>2</v>
      </c>
      <c r="Z9604" s="23">
        <f>55/60</f>
        <v>0.91666666666666663</v>
      </c>
      <c r="AB9604" s="18">
        <f t="shared" si="300"/>
        <v>1992</v>
      </c>
      <c r="AC9604" s="22">
        <f t="shared" si="301"/>
        <v>0.57000000000000006</v>
      </c>
    </row>
    <row r="9605" spans="1:29">
      <c r="A9605" s="8" t="s">
        <v>219</v>
      </c>
      <c r="B9605" s="17" t="s">
        <v>7734</v>
      </c>
      <c r="C9605" s="12">
        <v>33878</v>
      </c>
      <c r="D9605" s="13" t="s">
        <v>8465</v>
      </c>
      <c r="E9605" s="10" t="s">
        <v>257</v>
      </c>
      <c r="F9605" s="10" t="s">
        <v>164</v>
      </c>
      <c r="G9605" s="11" t="s">
        <v>140</v>
      </c>
      <c r="H9605" s="2" t="s">
        <v>149</v>
      </c>
      <c r="L9605" s="18">
        <v>0</v>
      </c>
      <c r="Q9605" s="18">
        <v>0</v>
      </c>
      <c r="V9605" s="22">
        <f>4.15/5</f>
        <v>0.83000000000000007</v>
      </c>
      <c r="X9605" s="3">
        <v>4</v>
      </c>
      <c r="Z9605" s="23">
        <v>21</v>
      </c>
      <c r="AB9605" s="18">
        <f t="shared" si="300"/>
        <v>1992</v>
      </c>
      <c r="AC9605" s="22">
        <f t="shared" si="301"/>
        <v>0.81500000000000006</v>
      </c>
    </row>
    <row r="9606" spans="1:29" ht="25.5">
      <c r="A9606" s="8" t="s">
        <v>46</v>
      </c>
      <c r="B9606" s="17" t="s">
        <v>7734</v>
      </c>
      <c r="C9606" s="12">
        <v>33878</v>
      </c>
      <c r="D9606" s="13" t="s">
        <v>8465</v>
      </c>
      <c r="E9606" s="10" t="s">
        <v>73</v>
      </c>
      <c r="F9606" s="10" t="s">
        <v>73</v>
      </c>
      <c r="G9606" s="11" t="s">
        <v>79</v>
      </c>
      <c r="H9606" s="2" t="s">
        <v>80</v>
      </c>
      <c r="L9606" s="18">
        <v>0</v>
      </c>
      <c r="Q9606" s="18">
        <v>0</v>
      </c>
      <c r="V9606" s="22">
        <f>3.78/5</f>
        <v>0.75600000000000001</v>
      </c>
      <c r="X9606" s="3">
        <v>3</v>
      </c>
      <c r="Z9606" s="23">
        <v>3</v>
      </c>
      <c r="AB9606" s="18">
        <f t="shared" si="300"/>
        <v>1992</v>
      </c>
      <c r="AC9606" s="22">
        <f t="shared" si="301"/>
        <v>0.67799999999999994</v>
      </c>
    </row>
    <row r="9607" spans="1:29">
      <c r="A9607" s="8" t="s">
        <v>14925</v>
      </c>
      <c r="B9607" s="17" t="s">
        <v>7736</v>
      </c>
      <c r="C9607" s="12">
        <v>33878</v>
      </c>
      <c r="D9607" s="13" t="s">
        <v>8465</v>
      </c>
      <c r="E9607" s="10" t="s">
        <v>86</v>
      </c>
      <c r="F9607" s="10" t="s">
        <v>14926</v>
      </c>
      <c r="G9607" s="11" t="s">
        <v>14925</v>
      </c>
      <c r="H9607" s="2" t="s">
        <v>1170</v>
      </c>
      <c r="L9607" s="18">
        <v>0</v>
      </c>
      <c r="Q9607" s="18">
        <v>0</v>
      </c>
      <c r="V9607" s="22">
        <f>3.68/5</f>
        <v>0.73599999999999999</v>
      </c>
      <c r="X9607" s="3">
        <v>3</v>
      </c>
      <c r="Z9607" s="23">
        <f>57/60</f>
        <v>0.95</v>
      </c>
      <c r="AB9607" s="18">
        <f t="shared" si="300"/>
        <v>1992</v>
      </c>
      <c r="AC9607" s="22">
        <f t="shared" si="301"/>
        <v>0.66799999999999993</v>
      </c>
    </row>
    <row r="9608" spans="1:29">
      <c r="A9608" s="8" t="s">
        <v>679</v>
      </c>
      <c r="B9608" s="17" t="s">
        <v>7736</v>
      </c>
      <c r="C9608" s="12">
        <v>33878</v>
      </c>
      <c r="D9608" s="13" t="s">
        <v>8465</v>
      </c>
      <c r="E9608" s="10" t="s">
        <v>1314</v>
      </c>
      <c r="F9608" s="10" t="s">
        <v>167</v>
      </c>
      <c r="G9608" s="11" t="s">
        <v>1315</v>
      </c>
      <c r="H9608" s="2" t="s">
        <v>21</v>
      </c>
      <c r="L9608" s="18">
        <v>0</v>
      </c>
      <c r="Q9608" s="18">
        <v>0</v>
      </c>
      <c r="U9608" s="22">
        <v>0.87</v>
      </c>
      <c r="V9608" s="22">
        <f>3.8/5</f>
        <v>0.76</v>
      </c>
      <c r="X9608" s="3">
        <v>2</v>
      </c>
      <c r="Z9608" s="23">
        <v>2</v>
      </c>
      <c r="AB9608" s="18">
        <f t="shared" si="300"/>
        <v>1992</v>
      </c>
      <c r="AC9608" s="22">
        <f t="shared" si="301"/>
        <v>0.67666666666666664</v>
      </c>
    </row>
    <row r="9609" spans="1:29">
      <c r="A9609" s="8" t="s">
        <v>13202</v>
      </c>
      <c r="B9609" s="17" t="s">
        <v>7745</v>
      </c>
      <c r="C9609" s="12">
        <v>33878</v>
      </c>
      <c r="D9609" s="13" t="s">
        <v>8465</v>
      </c>
      <c r="E9609" s="10" t="s">
        <v>252</v>
      </c>
      <c r="F9609" s="10" t="s">
        <v>480</v>
      </c>
      <c r="G9609" s="11" t="s">
        <v>13201</v>
      </c>
      <c r="H9609" s="2" t="s">
        <v>80</v>
      </c>
      <c r="L9609" s="18">
        <v>0</v>
      </c>
      <c r="Q9609" s="18">
        <v>0</v>
      </c>
      <c r="V9609" s="22">
        <f>4.07/5</f>
        <v>0.81400000000000006</v>
      </c>
      <c r="X9609" s="3">
        <v>2</v>
      </c>
      <c r="Z9609" s="23">
        <v>2</v>
      </c>
      <c r="AB9609" s="18">
        <f t="shared" si="300"/>
        <v>1992</v>
      </c>
      <c r="AC9609" s="22">
        <f t="shared" si="301"/>
        <v>0.60699999999999998</v>
      </c>
    </row>
    <row r="9610" spans="1:29">
      <c r="A9610" s="8" t="s">
        <v>38</v>
      </c>
      <c r="B9610" s="17" t="s">
        <v>7734</v>
      </c>
      <c r="C9610" s="12">
        <v>33878</v>
      </c>
      <c r="D9610" s="13" t="s">
        <v>8465</v>
      </c>
      <c r="E9610" s="10" t="s">
        <v>54</v>
      </c>
      <c r="F9610" s="10" t="s">
        <v>66</v>
      </c>
      <c r="G9610" s="11" t="s">
        <v>49</v>
      </c>
      <c r="H9610" s="2" t="s">
        <v>56</v>
      </c>
      <c r="L9610" s="18">
        <v>0</v>
      </c>
      <c r="Q9610" s="18">
        <v>0</v>
      </c>
      <c r="V9610" s="22">
        <f>3.75/5</f>
        <v>0.75</v>
      </c>
      <c r="X9610" s="3">
        <v>2</v>
      </c>
      <c r="Z9610" s="23">
        <v>1</v>
      </c>
      <c r="AB9610" s="18">
        <f t="shared" si="300"/>
        <v>1992</v>
      </c>
      <c r="AC9610" s="22">
        <f t="shared" si="301"/>
        <v>0.57499999999999996</v>
      </c>
    </row>
    <row r="9611" spans="1:29">
      <c r="A9611" s="8" t="s">
        <v>14332</v>
      </c>
      <c r="B9611" s="17" t="s">
        <v>7734</v>
      </c>
      <c r="C9611" s="13">
        <v>33878</v>
      </c>
      <c r="D9611" s="13" t="s">
        <v>8465</v>
      </c>
      <c r="E9611" s="10" t="s">
        <v>54</v>
      </c>
      <c r="F9611" s="10" t="s">
        <v>1244</v>
      </c>
      <c r="H9611" s="2" t="s">
        <v>56</v>
      </c>
      <c r="L9611" s="18">
        <v>0</v>
      </c>
      <c r="Q9611" s="18">
        <v>0</v>
      </c>
      <c r="V9611" s="22">
        <f>3.67/5</f>
        <v>0.73399999999999999</v>
      </c>
      <c r="X9611" s="3">
        <v>2</v>
      </c>
      <c r="Z9611" s="23">
        <f>30/60</f>
        <v>0.5</v>
      </c>
      <c r="AB9611" s="18">
        <f t="shared" si="300"/>
        <v>1992</v>
      </c>
      <c r="AC9611" s="22">
        <f t="shared" si="301"/>
        <v>0.56699999999999995</v>
      </c>
    </row>
    <row r="9612" spans="1:29">
      <c r="A9612" s="8" t="s">
        <v>11824</v>
      </c>
      <c r="B9612" s="17" t="s">
        <v>7734</v>
      </c>
      <c r="C9612" s="12">
        <v>33878</v>
      </c>
      <c r="D9612" s="13" t="s">
        <v>8465</v>
      </c>
      <c r="E9612" s="10" t="s">
        <v>59</v>
      </c>
      <c r="F9612" s="10" t="s">
        <v>59</v>
      </c>
      <c r="H9612" s="2" t="s">
        <v>149</v>
      </c>
      <c r="L9612" s="18">
        <v>0</v>
      </c>
      <c r="Q9612" s="18">
        <v>0</v>
      </c>
      <c r="V9612" s="22">
        <f>3.2/5</f>
        <v>0.64</v>
      </c>
      <c r="X9612" s="3">
        <v>2</v>
      </c>
      <c r="Z9612" s="23">
        <v>8.5</v>
      </c>
      <c r="AB9612" s="18">
        <f t="shared" si="300"/>
        <v>1992</v>
      </c>
      <c r="AC9612" s="22">
        <f t="shared" si="301"/>
        <v>0.52</v>
      </c>
    </row>
    <row r="9613" spans="1:29" ht="25.5">
      <c r="A9613" s="8" t="s">
        <v>7715</v>
      </c>
      <c r="B9613" s="17" t="s">
        <v>7736</v>
      </c>
      <c r="C9613" s="12">
        <v>33878</v>
      </c>
      <c r="D9613" s="13" t="s">
        <v>8465</v>
      </c>
      <c r="E9613" s="10" t="s">
        <v>1299</v>
      </c>
      <c r="F9613" s="10" t="s">
        <v>1299</v>
      </c>
      <c r="G9613" s="11" t="s">
        <v>1300</v>
      </c>
      <c r="H9613" s="2" t="s">
        <v>56</v>
      </c>
      <c r="L9613" s="18">
        <v>0</v>
      </c>
      <c r="Q9613" s="18">
        <v>0</v>
      </c>
      <c r="V9613" s="22">
        <f>3.17/5</f>
        <v>0.63400000000000001</v>
      </c>
      <c r="X9613" s="3">
        <v>2</v>
      </c>
      <c r="Z9613" s="23">
        <v>2.5</v>
      </c>
      <c r="AB9613" s="18">
        <f t="shared" si="300"/>
        <v>1992</v>
      </c>
      <c r="AC9613" s="22">
        <f t="shared" si="301"/>
        <v>0.51700000000000002</v>
      </c>
    </row>
    <row r="9614" spans="1:29">
      <c r="A9614" s="8" t="s">
        <v>672</v>
      </c>
      <c r="B9614" s="17" t="s">
        <v>7736</v>
      </c>
      <c r="C9614" s="12">
        <v>33878</v>
      </c>
      <c r="D9614" s="13" t="s">
        <v>8465</v>
      </c>
      <c r="E9614" s="10" t="s">
        <v>59</v>
      </c>
      <c r="F9614" s="10" t="s">
        <v>1310</v>
      </c>
      <c r="H9614" s="2" t="s">
        <v>21</v>
      </c>
      <c r="L9614" s="18">
        <v>0</v>
      </c>
      <c r="Q9614" s="18">
        <v>0</v>
      </c>
      <c r="U9614" s="22">
        <v>0.56000000000000005</v>
      </c>
      <c r="V9614" s="22">
        <f>3.5/5</f>
        <v>0.7</v>
      </c>
      <c r="X9614" s="3">
        <v>2</v>
      </c>
      <c r="Z9614" s="23">
        <v>2</v>
      </c>
      <c r="AB9614" s="18">
        <f t="shared" si="300"/>
        <v>1992</v>
      </c>
      <c r="AC9614" s="22">
        <f t="shared" si="301"/>
        <v>0.55333333333333334</v>
      </c>
    </row>
    <row r="9615" spans="1:29" ht="25.5">
      <c r="A9615" s="8" t="s">
        <v>1462</v>
      </c>
      <c r="B9615" s="17" t="s">
        <v>7736</v>
      </c>
      <c r="C9615" s="13">
        <v>33874</v>
      </c>
      <c r="D9615" s="13" t="s">
        <v>8463</v>
      </c>
      <c r="E9615" s="10" t="s">
        <v>257</v>
      </c>
      <c r="F9615" s="10" t="s">
        <v>164</v>
      </c>
      <c r="G9615" s="11" t="s">
        <v>140</v>
      </c>
      <c r="H9615" s="2" t="s">
        <v>149</v>
      </c>
      <c r="K9615" s="18">
        <v>2</v>
      </c>
      <c r="L9615" s="18">
        <v>0</v>
      </c>
      <c r="Q9615" s="18">
        <v>0</v>
      </c>
      <c r="U9615" s="22">
        <v>0.86</v>
      </c>
      <c r="V9615" s="22">
        <f>4.14/5</f>
        <v>0.82799999999999996</v>
      </c>
      <c r="X9615" s="3">
        <v>4</v>
      </c>
      <c r="Z9615" s="23">
        <v>30.5</v>
      </c>
      <c r="AB9615" s="18">
        <f t="shared" si="300"/>
        <v>1992</v>
      </c>
      <c r="AC9615" s="22">
        <f t="shared" si="301"/>
        <v>0.82933333333333337</v>
      </c>
    </row>
    <row r="9616" spans="1:29">
      <c r="A9616" s="8" t="s">
        <v>14044</v>
      </c>
      <c r="B9616" s="17" t="s">
        <v>10323</v>
      </c>
      <c r="C9616" s="13">
        <v>33872</v>
      </c>
      <c r="D9616" s="13" t="s">
        <v>8463</v>
      </c>
      <c r="E9616" s="10" t="s">
        <v>14045</v>
      </c>
      <c r="F9616" s="10" t="s">
        <v>14045</v>
      </c>
      <c r="H9616" s="2" t="s">
        <v>1518</v>
      </c>
      <c r="K9616" s="18">
        <v>2</v>
      </c>
      <c r="L9616" s="18">
        <v>0</v>
      </c>
      <c r="Q9616" s="18">
        <v>0</v>
      </c>
      <c r="V9616" s="22">
        <f>5/5</f>
        <v>1</v>
      </c>
      <c r="X9616" s="3">
        <v>2</v>
      </c>
      <c r="AB9616" s="18">
        <f t="shared" si="300"/>
        <v>1992</v>
      </c>
      <c r="AC9616" s="22">
        <f t="shared" si="301"/>
        <v>0.7</v>
      </c>
    </row>
    <row r="9617" spans="1:29" ht="25.5">
      <c r="A9617" s="8" t="s">
        <v>1819</v>
      </c>
      <c r="B9617" s="17" t="s">
        <v>7745</v>
      </c>
      <c r="C9617" s="13">
        <v>33861</v>
      </c>
      <c r="D9617" s="13" t="s">
        <v>8463</v>
      </c>
      <c r="E9617" s="10" t="s">
        <v>86</v>
      </c>
      <c r="F9617" s="10" t="s">
        <v>142</v>
      </c>
      <c r="H9617" s="2" t="s">
        <v>171</v>
      </c>
      <c r="K9617" s="18">
        <v>2</v>
      </c>
      <c r="L9617" s="18">
        <v>0</v>
      </c>
      <c r="Q9617" s="18">
        <v>0</v>
      </c>
      <c r="V9617" s="22">
        <f>3.98/5</f>
        <v>0.79600000000000004</v>
      </c>
      <c r="X9617" s="3">
        <v>4</v>
      </c>
      <c r="Z9617" s="23">
        <v>6</v>
      </c>
      <c r="AB9617" s="18">
        <f t="shared" si="300"/>
        <v>1992</v>
      </c>
      <c r="AC9617" s="22">
        <f t="shared" si="301"/>
        <v>0.79800000000000004</v>
      </c>
    </row>
    <row r="9618" spans="1:29">
      <c r="A9618" s="8" t="s">
        <v>2587</v>
      </c>
      <c r="B9618" s="17" t="s">
        <v>7751</v>
      </c>
      <c r="C9618" s="13">
        <v>33858</v>
      </c>
      <c r="D9618" s="13" t="s">
        <v>8467</v>
      </c>
      <c r="E9618" s="10" t="s">
        <v>455</v>
      </c>
      <c r="F9618" s="10" t="s">
        <v>160</v>
      </c>
      <c r="G9618" s="11" t="s">
        <v>2500</v>
      </c>
      <c r="H9618" s="2" t="s">
        <v>21</v>
      </c>
      <c r="L9618" s="18">
        <v>0</v>
      </c>
      <c r="Q9618" s="18">
        <v>0</v>
      </c>
      <c r="U9618" s="22">
        <v>0.77</v>
      </c>
      <c r="V9618" s="22">
        <f>3.75/5</f>
        <v>0.75</v>
      </c>
      <c r="X9618" s="3">
        <v>3</v>
      </c>
      <c r="Z9618" s="23">
        <v>0.7</v>
      </c>
      <c r="AB9618" s="18">
        <f t="shared" si="300"/>
        <v>1992</v>
      </c>
      <c r="AC9618" s="22">
        <f t="shared" si="301"/>
        <v>0.70666666666666667</v>
      </c>
    </row>
    <row r="9619" spans="1:29">
      <c r="A9619" s="8" t="s">
        <v>533</v>
      </c>
      <c r="B9619" s="17" t="s">
        <v>7731</v>
      </c>
      <c r="C9619" s="13">
        <v>33858</v>
      </c>
      <c r="D9619" s="13" t="s">
        <v>8465</v>
      </c>
      <c r="E9619" s="10" t="s">
        <v>170</v>
      </c>
      <c r="F9619" s="10" t="s">
        <v>1222</v>
      </c>
      <c r="G9619" s="11" t="s">
        <v>533</v>
      </c>
      <c r="H9619" s="2" t="s">
        <v>459</v>
      </c>
      <c r="L9619" s="18">
        <v>0</v>
      </c>
      <c r="Q9619" s="18">
        <v>0</v>
      </c>
      <c r="V9619" s="22">
        <f>3.17/5</f>
        <v>0.63400000000000001</v>
      </c>
      <c r="X9619" s="3">
        <v>2</v>
      </c>
      <c r="Z9619" s="23">
        <v>0.73333333333333295</v>
      </c>
      <c r="AB9619" s="18">
        <f t="shared" si="300"/>
        <v>1992</v>
      </c>
      <c r="AC9619" s="22">
        <f t="shared" si="301"/>
        <v>0.51700000000000002</v>
      </c>
    </row>
    <row r="9620" spans="1:29">
      <c r="A9620" s="8" t="s">
        <v>14685</v>
      </c>
      <c r="B9620" s="17" t="s">
        <v>6317</v>
      </c>
      <c r="C9620" s="12">
        <v>33848</v>
      </c>
      <c r="D9620" s="13" t="s">
        <v>8465</v>
      </c>
      <c r="E9620" s="10" t="s">
        <v>54</v>
      </c>
      <c r="F9620" s="10" t="s">
        <v>54</v>
      </c>
      <c r="H9620" s="2" t="s">
        <v>1050</v>
      </c>
      <c r="L9620" s="18">
        <v>0</v>
      </c>
      <c r="Q9620" s="18">
        <v>0</v>
      </c>
      <c r="V9620" s="22">
        <f>3.72/5</f>
        <v>0.74399999999999999</v>
      </c>
      <c r="X9620" s="3">
        <v>2</v>
      </c>
      <c r="AB9620" s="18">
        <f t="shared" si="300"/>
        <v>1992</v>
      </c>
      <c r="AC9620" s="22">
        <f t="shared" si="301"/>
        <v>0.57200000000000006</v>
      </c>
    </row>
    <row r="9621" spans="1:29">
      <c r="A9621" s="8" t="s">
        <v>15</v>
      </c>
      <c r="B9621" s="17" t="s">
        <v>7745</v>
      </c>
      <c r="C9621" s="12">
        <v>33848</v>
      </c>
      <c r="D9621" s="13" t="s">
        <v>8465</v>
      </c>
      <c r="E9621" s="10" t="s">
        <v>73</v>
      </c>
      <c r="F9621" s="10" t="s">
        <v>1745</v>
      </c>
      <c r="G9621" s="11" t="s">
        <v>15</v>
      </c>
      <c r="H9621" s="2" t="s">
        <v>56</v>
      </c>
      <c r="L9621" s="18">
        <v>0</v>
      </c>
      <c r="Q9621" s="18">
        <v>0</v>
      </c>
      <c r="U9621" s="22">
        <v>0.81</v>
      </c>
      <c r="V9621" s="22">
        <f>3.77/5</f>
        <v>0.754</v>
      </c>
      <c r="X9621" s="3">
        <v>3</v>
      </c>
      <c r="Z9621" s="23">
        <v>5.5</v>
      </c>
      <c r="AB9621" s="18">
        <f t="shared" si="300"/>
        <v>1992</v>
      </c>
      <c r="AC9621" s="22">
        <f t="shared" si="301"/>
        <v>0.72133333333333338</v>
      </c>
    </row>
    <row r="9622" spans="1:29">
      <c r="A9622" s="8" t="s">
        <v>65</v>
      </c>
      <c r="B9622" s="17" t="s">
        <v>7734</v>
      </c>
      <c r="C9622" s="12">
        <v>33848</v>
      </c>
      <c r="D9622" s="13" t="s">
        <v>8465</v>
      </c>
      <c r="E9622" s="10" t="s">
        <v>62</v>
      </c>
      <c r="F9622" s="10" t="s">
        <v>63</v>
      </c>
      <c r="G9622" s="11" t="s">
        <v>41</v>
      </c>
      <c r="H9622" s="2" t="s">
        <v>64</v>
      </c>
      <c r="L9622" s="18">
        <v>0</v>
      </c>
      <c r="Q9622" s="18">
        <v>0</v>
      </c>
      <c r="V9622" s="22">
        <f>3.68/5</f>
        <v>0.73599999999999999</v>
      </c>
      <c r="X9622" s="3">
        <v>2</v>
      </c>
      <c r="Z9622" s="23">
        <v>1.5</v>
      </c>
      <c r="AB9622" s="18">
        <f t="shared" si="300"/>
        <v>1992</v>
      </c>
      <c r="AC9622" s="22">
        <f t="shared" si="301"/>
        <v>0.56800000000000006</v>
      </c>
    </row>
    <row r="9623" spans="1:29">
      <c r="A9623" s="8" t="s">
        <v>13199</v>
      </c>
      <c r="B9623" s="17" t="s">
        <v>7745</v>
      </c>
      <c r="C9623" s="12">
        <v>33848</v>
      </c>
      <c r="D9623" s="13" t="s">
        <v>8465</v>
      </c>
      <c r="E9623" s="10" t="s">
        <v>252</v>
      </c>
      <c r="F9623" s="10" t="s">
        <v>480</v>
      </c>
      <c r="G9623" s="11" t="s">
        <v>13200</v>
      </c>
      <c r="H9623" s="2" t="s">
        <v>80</v>
      </c>
      <c r="L9623" s="18">
        <v>0</v>
      </c>
      <c r="Q9623" s="18">
        <v>0</v>
      </c>
      <c r="V9623" s="22">
        <f>3.61/5</f>
        <v>0.72199999999999998</v>
      </c>
      <c r="X9623" s="3">
        <v>2</v>
      </c>
      <c r="AB9623" s="18">
        <f t="shared" si="300"/>
        <v>1992</v>
      </c>
      <c r="AC9623" s="22">
        <f t="shared" si="301"/>
        <v>0.56099999999999994</v>
      </c>
    </row>
    <row r="9624" spans="1:29">
      <c r="A9624" s="8" t="s">
        <v>640</v>
      </c>
      <c r="B9624" s="17" t="s">
        <v>7736</v>
      </c>
      <c r="C9624" s="12">
        <v>33848</v>
      </c>
      <c r="D9624" s="13" t="s">
        <v>8465</v>
      </c>
      <c r="E9624" s="10" t="s">
        <v>144</v>
      </c>
      <c r="F9624" s="10" t="s">
        <v>144</v>
      </c>
      <c r="H9624" s="2" t="s">
        <v>64</v>
      </c>
      <c r="L9624" s="18">
        <v>0</v>
      </c>
      <c r="Q9624" s="18">
        <v>0</v>
      </c>
      <c r="U9624" s="22">
        <v>0.74</v>
      </c>
      <c r="V9624" s="22">
        <f>3.3/5</f>
        <v>0.65999999999999992</v>
      </c>
      <c r="X9624" s="3">
        <v>2</v>
      </c>
      <c r="Z9624" s="23">
        <v>0.87</v>
      </c>
      <c r="AB9624" s="18">
        <f t="shared" si="300"/>
        <v>1992</v>
      </c>
      <c r="AC9624" s="22">
        <f t="shared" si="301"/>
        <v>0.6</v>
      </c>
    </row>
    <row r="9625" spans="1:29">
      <c r="A9625" s="8" t="s">
        <v>14930</v>
      </c>
      <c r="B9625" s="17" t="s">
        <v>6317</v>
      </c>
      <c r="C9625" s="12">
        <v>33848</v>
      </c>
      <c r="D9625" s="13" t="s">
        <v>8465</v>
      </c>
      <c r="E9625" s="10" t="s">
        <v>72</v>
      </c>
      <c r="F9625" s="10" t="s">
        <v>72</v>
      </c>
      <c r="G9625" s="11" t="s">
        <v>14930</v>
      </c>
      <c r="H9625" s="2" t="s">
        <v>1170</v>
      </c>
      <c r="L9625" s="18">
        <v>0</v>
      </c>
      <c r="Q9625" s="18">
        <v>0</v>
      </c>
      <c r="V9625" s="22">
        <f>3.39/5</f>
        <v>0.67800000000000005</v>
      </c>
      <c r="X9625" s="3">
        <v>2</v>
      </c>
      <c r="Z9625" s="23">
        <f>50/60</f>
        <v>0.83333333333333337</v>
      </c>
      <c r="AB9625" s="18">
        <f t="shared" si="300"/>
        <v>1992</v>
      </c>
      <c r="AC9625" s="22">
        <f t="shared" si="301"/>
        <v>0.53900000000000003</v>
      </c>
    </row>
    <row r="9626" spans="1:29">
      <c r="A9626" s="8" t="s">
        <v>6622</v>
      </c>
      <c r="B9626" s="17" t="s">
        <v>6317</v>
      </c>
      <c r="C9626" s="12">
        <v>33848</v>
      </c>
      <c r="D9626" s="13" t="s">
        <v>8463</v>
      </c>
      <c r="E9626" s="10" t="s">
        <v>76</v>
      </c>
      <c r="F9626" s="10" t="s">
        <v>76</v>
      </c>
      <c r="G9626" s="11" t="s">
        <v>6620</v>
      </c>
      <c r="H9626" s="2" t="s">
        <v>21</v>
      </c>
      <c r="K9626" s="18">
        <v>0</v>
      </c>
      <c r="L9626" s="18">
        <v>0</v>
      </c>
      <c r="Q9626" s="18">
        <v>0</v>
      </c>
      <c r="V9626" s="22">
        <f>2.88/5</f>
        <v>0.57599999999999996</v>
      </c>
      <c r="X9626" s="3">
        <v>2</v>
      </c>
      <c r="Z9626" s="23">
        <v>2</v>
      </c>
      <c r="AB9626" s="18">
        <f t="shared" si="300"/>
        <v>1992</v>
      </c>
      <c r="AC9626" s="22">
        <f t="shared" si="301"/>
        <v>0.48799999999999999</v>
      </c>
    </row>
    <row r="9627" spans="1:29">
      <c r="A9627" s="8" t="s">
        <v>265</v>
      </c>
      <c r="B9627" s="17" t="s">
        <v>7734</v>
      </c>
      <c r="C9627" s="13">
        <v>33844</v>
      </c>
      <c r="D9627" s="13" t="s">
        <v>8463</v>
      </c>
      <c r="E9627" s="10" t="s">
        <v>1239</v>
      </c>
      <c r="F9627" s="10" t="s">
        <v>1239</v>
      </c>
      <c r="H9627" s="2" t="s">
        <v>143</v>
      </c>
      <c r="K9627" s="18">
        <v>2</v>
      </c>
      <c r="L9627" s="18">
        <v>0</v>
      </c>
      <c r="Q9627" s="18">
        <v>0</v>
      </c>
      <c r="V9627" s="22">
        <f>3.62/5</f>
        <v>0.72399999999999998</v>
      </c>
      <c r="X9627" s="3">
        <v>2</v>
      </c>
      <c r="Z9627" s="23">
        <v>3</v>
      </c>
      <c r="AB9627" s="18">
        <f t="shared" si="300"/>
        <v>1992</v>
      </c>
      <c r="AC9627" s="22">
        <f t="shared" si="301"/>
        <v>0.56200000000000006</v>
      </c>
    </row>
    <row r="9628" spans="1:29">
      <c r="A9628" s="8" t="s">
        <v>16067</v>
      </c>
      <c r="B9628" s="17" t="s">
        <v>7751</v>
      </c>
      <c r="C9628" s="13">
        <v>33829</v>
      </c>
      <c r="D9628" s="13" t="s">
        <v>8465</v>
      </c>
      <c r="E9628" s="10" t="s">
        <v>9603</v>
      </c>
      <c r="F9628" s="10" t="s">
        <v>14965</v>
      </c>
      <c r="H9628" s="2" t="s">
        <v>21</v>
      </c>
      <c r="L9628" s="18">
        <v>0</v>
      </c>
      <c r="Q9628" s="18">
        <v>0</v>
      </c>
      <c r="V9628" s="22">
        <f>2.57/5</f>
        <v>0.51400000000000001</v>
      </c>
      <c r="X9628" s="3">
        <v>2</v>
      </c>
      <c r="Z9628" s="23">
        <f>58/60</f>
        <v>0.96666666666666667</v>
      </c>
      <c r="AB9628" s="18">
        <f t="shared" si="300"/>
        <v>1992</v>
      </c>
      <c r="AC9628" s="22">
        <f t="shared" si="301"/>
        <v>0.45700000000000002</v>
      </c>
    </row>
    <row r="9629" spans="1:29" ht="25.5">
      <c r="A9629" s="8" t="s">
        <v>800</v>
      </c>
      <c r="B9629" s="17" t="s">
        <v>7736</v>
      </c>
      <c r="C9629" s="13">
        <v>33823</v>
      </c>
      <c r="D9629" s="13" t="s">
        <v>8463</v>
      </c>
      <c r="E9629" s="10" t="s">
        <v>155</v>
      </c>
      <c r="F9629" s="10" t="s">
        <v>155</v>
      </c>
      <c r="G9629" s="11" t="s">
        <v>226</v>
      </c>
      <c r="H9629" s="2" t="s">
        <v>153</v>
      </c>
      <c r="K9629" s="18">
        <v>2</v>
      </c>
      <c r="L9629" s="18">
        <v>0</v>
      </c>
      <c r="Q9629" s="18">
        <v>0</v>
      </c>
      <c r="V9629" s="22">
        <f>3.64/5</f>
        <v>0.72799999999999998</v>
      </c>
      <c r="X9629" s="3">
        <v>3</v>
      </c>
      <c r="AB9629" s="18">
        <f t="shared" si="300"/>
        <v>1992</v>
      </c>
      <c r="AC9629" s="22">
        <f t="shared" si="301"/>
        <v>0.66399999999999992</v>
      </c>
    </row>
    <row r="9630" spans="1:29">
      <c r="A9630" s="8" t="s">
        <v>2623</v>
      </c>
      <c r="B9630" s="17" t="s">
        <v>7751</v>
      </c>
      <c r="C9630" s="13">
        <v>33819</v>
      </c>
      <c r="D9630" s="13" t="s">
        <v>8465</v>
      </c>
      <c r="E9630" s="10" t="s">
        <v>158</v>
      </c>
      <c r="F9630" s="10" t="s">
        <v>63</v>
      </c>
      <c r="G9630" s="11" t="s">
        <v>303</v>
      </c>
      <c r="H9630" s="2" t="s">
        <v>153</v>
      </c>
      <c r="L9630" s="18">
        <v>0</v>
      </c>
      <c r="Q9630" s="18">
        <v>0</v>
      </c>
      <c r="U9630" s="22">
        <v>0.55000000000000004</v>
      </c>
      <c r="V9630" s="22">
        <f>3.43/5</f>
        <v>0.68600000000000005</v>
      </c>
      <c r="X9630" s="3">
        <v>3</v>
      </c>
      <c r="Z9630" s="23">
        <v>1.5</v>
      </c>
      <c r="AB9630" s="18">
        <f t="shared" si="300"/>
        <v>1992</v>
      </c>
      <c r="AC9630" s="22">
        <f t="shared" si="301"/>
        <v>0.6120000000000001</v>
      </c>
    </row>
    <row r="9631" spans="1:29" ht="25.5">
      <c r="A9631" s="8" t="s">
        <v>6808</v>
      </c>
      <c r="B9631" s="17" t="s">
        <v>7800</v>
      </c>
      <c r="C9631" s="12">
        <v>33817</v>
      </c>
      <c r="D9631" s="13" t="s">
        <v>8465</v>
      </c>
      <c r="E9631" s="10" t="s">
        <v>1496</v>
      </c>
      <c r="F9631" s="10" t="s">
        <v>1496</v>
      </c>
      <c r="G9631" s="11" t="s">
        <v>6902</v>
      </c>
      <c r="H9631" s="2" t="s">
        <v>67</v>
      </c>
      <c r="L9631" s="18">
        <v>1</v>
      </c>
      <c r="N9631" s="13">
        <v>43956</v>
      </c>
      <c r="O9631" s="29">
        <v>0</v>
      </c>
      <c r="P9631" s="18" t="s">
        <v>1107</v>
      </c>
      <c r="Q9631" s="18">
        <v>0</v>
      </c>
      <c r="U9631" s="22">
        <v>0.64</v>
      </c>
      <c r="V9631" s="22">
        <f>3.79/5</f>
        <v>0.75800000000000001</v>
      </c>
      <c r="W9631" s="14" t="s">
        <v>7777</v>
      </c>
      <c r="X9631" s="3">
        <v>3</v>
      </c>
      <c r="Z9631" s="23">
        <v>9</v>
      </c>
      <c r="AB9631" s="18">
        <f t="shared" si="300"/>
        <v>1992</v>
      </c>
      <c r="AC9631" s="22">
        <f t="shared" si="301"/>
        <v>0.66600000000000004</v>
      </c>
    </row>
    <row r="9632" spans="1:29" ht="38.25">
      <c r="A9632" s="8" t="s">
        <v>7529</v>
      </c>
      <c r="B9632" s="17" t="s">
        <v>7800</v>
      </c>
      <c r="C9632" s="13">
        <v>33817</v>
      </c>
      <c r="D9632" s="13" t="s">
        <v>8465</v>
      </c>
      <c r="E9632" s="10" t="s">
        <v>1259</v>
      </c>
      <c r="F9632" s="10" t="s">
        <v>2654</v>
      </c>
      <c r="G9632" s="11" t="s">
        <v>7530</v>
      </c>
      <c r="H9632" s="2" t="s">
        <v>67</v>
      </c>
      <c r="L9632" s="18">
        <v>0</v>
      </c>
      <c r="Q9632" s="18">
        <v>0</v>
      </c>
      <c r="U9632" s="22">
        <v>0.57999999999999996</v>
      </c>
      <c r="V9632" s="22">
        <f>3.66/5</f>
        <v>0.73199999999999998</v>
      </c>
      <c r="X9632" s="3">
        <v>2</v>
      </c>
      <c r="Z9632" s="23">
        <v>3.5</v>
      </c>
      <c r="AB9632" s="18">
        <f t="shared" si="300"/>
        <v>1992</v>
      </c>
      <c r="AC9632" s="22">
        <f t="shared" si="301"/>
        <v>0.57066666666666654</v>
      </c>
    </row>
    <row r="9633" spans="1:29" ht="25.5">
      <c r="A9633" s="8" t="s">
        <v>7623</v>
      </c>
      <c r="B9633" s="17" t="s">
        <v>7745</v>
      </c>
      <c r="C9633" s="12">
        <v>33817</v>
      </c>
      <c r="D9633" s="13" t="s">
        <v>8465</v>
      </c>
      <c r="E9633" s="10" t="s">
        <v>154</v>
      </c>
      <c r="F9633" s="10" t="s">
        <v>1258</v>
      </c>
      <c r="G9633" s="11" t="s">
        <v>1264</v>
      </c>
      <c r="H9633" s="2" t="s">
        <v>80</v>
      </c>
      <c r="L9633" s="18">
        <v>0</v>
      </c>
      <c r="Q9633" s="18">
        <v>0</v>
      </c>
      <c r="U9633" s="22">
        <v>0.56000000000000005</v>
      </c>
      <c r="V9633" s="22">
        <f>2.23/5</f>
        <v>0.44600000000000001</v>
      </c>
      <c r="X9633" s="3">
        <v>2</v>
      </c>
      <c r="Z9633" s="23">
        <v>0.83</v>
      </c>
      <c r="AB9633" s="18">
        <f t="shared" si="300"/>
        <v>1992</v>
      </c>
      <c r="AC9633" s="22">
        <f t="shared" si="301"/>
        <v>0.46866666666666673</v>
      </c>
    </row>
    <row r="9634" spans="1:29" ht="25.5">
      <c r="A9634" s="8" t="s">
        <v>7625</v>
      </c>
      <c r="B9634" s="17" t="s">
        <v>7745</v>
      </c>
      <c r="C9634" s="12">
        <v>33817</v>
      </c>
      <c r="D9634" s="13" t="s">
        <v>8465</v>
      </c>
      <c r="E9634" s="10" t="s">
        <v>154</v>
      </c>
      <c r="F9634" s="10" t="s">
        <v>1257</v>
      </c>
      <c r="G9634" s="11" t="s">
        <v>111</v>
      </c>
      <c r="H9634" s="2" t="s">
        <v>153</v>
      </c>
      <c r="L9634" s="18">
        <v>0</v>
      </c>
      <c r="Q9634" s="18">
        <v>0</v>
      </c>
      <c r="U9634" s="22">
        <v>0.59</v>
      </c>
      <c r="V9634" s="22">
        <f>1.59/5</f>
        <v>0.318</v>
      </c>
      <c r="X9634" s="3">
        <v>2</v>
      </c>
      <c r="Z9634" s="23">
        <v>2</v>
      </c>
      <c r="AB9634" s="18">
        <f t="shared" si="300"/>
        <v>1992</v>
      </c>
      <c r="AC9634" s="22">
        <f t="shared" si="301"/>
        <v>0.43599999999999994</v>
      </c>
    </row>
    <row r="9635" spans="1:29" ht="38.25">
      <c r="A9635" s="8" t="s">
        <v>2557</v>
      </c>
      <c r="B9635" s="17" t="s">
        <v>7751</v>
      </c>
      <c r="C9635" s="13">
        <v>33816</v>
      </c>
      <c r="D9635" s="13" t="s">
        <v>8465</v>
      </c>
      <c r="E9635" s="10" t="s">
        <v>455</v>
      </c>
      <c r="F9635" s="10" t="s">
        <v>2654</v>
      </c>
      <c r="G9635" s="11" t="s">
        <v>445</v>
      </c>
      <c r="H9635" s="2" t="s">
        <v>1720</v>
      </c>
      <c r="L9635" s="18">
        <v>0</v>
      </c>
      <c r="Q9635" s="18">
        <v>0</v>
      </c>
      <c r="U9635" s="22">
        <v>0.63</v>
      </c>
      <c r="V9635" s="22">
        <f>3.56/5</f>
        <v>0.71199999999999997</v>
      </c>
      <c r="X9635" s="3">
        <v>3</v>
      </c>
      <c r="Z9635" s="23">
        <v>14.5</v>
      </c>
      <c r="AB9635" s="18">
        <f t="shared" si="300"/>
        <v>1992</v>
      </c>
      <c r="AC9635" s="22">
        <f t="shared" si="301"/>
        <v>0.64733333333333343</v>
      </c>
    </row>
    <row r="9636" spans="1:29">
      <c r="A9636" s="8" t="s">
        <v>1803</v>
      </c>
      <c r="B9636" s="17" t="s">
        <v>7745</v>
      </c>
      <c r="C9636" s="13">
        <v>33816</v>
      </c>
      <c r="D9636" s="13" t="s">
        <v>8463</v>
      </c>
      <c r="E9636" s="10" t="s">
        <v>1344</v>
      </c>
      <c r="F9636" s="10" t="s">
        <v>1345</v>
      </c>
      <c r="H9636" s="2" t="s">
        <v>143</v>
      </c>
      <c r="K9636" s="18">
        <v>2</v>
      </c>
      <c r="L9636" s="18">
        <v>0</v>
      </c>
      <c r="Q9636" s="18">
        <v>0</v>
      </c>
      <c r="V9636" s="22">
        <f>3.28/5</f>
        <v>0.65599999999999992</v>
      </c>
      <c r="X9636" s="3">
        <v>2</v>
      </c>
      <c r="AB9636" s="18">
        <f t="shared" si="300"/>
        <v>1992</v>
      </c>
      <c r="AC9636" s="22">
        <f t="shared" si="301"/>
        <v>0.52800000000000002</v>
      </c>
    </row>
    <row r="9637" spans="1:29">
      <c r="A9637" s="8" t="s">
        <v>2597</v>
      </c>
      <c r="B9637" s="17" t="s">
        <v>7751</v>
      </c>
      <c r="C9637" s="13">
        <v>33809</v>
      </c>
      <c r="D9637" s="13" t="s">
        <v>8463</v>
      </c>
      <c r="E9637" s="10" t="s">
        <v>2671</v>
      </c>
      <c r="F9637" s="10" t="s">
        <v>2672</v>
      </c>
      <c r="H9637" s="2" t="s">
        <v>21</v>
      </c>
      <c r="K9637" s="18">
        <v>2</v>
      </c>
      <c r="L9637" s="18">
        <v>0</v>
      </c>
      <c r="Q9637" s="18">
        <v>0</v>
      </c>
      <c r="U9637" s="22">
        <v>0.9</v>
      </c>
      <c r="V9637" s="22">
        <f>4/5</f>
        <v>0.8</v>
      </c>
      <c r="X9637" s="3">
        <v>3</v>
      </c>
      <c r="Z9637" s="23">
        <v>1.5</v>
      </c>
      <c r="AB9637" s="18">
        <f t="shared" si="300"/>
        <v>1992</v>
      </c>
      <c r="AC9637" s="22">
        <f t="shared" si="301"/>
        <v>0.76666666666666672</v>
      </c>
    </row>
    <row r="9638" spans="1:29">
      <c r="A9638" s="8" t="s">
        <v>14404</v>
      </c>
      <c r="B9638" s="17" t="s">
        <v>7734</v>
      </c>
      <c r="C9638" s="13">
        <v>33809</v>
      </c>
      <c r="D9638" s="13" t="s">
        <v>8463</v>
      </c>
      <c r="E9638" s="10" t="s">
        <v>13193</v>
      </c>
      <c r="F9638" s="10" t="s">
        <v>13193</v>
      </c>
      <c r="G9638" s="11" t="s">
        <v>1461</v>
      </c>
      <c r="H9638" s="2" t="s">
        <v>149</v>
      </c>
      <c r="K9638" s="18">
        <v>2</v>
      </c>
      <c r="L9638" s="18">
        <v>0</v>
      </c>
      <c r="Q9638" s="18">
        <v>0</v>
      </c>
      <c r="V9638" s="22">
        <f>3.3/5</f>
        <v>0.65999999999999992</v>
      </c>
      <c r="X9638" s="3">
        <v>2</v>
      </c>
      <c r="AB9638" s="18">
        <f t="shared" si="300"/>
        <v>1992</v>
      </c>
      <c r="AC9638" s="22">
        <f t="shared" si="301"/>
        <v>0.53</v>
      </c>
    </row>
    <row r="9639" spans="1:29" ht="25.5">
      <c r="A9639" s="8" t="s">
        <v>293</v>
      </c>
      <c r="B9639" s="17" t="s">
        <v>7734</v>
      </c>
      <c r="C9639" s="13">
        <v>33802</v>
      </c>
      <c r="D9639" s="13" t="s">
        <v>8463</v>
      </c>
      <c r="E9639" s="10" t="s">
        <v>1247</v>
      </c>
      <c r="F9639" s="10" t="s">
        <v>55</v>
      </c>
      <c r="H9639" s="2" t="s">
        <v>21</v>
      </c>
      <c r="K9639" s="18">
        <v>2</v>
      </c>
      <c r="L9639" s="18">
        <v>0</v>
      </c>
      <c r="Q9639" s="18">
        <v>0</v>
      </c>
      <c r="V9639" s="22">
        <f>3.95/5</f>
        <v>0.79</v>
      </c>
      <c r="X9639" s="3">
        <v>4</v>
      </c>
      <c r="Z9639" s="23">
        <v>0.48</v>
      </c>
      <c r="AB9639" s="18">
        <f t="shared" si="300"/>
        <v>1992</v>
      </c>
      <c r="AC9639" s="22">
        <f t="shared" si="301"/>
        <v>0.79500000000000004</v>
      </c>
    </row>
    <row r="9640" spans="1:29">
      <c r="A9640" s="8" t="s">
        <v>2535</v>
      </c>
      <c r="B9640" s="17" t="s">
        <v>7751</v>
      </c>
      <c r="C9640" s="13">
        <v>33802</v>
      </c>
      <c r="D9640" s="13" t="s">
        <v>8463</v>
      </c>
      <c r="E9640" s="10" t="s">
        <v>1361</v>
      </c>
      <c r="F9640" s="10" t="s">
        <v>1361</v>
      </c>
      <c r="H9640" s="2" t="s">
        <v>21</v>
      </c>
      <c r="K9640" s="18">
        <v>2</v>
      </c>
      <c r="L9640" s="18">
        <v>0</v>
      </c>
      <c r="Q9640" s="18">
        <v>0</v>
      </c>
      <c r="U9640" s="22">
        <v>0.62</v>
      </c>
      <c r="V9640" s="22">
        <f>3.87/5</f>
        <v>0.77400000000000002</v>
      </c>
      <c r="X9640" s="3">
        <v>2</v>
      </c>
      <c r="Z9640" s="23">
        <v>1</v>
      </c>
      <c r="AB9640" s="18">
        <f t="shared" si="300"/>
        <v>1992</v>
      </c>
      <c r="AC9640" s="22">
        <f t="shared" si="301"/>
        <v>0.59799999999999998</v>
      </c>
    </row>
    <row r="9641" spans="1:29">
      <c r="A9641" s="8" t="s">
        <v>501</v>
      </c>
      <c r="B9641" s="17" t="s">
        <v>7731</v>
      </c>
      <c r="C9641" s="13">
        <v>33802</v>
      </c>
      <c r="D9641" s="13" t="s">
        <v>8465</v>
      </c>
      <c r="E9641" s="10" t="s">
        <v>170</v>
      </c>
      <c r="F9641" s="10" t="s">
        <v>560</v>
      </c>
      <c r="H9641" s="2" t="s">
        <v>21</v>
      </c>
      <c r="L9641" s="18">
        <v>0</v>
      </c>
      <c r="Q9641" s="18">
        <v>0</v>
      </c>
      <c r="V9641" s="22">
        <f>3.21/5</f>
        <v>0.64200000000000002</v>
      </c>
      <c r="X9641" s="3">
        <v>2</v>
      </c>
      <c r="Z9641" s="23">
        <v>0.8</v>
      </c>
      <c r="AB9641" s="18">
        <f t="shared" si="300"/>
        <v>1992</v>
      </c>
      <c r="AC9641" s="22">
        <f t="shared" si="301"/>
        <v>0.52100000000000002</v>
      </c>
    </row>
    <row r="9642" spans="1:29">
      <c r="A9642" s="8" t="s">
        <v>2859</v>
      </c>
      <c r="B9642" s="17" t="s">
        <v>7789</v>
      </c>
      <c r="C9642" s="13">
        <v>33798</v>
      </c>
      <c r="D9642" s="13" t="s">
        <v>8463</v>
      </c>
      <c r="E9642" s="10" t="s">
        <v>2871</v>
      </c>
      <c r="F9642" s="10" t="s">
        <v>2872</v>
      </c>
      <c r="H9642" s="2" t="s">
        <v>1377</v>
      </c>
      <c r="K9642" s="18">
        <v>2</v>
      </c>
      <c r="L9642" s="18">
        <v>0</v>
      </c>
      <c r="Q9642" s="18">
        <v>0</v>
      </c>
      <c r="V9642" s="22">
        <f>2.47/5</f>
        <v>0.49400000000000005</v>
      </c>
      <c r="X9642" s="3">
        <v>3</v>
      </c>
      <c r="AB9642" s="18">
        <f t="shared" si="300"/>
        <v>1992</v>
      </c>
      <c r="AC9642" s="22">
        <f t="shared" si="301"/>
        <v>0.54700000000000004</v>
      </c>
    </row>
    <row r="9643" spans="1:29" ht="30">
      <c r="A9643" s="8" t="s">
        <v>15385</v>
      </c>
      <c r="B9643" s="17" t="s">
        <v>7736</v>
      </c>
      <c r="C9643" s="13">
        <v>33788</v>
      </c>
      <c r="D9643" s="13" t="s">
        <v>8463</v>
      </c>
      <c r="E9643" s="10" t="s">
        <v>1363</v>
      </c>
      <c r="F9643" s="10" t="s">
        <v>1420</v>
      </c>
      <c r="G9643" s="11" t="s">
        <v>15385</v>
      </c>
      <c r="H9643" s="2" t="s">
        <v>149</v>
      </c>
      <c r="K9643" s="18">
        <v>2</v>
      </c>
      <c r="L9643" s="18">
        <v>0</v>
      </c>
      <c r="Q9643" s="18">
        <v>0</v>
      </c>
      <c r="V9643" s="22">
        <f>3/5</f>
        <v>0.6</v>
      </c>
      <c r="X9643" s="3">
        <v>2</v>
      </c>
      <c r="Z9643" s="23">
        <v>20</v>
      </c>
      <c r="AB9643" s="18">
        <f t="shared" si="300"/>
        <v>1992</v>
      </c>
      <c r="AC9643" s="22">
        <f t="shared" si="301"/>
        <v>0.5</v>
      </c>
    </row>
    <row r="9644" spans="1:29">
      <c r="A9644" s="8" t="s">
        <v>1805</v>
      </c>
      <c r="B9644" s="17" t="s">
        <v>7745</v>
      </c>
      <c r="C9644" s="12">
        <v>33786</v>
      </c>
      <c r="D9644" s="13" t="s">
        <v>8465</v>
      </c>
      <c r="E9644" s="10" t="s">
        <v>1791</v>
      </c>
      <c r="F9644" s="10" t="s">
        <v>1784</v>
      </c>
      <c r="G9644" s="11" t="s">
        <v>1785</v>
      </c>
      <c r="H9644" s="2" t="s">
        <v>1720</v>
      </c>
      <c r="L9644" s="18">
        <v>0</v>
      </c>
      <c r="Q9644" s="18">
        <v>0</v>
      </c>
      <c r="V9644" s="22">
        <f>3.56/5</f>
        <v>0.71199999999999997</v>
      </c>
      <c r="X9644" s="3">
        <v>3</v>
      </c>
      <c r="Z9644" s="23">
        <v>8</v>
      </c>
      <c r="AB9644" s="18">
        <f t="shared" si="300"/>
        <v>1992</v>
      </c>
      <c r="AC9644" s="22">
        <f t="shared" si="301"/>
        <v>0.65599999999999992</v>
      </c>
    </row>
    <row r="9645" spans="1:29">
      <c r="A9645" s="8" t="s">
        <v>6602</v>
      </c>
      <c r="B9645" s="17" t="s">
        <v>7745</v>
      </c>
      <c r="C9645" s="13">
        <v>33786</v>
      </c>
      <c r="D9645" s="13" t="s">
        <v>8465</v>
      </c>
      <c r="E9645" s="10" t="s">
        <v>86</v>
      </c>
      <c r="F9645" s="10" t="s">
        <v>87</v>
      </c>
      <c r="G9645" s="11" t="s">
        <v>6602</v>
      </c>
      <c r="H9645" s="2" t="s">
        <v>150</v>
      </c>
      <c r="L9645" s="18">
        <v>0</v>
      </c>
      <c r="Q9645" s="18">
        <v>0</v>
      </c>
      <c r="U9645" s="22">
        <v>0.72</v>
      </c>
      <c r="V9645" s="22">
        <f>2.99/5</f>
        <v>0.59800000000000009</v>
      </c>
      <c r="X9645" s="3">
        <v>2</v>
      </c>
      <c r="Z9645" s="23">
        <v>2</v>
      </c>
      <c r="AB9645" s="18">
        <f t="shared" si="300"/>
        <v>1992</v>
      </c>
      <c r="AC9645" s="22">
        <f t="shared" si="301"/>
        <v>0.57266666666666666</v>
      </c>
    </row>
    <row r="9646" spans="1:29">
      <c r="A9646" s="8" t="s">
        <v>6752</v>
      </c>
      <c r="B9646" s="17" t="s">
        <v>7734</v>
      </c>
      <c r="C9646" s="12">
        <v>33786</v>
      </c>
      <c r="D9646" s="13" t="s">
        <v>8465</v>
      </c>
      <c r="E9646" s="10" t="s">
        <v>1783</v>
      </c>
      <c r="F9646" s="10" t="s">
        <v>15756</v>
      </c>
      <c r="G9646" s="11" t="s">
        <v>445</v>
      </c>
      <c r="H9646" s="2" t="s">
        <v>21</v>
      </c>
      <c r="L9646" s="18">
        <v>0</v>
      </c>
      <c r="Q9646" s="18">
        <v>0</v>
      </c>
      <c r="V9646" s="22">
        <f>2.8/5</f>
        <v>0.55999999999999994</v>
      </c>
      <c r="X9646" s="3">
        <v>2</v>
      </c>
      <c r="Z9646" s="23">
        <v>1.5</v>
      </c>
      <c r="AB9646" s="18">
        <f t="shared" si="300"/>
        <v>1992</v>
      </c>
      <c r="AC9646" s="22">
        <f t="shared" si="301"/>
        <v>0.48</v>
      </c>
    </row>
    <row r="9647" spans="1:29" ht="25.5">
      <c r="A9647" s="8" t="s">
        <v>276</v>
      </c>
      <c r="B9647" s="17" t="s">
        <v>7734</v>
      </c>
      <c r="C9647" s="13">
        <v>33781</v>
      </c>
      <c r="D9647" s="13" t="s">
        <v>8463</v>
      </c>
      <c r="E9647" s="10" t="s">
        <v>72</v>
      </c>
      <c r="F9647" s="10" t="s">
        <v>72</v>
      </c>
      <c r="G9647" s="11" t="s">
        <v>300</v>
      </c>
      <c r="H9647" s="2" t="s">
        <v>171</v>
      </c>
      <c r="K9647" s="18">
        <v>2</v>
      </c>
      <c r="L9647" s="18">
        <v>0</v>
      </c>
      <c r="Q9647" s="18">
        <v>0</v>
      </c>
      <c r="V9647" s="22">
        <f>3.89/5</f>
        <v>0.77800000000000002</v>
      </c>
      <c r="X9647" s="3">
        <v>3</v>
      </c>
      <c r="AB9647" s="18">
        <f t="shared" si="300"/>
        <v>1992</v>
      </c>
      <c r="AC9647" s="22">
        <f t="shared" si="301"/>
        <v>0.68900000000000006</v>
      </c>
    </row>
    <row r="9648" spans="1:29">
      <c r="A9648" s="8" t="s">
        <v>2596</v>
      </c>
      <c r="B9648" s="17" t="s">
        <v>7751</v>
      </c>
      <c r="C9648" s="13">
        <v>33781</v>
      </c>
      <c r="D9648" s="13" t="s">
        <v>8463</v>
      </c>
      <c r="E9648" s="10" t="s">
        <v>455</v>
      </c>
      <c r="F9648" s="10" t="s">
        <v>455</v>
      </c>
      <c r="H9648" s="2" t="s">
        <v>149</v>
      </c>
      <c r="K9648" s="18">
        <v>2</v>
      </c>
      <c r="L9648" s="18">
        <v>0</v>
      </c>
      <c r="Q9648" s="18">
        <v>0</v>
      </c>
      <c r="U9648" s="22">
        <v>0.5</v>
      </c>
      <c r="V9648" s="22">
        <f>3.8/5</f>
        <v>0.76</v>
      </c>
      <c r="X9648" s="3">
        <v>3</v>
      </c>
      <c r="Z9648" s="23">
        <v>6.5</v>
      </c>
      <c r="AB9648" s="18">
        <f t="shared" si="300"/>
        <v>1992</v>
      </c>
      <c r="AC9648" s="22">
        <f t="shared" si="301"/>
        <v>0.62</v>
      </c>
    </row>
    <row r="9649" spans="1:29">
      <c r="A9649" s="8" t="s">
        <v>10962</v>
      </c>
      <c r="B9649" s="17" t="s">
        <v>7790</v>
      </c>
      <c r="C9649" s="13">
        <v>33781</v>
      </c>
      <c r="D9649" s="13" t="s">
        <v>8463</v>
      </c>
      <c r="E9649" s="10" t="s">
        <v>9109</v>
      </c>
      <c r="F9649" s="10" t="s">
        <v>9109</v>
      </c>
      <c r="G9649" s="11" t="s">
        <v>10959</v>
      </c>
      <c r="H9649" s="2" t="s">
        <v>21</v>
      </c>
      <c r="K9649" s="18">
        <v>0</v>
      </c>
      <c r="L9649" s="18">
        <v>0</v>
      </c>
      <c r="Q9649" s="18">
        <v>0</v>
      </c>
      <c r="V9649" s="22">
        <f>3.67/5</f>
        <v>0.73399999999999999</v>
      </c>
      <c r="X9649" s="3">
        <v>2</v>
      </c>
      <c r="Z9649" s="23">
        <v>3</v>
      </c>
      <c r="AB9649" s="18">
        <f t="shared" si="300"/>
        <v>1992</v>
      </c>
      <c r="AC9649" s="22">
        <f t="shared" si="301"/>
        <v>0.56699999999999995</v>
      </c>
    </row>
    <row r="9650" spans="1:29">
      <c r="A9650" s="8" t="s">
        <v>11204</v>
      </c>
      <c r="B9650" s="17" t="s">
        <v>7790</v>
      </c>
      <c r="C9650" s="13">
        <v>33764</v>
      </c>
      <c r="D9650" s="13" t="s">
        <v>8465</v>
      </c>
      <c r="E9650" s="10" t="s">
        <v>2701</v>
      </c>
      <c r="F9650" s="10" t="s">
        <v>11205</v>
      </c>
      <c r="G9650" s="11" t="s">
        <v>11206</v>
      </c>
      <c r="H9650" s="2" t="s">
        <v>149</v>
      </c>
      <c r="L9650" s="18">
        <v>0</v>
      </c>
      <c r="Q9650" s="18">
        <v>0</v>
      </c>
      <c r="V9650" s="22">
        <f>3.47/5</f>
        <v>0.69400000000000006</v>
      </c>
      <c r="X9650" s="3">
        <v>2</v>
      </c>
      <c r="Z9650" s="23">
        <v>14.5</v>
      </c>
      <c r="AB9650" s="18">
        <f t="shared" si="300"/>
        <v>1992</v>
      </c>
      <c r="AC9650" s="22">
        <f t="shared" si="301"/>
        <v>0.54700000000000004</v>
      </c>
    </row>
    <row r="9651" spans="1:29" ht="25.5">
      <c r="A9651" s="8" t="s">
        <v>6775</v>
      </c>
      <c r="B9651" s="17" t="s">
        <v>7800</v>
      </c>
      <c r="C9651" s="12">
        <v>33756</v>
      </c>
      <c r="D9651" s="13" t="s">
        <v>8465</v>
      </c>
      <c r="E9651" s="10" t="s">
        <v>1284</v>
      </c>
      <c r="F9651" s="10" t="s">
        <v>1284</v>
      </c>
      <c r="G9651" s="11" t="s">
        <v>6893</v>
      </c>
      <c r="H9651" s="2" t="s">
        <v>67</v>
      </c>
      <c r="L9651" s="18">
        <v>0</v>
      </c>
      <c r="Q9651" s="18">
        <v>0</v>
      </c>
      <c r="U9651" s="22">
        <v>0.9</v>
      </c>
      <c r="V9651" s="22">
        <f>4.24/5</f>
        <v>0.84800000000000009</v>
      </c>
      <c r="X9651" s="3">
        <v>3</v>
      </c>
      <c r="Z9651" s="23">
        <v>8</v>
      </c>
      <c r="AB9651" s="18">
        <f t="shared" si="300"/>
        <v>1992</v>
      </c>
      <c r="AC9651" s="22">
        <f t="shared" si="301"/>
        <v>0.78266666666666673</v>
      </c>
    </row>
    <row r="9652" spans="1:29">
      <c r="A9652" s="8" t="s">
        <v>182</v>
      </c>
      <c r="B9652" s="17" t="s">
        <v>7734</v>
      </c>
      <c r="C9652" s="12">
        <v>33756</v>
      </c>
      <c r="D9652" s="13" t="s">
        <v>8465</v>
      </c>
      <c r="E9652" s="10" t="s">
        <v>73</v>
      </c>
      <c r="F9652" s="10" t="s">
        <v>73</v>
      </c>
      <c r="G9652" s="11" t="s">
        <v>182</v>
      </c>
      <c r="H9652" s="2" t="s">
        <v>56</v>
      </c>
      <c r="L9652" s="18">
        <v>0</v>
      </c>
      <c r="Q9652" s="18">
        <v>0</v>
      </c>
      <c r="V9652" s="22">
        <f>3.77/5</f>
        <v>0.754</v>
      </c>
      <c r="X9652" s="3">
        <v>2</v>
      </c>
      <c r="Z9652" s="23">
        <v>1</v>
      </c>
      <c r="AB9652" s="18">
        <f t="shared" si="300"/>
        <v>1992</v>
      </c>
      <c r="AC9652" s="22">
        <f t="shared" si="301"/>
        <v>0.57699999999999996</v>
      </c>
    </row>
    <row r="9653" spans="1:29">
      <c r="A9653" s="8" t="s">
        <v>681</v>
      </c>
      <c r="B9653" s="17" t="s">
        <v>7736</v>
      </c>
      <c r="C9653" s="12">
        <v>33756</v>
      </c>
      <c r="D9653" s="13" t="s">
        <v>8465</v>
      </c>
      <c r="E9653" s="10" t="s">
        <v>1317</v>
      </c>
      <c r="F9653" s="10" t="s">
        <v>1274</v>
      </c>
      <c r="H9653" s="2" t="s">
        <v>21</v>
      </c>
      <c r="L9653" s="18">
        <v>0</v>
      </c>
      <c r="Q9653" s="18">
        <v>0</v>
      </c>
      <c r="U9653" s="22">
        <v>0.56000000000000005</v>
      </c>
      <c r="V9653" s="22">
        <f>3.58/5</f>
        <v>0.71599999999999997</v>
      </c>
      <c r="X9653" s="3">
        <v>2</v>
      </c>
      <c r="Z9653" s="23">
        <v>1</v>
      </c>
      <c r="AB9653" s="18">
        <f t="shared" si="300"/>
        <v>1992</v>
      </c>
      <c r="AC9653" s="22">
        <f t="shared" si="301"/>
        <v>0.55866666666666676</v>
      </c>
    </row>
    <row r="9654" spans="1:29" ht="30">
      <c r="A9654" s="8" t="s">
        <v>6792</v>
      </c>
      <c r="B9654" s="17" t="s">
        <v>7800</v>
      </c>
      <c r="C9654" s="13">
        <v>33756</v>
      </c>
      <c r="D9654" s="13" t="s">
        <v>8465</v>
      </c>
      <c r="E9654" s="10" t="s">
        <v>469</v>
      </c>
      <c r="F9654" s="10" t="s">
        <v>3372</v>
      </c>
      <c r="H9654" s="2" t="s">
        <v>67</v>
      </c>
      <c r="L9654" s="18">
        <v>1</v>
      </c>
      <c r="N9654" s="13">
        <v>39800</v>
      </c>
      <c r="O9654" s="29">
        <v>0</v>
      </c>
      <c r="P9654" s="18" t="s">
        <v>1107</v>
      </c>
      <c r="Q9654" s="18">
        <v>0</v>
      </c>
      <c r="U9654" s="22">
        <v>0.57999999999999996</v>
      </c>
      <c r="V9654" s="22">
        <f>2.75/5</f>
        <v>0.55000000000000004</v>
      </c>
      <c r="W9654" s="14" t="s">
        <v>7778</v>
      </c>
      <c r="X9654" s="3">
        <v>2</v>
      </c>
      <c r="Z9654" s="23">
        <v>4.5</v>
      </c>
      <c r="AB9654" s="18">
        <f t="shared" si="300"/>
        <v>1992</v>
      </c>
      <c r="AC9654" s="22">
        <f t="shared" si="301"/>
        <v>0.5099999999999999</v>
      </c>
    </row>
    <row r="9655" spans="1:29">
      <c r="A9655" s="8" t="s">
        <v>5588</v>
      </c>
      <c r="B9655" s="17" t="s">
        <v>7745</v>
      </c>
      <c r="C9655" s="13">
        <v>33753</v>
      </c>
      <c r="D9655" s="13" t="s">
        <v>8463</v>
      </c>
      <c r="E9655" s="10" t="s">
        <v>86</v>
      </c>
      <c r="F9655" s="10" t="s">
        <v>11260</v>
      </c>
      <c r="G9655" s="11" t="s">
        <v>5588</v>
      </c>
      <c r="H9655" s="2" t="s">
        <v>7594</v>
      </c>
      <c r="K9655" s="18">
        <v>2</v>
      </c>
      <c r="L9655" s="18">
        <v>0</v>
      </c>
      <c r="Q9655" s="18">
        <v>0</v>
      </c>
      <c r="V9655" s="22">
        <f>3.92/5</f>
        <v>0.78400000000000003</v>
      </c>
      <c r="X9655" s="3">
        <v>3</v>
      </c>
      <c r="AB9655" s="18">
        <f t="shared" si="300"/>
        <v>1992</v>
      </c>
      <c r="AC9655" s="22">
        <f t="shared" si="301"/>
        <v>0.69199999999999995</v>
      </c>
    </row>
    <row r="9656" spans="1:29">
      <c r="A9656" s="8" t="s">
        <v>517</v>
      </c>
      <c r="B9656" s="17" t="s">
        <v>7731</v>
      </c>
      <c r="C9656" s="13">
        <v>33753</v>
      </c>
      <c r="D9656" s="13" t="s">
        <v>8465</v>
      </c>
      <c r="E9656" s="10" t="s">
        <v>170</v>
      </c>
      <c r="F9656" s="10" t="s">
        <v>1222</v>
      </c>
      <c r="H9656" s="2" t="s">
        <v>147</v>
      </c>
      <c r="L9656" s="18">
        <v>0</v>
      </c>
      <c r="Q9656" s="18">
        <v>0</v>
      </c>
      <c r="V9656" s="22">
        <f>3.5/5</f>
        <v>0.7</v>
      </c>
      <c r="X9656" s="3">
        <v>2</v>
      </c>
      <c r="Z9656" s="23">
        <v>0.78333333333333299</v>
      </c>
      <c r="AB9656" s="18">
        <f t="shared" si="300"/>
        <v>1992</v>
      </c>
      <c r="AC9656" s="22">
        <f t="shared" si="301"/>
        <v>0.55000000000000004</v>
      </c>
    </row>
    <row r="9657" spans="1:29">
      <c r="A9657" s="8" t="s">
        <v>2570</v>
      </c>
      <c r="B9657" s="17" t="s">
        <v>7751</v>
      </c>
      <c r="C9657" s="13">
        <v>33752</v>
      </c>
      <c r="D9657" s="13" t="s">
        <v>8465</v>
      </c>
      <c r="E9657" s="10" t="s">
        <v>455</v>
      </c>
      <c r="F9657" s="10" t="s">
        <v>455</v>
      </c>
      <c r="H9657" s="2" t="s">
        <v>56</v>
      </c>
      <c r="L9657" s="18">
        <v>0</v>
      </c>
      <c r="Q9657" s="18">
        <v>0</v>
      </c>
      <c r="U9657" s="22">
        <v>0.68</v>
      </c>
      <c r="V9657" s="22">
        <f>3.71/5</f>
        <v>0.74199999999999999</v>
      </c>
      <c r="X9657" s="3">
        <v>3</v>
      </c>
      <c r="Z9657" s="23">
        <v>4</v>
      </c>
      <c r="AB9657" s="18">
        <f t="shared" si="300"/>
        <v>1992</v>
      </c>
      <c r="AC9657" s="22">
        <f t="shared" si="301"/>
        <v>0.67400000000000004</v>
      </c>
    </row>
    <row r="9658" spans="1:29">
      <c r="A9658" s="8" t="s">
        <v>1453</v>
      </c>
      <c r="B9658" s="17" t="s">
        <v>7736</v>
      </c>
      <c r="C9658" s="13">
        <v>33747</v>
      </c>
      <c r="D9658" s="13" t="s">
        <v>8463</v>
      </c>
      <c r="E9658" s="10" t="s">
        <v>157</v>
      </c>
      <c r="F9658" s="10" t="s">
        <v>471</v>
      </c>
      <c r="G9658" s="11" t="s">
        <v>1454</v>
      </c>
      <c r="H9658" s="2" t="s">
        <v>149</v>
      </c>
      <c r="K9658" s="18">
        <v>2</v>
      </c>
      <c r="L9658" s="18">
        <v>0</v>
      </c>
      <c r="Q9658" s="18">
        <v>0</v>
      </c>
      <c r="V9658" s="22">
        <f>2.89/5</f>
        <v>0.57800000000000007</v>
      </c>
      <c r="X9658" s="3">
        <v>3</v>
      </c>
      <c r="Z9658" s="23">
        <v>27.5</v>
      </c>
      <c r="AB9658" s="18">
        <f t="shared" si="300"/>
        <v>1992</v>
      </c>
      <c r="AC9658" s="22">
        <f t="shared" si="301"/>
        <v>0.58899999999999997</v>
      </c>
    </row>
    <row r="9659" spans="1:29" ht="38.25">
      <c r="A9659" s="8" t="s">
        <v>12280</v>
      </c>
      <c r="B9659" s="17" t="s">
        <v>10323</v>
      </c>
      <c r="C9659" s="13">
        <v>33739</v>
      </c>
      <c r="D9659" s="13" t="s">
        <v>8463</v>
      </c>
      <c r="E9659" s="10" t="s">
        <v>11602</v>
      </c>
      <c r="F9659" s="10" t="s">
        <v>11602</v>
      </c>
      <c r="G9659" s="11" t="s">
        <v>11603</v>
      </c>
      <c r="H9659" s="2" t="s">
        <v>67</v>
      </c>
      <c r="K9659" s="18">
        <v>2</v>
      </c>
      <c r="L9659" s="18">
        <v>0</v>
      </c>
      <c r="Q9659" s="18">
        <v>0</v>
      </c>
      <c r="V9659" s="22">
        <f>2.42/5</f>
        <v>0.48399999999999999</v>
      </c>
      <c r="X9659" s="3">
        <v>3</v>
      </c>
      <c r="Z9659" s="23">
        <v>3.5</v>
      </c>
      <c r="AB9659" s="18">
        <f t="shared" si="300"/>
        <v>1992</v>
      </c>
      <c r="AC9659" s="22">
        <f t="shared" si="301"/>
        <v>0.54200000000000004</v>
      </c>
    </row>
    <row r="9660" spans="1:29">
      <c r="A9660" s="8" t="s">
        <v>6875</v>
      </c>
      <c r="B9660" s="17" t="s">
        <v>7800</v>
      </c>
      <c r="C9660" s="13">
        <v>33729</v>
      </c>
      <c r="D9660" s="13" t="s">
        <v>8465</v>
      </c>
      <c r="E9660" s="10" t="s">
        <v>3304</v>
      </c>
      <c r="F9660" s="10" t="s">
        <v>1889</v>
      </c>
      <c r="G9660" s="11" t="s">
        <v>1724</v>
      </c>
      <c r="H9660" s="2" t="s">
        <v>1050</v>
      </c>
      <c r="L9660" s="18">
        <v>0</v>
      </c>
      <c r="Q9660" s="18">
        <v>0</v>
      </c>
      <c r="U9660" s="22">
        <v>0.4</v>
      </c>
      <c r="V9660" s="22">
        <f>3.82/5</f>
        <v>0.76400000000000001</v>
      </c>
      <c r="X9660" s="3">
        <v>4</v>
      </c>
      <c r="Z9660" s="23">
        <v>7</v>
      </c>
      <c r="AB9660" s="18">
        <f t="shared" si="300"/>
        <v>1992</v>
      </c>
      <c r="AC9660" s="22">
        <f t="shared" si="301"/>
        <v>0.65466666666666673</v>
      </c>
    </row>
    <row r="9661" spans="1:29">
      <c r="A9661" s="8" t="s">
        <v>636</v>
      </c>
      <c r="B9661" s="17" t="s">
        <v>7736</v>
      </c>
      <c r="C9661" s="12">
        <v>33725</v>
      </c>
      <c r="D9661" s="13" t="s">
        <v>8465</v>
      </c>
      <c r="E9661" s="10" t="s">
        <v>30</v>
      </c>
      <c r="F9661" s="10" t="s">
        <v>30</v>
      </c>
      <c r="H9661" s="2" t="s">
        <v>149</v>
      </c>
      <c r="L9661" s="18">
        <v>0</v>
      </c>
      <c r="Q9661" s="18">
        <v>0</v>
      </c>
      <c r="U9661" s="22">
        <v>0.76</v>
      </c>
      <c r="V9661" s="22">
        <f>3.35/5</f>
        <v>0.67</v>
      </c>
      <c r="X9661" s="3">
        <v>2</v>
      </c>
      <c r="Z9661" s="23">
        <v>8.5</v>
      </c>
      <c r="AB9661" s="18">
        <f t="shared" si="300"/>
        <v>1992</v>
      </c>
      <c r="AC9661" s="22">
        <f t="shared" si="301"/>
        <v>0.61</v>
      </c>
    </row>
    <row r="9662" spans="1:29" ht="25.5">
      <c r="A9662" s="8" t="s">
        <v>2878</v>
      </c>
      <c r="B9662" s="17" t="s">
        <v>7790</v>
      </c>
      <c r="C9662" s="13">
        <v>33725</v>
      </c>
      <c r="D9662" s="13" t="s">
        <v>8463</v>
      </c>
      <c r="E9662" s="10" t="s">
        <v>1247</v>
      </c>
      <c r="F9662" s="10" t="s">
        <v>167</v>
      </c>
      <c r="G9662" s="11" t="s">
        <v>1404</v>
      </c>
      <c r="H9662" s="2" t="s">
        <v>21</v>
      </c>
      <c r="K9662" s="18">
        <v>0</v>
      </c>
      <c r="L9662" s="18">
        <v>0</v>
      </c>
      <c r="Q9662" s="18">
        <v>0</v>
      </c>
      <c r="V9662" s="22">
        <f>3.53/5</f>
        <v>0.70599999999999996</v>
      </c>
      <c r="X9662" s="3">
        <v>2</v>
      </c>
      <c r="Z9662" s="23">
        <f>38/60</f>
        <v>0.6333333333333333</v>
      </c>
      <c r="AB9662" s="18">
        <f t="shared" si="300"/>
        <v>1992</v>
      </c>
      <c r="AC9662" s="22">
        <f t="shared" si="301"/>
        <v>0.55299999999999994</v>
      </c>
    </row>
    <row r="9663" spans="1:29">
      <c r="A9663" s="8" t="s">
        <v>2884</v>
      </c>
      <c r="B9663" s="17" t="s">
        <v>7790</v>
      </c>
      <c r="C9663" s="13">
        <v>33718</v>
      </c>
      <c r="D9663" s="13" t="s">
        <v>8463</v>
      </c>
      <c r="E9663" s="10" t="s">
        <v>62</v>
      </c>
      <c r="F9663" s="10" t="s">
        <v>465</v>
      </c>
      <c r="G9663" s="11" t="s">
        <v>2874</v>
      </c>
      <c r="H9663" s="2" t="s">
        <v>21</v>
      </c>
      <c r="K9663" s="18">
        <v>0</v>
      </c>
      <c r="L9663" s="18">
        <v>0</v>
      </c>
      <c r="Q9663" s="18">
        <v>0</v>
      </c>
      <c r="V9663" s="22">
        <f>3.82/5</f>
        <v>0.76400000000000001</v>
      </c>
      <c r="X9663" s="3">
        <v>3</v>
      </c>
      <c r="Z9663" s="23">
        <v>5</v>
      </c>
      <c r="AB9663" s="18">
        <f t="shared" si="300"/>
        <v>1992</v>
      </c>
      <c r="AC9663" s="22">
        <f t="shared" si="301"/>
        <v>0.68199999999999994</v>
      </c>
    </row>
    <row r="9664" spans="1:29" ht="38.25">
      <c r="A9664" s="8" t="s">
        <v>11831</v>
      </c>
      <c r="B9664" s="17" t="s">
        <v>7736</v>
      </c>
      <c r="C9664" s="13">
        <v>33718</v>
      </c>
      <c r="D9664" s="13" t="s">
        <v>8463</v>
      </c>
      <c r="E9664" s="10" t="s">
        <v>57</v>
      </c>
      <c r="F9664" s="10" t="s">
        <v>57</v>
      </c>
      <c r="G9664" s="11" t="s">
        <v>1243</v>
      </c>
      <c r="H9664" s="2" t="s">
        <v>149</v>
      </c>
      <c r="K9664" s="18">
        <v>2</v>
      </c>
      <c r="L9664" s="18">
        <v>0</v>
      </c>
      <c r="Q9664" s="18">
        <v>0</v>
      </c>
      <c r="V9664" s="22">
        <f>3.54/5</f>
        <v>0.70799999999999996</v>
      </c>
      <c r="X9664" s="3">
        <v>3</v>
      </c>
      <c r="Z9664" s="23">
        <v>23</v>
      </c>
      <c r="AB9664" s="18">
        <f t="shared" si="300"/>
        <v>1992</v>
      </c>
      <c r="AC9664" s="22">
        <f t="shared" si="301"/>
        <v>0.65399999999999991</v>
      </c>
    </row>
    <row r="9665" spans="1:29">
      <c r="A9665" s="8" t="s">
        <v>515</v>
      </c>
      <c r="B9665" s="17" t="s">
        <v>7731</v>
      </c>
      <c r="C9665" s="13">
        <v>33718</v>
      </c>
      <c r="D9665" s="13" t="s">
        <v>8465</v>
      </c>
      <c r="E9665" s="10" t="s">
        <v>170</v>
      </c>
      <c r="F9665" s="10" t="s">
        <v>170</v>
      </c>
      <c r="H9665" s="2" t="s">
        <v>21</v>
      </c>
      <c r="L9665" s="18">
        <v>0</v>
      </c>
      <c r="Q9665" s="18">
        <v>0</v>
      </c>
      <c r="V9665" s="22">
        <f>3.65/5</f>
        <v>0.73</v>
      </c>
      <c r="X9665" s="3">
        <v>2</v>
      </c>
      <c r="Z9665" s="23">
        <v>2</v>
      </c>
      <c r="AB9665" s="18">
        <f t="shared" ref="AB9665:AB9728" si="302">IFERROR(YEAR(C9665), "Early Access")</f>
        <v>1992</v>
      </c>
      <c r="AC9665" s="22">
        <f t="shared" ref="AC9665:AC9728" si="303">AVERAGE(T9665, U9665, V9665, IF(ISBLANK(X9665), X9665, X9665/5))</f>
        <v>0.56499999999999995</v>
      </c>
    </row>
    <row r="9666" spans="1:29">
      <c r="A9666" s="8" t="s">
        <v>2525</v>
      </c>
      <c r="B9666" s="17" t="s">
        <v>7751</v>
      </c>
      <c r="C9666" s="13">
        <v>33717</v>
      </c>
      <c r="D9666" s="13" t="s">
        <v>8465</v>
      </c>
      <c r="E9666" s="10" t="s">
        <v>455</v>
      </c>
      <c r="F9666" s="10" t="s">
        <v>1512</v>
      </c>
      <c r="H9666" s="2" t="s">
        <v>56</v>
      </c>
      <c r="L9666" s="18">
        <v>0</v>
      </c>
      <c r="Q9666" s="18">
        <v>0</v>
      </c>
      <c r="U9666" s="22">
        <v>0.85</v>
      </c>
      <c r="V9666" s="22">
        <f>3.72/5</f>
        <v>0.74399999999999999</v>
      </c>
      <c r="X9666" s="3">
        <v>2</v>
      </c>
      <c r="Z9666" s="23">
        <v>1.5</v>
      </c>
      <c r="AB9666" s="18">
        <f t="shared" si="302"/>
        <v>1992</v>
      </c>
      <c r="AC9666" s="22">
        <f t="shared" si="303"/>
        <v>0.66466666666666663</v>
      </c>
    </row>
    <row r="9667" spans="1:29">
      <c r="A9667" s="8" t="s">
        <v>629</v>
      </c>
      <c r="B9667" s="17" t="s">
        <v>7736</v>
      </c>
      <c r="C9667" s="13">
        <v>33717</v>
      </c>
      <c r="D9667" s="13" t="s">
        <v>8465</v>
      </c>
      <c r="E9667" s="10" t="s">
        <v>1240</v>
      </c>
      <c r="F9667" s="10" t="s">
        <v>1240</v>
      </c>
      <c r="G9667" s="11" t="s">
        <v>1277</v>
      </c>
      <c r="H9667" s="2" t="s">
        <v>153</v>
      </c>
      <c r="L9667" s="18">
        <v>0</v>
      </c>
      <c r="Q9667" s="18">
        <v>0</v>
      </c>
      <c r="U9667" s="22">
        <v>0.48</v>
      </c>
      <c r="V9667" s="22">
        <f>3.06/5</f>
        <v>0.61199999999999999</v>
      </c>
      <c r="X9667" s="3">
        <v>2</v>
      </c>
      <c r="Z9667" s="23">
        <v>1.5</v>
      </c>
      <c r="AB9667" s="18">
        <f t="shared" si="302"/>
        <v>1992</v>
      </c>
      <c r="AC9667" s="22">
        <f t="shared" si="303"/>
        <v>0.49733333333333335</v>
      </c>
    </row>
    <row r="9668" spans="1:29" ht="25.5">
      <c r="A9668" s="8" t="s">
        <v>6872</v>
      </c>
      <c r="B9668" s="17" t="s">
        <v>7800</v>
      </c>
      <c r="C9668" s="13">
        <v>33710</v>
      </c>
      <c r="D9668" s="13" t="s">
        <v>8465</v>
      </c>
      <c r="E9668" s="10" t="s">
        <v>1784</v>
      </c>
      <c r="F9668" s="10" t="s">
        <v>1784</v>
      </c>
      <c r="G9668" s="11" t="s">
        <v>1785</v>
      </c>
      <c r="H9668" s="2" t="s">
        <v>1720</v>
      </c>
      <c r="L9668" s="18">
        <v>0</v>
      </c>
      <c r="Q9668" s="18">
        <v>0</v>
      </c>
      <c r="V9668" s="22">
        <f>4.31/5</f>
        <v>0.86199999999999988</v>
      </c>
      <c r="X9668" s="3">
        <v>3</v>
      </c>
      <c r="Z9668" s="23">
        <v>43.5</v>
      </c>
      <c r="AB9668" s="18">
        <f t="shared" si="302"/>
        <v>1992</v>
      </c>
      <c r="AC9668" s="22">
        <f t="shared" si="303"/>
        <v>0.73099999999999987</v>
      </c>
    </row>
    <row r="9669" spans="1:29">
      <c r="A9669" s="8" t="s">
        <v>2797</v>
      </c>
      <c r="B9669" s="17" t="s">
        <v>7756</v>
      </c>
      <c r="C9669" s="12">
        <v>33695</v>
      </c>
      <c r="D9669" s="13" t="s">
        <v>8465</v>
      </c>
      <c r="E9669" s="10" t="s">
        <v>455</v>
      </c>
      <c r="F9669" s="10" t="s">
        <v>455</v>
      </c>
      <c r="G9669" s="11" t="s">
        <v>2797</v>
      </c>
      <c r="H9669" s="2" t="s">
        <v>75</v>
      </c>
      <c r="L9669" s="18">
        <v>0</v>
      </c>
      <c r="Q9669" s="18">
        <v>0</v>
      </c>
      <c r="V9669" s="22">
        <f>3.61/5</f>
        <v>0.72199999999999998</v>
      </c>
      <c r="X9669" s="3">
        <v>4</v>
      </c>
      <c r="Z9669" s="23">
        <v>8</v>
      </c>
      <c r="AB9669" s="18">
        <f t="shared" si="302"/>
        <v>1992</v>
      </c>
      <c r="AC9669" s="22">
        <f t="shared" si="303"/>
        <v>0.76100000000000001</v>
      </c>
    </row>
    <row r="9670" spans="1:29">
      <c r="A9670" s="8" t="s">
        <v>652</v>
      </c>
      <c r="B9670" s="17" t="s">
        <v>7736</v>
      </c>
      <c r="C9670" s="12">
        <v>33695</v>
      </c>
      <c r="D9670" s="13" t="s">
        <v>8465</v>
      </c>
      <c r="E9670" s="10" t="s">
        <v>62</v>
      </c>
      <c r="F9670" s="10" t="s">
        <v>1291</v>
      </c>
      <c r="G9670" s="11" t="s">
        <v>41</v>
      </c>
      <c r="H9670" s="2" t="s">
        <v>64</v>
      </c>
      <c r="L9670" s="18">
        <v>0</v>
      </c>
      <c r="Q9670" s="18">
        <v>0</v>
      </c>
      <c r="U9670" s="22">
        <v>0.73</v>
      </c>
      <c r="V9670" s="22">
        <f>3.26/5</f>
        <v>0.65199999999999991</v>
      </c>
      <c r="X9670" s="3">
        <v>3</v>
      </c>
      <c r="Z9670" s="23">
        <v>1</v>
      </c>
      <c r="AB9670" s="18">
        <f t="shared" si="302"/>
        <v>1992</v>
      </c>
      <c r="AC9670" s="22">
        <f t="shared" si="303"/>
        <v>0.66066666666666662</v>
      </c>
    </row>
    <row r="9671" spans="1:29">
      <c r="A9671" s="8" t="s">
        <v>650</v>
      </c>
      <c r="B9671" s="17" t="s">
        <v>7736</v>
      </c>
      <c r="C9671" s="12">
        <v>33695</v>
      </c>
      <c r="D9671" s="13" t="s">
        <v>8465</v>
      </c>
      <c r="E9671" s="10" t="s">
        <v>1288</v>
      </c>
      <c r="F9671" s="10" t="s">
        <v>1289</v>
      </c>
      <c r="G9671" s="11" t="s">
        <v>397</v>
      </c>
      <c r="H9671" s="2" t="s">
        <v>21</v>
      </c>
      <c r="L9671" s="18">
        <v>0</v>
      </c>
      <c r="Q9671" s="18">
        <v>0</v>
      </c>
      <c r="U9671" s="22">
        <v>0.57999999999999996</v>
      </c>
      <c r="V9671" s="22">
        <f>3.21/5</f>
        <v>0.64200000000000002</v>
      </c>
      <c r="X9671" s="3">
        <v>3</v>
      </c>
      <c r="Z9671" s="23">
        <v>1</v>
      </c>
      <c r="AB9671" s="18">
        <f t="shared" si="302"/>
        <v>1992</v>
      </c>
      <c r="AC9671" s="22">
        <f t="shared" si="303"/>
        <v>0.60733333333333339</v>
      </c>
    </row>
    <row r="9672" spans="1:29">
      <c r="A9672" s="8" t="s">
        <v>15599</v>
      </c>
      <c r="B9672" s="17" t="s">
        <v>6317</v>
      </c>
      <c r="C9672" s="12">
        <v>33695</v>
      </c>
      <c r="D9672" s="13" t="s">
        <v>8465</v>
      </c>
      <c r="E9672" s="10" t="s">
        <v>158</v>
      </c>
      <c r="F9672" s="10" t="s">
        <v>158</v>
      </c>
      <c r="G9672" s="11" t="s">
        <v>14910</v>
      </c>
      <c r="H9672" s="2" t="s">
        <v>1170</v>
      </c>
      <c r="L9672" s="18">
        <v>0</v>
      </c>
      <c r="Q9672" s="18">
        <v>0</v>
      </c>
      <c r="V9672" s="22">
        <f>3.15/5</f>
        <v>0.63</v>
      </c>
      <c r="X9672" s="3">
        <v>2</v>
      </c>
      <c r="Z9672" s="23">
        <f>28/60</f>
        <v>0.46666666666666667</v>
      </c>
      <c r="AB9672" s="18">
        <f t="shared" si="302"/>
        <v>1992</v>
      </c>
      <c r="AC9672" s="22">
        <f t="shared" si="303"/>
        <v>0.51500000000000001</v>
      </c>
    </row>
    <row r="9673" spans="1:29">
      <c r="A9673" s="8" t="s">
        <v>779</v>
      </c>
      <c r="B9673" s="17" t="s">
        <v>7736</v>
      </c>
      <c r="C9673" s="13">
        <v>33691</v>
      </c>
      <c r="D9673" s="13" t="s">
        <v>8463</v>
      </c>
      <c r="E9673" s="10" t="s">
        <v>157</v>
      </c>
      <c r="F9673" s="10" t="s">
        <v>1354</v>
      </c>
      <c r="G9673" s="11" t="s">
        <v>779</v>
      </c>
      <c r="H9673" s="2" t="s">
        <v>56</v>
      </c>
      <c r="K9673" s="18">
        <v>0</v>
      </c>
      <c r="L9673" s="18">
        <v>0</v>
      </c>
      <c r="Q9673" s="18">
        <v>0</v>
      </c>
      <c r="V9673" s="22">
        <f>3.36/5</f>
        <v>0.67199999999999993</v>
      </c>
      <c r="X9673" s="3">
        <v>2</v>
      </c>
      <c r="Z9673" s="23">
        <f>56/60</f>
        <v>0.93333333333333335</v>
      </c>
      <c r="AB9673" s="18">
        <f t="shared" si="302"/>
        <v>1992</v>
      </c>
      <c r="AC9673" s="22">
        <f t="shared" si="303"/>
        <v>0.53600000000000003</v>
      </c>
    </row>
    <row r="9674" spans="1:29" ht="30">
      <c r="A9674" s="8" t="s">
        <v>12749</v>
      </c>
      <c r="B9674" s="17" t="s">
        <v>9581</v>
      </c>
      <c r="C9674" s="13">
        <v>33683</v>
      </c>
      <c r="D9674" s="13" t="s">
        <v>8465</v>
      </c>
      <c r="E9674" s="10" t="s">
        <v>231</v>
      </c>
      <c r="F9674" s="10" t="s">
        <v>5017</v>
      </c>
      <c r="H9674" s="2" t="s">
        <v>1377</v>
      </c>
      <c r="L9674" s="18">
        <v>0</v>
      </c>
      <c r="Q9674" s="18">
        <v>0</v>
      </c>
      <c r="V9674" s="22">
        <f>4/5</f>
        <v>0.8</v>
      </c>
      <c r="X9674" s="3">
        <v>2</v>
      </c>
      <c r="Z9674" s="23">
        <v>6.5</v>
      </c>
      <c r="AB9674" s="18">
        <f t="shared" si="302"/>
        <v>1992</v>
      </c>
      <c r="AC9674" s="22">
        <f t="shared" si="303"/>
        <v>0.60000000000000009</v>
      </c>
    </row>
    <row r="9675" spans="1:29">
      <c r="A9675" s="8" t="s">
        <v>290</v>
      </c>
      <c r="B9675" s="17" t="s">
        <v>7734</v>
      </c>
      <c r="C9675" s="13">
        <v>33677</v>
      </c>
      <c r="D9675" s="13" t="s">
        <v>8463</v>
      </c>
      <c r="E9675" s="10" t="s">
        <v>86</v>
      </c>
      <c r="F9675" s="10" t="s">
        <v>1069</v>
      </c>
      <c r="G9675" s="11" t="s">
        <v>305</v>
      </c>
      <c r="H9675" s="2" t="s">
        <v>75</v>
      </c>
      <c r="K9675" s="18">
        <v>2</v>
      </c>
      <c r="L9675" s="18">
        <v>0</v>
      </c>
      <c r="Q9675" s="18">
        <v>0</v>
      </c>
      <c r="V9675" s="22">
        <f>3.65/5</f>
        <v>0.73</v>
      </c>
      <c r="X9675" s="3">
        <v>4</v>
      </c>
      <c r="Z9675" s="23">
        <v>25.5</v>
      </c>
      <c r="AB9675" s="18">
        <f t="shared" si="302"/>
        <v>1992</v>
      </c>
      <c r="AC9675" s="22">
        <f t="shared" si="303"/>
        <v>0.76500000000000001</v>
      </c>
    </row>
    <row r="9676" spans="1:29" ht="25.5">
      <c r="A9676" s="8" t="s">
        <v>2780</v>
      </c>
      <c r="B9676" s="17" t="s">
        <v>7756</v>
      </c>
      <c r="C9676" s="13">
        <v>33676</v>
      </c>
      <c r="D9676" s="13" t="s">
        <v>8463</v>
      </c>
      <c r="E9676" s="10" t="s">
        <v>455</v>
      </c>
      <c r="F9676" s="10" t="s">
        <v>1786</v>
      </c>
      <c r="G9676" s="11" t="s">
        <v>1936</v>
      </c>
      <c r="H9676" s="2" t="s">
        <v>149</v>
      </c>
      <c r="K9676" s="18">
        <v>2</v>
      </c>
      <c r="L9676" s="18">
        <v>0</v>
      </c>
      <c r="Q9676" s="18">
        <v>0</v>
      </c>
      <c r="V9676" s="22">
        <f>2.53/5</f>
        <v>0.50600000000000001</v>
      </c>
      <c r="X9676" s="3">
        <v>3</v>
      </c>
      <c r="Z9676" s="23">
        <v>0.83</v>
      </c>
      <c r="AB9676" s="18">
        <f t="shared" si="302"/>
        <v>1992</v>
      </c>
      <c r="AC9676" s="22">
        <f t="shared" si="303"/>
        <v>0.55299999999999994</v>
      </c>
    </row>
    <row r="9677" spans="1:29">
      <c r="A9677" s="8" t="s">
        <v>218</v>
      </c>
      <c r="B9677" s="17" t="s">
        <v>7734</v>
      </c>
      <c r="C9677" s="13">
        <v>33675</v>
      </c>
      <c r="D9677" s="13" t="s">
        <v>8465</v>
      </c>
      <c r="E9677" s="10" t="s">
        <v>257</v>
      </c>
      <c r="F9677" s="10" t="s">
        <v>164</v>
      </c>
      <c r="G9677" s="11" t="s">
        <v>140</v>
      </c>
      <c r="H9677" s="2" t="s">
        <v>149</v>
      </c>
      <c r="L9677" s="18">
        <v>0</v>
      </c>
      <c r="Q9677" s="18">
        <v>0</v>
      </c>
      <c r="V9677" s="22">
        <f>4.13/5</f>
        <v>0.82599999999999996</v>
      </c>
      <c r="X9677" s="3">
        <v>4</v>
      </c>
      <c r="Z9677" s="23">
        <v>28</v>
      </c>
      <c r="AB9677" s="18">
        <f t="shared" si="302"/>
        <v>1992</v>
      </c>
      <c r="AC9677" s="22">
        <f t="shared" si="303"/>
        <v>0.81299999999999994</v>
      </c>
    </row>
    <row r="9678" spans="1:29">
      <c r="A9678" s="8" t="s">
        <v>14027</v>
      </c>
      <c r="B9678" s="17" t="s">
        <v>7734</v>
      </c>
      <c r="C9678" s="13">
        <v>33669</v>
      </c>
      <c r="D9678" s="13" t="s">
        <v>8463</v>
      </c>
      <c r="E9678" s="10" t="s">
        <v>7916</v>
      </c>
      <c r="F9678" s="10" t="s">
        <v>14028</v>
      </c>
      <c r="H9678" s="2" t="s">
        <v>149</v>
      </c>
      <c r="K9678" s="18">
        <v>2</v>
      </c>
      <c r="L9678" s="18">
        <v>0</v>
      </c>
      <c r="Q9678" s="18">
        <v>0</v>
      </c>
      <c r="V9678" s="22">
        <f>2.82/5</f>
        <v>0.56399999999999995</v>
      </c>
      <c r="X9678" s="3">
        <v>2</v>
      </c>
      <c r="AB9678" s="18">
        <f t="shared" si="302"/>
        <v>1992</v>
      </c>
      <c r="AC9678" s="22">
        <f t="shared" si="303"/>
        <v>0.48199999999999998</v>
      </c>
    </row>
    <row r="9679" spans="1:29" ht="25.5">
      <c r="A9679" s="8" t="s">
        <v>6827</v>
      </c>
      <c r="B9679" s="17" t="s">
        <v>7800</v>
      </c>
      <c r="C9679" s="12">
        <v>33664</v>
      </c>
      <c r="D9679" s="13" t="s">
        <v>8465</v>
      </c>
      <c r="E9679" s="10" t="s">
        <v>1784</v>
      </c>
      <c r="F9679" s="10" t="s">
        <v>5234</v>
      </c>
      <c r="G9679" s="11" t="s">
        <v>1785</v>
      </c>
      <c r="H9679" s="2" t="s">
        <v>1720</v>
      </c>
      <c r="L9679" s="18">
        <v>1</v>
      </c>
      <c r="N9679" s="13">
        <v>44418</v>
      </c>
      <c r="O9679" s="29">
        <v>0</v>
      </c>
      <c r="P9679" s="18" t="s">
        <v>1107</v>
      </c>
      <c r="Q9679" s="18">
        <v>0</v>
      </c>
      <c r="U9679" s="22">
        <v>0.8</v>
      </c>
      <c r="V9679" s="22">
        <f>4.11/5</f>
        <v>0.82200000000000006</v>
      </c>
      <c r="W9679" s="14" t="s">
        <v>7778</v>
      </c>
      <c r="X9679" s="3">
        <v>3</v>
      </c>
      <c r="Z9679" s="23">
        <v>24</v>
      </c>
      <c r="AB9679" s="18">
        <f t="shared" si="302"/>
        <v>1992</v>
      </c>
      <c r="AC9679" s="22">
        <f t="shared" si="303"/>
        <v>0.7406666666666667</v>
      </c>
    </row>
    <row r="9680" spans="1:29">
      <c r="A9680" s="8" t="s">
        <v>6664</v>
      </c>
      <c r="B9680" s="17" t="s">
        <v>7800</v>
      </c>
      <c r="C9680" s="12">
        <v>33664</v>
      </c>
      <c r="D9680" s="13" t="s">
        <v>8465</v>
      </c>
      <c r="E9680" s="10" t="s">
        <v>6665</v>
      </c>
      <c r="F9680" s="10" t="s">
        <v>6666</v>
      </c>
      <c r="H9680" s="2" t="s">
        <v>61</v>
      </c>
      <c r="L9680" s="18">
        <v>0</v>
      </c>
      <c r="Q9680" s="18">
        <v>0</v>
      </c>
      <c r="V9680" s="22">
        <f>4.29/5</f>
        <v>0.85799999999999998</v>
      </c>
      <c r="X9680" s="3">
        <v>2</v>
      </c>
      <c r="AB9680" s="18">
        <f t="shared" si="302"/>
        <v>1992</v>
      </c>
      <c r="AC9680" s="22">
        <f t="shared" si="303"/>
        <v>0.629</v>
      </c>
    </row>
    <row r="9681" spans="1:29">
      <c r="A9681" s="8" t="s">
        <v>14467</v>
      </c>
      <c r="B9681" s="17" t="s">
        <v>7736</v>
      </c>
      <c r="C9681" s="12">
        <v>33664</v>
      </c>
      <c r="D9681" s="13" t="s">
        <v>8463</v>
      </c>
      <c r="E9681" s="10" t="s">
        <v>164</v>
      </c>
      <c r="F9681" s="10" t="s">
        <v>164</v>
      </c>
      <c r="H9681" s="2" t="s">
        <v>1057</v>
      </c>
      <c r="K9681" s="18">
        <v>0</v>
      </c>
      <c r="L9681" s="18">
        <v>0</v>
      </c>
      <c r="Q9681" s="18">
        <v>0</v>
      </c>
      <c r="V9681" s="22">
        <f>3.53/5</f>
        <v>0.70599999999999996</v>
      </c>
      <c r="X9681" s="3">
        <v>2</v>
      </c>
      <c r="Z9681" s="23">
        <v>3</v>
      </c>
      <c r="AB9681" s="18">
        <f t="shared" si="302"/>
        <v>1992</v>
      </c>
      <c r="AC9681" s="22">
        <f t="shared" si="303"/>
        <v>0.55299999999999994</v>
      </c>
    </row>
    <row r="9682" spans="1:29" ht="38.25">
      <c r="A9682" s="8" t="s">
        <v>14396</v>
      </c>
      <c r="B9682" s="17" t="s">
        <v>7734</v>
      </c>
      <c r="C9682" s="13">
        <v>33664</v>
      </c>
      <c r="D9682" s="13" t="s">
        <v>8465</v>
      </c>
      <c r="E9682" s="10" t="s">
        <v>154</v>
      </c>
      <c r="F9682" s="10" t="s">
        <v>253</v>
      </c>
      <c r="G9682" s="11" t="s">
        <v>206</v>
      </c>
      <c r="H9682" s="2" t="s">
        <v>56</v>
      </c>
      <c r="L9682" s="18">
        <v>0</v>
      </c>
      <c r="Q9682" s="18">
        <v>0</v>
      </c>
      <c r="V9682" s="22">
        <f>3.4/5</f>
        <v>0.67999999999999994</v>
      </c>
      <c r="X9682" s="3">
        <v>2</v>
      </c>
      <c r="Z9682" s="23">
        <v>2</v>
      </c>
      <c r="AB9682" s="18">
        <f t="shared" si="302"/>
        <v>1992</v>
      </c>
      <c r="AC9682" s="22">
        <f t="shared" si="303"/>
        <v>0.54</v>
      </c>
    </row>
    <row r="9683" spans="1:29" ht="25.5">
      <c r="A9683" s="8" t="s">
        <v>13187</v>
      </c>
      <c r="B9683" s="17" t="s">
        <v>7745</v>
      </c>
      <c r="C9683" s="12">
        <v>33664</v>
      </c>
      <c r="D9683" s="13" t="s">
        <v>8465</v>
      </c>
      <c r="E9683" s="10" t="s">
        <v>54</v>
      </c>
      <c r="F9683" s="10" t="s">
        <v>2891</v>
      </c>
      <c r="G9683" s="11" t="s">
        <v>13188</v>
      </c>
      <c r="H9683" s="2" t="s">
        <v>64</v>
      </c>
      <c r="L9683" s="18">
        <v>0</v>
      </c>
      <c r="Q9683" s="18">
        <v>0</v>
      </c>
      <c r="V9683" s="22">
        <f>3.18/5</f>
        <v>0.63600000000000001</v>
      </c>
      <c r="X9683" s="3">
        <v>2</v>
      </c>
      <c r="Z9683" s="23">
        <f>52/60</f>
        <v>0.8666666666666667</v>
      </c>
      <c r="AB9683" s="18">
        <f t="shared" si="302"/>
        <v>1992</v>
      </c>
      <c r="AC9683" s="22">
        <f t="shared" si="303"/>
        <v>0.51800000000000002</v>
      </c>
    </row>
    <row r="9684" spans="1:29" ht="25.5">
      <c r="A9684" s="8" t="s">
        <v>15455</v>
      </c>
      <c r="B9684" s="17" t="s">
        <v>7734</v>
      </c>
      <c r="C9684" s="12">
        <v>33664</v>
      </c>
      <c r="D9684" s="13" t="s">
        <v>8465</v>
      </c>
      <c r="E9684" s="10" t="s">
        <v>73</v>
      </c>
      <c r="F9684" s="10" t="s">
        <v>55</v>
      </c>
      <c r="G9684" s="11" t="s">
        <v>15456</v>
      </c>
      <c r="H9684" s="2" t="s">
        <v>56</v>
      </c>
      <c r="L9684" s="18">
        <v>0</v>
      </c>
      <c r="Q9684" s="18">
        <v>0</v>
      </c>
      <c r="V9684" s="22">
        <f>3.69/5</f>
        <v>0.73799999999999999</v>
      </c>
      <c r="X9684" s="3">
        <v>2</v>
      </c>
      <c r="Z9684" s="23">
        <v>3</v>
      </c>
      <c r="AB9684" s="18">
        <f t="shared" si="302"/>
        <v>1992</v>
      </c>
      <c r="AC9684" s="22">
        <f t="shared" si="303"/>
        <v>0.56899999999999995</v>
      </c>
    </row>
    <row r="9685" spans="1:29" ht="25.5">
      <c r="A9685" s="8" t="s">
        <v>15481</v>
      </c>
      <c r="B9685" s="17" t="s">
        <v>6317</v>
      </c>
      <c r="C9685" s="12">
        <v>33664</v>
      </c>
      <c r="D9685" s="13" t="s">
        <v>8465</v>
      </c>
      <c r="E9685" s="10" t="s">
        <v>73</v>
      </c>
      <c r="F9685" s="10" t="s">
        <v>73</v>
      </c>
      <c r="G9685" s="11" t="s">
        <v>227</v>
      </c>
      <c r="H9685" s="2" t="s">
        <v>459</v>
      </c>
      <c r="L9685" s="18">
        <v>0</v>
      </c>
      <c r="Q9685" s="18">
        <v>0</v>
      </c>
      <c r="V9685" s="22">
        <f>4.06/5</f>
        <v>0.81199999999999994</v>
      </c>
      <c r="X9685" s="3">
        <v>2</v>
      </c>
      <c r="Z9685" s="23">
        <v>1</v>
      </c>
      <c r="AB9685" s="18">
        <f t="shared" si="302"/>
        <v>1992</v>
      </c>
      <c r="AC9685" s="22">
        <f t="shared" si="303"/>
        <v>0.60599999999999998</v>
      </c>
    </row>
    <row r="9686" spans="1:29" ht="38.25">
      <c r="A9686" s="8" t="s">
        <v>13372</v>
      </c>
      <c r="B9686" s="17" t="s">
        <v>7790</v>
      </c>
      <c r="C9686" s="13">
        <v>33662</v>
      </c>
      <c r="D9686" s="13" t="s">
        <v>8463</v>
      </c>
      <c r="E9686" s="10" t="s">
        <v>1361</v>
      </c>
      <c r="F9686" s="10" t="s">
        <v>1361</v>
      </c>
      <c r="G9686" s="11" t="s">
        <v>13369</v>
      </c>
      <c r="H9686" s="2" t="s">
        <v>56</v>
      </c>
      <c r="K9686" s="18">
        <v>0</v>
      </c>
      <c r="L9686" s="18">
        <v>0</v>
      </c>
      <c r="Q9686" s="18">
        <v>0</v>
      </c>
      <c r="V9686" s="22">
        <f>3.54/5</f>
        <v>0.70799999999999996</v>
      </c>
      <c r="X9686" s="3">
        <v>2</v>
      </c>
      <c r="Z9686" s="23">
        <f>46/60</f>
        <v>0.76666666666666672</v>
      </c>
      <c r="AB9686" s="18">
        <f t="shared" si="302"/>
        <v>1992</v>
      </c>
      <c r="AC9686" s="22">
        <f t="shared" si="303"/>
        <v>0.55400000000000005</v>
      </c>
    </row>
    <row r="9687" spans="1:29">
      <c r="A9687" s="8" t="s">
        <v>2883</v>
      </c>
      <c r="B9687" s="17" t="s">
        <v>7790</v>
      </c>
      <c r="C9687" s="13">
        <v>33655</v>
      </c>
      <c r="D9687" s="13" t="s">
        <v>8463</v>
      </c>
      <c r="E9687" s="10" t="s">
        <v>62</v>
      </c>
      <c r="F9687" s="10" t="s">
        <v>1318</v>
      </c>
      <c r="G9687" s="11" t="s">
        <v>2687</v>
      </c>
      <c r="H9687" s="2" t="s">
        <v>21</v>
      </c>
      <c r="K9687" s="18">
        <v>0</v>
      </c>
      <c r="L9687" s="18">
        <v>0</v>
      </c>
      <c r="Q9687" s="18">
        <v>0</v>
      </c>
      <c r="V9687" s="22">
        <f>4.13/5</f>
        <v>0.82599999999999996</v>
      </c>
      <c r="X9687" s="3">
        <v>3</v>
      </c>
      <c r="Z9687" s="23">
        <v>1</v>
      </c>
      <c r="AB9687" s="18">
        <f t="shared" si="302"/>
        <v>1992</v>
      </c>
      <c r="AC9687" s="22">
        <f t="shared" si="303"/>
        <v>0.71299999999999997</v>
      </c>
    </row>
    <row r="9688" spans="1:29" ht="25.5">
      <c r="A9688" s="8" t="s">
        <v>724</v>
      </c>
      <c r="B9688" s="17" t="s">
        <v>7736</v>
      </c>
      <c r="C9688" s="12">
        <v>33635</v>
      </c>
      <c r="D9688" s="13" t="s">
        <v>8465</v>
      </c>
      <c r="E9688" s="10" t="s">
        <v>72</v>
      </c>
      <c r="F9688" s="10" t="s">
        <v>72</v>
      </c>
      <c r="G9688" s="11" t="s">
        <v>1242</v>
      </c>
      <c r="H9688" s="2" t="s">
        <v>143</v>
      </c>
      <c r="L9688" s="18">
        <v>0</v>
      </c>
      <c r="Q9688" s="18">
        <v>0</v>
      </c>
      <c r="U9688" s="22">
        <v>0.73</v>
      </c>
      <c r="V9688" s="22">
        <f>3.8/5</f>
        <v>0.76</v>
      </c>
      <c r="X9688" s="3">
        <v>4</v>
      </c>
      <c r="Z9688" s="23">
        <v>4.5</v>
      </c>
      <c r="AB9688" s="18">
        <f t="shared" si="302"/>
        <v>1992</v>
      </c>
      <c r="AC9688" s="22">
        <f t="shared" si="303"/>
        <v>0.76333333333333331</v>
      </c>
    </row>
    <row r="9689" spans="1:29" ht="38.25">
      <c r="A9689" s="8" t="s">
        <v>177</v>
      </c>
      <c r="B9689" s="17" t="s">
        <v>7734</v>
      </c>
      <c r="C9689" s="13">
        <v>33635</v>
      </c>
      <c r="D9689" s="13" t="s">
        <v>8465</v>
      </c>
      <c r="E9689" s="10" t="s">
        <v>72</v>
      </c>
      <c r="F9689" s="10" t="s">
        <v>72</v>
      </c>
      <c r="G9689" s="11" t="s">
        <v>215</v>
      </c>
      <c r="H9689" s="2" t="s">
        <v>153</v>
      </c>
      <c r="L9689" s="18">
        <v>0</v>
      </c>
      <c r="Q9689" s="18">
        <v>0</v>
      </c>
      <c r="V9689" s="22">
        <f>4.05/5</f>
        <v>0.80999999999999994</v>
      </c>
      <c r="X9689" s="3">
        <v>3</v>
      </c>
      <c r="Z9689" s="23">
        <v>3</v>
      </c>
      <c r="AB9689" s="18">
        <f t="shared" si="302"/>
        <v>1992</v>
      </c>
      <c r="AC9689" s="22">
        <f t="shared" si="303"/>
        <v>0.70499999999999996</v>
      </c>
    </row>
    <row r="9690" spans="1:29" ht="25.5">
      <c r="A9690" s="8" t="s">
        <v>2606</v>
      </c>
      <c r="B9690" s="17" t="s">
        <v>7751</v>
      </c>
      <c r="C9690" s="12">
        <v>33635</v>
      </c>
      <c r="D9690" s="13" t="s">
        <v>8465</v>
      </c>
      <c r="E9690" s="10" t="s">
        <v>455</v>
      </c>
      <c r="F9690" s="10" t="s">
        <v>2511</v>
      </c>
      <c r="G9690" s="11" t="s">
        <v>1727</v>
      </c>
      <c r="H9690" s="2" t="s">
        <v>143</v>
      </c>
      <c r="L9690" s="18">
        <v>0</v>
      </c>
      <c r="Q9690" s="18">
        <v>0</v>
      </c>
      <c r="U9690" s="22">
        <v>0.77</v>
      </c>
      <c r="V9690" s="22">
        <f>3.95/5</f>
        <v>0.79</v>
      </c>
      <c r="X9690" s="3">
        <v>3</v>
      </c>
      <c r="Z9690" s="23">
        <v>6</v>
      </c>
      <c r="AB9690" s="18">
        <f t="shared" si="302"/>
        <v>1992</v>
      </c>
      <c r="AC9690" s="22">
        <f t="shared" si="303"/>
        <v>0.72000000000000008</v>
      </c>
    </row>
    <row r="9691" spans="1:29">
      <c r="A9691" s="8" t="s">
        <v>685</v>
      </c>
      <c r="B9691" s="17" t="s">
        <v>7736</v>
      </c>
      <c r="C9691" s="12">
        <v>33635</v>
      </c>
      <c r="D9691" s="13" t="s">
        <v>8465</v>
      </c>
      <c r="E9691" s="10" t="s">
        <v>1273</v>
      </c>
      <c r="F9691" s="10" t="s">
        <v>254</v>
      </c>
      <c r="G9691" s="11" t="s">
        <v>1320</v>
      </c>
      <c r="H9691" s="2" t="s">
        <v>21</v>
      </c>
      <c r="L9691" s="18">
        <v>0</v>
      </c>
      <c r="Q9691" s="18">
        <v>0</v>
      </c>
      <c r="U9691" s="22">
        <v>0.82</v>
      </c>
      <c r="V9691" s="22">
        <f>3.53/5</f>
        <v>0.70599999999999996</v>
      </c>
      <c r="X9691" s="3">
        <v>3</v>
      </c>
      <c r="Z9691" s="23">
        <v>2</v>
      </c>
      <c r="AB9691" s="18">
        <f t="shared" si="302"/>
        <v>1992</v>
      </c>
      <c r="AC9691" s="22">
        <f t="shared" si="303"/>
        <v>0.70866666666666667</v>
      </c>
    </row>
    <row r="9692" spans="1:29">
      <c r="A9692" s="8" t="s">
        <v>41</v>
      </c>
      <c r="B9692" s="17" t="s">
        <v>7745</v>
      </c>
      <c r="C9692" s="12">
        <v>33635</v>
      </c>
      <c r="D9692" s="13" t="s">
        <v>8465</v>
      </c>
      <c r="E9692" s="10" t="s">
        <v>62</v>
      </c>
      <c r="F9692" s="10" t="s">
        <v>63</v>
      </c>
      <c r="G9692" s="11" t="s">
        <v>41</v>
      </c>
      <c r="H9692" s="2" t="s">
        <v>64</v>
      </c>
      <c r="L9692" s="18">
        <v>0</v>
      </c>
      <c r="Q9692" s="18">
        <v>0</v>
      </c>
      <c r="U9692" s="22">
        <v>0.65</v>
      </c>
      <c r="V9692" s="22">
        <f>3.44/5</f>
        <v>0.68799999999999994</v>
      </c>
      <c r="X9692" s="3">
        <v>2</v>
      </c>
      <c r="Z9692" s="23">
        <v>0.92</v>
      </c>
      <c r="AB9692" s="18">
        <f t="shared" si="302"/>
        <v>1992</v>
      </c>
      <c r="AC9692" s="22">
        <f t="shared" si="303"/>
        <v>0.57933333333333337</v>
      </c>
    </row>
    <row r="9693" spans="1:29">
      <c r="A9693" s="8" t="s">
        <v>794</v>
      </c>
      <c r="B9693" s="17" t="s">
        <v>7736</v>
      </c>
      <c r="C9693" s="13">
        <v>33631</v>
      </c>
      <c r="D9693" s="13" t="s">
        <v>8463</v>
      </c>
      <c r="E9693" s="10" t="s">
        <v>161</v>
      </c>
      <c r="F9693" s="10" t="s">
        <v>161</v>
      </c>
      <c r="G9693" s="11" t="s">
        <v>9517</v>
      </c>
      <c r="H9693" s="2" t="s">
        <v>149</v>
      </c>
      <c r="K9693" s="18">
        <v>2</v>
      </c>
      <c r="L9693" s="18">
        <v>0</v>
      </c>
      <c r="Q9693" s="18">
        <v>0</v>
      </c>
      <c r="V9693" s="22">
        <f>3.7/5</f>
        <v>0.74</v>
      </c>
      <c r="X9693" s="3">
        <v>2</v>
      </c>
      <c r="Z9693" s="23">
        <v>28.5</v>
      </c>
      <c r="AB9693" s="18">
        <f t="shared" si="302"/>
        <v>1992</v>
      </c>
      <c r="AC9693" s="22">
        <f t="shared" si="303"/>
        <v>0.57000000000000006</v>
      </c>
    </row>
    <row r="9694" spans="1:29">
      <c r="A9694" s="8" t="s">
        <v>2567</v>
      </c>
      <c r="B9694" s="17" t="s">
        <v>7751</v>
      </c>
      <c r="C9694" s="13">
        <v>33629</v>
      </c>
      <c r="D9694" s="13" t="s">
        <v>8465</v>
      </c>
      <c r="E9694" s="10" t="s">
        <v>455</v>
      </c>
      <c r="F9694" s="10" t="s">
        <v>455</v>
      </c>
      <c r="G9694" s="11" t="s">
        <v>446</v>
      </c>
      <c r="H9694" s="2" t="s">
        <v>153</v>
      </c>
      <c r="L9694" s="18">
        <v>0</v>
      </c>
      <c r="Q9694" s="18">
        <v>0</v>
      </c>
      <c r="U9694" s="22">
        <v>0.66</v>
      </c>
      <c r="V9694" s="22">
        <f>3.67/5</f>
        <v>0.73399999999999999</v>
      </c>
      <c r="X9694" s="3">
        <v>3</v>
      </c>
      <c r="Z9694" s="23">
        <v>1</v>
      </c>
      <c r="AB9694" s="18">
        <f t="shared" si="302"/>
        <v>1992</v>
      </c>
      <c r="AC9694" s="22">
        <f t="shared" si="303"/>
        <v>0.66466666666666674</v>
      </c>
    </row>
    <row r="9695" spans="1:29">
      <c r="A9695" s="8" t="s">
        <v>15290</v>
      </c>
      <c r="B9695" s="17" t="s">
        <v>7800</v>
      </c>
      <c r="C9695" s="24">
        <v>33604</v>
      </c>
      <c r="D9695" s="13" t="s">
        <v>8465</v>
      </c>
      <c r="E9695" s="10" t="s">
        <v>1690</v>
      </c>
      <c r="F9695" s="10" t="s">
        <v>1690</v>
      </c>
      <c r="G9695" s="11" t="s">
        <v>10608</v>
      </c>
      <c r="H9695" s="2" t="s">
        <v>1050</v>
      </c>
      <c r="L9695" s="18">
        <v>0</v>
      </c>
      <c r="Q9695" s="18">
        <v>0</v>
      </c>
      <c r="V9695" s="22">
        <f>3.27/5</f>
        <v>0.65400000000000003</v>
      </c>
      <c r="X9695" s="3">
        <v>2</v>
      </c>
      <c r="Z9695" s="23">
        <v>7.5</v>
      </c>
      <c r="AB9695" s="18">
        <f t="shared" si="302"/>
        <v>1992</v>
      </c>
      <c r="AC9695" s="22">
        <f t="shared" si="303"/>
        <v>0.52700000000000002</v>
      </c>
    </row>
    <row r="9696" spans="1:29">
      <c r="A9696" s="8" t="s">
        <v>213</v>
      </c>
      <c r="B9696" s="17" t="s">
        <v>7734</v>
      </c>
      <c r="C9696" s="12">
        <v>33604</v>
      </c>
      <c r="D9696" s="13" t="s">
        <v>8465</v>
      </c>
      <c r="E9696" s="10" t="s">
        <v>244</v>
      </c>
      <c r="F9696" s="10" t="s">
        <v>254</v>
      </c>
      <c r="H9696" s="2" t="s">
        <v>80</v>
      </c>
      <c r="L9696" s="18">
        <v>0</v>
      </c>
      <c r="Q9696" s="18">
        <v>0</v>
      </c>
      <c r="V9696" s="22">
        <f>3.67/5</f>
        <v>0.73399999999999999</v>
      </c>
      <c r="X9696" s="3">
        <v>4</v>
      </c>
      <c r="Z9696" s="23">
        <v>8</v>
      </c>
      <c r="AB9696" s="18">
        <f t="shared" si="302"/>
        <v>1992</v>
      </c>
      <c r="AC9696" s="22">
        <f t="shared" si="303"/>
        <v>0.76700000000000002</v>
      </c>
    </row>
    <row r="9697" spans="1:29" ht="25.5">
      <c r="A9697" s="8" t="s">
        <v>726</v>
      </c>
      <c r="B9697" s="17" t="s">
        <v>7736</v>
      </c>
      <c r="C9697" s="12">
        <v>33604</v>
      </c>
      <c r="D9697" s="13" t="s">
        <v>8465</v>
      </c>
      <c r="E9697" s="10" t="s">
        <v>1245</v>
      </c>
      <c r="F9697" s="10" t="s">
        <v>1245</v>
      </c>
      <c r="G9697" s="11" t="s">
        <v>304</v>
      </c>
      <c r="H9697" s="2" t="s">
        <v>171</v>
      </c>
      <c r="L9697" s="18">
        <v>0</v>
      </c>
      <c r="Q9697" s="18">
        <v>0</v>
      </c>
      <c r="U9697" s="22">
        <v>0.64</v>
      </c>
      <c r="V9697" s="22">
        <f>3.37/5</f>
        <v>0.67400000000000004</v>
      </c>
      <c r="X9697" s="3">
        <v>4</v>
      </c>
      <c r="Z9697" s="23">
        <v>7.5</v>
      </c>
      <c r="AB9697" s="18">
        <f t="shared" si="302"/>
        <v>1992</v>
      </c>
      <c r="AC9697" s="22">
        <f t="shared" si="303"/>
        <v>0.70466666666666666</v>
      </c>
    </row>
    <row r="9698" spans="1:29">
      <c r="A9698" s="8" t="s">
        <v>2864</v>
      </c>
      <c r="B9698" s="17" t="s">
        <v>7789</v>
      </c>
      <c r="C9698" s="12">
        <v>33604</v>
      </c>
      <c r="D9698" s="13" t="s">
        <v>8465</v>
      </c>
      <c r="E9698" s="10" t="s">
        <v>62</v>
      </c>
      <c r="F9698" s="10" t="s">
        <v>62</v>
      </c>
      <c r="G9698" s="11" t="s">
        <v>2874</v>
      </c>
      <c r="H9698" s="2" t="s">
        <v>21</v>
      </c>
      <c r="L9698" s="18">
        <v>0</v>
      </c>
      <c r="Q9698" s="18">
        <v>0</v>
      </c>
      <c r="V9698" s="22">
        <f>4.15/5</f>
        <v>0.83000000000000007</v>
      </c>
      <c r="X9698" s="3">
        <v>3</v>
      </c>
      <c r="Z9698" s="23">
        <v>2</v>
      </c>
      <c r="AB9698" s="18">
        <f t="shared" si="302"/>
        <v>1992</v>
      </c>
      <c r="AC9698" s="22">
        <f t="shared" si="303"/>
        <v>0.71500000000000008</v>
      </c>
    </row>
    <row r="9699" spans="1:29">
      <c r="A9699" s="8" t="s">
        <v>6765</v>
      </c>
      <c r="B9699" s="17" t="s">
        <v>7800</v>
      </c>
      <c r="C9699" s="12">
        <v>33604</v>
      </c>
      <c r="D9699" s="13" t="s">
        <v>8465</v>
      </c>
      <c r="E9699" s="10" t="s">
        <v>6884</v>
      </c>
      <c r="F9699" s="10" t="s">
        <v>6884</v>
      </c>
      <c r="H9699" s="2" t="s">
        <v>1720</v>
      </c>
      <c r="L9699" s="18">
        <v>0</v>
      </c>
      <c r="Q9699" s="18">
        <v>0</v>
      </c>
      <c r="V9699" s="22">
        <f>4.14/5</f>
        <v>0.82799999999999996</v>
      </c>
      <c r="X9699" s="3">
        <v>3</v>
      </c>
      <c r="AB9699" s="18">
        <f t="shared" si="302"/>
        <v>1992</v>
      </c>
      <c r="AC9699" s="22">
        <f t="shared" si="303"/>
        <v>0.71399999999999997</v>
      </c>
    </row>
    <row r="9700" spans="1:29" ht="25.5">
      <c r="A9700" s="8" t="s">
        <v>6799</v>
      </c>
      <c r="B9700" s="17" t="s">
        <v>7800</v>
      </c>
      <c r="C9700" s="12">
        <v>33604</v>
      </c>
      <c r="D9700" s="13" t="s">
        <v>8465</v>
      </c>
      <c r="E9700" s="10" t="s">
        <v>2659</v>
      </c>
      <c r="F9700" s="10" t="s">
        <v>2659</v>
      </c>
      <c r="G9700" s="11" t="s">
        <v>1864</v>
      </c>
      <c r="H9700" s="2" t="s">
        <v>1720</v>
      </c>
      <c r="L9700" s="18">
        <v>0</v>
      </c>
      <c r="Q9700" s="18">
        <v>0</v>
      </c>
      <c r="V9700" s="22">
        <f>4.08/5</f>
        <v>0.81600000000000006</v>
      </c>
      <c r="X9700" s="3">
        <v>3</v>
      </c>
      <c r="Z9700" s="23">
        <v>30</v>
      </c>
      <c r="AB9700" s="18">
        <f t="shared" si="302"/>
        <v>1992</v>
      </c>
      <c r="AC9700" s="22">
        <f t="shared" si="303"/>
        <v>0.70799999999999996</v>
      </c>
    </row>
    <row r="9701" spans="1:29">
      <c r="A9701" s="8" t="s">
        <v>6847</v>
      </c>
      <c r="B9701" s="17" t="s">
        <v>7800</v>
      </c>
      <c r="C9701" s="12">
        <v>33604</v>
      </c>
      <c r="D9701" s="13" t="s">
        <v>8465</v>
      </c>
      <c r="E9701" s="10" t="s">
        <v>4156</v>
      </c>
      <c r="F9701" s="10" t="s">
        <v>4156</v>
      </c>
      <c r="G9701" s="11" t="s">
        <v>6847</v>
      </c>
      <c r="H9701" s="2" t="s">
        <v>67</v>
      </c>
      <c r="L9701" s="18">
        <v>0</v>
      </c>
      <c r="Q9701" s="18">
        <v>0</v>
      </c>
      <c r="U9701" s="22">
        <v>0.55000000000000004</v>
      </c>
      <c r="V9701" s="22">
        <f>3.3/5</f>
        <v>0.65999999999999992</v>
      </c>
      <c r="X9701" s="3">
        <v>4</v>
      </c>
      <c r="Z9701" s="23">
        <v>1</v>
      </c>
      <c r="AB9701" s="18">
        <f t="shared" si="302"/>
        <v>1992</v>
      </c>
      <c r="AC9701" s="22">
        <f t="shared" si="303"/>
        <v>0.66999999999999993</v>
      </c>
    </row>
    <row r="9702" spans="1:29" ht="38.25">
      <c r="A9702" s="8" t="s">
        <v>377</v>
      </c>
      <c r="B9702" s="17" t="s">
        <v>6317</v>
      </c>
      <c r="C9702" s="12">
        <v>33604</v>
      </c>
      <c r="D9702" s="13" t="s">
        <v>8465</v>
      </c>
      <c r="E9702" s="10" t="s">
        <v>455</v>
      </c>
      <c r="F9702" s="10" t="s">
        <v>476</v>
      </c>
      <c r="G9702" s="11" t="s">
        <v>446</v>
      </c>
      <c r="H9702" s="2" t="s">
        <v>153</v>
      </c>
      <c r="L9702" s="18">
        <v>0</v>
      </c>
      <c r="Q9702" s="18">
        <v>0</v>
      </c>
      <c r="V9702" s="22">
        <f>3.92/5</f>
        <v>0.78400000000000003</v>
      </c>
      <c r="X9702" s="3">
        <v>3</v>
      </c>
      <c r="Z9702" s="23">
        <v>1</v>
      </c>
      <c r="AB9702" s="18">
        <f t="shared" si="302"/>
        <v>1992</v>
      </c>
      <c r="AC9702" s="22">
        <f t="shared" si="303"/>
        <v>0.69199999999999995</v>
      </c>
    </row>
    <row r="9703" spans="1:29" ht="38.25">
      <c r="A9703" s="8" t="s">
        <v>5567</v>
      </c>
      <c r="B9703" s="17" t="s">
        <v>7800</v>
      </c>
      <c r="C9703" s="13">
        <v>33604</v>
      </c>
      <c r="D9703" s="13" t="s">
        <v>8465</v>
      </c>
      <c r="E9703" s="10" t="s">
        <v>8722</v>
      </c>
      <c r="F9703" s="10" t="s">
        <v>5565</v>
      </c>
      <c r="G9703" s="11" t="s">
        <v>5566</v>
      </c>
      <c r="H9703" s="2" t="s">
        <v>149</v>
      </c>
      <c r="L9703" s="18">
        <v>1</v>
      </c>
      <c r="N9703" s="13">
        <v>41769</v>
      </c>
      <c r="P9703" s="18" t="s">
        <v>1107</v>
      </c>
      <c r="Q9703" s="18">
        <v>0</v>
      </c>
      <c r="V9703" s="22">
        <f>3.91/5</f>
        <v>0.78200000000000003</v>
      </c>
      <c r="W9703" s="14" t="s">
        <v>7777</v>
      </c>
      <c r="X9703" s="3">
        <v>3</v>
      </c>
      <c r="Z9703" s="23">
        <v>63.5</v>
      </c>
      <c r="AB9703" s="18">
        <f t="shared" si="302"/>
        <v>1992</v>
      </c>
      <c r="AC9703" s="22">
        <f t="shared" si="303"/>
        <v>0.69100000000000006</v>
      </c>
    </row>
    <row r="9704" spans="1:29" ht="25.5">
      <c r="A9704" s="8" t="s">
        <v>5892</v>
      </c>
      <c r="B9704" s="17" t="s">
        <v>7756</v>
      </c>
      <c r="C9704" s="12">
        <v>33604</v>
      </c>
      <c r="D9704" s="13" t="s">
        <v>8465</v>
      </c>
      <c r="E9704" s="10" t="s">
        <v>455</v>
      </c>
      <c r="F9704" s="10" t="s">
        <v>455</v>
      </c>
      <c r="G9704" s="11" t="s">
        <v>2407</v>
      </c>
      <c r="H9704" s="2" t="s">
        <v>56</v>
      </c>
      <c r="L9704" s="18">
        <v>0</v>
      </c>
      <c r="Q9704" s="18">
        <v>0</v>
      </c>
      <c r="V9704" s="22">
        <f>3.89/5</f>
        <v>0.77800000000000002</v>
      </c>
      <c r="X9704" s="3">
        <v>3</v>
      </c>
      <c r="Z9704" s="23">
        <v>1.5</v>
      </c>
      <c r="AB9704" s="18">
        <f t="shared" si="302"/>
        <v>1992</v>
      </c>
      <c r="AC9704" s="22">
        <f t="shared" si="303"/>
        <v>0.68900000000000006</v>
      </c>
    </row>
    <row r="9705" spans="1:29" ht="25.5">
      <c r="A9705" s="8" t="s">
        <v>666</v>
      </c>
      <c r="B9705" s="17" t="s">
        <v>7736</v>
      </c>
      <c r="C9705" s="12">
        <v>33604</v>
      </c>
      <c r="D9705" s="13" t="s">
        <v>8465</v>
      </c>
      <c r="E9705" s="10" t="s">
        <v>1303</v>
      </c>
      <c r="F9705" s="10" t="s">
        <v>1304</v>
      </c>
      <c r="G9705" s="11" t="s">
        <v>1305</v>
      </c>
      <c r="H9705" s="2" t="s">
        <v>1267</v>
      </c>
      <c r="L9705" s="18">
        <v>0</v>
      </c>
      <c r="Q9705" s="18">
        <v>0</v>
      </c>
      <c r="U9705" s="22">
        <v>0.79</v>
      </c>
      <c r="V9705" s="22">
        <f>3.82/5</f>
        <v>0.76400000000000001</v>
      </c>
      <c r="X9705" s="3">
        <v>3</v>
      </c>
      <c r="Z9705" s="23">
        <v>6</v>
      </c>
      <c r="AB9705" s="18">
        <f t="shared" si="302"/>
        <v>1992</v>
      </c>
      <c r="AC9705" s="22">
        <f t="shared" si="303"/>
        <v>0.71799999999999997</v>
      </c>
    </row>
    <row r="9706" spans="1:29">
      <c r="A9706" s="8" t="s">
        <v>43</v>
      </c>
      <c r="B9706" s="17" t="s">
        <v>7734</v>
      </c>
      <c r="C9706" s="12">
        <v>33604</v>
      </c>
      <c r="D9706" s="13" t="s">
        <v>8465</v>
      </c>
      <c r="E9706" s="10" t="s">
        <v>72</v>
      </c>
      <c r="F9706" s="10" t="s">
        <v>72</v>
      </c>
      <c r="G9706" s="11" t="s">
        <v>43</v>
      </c>
      <c r="H9706" s="2" t="s">
        <v>56</v>
      </c>
      <c r="L9706" s="18">
        <v>0</v>
      </c>
      <c r="Q9706" s="18">
        <v>0</v>
      </c>
      <c r="V9706" s="22">
        <f>3.88/5</f>
        <v>0.77600000000000002</v>
      </c>
      <c r="X9706" s="3">
        <v>3</v>
      </c>
      <c r="Z9706" s="23">
        <v>2.5</v>
      </c>
      <c r="AB9706" s="18">
        <f t="shared" si="302"/>
        <v>1992</v>
      </c>
      <c r="AC9706" s="22">
        <f t="shared" si="303"/>
        <v>0.68799999999999994</v>
      </c>
    </row>
    <row r="9707" spans="1:29">
      <c r="A9707" s="8" t="s">
        <v>2798</v>
      </c>
      <c r="B9707" s="17" t="s">
        <v>7756</v>
      </c>
      <c r="C9707" s="12">
        <v>33604</v>
      </c>
      <c r="D9707" s="13" t="s">
        <v>8465</v>
      </c>
      <c r="E9707" s="10" t="s">
        <v>455</v>
      </c>
      <c r="F9707" s="10" t="s">
        <v>455</v>
      </c>
      <c r="H9707" s="2" t="s">
        <v>149</v>
      </c>
      <c r="L9707" s="18">
        <v>0</v>
      </c>
      <c r="Q9707" s="18">
        <v>0</v>
      </c>
      <c r="V9707" s="22">
        <f>3.86/5</f>
        <v>0.77200000000000002</v>
      </c>
      <c r="X9707" s="3">
        <v>3</v>
      </c>
      <c r="Z9707" s="23">
        <v>13.5</v>
      </c>
      <c r="AB9707" s="18">
        <f t="shared" si="302"/>
        <v>1992</v>
      </c>
      <c r="AC9707" s="22">
        <f t="shared" si="303"/>
        <v>0.68599999999999994</v>
      </c>
    </row>
    <row r="9708" spans="1:29">
      <c r="A9708" s="8" t="s">
        <v>2860</v>
      </c>
      <c r="B9708" s="17" t="s">
        <v>7789</v>
      </c>
      <c r="C9708" s="13">
        <v>33604</v>
      </c>
      <c r="D9708" s="13" t="s">
        <v>8465</v>
      </c>
      <c r="E9708" s="10" t="s">
        <v>62</v>
      </c>
      <c r="F9708" s="10" t="s">
        <v>62</v>
      </c>
      <c r="G9708" s="11" t="s">
        <v>2869</v>
      </c>
      <c r="H9708" s="2" t="s">
        <v>80</v>
      </c>
      <c r="L9708" s="18">
        <v>0</v>
      </c>
      <c r="Q9708" s="18">
        <v>0</v>
      </c>
      <c r="V9708" s="22">
        <f>3.83/5</f>
        <v>0.76600000000000001</v>
      </c>
      <c r="X9708" s="3">
        <v>3</v>
      </c>
      <c r="Z9708" s="23">
        <v>7.5</v>
      </c>
      <c r="AB9708" s="18">
        <f t="shared" si="302"/>
        <v>1992</v>
      </c>
      <c r="AC9708" s="22">
        <f t="shared" si="303"/>
        <v>0.68300000000000005</v>
      </c>
    </row>
    <row r="9709" spans="1:29">
      <c r="A9709" s="8" t="s">
        <v>2852</v>
      </c>
      <c r="B9709" s="17" t="s">
        <v>7789</v>
      </c>
      <c r="C9709" s="12">
        <v>33604</v>
      </c>
      <c r="D9709" s="13" t="s">
        <v>8465</v>
      </c>
      <c r="E9709" s="10" t="s">
        <v>62</v>
      </c>
      <c r="F9709" s="10" t="s">
        <v>1318</v>
      </c>
      <c r="G9709" s="11" t="s">
        <v>1319</v>
      </c>
      <c r="H9709" s="2" t="s">
        <v>21</v>
      </c>
      <c r="L9709" s="18">
        <v>0</v>
      </c>
      <c r="Q9709" s="18">
        <v>0</v>
      </c>
      <c r="V9709" s="22">
        <f>3.8/5</f>
        <v>0.76</v>
      </c>
      <c r="X9709" s="3">
        <v>3</v>
      </c>
      <c r="Z9709" s="23">
        <v>1.5</v>
      </c>
      <c r="AB9709" s="18">
        <f t="shared" si="302"/>
        <v>1992</v>
      </c>
      <c r="AC9709" s="22">
        <f t="shared" si="303"/>
        <v>0.67999999999999994</v>
      </c>
    </row>
    <row r="9710" spans="1:29">
      <c r="A9710" s="8" t="s">
        <v>2882</v>
      </c>
      <c r="B9710" s="17" t="s">
        <v>7790</v>
      </c>
      <c r="C9710" s="12">
        <v>33604</v>
      </c>
      <c r="D9710" s="13" t="s">
        <v>8465</v>
      </c>
      <c r="E9710" s="10" t="s">
        <v>2701</v>
      </c>
      <c r="F9710" s="10" t="s">
        <v>1294</v>
      </c>
      <c r="G9710" s="11" t="s">
        <v>2882</v>
      </c>
      <c r="H9710" s="2" t="s">
        <v>171</v>
      </c>
      <c r="L9710" s="18">
        <v>0</v>
      </c>
      <c r="Q9710" s="18">
        <v>0</v>
      </c>
      <c r="V9710" s="22">
        <f>3.66/5</f>
        <v>0.73199999999999998</v>
      </c>
      <c r="X9710" s="3">
        <v>3</v>
      </c>
      <c r="Z9710" s="23">
        <v>3.5</v>
      </c>
      <c r="AB9710" s="18">
        <f t="shared" si="302"/>
        <v>1992</v>
      </c>
      <c r="AC9710" s="22">
        <f t="shared" si="303"/>
        <v>0.66599999999999993</v>
      </c>
    </row>
    <row r="9711" spans="1:29">
      <c r="A9711" s="8" t="s">
        <v>2861</v>
      </c>
      <c r="B9711" s="17" t="s">
        <v>7789</v>
      </c>
      <c r="C9711" s="12">
        <v>33604</v>
      </c>
      <c r="D9711" s="13" t="s">
        <v>8465</v>
      </c>
      <c r="E9711" s="10" t="s">
        <v>62</v>
      </c>
      <c r="F9711" s="10" t="s">
        <v>63</v>
      </c>
      <c r="G9711" s="11" t="s">
        <v>41</v>
      </c>
      <c r="H9711" s="2" t="s">
        <v>64</v>
      </c>
      <c r="L9711" s="18">
        <v>0</v>
      </c>
      <c r="Q9711" s="18">
        <v>0</v>
      </c>
      <c r="V9711" s="22">
        <f>3.59/5</f>
        <v>0.71799999999999997</v>
      </c>
      <c r="X9711" s="3">
        <v>3</v>
      </c>
      <c r="Z9711" s="23">
        <v>2.5</v>
      </c>
      <c r="AB9711" s="18">
        <f t="shared" si="302"/>
        <v>1992</v>
      </c>
      <c r="AC9711" s="22">
        <f t="shared" si="303"/>
        <v>0.65900000000000003</v>
      </c>
    </row>
    <row r="9712" spans="1:29">
      <c r="A9712" s="8" t="s">
        <v>356</v>
      </c>
      <c r="B9712" s="17" t="s">
        <v>6317</v>
      </c>
      <c r="C9712" s="12">
        <v>33604</v>
      </c>
      <c r="D9712" s="13" t="s">
        <v>8465</v>
      </c>
      <c r="E9712" s="10" t="s">
        <v>453</v>
      </c>
      <c r="F9712" s="10" t="s">
        <v>454</v>
      </c>
      <c r="G9712" s="11" t="s">
        <v>356</v>
      </c>
      <c r="H9712" s="2" t="s">
        <v>21</v>
      </c>
      <c r="L9712" s="18">
        <v>0</v>
      </c>
      <c r="Q9712" s="18">
        <v>0</v>
      </c>
      <c r="V9712" s="22">
        <f>3.57/5</f>
        <v>0.71399999999999997</v>
      </c>
      <c r="X9712" s="3">
        <v>3</v>
      </c>
      <c r="Z9712" s="23">
        <v>0.78</v>
      </c>
      <c r="AB9712" s="18">
        <f t="shared" si="302"/>
        <v>1992</v>
      </c>
      <c r="AC9712" s="22">
        <f t="shared" si="303"/>
        <v>0.65700000000000003</v>
      </c>
    </row>
    <row r="9713" spans="1:29" ht="25.5">
      <c r="A9713" s="8" t="s">
        <v>2881</v>
      </c>
      <c r="B9713" s="17" t="s">
        <v>7790</v>
      </c>
      <c r="C9713" s="12">
        <v>33604</v>
      </c>
      <c r="D9713" s="13" t="s">
        <v>8465</v>
      </c>
      <c r="E9713" s="10" t="s">
        <v>1245</v>
      </c>
      <c r="F9713" s="10" t="s">
        <v>1245</v>
      </c>
      <c r="G9713" s="11" t="s">
        <v>2892</v>
      </c>
      <c r="H9713" s="2" t="s">
        <v>149</v>
      </c>
      <c r="L9713" s="18">
        <v>0</v>
      </c>
      <c r="Q9713" s="18">
        <v>0</v>
      </c>
      <c r="V9713" s="22">
        <f>3.47/5</f>
        <v>0.69400000000000006</v>
      </c>
      <c r="X9713" s="3">
        <v>3</v>
      </c>
      <c r="Z9713" s="23">
        <v>17</v>
      </c>
      <c r="AB9713" s="18">
        <f t="shared" si="302"/>
        <v>1992</v>
      </c>
      <c r="AC9713" s="22">
        <f t="shared" si="303"/>
        <v>0.64700000000000002</v>
      </c>
    </row>
    <row r="9714" spans="1:29">
      <c r="A9714" s="8" t="s">
        <v>711</v>
      </c>
      <c r="B9714" s="17" t="s">
        <v>7736</v>
      </c>
      <c r="C9714" s="12">
        <v>33604</v>
      </c>
      <c r="D9714" s="13" t="s">
        <v>8465</v>
      </c>
      <c r="E9714" s="10" t="s">
        <v>1281</v>
      </c>
      <c r="F9714" s="10" t="s">
        <v>1229</v>
      </c>
      <c r="G9714" s="11" t="s">
        <v>1335</v>
      </c>
      <c r="H9714" s="2" t="s">
        <v>56</v>
      </c>
      <c r="L9714" s="18">
        <v>0</v>
      </c>
      <c r="Q9714" s="18">
        <v>0</v>
      </c>
      <c r="U9714" s="22">
        <v>0.71</v>
      </c>
      <c r="V9714" s="22">
        <f>3.3/5</f>
        <v>0.65999999999999992</v>
      </c>
      <c r="X9714" s="3">
        <v>3</v>
      </c>
      <c r="Z9714" s="23">
        <v>2</v>
      </c>
      <c r="AB9714" s="18">
        <f t="shared" si="302"/>
        <v>1992</v>
      </c>
      <c r="AC9714" s="22">
        <f t="shared" si="303"/>
        <v>0.65666666666666662</v>
      </c>
    </row>
    <row r="9715" spans="1:29" ht="30">
      <c r="A9715" s="8" t="s">
        <v>13931</v>
      </c>
      <c r="B9715" s="17" t="s">
        <v>9581</v>
      </c>
      <c r="C9715" s="24">
        <v>33604</v>
      </c>
      <c r="D9715" s="13" t="s">
        <v>8465</v>
      </c>
      <c r="E9715" s="10" t="s">
        <v>7826</v>
      </c>
      <c r="F9715" s="10" t="s">
        <v>13929</v>
      </c>
      <c r="G9715" s="11" t="s">
        <v>13928</v>
      </c>
      <c r="H9715" s="2" t="s">
        <v>64</v>
      </c>
      <c r="L9715" s="18">
        <v>0</v>
      </c>
      <c r="Q9715" s="18">
        <v>0</v>
      </c>
      <c r="V9715" s="22">
        <f>4.1/5</f>
        <v>0.82</v>
      </c>
      <c r="X9715" s="3">
        <v>2</v>
      </c>
      <c r="AB9715" s="18">
        <f t="shared" si="302"/>
        <v>1992</v>
      </c>
      <c r="AC9715" s="22">
        <f t="shared" si="303"/>
        <v>0.61</v>
      </c>
    </row>
    <row r="9716" spans="1:29" ht="30">
      <c r="A9716" s="8" t="s">
        <v>14974</v>
      </c>
      <c r="B9716" s="17" t="s">
        <v>9581</v>
      </c>
      <c r="C9716" s="24">
        <v>33604</v>
      </c>
      <c r="D9716" s="13" t="s">
        <v>8467</v>
      </c>
      <c r="E9716" s="10" t="s">
        <v>1285</v>
      </c>
      <c r="F9716" s="10" t="s">
        <v>1285</v>
      </c>
      <c r="H9716" s="2" t="s">
        <v>64</v>
      </c>
      <c r="L9716" s="18">
        <v>0</v>
      </c>
      <c r="Q9716" s="18">
        <v>0</v>
      </c>
      <c r="V9716" s="22">
        <f>4.1/5</f>
        <v>0.82</v>
      </c>
      <c r="X9716" s="3">
        <v>2</v>
      </c>
      <c r="AB9716" s="18">
        <f t="shared" si="302"/>
        <v>1992</v>
      </c>
      <c r="AC9716" s="22">
        <f t="shared" si="303"/>
        <v>0.61</v>
      </c>
    </row>
    <row r="9717" spans="1:29" ht="25.5">
      <c r="A9717" s="8" t="s">
        <v>14281</v>
      </c>
      <c r="B9717" s="17" t="s">
        <v>7788</v>
      </c>
      <c r="C9717" s="24">
        <v>33604</v>
      </c>
      <c r="D9717" s="13" t="s">
        <v>8463</v>
      </c>
      <c r="E9717" s="10" t="s">
        <v>1200</v>
      </c>
      <c r="F9717" s="10" t="s">
        <v>2636</v>
      </c>
      <c r="G9717" s="11" t="s">
        <v>259</v>
      </c>
      <c r="H9717" s="2" t="s">
        <v>75</v>
      </c>
      <c r="K9717" s="18">
        <v>2</v>
      </c>
      <c r="L9717" s="18">
        <v>0</v>
      </c>
      <c r="Q9717" s="18">
        <v>0</v>
      </c>
      <c r="V9717" s="22">
        <f>4/5</f>
        <v>0.8</v>
      </c>
      <c r="X9717" s="3">
        <v>2</v>
      </c>
      <c r="AB9717" s="18">
        <f t="shared" si="302"/>
        <v>1992</v>
      </c>
      <c r="AC9717" s="22">
        <f t="shared" si="303"/>
        <v>0.60000000000000009</v>
      </c>
    </row>
    <row r="9718" spans="1:29">
      <c r="A9718" s="8" t="s">
        <v>263</v>
      </c>
      <c r="B9718" s="17" t="s">
        <v>7734</v>
      </c>
      <c r="C9718" s="12">
        <v>33604</v>
      </c>
      <c r="D9718" s="13" t="s">
        <v>8463</v>
      </c>
      <c r="E9718" s="10" t="s">
        <v>1238</v>
      </c>
      <c r="F9718" s="10" t="s">
        <v>66</v>
      </c>
      <c r="G9718" s="11" t="s">
        <v>263</v>
      </c>
      <c r="H9718" s="2" t="s">
        <v>56</v>
      </c>
      <c r="K9718" s="18">
        <v>2</v>
      </c>
      <c r="L9718" s="18">
        <v>0</v>
      </c>
      <c r="Q9718" s="18">
        <v>0</v>
      </c>
      <c r="V9718" s="22">
        <f>3.96/5</f>
        <v>0.79200000000000004</v>
      </c>
      <c r="X9718" s="3">
        <v>2</v>
      </c>
      <c r="Z9718" s="23">
        <v>0.8</v>
      </c>
      <c r="AB9718" s="18">
        <f t="shared" si="302"/>
        <v>1992</v>
      </c>
      <c r="AC9718" s="22">
        <f t="shared" si="303"/>
        <v>0.59600000000000009</v>
      </c>
    </row>
    <row r="9719" spans="1:29">
      <c r="A9719" s="8" t="s">
        <v>2655</v>
      </c>
      <c r="B9719" s="17" t="s">
        <v>7800</v>
      </c>
      <c r="C9719" s="12">
        <v>33604</v>
      </c>
      <c r="D9719" s="13" t="s">
        <v>8465</v>
      </c>
      <c r="E9719" s="10" t="s">
        <v>1259</v>
      </c>
      <c r="F9719" s="10" t="s">
        <v>6892</v>
      </c>
      <c r="G9719" s="11" t="s">
        <v>2655</v>
      </c>
      <c r="H9719" s="2" t="s">
        <v>67</v>
      </c>
      <c r="L9719" s="18">
        <v>0</v>
      </c>
      <c r="Q9719" s="18">
        <v>0</v>
      </c>
      <c r="U9719" s="22">
        <v>0.8</v>
      </c>
      <c r="V9719" s="22">
        <f>3.85/5</f>
        <v>0.77</v>
      </c>
      <c r="X9719" s="3">
        <v>2</v>
      </c>
      <c r="Z9719" s="23">
        <v>12</v>
      </c>
      <c r="AB9719" s="18">
        <f t="shared" si="302"/>
        <v>1992</v>
      </c>
      <c r="AC9719" s="22">
        <f t="shared" si="303"/>
        <v>0.65666666666666673</v>
      </c>
    </row>
    <row r="9720" spans="1:29">
      <c r="A9720" s="8" t="s">
        <v>34</v>
      </c>
      <c r="B9720" s="17" t="s">
        <v>7734</v>
      </c>
      <c r="C9720" s="12">
        <v>33604</v>
      </c>
      <c r="D9720" s="13" t="s">
        <v>8465</v>
      </c>
      <c r="E9720" s="10" t="s">
        <v>54</v>
      </c>
      <c r="F9720" s="10" t="s">
        <v>55</v>
      </c>
      <c r="H9720" s="2" t="s">
        <v>56</v>
      </c>
      <c r="L9720" s="18">
        <v>0</v>
      </c>
      <c r="Q9720" s="18">
        <v>0</v>
      </c>
      <c r="V9720" s="22">
        <f>3.92/5</f>
        <v>0.78400000000000003</v>
      </c>
      <c r="X9720" s="3">
        <v>2</v>
      </c>
      <c r="Z9720" s="23">
        <v>3</v>
      </c>
      <c r="AB9720" s="18">
        <f t="shared" si="302"/>
        <v>1992</v>
      </c>
      <c r="AC9720" s="22">
        <f t="shared" si="303"/>
        <v>0.59200000000000008</v>
      </c>
    </row>
    <row r="9721" spans="1:29">
      <c r="A9721" s="8" t="s">
        <v>361</v>
      </c>
      <c r="B9721" s="17" t="s">
        <v>6317</v>
      </c>
      <c r="C9721" s="12">
        <v>33604</v>
      </c>
      <c r="D9721" s="13" t="s">
        <v>8465</v>
      </c>
      <c r="E9721" s="10" t="s">
        <v>455</v>
      </c>
      <c r="F9721" s="10" t="s">
        <v>456</v>
      </c>
      <c r="H9721" s="2" t="s">
        <v>153</v>
      </c>
      <c r="L9721" s="18">
        <v>0</v>
      </c>
      <c r="Q9721" s="18">
        <v>0</v>
      </c>
      <c r="V9721" s="22">
        <f>2.92/5</f>
        <v>0.58399999999999996</v>
      </c>
      <c r="X9721" s="3">
        <v>3</v>
      </c>
      <c r="Z9721" s="23">
        <v>0.56999999999999995</v>
      </c>
      <c r="AB9721" s="18">
        <f t="shared" si="302"/>
        <v>1992</v>
      </c>
      <c r="AC9721" s="22">
        <f t="shared" si="303"/>
        <v>0.59199999999999997</v>
      </c>
    </row>
    <row r="9722" spans="1:29" ht="38.25">
      <c r="A9722" s="8" t="s">
        <v>14456</v>
      </c>
      <c r="B9722" s="17" t="s">
        <v>7800</v>
      </c>
      <c r="C9722" s="24">
        <v>33604</v>
      </c>
      <c r="D9722" s="13" t="s">
        <v>8465</v>
      </c>
      <c r="E9722" s="10" t="s">
        <v>6923</v>
      </c>
      <c r="F9722" s="10" t="s">
        <v>6923</v>
      </c>
      <c r="G9722" s="11" t="s">
        <v>14455</v>
      </c>
      <c r="H9722" s="2" t="s">
        <v>67</v>
      </c>
      <c r="L9722" s="18">
        <v>0</v>
      </c>
      <c r="Q9722" s="18">
        <v>0</v>
      </c>
      <c r="V9722" s="22">
        <f>3.83/5</f>
        <v>0.76600000000000001</v>
      </c>
      <c r="X9722" s="3">
        <v>2</v>
      </c>
      <c r="Z9722" s="23">
        <v>4</v>
      </c>
      <c r="AB9722" s="18">
        <f t="shared" si="302"/>
        <v>1992</v>
      </c>
      <c r="AC9722" s="22">
        <f t="shared" si="303"/>
        <v>0.58299999999999996</v>
      </c>
    </row>
    <row r="9723" spans="1:29">
      <c r="A9723" s="8" t="s">
        <v>14979</v>
      </c>
      <c r="B9723" s="17" t="s">
        <v>7800</v>
      </c>
      <c r="C9723" s="24">
        <v>33604</v>
      </c>
      <c r="D9723" s="13" t="s">
        <v>8465</v>
      </c>
      <c r="E9723" s="10" t="s">
        <v>3625</v>
      </c>
      <c r="F9723" s="10" t="s">
        <v>3625</v>
      </c>
      <c r="H9723" s="2" t="s">
        <v>78</v>
      </c>
      <c r="L9723" s="18">
        <v>0</v>
      </c>
      <c r="Q9723" s="18">
        <v>0</v>
      </c>
      <c r="V9723" s="22">
        <f>3.82/5</f>
        <v>0.76400000000000001</v>
      </c>
      <c r="X9723" s="3">
        <v>2</v>
      </c>
      <c r="AB9723" s="18">
        <f t="shared" si="302"/>
        <v>1992</v>
      </c>
      <c r="AC9723" s="22">
        <f t="shared" si="303"/>
        <v>0.58200000000000007</v>
      </c>
    </row>
    <row r="9724" spans="1:29" ht="30">
      <c r="A9724" s="8" t="s">
        <v>12267</v>
      </c>
      <c r="B9724" s="17" t="s">
        <v>9581</v>
      </c>
      <c r="C9724" s="24">
        <v>33604</v>
      </c>
      <c r="D9724" s="13" t="s">
        <v>8465</v>
      </c>
      <c r="E9724" s="10" t="s">
        <v>12268</v>
      </c>
      <c r="F9724" s="10" t="s">
        <v>10105</v>
      </c>
      <c r="H9724" s="2" t="s">
        <v>21</v>
      </c>
      <c r="L9724" s="18">
        <v>0</v>
      </c>
      <c r="Q9724" s="18">
        <v>0</v>
      </c>
      <c r="V9724" s="22">
        <f>3.79/5</f>
        <v>0.75800000000000001</v>
      </c>
      <c r="X9724" s="3">
        <v>2</v>
      </c>
      <c r="Z9724" s="23">
        <f>50/60</f>
        <v>0.83333333333333337</v>
      </c>
      <c r="AB9724" s="18">
        <f t="shared" si="302"/>
        <v>1992</v>
      </c>
      <c r="AC9724" s="22">
        <f t="shared" si="303"/>
        <v>0.57899999999999996</v>
      </c>
    </row>
    <row r="9725" spans="1:29" ht="38.25">
      <c r="A9725" s="8" t="s">
        <v>13491</v>
      </c>
      <c r="B9725" s="17" t="s">
        <v>7800</v>
      </c>
      <c r="C9725" s="24">
        <v>33604</v>
      </c>
      <c r="D9725" s="13" t="s">
        <v>8465</v>
      </c>
      <c r="E9725" s="10" t="s">
        <v>1272</v>
      </c>
      <c r="F9725" s="10" t="s">
        <v>1272</v>
      </c>
      <c r="G9725" s="11" t="s">
        <v>4445</v>
      </c>
      <c r="H9725" s="2" t="s">
        <v>1720</v>
      </c>
      <c r="L9725" s="18">
        <v>0</v>
      </c>
      <c r="Q9725" s="18">
        <v>0</v>
      </c>
      <c r="V9725" s="22">
        <f>3.79/5</f>
        <v>0.75800000000000001</v>
      </c>
      <c r="X9725" s="3">
        <v>2</v>
      </c>
      <c r="AB9725" s="18">
        <f t="shared" si="302"/>
        <v>1992</v>
      </c>
      <c r="AC9725" s="22">
        <f t="shared" si="303"/>
        <v>0.57899999999999996</v>
      </c>
    </row>
    <row r="9726" spans="1:29">
      <c r="A9726" s="8" t="s">
        <v>14909</v>
      </c>
      <c r="B9726" s="17" t="s">
        <v>6317</v>
      </c>
      <c r="C9726" s="24">
        <v>33604</v>
      </c>
      <c r="D9726" s="13" t="s">
        <v>8465</v>
      </c>
      <c r="E9726" s="10" t="s">
        <v>14895</v>
      </c>
      <c r="F9726" s="10" t="s">
        <v>14895</v>
      </c>
      <c r="H9726" s="2" t="s">
        <v>1170</v>
      </c>
      <c r="L9726" s="18">
        <v>0</v>
      </c>
      <c r="Q9726" s="18">
        <v>0</v>
      </c>
      <c r="V9726" s="22">
        <f>3.75/5</f>
        <v>0.75</v>
      </c>
      <c r="X9726" s="3">
        <v>2</v>
      </c>
      <c r="AB9726" s="18">
        <f t="shared" si="302"/>
        <v>1992</v>
      </c>
      <c r="AC9726" s="22">
        <f t="shared" si="303"/>
        <v>0.57499999999999996</v>
      </c>
    </row>
    <row r="9727" spans="1:29" ht="30">
      <c r="A9727" s="8" t="s">
        <v>139</v>
      </c>
      <c r="B9727" s="17" t="s">
        <v>7750</v>
      </c>
      <c r="C9727" s="12">
        <v>33604</v>
      </c>
      <c r="D9727" s="13" t="s">
        <v>8465</v>
      </c>
      <c r="E9727" s="10" t="s">
        <v>455</v>
      </c>
      <c r="F9727" s="10" t="s">
        <v>2509</v>
      </c>
      <c r="G9727" s="11" t="s">
        <v>139</v>
      </c>
      <c r="H9727" s="2" t="s">
        <v>56</v>
      </c>
      <c r="L9727" s="18">
        <v>0</v>
      </c>
      <c r="Q9727" s="18">
        <v>0</v>
      </c>
      <c r="V9727" s="22">
        <f>3.72/5</f>
        <v>0.74399999999999999</v>
      </c>
      <c r="X9727" s="3">
        <v>2</v>
      </c>
      <c r="Z9727" s="23">
        <v>1.5</v>
      </c>
      <c r="AB9727" s="18">
        <f t="shared" si="302"/>
        <v>1992</v>
      </c>
      <c r="AC9727" s="22">
        <f t="shared" si="303"/>
        <v>0.57200000000000006</v>
      </c>
    </row>
    <row r="9728" spans="1:29" ht="30">
      <c r="A9728" s="8" t="s">
        <v>7577</v>
      </c>
      <c r="B9728" s="17" t="s">
        <v>9581</v>
      </c>
      <c r="C9728" s="24">
        <v>33604</v>
      </c>
      <c r="D9728" s="13" t="s">
        <v>8465</v>
      </c>
      <c r="E9728" s="10" t="s">
        <v>7826</v>
      </c>
      <c r="F9728" s="10" t="s">
        <v>12742</v>
      </c>
      <c r="H9728" s="2" t="s">
        <v>21</v>
      </c>
      <c r="L9728" s="18">
        <v>0</v>
      </c>
      <c r="Q9728" s="18">
        <v>0</v>
      </c>
      <c r="V9728" s="22">
        <f>3.7/5</f>
        <v>0.74</v>
      </c>
      <c r="X9728" s="3">
        <v>2</v>
      </c>
      <c r="Z9728" s="23">
        <f>53/60</f>
        <v>0.8833333333333333</v>
      </c>
      <c r="AB9728" s="18">
        <f t="shared" si="302"/>
        <v>1992</v>
      </c>
      <c r="AC9728" s="22">
        <f t="shared" si="303"/>
        <v>0.57000000000000006</v>
      </c>
    </row>
    <row r="9729" spans="1:29" ht="30">
      <c r="A9729" s="8" t="s">
        <v>14851</v>
      </c>
      <c r="B9729" s="17" t="s">
        <v>9581</v>
      </c>
      <c r="C9729" s="24">
        <v>33604</v>
      </c>
      <c r="D9729" s="13" t="s">
        <v>8467</v>
      </c>
      <c r="E9729" s="10" t="s">
        <v>1299</v>
      </c>
      <c r="F9729" s="10" t="s">
        <v>1299</v>
      </c>
      <c r="G9729" s="11" t="s">
        <v>5534</v>
      </c>
      <c r="H9729" s="2" t="s">
        <v>3937</v>
      </c>
      <c r="L9729" s="18">
        <v>0</v>
      </c>
      <c r="Q9729" s="18">
        <v>0</v>
      </c>
      <c r="V9729" s="22">
        <f>3.7/5</f>
        <v>0.74</v>
      </c>
      <c r="X9729" s="3">
        <v>2</v>
      </c>
      <c r="Z9729" s="23">
        <v>6</v>
      </c>
      <c r="AB9729" s="18">
        <f t="shared" ref="AB9729:AB9792" si="304">IFERROR(YEAR(C9729), "Early Access")</f>
        <v>1992</v>
      </c>
      <c r="AC9729" s="22">
        <f t="shared" ref="AC9729:AC9792" si="305">AVERAGE(T9729, U9729, V9729, IF(ISBLANK(X9729), X9729, X9729/5))</f>
        <v>0.57000000000000006</v>
      </c>
    </row>
    <row r="9730" spans="1:29" ht="30">
      <c r="A9730" s="8" t="s">
        <v>12741</v>
      </c>
      <c r="B9730" s="17" t="s">
        <v>9581</v>
      </c>
      <c r="C9730" s="24">
        <v>33604</v>
      </c>
      <c r="D9730" s="13" t="s">
        <v>8466</v>
      </c>
      <c r="E9730" s="10" t="s">
        <v>12740</v>
      </c>
      <c r="F9730" s="10" t="s">
        <v>12740</v>
      </c>
      <c r="G9730" s="11" t="s">
        <v>12741</v>
      </c>
      <c r="H9730" s="2" t="s">
        <v>1720</v>
      </c>
      <c r="K9730" s="18">
        <v>2</v>
      </c>
      <c r="L9730" s="18">
        <v>0</v>
      </c>
      <c r="Q9730" s="18">
        <v>0</v>
      </c>
      <c r="V9730" s="22">
        <f>3.56/5</f>
        <v>0.71199999999999997</v>
      </c>
      <c r="X9730" s="3">
        <v>2</v>
      </c>
      <c r="AB9730" s="18">
        <f t="shared" si="304"/>
        <v>1992</v>
      </c>
      <c r="AC9730" s="22">
        <f t="shared" si="305"/>
        <v>0.55600000000000005</v>
      </c>
    </row>
    <row r="9731" spans="1:29">
      <c r="A9731" s="8" t="s">
        <v>2528</v>
      </c>
      <c r="B9731" s="17" t="s">
        <v>7751</v>
      </c>
      <c r="C9731" s="12">
        <v>33604</v>
      </c>
      <c r="D9731" s="13" t="s">
        <v>8465</v>
      </c>
      <c r="E9731" s="10" t="s">
        <v>455</v>
      </c>
      <c r="F9731" s="10" t="s">
        <v>455</v>
      </c>
      <c r="H9731" s="2" t="s">
        <v>21</v>
      </c>
      <c r="L9731" s="18">
        <v>0</v>
      </c>
      <c r="Q9731" s="18">
        <v>0</v>
      </c>
      <c r="U9731" s="22">
        <v>0.69</v>
      </c>
      <c r="V9731" s="22">
        <f>3.64/5</f>
        <v>0.72799999999999998</v>
      </c>
      <c r="X9731" s="3">
        <v>2</v>
      </c>
      <c r="Z9731" s="23">
        <v>0.87</v>
      </c>
      <c r="AB9731" s="18">
        <f t="shared" si="304"/>
        <v>1992</v>
      </c>
      <c r="AC9731" s="22">
        <f t="shared" si="305"/>
        <v>0.60599999999999998</v>
      </c>
    </row>
    <row r="9732" spans="1:29">
      <c r="A9732" s="8" t="s">
        <v>633</v>
      </c>
      <c r="B9732" s="17" t="s">
        <v>7736</v>
      </c>
      <c r="C9732" s="12">
        <v>33604</v>
      </c>
      <c r="D9732" s="13" t="s">
        <v>8465</v>
      </c>
      <c r="E9732" s="10" t="s">
        <v>68</v>
      </c>
      <c r="F9732" s="10" t="s">
        <v>68</v>
      </c>
      <c r="G9732" s="11" t="s">
        <v>633</v>
      </c>
      <c r="H9732" s="2" t="s">
        <v>61</v>
      </c>
      <c r="L9732" s="18">
        <v>0</v>
      </c>
      <c r="Q9732" s="18">
        <v>0</v>
      </c>
      <c r="U9732" s="22">
        <v>0.68</v>
      </c>
      <c r="V9732" s="22">
        <f>3.6/5</f>
        <v>0.72</v>
      </c>
      <c r="X9732" s="3">
        <v>2</v>
      </c>
      <c r="Z9732" s="23">
        <v>27</v>
      </c>
      <c r="AB9732" s="18">
        <f t="shared" si="304"/>
        <v>1992</v>
      </c>
      <c r="AC9732" s="22">
        <f t="shared" si="305"/>
        <v>0.6</v>
      </c>
    </row>
    <row r="9733" spans="1:29">
      <c r="A9733" s="8" t="s">
        <v>2543</v>
      </c>
      <c r="B9733" s="17" t="s">
        <v>7751</v>
      </c>
      <c r="C9733" s="12">
        <v>33604</v>
      </c>
      <c r="D9733" s="13" t="s">
        <v>8465</v>
      </c>
      <c r="E9733" s="10" t="s">
        <v>2638</v>
      </c>
      <c r="F9733" s="10" t="s">
        <v>1379</v>
      </c>
      <c r="H9733" s="2" t="s">
        <v>21</v>
      </c>
      <c r="L9733" s="18">
        <v>0</v>
      </c>
      <c r="Q9733" s="18">
        <v>0</v>
      </c>
      <c r="U9733" s="22">
        <v>0.69</v>
      </c>
      <c r="V9733" s="22">
        <f>3.52/5</f>
        <v>0.70399999999999996</v>
      </c>
      <c r="X9733" s="3">
        <v>2</v>
      </c>
      <c r="Z9733" s="23">
        <f>38/60</f>
        <v>0.6333333333333333</v>
      </c>
      <c r="AB9733" s="18">
        <f t="shared" si="304"/>
        <v>1992</v>
      </c>
      <c r="AC9733" s="22">
        <f t="shared" si="305"/>
        <v>0.59799999999999998</v>
      </c>
    </row>
    <row r="9734" spans="1:29">
      <c r="A9734" s="8" t="s">
        <v>9977</v>
      </c>
      <c r="B9734" s="17" t="s">
        <v>7745</v>
      </c>
      <c r="C9734" s="24">
        <v>33604</v>
      </c>
      <c r="D9734" s="13" t="s">
        <v>8467</v>
      </c>
      <c r="E9734" s="10" t="s">
        <v>60</v>
      </c>
      <c r="F9734" s="10" t="s">
        <v>2891</v>
      </c>
      <c r="G9734" s="11" t="s">
        <v>13188</v>
      </c>
      <c r="H9734" s="2" t="s">
        <v>64</v>
      </c>
      <c r="L9734" s="18">
        <v>0</v>
      </c>
      <c r="Q9734" s="18">
        <v>0</v>
      </c>
      <c r="V9734" s="22">
        <f>3.42/5</f>
        <v>0.68399999999999994</v>
      </c>
      <c r="X9734" s="3">
        <v>2</v>
      </c>
      <c r="AB9734" s="18">
        <f t="shared" si="304"/>
        <v>1992</v>
      </c>
      <c r="AC9734" s="22">
        <f t="shared" si="305"/>
        <v>0.54200000000000004</v>
      </c>
    </row>
    <row r="9735" spans="1:29" ht="25.5">
      <c r="A9735" s="8" t="s">
        <v>7539</v>
      </c>
      <c r="B9735" s="17" t="s">
        <v>7789</v>
      </c>
      <c r="C9735" s="12">
        <v>33604</v>
      </c>
      <c r="D9735" s="13" t="s">
        <v>8465</v>
      </c>
      <c r="E9735" s="10" t="s">
        <v>6668</v>
      </c>
      <c r="F9735" s="10" t="s">
        <v>2654</v>
      </c>
      <c r="G9735" s="11" t="s">
        <v>445</v>
      </c>
      <c r="H9735" s="2" t="s">
        <v>75</v>
      </c>
      <c r="L9735" s="18">
        <v>0</v>
      </c>
      <c r="Q9735" s="18">
        <v>0</v>
      </c>
      <c r="V9735" s="22">
        <f>3.42/5</f>
        <v>0.68399999999999994</v>
      </c>
      <c r="X9735" s="3">
        <v>2</v>
      </c>
      <c r="AB9735" s="18">
        <f t="shared" si="304"/>
        <v>1992</v>
      </c>
      <c r="AC9735" s="22">
        <f t="shared" si="305"/>
        <v>0.54200000000000004</v>
      </c>
    </row>
    <row r="9736" spans="1:29">
      <c r="A9736" s="8" t="s">
        <v>1460</v>
      </c>
      <c r="B9736" s="17" t="s">
        <v>7736</v>
      </c>
      <c r="C9736" s="12">
        <v>33604</v>
      </c>
      <c r="D9736" s="13" t="s">
        <v>8467</v>
      </c>
      <c r="E9736" s="10" t="s">
        <v>158</v>
      </c>
      <c r="F9736" s="10" t="s">
        <v>1394</v>
      </c>
      <c r="H9736" s="2" t="s">
        <v>56</v>
      </c>
      <c r="L9736" s="18">
        <v>0</v>
      </c>
      <c r="Q9736" s="18">
        <v>0</v>
      </c>
      <c r="V9736" s="22">
        <f>3.4/5</f>
        <v>0.67999999999999994</v>
      </c>
      <c r="X9736" s="3">
        <v>2</v>
      </c>
      <c r="AB9736" s="18">
        <f t="shared" si="304"/>
        <v>1992</v>
      </c>
      <c r="AC9736" s="22">
        <f t="shared" si="305"/>
        <v>0.54</v>
      </c>
    </row>
    <row r="9737" spans="1:29">
      <c r="A9737" s="8" t="s">
        <v>2865</v>
      </c>
      <c r="B9737" s="17" t="s">
        <v>7789</v>
      </c>
      <c r="C9737" s="12">
        <v>33604</v>
      </c>
      <c r="D9737" s="13" t="s">
        <v>8465</v>
      </c>
      <c r="E9737" s="10" t="s">
        <v>228</v>
      </c>
      <c r="F9737" s="10" t="s">
        <v>228</v>
      </c>
      <c r="H9737" s="2" t="s">
        <v>27</v>
      </c>
      <c r="L9737" s="18">
        <v>0</v>
      </c>
      <c r="Q9737" s="18">
        <v>0</v>
      </c>
      <c r="V9737" s="22">
        <f>3.37/5</f>
        <v>0.67400000000000004</v>
      </c>
      <c r="X9737" s="3">
        <v>2</v>
      </c>
      <c r="Z9737" s="23">
        <v>1</v>
      </c>
      <c r="AB9737" s="18">
        <f t="shared" si="304"/>
        <v>1992</v>
      </c>
      <c r="AC9737" s="22">
        <f t="shared" si="305"/>
        <v>0.53700000000000003</v>
      </c>
    </row>
    <row r="9738" spans="1:29">
      <c r="A9738" s="8" t="s">
        <v>7636</v>
      </c>
      <c r="B9738" s="17" t="s">
        <v>7745</v>
      </c>
      <c r="C9738" s="12">
        <v>33604</v>
      </c>
      <c r="D9738" s="13" t="s">
        <v>8465</v>
      </c>
      <c r="E9738" s="10" t="s">
        <v>160</v>
      </c>
      <c r="F9738" s="10" t="s">
        <v>71</v>
      </c>
      <c r="G9738" s="11" t="s">
        <v>208</v>
      </c>
      <c r="H9738" s="2" t="s">
        <v>80</v>
      </c>
      <c r="L9738" s="18">
        <v>0</v>
      </c>
      <c r="Q9738" s="18">
        <v>0</v>
      </c>
      <c r="U9738" s="22">
        <v>0.66</v>
      </c>
      <c r="V9738" s="22">
        <f>3.4/5</f>
        <v>0.67999999999999994</v>
      </c>
      <c r="X9738" s="3">
        <v>2</v>
      </c>
      <c r="Z9738" s="23">
        <v>1</v>
      </c>
      <c r="AB9738" s="18">
        <f t="shared" si="304"/>
        <v>1992</v>
      </c>
      <c r="AC9738" s="22">
        <f t="shared" si="305"/>
        <v>0.57999999999999996</v>
      </c>
    </row>
    <row r="9739" spans="1:29">
      <c r="A9739" s="8" t="s">
        <v>371</v>
      </c>
      <c r="B9739" s="17" t="s">
        <v>6317</v>
      </c>
      <c r="C9739" s="12">
        <v>33604</v>
      </c>
      <c r="D9739" s="13" t="s">
        <v>8465</v>
      </c>
      <c r="E9739" s="10" t="s">
        <v>460</v>
      </c>
      <c r="F9739" s="10" t="s">
        <v>460</v>
      </c>
      <c r="H9739" s="2" t="s">
        <v>21</v>
      </c>
      <c r="L9739" s="18">
        <v>0</v>
      </c>
      <c r="Q9739" s="18">
        <v>0</v>
      </c>
      <c r="V9739" s="22">
        <f>3.34/5</f>
        <v>0.66799999999999993</v>
      </c>
      <c r="X9739" s="3">
        <v>2</v>
      </c>
      <c r="Z9739" s="23">
        <v>0.67</v>
      </c>
      <c r="AB9739" s="18">
        <f t="shared" si="304"/>
        <v>1992</v>
      </c>
      <c r="AC9739" s="22">
        <f t="shared" si="305"/>
        <v>0.53400000000000003</v>
      </c>
    </row>
    <row r="9740" spans="1:29">
      <c r="A9740" s="8" t="s">
        <v>665</v>
      </c>
      <c r="B9740" s="17" t="s">
        <v>7736</v>
      </c>
      <c r="C9740" s="12">
        <v>33604</v>
      </c>
      <c r="D9740" s="13" t="s">
        <v>8465</v>
      </c>
      <c r="E9740" s="10" t="s">
        <v>1240</v>
      </c>
      <c r="F9740" s="10" t="s">
        <v>1240</v>
      </c>
      <c r="H9740" s="2" t="s">
        <v>21</v>
      </c>
      <c r="L9740" s="18">
        <v>0</v>
      </c>
      <c r="Q9740" s="18">
        <v>0</v>
      </c>
      <c r="U9740" s="22">
        <v>0.61</v>
      </c>
      <c r="V9740" s="22">
        <f>3.59/5</f>
        <v>0.71799999999999997</v>
      </c>
      <c r="X9740" s="3">
        <v>2</v>
      </c>
      <c r="Z9740" s="23">
        <v>2</v>
      </c>
      <c r="AB9740" s="18">
        <f t="shared" si="304"/>
        <v>1992</v>
      </c>
      <c r="AC9740" s="22">
        <f t="shared" si="305"/>
        <v>0.57599999999999996</v>
      </c>
    </row>
    <row r="9741" spans="1:29" ht="30">
      <c r="A9741" s="8" t="s">
        <v>12745</v>
      </c>
      <c r="B9741" s="17" t="s">
        <v>9581</v>
      </c>
      <c r="C9741" s="24">
        <v>33604</v>
      </c>
      <c r="D9741" s="13" t="s">
        <v>8467</v>
      </c>
      <c r="E9741" s="10" t="s">
        <v>1634</v>
      </c>
      <c r="F9741" s="10" t="s">
        <v>12746</v>
      </c>
      <c r="H9741" s="2" t="s">
        <v>21</v>
      </c>
      <c r="L9741" s="18">
        <v>0</v>
      </c>
      <c r="Q9741" s="18">
        <v>0</v>
      </c>
      <c r="V9741" s="22">
        <f>3.25/5</f>
        <v>0.65</v>
      </c>
      <c r="X9741" s="3">
        <v>2</v>
      </c>
      <c r="AB9741" s="18">
        <f t="shared" si="304"/>
        <v>1992</v>
      </c>
      <c r="AC9741" s="22">
        <f t="shared" si="305"/>
        <v>0.52500000000000002</v>
      </c>
    </row>
    <row r="9742" spans="1:29">
      <c r="A9742" s="8" t="s">
        <v>2831</v>
      </c>
      <c r="B9742" s="17" t="s">
        <v>7786</v>
      </c>
      <c r="C9742" s="12">
        <v>33604</v>
      </c>
      <c r="D9742" s="13" t="s">
        <v>8465</v>
      </c>
      <c r="E9742" s="10" t="s">
        <v>311</v>
      </c>
      <c r="F9742" s="10" t="s">
        <v>311</v>
      </c>
      <c r="G9742" s="11" t="s">
        <v>2831</v>
      </c>
      <c r="H9742" s="2" t="s">
        <v>147</v>
      </c>
      <c r="L9742" s="18">
        <v>0</v>
      </c>
      <c r="Q9742" s="18">
        <v>0</v>
      </c>
      <c r="V9742" s="22">
        <f>3.2/5</f>
        <v>0.64</v>
      </c>
      <c r="X9742" s="3">
        <v>2</v>
      </c>
      <c r="Z9742" s="23">
        <v>1</v>
      </c>
      <c r="AB9742" s="18">
        <f t="shared" si="304"/>
        <v>1992</v>
      </c>
      <c r="AC9742" s="22">
        <f t="shared" si="305"/>
        <v>0.52</v>
      </c>
    </row>
    <row r="9743" spans="1:29">
      <c r="A9743" s="8" t="s">
        <v>14011</v>
      </c>
      <c r="B9743" s="17" t="s">
        <v>7788</v>
      </c>
      <c r="C9743" s="24">
        <v>33604</v>
      </c>
      <c r="D9743" s="13" t="s">
        <v>8463</v>
      </c>
      <c r="E9743" s="10" t="s">
        <v>1200</v>
      </c>
      <c r="F9743" s="10" t="s">
        <v>1200</v>
      </c>
      <c r="G9743" s="11" t="s">
        <v>14011</v>
      </c>
      <c r="H9743" s="2" t="s">
        <v>1334</v>
      </c>
      <c r="K9743" s="18">
        <v>2</v>
      </c>
      <c r="L9743" s="18">
        <v>0</v>
      </c>
      <c r="Q9743" s="18">
        <v>0</v>
      </c>
      <c r="V9743" s="22">
        <f>3.13/5</f>
        <v>0.626</v>
      </c>
      <c r="X9743" s="3">
        <v>2</v>
      </c>
      <c r="AB9743" s="18">
        <f t="shared" si="304"/>
        <v>1992</v>
      </c>
      <c r="AC9743" s="22">
        <f t="shared" si="305"/>
        <v>0.51300000000000001</v>
      </c>
    </row>
    <row r="9744" spans="1:29">
      <c r="A9744" s="8" t="s">
        <v>13754</v>
      </c>
      <c r="B9744" s="17" t="s">
        <v>7751</v>
      </c>
      <c r="C9744" s="24">
        <v>33604</v>
      </c>
      <c r="D9744" s="13" t="s">
        <v>8467</v>
      </c>
      <c r="E9744" s="10" t="s">
        <v>455</v>
      </c>
      <c r="F9744" s="10" t="s">
        <v>456</v>
      </c>
      <c r="G9744" s="11" t="s">
        <v>13741</v>
      </c>
      <c r="H9744" s="2" t="s">
        <v>150</v>
      </c>
      <c r="L9744" s="18">
        <v>0</v>
      </c>
      <c r="Q9744" s="18">
        <v>0</v>
      </c>
      <c r="V9744" s="22">
        <f>3.13/5</f>
        <v>0.626</v>
      </c>
      <c r="X9744" s="3">
        <v>2</v>
      </c>
      <c r="Z9744" s="23">
        <f>24/60</f>
        <v>0.4</v>
      </c>
      <c r="AB9744" s="18">
        <f t="shared" si="304"/>
        <v>1992</v>
      </c>
      <c r="AC9744" s="22">
        <f t="shared" si="305"/>
        <v>0.51300000000000001</v>
      </c>
    </row>
    <row r="9745" spans="1:29" ht="25.5">
      <c r="A9745" s="8" t="s">
        <v>13287</v>
      </c>
      <c r="B9745" s="17" t="s">
        <v>7751</v>
      </c>
      <c r="C9745" s="24">
        <v>33604</v>
      </c>
      <c r="D9745" s="13" t="s">
        <v>8465</v>
      </c>
      <c r="E9745" s="10" t="s">
        <v>2642</v>
      </c>
      <c r="F9745" s="10" t="s">
        <v>13288</v>
      </c>
      <c r="G9745" s="11" t="s">
        <v>13285</v>
      </c>
      <c r="H9745" s="2" t="s">
        <v>143</v>
      </c>
      <c r="L9745" s="18">
        <v>0</v>
      </c>
      <c r="Q9745" s="18">
        <v>0</v>
      </c>
      <c r="V9745" s="22">
        <f>3/5</f>
        <v>0.6</v>
      </c>
      <c r="X9745" s="3">
        <v>2</v>
      </c>
      <c r="Z9745" s="23">
        <v>1</v>
      </c>
      <c r="AB9745" s="18">
        <f t="shared" si="304"/>
        <v>1992</v>
      </c>
      <c r="AC9745" s="22">
        <f t="shared" si="305"/>
        <v>0.5</v>
      </c>
    </row>
    <row r="9746" spans="1:29" ht="30">
      <c r="A9746" s="8" t="s">
        <v>9594</v>
      </c>
      <c r="B9746" s="17" t="s">
        <v>7791</v>
      </c>
      <c r="C9746" s="12">
        <v>33604</v>
      </c>
      <c r="D9746" s="13" t="s">
        <v>8465</v>
      </c>
      <c r="E9746" s="10" t="s">
        <v>9595</v>
      </c>
      <c r="F9746" s="10" t="s">
        <v>1179</v>
      </c>
      <c r="H9746" s="2" t="s">
        <v>67</v>
      </c>
      <c r="L9746" s="18">
        <v>0</v>
      </c>
      <c r="Q9746" s="18">
        <v>0</v>
      </c>
      <c r="V9746" s="22">
        <f>2.95/5</f>
        <v>0.59000000000000008</v>
      </c>
      <c r="X9746" s="3">
        <v>2</v>
      </c>
      <c r="AB9746" s="18">
        <f t="shared" si="304"/>
        <v>1992</v>
      </c>
      <c r="AC9746" s="22">
        <f t="shared" si="305"/>
        <v>0.49500000000000005</v>
      </c>
    </row>
    <row r="9747" spans="1:29">
      <c r="A9747" s="8" t="s">
        <v>14878</v>
      </c>
      <c r="B9747" s="17" t="s">
        <v>7751</v>
      </c>
      <c r="C9747" s="24">
        <v>33604</v>
      </c>
      <c r="D9747" s="13" t="s">
        <v>8465</v>
      </c>
      <c r="E9747" s="10" t="s">
        <v>14880</v>
      </c>
      <c r="F9747" s="10" t="s">
        <v>14881</v>
      </c>
      <c r="G9747" s="11" t="s">
        <v>9657</v>
      </c>
      <c r="H9747" s="2" t="s">
        <v>56</v>
      </c>
      <c r="L9747" s="18">
        <v>0</v>
      </c>
      <c r="Q9747" s="18">
        <v>0</v>
      </c>
      <c r="V9747" s="22">
        <f>2.85/5</f>
        <v>0.57000000000000006</v>
      </c>
      <c r="X9747" s="3">
        <v>2</v>
      </c>
      <c r="Z9747" s="23">
        <f>57/60</f>
        <v>0.95</v>
      </c>
      <c r="AB9747" s="18">
        <f t="shared" si="304"/>
        <v>1992</v>
      </c>
      <c r="AC9747" s="22">
        <f t="shared" si="305"/>
        <v>0.48500000000000004</v>
      </c>
    </row>
    <row r="9748" spans="1:29">
      <c r="A9748" s="8" t="s">
        <v>639</v>
      </c>
      <c r="B9748" s="17" t="s">
        <v>7736</v>
      </c>
      <c r="C9748" s="12">
        <v>33604</v>
      </c>
      <c r="D9748" s="13" t="s">
        <v>8465</v>
      </c>
      <c r="E9748" s="10" t="s">
        <v>1281</v>
      </c>
      <c r="F9748" s="10" t="s">
        <v>1282</v>
      </c>
      <c r="G9748" s="11" t="s">
        <v>639</v>
      </c>
      <c r="H9748" s="2" t="s">
        <v>56</v>
      </c>
      <c r="L9748" s="18">
        <v>0</v>
      </c>
      <c r="Q9748" s="18">
        <v>0</v>
      </c>
      <c r="U9748" s="22">
        <v>0.62</v>
      </c>
      <c r="V9748" s="22">
        <f>2.59/5</f>
        <v>0.51800000000000002</v>
      </c>
      <c r="X9748" s="3">
        <v>2</v>
      </c>
      <c r="Z9748" s="23">
        <f>37/60</f>
        <v>0.6166666666666667</v>
      </c>
      <c r="AB9748" s="18">
        <f t="shared" si="304"/>
        <v>1992</v>
      </c>
      <c r="AC9748" s="22">
        <f t="shared" si="305"/>
        <v>0.5126666666666666</v>
      </c>
    </row>
    <row r="9749" spans="1:29">
      <c r="A9749" s="8" t="s">
        <v>2625</v>
      </c>
      <c r="B9749" s="17" t="s">
        <v>7751</v>
      </c>
      <c r="C9749" s="12">
        <v>33604</v>
      </c>
      <c r="D9749" s="13" t="s">
        <v>8467</v>
      </c>
      <c r="E9749" s="10" t="s">
        <v>455</v>
      </c>
      <c r="F9749" s="10" t="s">
        <v>460</v>
      </c>
      <c r="H9749" s="2" t="s">
        <v>21</v>
      </c>
      <c r="L9749" s="18">
        <v>0</v>
      </c>
      <c r="Q9749" s="18">
        <v>0</v>
      </c>
      <c r="U9749" s="22">
        <v>0.43</v>
      </c>
      <c r="V9749" s="22">
        <f>3.51/5</f>
        <v>0.70199999999999996</v>
      </c>
      <c r="X9749" s="3">
        <v>2</v>
      </c>
      <c r="Z9749" s="23">
        <v>2</v>
      </c>
      <c r="AB9749" s="18">
        <f t="shared" si="304"/>
        <v>1992</v>
      </c>
      <c r="AC9749" s="22">
        <f t="shared" si="305"/>
        <v>0.51066666666666671</v>
      </c>
    </row>
    <row r="9750" spans="1:29" ht="25.5">
      <c r="A9750" s="8" t="s">
        <v>6750</v>
      </c>
      <c r="B9750" s="17" t="s">
        <v>7800</v>
      </c>
      <c r="C9750" s="12">
        <v>33604</v>
      </c>
      <c r="D9750" s="13" t="s">
        <v>8465</v>
      </c>
      <c r="E9750" s="10" t="s">
        <v>152</v>
      </c>
      <c r="F9750" s="10" t="s">
        <v>6883</v>
      </c>
      <c r="G9750" s="11" t="s">
        <v>111</v>
      </c>
      <c r="H9750" s="2" t="s">
        <v>153</v>
      </c>
      <c r="L9750" s="18">
        <v>0</v>
      </c>
      <c r="Q9750" s="18">
        <v>0</v>
      </c>
      <c r="V9750" s="22">
        <f>1.81/5</f>
        <v>0.36199999999999999</v>
      </c>
      <c r="X9750" s="3">
        <v>3</v>
      </c>
      <c r="Z9750" s="23">
        <v>2</v>
      </c>
      <c r="AB9750" s="18">
        <f t="shared" si="304"/>
        <v>1992</v>
      </c>
      <c r="AC9750" s="22">
        <f t="shared" si="305"/>
        <v>0.48099999999999998</v>
      </c>
    </row>
    <row r="9751" spans="1:29">
      <c r="A9751" s="8" t="s">
        <v>14934</v>
      </c>
      <c r="B9751" s="17" t="s">
        <v>7736</v>
      </c>
      <c r="C9751" s="24">
        <v>33604</v>
      </c>
      <c r="D9751" s="13" t="s">
        <v>8465</v>
      </c>
      <c r="E9751" s="10" t="s">
        <v>59</v>
      </c>
      <c r="F9751" s="10" t="s">
        <v>59</v>
      </c>
      <c r="H9751" s="2" t="s">
        <v>1170</v>
      </c>
      <c r="L9751" s="18">
        <v>0</v>
      </c>
      <c r="Q9751" s="18">
        <v>0</v>
      </c>
      <c r="V9751" s="22">
        <f>2.8/5</f>
        <v>0.55999999999999994</v>
      </c>
      <c r="X9751" s="3">
        <v>2</v>
      </c>
      <c r="Z9751" s="23">
        <f>36/60</f>
        <v>0.6</v>
      </c>
      <c r="AB9751" s="18">
        <f t="shared" si="304"/>
        <v>1992</v>
      </c>
      <c r="AC9751" s="22">
        <f t="shared" si="305"/>
        <v>0.48</v>
      </c>
    </row>
    <row r="9752" spans="1:29" ht="25.5">
      <c r="A9752" s="8" t="s">
        <v>626</v>
      </c>
      <c r="B9752" s="17" t="s">
        <v>7736</v>
      </c>
      <c r="C9752" s="12">
        <v>33604</v>
      </c>
      <c r="D9752" s="13" t="s">
        <v>8465</v>
      </c>
      <c r="E9752" s="10" t="s">
        <v>228</v>
      </c>
      <c r="F9752" s="10" t="s">
        <v>1275</v>
      </c>
      <c r="H9752" s="2" t="s">
        <v>21</v>
      </c>
      <c r="L9752" s="18">
        <v>0</v>
      </c>
      <c r="Q9752" s="18">
        <v>0</v>
      </c>
      <c r="U9752" s="22">
        <v>0.42</v>
      </c>
      <c r="V9752" s="22">
        <f>3.43/5</f>
        <v>0.68600000000000005</v>
      </c>
      <c r="X9752" s="3">
        <v>2</v>
      </c>
      <c r="Z9752" s="23">
        <v>3</v>
      </c>
      <c r="AB9752" s="18">
        <f t="shared" si="304"/>
        <v>1992</v>
      </c>
      <c r="AC9752" s="22">
        <f t="shared" si="305"/>
        <v>0.50200000000000011</v>
      </c>
    </row>
    <row r="9753" spans="1:29" ht="25.5">
      <c r="A9753" s="8" t="s">
        <v>11946</v>
      </c>
      <c r="B9753" s="17" t="s">
        <v>6317</v>
      </c>
      <c r="C9753" s="24">
        <v>33604</v>
      </c>
      <c r="D9753" s="13" t="s">
        <v>8465</v>
      </c>
      <c r="E9753" s="10" t="s">
        <v>73</v>
      </c>
      <c r="F9753" s="10" t="s">
        <v>73</v>
      </c>
      <c r="H9753" s="2" t="s">
        <v>1469</v>
      </c>
      <c r="L9753" s="18">
        <v>0</v>
      </c>
      <c r="Q9753" s="18">
        <v>0</v>
      </c>
      <c r="V9753" s="22">
        <f>2.73/5</f>
        <v>0.54600000000000004</v>
      </c>
      <c r="X9753" s="3">
        <v>2</v>
      </c>
      <c r="Z9753" s="23">
        <v>2</v>
      </c>
      <c r="AB9753" s="18">
        <f t="shared" si="304"/>
        <v>1992</v>
      </c>
      <c r="AC9753" s="22">
        <f t="shared" si="305"/>
        <v>0.47300000000000003</v>
      </c>
    </row>
    <row r="9754" spans="1:29">
      <c r="A9754" s="8" t="s">
        <v>2544</v>
      </c>
      <c r="B9754" s="17" t="s">
        <v>7751</v>
      </c>
      <c r="C9754" s="12">
        <v>33604</v>
      </c>
      <c r="D9754" s="13" t="s">
        <v>8465</v>
      </c>
      <c r="E9754" s="10" t="s">
        <v>2647</v>
      </c>
      <c r="F9754" s="10" t="s">
        <v>20</v>
      </c>
      <c r="H9754" s="2" t="s">
        <v>21</v>
      </c>
      <c r="L9754" s="18">
        <v>0</v>
      </c>
      <c r="Q9754" s="18">
        <v>0</v>
      </c>
      <c r="U9754" s="22">
        <v>0.3</v>
      </c>
      <c r="V9754" s="22">
        <f>3.6/5</f>
        <v>0.72</v>
      </c>
      <c r="X9754" s="3">
        <v>2</v>
      </c>
      <c r="Z9754" s="23">
        <v>1.5</v>
      </c>
      <c r="AB9754" s="18">
        <f t="shared" si="304"/>
        <v>1992</v>
      </c>
      <c r="AC9754" s="22">
        <f t="shared" si="305"/>
        <v>0.47333333333333333</v>
      </c>
    </row>
    <row r="9755" spans="1:29" ht="30">
      <c r="A9755" s="8" t="s">
        <v>14528</v>
      </c>
      <c r="B9755" s="17" t="s">
        <v>14529</v>
      </c>
      <c r="C9755" s="24">
        <v>33604</v>
      </c>
      <c r="D9755" s="13" t="s">
        <v>8465</v>
      </c>
      <c r="E9755" s="10" t="s">
        <v>14530</v>
      </c>
      <c r="F9755" s="10" t="s">
        <v>14531</v>
      </c>
      <c r="H9755" s="2" t="s">
        <v>21</v>
      </c>
      <c r="L9755" s="18">
        <v>0</v>
      </c>
      <c r="Q9755" s="18">
        <v>0</v>
      </c>
      <c r="V9755" s="22">
        <f>2.25/5</f>
        <v>0.45</v>
      </c>
      <c r="X9755" s="3">
        <v>2</v>
      </c>
      <c r="AB9755" s="18">
        <f t="shared" si="304"/>
        <v>1992</v>
      </c>
      <c r="AC9755" s="22">
        <f t="shared" si="305"/>
        <v>0.42500000000000004</v>
      </c>
    </row>
    <row r="9756" spans="1:29" ht="30">
      <c r="A9756" s="8" t="s">
        <v>13126</v>
      </c>
      <c r="B9756" s="17" t="s">
        <v>9581</v>
      </c>
      <c r="C9756" s="24">
        <v>33604</v>
      </c>
      <c r="D9756" s="13" t="s">
        <v>8467</v>
      </c>
      <c r="E9756" s="10" t="s">
        <v>1193</v>
      </c>
      <c r="F9756" s="10" t="s">
        <v>13127</v>
      </c>
      <c r="G9756" s="11" t="s">
        <v>7289</v>
      </c>
      <c r="H9756" s="2" t="s">
        <v>1194</v>
      </c>
      <c r="L9756" s="18">
        <v>0</v>
      </c>
      <c r="Q9756" s="18">
        <v>0</v>
      </c>
      <c r="V9756" s="22">
        <f>2/5</f>
        <v>0.4</v>
      </c>
      <c r="X9756" s="3">
        <v>2</v>
      </c>
      <c r="AB9756" s="18">
        <f t="shared" si="304"/>
        <v>1992</v>
      </c>
      <c r="AC9756" s="22">
        <f t="shared" si="305"/>
        <v>0.4</v>
      </c>
    </row>
    <row r="9757" spans="1:29">
      <c r="A9757" s="8" t="s">
        <v>13285</v>
      </c>
      <c r="B9757" s="17" t="s">
        <v>7751</v>
      </c>
      <c r="C9757" s="24">
        <v>33604</v>
      </c>
      <c r="D9757" s="13" t="s">
        <v>8465</v>
      </c>
      <c r="E9757" s="10" t="s">
        <v>2642</v>
      </c>
      <c r="F9757" s="10" t="s">
        <v>9065</v>
      </c>
      <c r="G9757" s="11" t="s">
        <v>13285</v>
      </c>
      <c r="H9757" s="2" t="s">
        <v>143</v>
      </c>
      <c r="L9757" s="18">
        <v>0</v>
      </c>
      <c r="Q9757" s="18">
        <v>0</v>
      </c>
      <c r="X9757" s="3">
        <v>2</v>
      </c>
      <c r="AB9757" s="18">
        <f t="shared" si="304"/>
        <v>1992</v>
      </c>
      <c r="AC9757" s="22">
        <f t="shared" si="305"/>
        <v>0.4</v>
      </c>
    </row>
    <row r="9758" spans="1:29" ht="30">
      <c r="A9758" s="8" t="s">
        <v>442</v>
      </c>
      <c r="B9758" s="17" t="s">
        <v>14529</v>
      </c>
      <c r="C9758" s="24">
        <v>33604</v>
      </c>
      <c r="D9758" s="13" t="s">
        <v>8465</v>
      </c>
      <c r="E9758" s="10" t="s">
        <v>14530</v>
      </c>
      <c r="F9758" s="10" t="s">
        <v>14530</v>
      </c>
      <c r="H9758" s="2" t="s">
        <v>21</v>
      </c>
      <c r="L9758" s="18">
        <v>0</v>
      </c>
      <c r="Q9758" s="18">
        <v>0</v>
      </c>
      <c r="V9758" s="22">
        <f>1.93/5</f>
        <v>0.38600000000000001</v>
      </c>
      <c r="X9758" s="3">
        <v>2</v>
      </c>
      <c r="AB9758" s="18">
        <f t="shared" si="304"/>
        <v>1992</v>
      </c>
      <c r="AC9758" s="22">
        <f t="shared" si="305"/>
        <v>0.39300000000000002</v>
      </c>
    </row>
    <row r="9759" spans="1:29">
      <c r="A9759" s="8" t="s">
        <v>12110</v>
      </c>
      <c r="B9759" s="17" t="s">
        <v>7800</v>
      </c>
      <c r="C9759" s="24">
        <v>33604</v>
      </c>
      <c r="D9759" s="13" t="s">
        <v>8465</v>
      </c>
      <c r="E9759" s="10" t="s">
        <v>9639</v>
      </c>
      <c r="F9759" s="10" t="s">
        <v>12111</v>
      </c>
      <c r="H9759" s="2" t="s">
        <v>67</v>
      </c>
      <c r="L9759" s="18">
        <v>0</v>
      </c>
      <c r="Q9759" s="18">
        <v>0</v>
      </c>
      <c r="V9759" s="22">
        <f>1.5/5</f>
        <v>0.3</v>
      </c>
      <c r="X9759" s="3">
        <v>2</v>
      </c>
      <c r="Z9759" s="23">
        <v>17</v>
      </c>
      <c r="AB9759" s="18">
        <f t="shared" si="304"/>
        <v>1992</v>
      </c>
      <c r="AC9759" s="22">
        <f t="shared" si="305"/>
        <v>0.35</v>
      </c>
    </row>
    <row r="9760" spans="1:29" ht="25.5">
      <c r="A9760" s="8" t="s">
        <v>15482</v>
      </c>
      <c r="B9760" s="17" t="s">
        <v>6317</v>
      </c>
      <c r="C9760" s="24">
        <v>33604</v>
      </c>
      <c r="D9760" s="13" t="s">
        <v>8465</v>
      </c>
      <c r="E9760" s="10" t="s">
        <v>73</v>
      </c>
      <c r="F9760" s="10" t="s">
        <v>73</v>
      </c>
      <c r="G9760" s="11" t="s">
        <v>227</v>
      </c>
      <c r="H9760" s="2" t="s">
        <v>459</v>
      </c>
      <c r="L9760" s="18">
        <v>0</v>
      </c>
      <c r="Q9760" s="18">
        <v>0</v>
      </c>
      <c r="V9760" s="22">
        <f>3.93/5</f>
        <v>0.78600000000000003</v>
      </c>
      <c r="X9760" s="3">
        <v>2</v>
      </c>
      <c r="Z9760" s="23">
        <v>1</v>
      </c>
      <c r="AB9760" s="18">
        <f t="shared" si="304"/>
        <v>1992</v>
      </c>
      <c r="AC9760" s="22">
        <f t="shared" si="305"/>
        <v>0.59299999999999997</v>
      </c>
    </row>
    <row r="9761" spans="1:29" ht="25.5">
      <c r="A9761" s="8" t="s">
        <v>15742</v>
      </c>
      <c r="B9761" s="17" t="s">
        <v>7800</v>
      </c>
      <c r="C9761" s="24">
        <v>33604</v>
      </c>
      <c r="D9761" s="13" t="s">
        <v>8465</v>
      </c>
      <c r="E9761" s="10" t="s">
        <v>6668</v>
      </c>
      <c r="F9761" s="10" t="s">
        <v>15743</v>
      </c>
      <c r="G9761" s="11" t="s">
        <v>445</v>
      </c>
      <c r="H9761" s="2" t="s">
        <v>1720</v>
      </c>
      <c r="L9761" s="18">
        <v>0</v>
      </c>
      <c r="Q9761" s="18">
        <v>0</v>
      </c>
      <c r="V9761" s="22">
        <f>3.56/5</f>
        <v>0.71199999999999997</v>
      </c>
      <c r="X9761" s="3">
        <v>2</v>
      </c>
      <c r="AB9761" s="18">
        <f t="shared" si="304"/>
        <v>1992</v>
      </c>
      <c r="AC9761" s="22">
        <f t="shared" si="305"/>
        <v>0.55600000000000005</v>
      </c>
    </row>
    <row r="9762" spans="1:29" ht="25.5">
      <c r="A9762" s="8" t="s">
        <v>15744</v>
      </c>
      <c r="B9762" s="17" t="s">
        <v>7800</v>
      </c>
      <c r="C9762" s="24">
        <v>33604</v>
      </c>
      <c r="D9762" s="13" t="s">
        <v>8465</v>
      </c>
      <c r="E9762" s="10" t="s">
        <v>6668</v>
      </c>
      <c r="F9762" s="10" t="s">
        <v>15745</v>
      </c>
      <c r="G9762" s="11" t="s">
        <v>445</v>
      </c>
      <c r="H9762" s="2" t="s">
        <v>1720</v>
      </c>
      <c r="L9762" s="18">
        <v>0</v>
      </c>
      <c r="Q9762" s="18">
        <v>0</v>
      </c>
      <c r="V9762" s="22">
        <f>3.18/5</f>
        <v>0.63600000000000001</v>
      </c>
      <c r="X9762" s="3">
        <v>2</v>
      </c>
      <c r="AB9762" s="18">
        <f t="shared" si="304"/>
        <v>1992</v>
      </c>
      <c r="AC9762" s="22">
        <f t="shared" si="305"/>
        <v>0.51800000000000002</v>
      </c>
    </row>
    <row r="9763" spans="1:29" ht="25.5">
      <c r="A9763" s="8" t="s">
        <v>15758</v>
      </c>
      <c r="B9763" s="17" t="s">
        <v>7800</v>
      </c>
      <c r="C9763" s="24">
        <v>33604</v>
      </c>
      <c r="D9763" s="13" t="s">
        <v>8465</v>
      </c>
      <c r="E9763" s="10" t="s">
        <v>6668</v>
      </c>
      <c r="F9763" s="10" t="s">
        <v>15759</v>
      </c>
      <c r="G9763" s="11" t="s">
        <v>445</v>
      </c>
      <c r="H9763" s="2" t="s">
        <v>1720</v>
      </c>
      <c r="L9763" s="18">
        <v>0</v>
      </c>
      <c r="Q9763" s="18">
        <v>0</v>
      </c>
      <c r="V9763" s="22">
        <f>3.39/5</f>
        <v>0.67800000000000005</v>
      </c>
      <c r="X9763" s="3">
        <v>2</v>
      </c>
      <c r="Z9763" s="23">
        <v>16.5</v>
      </c>
      <c r="AB9763" s="18">
        <f t="shared" si="304"/>
        <v>1992</v>
      </c>
      <c r="AC9763" s="22">
        <f t="shared" si="305"/>
        <v>0.53900000000000003</v>
      </c>
    </row>
    <row r="9764" spans="1:29" ht="30">
      <c r="A9764" s="8" t="s">
        <v>15873</v>
      </c>
      <c r="B9764" s="17" t="s">
        <v>9581</v>
      </c>
      <c r="C9764" s="24">
        <v>33604</v>
      </c>
      <c r="D9764" s="13" t="s">
        <v>8467</v>
      </c>
      <c r="E9764" s="10" t="s">
        <v>1513</v>
      </c>
      <c r="F9764" s="10" t="s">
        <v>15872</v>
      </c>
      <c r="G9764" s="11" t="s">
        <v>15868</v>
      </c>
      <c r="H9764" s="2" t="s">
        <v>1267</v>
      </c>
      <c r="L9764" s="18">
        <v>0</v>
      </c>
      <c r="Q9764" s="18">
        <v>0</v>
      </c>
      <c r="V9764" s="22">
        <f>3.5/5</f>
        <v>0.7</v>
      </c>
      <c r="X9764" s="3">
        <v>2</v>
      </c>
      <c r="AB9764" s="18">
        <f t="shared" si="304"/>
        <v>1992</v>
      </c>
      <c r="AC9764" s="22">
        <f t="shared" si="305"/>
        <v>0.55000000000000004</v>
      </c>
    </row>
    <row r="9765" spans="1:29" ht="30">
      <c r="A9765" s="8" t="s">
        <v>15878</v>
      </c>
      <c r="B9765" s="17" t="s">
        <v>9581</v>
      </c>
      <c r="C9765" s="24">
        <v>33604</v>
      </c>
      <c r="D9765" s="13" t="s">
        <v>8467</v>
      </c>
      <c r="E9765" s="10" t="s">
        <v>1513</v>
      </c>
      <c r="F9765" s="10" t="s">
        <v>15877</v>
      </c>
      <c r="G9765" s="11" t="s">
        <v>15868</v>
      </c>
      <c r="H9765" s="2" t="s">
        <v>78</v>
      </c>
      <c r="L9765" s="18">
        <v>0</v>
      </c>
      <c r="Q9765" s="18">
        <v>0</v>
      </c>
      <c r="V9765" s="22">
        <f>3.5/5</f>
        <v>0.7</v>
      </c>
      <c r="X9765" s="3">
        <v>2</v>
      </c>
      <c r="AB9765" s="18">
        <f t="shared" si="304"/>
        <v>1992</v>
      </c>
      <c r="AC9765" s="22">
        <f t="shared" si="305"/>
        <v>0.55000000000000004</v>
      </c>
    </row>
    <row r="9766" spans="1:29" ht="30">
      <c r="A9766" s="8" t="s">
        <v>15879</v>
      </c>
      <c r="B9766" s="17" t="s">
        <v>9581</v>
      </c>
      <c r="C9766" s="24">
        <v>33604</v>
      </c>
      <c r="D9766" s="13" t="s">
        <v>8465</v>
      </c>
      <c r="E9766" s="10" t="s">
        <v>1513</v>
      </c>
      <c r="F9766" s="10" t="s">
        <v>15872</v>
      </c>
      <c r="G9766" s="11" t="s">
        <v>15868</v>
      </c>
      <c r="H9766" s="2" t="s">
        <v>143</v>
      </c>
      <c r="L9766" s="18">
        <v>0</v>
      </c>
      <c r="Q9766" s="18">
        <v>0</v>
      </c>
      <c r="V9766" s="22">
        <f>3.67/5</f>
        <v>0.73399999999999999</v>
      </c>
      <c r="X9766" s="3">
        <v>2</v>
      </c>
      <c r="AB9766" s="18">
        <f t="shared" si="304"/>
        <v>1992</v>
      </c>
      <c r="AC9766" s="22">
        <f t="shared" si="305"/>
        <v>0.56699999999999995</v>
      </c>
    </row>
    <row r="9767" spans="1:29" ht="30">
      <c r="A9767" s="8" t="s">
        <v>15880</v>
      </c>
      <c r="B9767" s="17" t="s">
        <v>9581</v>
      </c>
      <c r="C9767" s="24">
        <v>33604</v>
      </c>
      <c r="D9767" s="13" t="s">
        <v>8467</v>
      </c>
      <c r="E9767" s="10" t="s">
        <v>1513</v>
      </c>
      <c r="F9767" s="10" t="s">
        <v>15877</v>
      </c>
      <c r="G9767" s="11" t="s">
        <v>15868</v>
      </c>
      <c r="H9767" s="2" t="s">
        <v>1267</v>
      </c>
      <c r="L9767" s="18">
        <v>0</v>
      </c>
      <c r="Q9767" s="18">
        <v>0</v>
      </c>
      <c r="V9767" s="22">
        <f>3.5/5</f>
        <v>0.7</v>
      </c>
      <c r="X9767" s="3">
        <v>2</v>
      </c>
      <c r="AB9767" s="18">
        <f t="shared" si="304"/>
        <v>1992</v>
      </c>
      <c r="AC9767" s="22">
        <f t="shared" si="305"/>
        <v>0.55000000000000004</v>
      </c>
    </row>
    <row r="9768" spans="1:29" ht="30">
      <c r="A9768" s="8" t="s">
        <v>15881</v>
      </c>
      <c r="B9768" s="17" t="s">
        <v>9581</v>
      </c>
      <c r="C9768" s="24">
        <v>33604</v>
      </c>
      <c r="D9768" s="13" t="s">
        <v>8467</v>
      </c>
      <c r="E9768" s="10" t="s">
        <v>1513</v>
      </c>
      <c r="F9768" s="10" t="s">
        <v>15877</v>
      </c>
      <c r="G9768" s="11" t="s">
        <v>15868</v>
      </c>
      <c r="H9768" s="2" t="s">
        <v>1267</v>
      </c>
      <c r="L9768" s="18">
        <v>0</v>
      </c>
      <c r="Q9768" s="18">
        <v>0</v>
      </c>
      <c r="V9768" s="22">
        <f>3.6/5</f>
        <v>0.72</v>
      </c>
      <c r="X9768" s="3">
        <v>2</v>
      </c>
      <c r="AB9768" s="18">
        <f t="shared" si="304"/>
        <v>1992</v>
      </c>
      <c r="AC9768" s="22">
        <f t="shared" si="305"/>
        <v>0.56000000000000005</v>
      </c>
    </row>
    <row r="9769" spans="1:29">
      <c r="A9769" s="8" t="s">
        <v>1325</v>
      </c>
      <c r="B9769" s="17" t="s">
        <v>7751</v>
      </c>
      <c r="C9769" s="24">
        <v>33604</v>
      </c>
      <c r="D9769" s="13" t="s">
        <v>8465</v>
      </c>
      <c r="E9769" s="10" t="s">
        <v>160</v>
      </c>
      <c r="F9769" s="10" t="s">
        <v>160</v>
      </c>
      <c r="G9769" s="11" t="s">
        <v>1325</v>
      </c>
      <c r="H9769" s="2" t="s">
        <v>56</v>
      </c>
      <c r="L9769" s="18">
        <v>0</v>
      </c>
      <c r="Q9769" s="18">
        <v>0</v>
      </c>
      <c r="V9769" s="22">
        <f>2.54/5</f>
        <v>0.50800000000000001</v>
      </c>
      <c r="X9769" s="3">
        <v>2</v>
      </c>
      <c r="Z9769" s="23">
        <v>5</v>
      </c>
      <c r="AB9769" s="18">
        <f t="shared" si="304"/>
        <v>1992</v>
      </c>
      <c r="AC9769" s="22">
        <f t="shared" si="305"/>
        <v>0.45400000000000001</v>
      </c>
    </row>
    <row r="9770" spans="1:29" ht="30">
      <c r="A9770" s="8" t="s">
        <v>16035</v>
      </c>
      <c r="B9770" s="17" t="s">
        <v>9581</v>
      </c>
      <c r="C9770" s="24">
        <v>33604</v>
      </c>
      <c r="D9770" s="13" t="s">
        <v>8465</v>
      </c>
      <c r="E9770" s="10" t="s">
        <v>7826</v>
      </c>
      <c r="F9770" s="10" t="s">
        <v>1327</v>
      </c>
      <c r="G9770" s="11" t="s">
        <v>16035</v>
      </c>
      <c r="H9770" s="2" t="s">
        <v>31</v>
      </c>
      <c r="L9770" s="18">
        <v>0</v>
      </c>
      <c r="Q9770" s="18">
        <v>0</v>
      </c>
      <c r="V9770" s="22">
        <f>4.2/5</f>
        <v>0.84000000000000008</v>
      </c>
      <c r="X9770" s="3">
        <v>2</v>
      </c>
      <c r="Z9770" s="23">
        <v>20.5</v>
      </c>
      <c r="AB9770" s="18">
        <f t="shared" si="304"/>
        <v>1992</v>
      </c>
      <c r="AC9770" s="22">
        <f t="shared" si="305"/>
        <v>0.62000000000000011</v>
      </c>
    </row>
    <row r="9771" spans="1:29" ht="30">
      <c r="A9771" s="8" t="s">
        <v>16058</v>
      </c>
      <c r="B9771" s="17" t="s">
        <v>9581</v>
      </c>
      <c r="C9771" s="24">
        <v>33604</v>
      </c>
      <c r="D9771" s="13" t="s">
        <v>8465</v>
      </c>
      <c r="E9771" s="10" t="s">
        <v>231</v>
      </c>
      <c r="F9771" s="10" t="s">
        <v>14511</v>
      </c>
      <c r="H9771" s="2" t="s">
        <v>56</v>
      </c>
      <c r="L9771" s="18">
        <v>0</v>
      </c>
      <c r="Q9771" s="18">
        <v>0</v>
      </c>
      <c r="V9771" s="22">
        <f>2.5/5</f>
        <v>0.5</v>
      </c>
      <c r="X9771" s="3">
        <v>2</v>
      </c>
      <c r="Z9771" s="23">
        <f>32/60</f>
        <v>0.53333333333333333</v>
      </c>
      <c r="AB9771" s="18">
        <f t="shared" si="304"/>
        <v>1992</v>
      </c>
      <c r="AC9771" s="22">
        <f t="shared" si="305"/>
        <v>0.45</v>
      </c>
    </row>
    <row r="9772" spans="1:29" ht="30">
      <c r="A9772" s="8" t="s">
        <v>16062</v>
      </c>
      <c r="B9772" s="17" t="s">
        <v>9581</v>
      </c>
      <c r="C9772" s="24">
        <v>33604</v>
      </c>
      <c r="D9772" s="13" t="s">
        <v>8467</v>
      </c>
      <c r="E9772" s="10" t="s">
        <v>16063</v>
      </c>
      <c r="F9772" s="10" t="s">
        <v>16064</v>
      </c>
      <c r="G9772" s="11" t="s">
        <v>16065</v>
      </c>
      <c r="H9772" s="2" t="s">
        <v>56</v>
      </c>
      <c r="L9772" s="18">
        <v>0</v>
      </c>
      <c r="Q9772" s="18">
        <v>0</v>
      </c>
      <c r="V9772" s="22">
        <f>3.71/5</f>
        <v>0.74199999999999999</v>
      </c>
      <c r="X9772" s="3">
        <v>2</v>
      </c>
      <c r="AB9772" s="18">
        <f t="shared" si="304"/>
        <v>1992</v>
      </c>
      <c r="AC9772" s="22">
        <f t="shared" si="305"/>
        <v>0.57099999999999995</v>
      </c>
    </row>
    <row r="9773" spans="1:29">
      <c r="A9773" s="8" t="s">
        <v>1753</v>
      </c>
      <c r="B9773" s="17" t="s">
        <v>7745</v>
      </c>
      <c r="C9773" s="13">
        <v>33956</v>
      </c>
      <c r="D9773" s="13" t="s">
        <v>8463</v>
      </c>
      <c r="E9773" s="10" t="s">
        <v>1427</v>
      </c>
      <c r="F9773" s="10" t="s">
        <v>1427</v>
      </c>
      <c r="H9773" s="2" t="s">
        <v>21</v>
      </c>
      <c r="K9773" s="18">
        <v>0</v>
      </c>
      <c r="L9773" s="18">
        <v>0</v>
      </c>
      <c r="Q9773" s="18">
        <v>1</v>
      </c>
      <c r="T9773" s="22">
        <v>0.8</v>
      </c>
      <c r="V9773" s="22">
        <f>3.93/5</f>
        <v>0.78600000000000003</v>
      </c>
      <c r="AB9773" s="18">
        <f t="shared" si="304"/>
        <v>1992</v>
      </c>
      <c r="AC9773" s="22">
        <f t="shared" si="305"/>
        <v>0.79300000000000004</v>
      </c>
    </row>
    <row r="9774" spans="1:29">
      <c r="A9774" s="8" t="s">
        <v>1747</v>
      </c>
      <c r="B9774" s="17" t="s">
        <v>7745</v>
      </c>
      <c r="C9774" s="12">
        <v>33939</v>
      </c>
      <c r="D9774" s="13" t="s">
        <v>8465</v>
      </c>
      <c r="E9774" s="10" t="s">
        <v>73</v>
      </c>
      <c r="F9774" s="10" t="s">
        <v>1745</v>
      </c>
      <c r="G9774" s="11" t="s">
        <v>89</v>
      </c>
      <c r="H9774" s="2" t="s">
        <v>56</v>
      </c>
      <c r="L9774" s="18">
        <v>0</v>
      </c>
      <c r="Q9774" s="18">
        <v>1</v>
      </c>
      <c r="T9774" s="22">
        <v>0.7</v>
      </c>
      <c r="U9774" s="22">
        <v>0.83</v>
      </c>
      <c r="V9774" s="22">
        <f>3.75/5</f>
        <v>0.75</v>
      </c>
      <c r="AB9774" s="18">
        <f t="shared" si="304"/>
        <v>1992</v>
      </c>
      <c r="AC9774" s="22">
        <f t="shared" si="305"/>
        <v>0.7599999999999999</v>
      </c>
    </row>
    <row r="9775" spans="1:29">
      <c r="A9775" s="8" t="s">
        <v>105</v>
      </c>
      <c r="B9775" s="17" t="s">
        <v>7734</v>
      </c>
      <c r="C9775" s="12">
        <v>33939</v>
      </c>
      <c r="D9775" s="13" t="s">
        <v>8465</v>
      </c>
      <c r="E9775" s="10" t="s">
        <v>73</v>
      </c>
      <c r="F9775" s="10" t="s">
        <v>73</v>
      </c>
      <c r="G9775" s="11" t="s">
        <v>89</v>
      </c>
      <c r="H9775" s="2" t="s">
        <v>56</v>
      </c>
      <c r="L9775" s="18">
        <v>0</v>
      </c>
      <c r="Q9775" s="18">
        <v>1</v>
      </c>
      <c r="T9775" s="22">
        <v>0.7</v>
      </c>
      <c r="V9775" s="22">
        <f>3.85/5</f>
        <v>0.77</v>
      </c>
      <c r="AB9775" s="18">
        <f t="shared" si="304"/>
        <v>1992</v>
      </c>
      <c r="AC9775" s="22">
        <f t="shared" si="305"/>
        <v>0.73499999999999999</v>
      </c>
    </row>
    <row r="9776" spans="1:29">
      <c r="A9776" s="8" t="s">
        <v>1752</v>
      </c>
      <c r="B9776" s="17" t="s">
        <v>7745</v>
      </c>
      <c r="C9776" s="13">
        <v>33935</v>
      </c>
      <c r="D9776" s="13" t="s">
        <v>8465</v>
      </c>
      <c r="E9776" s="10" t="s">
        <v>160</v>
      </c>
      <c r="F9776" s="10" t="s">
        <v>160</v>
      </c>
      <c r="H9776" s="2" t="s">
        <v>64</v>
      </c>
      <c r="L9776" s="18">
        <v>0</v>
      </c>
      <c r="Q9776" s="18">
        <v>1</v>
      </c>
      <c r="T9776" s="22">
        <v>0.8</v>
      </c>
      <c r="U9776" s="22">
        <v>0.55000000000000004</v>
      </c>
      <c r="V9776" s="22">
        <f>3.55/5</f>
        <v>0.71</v>
      </c>
      <c r="AB9776" s="18">
        <f t="shared" si="304"/>
        <v>1992</v>
      </c>
      <c r="AC9776" s="22">
        <f t="shared" si="305"/>
        <v>0.68666666666666665</v>
      </c>
    </row>
    <row r="9777" spans="1:29" ht="25.5">
      <c r="A9777" s="8" t="s">
        <v>1766</v>
      </c>
      <c r="B9777" s="17" t="s">
        <v>7745</v>
      </c>
      <c r="C9777" s="13">
        <v>33910</v>
      </c>
      <c r="D9777" s="13" t="s">
        <v>8465</v>
      </c>
      <c r="E9777" s="10" t="s">
        <v>86</v>
      </c>
      <c r="F9777" s="10" t="s">
        <v>142</v>
      </c>
      <c r="G9777" s="11" t="s">
        <v>137</v>
      </c>
      <c r="H9777" s="2" t="s">
        <v>64</v>
      </c>
      <c r="L9777" s="18">
        <v>0</v>
      </c>
      <c r="Q9777" s="18">
        <v>1</v>
      </c>
      <c r="T9777" s="22">
        <v>0.7</v>
      </c>
      <c r="U9777" s="22">
        <v>0.8</v>
      </c>
      <c r="V9777" s="22">
        <f>4.03/5</f>
        <v>0.80600000000000005</v>
      </c>
      <c r="Y9777" s="18">
        <v>1</v>
      </c>
      <c r="AB9777" s="18">
        <f t="shared" si="304"/>
        <v>1992</v>
      </c>
      <c r="AC9777" s="22">
        <f t="shared" si="305"/>
        <v>0.76866666666666672</v>
      </c>
    </row>
    <row r="9778" spans="1:29">
      <c r="A9778" s="8" t="s">
        <v>131</v>
      </c>
      <c r="B9778" s="17" t="s">
        <v>7734</v>
      </c>
      <c r="C9778" s="12">
        <v>33909</v>
      </c>
      <c r="D9778" s="13" t="s">
        <v>8465</v>
      </c>
      <c r="E9778" s="10" t="s">
        <v>54</v>
      </c>
      <c r="F9778" s="10" t="s">
        <v>165</v>
      </c>
      <c r="H9778" s="2" t="s">
        <v>56</v>
      </c>
      <c r="L9778" s="18">
        <v>0</v>
      </c>
      <c r="Q9778" s="18">
        <v>1</v>
      </c>
      <c r="T9778" s="22">
        <v>0.7</v>
      </c>
      <c r="V9778" s="22">
        <f>4.14/5</f>
        <v>0.82799999999999996</v>
      </c>
      <c r="AB9778" s="18">
        <f t="shared" si="304"/>
        <v>1992</v>
      </c>
      <c r="AC9778" s="22">
        <f t="shared" si="305"/>
        <v>0.76400000000000001</v>
      </c>
    </row>
    <row r="9779" spans="1:29">
      <c r="A9779" s="8" t="s">
        <v>614</v>
      </c>
      <c r="B9779" s="17" t="s">
        <v>7736</v>
      </c>
      <c r="C9779" s="12">
        <v>33909</v>
      </c>
      <c r="D9779" s="13" t="s">
        <v>8465</v>
      </c>
      <c r="E9779" s="10" t="s">
        <v>1265</v>
      </c>
      <c r="F9779" s="10" t="s">
        <v>468</v>
      </c>
      <c r="G9779" s="11" t="s">
        <v>1266</v>
      </c>
      <c r="H9779" s="2" t="s">
        <v>1267</v>
      </c>
      <c r="L9779" s="18">
        <v>0</v>
      </c>
      <c r="Q9779" s="18">
        <v>1</v>
      </c>
      <c r="T9779" s="22">
        <v>0.7</v>
      </c>
      <c r="U9779" s="22">
        <v>0.84</v>
      </c>
      <c r="V9779" s="22">
        <f>3.62/5</f>
        <v>0.72399999999999998</v>
      </c>
      <c r="AB9779" s="18">
        <f t="shared" si="304"/>
        <v>1992</v>
      </c>
      <c r="AC9779" s="22">
        <f t="shared" si="305"/>
        <v>0.75466666666666671</v>
      </c>
    </row>
    <row r="9780" spans="1:29" ht="25.5">
      <c r="A9780" s="8" t="s">
        <v>602</v>
      </c>
      <c r="B9780" s="17" t="s">
        <v>7736</v>
      </c>
      <c r="C9780" s="12">
        <v>33909</v>
      </c>
      <c r="D9780" s="13" t="s">
        <v>8465</v>
      </c>
      <c r="E9780" s="10" t="s">
        <v>144</v>
      </c>
      <c r="F9780" s="10" t="s">
        <v>1258</v>
      </c>
      <c r="G9780" s="11" t="s">
        <v>448</v>
      </c>
      <c r="H9780" s="2" t="s">
        <v>147</v>
      </c>
      <c r="L9780" s="18">
        <v>0</v>
      </c>
      <c r="Q9780" s="18">
        <v>1</v>
      </c>
      <c r="T9780" s="22">
        <v>0.5</v>
      </c>
      <c r="U9780" s="22">
        <v>0.6</v>
      </c>
      <c r="V9780" s="22">
        <f>2.56/5</f>
        <v>0.51200000000000001</v>
      </c>
      <c r="AB9780" s="18">
        <f t="shared" si="304"/>
        <v>1992</v>
      </c>
      <c r="AC9780" s="22">
        <f t="shared" si="305"/>
        <v>0.53733333333333333</v>
      </c>
    </row>
    <row r="9781" spans="1:29">
      <c r="A9781" s="8" t="s">
        <v>592</v>
      </c>
      <c r="B9781" s="17" t="s">
        <v>7736</v>
      </c>
      <c r="C9781" s="12">
        <v>33878</v>
      </c>
      <c r="D9781" s="13" t="s">
        <v>8465</v>
      </c>
      <c r="E9781" s="10" t="s">
        <v>152</v>
      </c>
      <c r="F9781" s="10" t="s">
        <v>155</v>
      </c>
      <c r="G9781" s="11" t="s">
        <v>111</v>
      </c>
      <c r="H9781" s="2" t="s">
        <v>153</v>
      </c>
      <c r="L9781" s="18">
        <v>0</v>
      </c>
      <c r="Q9781" s="18">
        <v>1</v>
      </c>
      <c r="T9781" s="22">
        <v>0.7</v>
      </c>
      <c r="U9781" s="22">
        <v>0.65</v>
      </c>
      <c r="V9781" s="22">
        <f>3.52/5</f>
        <v>0.70399999999999996</v>
      </c>
      <c r="AB9781" s="18">
        <f t="shared" si="304"/>
        <v>1992</v>
      </c>
      <c r="AC9781" s="22">
        <f t="shared" si="305"/>
        <v>0.68466666666666676</v>
      </c>
    </row>
    <row r="9782" spans="1:29">
      <c r="A9782" s="8" t="s">
        <v>133</v>
      </c>
      <c r="B9782" s="17" t="s">
        <v>7734</v>
      </c>
      <c r="C9782" s="13">
        <v>33877</v>
      </c>
      <c r="D9782" s="13" t="s">
        <v>8465</v>
      </c>
      <c r="E9782" s="10" t="s">
        <v>72</v>
      </c>
      <c r="F9782" s="10" t="s">
        <v>72</v>
      </c>
      <c r="G9782" s="11" t="s">
        <v>97</v>
      </c>
      <c r="H9782" s="2" t="s">
        <v>147</v>
      </c>
      <c r="L9782" s="18">
        <v>0</v>
      </c>
      <c r="Q9782" s="18">
        <v>1</v>
      </c>
      <c r="T9782" s="22">
        <v>0.5</v>
      </c>
      <c r="V9782" s="22">
        <f>3.29/5</f>
        <v>0.65800000000000003</v>
      </c>
      <c r="AB9782" s="18">
        <f t="shared" si="304"/>
        <v>1992</v>
      </c>
      <c r="AC9782" s="22">
        <f t="shared" si="305"/>
        <v>0.57899999999999996</v>
      </c>
    </row>
    <row r="9783" spans="1:29">
      <c r="A9783" s="8" t="s">
        <v>618</v>
      </c>
      <c r="B9783" s="17" t="s">
        <v>7736</v>
      </c>
      <c r="C9783" s="13">
        <v>33848</v>
      </c>
      <c r="D9783" s="13" t="s">
        <v>8465</v>
      </c>
      <c r="E9783" s="10" t="s">
        <v>86</v>
      </c>
      <c r="F9783" s="10" t="s">
        <v>87</v>
      </c>
      <c r="G9783" s="11" t="s">
        <v>1135</v>
      </c>
      <c r="H9783" s="2" t="s">
        <v>150</v>
      </c>
      <c r="L9783" s="18">
        <v>0</v>
      </c>
      <c r="Q9783" s="18">
        <v>1</v>
      </c>
      <c r="T9783" s="22">
        <v>0.7</v>
      </c>
      <c r="U9783" s="22">
        <v>0.94</v>
      </c>
      <c r="V9783" s="22">
        <f>4.03/5</f>
        <v>0.80600000000000005</v>
      </c>
      <c r="AB9783" s="18">
        <f t="shared" si="304"/>
        <v>1992</v>
      </c>
      <c r="AC9783" s="22">
        <f t="shared" si="305"/>
        <v>0.81533333333333324</v>
      </c>
    </row>
    <row r="9784" spans="1:29">
      <c r="A9784" s="8" t="s">
        <v>609</v>
      </c>
      <c r="B9784" s="17" t="s">
        <v>7736</v>
      </c>
      <c r="C9784" s="12">
        <v>33848</v>
      </c>
      <c r="D9784" s="13" t="s">
        <v>8465</v>
      </c>
      <c r="E9784" s="10" t="s">
        <v>72</v>
      </c>
      <c r="F9784" s="10" t="s">
        <v>72</v>
      </c>
      <c r="H9784" s="2" t="s">
        <v>21</v>
      </c>
      <c r="L9784" s="18">
        <v>0</v>
      </c>
      <c r="Q9784" s="18">
        <v>1</v>
      </c>
      <c r="T9784" s="22">
        <v>0.7</v>
      </c>
      <c r="U9784" s="22">
        <v>0.81</v>
      </c>
      <c r="V9784" s="22">
        <f>3.85/5</f>
        <v>0.77</v>
      </c>
      <c r="AB9784" s="18">
        <f t="shared" si="304"/>
        <v>1992</v>
      </c>
      <c r="AC9784" s="22">
        <f t="shared" si="305"/>
        <v>0.76000000000000012</v>
      </c>
    </row>
    <row r="9785" spans="1:29">
      <c r="A9785" s="8" t="s">
        <v>43</v>
      </c>
      <c r="B9785" s="17" t="s">
        <v>6317</v>
      </c>
      <c r="C9785" s="12">
        <v>33848</v>
      </c>
      <c r="D9785" s="13" t="s">
        <v>8465</v>
      </c>
      <c r="E9785" s="10" t="s">
        <v>72</v>
      </c>
      <c r="F9785" s="10" t="s">
        <v>72</v>
      </c>
      <c r="G9785" s="11" t="s">
        <v>43</v>
      </c>
      <c r="H9785" s="2" t="s">
        <v>153</v>
      </c>
      <c r="L9785" s="18">
        <v>0</v>
      </c>
      <c r="Q9785" s="18">
        <v>1</v>
      </c>
      <c r="T9785" s="22">
        <v>0.6</v>
      </c>
      <c r="V9785" s="22">
        <f>3.51/5</f>
        <v>0.70199999999999996</v>
      </c>
      <c r="AB9785" s="18">
        <f t="shared" si="304"/>
        <v>1992</v>
      </c>
      <c r="AC9785" s="22">
        <f t="shared" si="305"/>
        <v>0.65100000000000002</v>
      </c>
    </row>
    <row r="9786" spans="1:29" ht="38.25">
      <c r="A9786" s="8" t="s">
        <v>577</v>
      </c>
      <c r="B9786" s="17" t="s">
        <v>7736</v>
      </c>
      <c r="C9786" s="12">
        <v>33817</v>
      </c>
      <c r="D9786" s="13" t="s">
        <v>8465</v>
      </c>
      <c r="E9786" s="10" t="s">
        <v>72</v>
      </c>
      <c r="F9786" s="10" t="s">
        <v>72</v>
      </c>
      <c r="G9786" s="11" t="s">
        <v>215</v>
      </c>
      <c r="H9786" s="2" t="s">
        <v>153</v>
      </c>
      <c r="L9786" s="18">
        <v>0</v>
      </c>
      <c r="Q9786" s="18">
        <v>1</v>
      </c>
      <c r="T9786" s="22">
        <v>0.9</v>
      </c>
      <c r="U9786" s="22">
        <v>0.83</v>
      </c>
      <c r="V9786" s="22">
        <f>4.17/5</f>
        <v>0.83399999999999996</v>
      </c>
      <c r="Y9786" s="18">
        <v>1</v>
      </c>
      <c r="AB9786" s="18">
        <f t="shared" si="304"/>
        <v>1992</v>
      </c>
      <c r="AC9786" s="22">
        <f t="shared" si="305"/>
        <v>0.85466666666666669</v>
      </c>
    </row>
    <row r="9787" spans="1:29">
      <c r="A9787" s="8" t="s">
        <v>1767</v>
      </c>
      <c r="B9787" s="17" t="s">
        <v>7745</v>
      </c>
      <c r="C9787" s="13">
        <v>33817</v>
      </c>
      <c r="D9787" s="13" t="s">
        <v>8465</v>
      </c>
      <c r="E9787" s="10" t="s">
        <v>86</v>
      </c>
      <c r="F9787" s="10" t="s">
        <v>30</v>
      </c>
      <c r="G9787" s="11" t="s">
        <v>223</v>
      </c>
      <c r="H9787" s="2" t="s">
        <v>64</v>
      </c>
      <c r="L9787" s="18">
        <v>0</v>
      </c>
      <c r="Q9787" s="18">
        <v>1</v>
      </c>
      <c r="T9787" s="22">
        <v>0.8</v>
      </c>
      <c r="U9787" s="22">
        <v>0.62</v>
      </c>
      <c r="V9787" s="22">
        <f>3.72/5</f>
        <v>0.74399999999999999</v>
      </c>
      <c r="AB9787" s="18">
        <f t="shared" si="304"/>
        <v>1992</v>
      </c>
      <c r="AC9787" s="22">
        <f t="shared" si="305"/>
        <v>0.72133333333333327</v>
      </c>
    </row>
    <row r="9788" spans="1:29">
      <c r="A9788" s="8" t="s">
        <v>495</v>
      </c>
      <c r="B9788" s="17" t="s">
        <v>7731</v>
      </c>
      <c r="C9788" s="13">
        <v>33711</v>
      </c>
      <c r="D9788" s="13" t="s">
        <v>8465</v>
      </c>
      <c r="E9788" s="10" t="s">
        <v>170</v>
      </c>
      <c r="F9788" s="10" t="s">
        <v>170</v>
      </c>
      <c r="H9788" s="2" t="s">
        <v>153</v>
      </c>
      <c r="L9788" s="18">
        <v>0</v>
      </c>
      <c r="Q9788" s="18">
        <v>1</v>
      </c>
      <c r="T9788" s="22">
        <v>0.5</v>
      </c>
      <c r="V9788" s="22">
        <f>3.41/5</f>
        <v>0.68200000000000005</v>
      </c>
      <c r="AB9788" s="18">
        <f t="shared" si="304"/>
        <v>1992</v>
      </c>
      <c r="AC9788" s="22">
        <f t="shared" si="305"/>
        <v>0.59099999999999997</v>
      </c>
    </row>
    <row r="9789" spans="1:29" ht="25.5">
      <c r="A9789" s="8" t="s">
        <v>580</v>
      </c>
      <c r="B9789" s="17" t="s">
        <v>7736</v>
      </c>
      <c r="C9789" s="13">
        <v>33707</v>
      </c>
      <c r="D9789" s="13" t="s">
        <v>8465</v>
      </c>
      <c r="E9789" s="10" t="s">
        <v>86</v>
      </c>
      <c r="F9789" s="10" t="s">
        <v>87</v>
      </c>
      <c r="G9789" s="11" t="s">
        <v>85</v>
      </c>
      <c r="H9789" s="2" t="s">
        <v>80</v>
      </c>
      <c r="L9789" s="18">
        <v>1</v>
      </c>
      <c r="M9789" s="14" t="s">
        <v>10622</v>
      </c>
      <c r="N9789" s="13">
        <v>43318</v>
      </c>
      <c r="O9789" s="29">
        <v>15.5</v>
      </c>
      <c r="P9789" s="18" t="s">
        <v>14</v>
      </c>
      <c r="Q9789" s="18">
        <v>1</v>
      </c>
      <c r="T9789" s="22">
        <v>1</v>
      </c>
      <c r="U9789" s="22">
        <v>0.93</v>
      </c>
      <c r="V9789" s="22">
        <f>4.56/5</f>
        <v>0.91199999999999992</v>
      </c>
      <c r="AB9789" s="18">
        <f t="shared" si="304"/>
        <v>1992</v>
      </c>
      <c r="AC9789" s="22">
        <f t="shared" si="305"/>
        <v>0.94733333333333336</v>
      </c>
    </row>
    <row r="9790" spans="1:29" ht="25.5">
      <c r="A9790" s="8" t="s">
        <v>583</v>
      </c>
      <c r="B9790" s="17" t="s">
        <v>7736</v>
      </c>
      <c r="C9790" s="13">
        <v>33700</v>
      </c>
      <c r="D9790" s="13" t="s">
        <v>8465</v>
      </c>
      <c r="E9790" s="10" t="s">
        <v>72</v>
      </c>
      <c r="F9790" s="10" t="s">
        <v>72</v>
      </c>
      <c r="G9790" s="11" t="s">
        <v>97</v>
      </c>
      <c r="H9790" s="2" t="s">
        <v>147</v>
      </c>
      <c r="L9790" s="18">
        <v>0</v>
      </c>
      <c r="Q9790" s="18">
        <v>1</v>
      </c>
      <c r="T9790" s="22">
        <v>0.9</v>
      </c>
      <c r="U9790" s="22">
        <v>0.86</v>
      </c>
      <c r="V9790" s="22">
        <f>4.11/5</f>
        <v>0.82200000000000006</v>
      </c>
      <c r="Y9790" s="18">
        <v>1</v>
      </c>
      <c r="AB9790" s="18">
        <f t="shared" si="304"/>
        <v>1992</v>
      </c>
      <c r="AC9790" s="22">
        <f t="shared" si="305"/>
        <v>0.86066666666666658</v>
      </c>
    </row>
    <row r="9791" spans="1:29">
      <c r="A9791" s="8" t="s">
        <v>1751</v>
      </c>
      <c r="B9791" s="17" t="s">
        <v>7745</v>
      </c>
      <c r="C9791" s="13">
        <v>33655</v>
      </c>
      <c r="D9791" s="13" t="s">
        <v>8463</v>
      </c>
      <c r="E9791" s="10" t="s">
        <v>70</v>
      </c>
      <c r="F9791" s="10" t="s">
        <v>70</v>
      </c>
      <c r="G9791" s="11" t="s">
        <v>1256</v>
      </c>
      <c r="H9791" s="2" t="s">
        <v>147</v>
      </c>
      <c r="K9791" s="18">
        <v>2</v>
      </c>
      <c r="L9791" s="18">
        <v>0</v>
      </c>
      <c r="Q9791" s="18">
        <v>1</v>
      </c>
      <c r="T9791" s="22">
        <v>0.8</v>
      </c>
      <c r="V9791" s="22">
        <f>3.63/5</f>
        <v>0.72599999999999998</v>
      </c>
      <c r="AB9791" s="18">
        <f t="shared" si="304"/>
        <v>1992</v>
      </c>
      <c r="AC9791" s="22">
        <f t="shared" si="305"/>
        <v>0.76300000000000001</v>
      </c>
    </row>
    <row r="9792" spans="1:29">
      <c r="A9792" s="8" t="s">
        <v>1746</v>
      </c>
      <c r="B9792" s="17" t="s">
        <v>7745</v>
      </c>
      <c r="C9792" s="12">
        <v>33635</v>
      </c>
      <c r="D9792" s="13" t="s">
        <v>8465</v>
      </c>
      <c r="E9792" s="10" t="s">
        <v>86</v>
      </c>
      <c r="F9792" s="10" t="s">
        <v>1778</v>
      </c>
      <c r="G9792" s="11" t="s">
        <v>89</v>
      </c>
      <c r="H9792" s="2" t="s">
        <v>56</v>
      </c>
      <c r="L9792" s="18">
        <v>0</v>
      </c>
      <c r="Q9792" s="18">
        <v>1</v>
      </c>
      <c r="T9792" s="22">
        <v>0.7</v>
      </c>
      <c r="U9792" s="22">
        <v>0.69</v>
      </c>
      <c r="V9792" s="22">
        <f>3.49/5</f>
        <v>0.69800000000000006</v>
      </c>
      <c r="AB9792" s="18">
        <f t="shared" si="304"/>
        <v>1992</v>
      </c>
      <c r="AC9792" s="22">
        <f t="shared" si="305"/>
        <v>0.69600000000000006</v>
      </c>
    </row>
    <row r="9793" spans="1:29">
      <c r="A9793" s="8" t="s">
        <v>104</v>
      </c>
      <c r="B9793" s="17" t="s">
        <v>7734</v>
      </c>
      <c r="C9793" s="12">
        <v>33604</v>
      </c>
      <c r="D9793" s="13" t="s">
        <v>8465</v>
      </c>
      <c r="E9793" s="10" t="s">
        <v>73</v>
      </c>
      <c r="F9793" s="10" t="s">
        <v>73</v>
      </c>
      <c r="G9793" s="11" t="s">
        <v>89</v>
      </c>
      <c r="H9793" s="2" t="s">
        <v>56</v>
      </c>
      <c r="L9793" s="18">
        <v>0</v>
      </c>
      <c r="Q9793" s="18">
        <v>1</v>
      </c>
      <c r="T9793" s="22">
        <v>0.8</v>
      </c>
      <c r="V9793" s="22">
        <f>3.96/5</f>
        <v>0.79200000000000004</v>
      </c>
      <c r="Y9793" s="18">
        <v>1</v>
      </c>
      <c r="AB9793" s="18">
        <f t="shared" ref="AB9793:AB9856" si="306">IFERROR(YEAR(C9793), "Early Access")</f>
        <v>1992</v>
      </c>
      <c r="AC9793" s="22">
        <f t="shared" ref="AC9793:AC9856" si="307">AVERAGE(T9793, U9793, V9793, IF(ISBLANK(X9793), X9793, X9793/5))</f>
        <v>0.79600000000000004</v>
      </c>
    </row>
    <row r="9794" spans="1:29">
      <c r="A9794" s="8" t="s">
        <v>440</v>
      </c>
      <c r="B9794" s="17" t="s">
        <v>6317</v>
      </c>
      <c r="C9794" s="12">
        <v>33604</v>
      </c>
      <c r="D9794" s="13" t="s">
        <v>8465</v>
      </c>
      <c r="E9794" s="10" t="s">
        <v>72</v>
      </c>
      <c r="F9794" s="10" t="s">
        <v>72</v>
      </c>
      <c r="G9794" s="11" t="s">
        <v>440</v>
      </c>
      <c r="H9794" s="2" t="s">
        <v>153</v>
      </c>
      <c r="L9794" s="18">
        <v>0</v>
      </c>
      <c r="Q9794" s="18">
        <v>1</v>
      </c>
      <c r="R9794" s="13">
        <v>45111</v>
      </c>
      <c r="S9794" s="21">
        <f>37/60+45/3600</f>
        <v>0.62916666666666665</v>
      </c>
      <c r="T9794" s="22">
        <v>0.6</v>
      </c>
      <c r="V9794" s="22">
        <f>3.93/5</f>
        <v>0.78600000000000003</v>
      </c>
      <c r="AB9794" s="18">
        <f t="shared" si="306"/>
        <v>1992</v>
      </c>
      <c r="AC9794" s="22">
        <f t="shared" si="307"/>
        <v>0.69300000000000006</v>
      </c>
    </row>
    <row r="9795" spans="1:29" ht="25.5">
      <c r="A9795" s="8" t="s">
        <v>1759</v>
      </c>
      <c r="B9795" s="17" t="s">
        <v>7745</v>
      </c>
      <c r="C9795" s="12">
        <v>33604</v>
      </c>
      <c r="D9795" s="13" t="s">
        <v>8465</v>
      </c>
      <c r="E9795" s="10" t="s">
        <v>72</v>
      </c>
      <c r="F9795" s="10" t="s">
        <v>72</v>
      </c>
      <c r="G9795" s="11" t="s">
        <v>123</v>
      </c>
      <c r="H9795" s="2" t="s">
        <v>21</v>
      </c>
      <c r="L9795" s="18">
        <v>0</v>
      </c>
      <c r="Q9795" s="18">
        <v>1</v>
      </c>
      <c r="T9795" s="22">
        <v>0.6</v>
      </c>
      <c r="U9795" s="22">
        <v>0.68</v>
      </c>
      <c r="V9795" s="22">
        <f>3.95/5</f>
        <v>0.79</v>
      </c>
      <c r="AB9795" s="18">
        <f t="shared" si="306"/>
        <v>1992</v>
      </c>
      <c r="AC9795" s="22">
        <f t="shared" si="307"/>
        <v>0.69000000000000006</v>
      </c>
    </row>
    <row r="9796" spans="1:29">
      <c r="A9796" s="8" t="s">
        <v>333</v>
      </c>
      <c r="B9796" s="17" t="s">
        <v>6317</v>
      </c>
      <c r="C9796" s="12">
        <v>33604</v>
      </c>
      <c r="D9796" s="13" t="s">
        <v>8465</v>
      </c>
      <c r="E9796" s="10" t="s">
        <v>76</v>
      </c>
      <c r="F9796" s="10" t="s">
        <v>480</v>
      </c>
      <c r="H9796" s="2" t="s">
        <v>21</v>
      </c>
      <c r="L9796" s="18">
        <v>0</v>
      </c>
      <c r="Q9796" s="18">
        <v>1</v>
      </c>
      <c r="T9796" s="22">
        <v>0.5</v>
      </c>
      <c r="V9796" s="22">
        <f>2.96/5</f>
        <v>0.59199999999999997</v>
      </c>
      <c r="AB9796" s="18">
        <f t="shared" si="306"/>
        <v>1992</v>
      </c>
      <c r="AC9796" s="22">
        <f t="shared" si="307"/>
        <v>0.54600000000000004</v>
      </c>
    </row>
    <row r="9797" spans="1:29">
      <c r="A9797" s="8" t="s">
        <v>15931</v>
      </c>
      <c r="B9797" s="17" t="s">
        <v>7756</v>
      </c>
      <c r="C9797" s="13">
        <v>33601</v>
      </c>
      <c r="D9797" s="13" t="s">
        <v>8463</v>
      </c>
      <c r="E9797" s="10" t="s">
        <v>167</v>
      </c>
      <c r="F9797" s="10" t="s">
        <v>167</v>
      </c>
      <c r="G9797" s="11" t="s">
        <v>1315</v>
      </c>
      <c r="H9797" s="2" t="s">
        <v>21</v>
      </c>
      <c r="K9797" s="18">
        <v>0</v>
      </c>
      <c r="L9797" s="18">
        <v>0</v>
      </c>
      <c r="Q9797" s="18">
        <v>0</v>
      </c>
      <c r="V9797" s="22">
        <f>3.28/5</f>
        <v>0.65599999999999992</v>
      </c>
      <c r="X9797" s="3">
        <v>2</v>
      </c>
      <c r="Z9797" s="23">
        <f>39/60</f>
        <v>0.65</v>
      </c>
      <c r="AB9797" s="18">
        <f t="shared" si="306"/>
        <v>1991</v>
      </c>
      <c r="AC9797" s="22">
        <f t="shared" si="307"/>
        <v>0.52800000000000002</v>
      </c>
    </row>
    <row r="9798" spans="1:29" ht="30">
      <c r="A9798" s="8" t="s">
        <v>1688</v>
      </c>
      <c r="B9798" s="17" t="s">
        <v>7750</v>
      </c>
      <c r="C9798" s="13">
        <v>33600</v>
      </c>
      <c r="D9798" s="13" t="s">
        <v>8465</v>
      </c>
      <c r="E9798" s="10" t="s">
        <v>455</v>
      </c>
      <c r="F9798" s="10" t="s">
        <v>1944</v>
      </c>
      <c r="G9798" s="11" t="s">
        <v>1688</v>
      </c>
      <c r="H9798" s="2" t="s">
        <v>64</v>
      </c>
      <c r="L9798" s="18">
        <v>0</v>
      </c>
      <c r="Q9798" s="18">
        <v>0</v>
      </c>
      <c r="V9798" s="22">
        <f>3.87/5</f>
        <v>0.77400000000000002</v>
      </c>
      <c r="X9798" s="3">
        <v>2</v>
      </c>
      <c r="Z9798" s="23">
        <v>2</v>
      </c>
      <c r="AB9798" s="18">
        <f t="shared" si="306"/>
        <v>1991</v>
      </c>
      <c r="AC9798" s="22">
        <f t="shared" si="307"/>
        <v>0.58699999999999997</v>
      </c>
    </row>
    <row r="9799" spans="1:29" ht="25.5">
      <c r="A9799" s="8" t="s">
        <v>2775</v>
      </c>
      <c r="B9799" s="17" t="s">
        <v>7756</v>
      </c>
      <c r="C9799" s="13">
        <v>33599</v>
      </c>
      <c r="D9799" s="13" t="s">
        <v>8463</v>
      </c>
      <c r="E9799" s="10" t="s">
        <v>2801</v>
      </c>
      <c r="F9799" s="10" t="s">
        <v>2801</v>
      </c>
      <c r="G9799" s="11" t="s">
        <v>2802</v>
      </c>
      <c r="H9799" s="2" t="s">
        <v>80</v>
      </c>
      <c r="K9799" s="18">
        <v>0</v>
      </c>
      <c r="L9799" s="18">
        <v>0</v>
      </c>
      <c r="Q9799" s="18">
        <v>0</v>
      </c>
      <c r="V9799" s="22">
        <f>3/5</f>
        <v>0.6</v>
      </c>
      <c r="X9799" s="3">
        <v>3</v>
      </c>
      <c r="Z9799" s="23">
        <v>2</v>
      </c>
      <c r="AB9799" s="18">
        <f t="shared" si="306"/>
        <v>1991</v>
      </c>
      <c r="AC9799" s="22">
        <f t="shared" si="307"/>
        <v>0.6</v>
      </c>
    </row>
    <row r="9800" spans="1:29" ht="25.5">
      <c r="A9800" s="8" t="s">
        <v>1799</v>
      </c>
      <c r="B9800" s="17" t="s">
        <v>7745</v>
      </c>
      <c r="C9800" s="13">
        <v>33597</v>
      </c>
      <c r="D9800" s="13" t="s">
        <v>8463</v>
      </c>
      <c r="E9800" s="10" t="s">
        <v>72</v>
      </c>
      <c r="F9800" s="10" t="s">
        <v>72</v>
      </c>
      <c r="G9800" s="11" t="s">
        <v>1242</v>
      </c>
      <c r="H9800" s="2" t="s">
        <v>64</v>
      </c>
      <c r="K9800" s="18">
        <v>0</v>
      </c>
      <c r="L9800" s="18">
        <v>0</v>
      </c>
      <c r="Q9800" s="18">
        <v>0</v>
      </c>
      <c r="V9800" s="22">
        <f>3.9/5</f>
        <v>0.78</v>
      </c>
      <c r="X9800" s="3">
        <v>2</v>
      </c>
      <c r="Z9800" s="23">
        <v>3.5</v>
      </c>
      <c r="AB9800" s="18">
        <f t="shared" si="306"/>
        <v>1991</v>
      </c>
      <c r="AC9800" s="22">
        <f t="shared" si="307"/>
        <v>0.59000000000000008</v>
      </c>
    </row>
    <row r="9801" spans="1:29" ht="38.25">
      <c r="A9801" s="8" t="s">
        <v>14288</v>
      </c>
      <c r="B9801" s="17" t="s">
        <v>7734</v>
      </c>
      <c r="C9801" s="13">
        <v>33593</v>
      </c>
      <c r="D9801" s="13" t="s">
        <v>8463</v>
      </c>
      <c r="E9801" s="10" t="s">
        <v>1400</v>
      </c>
      <c r="F9801" s="10" t="s">
        <v>58</v>
      </c>
      <c r="G9801" s="11" t="s">
        <v>1395</v>
      </c>
      <c r="H9801" s="2" t="s">
        <v>75</v>
      </c>
      <c r="K9801" s="18">
        <v>2</v>
      </c>
      <c r="L9801" s="18">
        <v>0</v>
      </c>
      <c r="Q9801" s="18">
        <v>0</v>
      </c>
      <c r="V9801" s="22">
        <f>3.61/5</f>
        <v>0.72199999999999998</v>
      </c>
      <c r="X9801" s="3">
        <v>2</v>
      </c>
      <c r="AB9801" s="18">
        <f t="shared" si="306"/>
        <v>1991</v>
      </c>
      <c r="AC9801" s="22">
        <f t="shared" si="307"/>
        <v>0.56099999999999994</v>
      </c>
    </row>
    <row r="9802" spans="1:29">
      <c r="A9802" s="8" t="s">
        <v>2547</v>
      </c>
      <c r="B9802" s="17" t="s">
        <v>7751</v>
      </c>
      <c r="C9802" s="13">
        <v>33592</v>
      </c>
      <c r="D9802" s="13" t="s">
        <v>8463</v>
      </c>
      <c r="E9802" s="10" t="s">
        <v>2649</v>
      </c>
      <c r="F9802" s="10" t="s">
        <v>1427</v>
      </c>
      <c r="H9802" s="2" t="s">
        <v>21</v>
      </c>
      <c r="K9802" s="18">
        <v>2</v>
      </c>
      <c r="L9802" s="18">
        <v>0</v>
      </c>
      <c r="Q9802" s="18">
        <v>0</v>
      </c>
      <c r="V9802" s="22">
        <f>3.41/5</f>
        <v>0.68200000000000005</v>
      </c>
      <c r="X9802" s="3">
        <v>3</v>
      </c>
      <c r="Z9802" s="23">
        <v>1</v>
      </c>
      <c r="AB9802" s="18">
        <f t="shared" si="306"/>
        <v>1991</v>
      </c>
      <c r="AC9802" s="22">
        <f t="shared" si="307"/>
        <v>0.64100000000000001</v>
      </c>
    </row>
    <row r="9803" spans="1:29" ht="25.5">
      <c r="A9803" s="8" t="s">
        <v>511</v>
      </c>
      <c r="B9803" s="17" t="s">
        <v>7731</v>
      </c>
      <c r="C9803" s="13">
        <v>33592</v>
      </c>
      <c r="D9803" s="13" t="s">
        <v>8465</v>
      </c>
      <c r="E9803" s="10" t="s">
        <v>170</v>
      </c>
      <c r="F9803" s="10" t="s">
        <v>170</v>
      </c>
      <c r="G9803" s="11" t="s">
        <v>563</v>
      </c>
      <c r="H9803" s="2" t="s">
        <v>459</v>
      </c>
      <c r="L9803" s="18">
        <v>0</v>
      </c>
      <c r="Q9803" s="18">
        <v>0</v>
      </c>
      <c r="V9803" s="22">
        <f>3.42/5</f>
        <v>0.68399999999999994</v>
      </c>
      <c r="X9803" s="3">
        <v>2</v>
      </c>
      <c r="Z9803" s="23">
        <v>1</v>
      </c>
      <c r="AB9803" s="18">
        <f t="shared" si="306"/>
        <v>1991</v>
      </c>
      <c r="AC9803" s="22">
        <f t="shared" si="307"/>
        <v>0.54200000000000004</v>
      </c>
    </row>
    <row r="9804" spans="1:29" ht="25.5">
      <c r="A9804" s="8" t="s">
        <v>15894</v>
      </c>
      <c r="B9804" s="17" t="s">
        <v>7734</v>
      </c>
      <c r="C9804" s="13">
        <v>33592</v>
      </c>
      <c r="D9804" s="13" t="s">
        <v>8465</v>
      </c>
      <c r="E9804" s="10" t="s">
        <v>160</v>
      </c>
      <c r="F9804" s="10" t="s">
        <v>160</v>
      </c>
      <c r="G9804" s="11" t="s">
        <v>207</v>
      </c>
      <c r="H9804" s="2" t="s">
        <v>56</v>
      </c>
      <c r="L9804" s="18">
        <v>0</v>
      </c>
      <c r="Q9804" s="18">
        <v>0</v>
      </c>
      <c r="V9804" s="22">
        <f>3.45/5</f>
        <v>0.69000000000000006</v>
      </c>
      <c r="X9804" s="3">
        <v>3</v>
      </c>
      <c r="Z9804" s="23">
        <v>1</v>
      </c>
      <c r="AB9804" s="18">
        <f t="shared" si="306"/>
        <v>1991</v>
      </c>
      <c r="AC9804" s="22">
        <f t="shared" si="307"/>
        <v>0.64500000000000002</v>
      </c>
    </row>
    <row r="9805" spans="1:29" ht="25.5">
      <c r="A9805" s="8" t="s">
        <v>15174</v>
      </c>
      <c r="B9805" s="17" t="s">
        <v>7751</v>
      </c>
      <c r="C9805" s="13">
        <v>33591</v>
      </c>
      <c r="D9805" s="13" t="s">
        <v>8465</v>
      </c>
      <c r="E9805" s="10" t="s">
        <v>455</v>
      </c>
      <c r="F9805" s="10" t="s">
        <v>455</v>
      </c>
      <c r="G9805" s="11" t="s">
        <v>1286</v>
      </c>
      <c r="H9805" s="2" t="s">
        <v>151</v>
      </c>
      <c r="L9805" s="18">
        <v>0</v>
      </c>
      <c r="Q9805" s="18">
        <v>0</v>
      </c>
      <c r="V9805" s="22">
        <f>3.93/5</f>
        <v>0.78600000000000003</v>
      </c>
      <c r="X9805" s="3">
        <v>3</v>
      </c>
      <c r="Z9805" s="23">
        <v>3</v>
      </c>
      <c r="AB9805" s="18">
        <f t="shared" si="306"/>
        <v>1991</v>
      </c>
      <c r="AC9805" s="22">
        <f t="shared" si="307"/>
        <v>0.69300000000000006</v>
      </c>
    </row>
    <row r="9806" spans="1:29" ht="38.25">
      <c r="A9806" s="8" t="s">
        <v>6759</v>
      </c>
      <c r="B9806" s="17" t="s">
        <v>7800</v>
      </c>
      <c r="C9806" s="13">
        <v>33587</v>
      </c>
      <c r="D9806" s="13" t="s">
        <v>8465</v>
      </c>
      <c r="E9806" s="10" t="s">
        <v>3304</v>
      </c>
      <c r="F9806" s="10" t="s">
        <v>1889</v>
      </c>
      <c r="G9806" s="11" t="s">
        <v>6889</v>
      </c>
      <c r="H9806" s="2" t="s">
        <v>64</v>
      </c>
      <c r="L9806" s="18">
        <v>0</v>
      </c>
      <c r="Q9806" s="18">
        <v>0</v>
      </c>
      <c r="X9806" s="3">
        <v>3</v>
      </c>
      <c r="Z9806" s="23">
        <v>2.5</v>
      </c>
      <c r="AB9806" s="18">
        <f t="shared" si="306"/>
        <v>1991</v>
      </c>
      <c r="AC9806" s="22">
        <f t="shared" si="307"/>
        <v>0.6</v>
      </c>
    </row>
    <row r="9807" spans="1:29" ht="38.25">
      <c r="A9807" s="8" t="s">
        <v>6760</v>
      </c>
      <c r="B9807" s="17" t="s">
        <v>7800</v>
      </c>
      <c r="C9807" s="13">
        <v>33587</v>
      </c>
      <c r="D9807" s="13" t="s">
        <v>8465</v>
      </c>
      <c r="E9807" s="10" t="s">
        <v>3304</v>
      </c>
      <c r="F9807" s="10" t="s">
        <v>1889</v>
      </c>
      <c r="G9807" s="11" t="s">
        <v>6889</v>
      </c>
      <c r="H9807" s="2" t="s">
        <v>64</v>
      </c>
      <c r="L9807" s="18">
        <v>0</v>
      </c>
      <c r="Q9807" s="18">
        <v>0</v>
      </c>
      <c r="X9807" s="3">
        <v>3</v>
      </c>
      <c r="Z9807" s="23">
        <v>2</v>
      </c>
      <c r="AB9807" s="18">
        <f t="shared" si="306"/>
        <v>1991</v>
      </c>
      <c r="AC9807" s="22">
        <f t="shared" si="307"/>
        <v>0.6</v>
      </c>
    </row>
    <row r="9808" spans="1:29" ht="25.5">
      <c r="A9808" s="8" t="s">
        <v>2850</v>
      </c>
      <c r="B9808" s="17" t="s">
        <v>7789</v>
      </c>
      <c r="C9808" s="13">
        <v>33585</v>
      </c>
      <c r="D9808" s="13" t="s">
        <v>8463</v>
      </c>
      <c r="E9808" s="10" t="s">
        <v>1456</v>
      </c>
      <c r="F9808" s="10" t="s">
        <v>1456</v>
      </c>
      <c r="H9808" s="2" t="s">
        <v>143</v>
      </c>
      <c r="K9808" s="18">
        <v>0</v>
      </c>
      <c r="L9808" s="18">
        <v>0</v>
      </c>
      <c r="Q9808" s="18">
        <v>0</v>
      </c>
      <c r="V9808" s="22">
        <f>4/5</f>
        <v>0.8</v>
      </c>
      <c r="X9808" s="3">
        <v>2</v>
      </c>
      <c r="AB9808" s="18">
        <f t="shared" si="306"/>
        <v>1991</v>
      </c>
      <c r="AC9808" s="22">
        <f t="shared" si="307"/>
        <v>0.60000000000000009</v>
      </c>
    </row>
    <row r="9809" spans="1:29" ht="25.5">
      <c r="A9809" s="8" t="s">
        <v>8918</v>
      </c>
      <c r="B9809" s="17" t="s">
        <v>7734</v>
      </c>
      <c r="C9809" s="13">
        <v>33584</v>
      </c>
      <c r="D9809" s="13" t="s">
        <v>8463</v>
      </c>
      <c r="E9809" s="10" t="s">
        <v>470</v>
      </c>
      <c r="F9809" s="10" t="s">
        <v>471</v>
      </c>
      <c r="G9809" s="11" t="s">
        <v>299</v>
      </c>
      <c r="H9809" s="2" t="s">
        <v>75</v>
      </c>
      <c r="K9809" s="18">
        <v>2</v>
      </c>
      <c r="L9809" s="18">
        <v>0</v>
      </c>
      <c r="Q9809" s="18">
        <v>0</v>
      </c>
      <c r="V9809" s="22">
        <f>3.8/5</f>
        <v>0.76</v>
      </c>
      <c r="X9809" s="3">
        <v>3</v>
      </c>
      <c r="AB9809" s="18">
        <f t="shared" si="306"/>
        <v>1991</v>
      </c>
      <c r="AC9809" s="22">
        <f t="shared" si="307"/>
        <v>0.67999999999999994</v>
      </c>
    </row>
    <row r="9810" spans="1:29">
      <c r="A9810" s="8" t="s">
        <v>195</v>
      </c>
      <c r="B9810" s="17" t="s">
        <v>7734</v>
      </c>
      <c r="C9810" s="12">
        <v>33573</v>
      </c>
      <c r="D9810" s="13" t="s">
        <v>8465</v>
      </c>
      <c r="E9810" s="10" t="s">
        <v>70</v>
      </c>
      <c r="F9810" s="10" t="s">
        <v>66</v>
      </c>
      <c r="H9810" s="2" t="s">
        <v>153</v>
      </c>
      <c r="L9810" s="18">
        <v>0</v>
      </c>
      <c r="Q9810" s="18">
        <v>0</v>
      </c>
      <c r="V9810" s="22">
        <f>4.06/5</f>
        <v>0.81199999999999994</v>
      </c>
      <c r="X9810" s="3">
        <v>3</v>
      </c>
      <c r="Z9810" s="23">
        <v>1.5</v>
      </c>
      <c r="AB9810" s="18">
        <f t="shared" si="306"/>
        <v>1991</v>
      </c>
      <c r="AC9810" s="22">
        <f t="shared" si="307"/>
        <v>0.70599999999999996</v>
      </c>
    </row>
    <row r="9811" spans="1:29">
      <c r="A9811" s="8" t="s">
        <v>203</v>
      </c>
      <c r="B9811" s="17" t="s">
        <v>7734</v>
      </c>
      <c r="C9811" s="12">
        <v>33573</v>
      </c>
      <c r="D9811" s="13" t="s">
        <v>8465</v>
      </c>
      <c r="E9811" s="10" t="s">
        <v>72</v>
      </c>
      <c r="F9811" s="10" t="s">
        <v>72</v>
      </c>
      <c r="G9811" s="11" t="s">
        <v>203</v>
      </c>
      <c r="H9811" s="2" t="s">
        <v>64</v>
      </c>
      <c r="L9811" s="18">
        <v>0</v>
      </c>
      <c r="Q9811" s="18">
        <v>0</v>
      </c>
      <c r="V9811" s="22">
        <f>3.63/5</f>
        <v>0.72599999999999998</v>
      </c>
      <c r="X9811" s="3">
        <v>3</v>
      </c>
      <c r="Z9811" s="23">
        <v>1</v>
      </c>
      <c r="AB9811" s="18">
        <f t="shared" si="306"/>
        <v>1991</v>
      </c>
      <c r="AC9811" s="22">
        <f t="shared" si="307"/>
        <v>0.66300000000000003</v>
      </c>
    </row>
    <row r="9812" spans="1:29">
      <c r="A9812" s="8" t="s">
        <v>11948</v>
      </c>
      <c r="B9812" s="17" t="s">
        <v>7734</v>
      </c>
      <c r="C9812" s="13">
        <v>33573</v>
      </c>
      <c r="D9812" s="13" t="s">
        <v>8465</v>
      </c>
      <c r="E9812" s="10" t="s">
        <v>73</v>
      </c>
      <c r="F9812" s="10" t="s">
        <v>73</v>
      </c>
      <c r="G9812" s="11" t="s">
        <v>11948</v>
      </c>
      <c r="H9812" s="2" t="s">
        <v>21</v>
      </c>
      <c r="L9812" s="18">
        <v>0</v>
      </c>
      <c r="Q9812" s="18">
        <v>0</v>
      </c>
      <c r="V9812" s="22">
        <f>3.32/5</f>
        <v>0.66399999999999992</v>
      </c>
      <c r="X9812" s="3">
        <v>3</v>
      </c>
      <c r="Z9812" s="23">
        <v>1</v>
      </c>
      <c r="AB9812" s="18">
        <f t="shared" si="306"/>
        <v>1991</v>
      </c>
      <c r="AC9812" s="22">
        <f t="shared" si="307"/>
        <v>0.6319999999999999</v>
      </c>
    </row>
    <row r="9813" spans="1:29">
      <c r="A9813" s="8" t="s">
        <v>8809</v>
      </c>
      <c r="B9813" s="17" t="s">
        <v>7736</v>
      </c>
      <c r="C9813" s="12">
        <v>33573</v>
      </c>
      <c r="D9813" s="13" t="s">
        <v>8465</v>
      </c>
      <c r="E9813" s="10" t="s">
        <v>59</v>
      </c>
      <c r="F9813" s="10" t="s">
        <v>59</v>
      </c>
      <c r="H9813" s="2" t="s">
        <v>171</v>
      </c>
      <c r="L9813" s="18">
        <v>0</v>
      </c>
      <c r="Q9813" s="18">
        <v>0</v>
      </c>
      <c r="V9813" s="22">
        <f>3.08/5</f>
        <v>0.61599999999999999</v>
      </c>
      <c r="X9813" s="3">
        <v>3</v>
      </c>
      <c r="Z9813" s="23">
        <v>8.5</v>
      </c>
      <c r="AB9813" s="18">
        <f t="shared" si="306"/>
        <v>1991</v>
      </c>
      <c r="AC9813" s="22">
        <f t="shared" si="307"/>
        <v>0.60799999999999998</v>
      </c>
    </row>
    <row r="9814" spans="1:29">
      <c r="A9814" s="8" t="s">
        <v>2849</v>
      </c>
      <c r="B9814" s="17" t="s">
        <v>7789</v>
      </c>
      <c r="C9814" s="13">
        <v>33571</v>
      </c>
      <c r="D9814" s="13" t="s">
        <v>8463</v>
      </c>
      <c r="E9814" s="10" t="s">
        <v>1247</v>
      </c>
      <c r="F9814" s="10" t="s">
        <v>1247</v>
      </c>
      <c r="H9814" s="2" t="s">
        <v>21</v>
      </c>
      <c r="K9814" s="18">
        <v>0</v>
      </c>
      <c r="L9814" s="18">
        <v>0</v>
      </c>
      <c r="Q9814" s="18">
        <v>0</v>
      </c>
      <c r="V9814" s="22">
        <f>3.46/5</f>
        <v>0.69199999999999995</v>
      </c>
      <c r="X9814" s="3">
        <v>3</v>
      </c>
      <c r="Z9814" s="23">
        <v>0.87</v>
      </c>
      <c r="AB9814" s="18">
        <f t="shared" si="306"/>
        <v>1991</v>
      </c>
      <c r="AC9814" s="22">
        <f t="shared" si="307"/>
        <v>0.64599999999999991</v>
      </c>
    </row>
    <row r="9815" spans="1:29">
      <c r="A9815" s="8" t="s">
        <v>684</v>
      </c>
      <c r="B9815" s="17" t="s">
        <v>7736</v>
      </c>
      <c r="C9815" s="13">
        <v>33570</v>
      </c>
      <c r="D9815" s="13" t="s">
        <v>8465</v>
      </c>
      <c r="E9815" s="10" t="s">
        <v>73</v>
      </c>
      <c r="F9815" s="10" t="s">
        <v>73</v>
      </c>
      <c r="G9815" s="11" t="s">
        <v>79</v>
      </c>
      <c r="H9815" s="2" t="s">
        <v>56</v>
      </c>
      <c r="L9815" s="18">
        <v>0</v>
      </c>
      <c r="Q9815" s="18">
        <v>0</v>
      </c>
      <c r="U9815" s="22">
        <v>0.81</v>
      </c>
      <c r="V9815" s="22">
        <f>3.7/5</f>
        <v>0.74</v>
      </c>
      <c r="X9815" s="3">
        <v>3</v>
      </c>
      <c r="Z9815" s="23">
        <v>6</v>
      </c>
      <c r="AB9815" s="18">
        <f t="shared" si="306"/>
        <v>1991</v>
      </c>
      <c r="AC9815" s="22">
        <f t="shared" si="307"/>
        <v>0.71666666666666667</v>
      </c>
    </row>
    <row r="9816" spans="1:29">
      <c r="A9816" s="8" t="s">
        <v>432</v>
      </c>
      <c r="B9816" s="17" t="s">
        <v>6317</v>
      </c>
      <c r="C9816" s="13">
        <v>33569</v>
      </c>
      <c r="D9816" s="13" t="s">
        <v>8465</v>
      </c>
      <c r="E9816" s="10" t="s">
        <v>73</v>
      </c>
      <c r="F9816" s="10" t="s">
        <v>73</v>
      </c>
      <c r="G9816" s="11" t="s">
        <v>432</v>
      </c>
      <c r="H9816" s="2" t="s">
        <v>153</v>
      </c>
      <c r="L9816" s="18">
        <v>0</v>
      </c>
      <c r="Q9816" s="18">
        <v>0</v>
      </c>
      <c r="V9816" s="22">
        <f>3.72/5</f>
        <v>0.74399999999999999</v>
      </c>
      <c r="X9816" s="3">
        <v>3</v>
      </c>
      <c r="Z9816" s="23">
        <v>1</v>
      </c>
      <c r="AB9816" s="18">
        <f t="shared" si="306"/>
        <v>1991</v>
      </c>
      <c r="AC9816" s="22">
        <f t="shared" si="307"/>
        <v>0.67199999999999993</v>
      </c>
    </row>
    <row r="9817" spans="1:29">
      <c r="A9817" s="8" t="s">
        <v>33</v>
      </c>
      <c r="B9817" s="17" t="s">
        <v>7734</v>
      </c>
      <c r="C9817" s="13">
        <v>33563</v>
      </c>
      <c r="D9817" s="13" t="s">
        <v>8465</v>
      </c>
      <c r="E9817" s="10" t="s">
        <v>30</v>
      </c>
      <c r="F9817" s="10" t="s">
        <v>30</v>
      </c>
      <c r="G9817" s="11" t="s">
        <v>53</v>
      </c>
      <c r="H9817" s="2" t="s">
        <v>31</v>
      </c>
      <c r="L9817" s="18">
        <v>0</v>
      </c>
      <c r="Q9817" s="18">
        <v>0</v>
      </c>
      <c r="V9817" s="22">
        <f>3.79/5</f>
        <v>0.75800000000000001</v>
      </c>
      <c r="X9817" s="3">
        <v>2</v>
      </c>
      <c r="Z9817" s="23">
        <v>12.5</v>
      </c>
      <c r="AB9817" s="18">
        <f t="shared" si="306"/>
        <v>1991</v>
      </c>
      <c r="AC9817" s="22">
        <f t="shared" si="307"/>
        <v>0.57899999999999996</v>
      </c>
    </row>
    <row r="9818" spans="1:29" ht="25.5">
      <c r="A9818" s="8" t="s">
        <v>269</v>
      </c>
      <c r="B9818" s="17" t="s">
        <v>7734</v>
      </c>
      <c r="C9818" s="13">
        <v>33557</v>
      </c>
      <c r="D9818" s="13" t="s">
        <v>8463</v>
      </c>
      <c r="E9818" s="10" t="s">
        <v>76</v>
      </c>
      <c r="F9818" s="10" t="s">
        <v>76</v>
      </c>
      <c r="H9818" s="2" t="s">
        <v>171</v>
      </c>
      <c r="K9818" s="18">
        <v>2</v>
      </c>
      <c r="L9818" s="18">
        <v>0</v>
      </c>
      <c r="Q9818" s="18">
        <v>0</v>
      </c>
      <c r="V9818" s="22">
        <f>3.92/5</f>
        <v>0.78400000000000003</v>
      </c>
      <c r="X9818" s="3">
        <v>3</v>
      </c>
      <c r="AB9818" s="18">
        <f t="shared" si="306"/>
        <v>1991</v>
      </c>
      <c r="AC9818" s="22">
        <f t="shared" si="307"/>
        <v>0.69199999999999995</v>
      </c>
    </row>
    <row r="9819" spans="1:29">
      <c r="A9819" s="8" t="s">
        <v>204</v>
      </c>
      <c r="B9819" s="17" t="s">
        <v>7734</v>
      </c>
      <c r="C9819" s="13">
        <v>33557</v>
      </c>
      <c r="D9819" s="13" t="s">
        <v>8465</v>
      </c>
      <c r="E9819" s="10" t="s">
        <v>252</v>
      </c>
      <c r="F9819" s="10" t="s">
        <v>71</v>
      </c>
      <c r="H9819" s="2" t="s">
        <v>147</v>
      </c>
      <c r="L9819" s="18">
        <v>0</v>
      </c>
      <c r="Q9819" s="18">
        <v>0</v>
      </c>
      <c r="V9819" s="22">
        <f>3.9/5</f>
        <v>0.78</v>
      </c>
      <c r="X9819" s="3">
        <v>2</v>
      </c>
      <c r="Z9819" s="23">
        <v>2</v>
      </c>
      <c r="AB9819" s="18">
        <f t="shared" si="306"/>
        <v>1991</v>
      </c>
      <c r="AC9819" s="22">
        <f t="shared" si="307"/>
        <v>0.59000000000000008</v>
      </c>
    </row>
    <row r="9820" spans="1:29">
      <c r="A9820" s="8" t="s">
        <v>225</v>
      </c>
      <c r="B9820" s="17" t="s">
        <v>7736</v>
      </c>
      <c r="C9820" s="13">
        <v>33552</v>
      </c>
      <c r="D9820" s="13" t="s">
        <v>8465</v>
      </c>
      <c r="E9820" s="10" t="s">
        <v>73</v>
      </c>
      <c r="F9820" s="10" t="s">
        <v>73</v>
      </c>
      <c r="G9820" s="11" t="s">
        <v>225</v>
      </c>
      <c r="H9820" s="2" t="s">
        <v>153</v>
      </c>
      <c r="L9820" s="18">
        <v>0</v>
      </c>
      <c r="Q9820" s="18">
        <v>0</v>
      </c>
      <c r="U9820" s="22">
        <v>0.71</v>
      </c>
      <c r="V9820" s="22">
        <f>3.42/5</f>
        <v>0.68399999999999994</v>
      </c>
      <c r="X9820" s="3">
        <v>4</v>
      </c>
      <c r="Z9820" s="23">
        <v>1</v>
      </c>
      <c r="AB9820" s="18">
        <f t="shared" si="306"/>
        <v>1991</v>
      </c>
      <c r="AC9820" s="22">
        <f t="shared" si="307"/>
        <v>0.73133333333333328</v>
      </c>
    </row>
    <row r="9821" spans="1:29">
      <c r="A9821" s="8" t="s">
        <v>1813</v>
      </c>
      <c r="B9821" s="17" t="s">
        <v>7745</v>
      </c>
      <c r="C9821" s="12">
        <v>33543</v>
      </c>
      <c r="D9821" s="13" t="s">
        <v>8465</v>
      </c>
      <c r="E9821" s="10" t="s">
        <v>161</v>
      </c>
      <c r="F9821" s="10" t="s">
        <v>161</v>
      </c>
      <c r="G9821" s="11" t="s">
        <v>126</v>
      </c>
      <c r="H9821" s="2" t="s">
        <v>149</v>
      </c>
      <c r="L9821" s="18">
        <v>0</v>
      </c>
      <c r="Q9821" s="18">
        <v>0</v>
      </c>
      <c r="U9821" s="22">
        <v>0.9</v>
      </c>
      <c r="V9821" s="22">
        <f>3.69/5</f>
        <v>0.73799999999999999</v>
      </c>
      <c r="X9821" s="3">
        <v>3</v>
      </c>
      <c r="Z9821" s="23">
        <v>15</v>
      </c>
      <c r="AB9821" s="18">
        <f t="shared" si="306"/>
        <v>1991</v>
      </c>
      <c r="AC9821" s="22">
        <f t="shared" si="307"/>
        <v>0.746</v>
      </c>
    </row>
    <row r="9822" spans="1:29" ht="25.5">
      <c r="A9822" s="8" t="s">
        <v>1812</v>
      </c>
      <c r="B9822" s="17" t="s">
        <v>7745</v>
      </c>
      <c r="C9822" s="12">
        <v>33543</v>
      </c>
      <c r="D9822" s="13" t="s">
        <v>8465</v>
      </c>
      <c r="E9822" s="10" t="s">
        <v>160</v>
      </c>
      <c r="F9822" s="10" t="s">
        <v>161</v>
      </c>
      <c r="G9822" s="11" t="s">
        <v>126</v>
      </c>
      <c r="H9822" s="2" t="s">
        <v>171</v>
      </c>
      <c r="L9822" s="18">
        <v>0</v>
      </c>
      <c r="Q9822" s="18">
        <v>0</v>
      </c>
      <c r="U9822" s="22">
        <v>0.79</v>
      </c>
      <c r="V9822" s="22">
        <f>3.87/5</f>
        <v>0.77400000000000002</v>
      </c>
      <c r="X9822" s="3">
        <v>3</v>
      </c>
      <c r="Z9822" s="23">
        <v>9.5</v>
      </c>
      <c r="AB9822" s="18">
        <f t="shared" si="306"/>
        <v>1991</v>
      </c>
      <c r="AC9822" s="22">
        <f t="shared" si="307"/>
        <v>0.72133333333333338</v>
      </c>
    </row>
    <row r="9823" spans="1:29">
      <c r="A9823" s="8" t="s">
        <v>127</v>
      </c>
      <c r="B9823" s="17" t="s">
        <v>7745</v>
      </c>
      <c r="C9823" s="12">
        <v>33543</v>
      </c>
      <c r="D9823" s="13" t="s">
        <v>8465</v>
      </c>
      <c r="E9823" s="10" t="s">
        <v>152</v>
      </c>
      <c r="F9823" s="10" t="s">
        <v>163</v>
      </c>
      <c r="G9823" s="11" t="s">
        <v>127</v>
      </c>
      <c r="H9823" s="2" t="s">
        <v>153</v>
      </c>
      <c r="L9823" s="18">
        <v>0</v>
      </c>
      <c r="Q9823" s="18">
        <v>0</v>
      </c>
      <c r="U9823" s="22">
        <v>0.78</v>
      </c>
      <c r="V9823" s="22">
        <f>3.15/5</f>
        <v>0.63</v>
      </c>
      <c r="X9823" s="3">
        <v>2</v>
      </c>
      <c r="Z9823" s="23">
        <v>4</v>
      </c>
      <c r="AB9823" s="18">
        <f t="shared" si="306"/>
        <v>1991</v>
      </c>
      <c r="AC9823" s="22">
        <f t="shared" si="307"/>
        <v>0.60333333333333339</v>
      </c>
    </row>
    <row r="9824" spans="1:29">
      <c r="A9824" s="8" t="s">
        <v>271</v>
      </c>
      <c r="B9824" s="17" t="s">
        <v>7734</v>
      </c>
      <c r="C9824" s="13">
        <v>33536</v>
      </c>
      <c r="D9824" s="13" t="s">
        <v>8463</v>
      </c>
      <c r="E9824" s="10" t="s">
        <v>66</v>
      </c>
      <c r="F9824" s="10" t="s">
        <v>66</v>
      </c>
      <c r="H9824" s="2" t="s">
        <v>75</v>
      </c>
      <c r="K9824" s="18">
        <v>2</v>
      </c>
      <c r="L9824" s="18">
        <v>0</v>
      </c>
      <c r="Q9824" s="18">
        <v>0</v>
      </c>
      <c r="V9824" s="22">
        <f>3.49/5</f>
        <v>0.69800000000000006</v>
      </c>
      <c r="X9824" s="3">
        <v>3</v>
      </c>
      <c r="AB9824" s="18">
        <f t="shared" si="306"/>
        <v>1991</v>
      </c>
      <c r="AC9824" s="22">
        <f t="shared" si="307"/>
        <v>0.64900000000000002</v>
      </c>
    </row>
    <row r="9825" spans="1:29">
      <c r="A9825" s="8" t="s">
        <v>1211</v>
      </c>
      <c r="B9825" s="17" t="s">
        <v>7788</v>
      </c>
      <c r="C9825" s="13">
        <v>33536</v>
      </c>
      <c r="D9825" s="13" t="s">
        <v>8463</v>
      </c>
      <c r="E9825" s="10" t="s">
        <v>167</v>
      </c>
      <c r="F9825" s="10" t="s">
        <v>167</v>
      </c>
      <c r="G9825" s="11" t="s">
        <v>1211</v>
      </c>
      <c r="H9825" s="2" t="s">
        <v>78</v>
      </c>
      <c r="K9825" s="18">
        <v>2</v>
      </c>
      <c r="L9825" s="18">
        <v>0</v>
      </c>
      <c r="Q9825" s="18">
        <v>0</v>
      </c>
      <c r="V9825" s="22">
        <f>4.08/5</f>
        <v>0.81600000000000006</v>
      </c>
      <c r="X9825" s="3">
        <v>2</v>
      </c>
      <c r="Z9825" s="23">
        <f>59/60</f>
        <v>0.98333333333333328</v>
      </c>
      <c r="AB9825" s="18">
        <f t="shared" si="306"/>
        <v>1991</v>
      </c>
      <c r="AC9825" s="22">
        <f t="shared" si="307"/>
        <v>0.6080000000000001</v>
      </c>
    </row>
    <row r="9826" spans="1:29">
      <c r="A9826" s="8" t="s">
        <v>286</v>
      </c>
      <c r="B9826" s="17" t="s">
        <v>7734</v>
      </c>
      <c r="C9826" s="13">
        <v>33536</v>
      </c>
      <c r="D9826" s="13" t="s">
        <v>8463</v>
      </c>
      <c r="E9826" s="10" t="s">
        <v>1235</v>
      </c>
      <c r="F9826" s="10" t="s">
        <v>1244</v>
      </c>
      <c r="H9826" s="2" t="s">
        <v>56</v>
      </c>
      <c r="K9826" s="18">
        <v>2</v>
      </c>
      <c r="L9826" s="18">
        <v>0</v>
      </c>
      <c r="Q9826" s="18">
        <v>0</v>
      </c>
      <c r="V9826" s="22">
        <f>3.59/5</f>
        <v>0.71799999999999997</v>
      </c>
      <c r="X9826" s="3">
        <v>2</v>
      </c>
      <c r="Z9826" s="23">
        <v>3.5</v>
      </c>
      <c r="AB9826" s="18">
        <f t="shared" si="306"/>
        <v>1991</v>
      </c>
      <c r="AC9826" s="22">
        <f t="shared" si="307"/>
        <v>0.55899999999999994</v>
      </c>
    </row>
    <row r="9827" spans="1:29">
      <c r="A9827" s="8" t="s">
        <v>11745</v>
      </c>
      <c r="B9827" s="17" t="s">
        <v>7745</v>
      </c>
      <c r="C9827" s="13">
        <v>33529</v>
      </c>
      <c r="D9827" s="13" t="s">
        <v>8463</v>
      </c>
      <c r="E9827" s="10" t="s">
        <v>250</v>
      </c>
      <c r="F9827" s="10" t="s">
        <v>11746</v>
      </c>
      <c r="G9827" s="11" t="s">
        <v>11745</v>
      </c>
      <c r="H9827" s="2" t="s">
        <v>149</v>
      </c>
      <c r="K9827" s="18">
        <v>0</v>
      </c>
      <c r="L9827" s="18">
        <v>0</v>
      </c>
      <c r="Q9827" s="18">
        <v>0</v>
      </c>
      <c r="V9827" s="22">
        <f>3.71/5</f>
        <v>0.74199999999999999</v>
      </c>
      <c r="X9827" s="3">
        <v>2</v>
      </c>
      <c r="AB9827" s="18">
        <f t="shared" si="306"/>
        <v>1991</v>
      </c>
      <c r="AC9827" s="22">
        <f t="shared" si="307"/>
        <v>0.57099999999999995</v>
      </c>
    </row>
    <row r="9828" spans="1:29">
      <c r="A9828" s="8" t="s">
        <v>1704</v>
      </c>
      <c r="B9828" s="17" t="s">
        <v>7751</v>
      </c>
      <c r="C9828" s="12">
        <v>33512</v>
      </c>
      <c r="D9828" s="13" t="s">
        <v>8465</v>
      </c>
      <c r="E9828" s="10" t="s">
        <v>455</v>
      </c>
      <c r="F9828" s="10" t="s">
        <v>2670</v>
      </c>
      <c r="G9828" s="11" t="s">
        <v>1704</v>
      </c>
      <c r="H9828" s="2" t="s">
        <v>143</v>
      </c>
      <c r="L9828" s="18">
        <v>0</v>
      </c>
      <c r="Q9828" s="18">
        <v>0</v>
      </c>
      <c r="U9828" s="22">
        <v>0.83</v>
      </c>
      <c r="V9828" s="22">
        <f>4.05/5</f>
        <v>0.80999999999999994</v>
      </c>
      <c r="X9828" s="3">
        <v>3</v>
      </c>
      <c r="Z9828" s="23">
        <v>4</v>
      </c>
      <c r="AB9828" s="18">
        <f t="shared" si="306"/>
        <v>1991</v>
      </c>
      <c r="AC9828" s="22">
        <f t="shared" si="307"/>
        <v>0.74666666666666659</v>
      </c>
    </row>
    <row r="9829" spans="1:29" ht="25.5">
      <c r="A9829" s="8" t="s">
        <v>12326</v>
      </c>
      <c r="B9829" s="17" t="s">
        <v>7745</v>
      </c>
      <c r="C9829" s="13">
        <v>33512</v>
      </c>
      <c r="D9829" s="13" t="s">
        <v>8463</v>
      </c>
      <c r="E9829" s="10" t="s">
        <v>9240</v>
      </c>
      <c r="F9829" s="10" t="s">
        <v>9240</v>
      </c>
      <c r="G9829" s="11" t="s">
        <v>5566</v>
      </c>
      <c r="H9829" s="2" t="s">
        <v>149</v>
      </c>
      <c r="K9829" s="18">
        <v>2</v>
      </c>
      <c r="L9829" s="18">
        <v>0</v>
      </c>
      <c r="Q9829" s="18">
        <v>0</v>
      </c>
      <c r="V9829" s="22">
        <f>3.67/5</f>
        <v>0.73399999999999999</v>
      </c>
      <c r="X9829" s="3">
        <v>3</v>
      </c>
      <c r="Z9829" s="23">
        <v>11</v>
      </c>
      <c r="AB9829" s="18">
        <f t="shared" si="306"/>
        <v>1991</v>
      </c>
      <c r="AC9829" s="22">
        <f t="shared" si="307"/>
        <v>0.66700000000000004</v>
      </c>
    </row>
    <row r="9830" spans="1:29">
      <c r="A9830" s="8" t="s">
        <v>2578</v>
      </c>
      <c r="B9830" s="17" t="s">
        <v>7751</v>
      </c>
      <c r="C9830" s="12">
        <v>33512</v>
      </c>
      <c r="D9830" s="13" t="s">
        <v>8465</v>
      </c>
      <c r="E9830" s="10" t="s">
        <v>455</v>
      </c>
      <c r="F9830" s="10" t="s">
        <v>455</v>
      </c>
      <c r="G9830" s="11" t="s">
        <v>2663</v>
      </c>
      <c r="H9830" s="2" t="s">
        <v>147</v>
      </c>
      <c r="L9830" s="18">
        <v>0</v>
      </c>
      <c r="Q9830" s="18">
        <v>0</v>
      </c>
      <c r="U9830" s="22">
        <v>0.61</v>
      </c>
      <c r="V9830" s="22">
        <f>3.72/5</f>
        <v>0.74399999999999999</v>
      </c>
      <c r="X9830" s="3">
        <v>2</v>
      </c>
      <c r="Z9830" s="23">
        <v>1.5</v>
      </c>
      <c r="AB9830" s="18">
        <f t="shared" si="306"/>
        <v>1991</v>
      </c>
      <c r="AC9830" s="22">
        <f t="shared" si="307"/>
        <v>0.58466666666666667</v>
      </c>
    </row>
    <row r="9831" spans="1:29" ht="25.5">
      <c r="A9831" s="8" t="s">
        <v>14371</v>
      </c>
      <c r="B9831" s="17" t="s">
        <v>7734</v>
      </c>
      <c r="C9831" s="13">
        <v>33510</v>
      </c>
      <c r="D9831" s="13" t="s">
        <v>8465</v>
      </c>
      <c r="E9831" s="10" t="s">
        <v>86</v>
      </c>
      <c r="F9831" s="10" t="s">
        <v>1432</v>
      </c>
      <c r="G9831" s="11" t="s">
        <v>875</v>
      </c>
      <c r="H9831" s="2" t="s">
        <v>255</v>
      </c>
      <c r="L9831" s="18">
        <v>0</v>
      </c>
      <c r="Q9831" s="18">
        <v>0</v>
      </c>
      <c r="V9831" s="22">
        <f>3.01/5</f>
        <v>0.60199999999999998</v>
      </c>
      <c r="X9831" s="3">
        <v>2</v>
      </c>
      <c r="Z9831" s="23">
        <v>2.5</v>
      </c>
      <c r="AB9831" s="18">
        <f t="shared" si="306"/>
        <v>1991</v>
      </c>
      <c r="AC9831" s="22">
        <f t="shared" si="307"/>
        <v>0.501</v>
      </c>
    </row>
    <row r="9832" spans="1:29">
      <c r="A9832" s="8" t="s">
        <v>365</v>
      </c>
      <c r="B9832" s="17" t="s">
        <v>6317</v>
      </c>
      <c r="C9832" s="13">
        <v>33509</v>
      </c>
      <c r="D9832" s="13" t="s">
        <v>8465</v>
      </c>
      <c r="E9832" s="10" t="s">
        <v>73</v>
      </c>
      <c r="F9832" s="10" t="s">
        <v>73</v>
      </c>
      <c r="H9832" s="2" t="s">
        <v>153</v>
      </c>
      <c r="L9832" s="18">
        <v>0</v>
      </c>
      <c r="Q9832" s="18">
        <v>0</v>
      </c>
      <c r="V9832" s="22">
        <f>3.8/5</f>
        <v>0.76</v>
      </c>
      <c r="X9832" s="3">
        <v>3</v>
      </c>
      <c r="Z9832" s="23">
        <v>0.75</v>
      </c>
      <c r="AB9832" s="18">
        <f t="shared" si="306"/>
        <v>1991</v>
      </c>
      <c r="AC9832" s="22">
        <f t="shared" si="307"/>
        <v>0.67999999999999994</v>
      </c>
    </row>
    <row r="9833" spans="1:29">
      <c r="A9833" s="8" t="s">
        <v>14490</v>
      </c>
      <c r="B9833" s="17" t="s">
        <v>10323</v>
      </c>
      <c r="C9833" s="13">
        <v>33503</v>
      </c>
      <c r="D9833" s="13" t="s">
        <v>8463</v>
      </c>
      <c r="E9833" s="10" t="s">
        <v>257</v>
      </c>
      <c r="F9833" s="10" t="s">
        <v>257</v>
      </c>
      <c r="G9833" s="11" t="s">
        <v>14487</v>
      </c>
      <c r="H9833" s="2" t="s">
        <v>67</v>
      </c>
      <c r="K9833" s="18">
        <v>0</v>
      </c>
      <c r="L9833" s="18">
        <v>0</v>
      </c>
      <c r="Q9833" s="18">
        <v>0</v>
      </c>
      <c r="V9833" s="22">
        <f>3.75/5</f>
        <v>0.75</v>
      </c>
      <c r="X9833" s="3">
        <v>2</v>
      </c>
      <c r="AB9833" s="18">
        <f t="shared" si="306"/>
        <v>1991</v>
      </c>
      <c r="AC9833" s="22">
        <f t="shared" si="307"/>
        <v>0.57499999999999996</v>
      </c>
    </row>
    <row r="9834" spans="1:29">
      <c r="A9834" s="8" t="s">
        <v>13569</v>
      </c>
      <c r="B9834" s="17" t="s">
        <v>7751</v>
      </c>
      <c r="C9834" s="13">
        <v>33501</v>
      </c>
      <c r="D9834" s="13" t="s">
        <v>8463</v>
      </c>
      <c r="E9834" s="10" t="s">
        <v>455</v>
      </c>
      <c r="F9834" s="10" t="s">
        <v>456</v>
      </c>
      <c r="G9834" s="11" t="s">
        <v>13569</v>
      </c>
      <c r="H9834" s="2" t="s">
        <v>171</v>
      </c>
      <c r="K9834" s="18">
        <v>2</v>
      </c>
      <c r="L9834" s="18">
        <v>0</v>
      </c>
      <c r="Q9834" s="18">
        <v>0</v>
      </c>
      <c r="V9834" s="22">
        <f>3.4/5</f>
        <v>0.67999999999999994</v>
      </c>
      <c r="X9834" s="3">
        <v>2</v>
      </c>
      <c r="AB9834" s="18">
        <f t="shared" si="306"/>
        <v>1991</v>
      </c>
      <c r="AC9834" s="22">
        <f t="shared" si="307"/>
        <v>0.54</v>
      </c>
    </row>
    <row r="9835" spans="1:29">
      <c r="A9835" s="8" t="s">
        <v>13139</v>
      </c>
      <c r="B9835" s="17" t="s">
        <v>13140</v>
      </c>
      <c r="C9835" s="13">
        <v>33493</v>
      </c>
      <c r="D9835" s="13" t="s">
        <v>8463</v>
      </c>
      <c r="E9835" s="10" t="s">
        <v>8009</v>
      </c>
      <c r="F9835" s="10" t="s">
        <v>8009</v>
      </c>
      <c r="H9835" s="2" t="s">
        <v>56</v>
      </c>
      <c r="K9835" s="18">
        <v>0</v>
      </c>
      <c r="L9835" s="18">
        <v>0</v>
      </c>
      <c r="Q9835" s="18">
        <v>0</v>
      </c>
      <c r="V9835" s="22">
        <f>3.56/5</f>
        <v>0.71199999999999997</v>
      </c>
      <c r="X9835" s="3">
        <v>2</v>
      </c>
      <c r="AB9835" s="18">
        <f t="shared" si="306"/>
        <v>1991</v>
      </c>
      <c r="AC9835" s="22">
        <f t="shared" si="307"/>
        <v>0.55600000000000005</v>
      </c>
    </row>
    <row r="9836" spans="1:29">
      <c r="A9836" s="8" t="s">
        <v>438</v>
      </c>
      <c r="B9836" s="17" t="s">
        <v>6317</v>
      </c>
      <c r="C9836" s="13">
        <v>33491</v>
      </c>
      <c r="D9836" s="13" t="s">
        <v>8465</v>
      </c>
      <c r="E9836" s="10" t="s">
        <v>73</v>
      </c>
      <c r="F9836" s="10" t="s">
        <v>73</v>
      </c>
      <c r="H9836" s="2" t="s">
        <v>153</v>
      </c>
      <c r="L9836" s="18">
        <v>0</v>
      </c>
      <c r="Q9836" s="18">
        <v>0</v>
      </c>
      <c r="V9836" s="22">
        <f>3.82/5</f>
        <v>0.76400000000000001</v>
      </c>
      <c r="X9836" s="3">
        <v>3</v>
      </c>
      <c r="Z9836" s="23">
        <v>1.5</v>
      </c>
      <c r="AB9836" s="18">
        <f t="shared" si="306"/>
        <v>1991</v>
      </c>
      <c r="AC9836" s="22">
        <f t="shared" si="307"/>
        <v>0.68199999999999994</v>
      </c>
    </row>
    <row r="9837" spans="1:29" ht="51">
      <c r="A9837" s="8" t="s">
        <v>6786</v>
      </c>
      <c r="B9837" s="17" t="s">
        <v>7800</v>
      </c>
      <c r="C9837" s="13">
        <v>33488</v>
      </c>
      <c r="D9837" s="13" t="s">
        <v>8465</v>
      </c>
      <c r="E9837" s="10" t="s">
        <v>1496</v>
      </c>
      <c r="F9837" s="10" t="s">
        <v>1496</v>
      </c>
      <c r="G9837" s="11" t="s">
        <v>6897</v>
      </c>
      <c r="H9837" s="2" t="s">
        <v>67</v>
      </c>
      <c r="L9837" s="18">
        <v>0</v>
      </c>
      <c r="Q9837" s="18">
        <v>0</v>
      </c>
      <c r="U9837" s="22">
        <v>0.8</v>
      </c>
      <c r="V9837" s="22">
        <f>3.2/5</f>
        <v>0.64</v>
      </c>
      <c r="X9837" s="3">
        <v>2</v>
      </c>
      <c r="Z9837" s="23">
        <v>4.5</v>
      </c>
      <c r="AB9837" s="18">
        <f t="shared" si="306"/>
        <v>1991</v>
      </c>
      <c r="AC9837" s="22">
        <f t="shared" si="307"/>
        <v>0.61333333333333329</v>
      </c>
    </row>
    <row r="9838" spans="1:29">
      <c r="A9838" s="8" t="s">
        <v>2611</v>
      </c>
      <c r="B9838" s="17" t="s">
        <v>7751</v>
      </c>
      <c r="C9838" s="12">
        <v>33482</v>
      </c>
      <c r="D9838" s="13" t="s">
        <v>8465</v>
      </c>
      <c r="E9838" s="10" t="s">
        <v>455</v>
      </c>
      <c r="F9838" s="10" t="s">
        <v>250</v>
      </c>
      <c r="H9838" s="2" t="s">
        <v>56</v>
      </c>
      <c r="L9838" s="18">
        <v>0</v>
      </c>
      <c r="Q9838" s="18">
        <v>0</v>
      </c>
      <c r="V9838" s="22">
        <f>3.54/5</f>
        <v>0.70799999999999996</v>
      </c>
      <c r="X9838" s="3">
        <v>4</v>
      </c>
      <c r="Z9838" s="23">
        <v>2.5</v>
      </c>
      <c r="AB9838" s="18">
        <f t="shared" si="306"/>
        <v>1991</v>
      </c>
      <c r="AC9838" s="22">
        <f t="shared" si="307"/>
        <v>0.754</v>
      </c>
    </row>
    <row r="9839" spans="1:29">
      <c r="A9839" s="8" t="s">
        <v>720</v>
      </c>
      <c r="B9839" s="17" t="s">
        <v>7736</v>
      </c>
      <c r="C9839" s="13">
        <v>33482</v>
      </c>
      <c r="D9839" s="13" t="s">
        <v>8465</v>
      </c>
      <c r="E9839" s="10" t="s">
        <v>144</v>
      </c>
      <c r="F9839" s="10" t="s">
        <v>144</v>
      </c>
      <c r="G9839" s="11" t="s">
        <v>404</v>
      </c>
      <c r="H9839" s="2" t="s">
        <v>21</v>
      </c>
      <c r="L9839" s="18">
        <v>0</v>
      </c>
      <c r="Q9839" s="18">
        <v>0</v>
      </c>
      <c r="U9839" s="22">
        <v>0.61</v>
      </c>
      <c r="V9839" s="22">
        <f>3.51/5</f>
        <v>0.70199999999999996</v>
      </c>
      <c r="X9839" s="3">
        <v>4</v>
      </c>
      <c r="Z9839" s="23">
        <v>1</v>
      </c>
      <c r="AB9839" s="18">
        <f t="shared" si="306"/>
        <v>1991</v>
      </c>
      <c r="AC9839" s="22">
        <f t="shared" si="307"/>
        <v>0.70400000000000007</v>
      </c>
    </row>
    <row r="9840" spans="1:29">
      <c r="A9840" s="8" t="s">
        <v>694</v>
      </c>
      <c r="B9840" s="17" t="s">
        <v>7736</v>
      </c>
      <c r="C9840" s="12">
        <v>33482</v>
      </c>
      <c r="D9840" s="13" t="s">
        <v>8465</v>
      </c>
      <c r="E9840" s="10" t="s">
        <v>73</v>
      </c>
      <c r="F9840" s="10" t="s">
        <v>73</v>
      </c>
      <c r="H9840" s="2" t="s">
        <v>21</v>
      </c>
      <c r="L9840" s="18">
        <v>0</v>
      </c>
      <c r="Q9840" s="18">
        <v>0</v>
      </c>
      <c r="U9840" s="22">
        <v>0.87</v>
      </c>
      <c r="V9840" s="22">
        <f>4.08/5</f>
        <v>0.81600000000000006</v>
      </c>
      <c r="X9840" s="3">
        <v>3</v>
      </c>
      <c r="Z9840" s="23">
        <v>2</v>
      </c>
      <c r="AB9840" s="18">
        <f t="shared" si="306"/>
        <v>1991</v>
      </c>
      <c r="AC9840" s="22">
        <f t="shared" si="307"/>
        <v>0.76200000000000001</v>
      </c>
    </row>
    <row r="9841" spans="1:29" ht="25.5">
      <c r="A9841" s="8" t="s">
        <v>15090</v>
      </c>
      <c r="B9841" s="17" t="s">
        <v>6317</v>
      </c>
      <c r="C9841" s="12">
        <v>33482</v>
      </c>
      <c r="D9841" s="13" t="s">
        <v>8465</v>
      </c>
      <c r="E9841" s="10" t="s">
        <v>455</v>
      </c>
      <c r="F9841" s="10" t="s">
        <v>455</v>
      </c>
      <c r="G9841" s="11" t="s">
        <v>1264</v>
      </c>
      <c r="H9841" s="2" t="s">
        <v>153</v>
      </c>
      <c r="L9841" s="18">
        <v>0</v>
      </c>
      <c r="Q9841" s="18">
        <v>0</v>
      </c>
      <c r="V9841" s="22">
        <f>3.85/5</f>
        <v>0.77</v>
      </c>
      <c r="X9841" s="3">
        <v>3</v>
      </c>
      <c r="Z9841" s="23">
        <v>1</v>
      </c>
      <c r="AB9841" s="18">
        <f t="shared" si="306"/>
        <v>1991</v>
      </c>
      <c r="AC9841" s="22">
        <f t="shared" si="307"/>
        <v>0.68500000000000005</v>
      </c>
    </row>
    <row r="9842" spans="1:29">
      <c r="A9842" s="8" t="s">
        <v>172</v>
      </c>
      <c r="B9842" s="17" t="s">
        <v>7734</v>
      </c>
      <c r="C9842" s="12">
        <v>33482</v>
      </c>
      <c r="D9842" s="13" t="s">
        <v>8465</v>
      </c>
      <c r="E9842" s="10" t="s">
        <v>228</v>
      </c>
      <c r="F9842" s="10" t="s">
        <v>228</v>
      </c>
      <c r="H9842" s="2" t="s">
        <v>64</v>
      </c>
      <c r="L9842" s="18">
        <v>0</v>
      </c>
      <c r="Q9842" s="18">
        <v>0</v>
      </c>
      <c r="V9842" s="22">
        <f>3.85/5</f>
        <v>0.77</v>
      </c>
      <c r="X9842" s="3">
        <v>2</v>
      </c>
      <c r="Z9842" s="23">
        <v>4</v>
      </c>
      <c r="AB9842" s="18">
        <f t="shared" si="306"/>
        <v>1991</v>
      </c>
      <c r="AC9842" s="22">
        <f t="shared" si="307"/>
        <v>0.58499999999999996</v>
      </c>
    </row>
    <row r="9843" spans="1:29" ht="30">
      <c r="A9843" s="8" t="s">
        <v>621</v>
      </c>
      <c r="B9843" s="17" t="s">
        <v>7736</v>
      </c>
      <c r="C9843" s="12">
        <v>33482</v>
      </c>
      <c r="D9843" s="13" t="s">
        <v>8465</v>
      </c>
      <c r="E9843" s="10" t="s">
        <v>68</v>
      </c>
      <c r="F9843" s="10" t="s">
        <v>68</v>
      </c>
      <c r="G9843" s="11" t="s">
        <v>40</v>
      </c>
      <c r="H9843" s="2" t="s">
        <v>69</v>
      </c>
      <c r="L9843" s="18">
        <v>0</v>
      </c>
      <c r="Q9843" s="18">
        <v>0</v>
      </c>
      <c r="U9843" s="22">
        <v>0.61</v>
      </c>
      <c r="V9843" s="22">
        <f>3.78/5</f>
        <v>0.75600000000000001</v>
      </c>
      <c r="X9843" s="3">
        <v>2</v>
      </c>
      <c r="Z9843" s="23">
        <v>54</v>
      </c>
      <c r="AB9843" s="18">
        <f t="shared" si="306"/>
        <v>1991</v>
      </c>
      <c r="AC9843" s="22">
        <f t="shared" si="307"/>
        <v>0.58866666666666667</v>
      </c>
    </row>
    <row r="9844" spans="1:29">
      <c r="A9844" s="8" t="s">
        <v>15933</v>
      </c>
      <c r="B9844" s="17" t="s">
        <v>7734</v>
      </c>
      <c r="C9844" s="12">
        <v>33482</v>
      </c>
      <c r="D9844" s="13" t="s">
        <v>8465</v>
      </c>
      <c r="E9844" s="10" t="s">
        <v>1367</v>
      </c>
      <c r="F9844" s="10" t="s">
        <v>167</v>
      </c>
      <c r="H9844" s="2" t="s">
        <v>21</v>
      </c>
      <c r="L9844" s="18">
        <v>0</v>
      </c>
      <c r="Q9844" s="18">
        <v>0</v>
      </c>
      <c r="V9844" s="22">
        <f>4.05/5</f>
        <v>0.80999999999999994</v>
      </c>
      <c r="X9844" s="3">
        <v>2</v>
      </c>
      <c r="Z9844" s="23">
        <v>1.5</v>
      </c>
      <c r="AB9844" s="18">
        <f t="shared" si="306"/>
        <v>1991</v>
      </c>
      <c r="AC9844" s="22">
        <f t="shared" si="307"/>
        <v>0.60499999999999998</v>
      </c>
    </row>
    <row r="9845" spans="1:29" ht="30">
      <c r="A9845" s="8" t="s">
        <v>16048</v>
      </c>
      <c r="B9845" s="17" t="s">
        <v>9581</v>
      </c>
      <c r="C9845" s="12">
        <v>33482</v>
      </c>
      <c r="D9845" s="13" t="s">
        <v>8465</v>
      </c>
      <c r="E9845" s="10" t="s">
        <v>9608</v>
      </c>
      <c r="F9845" s="10" t="s">
        <v>9611</v>
      </c>
      <c r="G9845" s="11" t="s">
        <v>16048</v>
      </c>
      <c r="H9845" s="2" t="s">
        <v>56</v>
      </c>
      <c r="L9845" s="18">
        <v>0</v>
      </c>
      <c r="Q9845" s="18">
        <v>0</v>
      </c>
      <c r="V9845" s="22">
        <f>3.79/5</f>
        <v>0.75800000000000001</v>
      </c>
      <c r="X9845" s="3">
        <v>2</v>
      </c>
      <c r="Z9845" s="23">
        <v>1.5</v>
      </c>
      <c r="AB9845" s="18">
        <f t="shared" si="306"/>
        <v>1991</v>
      </c>
      <c r="AC9845" s="22">
        <f t="shared" si="307"/>
        <v>0.57899999999999996</v>
      </c>
    </row>
    <row r="9846" spans="1:29">
      <c r="A9846" s="8" t="s">
        <v>10512</v>
      </c>
      <c r="B9846" s="17" t="s">
        <v>7734</v>
      </c>
      <c r="C9846" s="13">
        <v>33480</v>
      </c>
      <c r="D9846" s="13" t="s">
        <v>8463</v>
      </c>
      <c r="E9846" s="10" t="s">
        <v>30</v>
      </c>
      <c r="F9846" s="10" t="s">
        <v>30</v>
      </c>
      <c r="H9846" s="2" t="s">
        <v>67</v>
      </c>
      <c r="K9846" s="18">
        <v>2</v>
      </c>
      <c r="L9846" s="18">
        <v>0</v>
      </c>
      <c r="Q9846" s="18">
        <v>0</v>
      </c>
      <c r="V9846" s="22">
        <f>3.81/5</f>
        <v>0.76200000000000001</v>
      </c>
      <c r="X9846" s="3">
        <v>3</v>
      </c>
      <c r="Z9846" s="23">
        <v>4.5</v>
      </c>
      <c r="AB9846" s="18">
        <f t="shared" si="306"/>
        <v>1991</v>
      </c>
      <c r="AC9846" s="22">
        <f t="shared" si="307"/>
        <v>0.68100000000000005</v>
      </c>
    </row>
    <row r="9847" spans="1:29">
      <c r="A9847" s="8" t="s">
        <v>274</v>
      </c>
      <c r="B9847" s="17" t="s">
        <v>7734</v>
      </c>
      <c r="C9847" s="13">
        <v>33477</v>
      </c>
      <c r="D9847" s="13" t="s">
        <v>8463</v>
      </c>
      <c r="E9847" s="10" t="s">
        <v>72</v>
      </c>
      <c r="F9847" s="10" t="s">
        <v>72</v>
      </c>
      <c r="H9847" s="2" t="s">
        <v>21</v>
      </c>
      <c r="K9847" s="18">
        <v>2</v>
      </c>
      <c r="L9847" s="18">
        <v>0</v>
      </c>
      <c r="Q9847" s="18">
        <v>0</v>
      </c>
      <c r="V9847" s="22">
        <f>3.93/5</f>
        <v>0.78600000000000003</v>
      </c>
      <c r="X9847" s="3">
        <v>2</v>
      </c>
      <c r="Z9847" s="23">
        <v>0.75</v>
      </c>
      <c r="AB9847" s="18">
        <f t="shared" si="306"/>
        <v>1991</v>
      </c>
      <c r="AC9847" s="22">
        <f t="shared" si="307"/>
        <v>0.59299999999999997</v>
      </c>
    </row>
    <row r="9848" spans="1:29">
      <c r="A9848" s="8" t="s">
        <v>707</v>
      </c>
      <c r="B9848" s="17" t="s">
        <v>7736</v>
      </c>
      <c r="C9848" s="13">
        <v>33473</v>
      </c>
      <c r="D9848" s="13" t="s">
        <v>8465</v>
      </c>
      <c r="E9848" s="10" t="s">
        <v>86</v>
      </c>
      <c r="F9848" s="10" t="s">
        <v>87</v>
      </c>
      <c r="G9848" s="11" t="s">
        <v>707</v>
      </c>
      <c r="H9848" s="2" t="s">
        <v>150</v>
      </c>
      <c r="L9848" s="18">
        <v>1</v>
      </c>
      <c r="M9848" s="14" t="s">
        <v>10622</v>
      </c>
      <c r="P9848" s="18" t="s">
        <v>14</v>
      </c>
      <c r="Q9848" s="18">
        <v>0</v>
      </c>
      <c r="U9848" s="22">
        <v>0.83</v>
      </c>
      <c r="V9848" s="22">
        <f>3.85/5</f>
        <v>0.77</v>
      </c>
      <c r="X9848" s="3">
        <v>4</v>
      </c>
      <c r="Z9848" s="23">
        <v>3</v>
      </c>
      <c r="AB9848" s="18">
        <f t="shared" si="306"/>
        <v>1991</v>
      </c>
      <c r="AC9848" s="22">
        <f t="shared" si="307"/>
        <v>0.80000000000000016</v>
      </c>
    </row>
    <row r="9849" spans="1:29">
      <c r="A9849" s="8" t="s">
        <v>709</v>
      </c>
      <c r="B9849" s="17" t="s">
        <v>7736</v>
      </c>
      <c r="C9849" s="13">
        <v>33463</v>
      </c>
      <c r="D9849" s="13" t="s">
        <v>8465</v>
      </c>
      <c r="E9849" s="10" t="s">
        <v>72</v>
      </c>
      <c r="F9849" s="10" t="s">
        <v>72</v>
      </c>
      <c r="G9849" s="11" t="s">
        <v>123</v>
      </c>
      <c r="H9849" s="2" t="s">
        <v>21</v>
      </c>
      <c r="L9849" s="18">
        <v>0</v>
      </c>
      <c r="Q9849" s="18">
        <v>0</v>
      </c>
      <c r="U9849" s="22">
        <v>0.78</v>
      </c>
      <c r="V9849" s="22">
        <f>3.86/5</f>
        <v>0.77200000000000002</v>
      </c>
      <c r="X9849" s="3">
        <v>4</v>
      </c>
      <c r="Z9849" s="23">
        <v>1.5</v>
      </c>
      <c r="AB9849" s="18">
        <f t="shared" si="306"/>
        <v>1991</v>
      </c>
      <c r="AC9849" s="22">
        <f t="shared" si="307"/>
        <v>0.78400000000000014</v>
      </c>
    </row>
    <row r="9850" spans="1:29">
      <c r="A9850" s="8" t="s">
        <v>674</v>
      </c>
      <c r="B9850" s="17" t="s">
        <v>7736</v>
      </c>
      <c r="C9850" s="13">
        <v>33463</v>
      </c>
      <c r="D9850" s="13" t="s">
        <v>8465</v>
      </c>
      <c r="E9850" s="10" t="s">
        <v>86</v>
      </c>
      <c r="F9850" s="10" t="s">
        <v>87</v>
      </c>
      <c r="G9850" s="11" t="s">
        <v>674</v>
      </c>
      <c r="H9850" s="2" t="s">
        <v>7594</v>
      </c>
      <c r="L9850" s="18">
        <v>0</v>
      </c>
      <c r="Q9850" s="18">
        <v>0</v>
      </c>
      <c r="U9850" s="22">
        <v>0.82</v>
      </c>
      <c r="V9850" s="22">
        <f>3.63/5</f>
        <v>0.72599999999999998</v>
      </c>
      <c r="X9850" s="3">
        <v>3</v>
      </c>
      <c r="Z9850" s="23">
        <v>7</v>
      </c>
      <c r="AB9850" s="18">
        <f t="shared" si="306"/>
        <v>1991</v>
      </c>
      <c r="AC9850" s="22">
        <f t="shared" si="307"/>
        <v>0.71533333333333327</v>
      </c>
    </row>
    <row r="9851" spans="1:29" ht="25.5">
      <c r="A9851" s="8" t="s">
        <v>8740</v>
      </c>
      <c r="B9851" s="17" t="s">
        <v>7756</v>
      </c>
      <c r="C9851" s="13">
        <v>33459</v>
      </c>
      <c r="D9851" s="13" t="s">
        <v>8463</v>
      </c>
      <c r="E9851" s="10" t="s">
        <v>455</v>
      </c>
      <c r="F9851" s="10" t="s">
        <v>8741</v>
      </c>
      <c r="H9851" s="2" t="s">
        <v>149</v>
      </c>
      <c r="K9851" s="18">
        <v>2</v>
      </c>
      <c r="L9851" s="18">
        <v>0</v>
      </c>
      <c r="Q9851" s="18">
        <v>0</v>
      </c>
      <c r="V9851" s="22">
        <f>1.63/5</f>
        <v>0.32599999999999996</v>
      </c>
      <c r="X9851" s="3">
        <v>3</v>
      </c>
      <c r="Z9851" s="23">
        <v>17</v>
      </c>
      <c r="AB9851" s="18">
        <f t="shared" si="306"/>
        <v>1991</v>
      </c>
      <c r="AC9851" s="22">
        <f t="shared" si="307"/>
        <v>0.46299999999999997</v>
      </c>
    </row>
    <row r="9852" spans="1:29" ht="25.5">
      <c r="A9852" s="8" t="s">
        <v>2621</v>
      </c>
      <c r="B9852" s="17" t="s">
        <v>7751</v>
      </c>
      <c r="C9852" s="13">
        <v>33456</v>
      </c>
      <c r="D9852" s="13" t="s">
        <v>8465</v>
      </c>
      <c r="E9852" s="10" t="s">
        <v>455</v>
      </c>
      <c r="F9852" s="10" t="s">
        <v>1387</v>
      </c>
      <c r="G9852" s="11" t="s">
        <v>1661</v>
      </c>
      <c r="H9852" s="2" t="s">
        <v>1377</v>
      </c>
      <c r="L9852" s="18">
        <v>0</v>
      </c>
      <c r="Q9852" s="18">
        <v>0</v>
      </c>
      <c r="U9852" s="22">
        <v>0.7</v>
      </c>
      <c r="V9852" s="22">
        <f>3.56/5</f>
        <v>0.71199999999999997</v>
      </c>
      <c r="X9852" s="3">
        <v>4</v>
      </c>
      <c r="Z9852" s="23">
        <v>21</v>
      </c>
      <c r="AB9852" s="18">
        <f t="shared" si="306"/>
        <v>1991</v>
      </c>
      <c r="AC9852" s="22">
        <f t="shared" si="307"/>
        <v>0.73733333333333329</v>
      </c>
    </row>
    <row r="9853" spans="1:29">
      <c r="A9853" s="8" t="s">
        <v>11949</v>
      </c>
      <c r="B9853" s="17" t="s">
        <v>7734</v>
      </c>
      <c r="C9853" s="12">
        <v>33451</v>
      </c>
      <c r="D9853" s="13" t="s">
        <v>8465</v>
      </c>
      <c r="E9853" s="10" t="s">
        <v>73</v>
      </c>
      <c r="F9853" s="10" t="s">
        <v>73</v>
      </c>
      <c r="G9853" s="11" t="s">
        <v>11949</v>
      </c>
      <c r="H9853" s="2" t="s">
        <v>56</v>
      </c>
      <c r="L9853" s="18">
        <v>0</v>
      </c>
      <c r="Q9853" s="18">
        <v>0</v>
      </c>
      <c r="V9853" s="22">
        <f>3.4/5</f>
        <v>0.67999999999999994</v>
      </c>
      <c r="X9853" s="3">
        <v>2</v>
      </c>
      <c r="Z9853" s="23">
        <f>24/60</f>
        <v>0.4</v>
      </c>
      <c r="AB9853" s="18">
        <f t="shared" si="306"/>
        <v>1991</v>
      </c>
      <c r="AC9853" s="22">
        <f t="shared" si="307"/>
        <v>0.54</v>
      </c>
    </row>
    <row r="9854" spans="1:29" ht="38.25">
      <c r="A9854" s="8" t="s">
        <v>11519</v>
      </c>
      <c r="B9854" s="17" t="s">
        <v>7734</v>
      </c>
      <c r="C9854" s="13">
        <v>33450</v>
      </c>
      <c r="D9854" s="13" t="s">
        <v>8463</v>
      </c>
      <c r="E9854" s="10" t="s">
        <v>11520</v>
      </c>
      <c r="F9854" s="10" t="s">
        <v>1420</v>
      </c>
      <c r="H9854" s="2" t="s">
        <v>149</v>
      </c>
      <c r="K9854" s="18">
        <v>2</v>
      </c>
      <c r="L9854" s="18">
        <v>0</v>
      </c>
      <c r="Q9854" s="18">
        <v>0</v>
      </c>
      <c r="V9854" s="22">
        <f>3.42/5</f>
        <v>0.68399999999999994</v>
      </c>
      <c r="X9854" s="3">
        <v>3</v>
      </c>
      <c r="AB9854" s="18">
        <f t="shared" si="306"/>
        <v>1991</v>
      </c>
      <c r="AC9854" s="22">
        <f t="shared" si="307"/>
        <v>0.6419999999999999</v>
      </c>
    </row>
    <row r="9855" spans="1:29" ht="51">
      <c r="A9855" s="8" t="s">
        <v>7848</v>
      </c>
      <c r="B9855" s="17" t="s">
        <v>7734</v>
      </c>
      <c r="C9855" s="13">
        <v>33445</v>
      </c>
      <c r="D9855" s="13" t="s">
        <v>8463</v>
      </c>
      <c r="E9855" s="10" t="s">
        <v>155</v>
      </c>
      <c r="F9855" s="10" t="s">
        <v>155</v>
      </c>
      <c r="G9855" s="11" t="s">
        <v>226</v>
      </c>
      <c r="H9855" s="2" t="s">
        <v>153</v>
      </c>
      <c r="K9855" s="18">
        <v>2</v>
      </c>
      <c r="L9855" s="18">
        <v>0</v>
      </c>
      <c r="Q9855" s="18">
        <v>0</v>
      </c>
      <c r="V9855" s="22">
        <f>3.87/5</f>
        <v>0.77400000000000002</v>
      </c>
      <c r="X9855" s="3">
        <v>3</v>
      </c>
      <c r="AB9855" s="18">
        <f t="shared" si="306"/>
        <v>1991</v>
      </c>
      <c r="AC9855" s="22">
        <f t="shared" si="307"/>
        <v>0.68700000000000006</v>
      </c>
    </row>
    <row r="9856" spans="1:29" ht="25.5">
      <c r="A9856" s="8" t="s">
        <v>282</v>
      </c>
      <c r="B9856" s="17" t="s">
        <v>7734</v>
      </c>
      <c r="C9856" s="13">
        <v>33438</v>
      </c>
      <c r="D9856" s="13" t="s">
        <v>8463</v>
      </c>
      <c r="E9856" s="10" t="s">
        <v>76</v>
      </c>
      <c r="F9856" s="10" t="s">
        <v>76</v>
      </c>
      <c r="H9856" s="2" t="s">
        <v>143</v>
      </c>
      <c r="K9856" s="18">
        <v>2</v>
      </c>
      <c r="L9856" s="18">
        <v>0</v>
      </c>
      <c r="Q9856" s="18">
        <v>0</v>
      </c>
      <c r="V9856" s="22">
        <f>4/5</f>
        <v>0.8</v>
      </c>
      <c r="X9856" s="3">
        <v>2</v>
      </c>
      <c r="Z9856" s="23">
        <v>3</v>
      </c>
      <c r="AB9856" s="18">
        <f t="shared" si="306"/>
        <v>1991</v>
      </c>
      <c r="AC9856" s="22">
        <f t="shared" si="307"/>
        <v>0.60000000000000009</v>
      </c>
    </row>
    <row r="9857" spans="1:29">
      <c r="A9857" s="8" t="s">
        <v>13567</v>
      </c>
      <c r="B9857" s="17" t="s">
        <v>7734</v>
      </c>
      <c r="C9857" s="13">
        <v>33438</v>
      </c>
      <c r="D9857" s="13" t="s">
        <v>8463</v>
      </c>
      <c r="E9857" s="10" t="s">
        <v>54</v>
      </c>
      <c r="F9857" s="10" t="s">
        <v>480</v>
      </c>
      <c r="H9857" s="2" t="s">
        <v>149</v>
      </c>
      <c r="K9857" s="18">
        <v>2</v>
      </c>
      <c r="L9857" s="18">
        <v>0</v>
      </c>
      <c r="Q9857" s="18">
        <v>0</v>
      </c>
      <c r="V9857" s="22">
        <f>3.41/5</f>
        <v>0.68200000000000005</v>
      </c>
      <c r="X9857" s="3">
        <v>2</v>
      </c>
      <c r="AB9857" s="18">
        <f t="shared" ref="AB9857:AB9920" si="308">IFERROR(YEAR(C9857), "Early Access")</f>
        <v>1991</v>
      </c>
      <c r="AC9857" s="22">
        <f t="shared" ref="AC9857:AC9920" si="309">AVERAGE(T9857, U9857, V9857, IF(ISBLANK(X9857), X9857, X9857/5))</f>
        <v>0.54100000000000004</v>
      </c>
    </row>
    <row r="9858" spans="1:29">
      <c r="A9858" s="8" t="s">
        <v>2877</v>
      </c>
      <c r="B9858" s="17" t="s">
        <v>7790</v>
      </c>
      <c r="C9858" s="13">
        <v>33431</v>
      </c>
      <c r="D9858" s="13" t="s">
        <v>8463</v>
      </c>
      <c r="E9858" s="10" t="s">
        <v>1247</v>
      </c>
      <c r="F9858" s="10" t="s">
        <v>167</v>
      </c>
      <c r="G9858" s="11" t="s">
        <v>1404</v>
      </c>
      <c r="H9858" s="2" t="s">
        <v>21</v>
      </c>
      <c r="K9858" s="18">
        <v>0</v>
      </c>
      <c r="L9858" s="18">
        <v>0</v>
      </c>
      <c r="Q9858" s="18">
        <v>0</v>
      </c>
      <c r="V9858" s="22">
        <f>3.85/5</f>
        <v>0.77</v>
      </c>
      <c r="X9858" s="3">
        <v>3</v>
      </c>
      <c r="Z9858" s="23">
        <v>0.87</v>
      </c>
      <c r="AB9858" s="18">
        <f t="shared" si="308"/>
        <v>1991</v>
      </c>
      <c r="AC9858" s="22">
        <f t="shared" si="309"/>
        <v>0.68500000000000005</v>
      </c>
    </row>
    <row r="9859" spans="1:29">
      <c r="A9859" s="8" t="s">
        <v>1806</v>
      </c>
      <c r="B9859" s="17" t="s">
        <v>7745</v>
      </c>
      <c r="C9859" s="13">
        <v>33431</v>
      </c>
      <c r="D9859" s="13" t="s">
        <v>8463</v>
      </c>
      <c r="E9859" s="10" t="s">
        <v>1792</v>
      </c>
      <c r="F9859" s="10" t="s">
        <v>1792</v>
      </c>
      <c r="H9859" s="2" t="s">
        <v>21</v>
      </c>
      <c r="K9859" s="18">
        <v>0</v>
      </c>
      <c r="L9859" s="18">
        <v>0</v>
      </c>
      <c r="Q9859" s="18">
        <v>0</v>
      </c>
      <c r="V9859" s="22">
        <f>3.3/5</f>
        <v>0.65999999999999992</v>
      </c>
      <c r="X9859" s="3">
        <v>3</v>
      </c>
      <c r="Z9859" s="23">
        <v>0.68</v>
      </c>
      <c r="AB9859" s="18">
        <f t="shared" si="308"/>
        <v>1991</v>
      </c>
      <c r="AC9859" s="22">
        <f t="shared" si="309"/>
        <v>0.62999999999999989</v>
      </c>
    </row>
    <row r="9860" spans="1:29" ht="38.25">
      <c r="A9860" s="8" t="s">
        <v>785</v>
      </c>
      <c r="B9860" s="17" t="s">
        <v>7736</v>
      </c>
      <c r="C9860" s="13">
        <v>33425</v>
      </c>
      <c r="D9860" s="13" t="s">
        <v>8463</v>
      </c>
      <c r="E9860" s="10" t="s">
        <v>157</v>
      </c>
      <c r="F9860" s="10" t="s">
        <v>1394</v>
      </c>
      <c r="G9860" s="11" t="s">
        <v>1395</v>
      </c>
      <c r="H9860" s="2" t="s">
        <v>75</v>
      </c>
      <c r="K9860" s="18">
        <v>2</v>
      </c>
      <c r="L9860" s="18">
        <v>0</v>
      </c>
      <c r="Q9860" s="18">
        <v>0</v>
      </c>
      <c r="V9860" s="22">
        <f>3.63/5</f>
        <v>0.72599999999999998</v>
      </c>
      <c r="X9860" s="3">
        <v>3</v>
      </c>
      <c r="AB9860" s="18">
        <f t="shared" si="308"/>
        <v>1991</v>
      </c>
      <c r="AC9860" s="22">
        <f t="shared" si="309"/>
        <v>0.66300000000000003</v>
      </c>
    </row>
    <row r="9861" spans="1:29">
      <c r="A9861" s="8" t="s">
        <v>6616</v>
      </c>
      <c r="B9861" s="17" t="s">
        <v>7789</v>
      </c>
      <c r="C9861" s="13">
        <v>33424</v>
      </c>
      <c r="D9861" s="13" t="s">
        <v>8463</v>
      </c>
      <c r="E9861" s="10" t="s">
        <v>62</v>
      </c>
      <c r="F9861" s="10" t="s">
        <v>63</v>
      </c>
      <c r="G9861" s="11" t="s">
        <v>2874</v>
      </c>
      <c r="H9861" s="2" t="s">
        <v>21</v>
      </c>
      <c r="K9861" s="18">
        <v>0</v>
      </c>
      <c r="L9861" s="18">
        <v>0</v>
      </c>
      <c r="Q9861" s="18">
        <v>0</v>
      </c>
      <c r="V9861" s="22">
        <f>3.77/5</f>
        <v>0.754</v>
      </c>
      <c r="X9861" s="3">
        <v>3</v>
      </c>
      <c r="Z9861" s="23">
        <v>2</v>
      </c>
      <c r="AB9861" s="18">
        <f t="shared" si="308"/>
        <v>1991</v>
      </c>
      <c r="AC9861" s="22">
        <f t="shared" si="309"/>
        <v>0.67700000000000005</v>
      </c>
    </row>
    <row r="9862" spans="1:29" ht="25.5">
      <c r="A9862" s="8" t="s">
        <v>2616</v>
      </c>
      <c r="B9862" s="17" t="s">
        <v>7751</v>
      </c>
      <c r="C9862" s="12">
        <v>33420</v>
      </c>
      <c r="D9862" s="13" t="s">
        <v>8465</v>
      </c>
      <c r="E9862" s="10" t="s">
        <v>455</v>
      </c>
      <c r="F9862" s="10" t="s">
        <v>455</v>
      </c>
      <c r="G9862" s="11" t="s">
        <v>1936</v>
      </c>
      <c r="H9862" s="2" t="s">
        <v>149</v>
      </c>
      <c r="L9862" s="18">
        <v>0</v>
      </c>
      <c r="Q9862" s="18">
        <v>0</v>
      </c>
      <c r="U9862" s="22">
        <v>0.68</v>
      </c>
      <c r="V9862" s="22">
        <f>3.39/5</f>
        <v>0.67800000000000005</v>
      </c>
      <c r="X9862" s="3">
        <v>4</v>
      </c>
      <c r="Z9862" s="23">
        <v>19.5</v>
      </c>
      <c r="AB9862" s="18">
        <f t="shared" si="308"/>
        <v>1991</v>
      </c>
      <c r="AC9862" s="22">
        <f t="shared" si="309"/>
        <v>0.71933333333333349</v>
      </c>
    </row>
    <row r="9863" spans="1:29">
      <c r="A9863" s="8" t="s">
        <v>500</v>
      </c>
      <c r="B9863" s="17" t="s">
        <v>7731</v>
      </c>
      <c r="C9863" s="13">
        <v>33420</v>
      </c>
      <c r="D9863" s="13" t="s">
        <v>8465</v>
      </c>
      <c r="E9863" s="10" t="s">
        <v>170</v>
      </c>
      <c r="F9863" s="10" t="s">
        <v>170</v>
      </c>
      <c r="G9863" s="11" t="s">
        <v>360</v>
      </c>
      <c r="H9863" s="2" t="s">
        <v>21</v>
      </c>
      <c r="L9863" s="18">
        <v>0</v>
      </c>
      <c r="Q9863" s="18">
        <v>0</v>
      </c>
      <c r="V9863" s="22">
        <f>3.5/5</f>
        <v>0.7</v>
      </c>
      <c r="X9863" s="3">
        <v>3</v>
      </c>
      <c r="Z9863" s="23">
        <v>0.85</v>
      </c>
      <c r="AB9863" s="18">
        <f t="shared" si="308"/>
        <v>1991</v>
      </c>
      <c r="AC9863" s="22">
        <f t="shared" si="309"/>
        <v>0.64999999999999991</v>
      </c>
    </row>
    <row r="9864" spans="1:29">
      <c r="A9864" s="8" t="s">
        <v>523</v>
      </c>
      <c r="B9864" s="17" t="s">
        <v>7731</v>
      </c>
      <c r="C9864" s="13">
        <v>33420</v>
      </c>
      <c r="D9864" s="13" t="s">
        <v>8465</v>
      </c>
      <c r="E9864" s="10" t="s">
        <v>170</v>
      </c>
      <c r="F9864" s="10" t="s">
        <v>170</v>
      </c>
      <c r="G9864" s="11" t="s">
        <v>523</v>
      </c>
      <c r="H9864" s="2" t="s">
        <v>153</v>
      </c>
      <c r="L9864" s="18">
        <v>0</v>
      </c>
      <c r="Q9864" s="18">
        <v>0</v>
      </c>
      <c r="V9864" s="22">
        <f>3.4/5</f>
        <v>0.67999999999999994</v>
      </c>
      <c r="X9864" s="3">
        <v>3</v>
      </c>
      <c r="Z9864" s="23">
        <v>0.98333333333333295</v>
      </c>
      <c r="AB9864" s="18">
        <f t="shared" si="308"/>
        <v>1991</v>
      </c>
      <c r="AC9864" s="22">
        <f t="shared" si="309"/>
        <v>0.6399999999999999</v>
      </c>
    </row>
    <row r="9865" spans="1:29">
      <c r="A9865" s="8" t="s">
        <v>506</v>
      </c>
      <c r="B9865" s="17" t="s">
        <v>7731</v>
      </c>
      <c r="C9865" s="13">
        <v>33420</v>
      </c>
      <c r="D9865" s="13" t="s">
        <v>8465</v>
      </c>
      <c r="E9865" s="10" t="s">
        <v>170</v>
      </c>
      <c r="F9865" s="10" t="s">
        <v>1222</v>
      </c>
      <c r="H9865" s="2" t="s">
        <v>64</v>
      </c>
      <c r="L9865" s="18">
        <v>0</v>
      </c>
      <c r="Q9865" s="18">
        <v>0</v>
      </c>
      <c r="V9865" s="22">
        <f>3.24/5</f>
        <v>0.64800000000000002</v>
      </c>
      <c r="X9865" s="3">
        <v>2</v>
      </c>
      <c r="Z9865" s="23">
        <v>1</v>
      </c>
      <c r="AB9865" s="18">
        <f t="shared" si="308"/>
        <v>1991</v>
      </c>
      <c r="AC9865" s="22">
        <f t="shared" si="309"/>
        <v>0.52400000000000002</v>
      </c>
    </row>
    <row r="9866" spans="1:29">
      <c r="A9866" s="8" t="s">
        <v>513</v>
      </c>
      <c r="B9866" s="17" t="s">
        <v>7731</v>
      </c>
      <c r="C9866" s="13">
        <v>33420</v>
      </c>
      <c r="D9866" s="13" t="s">
        <v>8465</v>
      </c>
      <c r="E9866" s="10" t="s">
        <v>170</v>
      </c>
      <c r="F9866" s="10" t="s">
        <v>170</v>
      </c>
      <c r="H9866" s="2" t="s">
        <v>21</v>
      </c>
      <c r="L9866" s="18">
        <v>0</v>
      </c>
      <c r="Q9866" s="18">
        <v>0</v>
      </c>
      <c r="V9866" s="22">
        <f>3.12/5</f>
        <v>0.624</v>
      </c>
      <c r="X9866" s="3">
        <v>2</v>
      </c>
      <c r="Z9866" s="23">
        <v>2</v>
      </c>
      <c r="AB9866" s="18">
        <f t="shared" si="308"/>
        <v>1991</v>
      </c>
      <c r="AC9866" s="22">
        <f t="shared" si="309"/>
        <v>0.51200000000000001</v>
      </c>
    </row>
    <row r="9867" spans="1:29">
      <c r="A9867" s="8" t="s">
        <v>13191</v>
      </c>
      <c r="B9867" s="17" t="s">
        <v>7745</v>
      </c>
      <c r="C9867" s="12">
        <v>33420</v>
      </c>
      <c r="D9867" s="13" t="s">
        <v>8465</v>
      </c>
      <c r="E9867" s="10" t="s">
        <v>70</v>
      </c>
      <c r="F9867" s="10" t="s">
        <v>70</v>
      </c>
      <c r="H9867" s="2" t="s">
        <v>21</v>
      </c>
      <c r="L9867" s="18">
        <v>0</v>
      </c>
      <c r="Q9867" s="18">
        <v>0</v>
      </c>
      <c r="V9867" s="22">
        <f>2.93/5</f>
        <v>0.58600000000000008</v>
      </c>
      <c r="X9867" s="3">
        <v>2</v>
      </c>
      <c r="Z9867" s="23">
        <f>30/60</f>
        <v>0.5</v>
      </c>
      <c r="AB9867" s="18">
        <f t="shared" si="308"/>
        <v>1991</v>
      </c>
      <c r="AC9867" s="22">
        <f t="shared" si="309"/>
        <v>0.49300000000000005</v>
      </c>
    </row>
    <row r="9868" spans="1:29">
      <c r="A9868" s="8" t="s">
        <v>1688</v>
      </c>
      <c r="B9868" s="17" t="s">
        <v>7751</v>
      </c>
      <c r="C9868" s="13">
        <v>33412</v>
      </c>
      <c r="D9868" s="13" t="s">
        <v>8465</v>
      </c>
      <c r="E9868" s="10" t="s">
        <v>455</v>
      </c>
      <c r="F9868" s="10" t="s">
        <v>1492</v>
      </c>
      <c r="G9868" s="11" t="s">
        <v>1688</v>
      </c>
      <c r="H9868" s="2" t="s">
        <v>64</v>
      </c>
      <c r="L9868" s="18">
        <v>0</v>
      </c>
      <c r="Q9868" s="18">
        <v>0</v>
      </c>
      <c r="U9868" s="22">
        <v>0.86</v>
      </c>
      <c r="V9868" s="22">
        <f>4.07/5</f>
        <v>0.81400000000000006</v>
      </c>
      <c r="X9868" s="3">
        <v>4</v>
      </c>
      <c r="Z9868" s="23">
        <v>2</v>
      </c>
      <c r="AB9868" s="18">
        <f t="shared" si="308"/>
        <v>1991</v>
      </c>
      <c r="AC9868" s="22">
        <f t="shared" si="309"/>
        <v>0.82466666666666677</v>
      </c>
    </row>
    <row r="9869" spans="1:29">
      <c r="A9869" s="8" t="s">
        <v>10961</v>
      </c>
      <c r="B9869" s="17" t="s">
        <v>7790</v>
      </c>
      <c r="C9869" s="13">
        <v>33396</v>
      </c>
      <c r="D9869" s="13" t="s">
        <v>8463</v>
      </c>
      <c r="E9869" s="10" t="s">
        <v>9109</v>
      </c>
      <c r="F9869" s="10" t="s">
        <v>9109</v>
      </c>
      <c r="G9869" s="11" t="s">
        <v>10959</v>
      </c>
      <c r="H9869" s="2" t="s">
        <v>21</v>
      </c>
      <c r="K9869" s="18">
        <v>0</v>
      </c>
      <c r="L9869" s="18">
        <v>0</v>
      </c>
      <c r="Q9869" s="18">
        <v>0</v>
      </c>
      <c r="V9869" s="22">
        <f>3.72/5</f>
        <v>0.74399999999999999</v>
      </c>
      <c r="X9869" s="3">
        <v>2</v>
      </c>
      <c r="Z9869" s="23">
        <v>2</v>
      </c>
      <c r="AB9869" s="18">
        <f t="shared" si="308"/>
        <v>1991</v>
      </c>
      <c r="AC9869" s="22">
        <f t="shared" si="309"/>
        <v>0.57200000000000006</v>
      </c>
    </row>
    <row r="9870" spans="1:29">
      <c r="A9870" s="8" t="s">
        <v>508</v>
      </c>
      <c r="B9870" s="17" t="s">
        <v>7731</v>
      </c>
      <c r="C9870" s="13">
        <v>33396</v>
      </c>
      <c r="D9870" s="13" t="s">
        <v>8465</v>
      </c>
      <c r="E9870" s="10" t="s">
        <v>170</v>
      </c>
      <c r="F9870" s="10" t="s">
        <v>170</v>
      </c>
      <c r="H9870" s="2" t="s">
        <v>153</v>
      </c>
      <c r="L9870" s="18">
        <v>0</v>
      </c>
      <c r="Q9870" s="18">
        <v>0</v>
      </c>
      <c r="V9870" s="22">
        <f>3.01/5</f>
        <v>0.60199999999999998</v>
      </c>
      <c r="X9870" s="3">
        <v>2</v>
      </c>
      <c r="Z9870" s="23">
        <v>1</v>
      </c>
      <c r="AB9870" s="18">
        <f t="shared" si="308"/>
        <v>1991</v>
      </c>
      <c r="AC9870" s="22">
        <f t="shared" si="309"/>
        <v>0.501</v>
      </c>
    </row>
    <row r="9871" spans="1:29">
      <c r="A9871" s="8" t="s">
        <v>1790</v>
      </c>
      <c r="B9871" s="17" t="s">
        <v>7745</v>
      </c>
      <c r="C9871" s="12">
        <v>33390</v>
      </c>
      <c r="D9871" s="13" t="s">
        <v>8465</v>
      </c>
      <c r="E9871" s="10" t="s">
        <v>1321</v>
      </c>
      <c r="F9871" s="10" t="s">
        <v>59</v>
      </c>
      <c r="G9871" s="11" t="s">
        <v>1790</v>
      </c>
      <c r="H9871" s="2" t="s">
        <v>149</v>
      </c>
      <c r="L9871" s="18">
        <v>0</v>
      </c>
      <c r="Q9871" s="18">
        <v>0</v>
      </c>
      <c r="V9871" s="22">
        <f>3.13/5</f>
        <v>0.626</v>
      </c>
      <c r="X9871" s="3">
        <v>3</v>
      </c>
      <c r="Z9871" s="23">
        <v>13</v>
      </c>
      <c r="AB9871" s="18">
        <f t="shared" si="308"/>
        <v>1991</v>
      </c>
      <c r="AC9871" s="22">
        <f t="shared" si="309"/>
        <v>0.61299999999999999</v>
      </c>
    </row>
    <row r="9872" spans="1:29" ht="38.25">
      <c r="A9872" s="8" t="s">
        <v>173</v>
      </c>
      <c r="B9872" s="17" t="s">
        <v>7734</v>
      </c>
      <c r="C9872" s="12">
        <v>33390</v>
      </c>
      <c r="D9872" s="13" t="s">
        <v>8465</v>
      </c>
      <c r="E9872" s="10" t="s">
        <v>66</v>
      </c>
      <c r="F9872" s="10" t="s">
        <v>66</v>
      </c>
      <c r="H9872" s="2" t="s">
        <v>21</v>
      </c>
      <c r="L9872" s="18">
        <v>0</v>
      </c>
      <c r="Q9872" s="18">
        <v>0</v>
      </c>
      <c r="V9872" s="22">
        <f>3.65/5</f>
        <v>0.73</v>
      </c>
      <c r="X9872" s="3">
        <v>2</v>
      </c>
      <c r="Z9872" s="23">
        <v>0.9</v>
      </c>
      <c r="AB9872" s="18">
        <f t="shared" si="308"/>
        <v>1991</v>
      </c>
      <c r="AC9872" s="22">
        <f t="shared" si="309"/>
        <v>0.56499999999999995</v>
      </c>
    </row>
    <row r="9873" spans="1:29">
      <c r="A9873" s="8" t="s">
        <v>3723</v>
      </c>
      <c r="B9873" s="17" t="s">
        <v>7800</v>
      </c>
      <c r="C9873" s="13">
        <v>33390</v>
      </c>
      <c r="D9873" s="13" t="s">
        <v>8465</v>
      </c>
      <c r="E9873" s="10" t="s">
        <v>3304</v>
      </c>
      <c r="F9873" s="10" t="s">
        <v>3304</v>
      </c>
      <c r="G9873" s="11" t="s">
        <v>3723</v>
      </c>
      <c r="H9873" s="2" t="s">
        <v>56</v>
      </c>
      <c r="L9873" s="18">
        <v>1</v>
      </c>
      <c r="N9873" s="13">
        <v>42359</v>
      </c>
      <c r="P9873" s="18" t="s">
        <v>1107</v>
      </c>
      <c r="Q9873" s="18">
        <v>0</v>
      </c>
      <c r="V9873" s="22">
        <f>3.49/5</f>
        <v>0.69800000000000006</v>
      </c>
      <c r="W9873" s="14" t="s">
        <v>7777</v>
      </c>
      <c r="X9873" s="3">
        <v>2</v>
      </c>
      <c r="Z9873" s="23">
        <v>4.5</v>
      </c>
      <c r="AB9873" s="18">
        <f t="shared" si="308"/>
        <v>1991</v>
      </c>
      <c r="AC9873" s="22">
        <f t="shared" si="309"/>
        <v>0.54900000000000004</v>
      </c>
    </row>
    <row r="9874" spans="1:29" ht="38.25">
      <c r="A9874" s="8" t="s">
        <v>48</v>
      </c>
      <c r="B9874" s="17" t="s">
        <v>7734</v>
      </c>
      <c r="C9874" s="12">
        <v>33390</v>
      </c>
      <c r="D9874" s="13" t="s">
        <v>8465</v>
      </c>
      <c r="E9874" s="10" t="s">
        <v>54</v>
      </c>
      <c r="F9874" s="10" t="s">
        <v>84</v>
      </c>
      <c r="G9874" s="11" t="s">
        <v>51</v>
      </c>
      <c r="H9874" s="2" t="s">
        <v>27</v>
      </c>
      <c r="L9874" s="18">
        <v>0</v>
      </c>
      <c r="Q9874" s="18">
        <v>0</v>
      </c>
      <c r="V9874" s="22">
        <f>3.36/5</f>
        <v>0.67199999999999993</v>
      </c>
      <c r="X9874" s="3">
        <v>2</v>
      </c>
      <c r="Z9874" s="23">
        <v>7</v>
      </c>
      <c r="AB9874" s="18">
        <f t="shared" si="308"/>
        <v>1991</v>
      </c>
      <c r="AC9874" s="22">
        <f t="shared" si="309"/>
        <v>0.53600000000000003</v>
      </c>
    </row>
    <row r="9875" spans="1:29">
      <c r="A9875" s="8" t="s">
        <v>2534</v>
      </c>
      <c r="B9875" s="17" t="s">
        <v>7751</v>
      </c>
      <c r="C9875" s="13">
        <v>33389</v>
      </c>
      <c r="D9875" s="13" t="s">
        <v>8463</v>
      </c>
      <c r="E9875" s="10" t="s">
        <v>54</v>
      </c>
      <c r="F9875" s="10" t="s">
        <v>480</v>
      </c>
      <c r="H9875" s="2" t="s">
        <v>21</v>
      </c>
      <c r="K9875" s="18">
        <v>0</v>
      </c>
      <c r="L9875" s="18">
        <v>0</v>
      </c>
      <c r="Q9875" s="18">
        <v>0</v>
      </c>
      <c r="U9875" s="22">
        <v>0.7</v>
      </c>
      <c r="V9875" s="22">
        <f>3.08/5</f>
        <v>0.61599999999999999</v>
      </c>
      <c r="X9875" s="3">
        <v>2</v>
      </c>
      <c r="Z9875" s="23">
        <f>21/60</f>
        <v>0.35</v>
      </c>
      <c r="AB9875" s="18">
        <f t="shared" si="308"/>
        <v>1991</v>
      </c>
      <c r="AC9875" s="22">
        <f t="shared" si="309"/>
        <v>0.57199999999999995</v>
      </c>
    </row>
    <row r="9876" spans="1:29">
      <c r="A9876" s="8" t="s">
        <v>14350</v>
      </c>
      <c r="B9876" s="17" t="s">
        <v>10323</v>
      </c>
      <c r="C9876" s="13">
        <v>33387</v>
      </c>
      <c r="D9876" s="13" t="s">
        <v>8463</v>
      </c>
      <c r="E9876" s="10" t="s">
        <v>167</v>
      </c>
      <c r="F9876" s="10" t="s">
        <v>167</v>
      </c>
      <c r="H9876" s="2" t="s">
        <v>80</v>
      </c>
      <c r="K9876" s="18">
        <v>2</v>
      </c>
      <c r="L9876" s="18">
        <v>0</v>
      </c>
      <c r="Q9876" s="18">
        <v>0</v>
      </c>
      <c r="X9876" s="3">
        <v>2</v>
      </c>
      <c r="AB9876" s="18">
        <f t="shared" si="308"/>
        <v>1991</v>
      </c>
      <c r="AC9876" s="22">
        <f t="shared" si="309"/>
        <v>0.4</v>
      </c>
    </row>
    <row r="9877" spans="1:29">
      <c r="A9877" s="8" t="s">
        <v>1392</v>
      </c>
      <c r="B9877" s="17" t="s">
        <v>7734</v>
      </c>
      <c r="C9877" s="13">
        <v>33382</v>
      </c>
      <c r="D9877" s="13" t="s">
        <v>8463</v>
      </c>
      <c r="E9877" s="10" t="s">
        <v>57</v>
      </c>
      <c r="F9877" s="10" t="s">
        <v>57</v>
      </c>
      <c r="G9877" s="11" t="s">
        <v>1392</v>
      </c>
      <c r="H9877" s="2" t="s">
        <v>149</v>
      </c>
      <c r="K9877" s="18">
        <v>2</v>
      </c>
      <c r="L9877" s="18">
        <v>0</v>
      </c>
      <c r="Q9877" s="18">
        <v>0</v>
      </c>
      <c r="V9877" s="22">
        <f>3.83/5</f>
        <v>0.76600000000000001</v>
      </c>
      <c r="X9877" s="3">
        <v>3</v>
      </c>
      <c r="AB9877" s="18">
        <f t="shared" si="308"/>
        <v>1991</v>
      </c>
      <c r="AC9877" s="22">
        <f t="shared" si="309"/>
        <v>0.68300000000000005</v>
      </c>
    </row>
    <row r="9878" spans="1:29">
      <c r="A9878" s="8" t="s">
        <v>285</v>
      </c>
      <c r="B9878" s="17" t="s">
        <v>7734</v>
      </c>
      <c r="C9878" s="13">
        <v>33382</v>
      </c>
      <c r="D9878" s="13" t="s">
        <v>8463</v>
      </c>
      <c r="E9878" s="10" t="s">
        <v>54</v>
      </c>
      <c r="F9878" s="10" t="s">
        <v>229</v>
      </c>
      <c r="H9878" s="2" t="s">
        <v>1170</v>
      </c>
      <c r="K9878" s="18">
        <v>2</v>
      </c>
      <c r="L9878" s="18">
        <v>0</v>
      </c>
      <c r="Q9878" s="18">
        <v>0</v>
      </c>
      <c r="V9878" s="22">
        <f>3.77/5</f>
        <v>0.754</v>
      </c>
      <c r="X9878" s="3">
        <v>2</v>
      </c>
      <c r="AB9878" s="18">
        <f t="shared" si="308"/>
        <v>1991</v>
      </c>
      <c r="AC9878" s="22">
        <f t="shared" si="309"/>
        <v>0.57699999999999996</v>
      </c>
    </row>
    <row r="9879" spans="1:29">
      <c r="A9879" s="8" t="s">
        <v>1798</v>
      </c>
      <c r="B9879" s="17" t="s">
        <v>7745</v>
      </c>
      <c r="C9879" s="13">
        <v>33379</v>
      </c>
      <c r="D9879" s="13" t="s">
        <v>8463</v>
      </c>
      <c r="E9879" s="10" t="s">
        <v>86</v>
      </c>
      <c r="F9879" s="10" t="s">
        <v>1069</v>
      </c>
      <c r="G9879" s="11" t="s">
        <v>301</v>
      </c>
      <c r="H9879" s="2" t="s">
        <v>75</v>
      </c>
      <c r="K9879" s="18">
        <v>1</v>
      </c>
      <c r="L9879" s="18">
        <v>0</v>
      </c>
      <c r="Q9879" s="18">
        <v>0</v>
      </c>
      <c r="V9879" s="22">
        <f>3.82/5</f>
        <v>0.76400000000000001</v>
      </c>
      <c r="X9879" s="3">
        <v>3</v>
      </c>
      <c r="AB9879" s="18">
        <f t="shared" si="308"/>
        <v>1991</v>
      </c>
      <c r="AC9879" s="22">
        <f t="shared" si="309"/>
        <v>0.68199999999999994</v>
      </c>
    </row>
    <row r="9880" spans="1:29">
      <c r="A9880" s="8" t="s">
        <v>260</v>
      </c>
      <c r="B9880" s="17" t="s">
        <v>7734</v>
      </c>
      <c r="C9880" s="13">
        <v>33375</v>
      </c>
      <c r="D9880" s="13" t="s">
        <v>8463</v>
      </c>
      <c r="E9880" s="10" t="s">
        <v>1235</v>
      </c>
      <c r="F9880" s="10" t="s">
        <v>237</v>
      </c>
      <c r="H9880" s="2" t="s">
        <v>21</v>
      </c>
      <c r="K9880" s="18">
        <v>2</v>
      </c>
      <c r="L9880" s="18">
        <v>0</v>
      </c>
      <c r="Q9880" s="18">
        <v>0</v>
      </c>
      <c r="V9880" s="22">
        <f>3.59/5</f>
        <v>0.71799999999999997</v>
      </c>
      <c r="X9880" s="3">
        <v>2</v>
      </c>
      <c r="Z9880" s="23">
        <v>4</v>
      </c>
      <c r="AB9880" s="18">
        <f t="shared" si="308"/>
        <v>1991</v>
      </c>
      <c r="AC9880" s="22">
        <f t="shared" si="309"/>
        <v>0.55899999999999994</v>
      </c>
    </row>
    <row r="9881" spans="1:29">
      <c r="A9881" s="8" t="s">
        <v>13190</v>
      </c>
      <c r="B9881" s="17" t="s">
        <v>7745</v>
      </c>
      <c r="C9881" s="13">
        <v>33363</v>
      </c>
      <c r="D9881" s="13" t="s">
        <v>8465</v>
      </c>
      <c r="E9881" s="10" t="s">
        <v>62</v>
      </c>
      <c r="F9881" s="10" t="s">
        <v>62</v>
      </c>
      <c r="G9881" s="11" t="s">
        <v>7674</v>
      </c>
      <c r="H9881" s="2" t="s">
        <v>31</v>
      </c>
      <c r="L9881" s="18">
        <v>0</v>
      </c>
      <c r="Q9881" s="18">
        <v>0</v>
      </c>
      <c r="V9881" s="22">
        <f>3.47/5</f>
        <v>0.69400000000000006</v>
      </c>
      <c r="X9881" s="3">
        <v>2</v>
      </c>
      <c r="Z9881" s="23">
        <v>2.5</v>
      </c>
      <c r="AB9881" s="18">
        <f t="shared" si="308"/>
        <v>1991</v>
      </c>
      <c r="AC9881" s="22">
        <f t="shared" si="309"/>
        <v>0.54700000000000004</v>
      </c>
    </row>
    <row r="9882" spans="1:29">
      <c r="A9882" s="8" t="s">
        <v>289</v>
      </c>
      <c r="B9882" s="17" t="s">
        <v>7734</v>
      </c>
      <c r="C9882" s="13">
        <v>33361</v>
      </c>
      <c r="D9882" s="13" t="s">
        <v>8463</v>
      </c>
      <c r="E9882" s="10" t="s">
        <v>165</v>
      </c>
      <c r="F9882" s="10" t="s">
        <v>1246</v>
      </c>
      <c r="H9882" s="2" t="s">
        <v>56</v>
      </c>
      <c r="K9882" s="18">
        <v>2</v>
      </c>
      <c r="L9882" s="18">
        <v>0</v>
      </c>
      <c r="Q9882" s="18">
        <v>0</v>
      </c>
      <c r="V9882" s="22">
        <f>3.81/5</f>
        <v>0.76200000000000001</v>
      </c>
      <c r="X9882" s="3">
        <v>4</v>
      </c>
      <c r="Z9882" s="23">
        <v>1.5</v>
      </c>
      <c r="AB9882" s="18">
        <f t="shared" si="308"/>
        <v>1991</v>
      </c>
      <c r="AC9882" s="22">
        <f t="shared" si="309"/>
        <v>0.78100000000000003</v>
      </c>
    </row>
    <row r="9883" spans="1:29" ht="25.5">
      <c r="A9883" s="8" t="s">
        <v>15597</v>
      </c>
      <c r="B9883" s="17" t="s">
        <v>7745</v>
      </c>
      <c r="C9883" s="12">
        <v>33359</v>
      </c>
      <c r="D9883" s="13" t="s">
        <v>8465</v>
      </c>
      <c r="E9883" s="10" t="s">
        <v>24</v>
      </c>
      <c r="F9883" s="10" t="s">
        <v>25</v>
      </c>
      <c r="G9883" s="11" t="s">
        <v>26</v>
      </c>
      <c r="H9883" s="2" t="s">
        <v>27</v>
      </c>
      <c r="L9883" s="18">
        <v>0</v>
      </c>
      <c r="Q9883" s="18">
        <v>0</v>
      </c>
      <c r="V9883" s="22">
        <f>2.98/5</f>
        <v>0.59599999999999997</v>
      </c>
      <c r="X9883" s="3">
        <v>2</v>
      </c>
      <c r="Z9883" s="23">
        <v>1.5</v>
      </c>
      <c r="AB9883" s="18">
        <f t="shared" si="308"/>
        <v>1991</v>
      </c>
      <c r="AC9883" s="22">
        <f t="shared" si="309"/>
        <v>0.498</v>
      </c>
    </row>
    <row r="9884" spans="1:29">
      <c r="A9884" s="8" t="s">
        <v>283</v>
      </c>
      <c r="B9884" s="17" t="s">
        <v>7734</v>
      </c>
      <c r="C9884" s="13">
        <v>33354</v>
      </c>
      <c r="D9884" s="13" t="s">
        <v>8463</v>
      </c>
      <c r="E9884" s="10" t="s">
        <v>72</v>
      </c>
      <c r="F9884" s="10" t="s">
        <v>72</v>
      </c>
      <c r="H9884" s="2" t="s">
        <v>149</v>
      </c>
      <c r="K9884" s="18">
        <v>2</v>
      </c>
      <c r="L9884" s="18">
        <v>0</v>
      </c>
      <c r="Q9884" s="18">
        <v>0</v>
      </c>
      <c r="V9884" s="22">
        <f>3.86/5</f>
        <v>0.77200000000000002</v>
      </c>
      <c r="X9884" s="3">
        <v>3</v>
      </c>
      <c r="Z9884" s="23">
        <v>15.5</v>
      </c>
      <c r="AB9884" s="18">
        <f t="shared" si="308"/>
        <v>1991</v>
      </c>
      <c r="AC9884" s="22">
        <f t="shared" si="309"/>
        <v>0.68599999999999994</v>
      </c>
    </row>
    <row r="9885" spans="1:29">
      <c r="A9885" s="8" t="s">
        <v>19</v>
      </c>
      <c r="B9885" s="17" t="s">
        <v>7734</v>
      </c>
      <c r="C9885" s="13">
        <v>33354</v>
      </c>
      <c r="D9885" s="13" t="s">
        <v>8465</v>
      </c>
      <c r="E9885" s="10" t="s">
        <v>20</v>
      </c>
      <c r="F9885" s="10" t="s">
        <v>20</v>
      </c>
      <c r="H9885" s="2" t="s">
        <v>21</v>
      </c>
      <c r="L9885" s="18">
        <v>0</v>
      </c>
      <c r="Q9885" s="18">
        <v>0</v>
      </c>
      <c r="V9885" s="22">
        <f>3.98/5</f>
        <v>0.79600000000000004</v>
      </c>
      <c r="X9885" s="3">
        <v>2</v>
      </c>
      <c r="Z9885" s="23">
        <v>1.5</v>
      </c>
      <c r="AB9885" s="18">
        <f t="shared" si="308"/>
        <v>1991</v>
      </c>
      <c r="AC9885" s="22">
        <f t="shared" si="309"/>
        <v>0.59800000000000009</v>
      </c>
    </row>
    <row r="9886" spans="1:29">
      <c r="A9886" s="8" t="s">
        <v>2602</v>
      </c>
      <c r="B9886" s="17" t="s">
        <v>7751</v>
      </c>
      <c r="C9886" s="13">
        <v>33353</v>
      </c>
      <c r="D9886" s="13" t="s">
        <v>8465</v>
      </c>
      <c r="E9886" s="10" t="s">
        <v>2633</v>
      </c>
      <c r="F9886" s="10" t="s">
        <v>2660</v>
      </c>
      <c r="G9886" s="11" t="s">
        <v>1369</v>
      </c>
      <c r="H9886" s="2" t="s">
        <v>75</v>
      </c>
      <c r="L9886" s="18">
        <v>0</v>
      </c>
      <c r="Q9886" s="18">
        <v>0</v>
      </c>
      <c r="U9886" s="22">
        <v>0.74</v>
      </c>
      <c r="V9886" s="22">
        <f>3.97/5</f>
        <v>0.79400000000000004</v>
      </c>
      <c r="X9886" s="3">
        <v>3</v>
      </c>
      <c r="Z9886" s="23">
        <v>32.5</v>
      </c>
      <c r="AB9886" s="18">
        <f t="shared" si="308"/>
        <v>1991</v>
      </c>
      <c r="AC9886" s="22">
        <f t="shared" si="309"/>
        <v>0.71133333333333326</v>
      </c>
    </row>
    <row r="9887" spans="1:29">
      <c r="A9887" s="8" t="s">
        <v>1817</v>
      </c>
      <c r="B9887" s="17" t="s">
        <v>7745</v>
      </c>
      <c r="C9887" s="13">
        <v>33348</v>
      </c>
      <c r="D9887" s="13" t="s">
        <v>8463</v>
      </c>
      <c r="E9887" s="10" t="s">
        <v>470</v>
      </c>
      <c r="F9887" s="10" t="s">
        <v>471</v>
      </c>
      <c r="G9887" s="11" t="s">
        <v>299</v>
      </c>
      <c r="H9887" s="2" t="s">
        <v>75</v>
      </c>
      <c r="K9887" s="18">
        <v>2</v>
      </c>
      <c r="L9887" s="18">
        <v>0</v>
      </c>
      <c r="Q9887" s="18">
        <v>0</v>
      </c>
      <c r="V9887" s="22">
        <f>3.59/5</f>
        <v>0.71799999999999997</v>
      </c>
      <c r="X9887" s="3">
        <v>3</v>
      </c>
      <c r="AB9887" s="18">
        <f t="shared" si="308"/>
        <v>1991</v>
      </c>
      <c r="AC9887" s="22">
        <f t="shared" si="309"/>
        <v>0.65900000000000003</v>
      </c>
    </row>
    <row r="9888" spans="1:29">
      <c r="A9888" s="8" t="s">
        <v>1808</v>
      </c>
      <c r="B9888" s="17" t="s">
        <v>7745</v>
      </c>
      <c r="C9888" s="13">
        <v>33347</v>
      </c>
      <c r="D9888" s="13" t="s">
        <v>8463</v>
      </c>
      <c r="E9888" s="10" t="s">
        <v>72</v>
      </c>
      <c r="F9888" s="10" t="s">
        <v>72</v>
      </c>
      <c r="H9888" s="2" t="s">
        <v>1377</v>
      </c>
      <c r="K9888" s="18">
        <v>2</v>
      </c>
      <c r="L9888" s="18">
        <v>0</v>
      </c>
      <c r="Q9888" s="18">
        <v>0</v>
      </c>
      <c r="V9888" s="22">
        <f>3.74/5</f>
        <v>0.748</v>
      </c>
      <c r="X9888" s="3">
        <v>3</v>
      </c>
      <c r="Z9888" s="23">
        <v>3</v>
      </c>
      <c r="AB9888" s="18">
        <f t="shared" si="308"/>
        <v>1991</v>
      </c>
      <c r="AC9888" s="22">
        <f t="shared" si="309"/>
        <v>0.67399999999999993</v>
      </c>
    </row>
    <row r="9889" spans="1:29" ht="25.5">
      <c r="A9889" s="8" t="s">
        <v>11838</v>
      </c>
      <c r="B9889" s="17" t="s">
        <v>7745</v>
      </c>
      <c r="C9889" s="13">
        <v>33347</v>
      </c>
      <c r="D9889" s="13" t="s">
        <v>8463</v>
      </c>
      <c r="E9889" s="10" t="s">
        <v>1389</v>
      </c>
      <c r="F9889" s="10" t="s">
        <v>5872</v>
      </c>
      <c r="H9889" s="2" t="s">
        <v>75</v>
      </c>
      <c r="K9889" s="18">
        <v>2</v>
      </c>
      <c r="L9889" s="18">
        <v>0</v>
      </c>
      <c r="Q9889" s="18">
        <v>0</v>
      </c>
      <c r="V9889" s="22">
        <f>3.56/5</f>
        <v>0.71199999999999997</v>
      </c>
      <c r="X9889" s="3">
        <v>2</v>
      </c>
      <c r="AB9889" s="18">
        <f t="shared" si="308"/>
        <v>1991</v>
      </c>
      <c r="AC9889" s="22">
        <f t="shared" si="309"/>
        <v>0.55600000000000005</v>
      </c>
    </row>
    <row r="9890" spans="1:29">
      <c r="A9890" s="8" t="s">
        <v>2548</v>
      </c>
      <c r="B9890" s="17" t="s">
        <v>7751</v>
      </c>
      <c r="C9890" s="13">
        <v>33333</v>
      </c>
      <c r="D9890" s="13" t="s">
        <v>8463</v>
      </c>
      <c r="E9890" s="10" t="s">
        <v>1388</v>
      </c>
      <c r="F9890" s="10" t="s">
        <v>2650</v>
      </c>
      <c r="H9890" s="2" t="s">
        <v>21</v>
      </c>
      <c r="K9890" s="18">
        <v>0</v>
      </c>
      <c r="L9890" s="18">
        <v>0</v>
      </c>
      <c r="Q9890" s="18">
        <v>0</v>
      </c>
      <c r="U9890" s="22">
        <v>0.5</v>
      </c>
      <c r="V9890" s="22">
        <f>3.35/5</f>
        <v>0.67</v>
      </c>
      <c r="X9890" s="3">
        <v>2</v>
      </c>
      <c r="Z9890" s="23">
        <v>0.67</v>
      </c>
      <c r="AB9890" s="18">
        <f t="shared" si="308"/>
        <v>1991</v>
      </c>
      <c r="AC9890" s="22">
        <f t="shared" si="309"/>
        <v>0.52333333333333332</v>
      </c>
    </row>
    <row r="9891" spans="1:29">
      <c r="A9891" s="8" t="s">
        <v>2598</v>
      </c>
      <c r="B9891" s="17" t="s">
        <v>7751</v>
      </c>
      <c r="C9891" s="12">
        <v>33329</v>
      </c>
      <c r="D9891" s="13" t="s">
        <v>8465</v>
      </c>
      <c r="E9891" s="10" t="s">
        <v>2638</v>
      </c>
      <c r="F9891" s="10" t="s">
        <v>1294</v>
      </c>
      <c r="G9891" s="11" t="s">
        <v>1295</v>
      </c>
      <c r="H9891" s="2" t="s">
        <v>56</v>
      </c>
      <c r="L9891" s="18">
        <v>0</v>
      </c>
      <c r="Q9891" s="18">
        <v>0</v>
      </c>
      <c r="U9891" s="22">
        <v>0.78</v>
      </c>
      <c r="V9891" s="22">
        <f>3.62/5</f>
        <v>0.72399999999999998</v>
      </c>
      <c r="X9891" s="3">
        <v>3</v>
      </c>
      <c r="Z9891" s="23">
        <v>1</v>
      </c>
      <c r="AB9891" s="18">
        <f t="shared" si="308"/>
        <v>1991</v>
      </c>
      <c r="AC9891" s="22">
        <f t="shared" si="309"/>
        <v>0.70133333333333336</v>
      </c>
    </row>
    <row r="9892" spans="1:29">
      <c r="A9892" s="8" t="s">
        <v>14483</v>
      </c>
      <c r="B9892" s="17" t="s">
        <v>7734</v>
      </c>
      <c r="C9892" s="12">
        <v>33329</v>
      </c>
      <c r="D9892" s="13" t="s">
        <v>8465</v>
      </c>
      <c r="E9892" s="10" t="s">
        <v>68</v>
      </c>
      <c r="F9892" s="10" t="s">
        <v>68</v>
      </c>
      <c r="G9892" s="11" t="s">
        <v>14482</v>
      </c>
      <c r="H9892" s="2" t="s">
        <v>69</v>
      </c>
      <c r="L9892" s="18">
        <v>0</v>
      </c>
      <c r="Q9892" s="18">
        <v>0</v>
      </c>
      <c r="V9892" s="22">
        <f>3.76/5</f>
        <v>0.752</v>
      </c>
      <c r="X9892" s="3">
        <v>2</v>
      </c>
      <c r="AB9892" s="18">
        <f t="shared" si="308"/>
        <v>1991</v>
      </c>
      <c r="AC9892" s="22">
        <f t="shared" si="309"/>
        <v>0.57600000000000007</v>
      </c>
    </row>
    <row r="9893" spans="1:29">
      <c r="A9893" s="8" t="s">
        <v>15882</v>
      </c>
      <c r="B9893" s="17" t="s">
        <v>7767</v>
      </c>
      <c r="C9893" s="12">
        <v>33329</v>
      </c>
      <c r="D9893" s="13" t="s">
        <v>8467</v>
      </c>
      <c r="E9893" s="10" t="s">
        <v>1513</v>
      </c>
      <c r="F9893" s="10" t="s">
        <v>1513</v>
      </c>
      <c r="G9893" s="11" t="s">
        <v>15868</v>
      </c>
      <c r="H9893" s="2" t="s">
        <v>143</v>
      </c>
      <c r="L9893" s="18">
        <v>0</v>
      </c>
      <c r="Q9893" s="18">
        <v>0</v>
      </c>
      <c r="V9893" s="22">
        <f>3.67/5</f>
        <v>0.73399999999999999</v>
      </c>
      <c r="X9893" s="3">
        <v>2</v>
      </c>
      <c r="AB9893" s="18">
        <f t="shared" si="308"/>
        <v>1991</v>
      </c>
      <c r="AC9893" s="22">
        <f t="shared" si="309"/>
        <v>0.56699999999999995</v>
      </c>
    </row>
    <row r="9894" spans="1:29">
      <c r="A9894" s="8" t="s">
        <v>7728</v>
      </c>
      <c r="B9894" s="17" t="s">
        <v>7790</v>
      </c>
      <c r="C9894" s="13">
        <v>33326</v>
      </c>
      <c r="D9894" s="13" t="s">
        <v>8463</v>
      </c>
      <c r="E9894" s="10" t="s">
        <v>1456</v>
      </c>
      <c r="F9894" s="10" t="s">
        <v>1375</v>
      </c>
      <c r="G9894" s="11" t="s">
        <v>2858</v>
      </c>
      <c r="H9894" s="2" t="s">
        <v>21</v>
      </c>
      <c r="K9894" s="18">
        <v>0</v>
      </c>
      <c r="L9894" s="18">
        <v>0</v>
      </c>
      <c r="Q9894" s="18">
        <v>0</v>
      </c>
      <c r="V9894" s="22">
        <f>3.57/5</f>
        <v>0.71399999999999997</v>
      </c>
      <c r="X9894" s="3">
        <v>2</v>
      </c>
      <c r="Z9894" s="23">
        <v>1</v>
      </c>
      <c r="AB9894" s="18">
        <f t="shared" si="308"/>
        <v>1991</v>
      </c>
      <c r="AC9894" s="22">
        <f t="shared" si="309"/>
        <v>0.55699999999999994</v>
      </c>
    </row>
    <row r="9895" spans="1:29" ht="25.5">
      <c r="A9895" s="8" t="s">
        <v>268</v>
      </c>
      <c r="B9895" s="17" t="s">
        <v>7734</v>
      </c>
      <c r="C9895" s="13">
        <v>33326</v>
      </c>
      <c r="D9895" s="13" t="s">
        <v>8463</v>
      </c>
      <c r="E9895" s="10" t="s">
        <v>1240</v>
      </c>
      <c r="F9895" s="10" t="s">
        <v>1240</v>
      </c>
      <c r="G9895" s="11" t="s">
        <v>13200</v>
      </c>
      <c r="H9895" s="2" t="s">
        <v>56</v>
      </c>
      <c r="K9895" s="18">
        <v>2</v>
      </c>
      <c r="L9895" s="18">
        <v>0</v>
      </c>
      <c r="Q9895" s="18">
        <v>0</v>
      </c>
      <c r="V9895" s="22">
        <f>3.33/5</f>
        <v>0.66600000000000004</v>
      </c>
      <c r="X9895" s="3">
        <v>2</v>
      </c>
      <c r="Z9895" s="23">
        <v>1.5</v>
      </c>
      <c r="AB9895" s="18">
        <f t="shared" si="308"/>
        <v>1991</v>
      </c>
      <c r="AC9895" s="22">
        <f t="shared" si="309"/>
        <v>0.53300000000000003</v>
      </c>
    </row>
    <row r="9896" spans="1:29">
      <c r="A9896" s="8" t="s">
        <v>14029</v>
      </c>
      <c r="B9896" s="17" t="s">
        <v>7734</v>
      </c>
      <c r="C9896" s="13">
        <v>33318</v>
      </c>
      <c r="D9896" s="13" t="s">
        <v>8463</v>
      </c>
      <c r="E9896" s="10" t="s">
        <v>1783</v>
      </c>
      <c r="F9896" s="10" t="s">
        <v>14030</v>
      </c>
      <c r="H9896" s="2" t="s">
        <v>1377</v>
      </c>
      <c r="K9896" s="18">
        <v>2</v>
      </c>
      <c r="L9896" s="18">
        <v>0</v>
      </c>
      <c r="Q9896" s="18">
        <v>0</v>
      </c>
      <c r="V9896" s="22">
        <f>3.48/5</f>
        <v>0.69599999999999995</v>
      </c>
      <c r="X9896" s="3">
        <v>2</v>
      </c>
      <c r="Z9896" s="23">
        <v>16.5</v>
      </c>
      <c r="AB9896" s="18">
        <f t="shared" si="308"/>
        <v>1991</v>
      </c>
      <c r="AC9896" s="22">
        <f t="shared" si="309"/>
        <v>0.54800000000000004</v>
      </c>
    </row>
    <row r="9897" spans="1:29" ht="25.5">
      <c r="A9897" s="8" t="s">
        <v>2550</v>
      </c>
      <c r="B9897" s="17" t="s">
        <v>7751</v>
      </c>
      <c r="C9897" s="13">
        <v>33317</v>
      </c>
      <c r="D9897" s="13" t="s">
        <v>8465</v>
      </c>
      <c r="E9897" s="10" t="s">
        <v>455</v>
      </c>
      <c r="F9897" s="10" t="s">
        <v>455</v>
      </c>
      <c r="G9897" s="11" t="s">
        <v>2508</v>
      </c>
      <c r="H9897" s="2" t="s">
        <v>64</v>
      </c>
      <c r="L9897" s="18">
        <v>0</v>
      </c>
      <c r="Q9897" s="18">
        <v>0</v>
      </c>
      <c r="U9897" s="22">
        <v>0.48</v>
      </c>
      <c r="V9897" s="22">
        <f>2.87/5</f>
        <v>0.57400000000000007</v>
      </c>
      <c r="X9897" s="3">
        <v>2</v>
      </c>
      <c r="Z9897" s="23">
        <v>1.5</v>
      </c>
      <c r="AB9897" s="18">
        <f t="shared" si="308"/>
        <v>1991</v>
      </c>
      <c r="AC9897" s="22">
        <f t="shared" si="309"/>
        <v>0.48466666666666675</v>
      </c>
    </row>
    <row r="9898" spans="1:29" ht="30">
      <c r="A9898" s="8" t="s">
        <v>11820</v>
      </c>
      <c r="B9898" s="17" t="s">
        <v>7734</v>
      </c>
      <c r="C9898" s="13">
        <v>33312</v>
      </c>
      <c r="D9898" s="13" t="s">
        <v>8463</v>
      </c>
      <c r="E9898" s="10" t="s">
        <v>1314</v>
      </c>
      <c r="F9898" s="10" t="s">
        <v>1420</v>
      </c>
      <c r="G9898" s="11" t="s">
        <v>11821</v>
      </c>
      <c r="H9898" s="2" t="s">
        <v>149</v>
      </c>
      <c r="K9898" s="18">
        <v>2</v>
      </c>
      <c r="L9898" s="18">
        <v>0</v>
      </c>
      <c r="Q9898" s="18">
        <v>0</v>
      </c>
      <c r="V9898" s="22">
        <f>3.3/5</f>
        <v>0.65999999999999992</v>
      </c>
      <c r="X9898" s="3">
        <v>2</v>
      </c>
      <c r="AB9898" s="18">
        <f t="shared" si="308"/>
        <v>1991</v>
      </c>
      <c r="AC9898" s="22">
        <f t="shared" si="309"/>
        <v>0.53</v>
      </c>
    </row>
    <row r="9899" spans="1:29">
      <c r="A9899" s="8" t="s">
        <v>2777</v>
      </c>
      <c r="B9899" s="17" t="s">
        <v>7756</v>
      </c>
      <c r="C9899" s="13">
        <v>33312</v>
      </c>
      <c r="D9899" s="13" t="s">
        <v>8463</v>
      </c>
      <c r="E9899" s="10" t="s">
        <v>1361</v>
      </c>
      <c r="F9899" s="10" t="s">
        <v>1330</v>
      </c>
      <c r="H9899" s="2" t="s">
        <v>61</v>
      </c>
      <c r="K9899" s="18">
        <v>2</v>
      </c>
      <c r="L9899" s="18">
        <v>0</v>
      </c>
      <c r="Q9899" s="18">
        <v>0</v>
      </c>
      <c r="V9899" s="22">
        <f>2.07/5</f>
        <v>0.41399999999999998</v>
      </c>
      <c r="X9899" s="3">
        <v>3</v>
      </c>
      <c r="Z9899" s="23">
        <v>2</v>
      </c>
      <c r="AB9899" s="18">
        <f t="shared" si="308"/>
        <v>1991</v>
      </c>
      <c r="AC9899" s="22">
        <f t="shared" si="309"/>
        <v>0.50700000000000001</v>
      </c>
    </row>
    <row r="9900" spans="1:29">
      <c r="A9900" s="8" t="s">
        <v>11796</v>
      </c>
      <c r="B9900" s="17" t="s">
        <v>7751</v>
      </c>
      <c r="C9900" s="13">
        <v>33306</v>
      </c>
      <c r="D9900" s="13" t="s">
        <v>8463</v>
      </c>
      <c r="E9900" s="10" t="s">
        <v>455</v>
      </c>
      <c r="F9900" s="10" t="s">
        <v>455</v>
      </c>
      <c r="H9900" s="2" t="s">
        <v>75</v>
      </c>
      <c r="K9900" s="18">
        <v>2</v>
      </c>
      <c r="L9900" s="18">
        <v>0</v>
      </c>
      <c r="Q9900" s="18">
        <v>0</v>
      </c>
      <c r="V9900" s="22">
        <f>3.63/5</f>
        <v>0.72599999999999998</v>
      </c>
      <c r="X9900" s="3">
        <v>3</v>
      </c>
      <c r="AB9900" s="18">
        <f t="shared" si="308"/>
        <v>1991</v>
      </c>
      <c r="AC9900" s="22">
        <f t="shared" si="309"/>
        <v>0.66300000000000003</v>
      </c>
    </row>
    <row r="9901" spans="1:29" ht="38.25">
      <c r="A9901" s="8" t="s">
        <v>6818</v>
      </c>
      <c r="B9901" s="17" t="s">
        <v>7800</v>
      </c>
      <c r="C9901" s="13">
        <v>33301</v>
      </c>
      <c r="D9901" s="13" t="s">
        <v>8465</v>
      </c>
      <c r="E9901" s="10" t="s">
        <v>1496</v>
      </c>
      <c r="F9901" s="10" t="s">
        <v>1496</v>
      </c>
      <c r="G9901" s="11" t="s">
        <v>6903</v>
      </c>
      <c r="H9901" s="2" t="s">
        <v>67</v>
      </c>
      <c r="L9901" s="18">
        <v>1</v>
      </c>
      <c r="N9901" s="13">
        <v>43956</v>
      </c>
      <c r="O9901" s="29">
        <v>0</v>
      </c>
      <c r="P9901" s="18" t="s">
        <v>1107</v>
      </c>
      <c r="Q9901" s="18">
        <v>0</v>
      </c>
      <c r="U9901" s="22">
        <v>0.8</v>
      </c>
      <c r="V9901" s="22">
        <f>3.89/5</f>
        <v>0.77800000000000002</v>
      </c>
      <c r="W9901" s="14" t="s">
        <v>7777</v>
      </c>
      <c r="X9901" s="3">
        <v>3</v>
      </c>
      <c r="Z9901" s="23">
        <v>4</v>
      </c>
      <c r="AB9901" s="18">
        <f t="shared" si="308"/>
        <v>1991</v>
      </c>
      <c r="AC9901" s="22">
        <f t="shared" si="309"/>
        <v>0.72599999999999998</v>
      </c>
    </row>
    <row r="9902" spans="1:29" ht="25.5">
      <c r="A9902" s="8" t="s">
        <v>435</v>
      </c>
      <c r="B9902" s="17" t="s">
        <v>6317</v>
      </c>
      <c r="C9902" s="12">
        <v>33298</v>
      </c>
      <c r="D9902" s="13" t="s">
        <v>8465</v>
      </c>
      <c r="E9902" s="10" t="s">
        <v>73</v>
      </c>
      <c r="F9902" s="10" t="s">
        <v>73</v>
      </c>
      <c r="G9902" s="11" t="s">
        <v>227</v>
      </c>
      <c r="H9902" s="2" t="s">
        <v>459</v>
      </c>
      <c r="L9902" s="18">
        <v>0</v>
      </c>
      <c r="Q9902" s="18">
        <v>0</v>
      </c>
      <c r="V9902" s="22">
        <f>4.18/5</f>
        <v>0.83599999999999997</v>
      </c>
      <c r="X9902" s="3">
        <v>3</v>
      </c>
      <c r="Z9902" s="23">
        <v>2</v>
      </c>
      <c r="AB9902" s="18">
        <f t="shared" si="308"/>
        <v>1991</v>
      </c>
      <c r="AC9902" s="22">
        <f t="shared" si="309"/>
        <v>0.71799999999999997</v>
      </c>
    </row>
    <row r="9903" spans="1:29">
      <c r="A9903" s="8" t="s">
        <v>47</v>
      </c>
      <c r="B9903" s="17" t="s">
        <v>7734</v>
      </c>
      <c r="C9903" s="12">
        <v>33298</v>
      </c>
      <c r="D9903" s="13" t="s">
        <v>8465</v>
      </c>
      <c r="E9903" s="10" t="s">
        <v>54</v>
      </c>
      <c r="F9903" s="10" t="s">
        <v>82</v>
      </c>
      <c r="G9903" s="11" t="s">
        <v>83</v>
      </c>
      <c r="H9903" s="2" t="s">
        <v>56</v>
      </c>
      <c r="L9903" s="18">
        <v>0</v>
      </c>
      <c r="Q9903" s="18">
        <v>0</v>
      </c>
      <c r="V9903" s="22">
        <f>3.61/5</f>
        <v>0.72199999999999998</v>
      </c>
      <c r="X9903" s="3">
        <v>2</v>
      </c>
      <c r="Z9903" s="23">
        <v>2</v>
      </c>
      <c r="AB9903" s="18">
        <f t="shared" si="308"/>
        <v>1991</v>
      </c>
      <c r="AC9903" s="22">
        <f t="shared" si="309"/>
        <v>0.56099999999999994</v>
      </c>
    </row>
    <row r="9904" spans="1:29">
      <c r="A9904" s="8" t="s">
        <v>14910</v>
      </c>
      <c r="B9904" s="17" t="s">
        <v>6317</v>
      </c>
      <c r="C9904" s="12">
        <v>33298</v>
      </c>
      <c r="D9904" s="13" t="s">
        <v>8465</v>
      </c>
      <c r="E9904" s="10" t="s">
        <v>158</v>
      </c>
      <c r="F9904" s="10" t="s">
        <v>158</v>
      </c>
      <c r="G9904" s="11" t="s">
        <v>14910</v>
      </c>
      <c r="H9904" s="2" t="s">
        <v>1170</v>
      </c>
      <c r="L9904" s="18">
        <v>0</v>
      </c>
      <c r="Q9904" s="18">
        <v>0</v>
      </c>
      <c r="V9904" s="22">
        <f>2.94/5</f>
        <v>0.58799999999999997</v>
      </c>
      <c r="X9904" s="3">
        <v>2</v>
      </c>
      <c r="Z9904" s="23">
        <f>20/60</f>
        <v>0.33333333333333331</v>
      </c>
      <c r="AB9904" s="18">
        <f t="shared" si="308"/>
        <v>1991</v>
      </c>
      <c r="AC9904" s="22">
        <f t="shared" si="309"/>
        <v>0.49399999999999999</v>
      </c>
    </row>
    <row r="9905" spans="1:29">
      <c r="A9905" s="8" t="s">
        <v>11827</v>
      </c>
      <c r="B9905" s="17" t="s">
        <v>7734</v>
      </c>
      <c r="C9905" s="13">
        <v>33295</v>
      </c>
      <c r="D9905" s="13" t="s">
        <v>8463</v>
      </c>
      <c r="E9905" s="10" t="s">
        <v>11828</v>
      </c>
      <c r="F9905" s="10" t="s">
        <v>9875</v>
      </c>
      <c r="H9905" s="2" t="s">
        <v>80</v>
      </c>
      <c r="K9905" s="18">
        <v>2</v>
      </c>
      <c r="L9905" s="18">
        <v>0</v>
      </c>
      <c r="Q9905" s="18">
        <v>0</v>
      </c>
      <c r="V9905" s="22">
        <f>3.38/5</f>
        <v>0.67599999999999993</v>
      </c>
      <c r="X9905" s="3">
        <v>2</v>
      </c>
      <c r="AB9905" s="18">
        <f t="shared" si="308"/>
        <v>1991</v>
      </c>
      <c r="AC9905" s="22">
        <f t="shared" si="309"/>
        <v>0.53800000000000003</v>
      </c>
    </row>
    <row r="9906" spans="1:29" ht="30">
      <c r="A9906" s="8" t="s">
        <v>14010</v>
      </c>
      <c r="B9906" s="17" t="s">
        <v>7734</v>
      </c>
      <c r="C9906" s="13">
        <v>33291</v>
      </c>
      <c r="D9906" s="13" t="s">
        <v>8463</v>
      </c>
      <c r="E9906" s="10" t="s">
        <v>11871</v>
      </c>
      <c r="F9906" s="10" t="s">
        <v>1420</v>
      </c>
      <c r="H9906" s="2" t="s">
        <v>149</v>
      </c>
      <c r="K9906" s="18">
        <v>2</v>
      </c>
      <c r="L9906" s="18">
        <v>0</v>
      </c>
      <c r="Q9906" s="18">
        <v>0</v>
      </c>
      <c r="V9906" s="22">
        <f>3.33/5</f>
        <v>0.66600000000000004</v>
      </c>
      <c r="X9906" s="3">
        <v>2</v>
      </c>
      <c r="AB9906" s="18">
        <f t="shared" si="308"/>
        <v>1991</v>
      </c>
      <c r="AC9906" s="22">
        <f t="shared" si="309"/>
        <v>0.53300000000000003</v>
      </c>
    </row>
    <row r="9907" spans="1:29">
      <c r="A9907" s="8" t="s">
        <v>2571</v>
      </c>
      <c r="B9907" s="17" t="s">
        <v>7751</v>
      </c>
      <c r="C9907" s="13">
        <v>33290</v>
      </c>
      <c r="D9907" s="13" t="s">
        <v>8465</v>
      </c>
      <c r="E9907" s="10" t="s">
        <v>231</v>
      </c>
      <c r="F9907" s="10" t="s">
        <v>2659</v>
      </c>
      <c r="G9907" s="11" t="s">
        <v>2571</v>
      </c>
      <c r="H9907" s="2" t="s">
        <v>1720</v>
      </c>
      <c r="L9907" s="18">
        <v>0</v>
      </c>
      <c r="Q9907" s="18">
        <v>0</v>
      </c>
      <c r="U9907" s="22">
        <v>1</v>
      </c>
      <c r="V9907" s="22">
        <f>3.61/5</f>
        <v>0.72199999999999998</v>
      </c>
      <c r="X9907" s="3">
        <v>3</v>
      </c>
      <c r="Z9907" s="23">
        <v>2.5</v>
      </c>
      <c r="AB9907" s="18">
        <f t="shared" si="308"/>
        <v>1991</v>
      </c>
      <c r="AC9907" s="22">
        <f t="shared" si="309"/>
        <v>0.77400000000000002</v>
      </c>
    </row>
    <row r="9908" spans="1:29">
      <c r="A9908" s="8" t="s">
        <v>370</v>
      </c>
      <c r="B9908" s="17" t="s">
        <v>6317</v>
      </c>
      <c r="C9908" s="13">
        <v>33290</v>
      </c>
      <c r="D9908" s="13" t="s">
        <v>8467</v>
      </c>
      <c r="E9908" s="10" t="s">
        <v>72</v>
      </c>
      <c r="F9908" s="10" t="s">
        <v>72</v>
      </c>
      <c r="G9908" s="11" t="s">
        <v>230</v>
      </c>
      <c r="H9908" s="2" t="s">
        <v>21</v>
      </c>
      <c r="L9908" s="18">
        <v>0</v>
      </c>
      <c r="Q9908" s="18">
        <v>0</v>
      </c>
      <c r="V9908" s="22">
        <f>3.56/5</f>
        <v>0.71199999999999997</v>
      </c>
      <c r="X9908" s="3">
        <v>3</v>
      </c>
      <c r="Z9908" s="23">
        <v>1.5</v>
      </c>
      <c r="AB9908" s="18">
        <f t="shared" si="308"/>
        <v>1991</v>
      </c>
      <c r="AC9908" s="22">
        <f t="shared" si="309"/>
        <v>0.65599999999999992</v>
      </c>
    </row>
    <row r="9909" spans="1:29">
      <c r="A9909" s="8" t="s">
        <v>9052</v>
      </c>
      <c r="B9909" s="17" t="s">
        <v>7751</v>
      </c>
      <c r="C9909" s="13">
        <v>33284</v>
      </c>
      <c r="D9909" s="13" t="s">
        <v>8463</v>
      </c>
      <c r="E9909" s="10" t="s">
        <v>455</v>
      </c>
      <c r="F9909" s="10" t="s">
        <v>9053</v>
      </c>
      <c r="H9909" s="2" t="s">
        <v>149</v>
      </c>
      <c r="K9909" s="18">
        <v>2</v>
      </c>
      <c r="L9909" s="18">
        <v>0</v>
      </c>
      <c r="Q9909" s="18">
        <v>0</v>
      </c>
      <c r="V9909" s="22">
        <f>3.03/5</f>
        <v>0.60599999999999998</v>
      </c>
      <c r="X9909" s="3">
        <v>3</v>
      </c>
      <c r="Z9909" s="23">
        <v>5</v>
      </c>
      <c r="AB9909" s="18">
        <f t="shared" si="308"/>
        <v>1991</v>
      </c>
      <c r="AC9909" s="22">
        <f t="shared" si="309"/>
        <v>0.60299999999999998</v>
      </c>
    </row>
    <row r="9910" spans="1:29" ht="25.5">
      <c r="A9910" s="8" t="s">
        <v>39</v>
      </c>
      <c r="B9910" s="17" t="s">
        <v>7734</v>
      </c>
      <c r="C9910" s="13">
        <v>33277</v>
      </c>
      <c r="D9910" s="13" t="s">
        <v>8465</v>
      </c>
      <c r="E9910" s="10" t="s">
        <v>62</v>
      </c>
      <c r="F9910" s="10" t="s">
        <v>62</v>
      </c>
      <c r="H9910" s="2" t="s">
        <v>67</v>
      </c>
      <c r="L9910" s="18">
        <v>0</v>
      </c>
      <c r="Q9910" s="18">
        <v>0</v>
      </c>
      <c r="V9910" s="22">
        <f>3.74/5</f>
        <v>0.748</v>
      </c>
      <c r="X9910" s="3">
        <v>2</v>
      </c>
      <c r="Z9910" s="23">
        <v>2</v>
      </c>
      <c r="AB9910" s="18">
        <f t="shared" si="308"/>
        <v>1991</v>
      </c>
      <c r="AC9910" s="22">
        <f t="shared" si="309"/>
        <v>0.57400000000000007</v>
      </c>
    </row>
    <row r="9911" spans="1:29">
      <c r="A9911" s="8" t="s">
        <v>275</v>
      </c>
      <c r="B9911" s="17" t="s">
        <v>7734</v>
      </c>
      <c r="C9911" s="13">
        <v>33277</v>
      </c>
      <c r="D9911" s="13" t="s">
        <v>8463</v>
      </c>
      <c r="E9911" s="10" t="s">
        <v>57</v>
      </c>
      <c r="F9911" s="10" t="s">
        <v>57</v>
      </c>
      <c r="H9911" s="2" t="s">
        <v>149</v>
      </c>
      <c r="K9911" s="18">
        <v>2</v>
      </c>
      <c r="L9911" s="18">
        <v>0</v>
      </c>
      <c r="Q9911" s="18">
        <v>0</v>
      </c>
      <c r="V9911" s="22">
        <f>2.17/5</f>
        <v>0.434</v>
      </c>
      <c r="X9911" s="3">
        <v>3</v>
      </c>
      <c r="AB9911" s="18">
        <f t="shared" si="308"/>
        <v>1991</v>
      </c>
      <c r="AC9911" s="22">
        <f t="shared" si="309"/>
        <v>0.51700000000000002</v>
      </c>
    </row>
    <row r="9912" spans="1:29">
      <c r="A9912" s="8" t="s">
        <v>37</v>
      </c>
      <c r="B9912" s="17" t="s">
        <v>7734</v>
      </c>
      <c r="C9912" s="12">
        <v>33270</v>
      </c>
      <c r="D9912" s="13" t="s">
        <v>8465</v>
      </c>
      <c r="E9912" s="10" t="s">
        <v>62</v>
      </c>
      <c r="F9912" s="10" t="s">
        <v>63</v>
      </c>
      <c r="G9912" s="11" t="s">
        <v>41</v>
      </c>
      <c r="H9912" s="2" t="s">
        <v>64</v>
      </c>
      <c r="L9912" s="18">
        <v>0</v>
      </c>
      <c r="Q9912" s="18">
        <v>0</v>
      </c>
      <c r="V9912" s="22">
        <f>3.64/5</f>
        <v>0.72799999999999998</v>
      </c>
      <c r="X9912" s="3">
        <v>2</v>
      </c>
      <c r="Z9912" s="23">
        <v>2.5</v>
      </c>
      <c r="AB9912" s="18">
        <f t="shared" si="308"/>
        <v>1991</v>
      </c>
      <c r="AC9912" s="22">
        <f t="shared" si="309"/>
        <v>0.56400000000000006</v>
      </c>
    </row>
    <row r="9913" spans="1:29">
      <c r="A9913" s="8" t="s">
        <v>14372</v>
      </c>
      <c r="B9913" s="17" t="s">
        <v>7745</v>
      </c>
      <c r="C9913" s="12">
        <v>33270</v>
      </c>
      <c r="D9913" s="13" t="s">
        <v>8465</v>
      </c>
      <c r="E9913" s="10" t="s">
        <v>86</v>
      </c>
      <c r="F9913" s="10" t="s">
        <v>86</v>
      </c>
      <c r="G9913" s="11" t="s">
        <v>14372</v>
      </c>
      <c r="H9913" s="2" t="s">
        <v>150</v>
      </c>
      <c r="L9913" s="18">
        <v>0</v>
      </c>
      <c r="Q9913" s="18">
        <v>0</v>
      </c>
      <c r="V9913" s="22">
        <f>3.08/5</f>
        <v>0.61599999999999999</v>
      </c>
      <c r="X9913" s="3">
        <v>2</v>
      </c>
      <c r="Z9913" s="23">
        <v>3.5</v>
      </c>
      <c r="AB9913" s="18">
        <f t="shared" si="308"/>
        <v>1991</v>
      </c>
      <c r="AC9913" s="22">
        <f t="shared" si="309"/>
        <v>0.50800000000000001</v>
      </c>
    </row>
    <row r="9914" spans="1:29" ht="30">
      <c r="A9914" s="8" t="s">
        <v>13197</v>
      </c>
      <c r="B9914" s="17" t="s">
        <v>7745</v>
      </c>
      <c r="C9914" s="12">
        <v>33270</v>
      </c>
      <c r="D9914" s="13" t="s">
        <v>8465</v>
      </c>
      <c r="E9914" s="10" t="s">
        <v>8394</v>
      </c>
      <c r="F9914" s="10" t="s">
        <v>13198</v>
      </c>
      <c r="H9914" s="2" t="s">
        <v>1377</v>
      </c>
      <c r="L9914" s="18">
        <v>0</v>
      </c>
      <c r="Q9914" s="18">
        <v>0</v>
      </c>
      <c r="V9914" s="22">
        <f>2.85/5</f>
        <v>0.57000000000000006</v>
      </c>
      <c r="X9914" s="3">
        <v>2</v>
      </c>
      <c r="Z9914" s="23">
        <v>2</v>
      </c>
      <c r="AB9914" s="18">
        <f t="shared" si="308"/>
        <v>1991</v>
      </c>
      <c r="AC9914" s="22">
        <f t="shared" si="309"/>
        <v>0.48500000000000004</v>
      </c>
    </row>
    <row r="9915" spans="1:29">
      <c r="A9915" s="8" t="s">
        <v>1249</v>
      </c>
      <c r="B9915" s="17" t="s">
        <v>7734</v>
      </c>
      <c r="C9915" s="13">
        <v>33263</v>
      </c>
      <c r="D9915" s="13" t="s">
        <v>8465</v>
      </c>
      <c r="E9915" s="10" t="s">
        <v>250</v>
      </c>
      <c r="F9915" s="10" t="s">
        <v>250</v>
      </c>
      <c r="H9915" s="2" t="s">
        <v>56</v>
      </c>
      <c r="L9915" s="18">
        <v>0</v>
      </c>
      <c r="Q9915" s="18">
        <v>0</v>
      </c>
      <c r="V9915" s="22">
        <f>3.44/5</f>
        <v>0.68799999999999994</v>
      </c>
      <c r="X9915" s="3">
        <v>2</v>
      </c>
      <c r="Z9915" s="23">
        <v>6.5</v>
      </c>
      <c r="AB9915" s="18">
        <f t="shared" si="308"/>
        <v>1991</v>
      </c>
      <c r="AC9915" s="22">
        <f t="shared" si="309"/>
        <v>0.54400000000000004</v>
      </c>
    </row>
    <row r="9916" spans="1:29" ht="25.5">
      <c r="A9916" s="8" t="s">
        <v>288</v>
      </c>
      <c r="B9916" s="17" t="s">
        <v>7734</v>
      </c>
      <c r="C9916" s="13">
        <v>33243</v>
      </c>
      <c r="D9916" s="13" t="s">
        <v>8463</v>
      </c>
      <c r="E9916" s="10" t="s">
        <v>72</v>
      </c>
      <c r="F9916" s="10" t="s">
        <v>72</v>
      </c>
      <c r="G9916" s="11" t="s">
        <v>287</v>
      </c>
      <c r="H9916" s="2" t="s">
        <v>64</v>
      </c>
      <c r="K9916" s="18">
        <v>2</v>
      </c>
      <c r="L9916" s="18">
        <v>0</v>
      </c>
      <c r="Q9916" s="18">
        <v>0</v>
      </c>
      <c r="V9916" s="22">
        <f>3.8/5</f>
        <v>0.76</v>
      </c>
      <c r="X9916" s="3">
        <v>2</v>
      </c>
      <c r="Z9916" s="23">
        <v>1</v>
      </c>
      <c r="AB9916" s="18">
        <f t="shared" si="308"/>
        <v>1991</v>
      </c>
      <c r="AC9916" s="22">
        <f t="shared" si="309"/>
        <v>0.58000000000000007</v>
      </c>
    </row>
    <row r="9917" spans="1:29">
      <c r="A9917" s="8" t="s">
        <v>281</v>
      </c>
      <c r="B9917" s="17" t="s">
        <v>7734</v>
      </c>
      <c r="C9917" s="13">
        <v>33242</v>
      </c>
      <c r="D9917" s="13" t="s">
        <v>8463</v>
      </c>
      <c r="E9917" s="10" t="s">
        <v>158</v>
      </c>
      <c r="F9917" s="10" t="s">
        <v>158</v>
      </c>
      <c r="H9917" s="2" t="s">
        <v>149</v>
      </c>
      <c r="K9917" s="18">
        <v>2</v>
      </c>
      <c r="L9917" s="18">
        <v>0</v>
      </c>
      <c r="Q9917" s="18">
        <v>0</v>
      </c>
      <c r="V9917" s="22">
        <f>3.78/5</f>
        <v>0.75600000000000001</v>
      </c>
      <c r="X9917" s="3">
        <v>3</v>
      </c>
      <c r="AB9917" s="18">
        <f t="shared" si="308"/>
        <v>1991</v>
      </c>
      <c r="AC9917" s="22">
        <f t="shared" si="309"/>
        <v>0.67799999999999994</v>
      </c>
    </row>
    <row r="9918" spans="1:29">
      <c r="A9918" s="8" t="s">
        <v>2563</v>
      </c>
      <c r="B9918" s="17" t="s">
        <v>7751</v>
      </c>
      <c r="C9918" s="13">
        <v>33240</v>
      </c>
      <c r="D9918" s="13" t="s">
        <v>8465</v>
      </c>
      <c r="E9918" s="10" t="s">
        <v>455</v>
      </c>
      <c r="F9918" s="10" t="s">
        <v>455</v>
      </c>
      <c r="H9918" s="2" t="s">
        <v>61</v>
      </c>
      <c r="L9918" s="18">
        <v>0</v>
      </c>
      <c r="Q9918" s="18">
        <v>0</v>
      </c>
      <c r="U9918" s="22">
        <v>0.66</v>
      </c>
      <c r="V9918" s="22">
        <f>3.54/5</f>
        <v>0.70799999999999996</v>
      </c>
      <c r="X9918" s="3">
        <v>2</v>
      </c>
      <c r="Z9918" s="23">
        <v>1.5</v>
      </c>
      <c r="AB9918" s="18">
        <f t="shared" si="308"/>
        <v>1991</v>
      </c>
      <c r="AC9918" s="22">
        <f t="shared" si="309"/>
        <v>0.58933333333333326</v>
      </c>
    </row>
    <row r="9919" spans="1:29">
      <c r="A9919" s="8" t="s">
        <v>2863</v>
      </c>
      <c r="B9919" s="17" t="s">
        <v>7789</v>
      </c>
      <c r="C9919" s="12">
        <v>33239</v>
      </c>
      <c r="D9919" s="13" t="s">
        <v>8465</v>
      </c>
      <c r="E9919" s="10" t="s">
        <v>1456</v>
      </c>
      <c r="F9919" s="10" t="s">
        <v>57</v>
      </c>
      <c r="H9919" s="2" t="s">
        <v>1050</v>
      </c>
      <c r="L9919" s="18">
        <v>0</v>
      </c>
      <c r="Q9919" s="18">
        <v>0</v>
      </c>
      <c r="V9919" s="22">
        <f>3.68/5</f>
        <v>0.73599999999999999</v>
      </c>
      <c r="X9919" s="3">
        <v>3</v>
      </c>
      <c r="AB9919" s="18">
        <f t="shared" si="308"/>
        <v>1991</v>
      </c>
      <c r="AC9919" s="22">
        <f t="shared" si="309"/>
        <v>0.66799999999999993</v>
      </c>
    </row>
    <row r="9920" spans="1:29" ht="38.25">
      <c r="A9920" s="8" t="s">
        <v>6832</v>
      </c>
      <c r="B9920" s="17" t="s">
        <v>7800</v>
      </c>
      <c r="C9920" s="12">
        <v>33239</v>
      </c>
      <c r="D9920" s="13" t="s">
        <v>8465</v>
      </c>
      <c r="E9920" s="10" t="s">
        <v>1784</v>
      </c>
      <c r="F9920" s="10" t="s">
        <v>1784</v>
      </c>
      <c r="G9920" s="11" t="s">
        <v>6562</v>
      </c>
      <c r="H9920" s="2" t="s">
        <v>1720</v>
      </c>
      <c r="L9920" s="18">
        <v>0</v>
      </c>
      <c r="Q9920" s="18">
        <v>0</v>
      </c>
      <c r="V9920" s="22">
        <f>4.07/5</f>
        <v>0.81400000000000006</v>
      </c>
      <c r="X9920" s="3">
        <v>3</v>
      </c>
      <c r="Z9920" s="23">
        <v>10</v>
      </c>
      <c r="AB9920" s="18">
        <f t="shared" si="308"/>
        <v>1991</v>
      </c>
      <c r="AC9920" s="22">
        <f t="shared" si="309"/>
        <v>0.70700000000000007</v>
      </c>
    </row>
    <row r="9921" spans="1:29" ht="30">
      <c r="A9921" s="8" t="s">
        <v>3139</v>
      </c>
      <c r="B9921" s="17" t="s">
        <v>9581</v>
      </c>
      <c r="C9921" s="24">
        <v>33239</v>
      </c>
      <c r="D9921" s="13" t="s">
        <v>8465</v>
      </c>
      <c r="E9921" s="10" t="s">
        <v>1634</v>
      </c>
      <c r="F9921" s="10" t="s">
        <v>1634</v>
      </c>
      <c r="G9921" s="11" t="s">
        <v>3139</v>
      </c>
      <c r="H9921" s="2" t="s">
        <v>2138</v>
      </c>
      <c r="L9921" s="18">
        <v>0</v>
      </c>
      <c r="Q9921" s="18">
        <v>0</v>
      </c>
      <c r="V9921" s="22">
        <f>4.06/5</f>
        <v>0.81199999999999994</v>
      </c>
      <c r="X9921" s="3">
        <v>3</v>
      </c>
      <c r="Z9921" s="23">
        <v>5</v>
      </c>
      <c r="AB9921" s="18">
        <f t="shared" ref="AB9921:AB9984" si="310">IFERROR(YEAR(C9921), "Early Access")</f>
        <v>1991</v>
      </c>
      <c r="AC9921" s="22">
        <f t="shared" ref="AC9921:AC9984" si="311">AVERAGE(T9921, U9921, V9921, IF(ISBLANK(X9921), X9921, X9921/5))</f>
        <v>0.70599999999999996</v>
      </c>
    </row>
    <row r="9922" spans="1:29" ht="25.5">
      <c r="A9922" s="8" t="s">
        <v>6798</v>
      </c>
      <c r="B9922" s="17" t="s">
        <v>7800</v>
      </c>
      <c r="C9922" s="12">
        <v>33239</v>
      </c>
      <c r="D9922" s="13" t="s">
        <v>8465</v>
      </c>
      <c r="E9922" s="10" t="s">
        <v>2659</v>
      </c>
      <c r="F9922" s="10" t="s">
        <v>2659</v>
      </c>
      <c r="G9922" s="11" t="s">
        <v>1864</v>
      </c>
      <c r="H9922" s="2" t="s">
        <v>1720</v>
      </c>
      <c r="L9922" s="18">
        <v>0</v>
      </c>
      <c r="Q9922" s="18">
        <v>0</v>
      </c>
      <c r="U9922" s="22">
        <v>0.8</v>
      </c>
      <c r="V9922" s="22">
        <f>3.97/5</f>
        <v>0.79400000000000004</v>
      </c>
      <c r="X9922" s="3">
        <v>3</v>
      </c>
      <c r="Z9922" s="23">
        <v>55.5</v>
      </c>
      <c r="AB9922" s="18">
        <f t="shared" si="310"/>
        <v>1991</v>
      </c>
      <c r="AC9922" s="22">
        <f t="shared" si="311"/>
        <v>0.73133333333333328</v>
      </c>
    </row>
    <row r="9923" spans="1:29" ht="30">
      <c r="A9923" s="8" t="s">
        <v>6764</v>
      </c>
      <c r="B9923" s="17" t="s">
        <v>7800</v>
      </c>
      <c r="C9923" s="12">
        <v>33239</v>
      </c>
      <c r="D9923" s="13" t="s">
        <v>8465</v>
      </c>
      <c r="E9923" s="10" t="s">
        <v>3625</v>
      </c>
      <c r="F9923" s="10" t="s">
        <v>6891</v>
      </c>
      <c r="H9923" s="2" t="s">
        <v>67</v>
      </c>
      <c r="L9923" s="18">
        <v>0</v>
      </c>
      <c r="Q9923" s="18">
        <v>0</v>
      </c>
      <c r="V9923" s="22">
        <f>3.94/5</f>
        <v>0.78800000000000003</v>
      </c>
      <c r="X9923" s="3">
        <v>3</v>
      </c>
      <c r="AB9923" s="18">
        <f t="shared" si="310"/>
        <v>1991</v>
      </c>
      <c r="AC9923" s="22">
        <f t="shared" si="311"/>
        <v>0.69399999999999995</v>
      </c>
    </row>
    <row r="9924" spans="1:29">
      <c r="A9924" s="8" t="s">
        <v>2856</v>
      </c>
      <c r="B9924" s="17" t="s">
        <v>7789</v>
      </c>
      <c r="C9924" s="12">
        <v>33239</v>
      </c>
      <c r="D9924" s="13" t="s">
        <v>8465</v>
      </c>
      <c r="E9924" s="10" t="s">
        <v>2870</v>
      </c>
      <c r="F9924" s="10" t="s">
        <v>1318</v>
      </c>
      <c r="G9924" s="11" t="s">
        <v>1319</v>
      </c>
      <c r="H9924" s="2" t="s">
        <v>64</v>
      </c>
      <c r="L9924" s="18">
        <v>0</v>
      </c>
      <c r="Q9924" s="18">
        <v>0</v>
      </c>
      <c r="V9924" s="22">
        <f>3.9/5</f>
        <v>0.78</v>
      </c>
      <c r="X9924" s="3">
        <v>3</v>
      </c>
      <c r="Z9924" s="23">
        <v>2</v>
      </c>
      <c r="AB9924" s="18">
        <f t="shared" si="310"/>
        <v>1991</v>
      </c>
      <c r="AC9924" s="22">
        <f t="shared" si="311"/>
        <v>0.69</v>
      </c>
    </row>
    <row r="9925" spans="1:29">
      <c r="A9925" s="8" t="s">
        <v>2407</v>
      </c>
      <c r="B9925" s="17" t="s">
        <v>7756</v>
      </c>
      <c r="C9925" s="12">
        <v>33239</v>
      </c>
      <c r="D9925" s="13" t="s">
        <v>8465</v>
      </c>
      <c r="E9925" s="10" t="s">
        <v>455</v>
      </c>
      <c r="F9925" s="10" t="s">
        <v>455</v>
      </c>
      <c r="G9925" s="11" t="s">
        <v>2407</v>
      </c>
      <c r="H9925" s="2" t="s">
        <v>56</v>
      </c>
      <c r="L9925" s="18">
        <v>0</v>
      </c>
      <c r="Q9925" s="18">
        <v>0</v>
      </c>
      <c r="V9925" s="22">
        <f>3.87/5</f>
        <v>0.77400000000000002</v>
      </c>
      <c r="X9925" s="3">
        <v>3</v>
      </c>
      <c r="Z9925" s="23">
        <v>1.5</v>
      </c>
      <c r="AB9925" s="18">
        <f t="shared" si="310"/>
        <v>1991</v>
      </c>
      <c r="AC9925" s="22">
        <f t="shared" si="311"/>
        <v>0.68700000000000006</v>
      </c>
    </row>
    <row r="9926" spans="1:29">
      <c r="A9926" s="8" t="s">
        <v>2866</v>
      </c>
      <c r="B9926" s="17" t="s">
        <v>7789</v>
      </c>
      <c r="C9926" s="12">
        <v>33239</v>
      </c>
      <c r="D9926" s="13" t="s">
        <v>8465</v>
      </c>
      <c r="E9926" s="10" t="s">
        <v>62</v>
      </c>
      <c r="F9926" s="10" t="s">
        <v>465</v>
      </c>
      <c r="G9926" s="11" t="s">
        <v>2874</v>
      </c>
      <c r="H9926" s="2" t="s">
        <v>21</v>
      </c>
      <c r="L9926" s="18">
        <v>0</v>
      </c>
      <c r="Q9926" s="18">
        <v>0</v>
      </c>
      <c r="V9926" s="22">
        <f>3.87/5</f>
        <v>0.77400000000000002</v>
      </c>
      <c r="X9926" s="3">
        <v>3</v>
      </c>
      <c r="Z9926" s="23">
        <v>2</v>
      </c>
      <c r="AB9926" s="18">
        <f t="shared" si="310"/>
        <v>1991</v>
      </c>
      <c r="AC9926" s="22">
        <f t="shared" si="311"/>
        <v>0.68700000000000006</v>
      </c>
    </row>
    <row r="9927" spans="1:29" ht="38.25">
      <c r="A9927" s="8" t="s">
        <v>6768</v>
      </c>
      <c r="B9927" s="17" t="s">
        <v>7800</v>
      </c>
      <c r="C9927" s="12">
        <v>33239</v>
      </c>
      <c r="D9927" s="13" t="s">
        <v>8465</v>
      </c>
      <c r="E9927" s="10" t="s">
        <v>6668</v>
      </c>
      <c r="F9927" s="10" t="s">
        <v>2654</v>
      </c>
      <c r="G9927" s="11" t="s">
        <v>445</v>
      </c>
      <c r="H9927" s="2" t="s">
        <v>1720</v>
      </c>
      <c r="L9927" s="18">
        <v>1</v>
      </c>
      <c r="N9927" s="13">
        <v>43999</v>
      </c>
      <c r="O9927" s="29">
        <v>0</v>
      </c>
      <c r="P9927" s="18" t="s">
        <v>1107</v>
      </c>
      <c r="Q9927" s="18">
        <v>0</v>
      </c>
      <c r="V9927" s="22">
        <f>3.84/5</f>
        <v>0.76800000000000002</v>
      </c>
      <c r="W9927" s="14" t="s">
        <v>7778</v>
      </c>
      <c r="X9927" s="3">
        <v>3</v>
      </c>
      <c r="Z9927" s="23">
        <v>11.5</v>
      </c>
      <c r="AB9927" s="18">
        <f t="shared" si="310"/>
        <v>1991</v>
      </c>
      <c r="AC9927" s="22">
        <f t="shared" si="311"/>
        <v>0.68399999999999994</v>
      </c>
    </row>
    <row r="9928" spans="1:29" ht="30">
      <c r="A9928" s="8" t="s">
        <v>2501</v>
      </c>
      <c r="B9928" s="17" t="s">
        <v>7750</v>
      </c>
      <c r="C9928" s="12">
        <v>33239</v>
      </c>
      <c r="D9928" s="13" t="s">
        <v>8465</v>
      </c>
      <c r="E9928" s="10" t="s">
        <v>455</v>
      </c>
      <c r="F9928" s="10" t="s">
        <v>455</v>
      </c>
      <c r="G9928" s="11" t="s">
        <v>446</v>
      </c>
      <c r="H9928" s="2" t="s">
        <v>171</v>
      </c>
      <c r="L9928" s="18">
        <v>0</v>
      </c>
      <c r="Q9928" s="18">
        <v>0</v>
      </c>
      <c r="V9928" s="22">
        <f>3.76/5</f>
        <v>0.752</v>
      </c>
      <c r="X9928" s="3">
        <v>3</v>
      </c>
      <c r="Z9928" s="23">
        <v>7</v>
      </c>
      <c r="AB9928" s="18">
        <f t="shared" si="310"/>
        <v>1991</v>
      </c>
      <c r="AC9928" s="22">
        <f t="shared" si="311"/>
        <v>0.67599999999999993</v>
      </c>
    </row>
    <row r="9929" spans="1:29" ht="25.5">
      <c r="A9929" s="8" t="s">
        <v>5257</v>
      </c>
      <c r="B9929" s="17" t="s">
        <v>7800</v>
      </c>
      <c r="C9929" s="13">
        <v>33239</v>
      </c>
      <c r="D9929" s="13" t="s">
        <v>8465</v>
      </c>
      <c r="E9929" s="10" t="s">
        <v>5258</v>
      </c>
      <c r="F9929" s="10" t="s">
        <v>5258</v>
      </c>
      <c r="G9929" s="11" t="s">
        <v>5254</v>
      </c>
      <c r="H9929" s="2" t="s">
        <v>67</v>
      </c>
      <c r="L9929" s="18">
        <v>1</v>
      </c>
      <c r="N9929" s="13">
        <v>42027</v>
      </c>
      <c r="P9929" s="18" t="s">
        <v>1107</v>
      </c>
      <c r="Q9929" s="18">
        <v>0</v>
      </c>
      <c r="U9929" s="22">
        <v>0.75</v>
      </c>
      <c r="V9929" s="22">
        <f>3.63/5</f>
        <v>0.72599999999999998</v>
      </c>
      <c r="W9929" s="14" t="s">
        <v>7777</v>
      </c>
      <c r="X9929" s="3">
        <v>3</v>
      </c>
      <c r="Z9929" s="23">
        <v>7</v>
      </c>
      <c r="AB9929" s="18">
        <f t="shared" si="310"/>
        <v>1991</v>
      </c>
      <c r="AC9929" s="22">
        <f t="shared" si="311"/>
        <v>0.69200000000000006</v>
      </c>
    </row>
    <row r="9930" spans="1:29">
      <c r="A9930" s="8" t="s">
        <v>6767</v>
      </c>
      <c r="B9930" s="17" t="s">
        <v>7800</v>
      </c>
      <c r="C9930" s="12">
        <v>33239</v>
      </c>
      <c r="D9930" s="13" t="s">
        <v>8465</v>
      </c>
      <c r="E9930" s="10" t="s">
        <v>6668</v>
      </c>
      <c r="F9930" s="10" t="s">
        <v>2654</v>
      </c>
      <c r="G9930" s="11" t="s">
        <v>445</v>
      </c>
      <c r="H9930" s="2" t="s">
        <v>1720</v>
      </c>
      <c r="L9930" s="18">
        <v>1</v>
      </c>
      <c r="N9930" s="13">
        <v>43999</v>
      </c>
      <c r="O9930" s="29">
        <v>0</v>
      </c>
      <c r="P9930" s="18" t="s">
        <v>1107</v>
      </c>
      <c r="Q9930" s="18">
        <v>0</v>
      </c>
      <c r="U9930" s="22">
        <v>0.7</v>
      </c>
      <c r="V9930" s="22">
        <f>3.69/5</f>
        <v>0.73799999999999999</v>
      </c>
      <c r="W9930" s="14" t="s">
        <v>7778</v>
      </c>
      <c r="X9930" s="3">
        <v>3</v>
      </c>
      <c r="Z9930" s="23">
        <v>6</v>
      </c>
      <c r="AB9930" s="18">
        <f t="shared" si="310"/>
        <v>1991</v>
      </c>
      <c r="AC9930" s="22">
        <f t="shared" si="311"/>
        <v>0.67933333333333323</v>
      </c>
    </row>
    <row r="9931" spans="1:29" ht="25.5">
      <c r="A9931" s="8" t="s">
        <v>6770</v>
      </c>
      <c r="B9931" s="17" t="s">
        <v>7800</v>
      </c>
      <c r="C9931" s="12">
        <v>33239</v>
      </c>
      <c r="D9931" s="13" t="s">
        <v>8465</v>
      </c>
      <c r="E9931" s="10" t="s">
        <v>6668</v>
      </c>
      <c r="F9931" s="10" t="s">
        <v>6652</v>
      </c>
      <c r="G9931" s="11" t="s">
        <v>445</v>
      </c>
      <c r="H9931" s="2" t="s">
        <v>1720</v>
      </c>
      <c r="L9931" s="18">
        <v>0</v>
      </c>
      <c r="Q9931" s="18">
        <v>0</v>
      </c>
      <c r="V9931" s="22">
        <f>3.58/5</f>
        <v>0.71599999999999997</v>
      </c>
      <c r="X9931" s="3">
        <v>3</v>
      </c>
      <c r="Z9931" s="23">
        <v>10.5</v>
      </c>
      <c r="AB9931" s="18">
        <f t="shared" si="310"/>
        <v>1991</v>
      </c>
      <c r="AC9931" s="22">
        <f t="shared" si="311"/>
        <v>0.65799999999999992</v>
      </c>
    </row>
    <row r="9932" spans="1:29" ht="25.5">
      <c r="A9932" s="8" t="s">
        <v>7645</v>
      </c>
      <c r="B9932" s="17" t="s">
        <v>6317</v>
      </c>
      <c r="C9932" s="12">
        <v>33239</v>
      </c>
      <c r="D9932" s="13" t="s">
        <v>8465</v>
      </c>
      <c r="E9932" s="10" t="s">
        <v>455</v>
      </c>
      <c r="F9932" s="10" t="s">
        <v>463</v>
      </c>
      <c r="G9932" s="11" t="s">
        <v>443</v>
      </c>
      <c r="H9932" s="2" t="s">
        <v>21</v>
      </c>
      <c r="L9932" s="18">
        <v>0</v>
      </c>
      <c r="Q9932" s="18">
        <v>0</v>
      </c>
      <c r="V9932" s="22">
        <f>3.45/5</f>
        <v>0.69000000000000006</v>
      </c>
      <c r="X9932" s="3">
        <v>3</v>
      </c>
      <c r="Z9932" s="23">
        <v>4.5</v>
      </c>
      <c r="AB9932" s="18">
        <f t="shared" si="310"/>
        <v>1991</v>
      </c>
      <c r="AC9932" s="22">
        <f t="shared" si="311"/>
        <v>0.64500000000000002</v>
      </c>
    </row>
    <row r="9933" spans="1:29">
      <c r="A9933" s="8" t="s">
        <v>2551</v>
      </c>
      <c r="B9933" s="17" t="s">
        <v>7751</v>
      </c>
      <c r="C9933" s="12">
        <v>33239</v>
      </c>
      <c r="D9933" s="13" t="s">
        <v>8465</v>
      </c>
      <c r="E9933" s="10" t="s">
        <v>455</v>
      </c>
      <c r="F9933" s="10" t="s">
        <v>455</v>
      </c>
      <c r="H9933" s="2" t="s">
        <v>153</v>
      </c>
      <c r="L9933" s="18">
        <v>0</v>
      </c>
      <c r="Q9933" s="18">
        <v>0</v>
      </c>
      <c r="U9933" s="22">
        <v>0.61</v>
      </c>
      <c r="V9933" s="22">
        <f>3.56/5</f>
        <v>0.71199999999999997</v>
      </c>
      <c r="X9933" s="3">
        <v>3</v>
      </c>
      <c r="Z9933" s="23">
        <v>0.8</v>
      </c>
      <c r="AB9933" s="18">
        <f t="shared" si="310"/>
        <v>1991</v>
      </c>
      <c r="AC9933" s="22">
        <f t="shared" si="311"/>
        <v>0.64066666666666672</v>
      </c>
    </row>
    <row r="9934" spans="1:29" ht="30">
      <c r="A9934" s="8" t="s">
        <v>9587</v>
      </c>
      <c r="B9934" s="17" t="s">
        <v>9581</v>
      </c>
      <c r="C9934" s="12">
        <v>33239</v>
      </c>
      <c r="D9934" s="13" t="s">
        <v>8465</v>
      </c>
      <c r="E9934" s="10" t="s">
        <v>3625</v>
      </c>
      <c r="F9934" s="10" t="s">
        <v>9588</v>
      </c>
      <c r="H9934" s="2" t="s">
        <v>171</v>
      </c>
      <c r="L9934" s="18">
        <v>0</v>
      </c>
      <c r="Q9934" s="18">
        <v>0</v>
      </c>
      <c r="V9934" s="22">
        <f>4.23/5</f>
        <v>0.84600000000000009</v>
      </c>
      <c r="X9934" s="3">
        <v>2</v>
      </c>
      <c r="Z9934" s="23">
        <v>2.5</v>
      </c>
      <c r="AB9934" s="18">
        <f t="shared" si="310"/>
        <v>1991</v>
      </c>
      <c r="AC9934" s="22">
        <f t="shared" si="311"/>
        <v>0.623</v>
      </c>
    </row>
    <row r="9935" spans="1:29">
      <c r="A9935" s="8" t="s">
        <v>2577</v>
      </c>
      <c r="B9935" s="17" t="s">
        <v>7751</v>
      </c>
      <c r="C9935" s="12">
        <v>33239</v>
      </c>
      <c r="D9935" s="13" t="s">
        <v>8465</v>
      </c>
      <c r="E9935" s="10" t="s">
        <v>2641</v>
      </c>
      <c r="F9935" s="10" t="s">
        <v>167</v>
      </c>
      <c r="G9935" s="11" t="s">
        <v>1315</v>
      </c>
      <c r="H9935" s="2" t="s">
        <v>21</v>
      </c>
      <c r="L9935" s="18">
        <v>0</v>
      </c>
      <c r="Q9935" s="18">
        <v>0</v>
      </c>
      <c r="U9935" s="22">
        <v>0.86</v>
      </c>
      <c r="V9935" s="22">
        <f>3.99/5</f>
        <v>0.79800000000000004</v>
      </c>
      <c r="X9935" s="3">
        <v>2</v>
      </c>
      <c r="Z9935" s="23">
        <v>1.5</v>
      </c>
      <c r="AB9935" s="18">
        <f t="shared" si="310"/>
        <v>1991</v>
      </c>
      <c r="AC9935" s="22">
        <f t="shared" si="311"/>
        <v>0.68599999999999994</v>
      </c>
    </row>
    <row r="9936" spans="1:29" ht="25.5">
      <c r="A9936" s="8" t="s">
        <v>10336</v>
      </c>
      <c r="B9936" s="17" t="s">
        <v>7787</v>
      </c>
      <c r="C9936" s="12">
        <v>33239</v>
      </c>
      <c r="D9936" s="13" t="s">
        <v>8463</v>
      </c>
      <c r="E9936" s="10" t="s">
        <v>1200</v>
      </c>
      <c r="F9936" s="10" t="s">
        <v>1200</v>
      </c>
      <c r="H9936" s="2" t="s">
        <v>149</v>
      </c>
      <c r="K9936" s="18">
        <v>1</v>
      </c>
      <c r="L9936" s="18">
        <v>0</v>
      </c>
      <c r="Q9936" s="18">
        <v>0</v>
      </c>
      <c r="V9936" s="22">
        <f>4.1/5</f>
        <v>0.82</v>
      </c>
      <c r="X9936" s="3">
        <v>2</v>
      </c>
      <c r="AB9936" s="18">
        <f t="shared" si="310"/>
        <v>1991</v>
      </c>
      <c r="AC9936" s="22">
        <f t="shared" si="311"/>
        <v>0.61</v>
      </c>
    </row>
    <row r="9937" spans="1:29" ht="38.25">
      <c r="A9937" s="8" t="s">
        <v>6761</v>
      </c>
      <c r="B9937" s="17" t="s">
        <v>7800</v>
      </c>
      <c r="C9937" s="12">
        <v>33239</v>
      </c>
      <c r="D9937" s="13" t="s">
        <v>8465</v>
      </c>
      <c r="E9937" s="10" t="s">
        <v>6890</v>
      </c>
      <c r="F9937" s="10" t="s">
        <v>1889</v>
      </c>
      <c r="G9937" s="11" t="s">
        <v>6889</v>
      </c>
      <c r="H9937" s="2" t="s">
        <v>64</v>
      </c>
      <c r="L9937" s="18">
        <v>0</v>
      </c>
      <c r="Q9937" s="18">
        <v>0</v>
      </c>
      <c r="V9937" s="22">
        <f>3.96/5</f>
        <v>0.79200000000000004</v>
      </c>
      <c r="X9937" s="3">
        <v>2</v>
      </c>
      <c r="Z9937" s="23">
        <v>3</v>
      </c>
      <c r="AB9937" s="18">
        <f t="shared" si="310"/>
        <v>1991</v>
      </c>
      <c r="AC9937" s="22">
        <f t="shared" si="311"/>
        <v>0.59600000000000009</v>
      </c>
    </row>
    <row r="9938" spans="1:29">
      <c r="A9938" s="8" t="s">
        <v>430</v>
      </c>
      <c r="B9938" s="17" t="s">
        <v>6317</v>
      </c>
      <c r="C9938" s="12">
        <v>33239</v>
      </c>
      <c r="D9938" s="13" t="s">
        <v>8465</v>
      </c>
      <c r="E9938" s="10" t="s">
        <v>54</v>
      </c>
      <c r="F9938" s="10" t="s">
        <v>54</v>
      </c>
      <c r="H9938" s="2" t="s">
        <v>153</v>
      </c>
      <c r="L9938" s="18">
        <v>0</v>
      </c>
      <c r="Q9938" s="18">
        <v>0</v>
      </c>
      <c r="V9938" s="22">
        <f>2.95/5</f>
        <v>0.59000000000000008</v>
      </c>
      <c r="X9938" s="3">
        <v>3</v>
      </c>
      <c r="Z9938" s="23">
        <v>0.55000000000000004</v>
      </c>
      <c r="AB9938" s="18">
        <f t="shared" si="310"/>
        <v>1991</v>
      </c>
      <c r="AC9938" s="22">
        <f t="shared" si="311"/>
        <v>0.59499999999999997</v>
      </c>
    </row>
    <row r="9939" spans="1:29">
      <c r="A9939" s="8" t="s">
        <v>2545</v>
      </c>
      <c r="B9939" s="17" t="s">
        <v>7751</v>
      </c>
      <c r="C9939" s="12">
        <v>33239</v>
      </c>
      <c r="D9939" s="13" t="s">
        <v>8465</v>
      </c>
      <c r="E9939" s="10" t="s">
        <v>250</v>
      </c>
      <c r="F9939" s="10" t="s">
        <v>250</v>
      </c>
      <c r="G9939" s="11" t="s">
        <v>2635</v>
      </c>
      <c r="H9939" s="2" t="s">
        <v>21</v>
      </c>
      <c r="L9939" s="18">
        <v>0</v>
      </c>
      <c r="Q9939" s="18">
        <v>0</v>
      </c>
      <c r="U9939" s="22">
        <v>0.8</v>
      </c>
      <c r="V9939" s="22">
        <f>3.83/5</f>
        <v>0.76600000000000001</v>
      </c>
      <c r="X9939" s="3">
        <v>2</v>
      </c>
      <c r="Z9939" s="23">
        <v>0.72</v>
      </c>
      <c r="AB9939" s="18">
        <f t="shared" si="310"/>
        <v>1991</v>
      </c>
      <c r="AC9939" s="22">
        <f t="shared" si="311"/>
        <v>0.65533333333333343</v>
      </c>
    </row>
    <row r="9940" spans="1:29" ht="25.5">
      <c r="A9940" s="8" t="s">
        <v>6802</v>
      </c>
      <c r="B9940" s="17" t="s">
        <v>7800</v>
      </c>
      <c r="C9940" s="12">
        <v>33239</v>
      </c>
      <c r="D9940" s="13" t="s">
        <v>8465</v>
      </c>
      <c r="E9940" s="10" t="s">
        <v>1496</v>
      </c>
      <c r="F9940" s="10" t="s">
        <v>1496</v>
      </c>
      <c r="G9940" s="11" t="s">
        <v>6901</v>
      </c>
      <c r="H9940" s="2" t="s">
        <v>67</v>
      </c>
      <c r="L9940" s="18">
        <v>1</v>
      </c>
      <c r="N9940" s="13">
        <v>43956</v>
      </c>
      <c r="O9940" s="29">
        <v>0</v>
      </c>
      <c r="P9940" s="18" t="s">
        <v>1107</v>
      </c>
      <c r="Q9940" s="18">
        <v>0</v>
      </c>
      <c r="U9940" s="22">
        <v>0.4</v>
      </c>
      <c r="V9940" s="22">
        <f>3.74/5</f>
        <v>0.748</v>
      </c>
      <c r="W9940" s="14" t="s">
        <v>7777</v>
      </c>
      <c r="X9940" s="3">
        <v>3</v>
      </c>
      <c r="Z9940" s="23">
        <v>4</v>
      </c>
      <c r="AB9940" s="18">
        <f t="shared" si="310"/>
        <v>1991</v>
      </c>
      <c r="AC9940" s="22">
        <f t="shared" si="311"/>
        <v>0.58266666666666678</v>
      </c>
    </row>
    <row r="9941" spans="1:29" ht="25.5">
      <c r="A9941" s="8" t="s">
        <v>2795</v>
      </c>
      <c r="B9941" s="17" t="s">
        <v>7756</v>
      </c>
      <c r="C9941" s="12">
        <v>33239</v>
      </c>
      <c r="D9941" s="13" t="s">
        <v>8465</v>
      </c>
      <c r="E9941" s="10" t="s">
        <v>455</v>
      </c>
      <c r="F9941" s="10" t="s">
        <v>2510</v>
      </c>
      <c r="G9941" s="11" t="s">
        <v>446</v>
      </c>
      <c r="H9941" s="2" t="s">
        <v>80</v>
      </c>
      <c r="L9941" s="18">
        <v>0</v>
      </c>
      <c r="Q9941" s="18">
        <v>0</v>
      </c>
      <c r="V9941" s="22">
        <f>2.86/5</f>
        <v>0.57199999999999995</v>
      </c>
      <c r="X9941" s="3">
        <v>3</v>
      </c>
      <c r="Z9941" s="23">
        <v>1.5</v>
      </c>
      <c r="AB9941" s="18">
        <f t="shared" si="310"/>
        <v>1991</v>
      </c>
      <c r="AC9941" s="22">
        <f t="shared" si="311"/>
        <v>0.58599999999999997</v>
      </c>
    </row>
    <row r="9942" spans="1:29" ht="25.5">
      <c r="A9942" s="8" t="s">
        <v>2599</v>
      </c>
      <c r="B9942" s="17" t="s">
        <v>7751</v>
      </c>
      <c r="C9942" s="12">
        <v>33239</v>
      </c>
      <c r="D9942" s="13" t="s">
        <v>8465</v>
      </c>
      <c r="E9942" s="10" t="s">
        <v>2638</v>
      </c>
      <c r="F9942" s="10" t="s">
        <v>1294</v>
      </c>
      <c r="G9942" s="11" t="s">
        <v>1295</v>
      </c>
      <c r="H9942" s="2" t="s">
        <v>56</v>
      </c>
      <c r="L9942" s="18">
        <v>0</v>
      </c>
      <c r="Q9942" s="18">
        <v>0</v>
      </c>
      <c r="U9942" s="22">
        <v>0.45</v>
      </c>
      <c r="V9942" s="22">
        <f>3.46/5</f>
        <v>0.69199999999999995</v>
      </c>
      <c r="X9942" s="3">
        <v>3</v>
      </c>
      <c r="Z9942" s="23">
        <v>0.97</v>
      </c>
      <c r="AB9942" s="18">
        <f t="shared" si="310"/>
        <v>1991</v>
      </c>
      <c r="AC9942" s="22">
        <f t="shared" si="311"/>
        <v>0.58066666666666666</v>
      </c>
    </row>
    <row r="9943" spans="1:29" ht="25.5">
      <c r="A9943" s="8" t="s">
        <v>341</v>
      </c>
      <c r="B9943" s="17" t="s">
        <v>6317</v>
      </c>
      <c r="C9943" s="12">
        <v>33239</v>
      </c>
      <c r="D9943" s="13" t="s">
        <v>8465</v>
      </c>
      <c r="E9943" s="10" t="s">
        <v>57</v>
      </c>
      <c r="F9943" s="10" t="s">
        <v>57</v>
      </c>
      <c r="G9943" s="11" t="s">
        <v>462</v>
      </c>
      <c r="H9943" s="2" t="s">
        <v>153</v>
      </c>
      <c r="L9943" s="18">
        <v>0</v>
      </c>
      <c r="Q9943" s="18">
        <v>0</v>
      </c>
      <c r="V9943" s="22">
        <f>3.71/5</f>
        <v>0.74199999999999999</v>
      </c>
      <c r="X9943" s="3">
        <v>2</v>
      </c>
      <c r="Z9943" s="23">
        <v>1.5</v>
      </c>
      <c r="AB9943" s="18">
        <f t="shared" si="310"/>
        <v>1991</v>
      </c>
      <c r="AC9943" s="22">
        <f t="shared" si="311"/>
        <v>0.57099999999999995</v>
      </c>
    </row>
    <row r="9944" spans="1:29">
      <c r="A9944" s="8" t="s">
        <v>2604</v>
      </c>
      <c r="B9944" s="17" t="s">
        <v>7751</v>
      </c>
      <c r="C9944" s="12">
        <v>33239</v>
      </c>
      <c r="D9944" s="13" t="s">
        <v>8465</v>
      </c>
      <c r="E9944" s="10" t="s">
        <v>2669</v>
      </c>
      <c r="F9944" s="10" t="s">
        <v>1361</v>
      </c>
      <c r="H9944" s="2" t="s">
        <v>21</v>
      </c>
      <c r="L9944" s="18">
        <v>0</v>
      </c>
      <c r="Q9944" s="18">
        <v>0</v>
      </c>
      <c r="U9944" s="22">
        <v>0.75</v>
      </c>
      <c r="V9944" s="22">
        <f>3.66/5</f>
        <v>0.73199999999999998</v>
      </c>
      <c r="X9944" s="3">
        <v>2</v>
      </c>
      <c r="Z9944" s="23">
        <v>2</v>
      </c>
      <c r="AB9944" s="18">
        <f t="shared" si="310"/>
        <v>1991</v>
      </c>
      <c r="AC9944" s="22">
        <f t="shared" si="311"/>
        <v>0.62733333333333341</v>
      </c>
    </row>
    <row r="9945" spans="1:29" ht="25.5">
      <c r="A9945" s="8" t="s">
        <v>50</v>
      </c>
      <c r="B9945" s="17" t="s">
        <v>7734</v>
      </c>
      <c r="C9945" s="12">
        <v>33239</v>
      </c>
      <c r="D9945" s="13" t="s">
        <v>8465</v>
      </c>
      <c r="E9945" s="10" t="s">
        <v>29</v>
      </c>
      <c r="F9945" s="10" t="s">
        <v>81</v>
      </c>
      <c r="H9945" s="2" t="s">
        <v>56</v>
      </c>
      <c r="L9945" s="18">
        <v>0</v>
      </c>
      <c r="Q9945" s="18">
        <v>0</v>
      </c>
      <c r="V9945" s="22">
        <f>3.68/5</f>
        <v>0.73599999999999999</v>
      </c>
      <c r="X9945" s="3">
        <v>2</v>
      </c>
      <c r="Z9945" s="23">
        <v>1</v>
      </c>
      <c r="AB9945" s="18">
        <f t="shared" si="310"/>
        <v>1991</v>
      </c>
      <c r="AC9945" s="22">
        <f t="shared" si="311"/>
        <v>0.56800000000000006</v>
      </c>
    </row>
    <row r="9946" spans="1:29">
      <c r="A9946" s="8" t="s">
        <v>2524</v>
      </c>
      <c r="B9946" s="17" t="s">
        <v>7751</v>
      </c>
      <c r="C9946" s="12">
        <v>33239</v>
      </c>
      <c r="D9946" s="13" t="s">
        <v>8465</v>
      </c>
      <c r="E9946" s="10" t="s">
        <v>465</v>
      </c>
      <c r="F9946" s="10" t="s">
        <v>2632</v>
      </c>
      <c r="H9946" s="2" t="s">
        <v>21</v>
      </c>
      <c r="L9946" s="18">
        <v>0</v>
      </c>
      <c r="Q9946" s="18">
        <v>0</v>
      </c>
      <c r="U9946" s="22">
        <v>0.8</v>
      </c>
      <c r="V9946" s="22">
        <f>3.31/5</f>
        <v>0.66200000000000003</v>
      </c>
      <c r="X9946" s="3">
        <v>2</v>
      </c>
      <c r="Z9946" s="23">
        <v>1</v>
      </c>
      <c r="AB9946" s="18">
        <f t="shared" si="310"/>
        <v>1991</v>
      </c>
      <c r="AC9946" s="22">
        <f t="shared" si="311"/>
        <v>0.6206666666666667</v>
      </c>
    </row>
    <row r="9947" spans="1:29" ht="30">
      <c r="A9947" s="8" t="s">
        <v>9589</v>
      </c>
      <c r="B9947" s="17" t="s">
        <v>9581</v>
      </c>
      <c r="C9947" s="12">
        <v>33239</v>
      </c>
      <c r="D9947" s="13" t="s">
        <v>8465</v>
      </c>
      <c r="E9947" s="10" t="s">
        <v>3625</v>
      </c>
      <c r="F9947" s="10" t="s">
        <v>2666</v>
      </c>
      <c r="H9947" s="2" t="s">
        <v>56</v>
      </c>
      <c r="L9947" s="18">
        <v>0</v>
      </c>
      <c r="Q9947" s="18">
        <v>0</v>
      </c>
      <c r="V9947" s="22">
        <f>3.64/5</f>
        <v>0.72799999999999998</v>
      </c>
      <c r="X9947" s="3">
        <v>2</v>
      </c>
      <c r="Z9947" s="23">
        <v>4</v>
      </c>
      <c r="AB9947" s="18">
        <f t="shared" si="310"/>
        <v>1991</v>
      </c>
      <c r="AC9947" s="22">
        <f t="shared" si="311"/>
        <v>0.56400000000000006</v>
      </c>
    </row>
    <row r="9948" spans="1:29" ht="25.5">
      <c r="A9948" s="8" t="s">
        <v>13492</v>
      </c>
      <c r="B9948" s="17" t="s">
        <v>7800</v>
      </c>
      <c r="C9948" s="24">
        <v>33239</v>
      </c>
      <c r="D9948" s="13" t="s">
        <v>8465</v>
      </c>
      <c r="E9948" s="10" t="s">
        <v>72</v>
      </c>
      <c r="F9948" s="10" t="s">
        <v>254</v>
      </c>
      <c r="G9948" s="11" t="s">
        <v>4445</v>
      </c>
      <c r="H9948" s="2" t="s">
        <v>1143</v>
      </c>
      <c r="L9948" s="18">
        <v>0</v>
      </c>
      <c r="Q9948" s="18">
        <v>0</v>
      </c>
      <c r="V9948" s="22">
        <f>3.61/5</f>
        <v>0.72199999999999998</v>
      </c>
      <c r="X9948" s="3">
        <v>2</v>
      </c>
      <c r="AB9948" s="18">
        <f t="shared" si="310"/>
        <v>1991</v>
      </c>
      <c r="AC9948" s="22">
        <f t="shared" si="311"/>
        <v>0.56099999999999994</v>
      </c>
    </row>
    <row r="9949" spans="1:29" ht="30">
      <c r="A9949" s="8" t="s">
        <v>14519</v>
      </c>
      <c r="B9949" s="17" t="s">
        <v>9581</v>
      </c>
      <c r="C9949" s="24">
        <v>33239</v>
      </c>
      <c r="D9949" s="13" t="s">
        <v>8467</v>
      </c>
      <c r="E9949" s="10" t="s">
        <v>1273</v>
      </c>
      <c r="F9949" s="10" t="s">
        <v>1273</v>
      </c>
      <c r="H9949" s="2" t="s">
        <v>80</v>
      </c>
      <c r="L9949" s="18">
        <v>0</v>
      </c>
      <c r="Q9949" s="18">
        <v>0</v>
      </c>
      <c r="V9949" s="22">
        <f>3.58/5</f>
        <v>0.71599999999999997</v>
      </c>
      <c r="X9949" s="3">
        <v>2</v>
      </c>
      <c r="AB9949" s="18">
        <f t="shared" si="310"/>
        <v>1991</v>
      </c>
      <c r="AC9949" s="22">
        <f t="shared" si="311"/>
        <v>0.55800000000000005</v>
      </c>
    </row>
    <row r="9950" spans="1:29" ht="25.5">
      <c r="A9950" s="8" t="s">
        <v>14914</v>
      </c>
      <c r="B9950" s="17" t="s">
        <v>6317</v>
      </c>
      <c r="C9950" s="24">
        <v>33239</v>
      </c>
      <c r="D9950" s="13" t="s">
        <v>8465</v>
      </c>
      <c r="E9950" s="10" t="s">
        <v>1466</v>
      </c>
      <c r="F9950" s="10" t="s">
        <v>1466</v>
      </c>
      <c r="G9950" s="11" t="s">
        <v>10608</v>
      </c>
      <c r="H9950" s="2" t="s">
        <v>1170</v>
      </c>
      <c r="L9950" s="18">
        <v>0</v>
      </c>
      <c r="Q9950" s="18">
        <v>0</v>
      </c>
      <c r="V9950" s="22">
        <f>3.57/5</f>
        <v>0.71399999999999997</v>
      </c>
      <c r="X9950" s="3">
        <v>2</v>
      </c>
      <c r="Z9950" s="23">
        <v>1.5</v>
      </c>
      <c r="AB9950" s="18">
        <f t="shared" si="310"/>
        <v>1991</v>
      </c>
      <c r="AC9950" s="22">
        <f t="shared" si="311"/>
        <v>0.55699999999999994</v>
      </c>
    </row>
    <row r="9951" spans="1:29">
      <c r="A9951" s="8" t="s">
        <v>11207</v>
      </c>
      <c r="B9951" s="17" t="s">
        <v>7789</v>
      </c>
      <c r="C9951" s="24">
        <v>33239</v>
      </c>
      <c r="D9951" s="13" t="s">
        <v>8465</v>
      </c>
      <c r="E9951" s="10" t="s">
        <v>2701</v>
      </c>
      <c r="F9951" s="10" t="s">
        <v>54</v>
      </c>
      <c r="H9951" s="2" t="s">
        <v>64</v>
      </c>
      <c r="L9951" s="18">
        <v>0</v>
      </c>
      <c r="Q9951" s="18">
        <v>0</v>
      </c>
      <c r="V9951" s="22">
        <f>3.54/5</f>
        <v>0.70799999999999996</v>
      </c>
      <c r="X9951" s="3">
        <v>2</v>
      </c>
      <c r="Z9951" s="23">
        <v>1</v>
      </c>
      <c r="AB9951" s="18">
        <f t="shared" si="310"/>
        <v>1991</v>
      </c>
      <c r="AC9951" s="22">
        <f t="shared" si="311"/>
        <v>0.55400000000000005</v>
      </c>
    </row>
    <row r="9952" spans="1:29">
      <c r="A9952" s="8" t="s">
        <v>13192</v>
      </c>
      <c r="B9952" s="17" t="s">
        <v>7745</v>
      </c>
      <c r="C9952" s="12">
        <v>33239</v>
      </c>
      <c r="D9952" s="13" t="s">
        <v>8465</v>
      </c>
      <c r="E9952" s="10" t="s">
        <v>13193</v>
      </c>
      <c r="F9952" s="10" t="s">
        <v>1301</v>
      </c>
      <c r="H9952" s="2" t="s">
        <v>143</v>
      </c>
      <c r="L9952" s="18">
        <v>0</v>
      </c>
      <c r="Q9952" s="18">
        <v>0</v>
      </c>
      <c r="V9952" s="22">
        <f>3.53/5</f>
        <v>0.70599999999999996</v>
      </c>
      <c r="X9952" s="3">
        <v>2</v>
      </c>
      <c r="AB9952" s="18">
        <f t="shared" si="310"/>
        <v>1991</v>
      </c>
      <c r="AC9952" s="22">
        <f t="shared" si="311"/>
        <v>0.55299999999999994</v>
      </c>
    </row>
    <row r="9953" spans="1:29" ht="38.25">
      <c r="A9953" s="8" t="s">
        <v>7586</v>
      </c>
      <c r="B9953" s="17" t="s">
        <v>7800</v>
      </c>
      <c r="C9953" s="12">
        <v>33239</v>
      </c>
      <c r="D9953" s="13" t="s">
        <v>8465</v>
      </c>
      <c r="E9953" s="10" t="s">
        <v>1784</v>
      </c>
      <c r="F9953" s="10" t="s">
        <v>1784</v>
      </c>
      <c r="G9953" s="11" t="s">
        <v>1785</v>
      </c>
      <c r="H9953" s="2" t="s">
        <v>1720</v>
      </c>
      <c r="L9953" s="18">
        <v>1</v>
      </c>
      <c r="N9953" s="13">
        <v>41078</v>
      </c>
      <c r="O9953" s="29">
        <v>0</v>
      </c>
      <c r="P9953" s="18" t="s">
        <v>1107</v>
      </c>
      <c r="Q9953" s="18">
        <v>0</v>
      </c>
      <c r="V9953" s="22">
        <f>3.52/5</f>
        <v>0.70399999999999996</v>
      </c>
      <c r="W9953" s="14" t="s">
        <v>7778</v>
      </c>
      <c r="X9953" s="3">
        <v>2</v>
      </c>
      <c r="Z9953" s="23">
        <v>17</v>
      </c>
      <c r="AB9953" s="18">
        <f t="shared" si="310"/>
        <v>1991</v>
      </c>
      <c r="AC9953" s="22">
        <f t="shared" si="311"/>
        <v>0.55200000000000005</v>
      </c>
    </row>
    <row r="9954" spans="1:29" ht="30">
      <c r="A9954" s="8" t="s">
        <v>9615</v>
      </c>
      <c r="B9954" s="17" t="s">
        <v>9581</v>
      </c>
      <c r="C9954" s="12">
        <v>33239</v>
      </c>
      <c r="D9954" s="13" t="s">
        <v>8467</v>
      </c>
      <c r="E9954" s="10" t="s">
        <v>9616</v>
      </c>
      <c r="F9954" s="10" t="s">
        <v>9617</v>
      </c>
      <c r="H9954" s="2" t="s">
        <v>143</v>
      </c>
      <c r="L9954" s="18">
        <v>0</v>
      </c>
      <c r="Q9954" s="18">
        <v>0</v>
      </c>
      <c r="V9954" s="22">
        <f>3.5/5</f>
        <v>0.7</v>
      </c>
      <c r="X9954" s="3">
        <v>2</v>
      </c>
      <c r="AB9954" s="18">
        <f t="shared" si="310"/>
        <v>1991</v>
      </c>
      <c r="AC9954" s="22">
        <f t="shared" si="311"/>
        <v>0.55000000000000004</v>
      </c>
    </row>
    <row r="9955" spans="1:29" ht="30">
      <c r="A9955" s="8" t="s">
        <v>12757</v>
      </c>
      <c r="B9955" s="17" t="s">
        <v>9581</v>
      </c>
      <c r="C9955" s="24">
        <v>33239</v>
      </c>
      <c r="D9955" s="13" t="s">
        <v>8467</v>
      </c>
      <c r="E9955" s="10" t="s">
        <v>1299</v>
      </c>
      <c r="F9955" s="10" t="s">
        <v>12758</v>
      </c>
      <c r="G9955" s="11" t="s">
        <v>12757</v>
      </c>
      <c r="H9955" s="2" t="s">
        <v>1720</v>
      </c>
      <c r="L9955" s="18">
        <v>0</v>
      </c>
      <c r="Q9955" s="18">
        <v>0</v>
      </c>
      <c r="V9955" s="22">
        <f>3.5/5</f>
        <v>0.7</v>
      </c>
      <c r="X9955" s="3">
        <v>2</v>
      </c>
      <c r="AB9955" s="18">
        <f t="shared" si="310"/>
        <v>1991</v>
      </c>
      <c r="AC9955" s="22">
        <f t="shared" si="311"/>
        <v>0.55000000000000004</v>
      </c>
    </row>
    <row r="9956" spans="1:29">
      <c r="A9956" s="8" t="s">
        <v>139</v>
      </c>
      <c r="B9956" s="17" t="s">
        <v>7786</v>
      </c>
      <c r="C9956" s="12">
        <v>33239</v>
      </c>
      <c r="D9956" s="13" t="s">
        <v>8465</v>
      </c>
      <c r="E9956" s="10" t="s">
        <v>311</v>
      </c>
      <c r="F9956" s="10" t="s">
        <v>2658</v>
      </c>
      <c r="G9956" s="11" t="s">
        <v>139</v>
      </c>
      <c r="H9956" s="2" t="s">
        <v>143</v>
      </c>
      <c r="L9956" s="18">
        <v>0</v>
      </c>
      <c r="Q9956" s="18">
        <v>0</v>
      </c>
      <c r="V9956" s="22">
        <f>3.47/5</f>
        <v>0.69400000000000006</v>
      </c>
      <c r="X9956" s="3">
        <v>2</v>
      </c>
      <c r="Z9956" s="23">
        <f>26/60</f>
        <v>0.43333333333333335</v>
      </c>
      <c r="AB9956" s="18">
        <f t="shared" si="310"/>
        <v>1991</v>
      </c>
      <c r="AC9956" s="22">
        <f t="shared" si="311"/>
        <v>0.54700000000000004</v>
      </c>
    </row>
    <row r="9957" spans="1:29">
      <c r="A9957" s="8" t="s">
        <v>2776</v>
      </c>
      <c r="B9957" s="17" t="s">
        <v>7756</v>
      </c>
      <c r="C9957" s="12">
        <v>33239</v>
      </c>
      <c r="D9957" s="13" t="s">
        <v>8465</v>
      </c>
      <c r="E9957" s="10" t="s">
        <v>455</v>
      </c>
      <c r="F9957" s="10" t="s">
        <v>234</v>
      </c>
      <c r="H9957" s="2" t="s">
        <v>21</v>
      </c>
      <c r="L9957" s="18">
        <v>0</v>
      </c>
      <c r="Q9957" s="18">
        <v>0</v>
      </c>
      <c r="V9957" s="22">
        <f>3.44/5</f>
        <v>0.68799999999999994</v>
      </c>
      <c r="X9957" s="3">
        <v>2</v>
      </c>
      <c r="Z9957" s="23">
        <v>0.55000000000000004</v>
      </c>
      <c r="AB9957" s="18">
        <f t="shared" si="310"/>
        <v>1991</v>
      </c>
      <c r="AC9957" s="22">
        <f t="shared" si="311"/>
        <v>0.54400000000000004</v>
      </c>
    </row>
    <row r="9958" spans="1:29" ht="25.5">
      <c r="A9958" s="8" t="s">
        <v>645</v>
      </c>
      <c r="B9958" s="17" t="s">
        <v>7736</v>
      </c>
      <c r="C9958" s="12">
        <v>33239</v>
      </c>
      <c r="D9958" s="13" t="s">
        <v>8465</v>
      </c>
      <c r="E9958" s="10" t="s">
        <v>57</v>
      </c>
      <c r="F9958" s="10" t="s">
        <v>57</v>
      </c>
      <c r="G9958" s="11" t="s">
        <v>1276</v>
      </c>
      <c r="H9958" s="2" t="s">
        <v>56</v>
      </c>
      <c r="L9958" s="18">
        <v>0</v>
      </c>
      <c r="Q9958" s="18">
        <v>0</v>
      </c>
      <c r="U9958" s="22">
        <v>0.66</v>
      </c>
      <c r="V9958" s="22">
        <f>3.56/5</f>
        <v>0.71199999999999997</v>
      </c>
      <c r="X9958" s="3">
        <v>2</v>
      </c>
      <c r="Z9958" s="23">
        <f>57/60</f>
        <v>0.95</v>
      </c>
      <c r="AB9958" s="18">
        <f t="shared" si="310"/>
        <v>1991</v>
      </c>
      <c r="AC9958" s="22">
        <f t="shared" si="311"/>
        <v>0.59066666666666656</v>
      </c>
    </row>
    <row r="9959" spans="1:29" ht="25.5">
      <c r="A9959" s="8" t="s">
        <v>337</v>
      </c>
      <c r="B9959" s="17" t="s">
        <v>6317</v>
      </c>
      <c r="C9959" s="12">
        <v>33239</v>
      </c>
      <c r="D9959" s="13" t="s">
        <v>8465</v>
      </c>
      <c r="E9959" s="10" t="s">
        <v>144</v>
      </c>
      <c r="F9959" s="10" t="s">
        <v>144</v>
      </c>
      <c r="G9959" s="11" t="s">
        <v>404</v>
      </c>
      <c r="H9959" s="2" t="s">
        <v>21</v>
      </c>
      <c r="L9959" s="18">
        <v>0</v>
      </c>
      <c r="Q9959" s="18">
        <v>0</v>
      </c>
      <c r="V9959" s="22">
        <f>3.31/5</f>
        <v>0.66200000000000003</v>
      </c>
      <c r="X9959" s="3">
        <v>2</v>
      </c>
      <c r="AB9959" s="18">
        <f t="shared" si="310"/>
        <v>1991</v>
      </c>
      <c r="AC9959" s="22">
        <f t="shared" si="311"/>
        <v>0.53100000000000003</v>
      </c>
    </row>
    <row r="9960" spans="1:29">
      <c r="A9960" s="8" t="s">
        <v>2782</v>
      </c>
      <c r="B9960" s="17" t="s">
        <v>7756</v>
      </c>
      <c r="C9960" s="12">
        <v>33239</v>
      </c>
      <c r="D9960" s="13" t="s">
        <v>8465</v>
      </c>
      <c r="E9960" s="10" t="s">
        <v>455</v>
      </c>
      <c r="F9960" s="10" t="s">
        <v>2702</v>
      </c>
      <c r="H9960" s="2" t="s">
        <v>56</v>
      </c>
      <c r="L9960" s="18">
        <v>0</v>
      </c>
      <c r="Q9960" s="18">
        <v>0</v>
      </c>
      <c r="V9960" s="22">
        <f>3.3/5</f>
        <v>0.65999999999999992</v>
      </c>
      <c r="X9960" s="3">
        <v>2</v>
      </c>
      <c r="Z9960" s="23">
        <v>2</v>
      </c>
      <c r="AB9960" s="18">
        <f t="shared" si="310"/>
        <v>1991</v>
      </c>
      <c r="AC9960" s="22">
        <f t="shared" si="311"/>
        <v>0.53</v>
      </c>
    </row>
    <row r="9961" spans="1:29" ht="25.5">
      <c r="A9961" s="8" t="s">
        <v>12587</v>
      </c>
      <c r="B9961" s="17" t="s">
        <v>7800</v>
      </c>
      <c r="C9961" s="24">
        <v>33239</v>
      </c>
      <c r="D9961" s="13" t="s">
        <v>8465</v>
      </c>
      <c r="E9961" s="10" t="s">
        <v>12588</v>
      </c>
      <c r="F9961" s="10" t="s">
        <v>1889</v>
      </c>
      <c r="G9961" s="11" t="s">
        <v>6889</v>
      </c>
      <c r="H9961" s="2" t="s">
        <v>64</v>
      </c>
      <c r="L9961" s="18">
        <v>1</v>
      </c>
      <c r="P9961" s="18" t="s">
        <v>1107</v>
      </c>
      <c r="Q9961" s="18">
        <v>0</v>
      </c>
      <c r="V9961" s="22">
        <f>3.29/5</f>
        <v>0.65800000000000003</v>
      </c>
      <c r="W9961" s="14" t="s">
        <v>7777</v>
      </c>
      <c r="X9961" s="3">
        <v>2</v>
      </c>
      <c r="Z9961" s="23">
        <v>1.5</v>
      </c>
      <c r="AB9961" s="18">
        <f t="shared" si="310"/>
        <v>1991</v>
      </c>
      <c r="AC9961" s="22">
        <f t="shared" si="311"/>
        <v>0.52900000000000003</v>
      </c>
    </row>
    <row r="9962" spans="1:29">
      <c r="A9962" s="8" t="s">
        <v>13201</v>
      </c>
      <c r="B9962" s="17" t="s">
        <v>7745</v>
      </c>
      <c r="C9962" s="12">
        <v>33239</v>
      </c>
      <c r="D9962" s="13" t="s">
        <v>8465</v>
      </c>
      <c r="E9962" s="10" t="s">
        <v>252</v>
      </c>
      <c r="F9962" s="10" t="s">
        <v>480</v>
      </c>
      <c r="G9962" s="11" t="s">
        <v>13201</v>
      </c>
      <c r="H9962" s="2" t="s">
        <v>80</v>
      </c>
      <c r="L9962" s="18">
        <v>0</v>
      </c>
      <c r="Q9962" s="18">
        <v>0</v>
      </c>
      <c r="V9962" s="22">
        <f>3.28/5</f>
        <v>0.65599999999999992</v>
      </c>
      <c r="X9962" s="3">
        <v>2</v>
      </c>
      <c r="Z9962" s="23">
        <v>1.5</v>
      </c>
      <c r="AB9962" s="18">
        <f t="shared" si="310"/>
        <v>1991</v>
      </c>
      <c r="AC9962" s="22">
        <f t="shared" si="311"/>
        <v>0.52800000000000002</v>
      </c>
    </row>
    <row r="9963" spans="1:29">
      <c r="A9963" s="8" t="s">
        <v>2896</v>
      </c>
      <c r="B9963" s="17" t="s">
        <v>7751</v>
      </c>
      <c r="C9963" s="12">
        <v>33239</v>
      </c>
      <c r="D9963" s="13" t="s">
        <v>8465</v>
      </c>
      <c r="E9963" s="10" t="s">
        <v>2638</v>
      </c>
      <c r="F9963" s="10" t="s">
        <v>57</v>
      </c>
      <c r="H9963" s="2" t="s">
        <v>21</v>
      </c>
      <c r="L9963" s="18">
        <v>0</v>
      </c>
      <c r="Q9963" s="18">
        <v>0</v>
      </c>
      <c r="U9963" s="22">
        <v>0.64</v>
      </c>
      <c r="V9963" s="22">
        <f>3.36/5</f>
        <v>0.67199999999999993</v>
      </c>
      <c r="X9963" s="3">
        <v>2</v>
      </c>
      <c r="Z9963" s="23">
        <v>0.73</v>
      </c>
      <c r="AB9963" s="18">
        <f t="shared" si="310"/>
        <v>1991</v>
      </c>
      <c r="AC9963" s="22">
        <f t="shared" si="311"/>
        <v>0.57066666666666654</v>
      </c>
    </row>
    <row r="9964" spans="1:29">
      <c r="A9964" s="8" t="s">
        <v>2537</v>
      </c>
      <c r="B9964" s="17" t="s">
        <v>7751</v>
      </c>
      <c r="C9964" s="12">
        <v>33239</v>
      </c>
      <c r="D9964" s="13" t="s">
        <v>8465</v>
      </c>
      <c r="E9964" s="10" t="s">
        <v>2641</v>
      </c>
      <c r="F9964" s="10" t="s">
        <v>460</v>
      </c>
      <c r="H9964" s="2" t="s">
        <v>21</v>
      </c>
      <c r="L9964" s="18">
        <v>0</v>
      </c>
      <c r="Q9964" s="18">
        <v>0</v>
      </c>
      <c r="U9964" s="22">
        <v>0.59</v>
      </c>
      <c r="V9964" s="22">
        <f>3.51/5</f>
        <v>0.70199999999999996</v>
      </c>
      <c r="X9964" s="3">
        <v>2</v>
      </c>
      <c r="Z9964" s="23">
        <v>1.5</v>
      </c>
      <c r="AB9964" s="18">
        <f t="shared" si="310"/>
        <v>1991</v>
      </c>
      <c r="AC9964" s="22">
        <f t="shared" si="311"/>
        <v>0.56399999999999995</v>
      </c>
    </row>
    <row r="9965" spans="1:29" ht="25.5">
      <c r="A9965" s="8" t="s">
        <v>2605</v>
      </c>
      <c r="B9965" s="17" t="s">
        <v>7751</v>
      </c>
      <c r="C9965" s="13">
        <v>33239</v>
      </c>
      <c r="D9965" s="13" t="s">
        <v>8467</v>
      </c>
      <c r="E9965" s="10" t="s">
        <v>455</v>
      </c>
      <c r="F9965" s="10" t="s">
        <v>2511</v>
      </c>
      <c r="G9965" s="11" t="s">
        <v>1727</v>
      </c>
      <c r="H9965" s="2" t="s">
        <v>143</v>
      </c>
      <c r="L9965" s="18">
        <v>0</v>
      </c>
      <c r="Q9965" s="18">
        <v>0</v>
      </c>
      <c r="U9965" s="22">
        <v>0.27</v>
      </c>
      <c r="V9965" s="22">
        <f>3.09/5</f>
        <v>0.61799999999999999</v>
      </c>
      <c r="X9965" s="3">
        <v>3</v>
      </c>
      <c r="Z9965" s="23">
        <v>1.5</v>
      </c>
      <c r="AB9965" s="18">
        <f t="shared" si="310"/>
        <v>1991</v>
      </c>
      <c r="AC9965" s="22">
        <f t="shared" si="311"/>
        <v>0.496</v>
      </c>
    </row>
    <row r="9966" spans="1:29">
      <c r="A9966" s="8" t="s">
        <v>139</v>
      </c>
      <c r="B9966" s="17" t="s">
        <v>7756</v>
      </c>
      <c r="C9966" s="12">
        <v>33239</v>
      </c>
      <c r="D9966" s="13" t="s">
        <v>8465</v>
      </c>
      <c r="E9966" s="10" t="s">
        <v>455</v>
      </c>
      <c r="F9966" s="10" t="s">
        <v>1778</v>
      </c>
      <c r="G9966" s="11" t="s">
        <v>139</v>
      </c>
      <c r="H9966" s="2" t="s">
        <v>56</v>
      </c>
      <c r="L9966" s="18">
        <v>0</v>
      </c>
      <c r="Q9966" s="18">
        <v>0</v>
      </c>
      <c r="V9966" s="22">
        <f>3.01/5</f>
        <v>0.60199999999999998</v>
      </c>
      <c r="X9966" s="3">
        <v>2</v>
      </c>
      <c r="Z9966" s="23">
        <v>2.5</v>
      </c>
      <c r="AB9966" s="18">
        <f t="shared" si="310"/>
        <v>1991</v>
      </c>
      <c r="AC9966" s="22">
        <f t="shared" si="311"/>
        <v>0.501</v>
      </c>
    </row>
    <row r="9967" spans="1:29" ht="30">
      <c r="A9967" s="8" t="s">
        <v>12743</v>
      </c>
      <c r="B9967" s="17" t="s">
        <v>9581</v>
      </c>
      <c r="C9967" s="24">
        <v>33239</v>
      </c>
      <c r="D9967" s="13" t="s">
        <v>8467</v>
      </c>
      <c r="E9967" s="10" t="s">
        <v>7826</v>
      </c>
      <c r="F9967" s="10" t="s">
        <v>12744</v>
      </c>
      <c r="H9967" s="2" t="s">
        <v>2138</v>
      </c>
      <c r="L9967" s="18">
        <v>0</v>
      </c>
      <c r="Q9967" s="18">
        <v>0</v>
      </c>
      <c r="V9967" s="22">
        <f>3/5</f>
        <v>0.6</v>
      </c>
      <c r="X9967" s="3">
        <v>2</v>
      </c>
      <c r="AB9967" s="18">
        <f t="shared" si="310"/>
        <v>1991</v>
      </c>
      <c r="AC9967" s="22">
        <f t="shared" si="311"/>
        <v>0.5</v>
      </c>
    </row>
    <row r="9968" spans="1:29" ht="30">
      <c r="A9968" s="8" t="s">
        <v>12762</v>
      </c>
      <c r="B9968" s="17" t="s">
        <v>9581</v>
      </c>
      <c r="C9968" s="24">
        <v>33239</v>
      </c>
      <c r="D9968" s="13" t="s">
        <v>8466</v>
      </c>
      <c r="E9968" s="10" t="s">
        <v>12763</v>
      </c>
      <c r="F9968" s="10" t="s">
        <v>6912</v>
      </c>
      <c r="H9968" s="2" t="s">
        <v>21</v>
      </c>
      <c r="K9968" s="18">
        <v>2</v>
      </c>
      <c r="L9968" s="18">
        <v>0</v>
      </c>
      <c r="Q9968" s="18">
        <v>0</v>
      </c>
      <c r="V9968" s="22">
        <f>3/5</f>
        <v>0.6</v>
      </c>
      <c r="X9968" s="3">
        <v>2</v>
      </c>
      <c r="AB9968" s="18">
        <f t="shared" si="310"/>
        <v>1991</v>
      </c>
      <c r="AC9968" s="22">
        <f t="shared" si="311"/>
        <v>0.5</v>
      </c>
    </row>
    <row r="9969" spans="1:29" ht="25.5">
      <c r="A9969" s="8" t="s">
        <v>10389</v>
      </c>
      <c r="B9969" s="17" t="s">
        <v>7788</v>
      </c>
      <c r="C9969" s="12">
        <v>33239</v>
      </c>
      <c r="D9969" s="13" t="s">
        <v>8463</v>
      </c>
      <c r="E9969" s="10" t="s">
        <v>1200</v>
      </c>
      <c r="F9969" s="10" t="s">
        <v>1200</v>
      </c>
      <c r="G9969" s="11" t="s">
        <v>2802</v>
      </c>
      <c r="H9969" s="2" t="s">
        <v>171</v>
      </c>
      <c r="K9969" s="18">
        <v>2</v>
      </c>
      <c r="L9969" s="18">
        <v>0</v>
      </c>
      <c r="Q9969" s="18">
        <v>0</v>
      </c>
      <c r="V9969" s="22">
        <f>3/5</f>
        <v>0.6</v>
      </c>
      <c r="X9969" s="3">
        <v>2</v>
      </c>
      <c r="AB9969" s="18">
        <f t="shared" si="310"/>
        <v>1991</v>
      </c>
      <c r="AC9969" s="22">
        <f t="shared" si="311"/>
        <v>0.5</v>
      </c>
    </row>
    <row r="9970" spans="1:29" ht="30">
      <c r="A9970" s="8" t="s">
        <v>13760</v>
      </c>
      <c r="B9970" s="17" t="s">
        <v>7750</v>
      </c>
      <c r="C9970" s="24">
        <v>33239</v>
      </c>
      <c r="D9970" s="13" t="s">
        <v>8465</v>
      </c>
      <c r="E9970" s="10" t="s">
        <v>1303</v>
      </c>
      <c r="F9970" s="10" t="s">
        <v>7639</v>
      </c>
      <c r="G9970" s="11" t="s">
        <v>13741</v>
      </c>
      <c r="H9970" s="2" t="s">
        <v>150</v>
      </c>
      <c r="L9970" s="18">
        <v>0</v>
      </c>
      <c r="Q9970" s="18">
        <v>0</v>
      </c>
      <c r="V9970" s="22">
        <f>2.95/5</f>
        <v>0.59000000000000008</v>
      </c>
      <c r="X9970" s="3">
        <v>2</v>
      </c>
      <c r="AB9970" s="18">
        <f t="shared" si="310"/>
        <v>1991</v>
      </c>
      <c r="AC9970" s="22">
        <f t="shared" si="311"/>
        <v>0.49500000000000005</v>
      </c>
    </row>
    <row r="9971" spans="1:29" ht="25.5">
      <c r="A9971" s="8" t="s">
        <v>11674</v>
      </c>
      <c r="B9971" s="17" t="s">
        <v>6317</v>
      </c>
      <c r="C9971" s="24">
        <v>33239</v>
      </c>
      <c r="D9971" s="13" t="s">
        <v>8463</v>
      </c>
      <c r="E9971" s="10" t="s">
        <v>70</v>
      </c>
      <c r="F9971" s="10" t="s">
        <v>11675</v>
      </c>
      <c r="H9971" s="2" t="s">
        <v>153</v>
      </c>
      <c r="K9971" s="18">
        <v>0</v>
      </c>
      <c r="L9971" s="18">
        <v>0</v>
      </c>
      <c r="Q9971" s="18">
        <v>0</v>
      </c>
      <c r="V9971" s="22">
        <f>2.74/5</f>
        <v>0.54800000000000004</v>
      </c>
      <c r="X9971" s="3">
        <v>2</v>
      </c>
      <c r="Z9971" s="23">
        <f>52/60</f>
        <v>0.8666666666666667</v>
      </c>
      <c r="AB9971" s="18">
        <f t="shared" si="310"/>
        <v>1991</v>
      </c>
      <c r="AC9971" s="22">
        <f t="shared" si="311"/>
        <v>0.47400000000000003</v>
      </c>
    </row>
    <row r="9972" spans="1:29">
      <c r="A9972" s="8" t="s">
        <v>2542</v>
      </c>
      <c r="B9972" s="17" t="s">
        <v>7751</v>
      </c>
      <c r="C9972" s="12">
        <v>33239</v>
      </c>
      <c r="D9972" s="13" t="s">
        <v>8465</v>
      </c>
      <c r="E9972" s="10" t="s">
        <v>231</v>
      </c>
      <c r="F9972" s="10" t="s">
        <v>2646</v>
      </c>
      <c r="H9972" s="2" t="s">
        <v>1720</v>
      </c>
      <c r="L9972" s="18">
        <v>0</v>
      </c>
      <c r="Q9972" s="18">
        <v>0</v>
      </c>
      <c r="U9972" s="22">
        <v>0.4</v>
      </c>
      <c r="V9972" s="22">
        <f>3.4/5</f>
        <v>0.67999999999999994</v>
      </c>
      <c r="X9972" s="3">
        <v>2</v>
      </c>
      <c r="Z9972" s="23">
        <v>27</v>
      </c>
      <c r="AB9972" s="18">
        <f t="shared" si="310"/>
        <v>1991</v>
      </c>
      <c r="AC9972" s="22">
        <f t="shared" si="311"/>
        <v>0.49333333333333335</v>
      </c>
    </row>
    <row r="9973" spans="1:29">
      <c r="A9973" s="8" t="s">
        <v>2529</v>
      </c>
      <c r="B9973" s="17" t="s">
        <v>7751</v>
      </c>
      <c r="C9973" s="12">
        <v>33239</v>
      </c>
      <c r="D9973" s="13" t="s">
        <v>8465</v>
      </c>
      <c r="E9973" s="10" t="s">
        <v>547</v>
      </c>
      <c r="F9973" s="10" t="s">
        <v>2636</v>
      </c>
      <c r="H9973" s="2" t="s">
        <v>21</v>
      </c>
      <c r="L9973" s="18">
        <v>0</v>
      </c>
      <c r="Q9973" s="18">
        <v>0</v>
      </c>
      <c r="V9973" s="22">
        <f>2.69/5</f>
        <v>0.53800000000000003</v>
      </c>
      <c r="X9973" s="3">
        <v>2</v>
      </c>
      <c r="Z9973" s="23">
        <f>47/60</f>
        <v>0.78333333333333333</v>
      </c>
      <c r="AB9973" s="18">
        <f t="shared" si="310"/>
        <v>1991</v>
      </c>
      <c r="AC9973" s="22">
        <f t="shared" si="311"/>
        <v>0.46900000000000003</v>
      </c>
    </row>
    <row r="9974" spans="1:29" ht="30">
      <c r="A9974" s="8" t="s">
        <v>14394</v>
      </c>
      <c r="B9974" s="17" t="s">
        <v>9581</v>
      </c>
      <c r="C9974" s="24">
        <v>33239</v>
      </c>
      <c r="D9974" s="13" t="s">
        <v>8467</v>
      </c>
      <c r="E9974" s="10" t="s">
        <v>1943</v>
      </c>
      <c r="F9974" s="10" t="s">
        <v>1193</v>
      </c>
      <c r="G9974" s="11" t="s">
        <v>14395</v>
      </c>
      <c r="H9974" s="2" t="s">
        <v>1194</v>
      </c>
      <c r="L9974" s="18">
        <v>0</v>
      </c>
      <c r="Q9974" s="18">
        <v>0</v>
      </c>
      <c r="V9974" s="22">
        <f>2.67/5</f>
        <v>0.53400000000000003</v>
      </c>
      <c r="X9974" s="3">
        <v>2</v>
      </c>
      <c r="AB9974" s="18">
        <f t="shared" si="310"/>
        <v>1991</v>
      </c>
      <c r="AC9974" s="22">
        <f t="shared" si="311"/>
        <v>0.46700000000000003</v>
      </c>
    </row>
    <row r="9975" spans="1:29">
      <c r="A9975" s="8" t="s">
        <v>6814</v>
      </c>
      <c r="B9975" s="17" t="s">
        <v>7800</v>
      </c>
      <c r="C9975" s="12">
        <v>33239</v>
      </c>
      <c r="D9975" s="13" t="s">
        <v>8465</v>
      </c>
      <c r="E9975" s="10" t="s">
        <v>6668</v>
      </c>
      <c r="F9975" s="10" t="s">
        <v>1303</v>
      </c>
      <c r="H9975" s="2" t="s">
        <v>1720</v>
      </c>
      <c r="L9975" s="18">
        <v>0</v>
      </c>
      <c r="Q9975" s="18">
        <v>0</v>
      </c>
      <c r="V9975" s="22">
        <f>2.6/5</f>
        <v>0.52</v>
      </c>
      <c r="X9975" s="3">
        <v>2</v>
      </c>
      <c r="AB9975" s="18">
        <f t="shared" si="310"/>
        <v>1991</v>
      </c>
      <c r="AC9975" s="22">
        <f t="shared" si="311"/>
        <v>0.46</v>
      </c>
    </row>
    <row r="9976" spans="1:29" ht="30">
      <c r="A9976" s="8" t="s">
        <v>12750</v>
      </c>
      <c r="B9976" s="17" t="s">
        <v>9581</v>
      </c>
      <c r="C9976" s="24">
        <v>33239</v>
      </c>
      <c r="D9976" s="13" t="s">
        <v>8467</v>
      </c>
      <c r="E9976" s="10" t="s">
        <v>12751</v>
      </c>
      <c r="F9976" s="10" t="s">
        <v>12752</v>
      </c>
      <c r="H9976" s="2" t="s">
        <v>21</v>
      </c>
      <c r="L9976" s="18">
        <v>0</v>
      </c>
      <c r="Q9976" s="18">
        <v>0</v>
      </c>
      <c r="V9976" s="22">
        <f>2.5/5</f>
        <v>0.5</v>
      </c>
      <c r="X9976" s="3">
        <v>2</v>
      </c>
      <c r="AB9976" s="18">
        <f t="shared" si="310"/>
        <v>1991</v>
      </c>
      <c r="AC9976" s="22">
        <f t="shared" si="311"/>
        <v>0.45</v>
      </c>
    </row>
    <row r="9977" spans="1:29" ht="25.5">
      <c r="A9977" s="8" t="s">
        <v>15099</v>
      </c>
      <c r="B9977" s="17" t="s">
        <v>7745</v>
      </c>
      <c r="C9977" s="24">
        <v>33239</v>
      </c>
      <c r="D9977" s="13" t="s">
        <v>8465</v>
      </c>
      <c r="E9977" s="10" t="s">
        <v>154</v>
      </c>
      <c r="F9977" s="10" t="s">
        <v>254</v>
      </c>
      <c r="G9977" s="11" t="s">
        <v>420</v>
      </c>
      <c r="H9977" s="2" t="s">
        <v>147</v>
      </c>
      <c r="L9977" s="18">
        <v>0</v>
      </c>
      <c r="Q9977" s="18">
        <v>0</v>
      </c>
      <c r="V9977" s="22">
        <f>2.42/5</f>
        <v>0.48399999999999999</v>
      </c>
      <c r="X9977" s="3">
        <v>2</v>
      </c>
      <c r="Z9977" s="23">
        <v>1.5</v>
      </c>
      <c r="AB9977" s="18">
        <f t="shared" si="310"/>
        <v>1991</v>
      </c>
      <c r="AC9977" s="22">
        <f t="shared" si="311"/>
        <v>0.442</v>
      </c>
    </row>
    <row r="9978" spans="1:29" ht="25.5">
      <c r="A9978" s="8" t="s">
        <v>2876</v>
      </c>
      <c r="B9978" s="17" t="s">
        <v>7790</v>
      </c>
      <c r="C9978" s="12">
        <v>33239</v>
      </c>
      <c r="D9978" s="13" t="s">
        <v>8465</v>
      </c>
      <c r="E9978" s="10" t="s">
        <v>62</v>
      </c>
      <c r="F9978" s="10" t="s">
        <v>2890</v>
      </c>
      <c r="G9978" s="11" t="s">
        <v>14543</v>
      </c>
      <c r="H9978" s="2" t="s">
        <v>67</v>
      </c>
      <c r="L9978" s="18">
        <v>0</v>
      </c>
      <c r="Q9978" s="18">
        <v>0</v>
      </c>
      <c r="V9978" s="22">
        <f>2.13/5</f>
        <v>0.42599999999999999</v>
      </c>
      <c r="X9978" s="3">
        <v>2</v>
      </c>
      <c r="Z9978" s="23">
        <v>10.5</v>
      </c>
      <c r="AB9978" s="18">
        <f t="shared" si="310"/>
        <v>1991</v>
      </c>
      <c r="AC9978" s="22">
        <f t="shared" si="311"/>
        <v>0.41300000000000003</v>
      </c>
    </row>
    <row r="9979" spans="1:29" ht="25.5">
      <c r="A9979" s="8" t="s">
        <v>7626</v>
      </c>
      <c r="B9979" s="17" t="s">
        <v>7745</v>
      </c>
      <c r="C9979" s="12">
        <v>33239</v>
      </c>
      <c r="D9979" s="13" t="s">
        <v>8465</v>
      </c>
      <c r="E9979" s="10" t="s">
        <v>7627</v>
      </c>
      <c r="F9979" s="10" t="s">
        <v>7628</v>
      </c>
      <c r="G9979" s="11" t="s">
        <v>7289</v>
      </c>
      <c r="H9979" s="2" t="s">
        <v>64</v>
      </c>
      <c r="L9979" s="18">
        <v>0</v>
      </c>
      <c r="Q9979" s="18">
        <v>0</v>
      </c>
      <c r="U9979" s="22">
        <v>0.43</v>
      </c>
      <c r="V9979" s="22">
        <f>1.58/5</f>
        <v>0.316</v>
      </c>
      <c r="X9979" s="3">
        <v>2</v>
      </c>
      <c r="Z9979" s="23">
        <v>4.5</v>
      </c>
      <c r="AB9979" s="18">
        <f t="shared" si="310"/>
        <v>1991</v>
      </c>
      <c r="AC9979" s="22">
        <f t="shared" si="311"/>
        <v>0.38199999999999995</v>
      </c>
    </row>
    <row r="9980" spans="1:29" ht="30">
      <c r="A9980" s="8" t="s">
        <v>14878</v>
      </c>
      <c r="B9980" s="17" t="s">
        <v>9581</v>
      </c>
      <c r="C9980" s="24">
        <v>33239</v>
      </c>
      <c r="D9980" s="13" t="s">
        <v>8465</v>
      </c>
      <c r="E9980" s="10" t="s">
        <v>72</v>
      </c>
      <c r="F9980" s="10" t="s">
        <v>14879</v>
      </c>
      <c r="G9980" s="11" t="s">
        <v>9657</v>
      </c>
      <c r="H9980" s="2" t="s">
        <v>1170</v>
      </c>
      <c r="L9980" s="18">
        <v>0</v>
      </c>
      <c r="Q9980" s="18">
        <v>0</v>
      </c>
      <c r="V9980" s="22">
        <f>1.64/5</f>
        <v>0.32799999999999996</v>
      </c>
      <c r="X9980" s="3">
        <v>2</v>
      </c>
      <c r="Z9980" s="23">
        <f>57/60</f>
        <v>0.95</v>
      </c>
      <c r="AB9980" s="18">
        <f t="shared" si="310"/>
        <v>1991</v>
      </c>
      <c r="AC9980" s="22">
        <f t="shared" si="311"/>
        <v>0.36399999999999999</v>
      </c>
    </row>
    <row r="9981" spans="1:29">
      <c r="A9981" s="8" t="s">
        <v>15741</v>
      </c>
      <c r="B9981" s="17" t="s">
        <v>7800</v>
      </c>
      <c r="C9981" s="24">
        <v>33239</v>
      </c>
      <c r="D9981" s="13" t="s">
        <v>8465</v>
      </c>
      <c r="E9981" s="10" t="s">
        <v>6668</v>
      </c>
      <c r="F9981" s="10" t="s">
        <v>6668</v>
      </c>
      <c r="G9981" s="11" t="s">
        <v>445</v>
      </c>
      <c r="H9981" s="2" t="s">
        <v>1720</v>
      </c>
      <c r="L9981" s="18">
        <v>0</v>
      </c>
      <c r="Q9981" s="18">
        <v>0</v>
      </c>
      <c r="V9981" s="22">
        <f>3.67/5</f>
        <v>0.73399999999999999</v>
      </c>
      <c r="X9981" s="3">
        <v>2</v>
      </c>
      <c r="Z9981" s="23">
        <v>36.5</v>
      </c>
      <c r="AB9981" s="18">
        <f t="shared" si="310"/>
        <v>1991</v>
      </c>
      <c r="AC9981" s="22">
        <f t="shared" si="311"/>
        <v>0.56699999999999995</v>
      </c>
    </row>
    <row r="9982" spans="1:29">
      <c r="A9982" s="8" t="s">
        <v>15757</v>
      </c>
      <c r="B9982" s="17" t="s">
        <v>7800</v>
      </c>
      <c r="C9982" s="24">
        <v>33239</v>
      </c>
      <c r="D9982" s="13" t="s">
        <v>8465</v>
      </c>
      <c r="E9982" s="10" t="s">
        <v>6668</v>
      </c>
      <c r="F9982" s="10" t="s">
        <v>6668</v>
      </c>
      <c r="G9982" s="11" t="s">
        <v>445</v>
      </c>
      <c r="H9982" s="2" t="s">
        <v>1720</v>
      </c>
      <c r="L9982" s="18">
        <v>0</v>
      </c>
      <c r="Q9982" s="18">
        <v>0</v>
      </c>
      <c r="V9982" s="22">
        <f>3.92/5</f>
        <v>0.78400000000000003</v>
      </c>
      <c r="X9982" s="3">
        <v>3</v>
      </c>
      <c r="AB9982" s="18">
        <f t="shared" si="310"/>
        <v>1991</v>
      </c>
      <c r="AC9982" s="22">
        <f t="shared" si="311"/>
        <v>0.69199999999999995</v>
      </c>
    </row>
    <row r="9983" spans="1:29" ht="30">
      <c r="A9983" s="8" t="s">
        <v>15871</v>
      </c>
      <c r="B9983" s="17" t="s">
        <v>9581</v>
      </c>
      <c r="C9983" s="24">
        <v>33239</v>
      </c>
      <c r="D9983" s="13" t="s">
        <v>8467</v>
      </c>
      <c r="E9983" s="10" t="s">
        <v>1513</v>
      </c>
      <c r="F9983" s="10" t="s">
        <v>15872</v>
      </c>
      <c r="G9983" s="11" t="s">
        <v>15868</v>
      </c>
      <c r="H9983" s="2" t="s">
        <v>1267</v>
      </c>
      <c r="L9983" s="18">
        <v>0</v>
      </c>
      <c r="Q9983" s="18">
        <v>0</v>
      </c>
      <c r="X9983" s="3">
        <v>2</v>
      </c>
      <c r="AB9983" s="18">
        <f t="shared" si="310"/>
        <v>1991</v>
      </c>
      <c r="AC9983" s="22">
        <f t="shared" si="311"/>
        <v>0.4</v>
      </c>
    </row>
    <row r="9984" spans="1:29">
      <c r="A9984" s="8" t="s">
        <v>15874</v>
      </c>
      <c r="B9984" s="17" t="s">
        <v>13485</v>
      </c>
      <c r="C9984" s="24">
        <v>33239</v>
      </c>
      <c r="D9984" s="13" t="s">
        <v>8467</v>
      </c>
      <c r="E9984" s="10" t="s">
        <v>15875</v>
      </c>
      <c r="F9984" s="10" t="s">
        <v>1513</v>
      </c>
      <c r="G9984" s="11" t="s">
        <v>15868</v>
      </c>
      <c r="H9984" s="2" t="s">
        <v>1267</v>
      </c>
      <c r="L9984" s="18">
        <v>0</v>
      </c>
      <c r="Q9984" s="18">
        <v>0</v>
      </c>
      <c r="X9984" s="3">
        <v>2</v>
      </c>
      <c r="AB9984" s="18">
        <f t="shared" si="310"/>
        <v>1991</v>
      </c>
      <c r="AC9984" s="22">
        <f t="shared" si="311"/>
        <v>0.4</v>
      </c>
    </row>
    <row r="9985" spans="1:29" ht="30">
      <c r="A9985" s="8" t="s">
        <v>15943</v>
      </c>
      <c r="B9985" s="17" t="s">
        <v>9581</v>
      </c>
      <c r="C9985" s="24">
        <v>33239</v>
      </c>
      <c r="D9985" s="13" t="s">
        <v>8465</v>
      </c>
      <c r="E9985" s="10" t="s">
        <v>1303</v>
      </c>
      <c r="F9985" s="10" t="s">
        <v>82</v>
      </c>
      <c r="G9985" s="11" t="s">
        <v>3967</v>
      </c>
      <c r="H9985" s="2" t="s">
        <v>1377</v>
      </c>
      <c r="L9985" s="18">
        <v>0</v>
      </c>
      <c r="Q9985" s="18">
        <v>0</v>
      </c>
      <c r="V9985" s="22">
        <f>2/5</f>
        <v>0.4</v>
      </c>
      <c r="X9985" s="3">
        <v>2</v>
      </c>
      <c r="AB9985" s="18">
        <f t="shared" ref="AB9985:AB10048" si="312">IFERROR(YEAR(C9985), "Early Access")</f>
        <v>1991</v>
      </c>
      <c r="AC9985" s="22">
        <f t="shared" ref="AC9985:AC10048" si="313">AVERAGE(T9985, U9985, V9985, IF(ISBLANK(X9985), X9985, X9985/5))</f>
        <v>0.4</v>
      </c>
    </row>
    <row r="9986" spans="1:29" ht="30">
      <c r="A9986" s="8" t="s">
        <v>16036</v>
      </c>
      <c r="B9986" s="17" t="s">
        <v>9581</v>
      </c>
      <c r="C9986" s="24">
        <v>33239</v>
      </c>
      <c r="D9986" s="13" t="s">
        <v>8465</v>
      </c>
      <c r="E9986" s="10" t="s">
        <v>7826</v>
      </c>
      <c r="F9986" s="10" t="s">
        <v>1327</v>
      </c>
      <c r="G9986" s="11" t="s">
        <v>16035</v>
      </c>
      <c r="H9986" s="2" t="s">
        <v>31</v>
      </c>
      <c r="L9986" s="18">
        <v>0</v>
      </c>
      <c r="Q9986" s="18">
        <v>0</v>
      </c>
      <c r="V9986" s="22">
        <f>3.78/5</f>
        <v>0.75600000000000001</v>
      </c>
      <c r="X9986" s="3">
        <v>2</v>
      </c>
      <c r="AB9986" s="18">
        <f t="shared" si="312"/>
        <v>1991</v>
      </c>
      <c r="AC9986" s="22">
        <f t="shared" si="313"/>
        <v>0.57800000000000007</v>
      </c>
    </row>
    <row r="9987" spans="1:29" ht="30">
      <c r="A9987" s="8" t="s">
        <v>16061</v>
      </c>
      <c r="B9987" s="17" t="s">
        <v>9581</v>
      </c>
      <c r="C9987" s="24">
        <v>33239</v>
      </c>
      <c r="D9987" s="13" t="s">
        <v>8467</v>
      </c>
      <c r="E9987" s="10" t="s">
        <v>1299</v>
      </c>
      <c r="F9987" s="10" t="s">
        <v>1299</v>
      </c>
      <c r="G9987" s="11" t="s">
        <v>16060</v>
      </c>
      <c r="H9987" s="2" t="s">
        <v>56</v>
      </c>
      <c r="L9987" s="18">
        <v>0</v>
      </c>
      <c r="Q9987" s="18">
        <v>0</v>
      </c>
      <c r="V9987" s="22">
        <f>4/5</f>
        <v>0.8</v>
      </c>
      <c r="X9987" s="3">
        <v>2</v>
      </c>
      <c r="AB9987" s="18">
        <f t="shared" si="312"/>
        <v>1991</v>
      </c>
      <c r="AC9987" s="22">
        <f t="shared" si="313"/>
        <v>0.60000000000000009</v>
      </c>
    </row>
    <row r="9988" spans="1:29">
      <c r="A9988" s="8" t="s">
        <v>135</v>
      </c>
      <c r="B9988" s="17" t="s">
        <v>7734</v>
      </c>
      <c r="C9988" s="13">
        <v>33593</v>
      </c>
      <c r="D9988" s="13" t="s">
        <v>8463</v>
      </c>
      <c r="E9988" s="10" t="s">
        <v>157</v>
      </c>
      <c r="F9988" s="10" t="s">
        <v>66</v>
      </c>
      <c r="G9988" s="11" t="s">
        <v>135</v>
      </c>
      <c r="H9988" s="2" t="s">
        <v>56</v>
      </c>
      <c r="K9988" s="18">
        <v>2</v>
      </c>
      <c r="L9988" s="18">
        <v>0</v>
      </c>
      <c r="Q9988" s="18">
        <v>1</v>
      </c>
      <c r="R9988" s="13">
        <v>41507</v>
      </c>
      <c r="T9988" s="22">
        <v>0.6</v>
      </c>
      <c r="V9988" s="22">
        <f>3.68/5</f>
        <v>0.73599999999999999</v>
      </c>
      <c r="AB9988" s="18">
        <f t="shared" si="312"/>
        <v>1991</v>
      </c>
      <c r="AC9988" s="22">
        <f t="shared" si="313"/>
        <v>0.66799999999999993</v>
      </c>
    </row>
    <row r="9989" spans="1:29">
      <c r="A9989" s="8" t="s">
        <v>1762</v>
      </c>
      <c r="B9989" s="17" t="s">
        <v>7745</v>
      </c>
      <c r="C9989" s="13">
        <v>33585</v>
      </c>
      <c r="D9989" s="13" t="s">
        <v>8463</v>
      </c>
      <c r="E9989" s="10" t="s">
        <v>54</v>
      </c>
      <c r="F9989" s="10" t="s">
        <v>54</v>
      </c>
      <c r="G9989" s="11" t="s">
        <v>330</v>
      </c>
      <c r="H9989" s="2" t="s">
        <v>21</v>
      </c>
      <c r="K9989" s="18">
        <v>0</v>
      </c>
      <c r="L9989" s="18">
        <v>0</v>
      </c>
      <c r="Q9989" s="18">
        <v>1</v>
      </c>
      <c r="T9989" s="22">
        <v>0.6</v>
      </c>
      <c r="V9989" s="22">
        <f>3.79/5</f>
        <v>0.75800000000000001</v>
      </c>
      <c r="AB9989" s="18">
        <f t="shared" si="312"/>
        <v>1991</v>
      </c>
      <c r="AC9989" s="22">
        <f t="shared" si="313"/>
        <v>0.67900000000000005</v>
      </c>
    </row>
    <row r="9990" spans="1:29">
      <c r="A9990" s="8" t="s">
        <v>584</v>
      </c>
      <c r="B9990" s="17" t="s">
        <v>7736</v>
      </c>
      <c r="C9990" s="12">
        <v>33573</v>
      </c>
      <c r="D9990" s="13" t="s">
        <v>8465</v>
      </c>
      <c r="E9990" s="10" t="s">
        <v>72</v>
      </c>
      <c r="F9990" s="10" t="s">
        <v>72</v>
      </c>
      <c r="G9990" s="11" t="s">
        <v>113</v>
      </c>
      <c r="H9990" s="2" t="s">
        <v>56</v>
      </c>
      <c r="L9990" s="18">
        <v>0</v>
      </c>
      <c r="Q9990" s="18">
        <v>1</v>
      </c>
      <c r="T9990" s="22">
        <v>0.8</v>
      </c>
      <c r="U9990" s="22">
        <v>0.82</v>
      </c>
      <c r="V9990" s="22">
        <f>4.15/5</f>
        <v>0.83000000000000007</v>
      </c>
      <c r="Y9990" s="18">
        <v>1</v>
      </c>
      <c r="AB9990" s="18">
        <f t="shared" si="312"/>
        <v>1991</v>
      </c>
      <c r="AC9990" s="22">
        <f t="shared" si="313"/>
        <v>0.81666666666666676</v>
      </c>
    </row>
    <row r="9991" spans="1:29" ht="25.5">
      <c r="A9991" s="8" t="s">
        <v>1744</v>
      </c>
      <c r="B9991" s="17" t="s">
        <v>7745</v>
      </c>
      <c r="C9991" s="12">
        <v>33573</v>
      </c>
      <c r="D9991" s="13" t="s">
        <v>8465</v>
      </c>
      <c r="E9991" s="10" t="s">
        <v>73</v>
      </c>
      <c r="F9991" s="10" t="s">
        <v>1745</v>
      </c>
      <c r="G9991" s="11" t="s">
        <v>89</v>
      </c>
      <c r="H9991" s="2" t="s">
        <v>56</v>
      </c>
      <c r="L9991" s="18">
        <v>0</v>
      </c>
      <c r="Q9991" s="18">
        <v>1</v>
      </c>
      <c r="T9991" s="22">
        <v>0.7</v>
      </c>
      <c r="U9991" s="22">
        <v>0.69</v>
      </c>
      <c r="V9991" s="22">
        <f>3.48/5</f>
        <v>0.69599999999999995</v>
      </c>
      <c r="AB9991" s="18">
        <f t="shared" si="312"/>
        <v>1991</v>
      </c>
      <c r="AC9991" s="22">
        <f t="shared" si="313"/>
        <v>0.69533333333333325</v>
      </c>
    </row>
    <row r="9992" spans="1:29">
      <c r="A9992" s="8" t="s">
        <v>1765</v>
      </c>
      <c r="B9992" s="17" t="s">
        <v>7745</v>
      </c>
      <c r="C9992" s="12">
        <v>33573</v>
      </c>
      <c r="D9992" s="13" t="s">
        <v>8465</v>
      </c>
      <c r="E9992" s="10" t="s">
        <v>76</v>
      </c>
      <c r="F9992" s="10" t="s">
        <v>76</v>
      </c>
      <c r="G9992" s="11" t="s">
        <v>139</v>
      </c>
      <c r="H9992" s="2" t="s">
        <v>56</v>
      </c>
      <c r="L9992" s="18">
        <v>0</v>
      </c>
      <c r="Q9992" s="18">
        <v>1</v>
      </c>
      <c r="T9992" s="22">
        <v>0.7</v>
      </c>
      <c r="U9992" s="22">
        <v>0.59</v>
      </c>
      <c r="V9992" s="22">
        <f>3.82/5</f>
        <v>0.76400000000000001</v>
      </c>
      <c r="AB9992" s="18">
        <f t="shared" si="312"/>
        <v>1991</v>
      </c>
      <c r="AC9992" s="22">
        <f t="shared" si="313"/>
        <v>0.68466666666666676</v>
      </c>
    </row>
    <row r="9993" spans="1:29" ht="38.25">
      <c r="A9993" s="8" t="s">
        <v>1763</v>
      </c>
      <c r="B9993" s="17" t="s">
        <v>7745</v>
      </c>
      <c r="C9993" s="13">
        <v>33573</v>
      </c>
      <c r="D9993" s="13" t="s">
        <v>8465</v>
      </c>
      <c r="E9993" s="10" t="s">
        <v>72</v>
      </c>
      <c r="F9993" s="10" t="s">
        <v>72</v>
      </c>
      <c r="G9993" s="11" t="s">
        <v>215</v>
      </c>
      <c r="H9993" s="2" t="s">
        <v>153</v>
      </c>
      <c r="L9993" s="18">
        <v>0</v>
      </c>
      <c r="Q9993" s="18">
        <v>1</v>
      </c>
      <c r="T9993" s="22">
        <v>0.6</v>
      </c>
      <c r="U9993" s="22">
        <v>0.65</v>
      </c>
      <c r="V9993" s="22">
        <f>3.39/5</f>
        <v>0.67800000000000005</v>
      </c>
      <c r="AB9993" s="18">
        <f t="shared" si="312"/>
        <v>1991</v>
      </c>
      <c r="AC9993" s="22">
        <f t="shared" si="313"/>
        <v>0.64266666666666661</v>
      </c>
    </row>
    <row r="9994" spans="1:29">
      <c r="A9994" s="8" t="s">
        <v>1771</v>
      </c>
      <c r="B9994" s="17" t="s">
        <v>7745</v>
      </c>
      <c r="C9994" s="12">
        <v>33573</v>
      </c>
      <c r="D9994" s="13" t="s">
        <v>8465</v>
      </c>
      <c r="E9994" s="10" t="s">
        <v>154</v>
      </c>
      <c r="F9994" s="10" t="s">
        <v>155</v>
      </c>
      <c r="G9994" s="11" t="s">
        <v>111</v>
      </c>
      <c r="H9994" s="2" t="s">
        <v>153</v>
      </c>
      <c r="L9994" s="18">
        <v>0</v>
      </c>
      <c r="Q9994" s="18">
        <v>1</v>
      </c>
      <c r="T9994" s="22">
        <v>0.6</v>
      </c>
      <c r="U9994" s="22">
        <v>0.49</v>
      </c>
      <c r="V9994" s="22">
        <f>3.4/5</f>
        <v>0.67999999999999994</v>
      </c>
      <c r="AB9994" s="18">
        <f t="shared" si="312"/>
        <v>1991</v>
      </c>
      <c r="AC9994" s="22">
        <f t="shared" si="313"/>
        <v>0.59</v>
      </c>
    </row>
    <row r="9995" spans="1:29">
      <c r="A9995" s="8" t="s">
        <v>295</v>
      </c>
      <c r="B9995" s="17" t="s">
        <v>7736</v>
      </c>
      <c r="C9995" s="13">
        <v>33565</v>
      </c>
      <c r="D9995" s="13" t="s">
        <v>8465</v>
      </c>
      <c r="E9995" s="10" t="s">
        <v>161</v>
      </c>
      <c r="F9995" s="10" t="s">
        <v>161</v>
      </c>
      <c r="G9995" s="11" t="s">
        <v>126</v>
      </c>
      <c r="H9995" s="2" t="s">
        <v>149</v>
      </c>
      <c r="L9995" s="18">
        <v>0</v>
      </c>
      <c r="Q9995" s="18">
        <v>1</v>
      </c>
      <c r="T9995" s="22">
        <v>0.8</v>
      </c>
      <c r="U9995" s="22">
        <v>0.87</v>
      </c>
      <c r="V9995" s="22">
        <f>4.16/5</f>
        <v>0.83200000000000007</v>
      </c>
      <c r="Y9995" s="18">
        <v>1</v>
      </c>
      <c r="AB9995" s="18">
        <f t="shared" si="312"/>
        <v>1991</v>
      </c>
      <c r="AC9995" s="22">
        <f t="shared" si="313"/>
        <v>0.83399999999999996</v>
      </c>
    </row>
    <row r="9996" spans="1:29" ht="25.5">
      <c r="A9996" s="8" t="s">
        <v>1743</v>
      </c>
      <c r="B9996" s="17" t="s">
        <v>7745</v>
      </c>
      <c r="C9996" s="13">
        <v>33547</v>
      </c>
      <c r="D9996" s="13" t="s">
        <v>8465</v>
      </c>
      <c r="E9996" s="10" t="s">
        <v>86</v>
      </c>
      <c r="F9996" s="10" t="s">
        <v>86</v>
      </c>
      <c r="G9996" s="11" t="s">
        <v>110</v>
      </c>
      <c r="H9996" s="2" t="s">
        <v>56</v>
      </c>
      <c r="L9996" s="18">
        <v>0</v>
      </c>
      <c r="Q9996" s="18">
        <v>1</v>
      </c>
      <c r="T9996" s="22">
        <v>0.6</v>
      </c>
      <c r="U9996" s="22">
        <v>0.79</v>
      </c>
      <c r="V9996" s="22">
        <f>3.56/5</f>
        <v>0.71199999999999997</v>
      </c>
      <c r="AB9996" s="18">
        <f t="shared" si="312"/>
        <v>1991</v>
      </c>
      <c r="AC9996" s="22">
        <f t="shared" si="313"/>
        <v>0.70066666666666677</v>
      </c>
    </row>
    <row r="9997" spans="1:29">
      <c r="A9997" s="8" t="s">
        <v>585</v>
      </c>
      <c r="B9997" s="17" t="s">
        <v>7736</v>
      </c>
      <c r="C9997" s="12">
        <v>33543</v>
      </c>
      <c r="D9997" s="13" t="s">
        <v>8465</v>
      </c>
      <c r="E9997" s="10" t="s">
        <v>257</v>
      </c>
      <c r="F9997" s="10" t="s">
        <v>1252</v>
      </c>
      <c r="G9997" s="11" t="s">
        <v>585</v>
      </c>
      <c r="H9997" s="2" t="s">
        <v>56</v>
      </c>
      <c r="L9997" s="18">
        <v>0</v>
      </c>
      <c r="Q9997" s="18">
        <v>1</v>
      </c>
      <c r="T9997" s="22">
        <v>0.9</v>
      </c>
      <c r="U9997" s="22">
        <v>0.79</v>
      </c>
      <c r="V9997" s="22">
        <f>3.96/5</f>
        <v>0.79200000000000004</v>
      </c>
      <c r="Y9997" s="18">
        <v>1</v>
      </c>
      <c r="AB9997" s="18">
        <f t="shared" si="312"/>
        <v>1991</v>
      </c>
      <c r="AC9997" s="22">
        <f t="shared" si="313"/>
        <v>0.82733333333333337</v>
      </c>
    </row>
    <row r="9998" spans="1:29" ht="25.5">
      <c r="A9998" s="8" t="s">
        <v>1742</v>
      </c>
      <c r="B9998" s="17" t="s">
        <v>7745</v>
      </c>
      <c r="C9998" s="12">
        <v>33543</v>
      </c>
      <c r="D9998" s="13" t="s">
        <v>8465</v>
      </c>
      <c r="E9998" s="10" t="s">
        <v>86</v>
      </c>
      <c r="F9998" s="10" t="s">
        <v>142</v>
      </c>
      <c r="G9998" s="11" t="s">
        <v>109</v>
      </c>
      <c r="H9998" s="2" t="s">
        <v>151</v>
      </c>
      <c r="L9998" s="18">
        <v>0</v>
      </c>
      <c r="Q9998" s="18">
        <v>1</v>
      </c>
      <c r="T9998" s="22">
        <v>0.8</v>
      </c>
      <c r="U9998" s="22">
        <v>0.78</v>
      </c>
      <c r="V9998" s="22">
        <f>3.75/5</f>
        <v>0.75</v>
      </c>
      <c r="Y9998" s="18">
        <v>1</v>
      </c>
      <c r="AB9998" s="18">
        <f t="shared" si="312"/>
        <v>1991</v>
      </c>
      <c r="AC9998" s="22">
        <f t="shared" si="313"/>
        <v>0.77666666666666673</v>
      </c>
    </row>
    <row r="9999" spans="1:29">
      <c r="A9999" s="8" t="s">
        <v>610</v>
      </c>
      <c r="B9999" s="17" t="s">
        <v>7736</v>
      </c>
      <c r="C9999" s="12">
        <v>33543</v>
      </c>
      <c r="D9999" s="13" t="s">
        <v>8465</v>
      </c>
      <c r="E9999" s="10" t="s">
        <v>54</v>
      </c>
      <c r="F9999" s="10" t="s">
        <v>54</v>
      </c>
      <c r="G9999" s="11" t="s">
        <v>330</v>
      </c>
      <c r="H9999" s="2" t="s">
        <v>21</v>
      </c>
      <c r="L9999" s="18">
        <v>0</v>
      </c>
      <c r="Q9999" s="18">
        <v>1</v>
      </c>
      <c r="T9999" s="22">
        <v>0.7</v>
      </c>
      <c r="U9999" s="22">
        <v>0.57999999999999996</v>
      </c>
      <c r="V9999" s="22">
        <f>3.47/5</f>
        <v>0.69400000000000006</v>
      </c>
      <c r="AB9999" s="18">
        <f t="shared" si="312"/>
        <v>1991</v>
      </c>
      <c r="AC9999" s="22">
        <f t="shared" si="313"/>
        <v>0.65799999999999992</v>
      </c>
    </row>
    <row r="10000" spans="1:29">
      <c r="A10000" s="8" t="s">
        <v>551</v>
      </c>
      <c r="B10000" s="17" t="s">
        <v>6317</v>
      </c>
      <c r="C10000" s="13">
        <v>33543</v>
      </c>
      <c r="D10000" s="13" t="s">
        <v>8465</v>
      </c>
      <c r="E10000" s="10" t="s">
        <v>54</v>
      </c>
      <c r="F10000" s="10" t="s">
        <v>54</v>
      </c>
      <c r="H10000" s="2" t="s">
        <v>153</v>
      </c>
      <c r="L10000" s="18">
        <v>0</v>
      </c>
      <c r="Q10000" s="18">
        <v>1</v>
      </c>
      <c r="R10000" s="13">
        <v>43902</v>
      </c>
      <c r="S10000" s="21">
        <f>20/60+48/3600</f>
        <v>0.34666666666666662</v>
      </c>
      <c r="T10000" s="22">
        <v>0.5</v>
      </c>
      <c r="V10000" s="22">
        <f>2.93/5</f>
        <v>0.58600000000000008</v>
      </c>
      <c r="AB10000" s="18">
        <f t="shared" si="312"/>
        <v>1991</v>
      </c>
      <c r="AC10000" s="22">
        <f t="shared" si="313"/>
        <v>0.54300000000000004</v>
      </c>
    </row>
    <row r="10001" spans="1:29">
      <c r="A10001" s="8" t="s">
        <v>2539</v>
      </c>
      <c r="B10001" s="17" t="s">
        <v>7751</v>
      </c>
      <c r="C10001" s="13">
        <v>33508</v>
      </c>
      <c r="D10001" s="13" t="s">
        <v>8463</v>
      </c>
      <c r="E10001" s="10" t="s">
        <v>54</v>
      </c>
      <c r="F10001" s="10" t="s">
        <v>55</v>
      </c>
      <c r="H10001" s="2" t="s">
        <v>21</v>
      </c>
      <c r="K10001" s="18">
        <v>0</v>
      </c>
      <c r="L10001" s="18">
        <v>0</v>
      </c>
      <c r="Q10001" s="18">
        <v>1</v>
      </c>
      <c r="R10001" s="13">
        <v>43898</v>
      </c>
      <c r="S10001" s="21">
        <f>29/60+5/3600</f>
        <v>0.48472222222222222</v>
      </c>
      <c r="T10001" s="22">
        <v>0.4</v>
      </c>
      <c r="U10001" s="22">
        <v>0.2</v>
      </c>
      <c r="V10001" s="22">
        <f>2.97/5</f>
        <v>0.59400000000000008</v>
      </c>
      <c r="AB10001" s="18">
        <f t="shared" si="312"/>
        <v>1991</v>
      </c>
      <c r="AC10001" s="22">
        <f t="shared" si="313"/>
        <v>0.39800000000000008</v>
      </c>
    </row>
    <row r="10002" spans="1:29">
      <c r="A10002" s="8" t="s">
        <v>2516</v>
      </c>
      <c r="B10002" s="17" t="s">
        <v>7751</v>
      </c>
      <c r="C10002" s="12">
        <v>33482</v>
      </c>
      <c r="D10002" s="13" t="s">
        <v>8465</v>
      </c>
      <c r="E10002" s="10" t="s">
        <v>455</v>
      </c>
      <c r="F10002" s="10" t="s">
        <v>455</v>
      </c>
      <c r="G10002" s="11" t="s">
        <v>2516</v>
      </c>
      <c r="H10002" s="2" t="s">
        <v>153</v>
      </c>
      <c r="L10002" s="18">
        <v>0</v>
      </c>
      <c r="Q10002" s="18">
        <v>1</v>
      </c>
      <c r="T10002" s="22">
        <v>0.7</v>
      </c>
      <c r="U10002" s="22">
        <v>0.75</v>
      </c>
      <c r="V10002" s="22">
        <f>3.93/5</f>
        <v>0.78600000000000003</v>
      </c>
      <c r="AB10002" s="18">
        <f t="shared" si="312"/>
        <v>1991</v>
      </c>
      <c r="AC10002" s="22">
        <f t="shared" si="313"/>
        <v>0.74533333333333329</v>
      </c>
    </row>
    <row r="10003" spans="1:29">
      <c r="A10003" s="8" t="s">
        <v>1750</v>
      </c>
      <c r="B10003" s="17" t="s">
        <v>7745</v>
      </c>
      <c r="C10003" s="12">
        <v>33482</v>
      </c>
      <c r="D10003" s="13" t="s">
        <v>8465</v>
      </c>
      <c r="E10003" s="10" t="s">
        <v>70</v>
      </c>
      <c r="F10003" s="10" t="s">
        <v>70</v>
      </c>
      <c r="G10003" s="11" t="s">
        <v>1256</v>
      </c>
      <c r="H10003" s="2" t="s">
        <v>147</v>
      </c>
      <c r="L10003" s="18">
        <v>0</v>
      </c>
      <c r="Q10003" s="18">
        <v>1</v>
      </c>
      <c r="T10003" s="22">
        <v>0.7</v>
      </c>
      <c r="U10003" s="22">
        <v>0.69</v>
      </c>
      <c r="V10003" s="22">
        <f>3.42/5</f>
        <v>0.68399999999999994</v>
      </c>
      <c r="AB10003" s="18">
        <f t="shared" si="312"/>
        <v>1991</v>
      </c>
      <c r="AC10003" s="22">
        <f t="shared" si="313"/>
        <v>0.69133333333333324</v>
      </c>
    </row>
    <row r="10004" spans="1:29">
      <c r="A10004" s="8" t="s">
        <v>1773</v>
      </c>
      <c r="B10004" s="17" t="s">
        <v>7745</v>
      </c>
      <c r="C10004" s="12">
        <v>33482</v>
      </c>
      <c r="D10004" s="13" t="s">
        <v>8465</v>
      </c>
      <c r="E10004" s="10" t="s">
        <v>250</v>
      </c>
      <c r="F10004" s="10" t="s">
        <v>250</v>
      </c>
      <c r="H10004" s="2" t="s">
        <v>21</v>
      </c>
      <c r="L10004" s="18">
        <v>0</v>
      </c>
      <c r="Q10004" s="18">
        <v>1</v>
      </c>
      <c r="T10004" s="22">
        <v>0.7</v>
      </c>
      <c r="U10004" s="22">
        <v>0.43</v>
      </c>
      <c r="V10004" s="22">
        <f>3.13/5</f>
        <v>0.626</v>
      </c>
      <c r="AB10004" s="18">
        <f t="shared" si="312"/>
        <v>1991</v>
      </c>
      <c r="AC10004" s="22">
        <f t="shared" si="313"/>
        <v>0.58533333333333326</v>
      </c>
    </row>
    <row r="10005" spans="1:29">
      <c r="A10005" s="8" t="s">
        <v>597</v>
      </c>
      <c r="B10005" s="17" t="s">
        <v>7736</v>
      </c>
      <c r="C10005" s="13">
        <v>33473</v>
      </c>
      <c r="D10005" s="13" t="s">
        <v>8465</v>
      </c>
      <c r="E10005" s="10" t="s">
        <v>86</v>
      </c>
      <c r="F10005" s="10" t="s">
        <v>87</v>
      </c>
      <c r="G10005" s="11" t="s">
        <v>137</v>
      </c>
      <c r="H10005" s="2" t="s">
        <v>64</v>
      </c>
      <c r="L10005" s="18">
        <v>1</v>
      </c>
      <c r="M10005" s="14" t="s">
        <v>10622</v>
      </c>
      <c r="P10005" s="18" t="s">
        <v>14</v>
      </c>
      <c r="Q10005" s="18">
        <v>1</v>
      </c>
      <c r="T10005" s="22">
        <v>0.9</v>
      </c>
      <c r="U10005" s="22">
        <v>0.94</v>
      </c>
      <c r="V10005" s="22">
        <f>4.54/5</f>
        <v>0.90800000000000003</v>
      </c>
      <c r="AB10005" s="18">
        <f t="shared" si="312"/>
        <v>1991</v>
      </c>
      <c r="AC10005" s="22">
        <f t="shared" si="313"/>
        <v>0.91599999999999993</v>
      </c>
    </row>
    <row r="10006" spans="1:29" ht="25.5">
      <c r="A10006" s="8" t="s">
        <v>108</v>
      </c>
      <c r="B10006" s="17" t="s">
        <v>7734</v>
      </c>
      <c r="C10006" s="12">
        <v>33451</v>
      </c>
      <c r="D10006" s="13" t="s">
        <v>8465</v>
      </c>
      <c r="E10006" s="10" t="s">
        <v>76</v>
      </c>
      <c r="F10006" s="10" t="s">
        <v>76</v>
      </c>
      <c r="G10006" s="11" t="s">
        <v>139</v>
      </c>
      <c r="H10006" s="2" t="s">
        <v>56</v>
      </c>
      <c r="L10006" s="18">
        <v>0</v>
      </c>
      <c r="Q10006" s="18">
        <v>1</v>
      </c>
      <c r="T10006" s="22">
        <v>0.8</v>
      </c>
      <c r="V10006" s="22">
        <f>3.84/5</f>
        <v>0.76800000000000002</v>
      </c>
      <c r="AB10006" s="18">
        <f t="shared" si="312"/>
        <v>1991</v>
      </c>
      <c r="AC10006" s="22">
        <f t="shared" si="313"/>
        <v>0.78400000000000003</v>
      </c>
    </row>
    <row r="10007" spans="1:29" ht="25.5">
      <c r="A10007" s="8" t="s">
        <v>1770</v>
      </c>
      <c r="B10007" s="17" t="s">
        <v>7745</v>
      </c>
      <c r="C10007" s="12">
        <v>33451</v>
      </c>
      <c r="D10007" s="13" t="s">
        <v>8465</v>
      </c>
      <c r="E10007" s="10" t="s">
        <v>72</v>
      </c>
      <c r="F10007" s="10" t="s">
        <v>72</v>
      </c>
      <c r="G10007" s="11" t="s">
        <v>113</v>
      </c>
      <c r="H10007" s="2" t="s">
        <v>56</v>
      </c>
      <c r="L10007" s="18">
        <v>0</v>
      </c>
      <c r="Q10007" s="18">
        <v>1</v>
      </c>
      <c r="T10007" s="22">
        <v>0.6</v>
      </c>
      <c r="U10007" s="22">
        <v>0.84</v>
      </c>
      <c r="V10007" s="22">
        <f>3.63/5</f>
        <v>0.72599999999999998</v>
      </c>
      <c r="AB10007" s="18">
        <f t="shared" si="312"/>
        <v>1991</v>
      </c>
      <c r="AC10007" s="22">
        <f t="shared" si="313"/>
        <v>0.72199999999999998</v>
      </c>
    </row>
    <row r="10008" spans="1:29">
      <c r="A10008" s="8" t="s">
        <v>494</v>
      </c>
      <c r="B10008" s="17" t="s">
        <v>7731</v>
      </c>
      <c r="C10008" s="13">
        <v>33420</v>
      </c>
      <c r="D10008" s="13" t="s">
        <v>8465</v>
      </c>
      <c r="E10008" s="10" t="s">
        <v>170</v>
      </c>
      <c r="F10008" s="10" t="s">
        <v>568</v>
      </c>
      <c r="H10008" s="2" t="s">
        <v>56</v>
      </c>
      <c r="L10008" s="18">
        <v>0</v>
      </c>
      <c r="Q10008" s="18">
        <v>1</v>
      </c>
      <c r="T10008" s="22">
        <v>0.7</v>
      </c>
      <c r="V10008" s="22">
        <f>3.36/5</f>
        <v>0.67199999999999993</v>
      </c>
      <c r="AB10008" s="18">
        <f t="shared" si="312"/>
        <v>1991</v>
      </c>
      <c r="AC10008" s="22">
        <f t="shared" si="313"/>
        <v>0.68599999999999994</v>
      </c>
    </row>
    <row r="10009" spans="1:29">
      <c r="A10009" s="8" t="s">
        <v>491</v>
      </c>
      <c r="B10009" s="17" t="s">
        <v>7731</v>
      </c>
      <c r="C10009" s="13">
        <v>33420</v>
      </c>
      <c r="D10009" s="13" t="s">
        <v>8465</v>
      </c>
      <c r="E10009" s="10" t="s">
        <v>170</v>
      </c>
      <c r="F10009" s="10" t="s">
        <v>170</v>
      </c>
      <c r="H10009" s="2" t="s">
        <v>147</v>
      </c>
      <c r="L10009" s="18">
        <v>0</v>
      </c>
      <c r="Q10009" s="18">
        <v>1</v>
      </c>
      <c r="T10009" s="22">
        <v>0.7</v>
      </c>
      <c r="V10009" s="22">
        <f>3.24/5</f>
        <v>0.64800000000000002</v>
      </c>
      <c r="AB10009" s="18">
        <f t="shared" si="312"/>
        <v>1991</v>
      </c>
      <c r="AC10009" s="22">
        <f t="shared" si="313"/>
        <v>0.67399999999999993</v>
      </c>
    </row>
    <row r="10010" spans="1:29">
      <c r="A10010" s="8" t="s">
        <v>132</v>
      </c>
      <c r="B10010" s="17" t="s">
        <v>7734</v>
      </c>
      <c r="C10010" s="12">
        <v>33390</v>
      </c>
      <c r="D10010" s="13" t="s">
        <v>8465</v>
      </c>
      <c r="E10010" s="10" t="s">
        <v>166</v>
      </c>
      <c r="F10010" s="10" t="s">
        <v>167</v>
      </c>
      <c r="G10010" s="11" t="s">
        <v>168</v>
      </c>
      <c r="H10010" s="2" t="s">
        <v>67</v>
      </c>
      <c r="L10010" s="18">
        <v>0</v>
      </c>
      <c r="Q10010" s="18">
        <v>1</v>
      </c>
      <c r="T10010" s="22">
        <v>0.8</v>
      </c>
      <c r="V10010" s="22">
        <f>3.61/5</f>
        <v>0.72199999999999998</v>
      </c>
      <c r="AB10010" s="18">
        <f t="shared" si="312"/>
        <v>1991</v>
      </c>
      <c r="AC10010" s="22">
        <f t="shared" si="313"/>
        <v>0.76100000000000001</v>
      </c>
    </row>
    <row r="10011" spans="1:29">
      <c r="A10011" s="8" t="s">
        <v>95</v>
      </c>
      <c r="B10011" s="17" t="s">
        <v>7734</v>
      </c>
      <c r="C10011" s="12">
        <v>33390</v>
      </c>
      <c r="D10011" s="13" t="s">
        <v>8465</v>
      </c>
      <c r="E10011" s="10" t="s">
        <v>59</v>
      </c>
      <c r="F10011" s="10" t="s">
        <v>146</v>
      </c>
      <c r="H10011" s="2" t="s">
        <v>67</v>
      </c>
      <c r="L10011" s="18">
        <v>0</v>
      </c>
      <c r="Q10011" s="18">
        <v>1</v>
      </c>
      <c r="T10011" s="22">
        <v>0.8</v>
      </c>
      <c r="V10011" s="22">
        <f>3.51/5</f>
        <v>0.70199999999999996</v>
      </c>
      <c r="Y10011" s="18">
        <v>1</v>
      </c>
      <c r="AB10011" s="18">
        <f t="shared" si="312"/>
        <v>1991</v>
      </c>
      <c r="AC10011" s="22">
        <f t="shared" si="313"/>
        <v>0.751</v>
      </c>
    </row>
    <row r="10012" spans="1:29">
      <c r="A10012" s="8" t="s">
        <v>127</v>
      </c>
      <c r="B10012" s="17" t="s">
        <v>7734</v>
      </c>
      <c r="C10012" s="13">
        <v>33390</v>
      </c>
      <c r="D10012" s="13" t="s">
        <v>8465</v>
      </c>
      <c r="E10012" s="10" t="s">
        <v>162</v>
      </c>
      <c r="F10012" s="10" t="s">
        <v>163</v>
      </c>
      <c r="G10012" s="11" t="s">
        <v>127</v>
      </c>
      <c r="H10012" s="2" t="s">
        <v>153</v>
      </c>
      <c r="L10012" s="18">
        <v>0</v>
      </c>
      <c r="Q10012" s="18">
        <v>1</v>
      </c>
      <c r="T10012" s="22">
        <v>0.6</v>
      </c>
      <c r="V10012" s="22">
        <f>3.68/5</f>
        <v>0.73599999999999999</v>
      </c>
      <c r="AB10012" s="18">
        <f t="shared" si="312"/>
        <v>1991</v>
      </c>
      <c r="AC10012" s="22">
        <f t="shared" si="313"/>
        <v>0.66799999999999993</v>
      </c>
    </row>
    <row r="10013" spans="1:29" ht="25.5">
      <c r="A10013" s="8" t="s">
        <v>439</v>
      </c>
      <c r="B10013" s="17" t="s">
        <v>6317</v>
      </c>
      <c r="C10013" s="13">
        <v>33301</v>
      </c>
      <c r="D10013" s="13" t="s">
        <v>8465</v>
      </c>
      <c r="E10013" s="10" t="s">
        <v>72</v>
      </c>
      <c r="F10013" s="10" t="s">
        <v>72</v>
      </c>
      <c r="G10013" s="11" t="s">
        <v>452</v>
      </c>
      <c r="H10013" s="2" t="s">
        <v>153</v>
      </c>
      <c r="L10013" s="18">
        <v>0</v>
      </c>
      <c r="Q10013" s="18">
        <v>1</v>
      </c>
      <c r="R10013" s="13">
        <v>45007</v>
      </c>
      <c r="S10013" s="21">
        <f>43/60+39/3600</f>
        <v>0.72750000000000004</v>
      </c>
      <c r="T10013" s="22">
        <v>0.6</v>
      </c>
      <c r="V10013" s="22">
        <f>3.94/5</f>
        <v>0.78800000000000003</v>
      </c>
      <c r="AB10013" s="18">
        <f t="shared" si="312"/>
        <v>1991</v>
      </c>
      <c r="AC10013" s="22">
        <f t="shared" si="313"/>
        <v>0.69399999999999995</v>
      </c>
    </row>
    <row r="10014" spans="1:29">
      <c r="A10014" s="8" t="s">
        <v>49</v>
      </c>
      <c r="B10014" s="17" t="s">
        <v>7734</v>
      </c>
      <c r="C10014" s="12">
        <v>33298</v>
      </c>
      <c r="D10014" s="13" t="s">
        <v>8465</v>
      </c>
      <c r="E10014" s="10" t="s">
        <v>54</v>
      </c>
      <c r="F10014" s="10" t="s">
        <v>66</v>
      </c>
      <c r="G10014" s="11" t="s">
        <v>49</v>
      </c>
      <c r="H10014" s="2" t="s">
        <v>56</v>
      </c>
      <c r="L10014" s="18">
        <v>0</v>
      </c>
      <c r="Q10014" s="18">
        <v>1</v>
      </c>
      <c r="T10014" s="22">
        <v>0.7</v>
      </c>
      <c r="V10014" s="22">
        <f>3.75/5</f>
        <v>0.75</v>
      </c>
      <c r="AB10014" s="18">
        <f t="shared" si="312"/>
        <v>1991</v>
      </c>
      <c r="AC10014" s="22">
        <f t="shared" si="313"/>
        <v>0.72499999999999998</v>
      </c>
    </row>
    <row r="10015" spans="1:29" ht="30">
      <c r="A10015" s="8" t="s">
        <v>94</v>
      </c>
      <c r="B10015" s="17" t="s">
        <v>7734</v>
      </c>
      <c r="C10015" s="12">
        <v>33270</v>
      </c>
      <c r="D10015" s="13" t="s">
        <v>8465</v>
      </c>
      <c r="E10015" s="10" t="s">
        <v>144</v>
      </c>
      <c r="F10015" s="10" t="s">
        <v>145</v>
      </c>
      <c r="H10015" s="2" t="s">
        <v>56</v>
      </c>
      <c r="L10015" s="18">
        <v>1</v>
      </c>
      <c r="M10015" s="14" t="s">
        <v>8462</v>
      </c>
      <c r="N10015" s="13">
        <v>43838</v>
      </c>
      <c r="O10015" s="29">
        <v>54.6</v>
      </c>
      <c r="P10015" s="18" t="s">
        <v>14</v>
      </c>
      <c r="Q10015" s="18">
        <v>1</v>
      </c>
      <c r="T10015" s="22">
        <v>0.8</v>
      </c>
      <c r="V10015" s="22">
        <f>3.94/5</f>
        <v>0.78800000000000003</v>
      </c>
      <c r="W10015" s="14" t="s">
        <v>1134</v>
      </c>
      <c r="AB10015" s="18">
        <f t="shared" si="312"/>
        <v>1991</v>
      </c>
      <c r="AC10015" s="22">
        <f t="shared" si="313"/>
        <v>0.79400000000000004</v>
      </c>
    </row>
    <row r="10016" spans="1:29">
      <c r="A10016" s="8" t="s">
        <v>1761</v>
      </c>
      <c r="B10016" s="17" t="s">
        <v>7745</v>
      </c>
      <c r="C10016" s="12">
        <v>33270</v>
      </c>
      <c r="D10016" s="13" t="s">
        <v>8465</v>
      </c>
      <c r="E10016" s="10" t="s">
        <v>244</v>
      </c>
      <c r="F10016" s="10" t="s">
        <v>72</v>
      </c>
      <c r="G10016" s="11" t="s">
        <v>97</v>
      </c>
      <c r="H10016" s="2" t="s">
        <v>147</v>
      </c>
      <c r="L10016" s="18">
        <v>0</v>
      </c>
      <c r="Q10016" s="18">
        <v>1</v>
      </c>
      <c r="T10016" s="22">
        <v>0.7</v>
      </c>
      <c r="V10016" s="22">
        <f>3.8/5</f>
        <v>0.76</v>
      </c>
      <c r="AB10016" s="18">
        <f t="shared" si="312"/>
        <v>1991</v>
      </c>
      <c r="AC10016" s="22">
        <f t="shared" si="313"/>
        <v>0.73</v>
      </c>
    </row>
    <row r="10017" spans="1:29" ht="25.5">
      <c r="A10017" s="8" t="s">
        <v>115</v>
      </c>
      <c r="B10017" s="17" t="s">
        <v>7734</v>
      </c>
      <c r="C10017" s="12">
        <v>33270</v>
      </c>
      <c r="D10017" s="13" t="s">
        <v>8465</v>
      </c>
      <c r="E10017" s="10" t="s">
        <v>154</v>
      </c>
      <c r="F10017" s="10" t="s">
        <v>155</v>
      </c>
      <c r="G10017" s="11" t="s">
        <v>111</v>
      </c>
      <c r="H10017" s="2" t="s">
        <v>153</v>
      </c>
      <c r="L10017" s="18">
        <v>0</v>
      </c>
      <c r="Q10017" s="18">
        <v>1</v>
      </c>
      <c r="T10017" s="22">
        <v>0.7</v>
      </c>
      <c r="V10017" s="22">
        <f>3.18/5</f>
        <v>0.63600000000000001</v>
      </c>
      <c r="AB10017" s="18">
        <f t="shared" si="312"/>
        <v>1991</v>
      </c>
      <c r="AC10017" s="22">
        <f t="shared" si="313"/>
        <v>0.66799999999999993</v>
      </c>
    </row>
    <row r="10018" spans="1:29">
      <c r="A10018" s="8" t="s">
        <v>1774</v>
      </c>
      <c r="B10018" s="17" t="s">
        <v>7745</v>
      </c>
      <c r="C10018" s="12">
        <v>33239</v>
      </c>
      <c r="D10018" s="13" t="s">
        <v>8465</v>
      </c>
      <c r="E10018" s="10" t="s">
        <v>240</v>
      </c>
      <c r="F10018" s="10" t="s">
        <v>1779</v>
      </c>
      <c r="G10018" s="11" t="s">
        <v>1780</v>
      </c>
      <c r="H10018" s="2" t="s">
        <v>21</v>
      </c>
      <c r="L10018" s="18">
        <v>0</v>
      </c>
      <c r="Q10018" s="18">
        <v>1</v>
      </c>
      <c r="T10018" s="22">
        <v>0.7</v>
      </c>
      <c r="U10018" s="22">
        <v>0.68</v>
      </c>
      <c r="V10018" s="22">
        <f>3.38/5</f>
        <v>0.67599999999999993</v>
      </c>
      <c r="AB10018" s="18">
        <f t="shared" si="312"/>
        <v>1991</v>
      </c>
      <c r="AC10018" s="22">
        <f t="shared" si="313"/>
        <v>0.68533333333333335</v>
      </c>
    </row>
    <row r="10019" spans="1:29">
      <c r="A10019" s="8" t="s">
        <v>329</v>
      </c>
      <c r="B10019" s="17" t="s">
        <v>6317</v>
      </c>
      <c r="C10019" s="12">
        <v>33239</v>
      </c>
      <c r="D10019" s="13" t="s">
        <v>8467</v>
      </c>
      <c r="E10019" s="10" t="s">
        <v>54</v>
      </c>
      <c r="F10019" s="10" t="s">
        <v>54</v>
      </c>
      <c r="G10019" s="11" t="s">
        <v>349</v>
      </c>
      <c r="H10019" s="2" t="s">
        <v>21</v>
      </c>
      <c r="L10019" s="18">
        <v>0</v>
      </c>
      <c r="Q10019" s="18">
        <v>1</v>
      </c>
      <c r="T10019" s="22">
        <v>0.6</v>
      </c>
      <c r="V10019" s="22">
        <f>3.58/5</f>
        <v>0.71599999999999997</v>
      </c>
      <c r="AB10019" s="18">
        <f t="shared" si="312"/>
        <v>1991</v>
      </c>
      <c r="AC10019" s="22">
        <f t="shared" si="313"/>
        <v>0.65799999999999992</v>
      </c>
    </row>
    <row r="10020" spans="1:29">
      <c r="A10020" s="8" t="s">
        <v>1762</v>
      </c>
      <c r="B10020" s="17" t="s">
        <v>7751</v>
      </c>
      <c r="C10020" s="12">
        <v>33239</v>
      </c>
      <c r="D10020" s="13" t="s">
        <v>8465</v>
      </c>
      <c r="E10020" s="10" t="s">
        <v>54</v>
      </c>
      <c r="F10020" s="10" t="s">
        <v>54</v>
      </c>
      <c r="G10020" s="11" t="s">
        <v>330</v>
      </c>
      <c r="H10020" s="2" t="s">
        <v>21</v>
      </c>
      <c r="L10020" s="18">
        <v>0</v>
      </c>
      <c r="Q10020" s="18">
        <v>1</v>
      </c>
      <c r="T10020" s="22">
        <v>0.7</v>
      </c>
      <c r="U10020" s="22">
        <v>0.4</v>
      </c>
      <c r="V10020" s="22">
        <f>3.83/5</f>
        <v>0.76600000000000001</v>
      </c>
      <c r="AB10020" s="18">
        <f t="shared" si="312"/>
        <v>1991</v>
      </c>
      <c r="AC10020" s="22">
        <f t="shared" si="313"/>
        <v>0.622</v>
      </c>
    </row>
    <row r="10021" spans="1:29">
      <c r="A10021" s="8" t="s">
        <v>2845</v>
      </c>
      <c r="B10021" s="17" t="s">
        <v>7789</v>
      </c>
      <c r="C10021" s="12">
        <v>33239</v>
      </c>
      <c r="D10021" s="13" t="s">
        <v>8465</v>
      </c>
      <c r="E10021" s="10" t="s">
        <v>66</v>
      </c>
      <c r="F10021" s="10" t="s">
        <v>66</v>
      </c>
      <c r="H10021" s="2" t="s">
        <v>21</v>
      </c>
      <c r="L10021" s="18">
        <v>0</v>
      </c>
      <c r="Q10021" s="18">
        <v>1</v>
      </c>
      <c r="T10021" s="22">
        <v>0.6</v>
      </c>
      <c r="V10021" s="22">
        <f>3.38/5</f>
        <v>0.67599999999999993</v>
      </c>
      <c r="AB10021" s="18">
        <f t="shared" si="312"/>
        <v>1991</v>
      </c>
      <c r="AC10021" s="22">
        <f t="shared" si="313"/>
        <v>0.6379999999999999</v>
      </c>
    </row>
    <row r="10022" spans="1:29">
      <c r="A10022" s="8" t="s">
        <v>2523</v>
      </c>
      <c r="B10022" s="17" t="s">
        <v>7751</v>
      </c>
      <c r="C10022" s="13">
        <v>33233</v>
      </c>
      <c r="D10022" s="13" t="s">
        <v>8465</v>
      </c>
      <c r="E10022" s="10" t="s">
        <v>54</v>
      </c>
      <c r="F10022" s="10" t="s">
        <v>465</v>
      </c>
      <c r="H10022" s="2" t="s">
        <v>21</v>
      </c>
      <c r="L10022" s="18">
        <v>0</v>
      </c>
      <c r="Q10022" s="18">
        <v>0</v>
      </c>
      <c r="V10022" s="22">
        <f>3.11/5</f>
        <v>0.622</v>
      </c>
      <c r="X10022" s="3">
        <v>2</v>
      </c>
      <c r="Z10022" s="23">
        <f>22/60</f>
        <v>0.36666666666666664</v>
      </c>
      <c r="AB10022" s="18">
        <f t="shared" si="312"/>
        <v>1990</v>
      </c>
      <c r="AC10022" s="22">
        <f t="shared" si="313"/>
        <v>0.51100000000000001</v>
      </c>
    </row>
    <row r="10023" spans="1:29" ht="38.25">
      <c r="A10023" s="8" t="s">
        <v>14289</v>
      </c>
      <c r="B10023" s="17" t="s">
        <v>7734</v>
      </c>
      <c r="C10023" s="13">
        <v>33229</v>
      </c>
      <c r="D10023" s="13" t="s">
        <v>8463</v>
      </c>
      <c r="E10023" s="10" t="s">
        <v>1400</v>
      </c>
      <c r="F10023" s="10" t="s">
        <v>58</v>
      </c>
      <c r="G10023" s="11" t="s">
        <v>1395</v>
      </c>
      <c r="H10023" s="2" t="s">
        <v>75</v>
      </c>
      <c r="K10023" s="18">
        <v>2</v>
      </c>
      <c r="L10023" s="18">
        <v>0</v>
      </c>
      <c r="Q10023" s="18">
        <v>0</v>
      </c>
      <c r="V10023" s="22">
        <f>3.56/5</f>
        <v>0.71199999999999997</v>
      </c>
      <c r="X10023" s="3">
        <v>2</v>
      </c>
      <c r="AB10023" s="18">
        <f t="shared" si="312"/>
        <v>1990</v>
      </c>
      <c r="AC10023" s="22">
        <f t="shared" si="313"/>
        <v>0.55600000000000005</v>
      </c>
    </row>
    <row r="10024" spans="1:29">
      <c r="A10024" s="8" t="s">
        <v>267</v>
      </c>
      <c r="B10024" s="17" t="s">
        <v>7734</v>
      </c>
      <c r="C10024" s="13">
        <v>33229</v>
      </c>
      <c r="D10024" s="13" t="s">
        <v>8463</v>
      </c>
      <c r="E10024" s="10" t="s">
        <v>1235</v>
      </c>
      <c r="F10024" s="10" t="s">
        <v>1230</v>
      </c>
      <c r="H10024" s="2" t="s">
        <v>149</v>
      </c>
      <c r="K10024" s="18">
        <v>2</v>
      </c>
      <c r="L10024" s="18">
        <v>0</v>
      </c>
      <c r="Q10024" s="18">
        <v>0</v>
      </c>
      <c r="V10024" s="22">
        <f>2.93/5</f>
        <v>0.58600000000000008</v>
      </c>
      <c r="X10024" s="3">
        <v>2</v>
      </c>
      <c r="AB10024" s="18">
        <f t="shared" si="312"/>
        <v>1990</v>
      </c>
      <c r="AC10024" s="22">
        <f t="shared" si="313"/>
        <v>0.49300000000000005</v>
      </c>
    </row>
    <row r="10025" spans="1:29">
      <c r="A10025" s="8" t="s">
        <v>10337</v>
      </c>
      <c r="B10025" s="17" t="s">
        <v>7751</v>
      </c>
      <c r="C10025" s="13">
        <v>33228</v>
      </c>
      <c r="D10025" s="13" t="s">
        <v>8463</v>
      </c>
      <c r="E10025" s="10" t="s">
        <v>158</v>
      </c>
      <c r="F10025" s="10" t="s">
        <v>10338</v>
      </c>
      <c r="G10025" s="11" t="s">
        <v>10337</v>
      </c>
      <c r="H10025" s="2" t="s">
        <v>171</v>
      </c>
      <c r="K10025" s="18">
        <v>2</v>
      </c>
      <c r="L10025" s="18">
        <v>0</v>
      </c>
      <c r="Q10025" s="18">
        <v>0</v>
      </c>
      <c r="V10025" s="22">
        <f>3.05/5</f>
        <v>0.61</v>
      </c>
      <c r="X10025" s="3">
        <v>2</v>
      </c>
      <c r="AB10025" s="18">
        <f t="shared" si="312"/>
        <v>1990</v>
      </c>
      <c r="AC10025" s="22">
        <f t="shared" si="313"/>
        <v>0.505</v>
      </c>
    </row>
    <row r="10026" spans="1:29">
      <c r="A10026" s="8" t="s">
        <v>15528</v>
      </c>
      <c r="B10026" s="17" t="s">
        <v>7734</v>
      </c>
      <c r="C10026" s="13">
        <v>33228</v>
      </c>
      <c r="D10026" s="13" t="s">
        <v>8463</v>
      </c>
      <c r="E10026" s="10" t="s">
        <v>57</v>
      </c>
      <c r="F10026" s="10" t="s">
        <v>15529</v>
      </c>
      <c r="H10026" s="2" t="s">
        <v>61</v>
      </c>
      <c r="K10026" s="18">
        <v>2</v>
      </c>
      <c r="L10026" s="18">
        <v>0</v>
      </c>
      <c r="Q10026" s="18">
        <v>0</v>
      </c>
      <c r="V10026" s="22">
        <f>3.73/5</f>
        <v>0.746</v>
      </c>
      <c r="X10026" s="3">
        <v>2</v>
      </c>
      <c r="AB10026" s="18">
        <f t="shared" si="312"/>
        <v>1990</v>
      </c>
      <c r="AC10026" s="22">
        <f t="shared" si="313"/>
        <v>0.57299999999999995</v>
      </c>
    </row>
    <row r="10027" spans="1:29">
      <c r="A10027" s="8" t="s">
        <v>16001</v>
      </c>
      <c r="B10027" s="17" t="s">
        <v>10323</v>
      </c>
      <c r="C10027" s="13">
        <v>33227</v>
      </c>
      <c r="D10027" s="13" t="s">
        <v>8463</v>
      </c>
      <c r="E10027" s="10" t="s">
        <v>16002</v>
      </c>
      <c r="F10027" s="10" t="s">
        <v>16002</v>
      </c>
      <c r="G10027" s="11" t="s">
        <v>16000</v>
      </c>
      <c r="H10027" s="2" t="s">
        <v>1377</v>
      </c>
      <c r="K10027" s="18">
        <v>2</v>
      </c>
      <c r="L10027" s="18">
        <v>0</v>
      </c>
      <c r="Q10027" s="18">
        <v>0</v>
      </c>
      <c r="V10027" s="22">
        <f>2.67/5</f>
        <v>0.53400000000000003</v>
      </c>
      <c r="X10027" s="3">
        <v>2</v>
      </c>
      <c r="AB10027" s="18">
        <f t="shared" si="312"/>
        <v>1990</v>
      </c>
      <c r="AC10027" s="22">
        <f t="shared" si="313"/>
        <v>0.46700000000000003</v>
      </c>
    </row>
    <row r="10028" spans="1:29">
      <c r="A10028" s="8" t="s">
        <v>2530</v>
      </c>
      <c r="B10028" s="17" t="s">
        <v>7751</v>
      </c>
      <c r="C10028" s="13">
        <v>33225</v>
      </c>
      <c r="D10028" s="13" t="s">
        <v>8463</v>
      </c>
      <c r="E10028" s="10" t="s">
        <v>158</v>
      </c>
      <c r="F10028" s="10" t="s">
        <v>58</v>
      </c>
      <c r="H10028" s="2" t="s">
        <v>21</v>
      </c>
      <c r="K10028" s="18">
        <v>0</v>
      </c>
      <c r="L10028" s="18">
        <v>0</v>
      </c>
      <c r="Q10028" s="18">
        <v>0</v>
      </c>
      <c r="V10028" s="22">
        <f>3.43/5</f>
        <v>0.68600000000000005</v>
      </c>
      <c r="X10028" s="3">
        <v>2</v>
      </c>
      <c r="Z10028" s="23">
        <v>0.57999999999999996</v>
      </c>
      <c r="AB10028" s="18">
        <f t="shared" si="312"/>
        <v>1990</v>
      </c>
      <c r="AC10028" s="22">
        <f t="shared" si="313"/>
        <v>0.54300000000000004</v>
      </c>
    </row>
    <row r="10029" spans="1:29" ht="38.25">
      <c r="A10029" s="8" t="s">
        <v>6757</v>
      </c>
      <c r="B10029" s="17" t="s">
        <v>7800</v>
      </c>
      <c r="C10029" s="13">
        <v>33221</v>
      </c>
      <c r="D10029" s="13" t="s">
        <v>8465</v>
      </c>
      <c r="E10029" s="10" t="s">
        <v>3304</v>
      </c>
      <c r="F10029" s="10" t="s">
        <v>1889</v>
      </c>
      <c r="G10029" s="11" t="s">
        <v>6889</v>
      </c>
      <c r="H10029" s="2" t="s">
        <v>64</v>
      </c>
      <c r="L10029" s="18">
        <v>0</v>
      </c>
      <c r="Q10029" s="18">
        <v>0</v>
      </c>
      <c r="X10029" s="3">
        <v>3</v>
      </c>
      <c r="Z10029" s="23">
        <v>3</v>
      </c>
      <c r="AB10029" s="18">
        <f t="shared" si="312"/>
        <v>1990</v>
      </c>
      <c r="AC10029" s="22">
        <f t="shared" si="313"/>
        <v>0.6</v>
      </c>
    </row>
    <row r="10030" spans="1:29" ht="38.25">
      <c r="A10030" s="8" t="s">
        <v>6758</v>
      </c>
      <c r="B10030" s="17" t="s">
        <v>7800</v>
      </c>
      <c r="C10030" s="13">
        <v>33221</v>
      </c>
      <c r="D10030" s="13" t="s">
        <v>8465</v>
      </c>
      <c r="E10030" s="10" t="s">
        <v>3304</v>
      </c>
      <c r="F10030" s="10" t="s">
        <v>1889</v>
      </c>
      <c r="G10030" s="11" t="s">
        <v>6889</v>
      </c>
      <c r="H10030" s="2" t="s">
        <v>64</v>
      </c>
      <c r="L10030" s="18">
        <v>0</v>
      </c>
      <c r="Q10030" s="18">
        <v>0</v>
      </c>
      <c r="X10030" s="3">
        <v>3</v>
      </c>
      <c r="Z10030" s="23">
        <v>3.5</v>
      </c>
      <c r="AB10030" s="18">
        <f t="shared" si="312"/>
        <v>1990</v>
      </c>
      <c r="AC10030" s="22">
        <f t="shared" si="313"/>
        <v>0.6</v>
      </c>
    </row>
    <row r="10031" spans="1:29" ht="38.25">
      <c r="A10031" s="8" t="s">
        <v>6846</v>
      </c>
      <c r="B10031" s="17" t="s">
        <v>7800</v>
      </c>
      <c r="C10031" s="13">
        <v>33221</v>
      </c>
      <c r="D10031" s="13" t="s">
        <v>8465</v>
      </c>
      <c r="E10031" s="10" t="s">
        <v>3304</v>
      </c>
      <c r="F10031" s="10" t="s">
        <v>1889</v>
      </c>
      <c r="G10031" s="11" t="s">
        <v>6889</v>
      </c>
      <c r="H10031" s="2" t="s">
        <v>64</v>
      </c>
      <c r="L10031" s="18">
        <v>0</v>
      </c>
      <c r="Q10031" s="18">
        <v>0</v>
      </c>
      <c r="U10031" s="22">
        <v>0.5</v>
      </c>
      <c r="X10031" s="3">
        <v>3</v>
      </c>
      <c r="Z10031" s="23">
        <v>1.5</v>
      </c>
      <c r="AB10031" s="18">
        <f t="shared" si="312"/>
        <v>1990</v>
      </c>
      <c r="AC10031" s="22">
        <f t="shared" si="313"/>
        <v>0.55000000000000004</v>
      </c>
    </row>
    <row r="10032" spans="1:29">
      <c r="A10032" s="8" t="s">
        <v>2526</v>
      </c>
      <c r="B10032" s="17" t="s">
        <v>7751</v>
      </c>
      <c r="C10032" s="13">
        <v>33220</v>
      </c>
      <c r="D10032" s="13" t="s">
        <v>8465</v>
      </c>
      <c r="E10032" s="10" t="s">
        <v>2633</v>
      </c>
      <c r="F10032" s="10" t="s">
        <v>1289</v>
      </c>
      <c r="G10032" s="11" t="s">
        <v>2526</v>
      </c>
      <c r="H10032" s="2" t="s">
        <v>21</v>
      </c>
      <c r="L10032" s="18">
        <v>0</v>
      </c>
      <c r="Q10032" s="18">
        <v>0</v>
      </c>
      <c r="U10032" s="22">
        <v>0.39</v>
      </c>
      <c r="V10032" s="22">
        <f>2.8/5</f>
        <v>0.55999999999999994</v>
      </c>
      <c r="X10032" s="3">
        <v>2</v>
      </c>
      <c r="Z10032" s="23">
        <f>31/60</f>
        <v>0.51666666666666672</v>
      </c>
      <c r="AB10032" s="18">
        <f t="shared" si="312"/>
        <v>1990</v>
      </c>
      <c r="AC10032" s="22">
        <f t="shared" si="313"/>
        <v>0.45</v>
      </c>
    </row>
    <row r="10033" spans="1:29">
      <c r="A10033" s="8" t="s">
        <v>10509</v>
      </c>
      <c r="B10033" s="17" t="s">
        <v>10510</v>
      </c>
      <c r="C10033" s="13">
        <v>33217</v>
      </c>
      <c r="D10033" s="13" t="s">
        <v>8463</v>
      </c>
      <c r="E10033" s="10" t="s">
        <v>10511</v>
      </c>
      <c r="F10033" s="10" t="s">
        <v>10511</v>
      </c>
      <c r="H10033" s="2" t="s">
        <v>1057</v>
      </c>
      <c r="K10033" s="18">
        <v>2</v>
      </c>
      <c r="L10033" s="18">
        <v>0</v>
      </c>
      <c r="Q10033" s="18">
        <v>0</v>
      </c>
      <c r="V10033" s="22">
        <f>2.75/5</f>
        <v>0.55000000000000004</v>
      </c>
      <c r="X10033" s="3">
        <v>2</v>
      </c>
      <c r="Z10033" s="23">
        <v>5</v>
      </c>
      <c r="AB10033" s="18">
        <f t="shared" si="312"/>
        <v>1990</v>
      </c>
      <c r="AC10033" s="22">
        <f t="shared" si="313"/>
        <v>0.47500000000000003</v>
      </c>
    </row>
    <row r="10034" spans="1:29">
      <c r="A10034" s="8" t="s">
        <v>11835</v>
      </c>
      <c r="B10034" s="17" t="s">
        <v>7745</v>
      </c>
      <c r="C10034" s="13">
        <v>33215</v>
      </c>
      <c r="D10034" s="13" t="s">
        <v>8463</v>
      </c>
      <c r="E10034" s="10" t="s">
        <v>470</v>
      </c>
      <c r="F10034" s="10" t="s">
        <v>471</v>
      </c>
      <c r="G10034" s="11" t="s">
        <v>8159</v>
      </c>
      <c r="H10034" s="2" t="s">
        <v>149</v>
      </c>
      <c r="K10034" s="18">
        <v>2</v>
      </c>
      <c r="L10034" s="18">
        <v>0</v>
      </c>
      <c r="Q10034" s="18">
        <v>0</v>
      </c>
      <c r="V10034" s="22">
        <f>3.72/5</f>
        <v>0.74399999999999999</v>
      </c>
      <c r="X10034" s="3">
        <v>2</v>
      </c>
      <c r="AB10034" s="18">
        <f t="shared" si="312"/>
        <v>1990</v>
      </c>
      <c r="AC10034" s="22">
        <f t="shared" si="313"/>
        <v>0.57200000000000006</v>
      </c>
    </row>
    <row r="10035" spans="1:29" ht="38.25">
      <c r="A10035" s="8" t="s">
        <v>200</v>
      </c>
      <c r="B10035" s="17" t="s">
        <v>7734</v>
      </c>
      <c r="C10035" s="12">
        <v>33208</v>
      </c>
      <c r="D10035" s="13" t="s">
        <v>8465</v>
      </c>
      <c r="E10035" s="10" t="s">
        <v>72</v>
      </c>
      <c r="F10035" s="10" t="s">
        <v>72</v>
      </c>
      <c r="G10035" s="11" t="s">
        <v>215</v>
      </c>
      <c r="H10035" s="2" t="s">
        <v>153</v>
      </c>
      <c r="L10035" s="18">
        <v>0</v>
      </c>
      <c r="Q10035" s="18">
        <v>0</v>
      </c>
      <c r="V10035" s="22">
        <f>3.93/5</f>
        <v>0.78600000000000003</v>
      </c>
      <c r="X10035" s="3">
        <v>2</v>
      </c>
      <c r="Z10035" s="23">
        <v>1</v>
      </c>
      <c r="AB10035" s="18">
        <f t="shared" si="312"/>
        <v>1990</v>
      </c>
      <c r="AC10035" s="22">
        <f t="shared" si="313"/>
        <v>0.59299999999999997</v>
      </c>
    </row>
    <row r="10036" spans="1:29">
      <c r="A10036" s="8" t="s">
        <v>2536</v>
      </c>
      <c r="B10036" s="17" t="s">
        <v>7751</v>
      </c>
      <c r="C10036" s="12">
        <v>33208</v>
      </c>
      <c r="D10036" s="13" t="s">
        <v>8465</v>
      </c>
      <c r="E10036" s="10" t="s">
        <v>2638</v>
      </c>
      <c r="F10036" s="10" t="s">
        <v>1379</v>
      </c>
      <c r="H10036" s="2" t="s">
        <v>21</v>
      </c>
      <c r="L10036" s="18">
        <v>0</v>
      </c>
      <c r="Q10036" s="18">
        <v>0</v>
      </c>
      <c r="U10036" s="22">
        <v>0.81</v>
      </c>
      <c r="V10036" s="22">
        <f>3.61/5</f>
        <v>0.72199999999999998</v>
      </c>
      <c r="X10036" s="3">
        <v>2</v>
      </c>
      <c r="Z10036" s="23">
        <v>1</v>
      </c>
      <c r="AB10036" s="18">
        <f t="shared" si="312"/>
        <v>1990</v>
      </c>
      <c r="AC10036" s="22">
        <f t="shared" si="313"/>
        <v>0.64400000000000002</v>
      </c>
    </row>
    <row r="10037" spans="1:29" ht="25.5">
      <c r="A10037" s="8" t="s">
        <v>14481</v>
      </c>
      <c r="B10037" s="17" t="s">
        <v>7734</v>
      </c>
      <c r="C10037" s="12">
        <v>33208</v>
      </c>
      <c r="D10037" s="13" t="s">
        <v>8465</v>
      </c>
      <c r="E10037" s="10" t="s">
        <v>68</v>
      </c>
      <c r="F10037" s="10" t="s">
        <v>68</v>
      </c>
      <c r="H10037" s="2" t="s">
        <v>69</v>
      </c>
      <c r="L10037" s="18">
        <v>0</v>
      </c>
      <c r="Q10037" s="18">
        <v>0</v>
      </c>
      <c r="V10037" s="22">
        <f>3.6/5</f>
        <v>0.72</v>
      </c>
      <c r="X10037" s="3">
        <v>2</v>
      </c>
      <c r="AB10037" s="18">
        <f t="shared" si="312"/>
        <v>1990</v>
      </c>
      <c r="AC10037" s="22">
        <f t="shared" si="313"/>
        <v>0.56000000000000005</v>
      </c>
    </row>
    <row r="10038" spans="1:29">
      <c r="A10038" s="8" t="s">
        <v>7635</v>
      </c>
      <c r="B10038" s="17" t="s">
        <v>7745</v>
      </c>
      <c r="C10038" s="12">
        <v>33208</v>
      </c>
      <c r="D10038" s="13" t="s">
        <v>8465</v>
      </c>
      <c r="E10038" s="10" t="s">
        <v>1288</v>
      </c>
      <c r="F10038" s="10" t="s">
        <v>1886</v>
      </c>
      <c r="H10038" s="2" t="s">
        <v>459</v>
      </c>
      <c r="L10038" s="18">
        <v>0</v>
      </c>
      <c r="Q10038" s="18">
        <v>0</v>
      </c>
      <c r="U10038" s="22">
        <v>0.55000000000000004</v>
      </c>
      <c r="V10038" s="22">
        <f>2.68/5</f>
        <v>0.53600000000000003</v>
      </c>
      <c r="X10038" s="3">
        <v>2</v>
      </c>
      <c r="AB10038" s="18">
        <f t="shared" si="312"/>
        <v>1990</v>
      </c>
      <c r="AC10038" s="22">
        <f t="shared" si="313"/>
        <v>0.4953333333333334</v>
      </c>
    </row>
    <row r="10039" spans="1:29">
      <c r="A10039" s="8" t="s">
        <v>15461</v>
      </c>
      <c r="B10039" s="17" t="s">
        <v>6317</v>
      </c>
      <c r="C10039" s="12">
        <v>33208</v>
      </c>
      <c r="D10039" s="13" t="s">
        <v>8465</v>
      </c>
      <c r="E10039" s="10" t="s">
        <v>73</v>
      </c>
      <c r="F10039" s="10" t="s">
        <v>73</v>
      </c>
      <c r="G10039" s="11" t="s">
        <v>159</v>
      </c>
      <c r="H10039" s="2" t="s">
        <v>56</v>
      </c>
      <c r="L10039" s="18">
        <v>0</v>
      </c>
      <c r="Q10039" s="18">
        <v>0</v>
      </c>
      <c r="V10039" s="22">
        <f>3.09/5</f>
        <v>0.61799999999999999</v>
      </c>
      <c r="X10039" s="3">
        <v>2</v>
      </c>
      <c r="Z10039" s="23">
        <f>25/60</f>
        <v>0.41666666666666669</v>
      </c>
      <c r="AB10039" s="18">
        <f t="shared" si="312"/>
        <v>1990</v>
      </c>
      <c r="AC10039" s="22">
        <f t="shared" si="313"/>
        <v>0.50900000000000001</v>
      </c>
    </row>
    <row r="10040" spans="1:29">
      <c r="A10040" s="8" t="s">
        <v>180</v>
      </c>
      <c r="B10040" s="17" t="s">
        <v>7734</v>
      </c>
      <c r="C10040" s="13">
        <v>33199</v>
      </c>
      <c r="D10040" s="13" t="s">
        <v>8465</v>
      </c>
      <c r="E10040" s="10" t="s">
        <v>73</v>
      </c>
      <c r="F10040" s="10" t="s">
        <v>63</v>
      </c>
      <c r="H10040" s="2" t="s">
        <v>64</v>
      </c>
      <c r="L10040" s="18">
        <v>0</v>
      </c>
      <c r="Q10040" s="18">
        <v>0</v>
      </c>
      <c r="V10040" s="22">
        <f>3.14/5</f>
        <v>0.628</v>
      </c>
      <c r="X10040" s="3">
        <v>2</v>
      </c>
      <c r="Z10040" s="23">
        <v>1.5</v>
      </c>
      <c r="AB10040" s="18">
        <f t="shared" si="312"/>
        <v>1990</v>
      </c>
      <c r="AC10040" s="22">
        <f t="shared" si="313"/>
        <v>0.51400000000000001</v>
      </c>
    </row>
    <row r="10041" spans="1:29" ht="25.5">
      <c r="A10041" s="8" t="s">
        <v>2678</v>
      </c>
      <c r="B10041" s="17" t="s">
        <v>7751</v>
      </c>
      <c r="C10041" s="13">
        <v>33197</v>
      </c>
      <c r="D10041" s="13" t="s">
        <v>8465</v>
      </c>
      <c r="E10041" s="10" t="s">
        <v>455</v>
      </c>
      <c r="F10041" s="10" t="s">
        <v>455</v>
      </c>
      <c r="G10041" s="11" t="s">
        <v>1286</v>
      </c>
      <c r="H10041" s="2" t="s">
        <v>64</v>
      </c>
      <c r="L10041" s="18">
        <v>0</v>
      </c>
      <c r="Q10041" s="18">
        <v>0</v>
      </c>
      <c r="U10041" s="22">
        <v>0.85</v>
      </c>
      <c r="V10041" s="22">
        <f>3.86/5</f>
        <v>0.77200000000000002</v>
      </c>
      <c r="X10041" s="3">
        <v>3</v>
      </c>
      <c r="Z10041" s="23">
        <v>2</v>
      </c>
      <c r="AB10041" s="18">
        <f t="shared" si="312"/>
        <v>1990</v>
      </c>
      <c r="AC10041" s="22">
        <f t="shared" si="313"/>
        <v>0.7406666666666667</v>
      </c>
    </row>
    <row r="10042" spans="1:29" ht="30">
      <c r="A10042" s="8" t="s">
        <v>8429</v>
      </c>
      <c r="B10042" s="17" t="s">
        <v>7734</v>
      </c>
      <c r="C10042" s="13">
        <v>33187</v>
      </c>
      <c r="D10042" s="13" t="s">
        <v>8463</v>
      </c>
      <c r="E10042" s="10" t="s">
        <v>1400</v>
      </c>
      <c r="F10042" s="10" t="s">
        <v>1420</v>
      </c>
      <c r="H10042" s="2" t="s">
        <v>149</v>
      </c>
      <c r="K10042" s="18">
        <v>2</v>
      </c>
      <c r="L10042" s="18">
        <v>0</v>
      </c>
      <c r="Q10042" s="18">
        <v>0</v>
      </c>
      <c r="V10042" s="22">
        <f>3/5</f>
        <v>0.6</v>
      </c>
      <c r="X10042" s="3">
        <v>2</v>
      </c>
      <c r="AB10042" s="18">
        <f t="shared" si="312"/>
        <v>1990</v>
      </c>
      <c r="AC10042" s="22">
        <f t="shared" si="313"/>
        <v>0.5</v>
      </c>
    </row>
    <row r="10043" spans="1:29" ht="38.25">
      <c r="A10043" s="8" t="s">
        <v>6780</v>
      </c>
      <c r="B10043" s="17" t="s">
        <v>7800</v>
      </c>
      <c r="C10043" s="13">
        <v>33186</v>
      </c>
      <c r="D10043" s="13" t="s">
        <v>8465</v>
      </c>
      <c r="E10043" s="10" t="s">
        <v>1496</v>
      </c>
      <c r="F10043" s="10" t="s">
        <v>1496</v>
      </c>
      <c r="G10043" s="11" t="s">
        <v>6895</v>
      </c>
      <c r="H10043" s="2" t="s">
        <v>67</v>
      </c>
      <c r="L10043" s="18">
        <v>1</v>
      </c>
      <c r="N10043" s="13">
        <v>43956</v>
      </c>
      <c r="O10043" s="29">
        <v>0</v>
      </c>
      <c r="P10043" s="18" t="s">
        <v>1107</v>
      </c>
      <c r="Q10043" s="18">
        <v>0</v>
      </c>
      <c r="U10043" s="22">
        <v>0.76</v>
      </c>
      <c r="V10043" s="22">
        <f>3.92/5</f>
        <v>0.78400000000000003</v>
      </c>
      <c r="W10043" s="14" t="s">
        <v>7777</v>
      </c>
      <c r="X10043" s="3">
        <v>3</v>
      </c>
      <c r="Z10043" s="23">
        <v>4</v>
      </c>
      <c r="AB10043" s="18">
        <f t="shared" si="312"/>
        <v>1990</v>
      </c>
      <c r="AC10043" s="22">
        <f t="shared" si="313"/>
        <v>0.71466666666666667</v>
      </c>
    </row>
    <row r="10044" spans="1:29">
      <c r="A10044" s="8" t="s">
        <v>2630</v>
      </c>
      <c r="B10044" s="17" t="s">
        <v>7751</v>
      </c>
      <c r="C10044" s="13">
        <v>33182</v>
      </c>
      <c r="D10044" s="13" t="s">
        <v>8465</v>
      </c>
      <c r="E10044" s="10" t="s">
        <v>73</v>
      </c>
      <c r="F10044" s="10" t="s">
        <v>73</v>
      </c>
      <c r="G10044" s="11" t="s">
        <v>2630</v>
      </c>
      <c r="H10044" s="2" t="s">
        <v>56</v>
      </c>
      <c r="L10044" s="18">
        <v>0</v>
      </c>
      <c r="Q10044" s="18">
        <v>0</v>
      </c>
      <c r="U10044" s="22">
        <v>0.84</v>
      </c>
      <c r="V10044" s="22">
        <f>3.66/5</f>
        <v>0.73199999999999998</v>
      </c>
      <c r="X10044" s="3">
        <v>4</v>
      </c>
      <c r="Z10044" s="23">
        <v>1</v>
      </c>
      <c r="AB10044" s="18">
        <f t="shared" si="312"/>
        <v>1990</v>
      </c>
      <c r="AC10044" s="22">
        <f t="shared" si="313"/>
        <v>0.79066666666666663</v>
      </c>
    </row>
    <row r="10045" spans="1:29">
      <c r="A10045" s="8" t="s">
        <v>1789</v>
      </c>
      <c r="B10045" s="17" t="s">
        <v>7745</v>
      </c>
      <c r="C10045" s="12">
        <v>33178</v>
      </c>
      <c r="D10045" s="13" t="s">
        <v>8465</v>
      </c>
      <c r="E10045" s="10" t="s">
        <v>239</v>
      </c>
      <c r="F10045" s="10" t="s">
        <v>239</v>
      </c>
      <c r="G10045" s="11" t="s">
        <v>7640</v>
      </c>
      <c r="H10045" s="2" t="s">
        <v>143</v>
      </c>
      <c r="L10045" s="18">
        <v>0</v>
      </c>
      <c r="Q10045" s="18">
        <v>0</v>
      </c>
      <c r="V10045" s="22">
        <f>2.7/5</f>
        <v>0.54</v>
      </c>
      <c r="X10045" s="3">
        <v>2</v>
      </c>
      <c r="Z10045" s="23">
        <v>8.5</v>
      </c>
      <c r="AB10045" s="18">
        <f t="shared" si="312"/>
        <v>1990</v>
      </c>
      <c r="AC10045" s="22">
        <f t="shared" si="313"/>
        <v>0.47000000000000003</v>
      </c>
    </row>
    <row r="10046" spans="1:29">
      <c r="A10046" s="8" t="s">
        <v>13145</v>
      </c>
      <c r="B10046" s="17" t="s">
        <v>13140</v>
      </c>
      <c r="C10046" s="13">
        <v>33172</v>
      </c>
      <c r="D10046" s="13" t="s">
        <v>8463</v>
      </c>
      <c r="E10046" s="10" t="s">
        <v>8009</v>
      </c>
      <c r="F10046" s="10" t="s">
        <v>8009</v>
      </c>
      <c r="H10046" s="2" t="s">
        <v>21</v>
      </c>
      <c r="K10046" s="18">
        <v>0</v>
      </c>
      <c r="L10046" s="18">
        <v>0</v>
      </c>
      <c r="Q10046" s="18">
        <v>0</v>
      </c>
      <c r="V10046" s="22">
        <f>4.25/5</f>
        <v>0.85</v>
      </c>
      <c r="X10046" s="3">
        <v>2</v>
      </c>
      <c r="AB10046" s="18">
        <f t="shared" si="312"/>
        <v>1990</v>
      </c>
      <c r="AC10046" s="22">
        <f t="shared" si="313"/>
        <v>0.625</v>
      </c>
    </row>
    <row r="10047" spans="1:29">
      <c r="A10047" s="8" t="s">
        <v>13189</v>
      </c>
      <c r="B10047" s="17" t="s">
        <v>7745</v>
      </c>
      <c r="C10047" s="13">
        <v>33172</v>
      </c>
      <c r="D10047" s="13" t="s">
        <v>8463</v>
      </c>
      <c r="E10047" s="10" t="s">
        <v>1430</v>
      </c>
      <c r="F10047" s="10" t="s">
        <v>2893</v>
      </c>
      <c r="H10047" s="2" t="s">
        <v>56</v>
      </c>
      <c r="K10047" s="18">
        <v>0</v>
      </c>
      <c r="L10047" s="18">
        <v>0</v>
      </c>
      <c r="Q10047" s="18">
        <v>0</v>
      </c>
      <c r="V10047" s="22">
        <f>3.13/5</f>
        <v>0.626</v>
      </c>
      <c r="X10047" s="3">
        <v>2</v>
      </c>
      <c r="Z10047" s="23">
        <v>2</v>
      </c>
      <c r="AB10047" s="18">
        <f t="shared" si="312"/>
        <v>1990</v>
      </c>
      <c r="AC10047" s="22">
        <f t="shared" si="313"/>
        <v>0.51300000000000001</v>
      </c>
    </row>
    <row r="10048" spans="1:29" ht="25.5">
      <c r="A10048" s="8" t="s">
        <v>258</v>
      </c>
      <c r="B10048" s="17" t="s">
        <v>7734</v>
      </c>
      <c r="C10048" s="13">
        <v>33165</v>
      </c>
      <c r="D10048" s="13" t="s">
        <v>8463</v>
      </c>
      <c r="E10048" s="10" t="s">
        <v>72</v>
      </c>
      <c r="F10048" s="10" t="s">
        <v>72</v>
      </c>
      <c r="G10048" s="11" t="s">
        <v>113</v>
      </c>
      <c r="H10048" s="2" t="s">
        <v>56</v>
      </c>
      <c r="K10048" s="18">
        <v>2</v>
      </c>
      <c r="L10048" s="18">
        <v>0</v>
      </c>
      <c r="Q10048" s="18">
        <v>0</v>
      </c>
      <c r="V10048" s="22">
        <f>3.6/5</f>
        <v>0.72</v>
      </c>
      <c r="X10048" s="3">
        <v>3</v>
      </c>
      <c r="Z10048" s="23">
        <v>1.5</v>
      </c>
      <c r="AB10048" s="18">
        <f t="shared" si="312"/>
        <v>1990</v>
      </c>
      <c r="AC10048" s="22">
        <f t="shared" si="313"/>
        <v>0.65999999999999992</v>
      </c>
    </row>
    <row r="10049" spans="1:29" ht="25.5">
      <c r="A10049" s="8" t="s">
        <v>11801</v>
      </c>
      <c r="B10049" s="17" t="s">
        <v>7734</v>
      </c>
      <c r="C10049" s="13">
        <v>33165</v>
      </c>
      <c r="D10049" s="13" t="s">
        <v>8463</v>
      </c>
      <c r="E10049" s="10" t="s">
        <v>11802</v>
      </c>
      <c r="F10049" s="10" t="s">
        <v>1289</v>
      </c>
      <c r="H10049" s="2" t="s">
        <v>149</v>
      </c>
      <c r="K10049" s="18">
        <v>2</v>
      </c>
      <c r="L10049" s="18">
        <v>0</v>
      </c>
      <c r="Q10049" s="18">
        <v>0</v>
      </c>
      <c r="V10049" s="22">
        <f>1.45/5</f>
        <v>0.28999999999999998</v>
      </c>
      <c r="X10049" s="3">
        <v>2</v>
      </c>
      <c r="AB10049" s="18">
        <f t="shared" ref="AB10049:AB10112" si="314">IFERROR(YEAR(C10049), "Early Access")</f>
        <v>1990</v>
      </c>
      <c r="AC10049" s="22">
        <f t="shared" ref="AC10049:AC10112" si="315">AVERAGE(T10049, U10049, V10049, IF(ISBLANK(X10049), X10049, X10049/5))</f>
        <v>0.34499999999999997</v>
      </c>
    </row>
    <row r="10050" spans="1:29" ht="25.5">
      <c r="A10050" s="8" t="s">
        <v>197</v>
      </c>
      <c r="B10050" s="17" t="s">
        <v>7734</v>
      </c>
      <c r="C10050" s="13">
        <v>33160</v>
      </c>
      <c r="D10050" s="13" t="s">
        <v>8465</v>
      </c>
      <c r="E10050" s="10" t="s">
        <v>152</v>
      </c>
      <c r="F10050" s="10" t="s">
        <v>163</v>
      </c>
      <c r="G10050" s="11" t="s">
        <v>246</v>
      </c>
      <c r="H10050" s="2" t="s">
        <v>21</v>
      </c>
      <c r="L10050" s="18">
        <v>0</v>
      </c>
      <c r="Q10050" s="18">
        <v>0</v>
      </c>
      <c r="V10050" s="22">
        <f>3.34/5</f>
        <v>0.66799999999999993</v>
      </c>
      <c r="X10050" s="3">
        <v>3</v>
      </c>
      <c r="Z10050" s="23">
        <v>3</v>
      </c>
      <c r="AB10050" s="18">
        <f t="shared" si="314"/>
        <v>1990</v>
      </c>
      <c r="AC10050" s="22">
        <f t="shared" si="315"/>
        <v>0.6339999999999999</v>
      </c>
    </row>
    <row r="10051" spans="1:29">
      <c r="A10051" s="8" t="s">
        <v>1440</v>
      </c>
      <c r="B10051" s="17" t="s">
        <v>7745</v>
      </c>
      <c r="C10051" s="13">
        <v>33158</v>
      </c>
      <c r="D10051" s="13" t="s">
        <v>8467</v>
      </c>
      <c r="E10051" s="10" t="s">
        <v>72</v>
      </c>
      <c r="F10051" s="10" t="s">
        <v>72</v>
      </c>
      <c r="G10051" s="11" t="s">
        <v>230</v>
      </c>
      <c r="H10051" s="2" t="s">
        <v>21</v>
      </c>
      <c r="L10051" s="18">
        <v>0</v>
      </c>
      <c r="Q10051" s="18">
        <v>0</v>
      </c>
      <c r="V10051" s="22">
        <f>3.85/5</f>
        <v>0.77</v>
      </c>
      <c r="X10051" s="3">
        <v>3</v>
      </c>
      <c r="Z10051" s="23">
        <v>1</v>
      </c>
      <c r="AB10051" s="18">
        <f t="shared" si="314"/>
        <v>1990</v>
      </c>
      <c r="AC10051" s="22">
        <f t="shared" si="315"/>
        <v>0.68500000000000005</v>
      </c>
    </row>
    <row r="10052" spans="1:29" ht="25.5">
      <c r="A10052" s="8" t="s">
        <v>13938</v>
      </c>
      <c r="B10052" s="17" t="s">
        <v>7800</v>
      </c>
      <c r="C10052" s="12">
        <v>33147</v>
      </c>
      <c r="D10052" s="13" t="s">
        <v>8465</v>
      </c>
      <c r="E10052" s="10" t="s">
        <v>6923</v>
      </c>
      <c r="F10052" s="10" t="s">
        <v>1512</v>
      </c>
      <c r="G10052" s="11" t="s">
        <v>13885</v>
      </c>
      <c r="H10052" s="2" t="s">
        <v>147</v>
      </c>
      <c r="L10052" s="18">
        <v>0</v>
      </c>
      <c r="Q10052" s="18">
        <v>0</v>
      </c>
      <c r="V10052" s="22">
        <f>3.96/5</f>
        <v>0.79200000000000004</v>
      </c>
      <c r="X10052" s="3">
        <v>2</v>
      </c>
      <c r="AB10052" s="18">
        <f t="shared" si="314"/>
        <v>1990</v>
      </c>
      <c r="AC10052" s="22">
        <f t="shared" si="315"/>
        <v>0.59600000000000009</v>
      </c>
    </row>
    <row r="10053" spans="1:29" ht="25.5">
      <c r="A10053" s="8" t="s">
        <v>2832</v>
      </c>
      <c r="B10053" s="17" t="s">
        <v>7786</v>
      </c>
      <c r="C10053" s="12">
        <v>33147</v>
      </c>
      <c r="D10053" s="13" t="s">
        <v>8465</v>
      </c>
      <c r="E10053" s="10" t="s">
        <v>311</v>
      </c>
      <c r="F10053" s="10" t="s">
        <v>2836</v>
      </c>
      <c r="H10053" s="2" t="s">
        <v>143</v>
      </c>
      <c r="L10053" s="18">
        <v>0</v>
      </c>
      <c r="Q10053" s="18">
        <v>0</v>
      </c>
      <c r="V10053" s="22">
        <f>3.67/5</f>
        <v>0.73399999999999999</v>
      </c>
      <c r="X10053" s="3">
        <v>2</v>
      </c>
      <c r="AB10053" s="18">
        <f t="shared" si="314"/>
        <v>1990</v>
      </c>
      <c r="AC10053" s="22">
        <f t="shared" si="315"/>
        <v>0.56699999999999995</v>
      </c>
    </row>
    <row r="10054" spans="1:29">
      <c r="A10054" s="8" t="s">
        <v>2603</v>
      </c>
      <c r="B10054" s="17" t="s">
        <v>7751</v>
      </c>
      <c r="C10054" s="12">
        <v>33147</v>
      </c>
      <c r="D10054" s="13" t="s">
        <v>8465</v>
      </c>
      <c r="E10054" s="10" t="s">
        <v>2638</v>
      </c>
      <c r="F10054" s="10" t="s">
        <v>250</v>
      </c>
      <c r="H10054" s="2" t="s">
        <v>21</v>
      </c>
      <c r="L10054" s="18">
        <v>0</v>
      </c>
      <c r="Q10054" s="18">
        <v>0</v>
      </c>
      <c r="U10054" s="22">
        <v>0.71</v>
      </c>
      <c r="V10054" s="22">
        <f>3.46/5</f>
        <v>0.69199999999999995</v>
      </c>
      <c r="X10054" s="3">
        <v>2</v>
      </c>
      <c r="Z10054" s="23">
        <v>2.5</v>
      </c>
      <c r="AB10054" s="18">
        <f t="shared" si="314"/>
        <v>1990</v>
      </c>
      <c r="AC10054" s="22">
        <f t="shared" si="315"/>
        <v>0.60066666666666668</v>
      </c>
    </row>
    <row r="10055" spans="1:29">
      <c r="A10055" s="8" t="s">
        <v>1801</v>
      </c>
      <c r="B10055" s="17" t="s">
        <v>7745</v>
      </c>
      <c r="C10055" s="12">
        <v>33147</v>
      </c>
      <c r="D10055" s="13" t="s">
        <v>8465</v>
      </c>
      <c r="E10055" s="10" t="s">
        <v>1787</v>
      </c>
      <c r="F10055" s="10" t="s">
        <v>1788</v>
      </c>
      <c r="H10055" s="2" t="s">
        <v>21</v>
      </c>
      <c r="L10055" s="18">
        <v>0</v>
      </c>
      <c r="Q10055" s="18">
        <v>0</v>
      </c>
      <c r="V10055" s="22">
        <f>3.26/5</f>
        <v>0.65199999999999991</v>
      </c>
      <c r="X10055" s="3">
        <v>2</v>
      </c>
      <c r="Z10055" s="23">
        <v>0.92</v>
      </c>
      <c r="AB10055" s="18">
        <f t="shared" si="314"/>
        <v>1990</v>
      </c>
      <c r="AC10055" s="22">
        <f t="shared" si="315"/>
        <v>0.52600000000000002</v>
      </c>
    </row>
    <row r="10056" spans="1:29" ht="25.5">
      <c r="A10056" s="8" t="s">
        <v>1818</v>
      </c>
      <c r="B10056" s="17" t="s">
        <v>7745</v>
      </c>
      <c r="C10056" s="13">
        <v>33146</v>
      </c>
      <c r="D10056" s="13" t="s">
        <v>8465</v>
      </c>
      <c r="E10056" s="10" t="s">
        <v>161</v>
      </c>
      <c r="F10056" s="10" t="s">
        <v>161</v>
      </c>
      <c r="G10056" s="11" t="s">
        <v>126</v>
      </c>
      <c r="H10056" s="2" t="s">
        <v>149</v>
      </c>
      <c r="L10056" s="18">
        <v>0</v>
      </c>
      <c r="Q10056" s="18">
        <v>0</v>
      </c>
      <c r="U10056" s="22">
        <v>0.49</v>
      </c>
      <c r="V10056" s="22">
        <f>3.44/5</f>
        <v>0.68799999999999994</v>
      </c>
      <c r="X10056" s="3">
        <v>3</v>
      </c>
      <c r="Z10056" s="23">
        <v>11</v>
      </c>
      <c r="AB10056" s="18">
        <f t="shared" si="314"/>
        <v>1990</v>
      </c>
      <c r="AC10056" s="22">
        <f t="shared" si="315"/>
        <v>0.59266666666666667</v>
      </c>
    </row>
    <row r="10057" spans="1:29">
      <c r="A10057" s="8" t="s">
        <v>6562</v>
      </c>
      <c r="B10057" s="17" t="s">
        <v>7800</v>
      </c>
      <c r="C10057" s="13">
        <v>33142</v>
      </c>
      <c r="D10057" s="13" t="s">
        <v>8465</v>
      </c>
      <c r="E10057" s="10" t="s">
        <v>1784</v>
      </c>
      <c r="F10057" s="10" t="s">
        <v>1784</v>
      </c>
      <c r="G10057" s="11" t="s">
        <v>6562</v>
      </c>
      <c r="H10057" s="2" t="s">
        <v>1720</v>
      </c>
      <c r="L10057" s="18">
        <v>0</v>
      </c>
      <c r="Q10057" s="18">
        <v>0</v>
      </c>
      <c r="V10057" s="22">
        <f>3.9/5</f>
        <v>0.78</v>
      </c>
      <c r="X10057" s="3">
        <v>3</v>
      </c>
      <c r="Z10057" s="23">
        <v>8</v>
      </c>
      <c r="AB10057" s="18">
        <f t="shared" si="314"/>
        <v>1990</v>
      </c>
      <c r="AC10057" s="22">
        <f t="shared" si="315"/>
        <v>0.69</v>
      </c>
    </row>
    <row r="10058" spans="1:29" ht="25.5">
      <c r="A10058" s="8" t="s">
        <v>14014</v>
      </c>
      <c r="B10058" s="17" t="s">
        <v>7734</v>
      </c>
      <c r="C10058" s="13">
        <v>33130</v>
      </c>
      <c r="D10058" s="13" t="s">
        <v>8463</v>
      </c>
      <c r="E10058" s="10" t="s">
        <v>11883</v>
      </c>
      <c r="F10058" s="10" t="s">
        <v>11883</v>
      </c>
      <c r="G10058" s="11" t="s">
        <v>13964</v>
      </c>
      <c r="H10058" s="2" t="s">
        <v>149</v>
      </c>
      <c r="K10058" s="18">
        <v>2</v>
      </c>
      <c r="L10058" s="18">
        <v>0</v>
      </c>
      <c r="Q10058" s="18">
        <v>0</v>
      </c>
      <c r="V10058" s="22">
        <f>3.08/5</f>
        <v>0.61599999999999999</v>
      </c>
      <c r="X10058" s="3">
        <v>2</v>
      </c>
      <c r="AB10058" s="18">
        <f t="shared" si="314"/>
        <v>1990</v>
      </c>
      <c r="AC10058" s="22">
        <f t="shared" si="315"/>
        <v>0.50800000000000001</v>
      </c>
    </row>
    <row r="10059" spans="1:29">
      <c r="A10059" s="8" t="s">
        <v>217</v>
      </c>
      <c r="B10059" s="17" t="s">
        <v>7734</v>
      </c>
      <c r="C10059" s="12">
        <v>33117</v>
      </c>
      <c r="D10059" s="13" t="s">
        <v>8465</v>
      </c>
      <c r="E10059" s="10" t="s">
        <v>257</v>
      </c>
      <c r="F10059" s="10" t="s">
        <v>164</v>
      </c>
      <c r="G10059" s="11" t="s">
        <v>140</v>
      </c>
      <c r="H10059" s="2" t="s">
        <v>149</v>
      </c>
      <c r="L10059" s="18">
        <v>0</v>
      </c>
      <c r="Q10059" s="18">
        <v>0</v>
      </c>
      <c r="V10059" s="22">
        <f>3.67/5</f>
        <v>0.73399999999999999</v>
      </c>
      <c r="X10059" s="3">
        <v>4</v>
      </c>
      <c r="Z10059" s="23">
        <v>20</v>
      </c>
      <c r="AB10059" s="18">
        <f t="shared" si="314"/>
        <v>1990</v>
      </c>
      <c r="AC10059" s="22">
        <f t="shared" si="315"/>
        <v>0.76700000000000002</v>
      </c>
    </row>
    <row r="10060" spans="1:29" ht="25.5">
      <c r="A10060" s="8" t="s">
        <v>199</v>
      </c>
      <c r="B10060" s="17" t="s">
        <v>7734</v>
      </c>
      <c r="C10060" s="12">
        <v>33117</v>
      </c>
      <c r="D10060" s="13" t="s">
        <v>8465</v>
      </c>
      <c r="E10060" s="10" t="s">
        <v>73</v>
      </c>
      <c r="F10060" s="10" t="s">
        <v>73</v>
      </c>
      <c r="G10060" s="11" t="s">
        <v>227</v>
      </c>
      <c r="H10060" s="2" t="s">
        <v>147</v>
      </c>
      <c r="L10060" s="18">
        <v>0</v>
      </c>
      <c r="Q10060" s="18">
        <v>0</v>
      </c>
      <c r="V10060" s="22">
        <f>3.17/5</f>
        <v>0.63400000000000001</v>
      </c>
      <c r="X10060" s="3">
        <v>3</v>
      </c>
      <c r="Z10060" s="23">
        <v>2</v>
      </c>
      <c r="AB10060" s="18">
        <f t="shared" si="314"/>
        <v>1990</v>
      </c>
      <c r="AC10060" s="22">
        <f t="shared" si="315"/>
        <v>0.61699999999999999</v>
      </c>
    </row>
    <row r="10061" spans="1:29">
      <c r="A10061" s="8" t="s">
        <v>178</v>
      </c>
      <c r="B10061" s="17" t="s">
        <v>7734</v>
      </c>
      <c r="C10061" s="12">
        <v>33117</v>
      </c>
      <c r="D10061" s="13" t="s">
        <v>8465</v>
      </c>
      <c r="E10061" s="10" t="s">
        <v>231</v>
      </c>
      <c r="F10061" s="10" t="s">
        <v>232</v>
      </c>
      <c r="H10061" s="2" t="s">
        <v>171</v>
      </c>
      <c r="L10061" s="18">
        <v>0</v>
      </c>
      <c r="Q10061" s="18">
        <v>0</v>
      </c>
      <c r="V10061" s="22">
        <f>3.09/5</f>
        <v>0.61799999999999999</v>
      </c>
      <c r="X10061" s="3">
        <v>3</v>
      </c>
      <c r="Z10061" s="23">
        <v>3</v>
      </c>
      <c r="AB10061" s="18">
        <f t="shared" si="314"/>
        <v>1990</v>
      </c>
      <c r="AC10061" s="22">
        <f t="shared" si="315"/>
        <v>0.60899999999999999</v>
      </c>
    </row>
    <row r="10062" spans="1:29">
      <c r="A10062" s="8" t="s">
        <v>44</v>
      </c>
      <c r="B10062" s="17" t="s">
        <v>7734</v>
      </c>
      <c r="C10062" s="12">
        <v>33117</v>
      </c>
      <c r="D10062" s="13" t="s">
        <v>8465</v>
      </c>
      <c r="E10062" s="10" t="s">
        <v>73</v>
      </c>
      <c r="F10062" s="10" t="s">
        <v>73</v>
      </c>
      <c r="G10062" s="11" t="s">
        <v>74</v>
      </c>
      <c r="H10062" s="2" t="s">
        <v>75</v>
      </c>
      <c r="L10062" s="18">
        <v>0</v>
      </c>
      <c r="Q10062" s="18">
        <v>0</v>
      </c>
      <c r="V10062" s="22">
        <f>3.97/5</f>
        <v>0.79400000000000004</v>
      </c>
      <c r="X10062" s="3">
        <v>2</v>
      </c>
      <c r="Z10062" s="23">
        <v>18.5</v>
      </c>
      <c r="AB10062" s="18">
        <f t="shared" si="314"/>
        <v>1990</v>
      </c>
      <c r="AC10062" s="22">
        <f t="shared" si="315"/>
        <v>0.59699999999999998</v>
      </c>
    </row>
    <row r="10063" spans="1:29">
      <c r="A10063" s="8" t="s">
        <v>13194</v>
      </c>
      <c r="B10063" s="17" t="s">
        <v>7745</v>
      </c>
      <c r="C10063" s="12">
        <v>33117</v>
      </c>
      <c r="D10063" s="13" t="s">
        <v>8465</v>
      </c>
      <c r="E10063" s="10" t="s">
        <v>228</v>
      </c>
      <c r="F10063" s="10" t="s">
        <v>228</v>
      </c>
      <c r="H10063" s="2" t="s">
        <v>21</v>
      </c>
      <c r="L10063" s="18">
        <v>0</v>
      </c>
      <c r="Q10063" s="18">
        <v>0</v>
      </c>
      <c r="V10063" s="22">
        <f>3.6/5</f>
        <v>0.72</v>
      </c>
      <c r="X10063" s="3">
        <v>2</v>
      </c>
      <c r="Z10063" s="23">
        <v>2.5</v>
      </c>
      <c r="AB10063" s="18">
        <f t="shared" si="314"/>
        <v>1990</v>
      </c>
      <c r="AC10063" s="22">
        <f t="shared" si="315"/>
        <v>0.56000000000000005</v>
      </c>
    </row>
    <row r="10064" spans="1:29" ht="25.5">
      <c r="A10064" s="8" t="s">
        <v>2613</v>
      </c>
      <c r="B10064" s="17" t="s">
        <v>7751</v>
      </c>
      <c r="C10064" s="13">
        <v>33109</v>
      </c>
      <c r="D10064" s="13" t="s">
        <v>8465</v>
      </c>
      <c r="E10064" s="10" t="s">
        <v>455</v>
      </c>
      <c r="F10064" s="10" t="s">
        <v>455</v>
      </c>
      <c r="H10064" s="2" t="s">
        <v>153</v>
      </c>
      <c r="L10064" s="18">
        <v>0</v>
      </c>
      <c r="Q10064" s="18">
        <v>0</v>
      </c>
      <c r="U10064" s="22">
        <v>0.54</v>
      </c>
      <c r="V10064" s="22">
        <f>3.46/5</f>
        <v>0.69199999999999995</v>
      </c>
      <c r="X10064" s="3">
        <v>3</v>
      </c>
      <c r="Z10064" s="23">
        <v>1</v>
      </c>
      <c r="AB10064" s="18">
        <f t="shared" si="314"/>
        <v>1990</v>
      </c>
      <c r="AC10064" s="22">
        <f t="shared" si="315"/>
        <v>0.61066666666666658</v>
      </c>
    </row>
    <row r="10065" spans="1:29" ht="38.25">
      <c r="A10065" s="8" t="s">
        <v>11521</v>
      </c>
      <c r="B10065" s="17" t="s">
        <v>7734</v>
      </c>
      <c r="C10065" s="13">
        <v>33096</v>
      </c>
      <c r="D10065" s="13" t="s">
        <v>8463</v>
      </c>
      <c r="E10065" s="10" t="s">
        <v>157</v>
      </c>
      <c r="F10065" s="10" t="s">
        <v>58</v>
      </c>
      <c r="G10065" s="11" t="s">
        <v>1395</v>
      </c>
      <c r="H10065" s="2" t="s">
        <v>149</v>
      </c>
      <c r="K10065" s="18">
        <v>2</v>
      </c>
      <c r="L10065" s="18">
        <v>0</v>
      </c>
      <c r="Q10065" s="18">
        <v>0</v>
      </c>
      <c r="V10065" s="22">
        <f>3.85/5</f>
        <v>0.77</v>
      </c>
      <c r="X10065" s="3">
        <v>2</v>
      </c>
      <c r="AB10065" s="18">
        <f t="shared" si="314"/>
        <v>1990</v>
      </c>
      <c r="AC10065" s="22">
        <f t="shared" si="315"/>
        <v>0.58499999999999996</v>
      </c>
    </row>
    <row r="10066" spans="1:29">
      <c r="A10066" s="8" t="s">
        <v>14331</v>
      </c>
      <c r="B10066" s="17" t="s">
        <v>7734</v>
      </c>
      <c r="C10066" s="13">
        <v>33095</v>
      </c>
      <c r="D10066" s="13" t="s">
        <v>8463</v>
      </c>
      <c r="E10066" s="10" t="s">
        <v>11828</v>
      </c>
      <c r="F10066" s="10" t="s">
        <v>1244</v>
      </c>
      <c r="H10066" s="2" t="s">
        <v>31</v>
      </c>
      <c r="K10066" s="18">
        <v>2</v>
      </c>
      <c r="L10066" s="18">
        <v>0</v>
      </c>
      <c r="Q10066" s="18">
        <v>0</v>
      </c>
      <c r="V10066" s="22">
        <f>3.53/5</f>
        <v>0.70599999999999996</v>
      </c>
      <c r="X10066" s="3">
        <v>2</v>
      </c>
      <c r="AB10066" s="18">
        <f t="shared" si="314"/>
        <v>1990</v>
      </c>
      <c r="AC10066" s="22">
        <f t="shared" si="315"/>
        <v>0.55299999999999994</v>
      </c>
    </row>
    <row r="10067" spans="1:29">
      <c r="A10067" s="8" t="s">
        <v>14022</v>
      </c>
      <c r="B10067" s="17" t="s">
        <v>7734</v>
      </c>
      <c r="C10067" s="13">
        <v>33093</v>
      </c>
      <c r="D10067" s="13" t="s">
        <v>8463</v>
      </c>
      <c r="E10067" s="10" t="s">
        <v>9240</v>
      </c>
      <c r="F10067" s="10" t="s">
        <v>9240</v>
      </c>
      <c r="H10067" s="2" t="s">
        <v>149</v>
      </c>
      <c r="K10067" s="18">
        <v>2</v>
      </c>
      <c r="L10067" s="18">
        <v>0</v>
      </c>
      <c r="Q10067" s="18">
        <v>0</v>
      </c>
      <c r="V10067" s="22">
        <f>3.74/5</f>
        <v>0.748</v>
      </c>
      <c r="X10067" s="3">
        <v>2</v>
      </c>
      <c r="AB10067" s="18">
        <f t="shared" si="314"/>
        <v>1990</v>
      </c>
      <c r="AC10067" s="22">
        <f t="shared" si="315"/>
        <v>0.57400000000000007</v>
      </c>
    </row>
    <row r="10068" spans="1:29">
      <c r="A10068" s="8" t="s">
        <v>214</v>
      </c>
      <c r="B10068" s="17" t="s">
        <v>7734</v>
      </c>
      <c r="C10068" s="13">
        <v>33087</v>
      </c>
      <c r="D10068" s="13" t="s">
        <v>8465</v>
      </c>
      <c r="E10068" s="10" t="s">
        <v>86</v>
      </c>
      <c r="F10068" s="10" t="s">
        <v>169</v>
      </c>
      <c r="G10068" s="11" t="s">
        <v>214</v>
      </c>
      <c r="H10068" s="2" t="s">
        <v>255</v>
      </c>
      <c r="L10068" s="18">
        <v>0</v>
      </c>
      <c r="Q10068" s="18">
        <v>0</v>
      </c>
      <c r="V10068" s="22">
        <f>4.13/5</f>
        <v>0.82599999999999996</v>
      </c>
      <c r="X10068" s="3">
        <v>4</v>
      </c>
      <c r="Z10068" s="23">
        <v>3</v>
      </c>
      <c r="AB10068" s="18">
        <f t="shared" si="314"/>
        <v>1990</v>
      </c>
      <c r="AC10068" s="22">
        <f t="shared" si="315"/>
        <v>0.81299999999999994</v>
      </c>
    </row>
    <row r="10069" spans="1:29">
      <c r="A10069" s="8" t="s">
        <v>13891</v>
      </c>
      <c r="B10069" s="17" t="s">
        <v>7800</v>
      </c>
      <c r="C10069" s="13">
        <v>33086</v>
      </c>
      <c r="D10069" s="13" t="s">
        <v>8465</v>
      </c>
      <c r="E10069" s="10" t="s">
        <v>57</v>
      </c>
      <c r="F10069" s="10" t="s">
        <v>60</v>
      </c>
      <c r="H10069" s="2" t="s">
        <v>1040</v>
      </c>
      <c r="L10069" s="18">
        <v>0</v>
      </c>
      <c r="Q10069" s="18">
        <v>0</v>
      </c>
      <c r="V10069" s="22">
        <f>3.63/5</f>
        <v>0.72599999999999998</v>
      </c>
      <c r="X10069" s="3">
        <v>2</v>
      </c>
      <c r="AB10069" s="18">
        <f t="shared" si="314"/>
        <v>1990</v>
      </c>
      <c r="AC10069" s="22">
        <f t="shared" si="315"/>
        <v>0.56299999999999994</v>
      </c>
    </row>
    <row r="10070" spans="1:29" ht="30">
      <c r="A10070" s="8" t="s">
        <v>14012</v>
      </c>
      <c r="B10070" s="17" t="s">
        <v>7734</v>
      </c>
      <c r="C10070" s="13">
        <v>33081</v>
      </c>
      <c r="D10070" s="13" t="s">
        <v>8463</v>
      </c>
      <c r="E10070" s="10" t="s">
        <v>14013</v>
      </c>
      <c r="F10070" s="10" t="s">
        <v>568</v>
      </c>
      <c r="H10070" s="2" t="s">
        <v>149</v>
      </c>
      <c r="K10070" s="18">
        <v>2</v>
      </c>
      <c r="L10070" s="18">
        <v>0</v>
      </c>
      <c r="Q10070" s="18">
        <v>0</v>
      </c>
      <c r="V10070" s="22">
        <f>3.31/5</f>
        <v>0.66200000000000003</v>
      </c>
      <c r="X10070" s="3">
        <v>2</v>
      </c>
      <c r="AB10070" s="18">
        <f t="shared" si="314"/>
        <v>1990</v>
      </c>
      <c r="AC10070" s="22">
        <f t="shared" si="315"/>
        <v>0.53100000000000003</v>
      </c>
    </row>
    <row r="10071" spans="1:29">
      <c r="A10071" s="8" t="s">
        <v>387</v>
      </c>
      <c r="B10071" s="17" t="s">
        <v>6317</v>
      </c>
      <c r="C10071" s="13">
        <v>33079</v>
      </c>
      <c r="D10071" s="13" t="s">
        <v>8465</v>
      </c>
      <c r="E10071" s="10" t="s">
        <v>73</v>
      </c>
      <c r="F10071" s="10" t="s">
        <v>73</v>
      </c>
      <c r="H10071" s="2" t="s">
        <v>56</v>
      </c>
      <c r="L10071" s="18">
        <v>0</v>
      </c>
      <c r="Q10071" s="18">
        <v>0</v>
      </c>
      <c r="V10071" s="22">
        <f>3.58/5</f>
        <v>0.71599999999999997</v>
      </c>
      <c r="X10071" s="3">
        <v>2</v>
      </c>
      <c r="Z10071" s="23">
        <v>1</v>
      </c>
      <c r="AB10071" s="18">
        <f t="shared" si="314"/>
        <v>1990</v>
      </c>
      <c r="AC10071" s="22">
        <f t="shared" si="315"/>
        <v>0.55800000000000005</v>
      </c>
    </row>
    <row r="10072" spans="1:29" ht="25.5">
      <c r="A10072" s="8" t="s">
        <v>2843</v>
      </c>
      <c r="B10072" s="17" t="s">
        <v>7788</v>
      </c>
      <c r="C10072" s="13">
        <v>33074</v>
      </c>
      <c r="D10072" s="13" t="s">
        <v>8463</v>
      </c>
      <c r="E10072" s="10" t="s">
        <v>72</v>
      </c>
      <c r="F10072" s="10" t="s">
        <v>72</v>
      </c>
      <c r="G10072" s="11" t="s">
        <v>220</v>
      </c>
      <c r="H10072" s="2" t="s">
        <v>245</v>
      </c>
      <c r="K10072" s="18">
        <v>2</v>
      </c>
      <c r="L10072" s="18">
        <v>0</v>
      </c>
      <c r="Q10072" s="18">
        <v>0</v>
      </c>
      <c r="V10072" s="22">
        <f>4.06/5</f>
        <v>0.81199999999999994</v>
      </c>
      <c r="X10072" s="3">
        <v>4</v>
      </c>
      <c r="Z10072" s="23">
        <v>6</v>
      </c>
      <c r="AB10072" s="18">
        <f t="shared" si="314"/>
        <v>1990</v>
      </c>
      <c r="AC10072" s="22">
        <f t="shared" si="315"/>
        <v>0.80600000000000005</v>
      </c>
    </row>
    <row r="10073" spans="1:29">
      <c r="A10073" s="8" t="s">
        <v>1800</v>
      </c>
      <c r="B10073" s="17" t="s">
        <v>7745</v>
      </c>
      <c r="C10073" s="12">
        <v>33055</v>
      </c>
      <c r="D10073" s="13" t="s">
        <v>8465</v>
      </c>
      <c r="E10073" s="10" t="s">
        <v>73</v>
      </c>
      <c r="F10073" s="10" t="s">
        <v>73</v>
      </c>
      <c r="G10073" s="11" t="s">
        <v>79</v>
      </c>
      <c r="H10073" s="2" t="s">
        <v>56</v>
      </c>
      <c r="L10073" s="18">
        <v>0</v>
      </c>
      <c r="Q10073" s="18">
        <v>0</v>
      </c>
      <c r="U10073" s="22">
        <v>0.77</v>
      </c>
      <c r="V10073" s="22">
        <f>3.8/5</f>
        <v>0.76</v>
      </c>
      <c r="X10073" s="3">
        <v>3</v>
      </c>
      <c r="Z10073" s="23">
        <v>3</v>
      </c>
      <c r="AB10073" s="18">
        <f t="shared" si="314"/>
        <v>1990</v>
      </c>
      <c r="AC10073" s="22">
        <f t="shared" si="315"/>
        <v>0.71</v>
      </c>
    </row>
    <row r="10074" spans="1:29">
      <c r="A10074" s="8" t="s">
        <v>6863</v>
      </c>
      <c r="B10074" s="17" t="s">
        <v>7800</v>
      </c>
      <c r="C10074" s="12">
        <v>33055</v>
      </c>
      <c r="D10074" s="13" t="s">
        <v>8465</v>
      </c>
      <c r="E10074" s="10" t="s">
        <v>1781</v>
      </c>
      <c r="F10074" s="10" t="s">
        <v>3035</v>
      </c>
      <c r="G10074" s="11" t="s">
        <v>6863</v>
      </c>
      <c r="H10074" s="2" t="s">
        <v>61</v>
      </c>
      <c r="L10074" s="18">
        <v>0</v>
      </c>
      <c r="Q10074" s="18">
        <v>0</v>
      </c>
      <c r="V10074" s="22">
        <f>3.64/5</f>
        <v>0.72799999999999998</v>
      </c>
      <c r="X10074" s="3">
        <v>3</v>
      </c>
      <c r="Z10074" s="23">
        <v>6.5</v>
      </c>
      <c r="AB10074" s="18">
        <f t="shared" si="314"/>
        <v>1990</v>
      </c>
      <c r="AC10074" s="22">
        <f t="shared" si="315"/>
        <v>0.66399999999999992</v>
      </c>
    </row>
    <row r="10075" spans="1:29" ht="25.5">
      <c r="A10075" s="8" t="s">
        <v>7622</v>
      </c>
      <c r="B10075" s="17" t="s">
        <v>7745</v>
      </c>
      <c r="C10075" s="12">
        <v>33055</v>
      </c>
      <c r="D10075" s="13" t="s">
        <v>8465</v>
      </c>
      <c r="E10075" s="10" t="s">
        <v>1263</v>
      </c>
      <c r="F10075" s="10" t="s">
        <v>163</v>
      </c>
      <c r="G10075" s="11" t="s">
        <v>1264</v>
      </c>
      <c r="H10075" s="2" t="s">
        <v>153</v>
      </c>
      <c r="L10075" s="18">
        <v>0</v>
      </c>
      <c r="Q10075" s="18">
        <v>0</v>
      </c>
      <c r="U10075" s="22">
        <v>0.73</v>
      </c>
      <c r="V10075" s="22">
        <f>2.44/5</f>
        <v>0.48799999999999999</v>
      </c>
      <c r="X10075" s="3">
        <v>2</v>
      </c>
      <c r="Z10075" s="23">
        <v>0.83</v>
      </c>
      <c r="AB10075" s="18">
        <f t="shared" si="314"/>
        <v>1990</v>
      </c>
      <c r="AC10075" s="22">
        <f t="shared" si="315"/>
        <v>0.53933333333333333</v>
      </c>
    </row>
    <row r="10076" spans="1:29">
      <c r="A10076" s="8" t="s">
        <v>181</v>
      </c>
      <c r="B10076" s="17" t="s">
        <v>7734</v>
      </c>
      <c r="C10076" s="12">
        <v>33055</v>
      </c>
      <c r="D10076" s="13" t="s">
        <v>8465</v>
      </c>
      <c r="E10076" s="10" t="s">
        <v>57</v>
      </c>
      <c r="F10076" s="10" t="s">
        <v>57</v>
      </c>
      <c r="G10076" s="11" t="s">
        <v>181</v>
      </c>
      <c r="H10076" s="2" t="s">
        <v>153</v>
      </c>
      <c r="L10076" s="18">
        <v>0</v>
      </c>
      <c r="Q10076" s="18">
        <v>0</v>
      </c>
      <c r="V10076" s="22">
        <f>2.88/5</f>
        <v>0.57599999999999996</v>
      </c>
      <c r="X10076" s="3">
        <v>2</v>
      </c>
      <c r="Z10076" s="23">
        <v>0.83</v>
      </c>
      <c r="AB10076" s="18">
        <f t="shared" si="314"/>
        <v>1990</v>
      </c>
      <c r="AC10076" s="22">
        <f t="shared" si="315"/>
        <v>0.48799999999999999</v>
      </c>
    </row>
    <row r="10077" spans="1:29">
      <c r="A10077" s="8" t="s">
        <v>2858</v>
      </c>
      <c r="B10077" s="17" t="s">
        <v>7789</v>
      </c>
      <c r="C10077" s="13">
        <v>33046</v>
      </c>
      <c r="D10077" s="13" t="s">
        <v>8463</v>
      </c>
      <c r="E10077" s="10" t="s">
        <v>1456</v>
      </c>
      <c r="F10077" s="10" t="s">
        <v>1375</v>
      </c>
      <c r="G10077" s="11" t="s">
        <v>2858</v>
      </c>
      <c r="H10077" s="2" t="s">
        <v>21</v>
      </c>
      <c r="K10077" s="18">
        <v>0</v>
      </c>
      <c r="L10077" s="18">
        <v>0</v>
      </c>
      <c r="Q10077" s="18">
        <v>0</v>
      </c>
      <c r="V10077" s="22">
        <f>3.38/5</f>
        <v>0.67599999999999993</v>
      </c>
      <c r="X10077" s="3">
        <v>3</v>
      </c>
      <c r="Z10077" s="23">
        <f>346/60</f>
        <v>5.7666666666666666</v>
      </c>
      <c r="AB10077" s="18">
        <f t="shared" si="314"/>
        <v>1990</v>
      </c>
      <c r="AC10077" s="22">
        <f t="shared" si="315"/>
        <v>0.6379999999999999</v>
      </c>
    </row>
    <row r="10078" spans="1:29" ht="25.5">
      <c r="A10078" s="8" t="s">
        <v>209</v>
      </c>
      <c r="B10078" s="17" t="s">
        <v>7734</v>
      </c>
      <c r="C10078" s="12">
        <v>33025</v>
      </c>
      <c r="D10078" s="13" t="s">
        <v>8465</v>
      </c>
      <c r="E10078" s="10" t="s">
        <v>73</v>
      </c>
      <c r="F10078" s="10" t="s">
        <v>73</v>
      </c>
      <c r="G10078" s="11" t="s">
        <v>236</v>
      </c>
      <c r="H10078" s="2" t="s">
        <v>64</v>
      </c>
      <c r="L10078" s="18">
        <v>0</v>
      </c>
      <c r="Q10078" s="18">
        <v>0</v>
      </c>
      <c r="V10078" s="22">
        <f>3.84/5</f>
        <v>0.76800000000000002</v>
      </c>
      <c r="X10078" s="3">
        <v>4</v>
      </c>
      <c r="Z10078" s="23">
        <v>1</v>
      </c>
      <c r="AB10078" s="18">
        <f t="shared" si="314"/>
        <v>1990</v>
      </c>
      <c r="AC10078" s="22">
        <f t="shared" si="315"/>
        <v>0.78400000000000003</v>
      </c>
    </row>
    <row r="10079" spans="1:29" ht="25.5">
      <c r="A10079" s="8" t="s">
        <v>6871</v>
      </c>
      <c r="B10079" s="17" t="s">
        <v>7800</v>
      </c>
      <c r="C10079" s="13">
        <v>33025</v>
      </c>
      <c r="D10079" s="13" t="s">
        <v>8465</v>
      </c>
      <c r="E10079" s="10" t="s">
        <v>1784</v>
      </c>
      <c r="F10079" s="10" t="s">
        <v>1784</v>
      </c>
      <c r="G10079" s="11" t="s">
        <v>1785</v>
      </c>
      <c r="H10079" s="2" t="s">
        <v>1720</v>
      </c>
      <c r="L10079" s="18">
        <v>0</v>
      </c>
      <c r="Q10079" s="18">
        <v>0</v>
      </c>
      <c r="V10079" s="22">
        <f>3.99/5</f>
        <v>0.79800000000000004</v>
      </c>
      <c r="X10079" s="3">
        <v>3</v>
      </c>
      <c r="Z10079" s="23">
        <v>36</v>
      </c>
      <c r="AB10079" s="18">
        <f t="shared" si="314"/>
        <v>1990</v>
      </c>
      <c r="AC10079" s="22">
        <f t="shared" si="315"/>
        <v>0.69900000000000007</v>
      </c>
    </row>
    <row r="10080" spans="1:29">
      <c r="A10080" s="8" t="s">
        <v>419</v>
      </c>
      <c r="B10080" s="17" t="s">
        <v>6317</v>
      </c>
      <c r="C10080" s="12">
        <v>33025</v>
      </c>
      <c r="D10080" s="13" t="s">
        <v>8465</v>
      </c>
      <c r="E10080" s="10" t="s">
        <v>155</v>
      </c>
      <c r="F10080" s="10" t="s">
        <v>155</v>
      </c>
      <c r="G10080" s="11" t="s">
        <v>419</v>
      </c>
      <c r="H10080" s="2" t="s">
        <v>153</v>
      </c>
      <c r="L10080" s="18">
        <v>0</v>
      </c>
      <c r="Q10080" s="18">
        <v>0</v>
      </c>
      <c r="V10080" s="22">
        <f>2.63/5</f>
        <v>0.52600000000000002</v>
      </c>
      <c r="X10080" s="3">
        <v>3</v>
      </c>
      <c r="Z10080" s="23">
        <v>0.83</v>
      </c>
      <c r="AB10080" s="18">
        <f t="shared" si="314"/>
        <v>1990</v>
      </c>
      <c r="AC10080" s="22">
        <f t="shared" si="315"/>
        <v>0.56299999999999994</v>
      </c>
    </row>
    <row r="10081" spans="1:29">
      <c r="A10081" s="8" t="s">
        <v>202</v>
      </c>
      <c r="B10081" s="17" t="s">
        <v>7734</v>
      </c>
      <c r="C10081" s="12">
        <v>33025</v>
      </c>
      <c r="D10081" s="13" t="s">
        <v>8465</v>
      </c>
      <c r="E10081" s="10" t="s">
        <v>250</v>
      </c>
      <c r="F10081" s="10" t="s">
        <v>71</v>
      </c>
      <c r="G10081" s="11" t="s">
        <v>251</v>
      </c>
      <c r="H10081" s="2" t="s">
        <v>80</v>
      </c>
      <c r="L10081" s="18">
        <v>0</v>
      </c>
      <c r="Q10081" s="18">
        <v>0</v>
      </c>
      <c r="V10081" s="22">
        <f>3.29/5</f>
        <v>0.65800000000000003</v>
      </c>
      <c r="X10081" s="3">
        <v>2</v>
      </c>
      <c r="AB10081" s="18">
        <f t="shared" si="314"/>
        <v>1990</v>
      </c>
      <c r="AC10081" s="22">
        <f t="shared" si="315"/>
        <v>0.52900000000000003</v>
      </c>
    </row>
    <row r="10082" spans="1:29">
      <c r="A10082" s="8" t="s">
        <v>6618</v>
      </c>
      <c r="B10082" s="17" t="s">
        <v>7734</v>
      </c>
      <c r="C10082" s="12">
        <v>33025</v>
      </c>
      <c r="D10082" s="13" t="s">
        <v>8465</v>
      </c>
      <c r="E10082" s="10" t="s">
        <v>62</v>
      </c>
      <c r="F10082" s="10" t="s">
        <v>62</v>
      </c>
      <c r="G10082" s="11" t="s">
        <v>2874</v>
      </c>
      <c r="H10082" s="2" t="s">
        <v>21</v>
      </c>
      <c r="L10082" s="18">
        <v>0</v>
      </c>
      <c r="Q10082" s="18">
        <v>0</v>
      </c>
      <c r="V10082" s="22">
        <f>3.2/5</f>
        <v>0.64</v>
      </c>
      <c r="X10082" s="3">
        <v>2</v>
      </c>
      <c r="Z10082" s="23">
        <f>21/60</f>
        <v>0.35</v>
      </c>
      <c r="AB10082" s="18">
        <f t="shared" si="314"/>
        <v>1990</v>
      </c>
      <c r="AC10082" s="22">
        <f t="shared" si="315"/>
        <v>0.52</v>
      </c>
    </row>
    <row r="10083" spans="1:29" ht="25.5">
      <c r="A10083" s="8" t="s">
        <v>15446</v>
      </c>
      <c r="B10083" s="17" t="s">
        <v>7734</v>
      </c>
      <c r="C10083" s="12">
        <v>33025</v>
      </c>
      <c r="D10083" s="13" t="s">
        <v>8465</v>
      </c>
      <c r="E10083" s="10" t="s">
        <v>73</v>
      </c>
      <c r="F10083" s="10" t="s">
        <v>73</v>
      </c>
      <c r="G10083" s="11" t="s">
        <v>6352</v>
      </c>
      <c r="H10083" s="2" t="s">
        <v>56</v>
      </c>
      <c r="L10083" s="18">
        <v>0</v>
      </c>
      <c r="Q10083" s="18">
        <v>0</v>
      </c>
      <c r="V10083" s="22">
        <f>3.15/5</f>
        <v>0.63</v>
      </c>
      <c r="X10083" s="3">
        <v>2</v>
      </c>
      <c r="Z10083" s="23">
        <f>37/60</f>
        <v>0.6166666666666667</v>
      </c>
      <c r="AB10083" s="18">
        <f t="shared" si="314"/>
        <v>1990</v>
      </c>
      <c r="AC10083" s="22">
        <f t="shared" si="315"/>
        <v>0.51500000000000001</v>
      </c>
    </row>
    <row r="10084" spans="1:29">
      <c r="A10084" s="8" t="s">
        <v>15646</v>
      </c>
      <c r="B10084" s="17" t="s">
        <v>7734</v>
      </c>
      <c r="C10084" s="12">
        <v>33025</v>
      </c>
      <c r="D10084" s="13" t="s">
        <v>8465</v>
      </c>
      <c r="E10084" s="10" t="s">
        <v>9060</v>
      </c>
      <c r="F10084" s="10" t="s">
        <v>14464</v>
      </c>
      <c r="G10084" s="11" t="s">
        <v>15645</v>
      </c>
      <c r="H10084" s="2" t="s">
        <v>150</v>
      </c>
      <c r="L10084" s="18">
        <v>0</v>
      </c>
      <c r="Q10084" s="18">
        <v>0</v>
      </c>
      <c r="V10084" s="22">
        <f>3.45/5</f>
        <v>0.69000000000000006</v>
      </c>
      <c r="X10084" s="3">
        <v>2</v>
      </c>
      <c r="Z10084" s="23">
        <f>33/60</f>
        <v>0.55000000000000004</v>
      </c>
      <c r="AB10084" s="18">
        <f t="shared" si="314"/>
        <v>1990</v>
      </c>
      <c r="AC10084" s="22">
        <f t="shared" si="315"/>
        <v>0.54500000000000004</v>
      </c>
    </row>
    <row r="10085" spans="1:29" ht="38.25">
      <c r="A10085" s="8" t="s">
        <v>1250</v>
      </c>
      <c r="B10085" s="17" t="s">
        <v>7734</v>
      </c>
      <c r="C10085" s="13">
        <v>33018</v>
      </c>
      <c r="D10085" s="13" t="s">
        <v>8463</v>
      </c>
      <c r="E10085" s="10" t="s">
        <v>1245</v>
      </c>
      <c r="F10085" s="10" t="s">
        <v>1245</v>
      </c>
      <c r="G10085" s="11" t="s">
        <v>304</v>
      </c>
      <c r="H10085" s="2" t="s">
        <v>171</v>
      </c>
      <c r="K10085" s="18">
        <v>2</v>
      </c>
      <c r="L10085" s="18">
        <v>0</v>
      </c>
      <c r="Q10085" s="18">
        <v>0</v>
      </c>
      <c r="V10085" s="22">
        <f>3.42/5</f>
        <v>0.68399999999999994</v>
      </c>
      <c r="X10085" s="3">
        <v>3</v>
      </c>
      <c r="Z10085" s="23">
        <v>9</v>
      </c>
      <c r="AB10085" s="18">
        <f t="shared" si="314"/>
        <v>1990</v>
      </c>
      <c r="AC10085" s="22">
        <f t="shared" si="315"/>
        <v>0.6419999999999999</v>
      </c>
    </row>
    <row r="10086" spans="1:29">
      <c r="A10086" s="8" t="s">
        <v>11795</v>
      </c>
      <c r="B10086" s="17" t="s">
        <v>7745</v>
      </c>
      <c r="C10086" s="13">
        <v>33018</v>
      </c>
      <c r="D10086" s="13" t="s">
        <v>8463</v>
      </c>
      <c r="E10086" s="10" t="s">
        <v>1401</v>
      </c>
      <c r="F10086" s="10" t="s">
        <v>1401</v>
      </c>
      <c r="H10086" s="2" t="s">
        <v>1377</v>
      </c>
      <c r="K10086" s="18">
        <v>2</v>
      </c>
      <c r="L10086" s="18">
        <v>0</v>
      </c>
      <c r="Q10086" s="18">
        <v>0</v>
      </c>
      <c r="V10086" s="22">
        <f>3.69/5</f>
        <v>0.73799999999999999</v>
      </c>
      <c r="X10086" s="3">
        <v>2</v>
      </c>
      <c r="AB10086" s="18">
        <f t="shared" si="314"/>
        <v>1990</v>
      </c>
      <c r="AC10086" s="22">
        <f t="shared" si="315"/>
        <v>0.56899999999999995</v>
      </c>
    </row>
    <row r="10087" spans="1:29">
      <c r="A10087" s="8" t="s">
        <v>296</v>
      </c>
      <c r="B10087" s="17" t="s">
        <v>7734</v>
      </c>
      <c r="C10087" s="13">
        <v>32990</v>
      </c>
      <c r="D10087" s="13" t="s">
        <v>8463</v>
      </c>
      <c r="E10087" s="10" t="s">
        <v>161</v>
      </c>
      <c r="F10087" s="10" t="s">
        <v>161</v>
      </c>
      <c r="G10087" s="11" t="s">
        <v>126</v>
      </c>
      <c r="H10087" s="2" t="s">
        <v>149</v>
      </c>
      <c r="K10087" s="18">
        <v>2</v>
      </c>
      <c r="L10087" s="18">
        <v>0</v>
      </c>
      <c r="Q10087" s="18">
        <v>0</v>
      </c>
      <c r="V10087" s="22">
        <f>3.78/5</f>
        <v>0.75600000000000001</v>
      </c>
      <c r="X10087" s="3">
        <v>2</v>
      </c>
      <c r="Z10087" s="23">
        <v>29.5</v>
      </c>
      <c r="AB10087" s="18">
        <f t="shared" si="314"/>
        <v>1990</v>
      </c>
      <c r="AC10087" s="22">
        <f t="shared" si="315"/>
        <v>0.57800000000000007</v>
      </c>
    </row>
    <row r="10088" spans="1:29" ht="25.5">
      <c r="A10088" s="8" t="s">
        <v>550</v>
      </c>
      <c r="B10088" s="17" t="s">
        <v>6317</v>
      </c>
      <c r="C10088" s="13">
        <v>32988</v>
      </c>
      <c r="D10088" s="13" t="s">
        <v>8463</v>
      </c>
      <c r="E10088" s="10" t="s">
        <v>72</v>
      </c>
      <c r="F10088" s="10" t="s">
        <v>72</v>
      </c>
      <c r="G10088" s="11" t="s">
        <v>451</v>
      </c>
      <c r="H10088" s="2" t="s">
        <v>21</v>
      </c>
      <c r="K10088" s="18">
        <v>0</v>
      </c>
      <c r="L10088" s="18">
        <v>0</v>
      </c>
      <c r="Q10088" s="18">
        <v>0</v>
      </c>
      <c r="V10088" s="22">
        <f>3.84/5</f>
        <v>0.76800000000000002</v>
      </c>
      <c r="X10088" s="3">
        <v>3</v>
      </c>
      <c r="AB10088" s="18">
        <f t="shared" si="314"/>
        <v>1990</v>
      </c>
      <c r="AC10088" s="22">
        <f t="shared" si="315"/>
        <v>0.68399999999999994</v>
      </c>
    </row>
    <row r="10089" spans="1:29" ht="38.25">
      <c r="A10089" s="8" t="s">
        <v>291</v>
      </c>
      <c r="B10089" s="17" t="s">
        <v>7734</v>
      </c>
      <c r="C10089" s="13">
        <v>32983</v>
      </c>
      <c r="D10089" s="13" t="s">
        <v>8463</v>
      </c>
      <c r="E10089" s="10" t="s">
        <v>86</v>
      </c>
      <c r="F10089" s="10" t="s">
        <v>1069</v>
      </c>
      <c r="G10089" s="11" t="s">
        <v>305</v>
      </c>
      <c r="H10089" s="2" t="s">
        <v>75</v>
      </c>
      <c r="K10089" s="18">
        <v>2</v>
      </c>
      <c r="L10089" s="18">
        <v>0</v>
      </c>
      <c r="Q10089" s="18">
        <v>0</v>
      </c>
      <c r="V10089" s="22">
        <f>3.69/5</f>
        <v>0.73799999999999999</v>
      </c>
      <c r="X10089" s="3">
        <v>4</v>
      </c>
      <c r="Z10089" s="23">
        <v>27.5</v>
      </c>
      <c r="AB10089" s="18">
        <f t="shared" si="314"/>
        <v>1990</v>
      </c>
      <c r="AC10089" s="22">
        <f t="shared" si="315"/>
        <v>0.76900000000000002</v>
      </c>
    </row>
    <row r="10090" spans="1:29">
      <c r="A10090" s="8" t="s">
        <v>2531</v>
      </c>
      <c r="B10090" s="17" t="s">
        <v>7751</v>
      </c>
      <c r="C10090" s="13">
        <v>32970</v>
      </c>
      <c r="D10090" s="13" t="s">
        <v>8463</v>
      </c>
      <c r="E10090" s="10" t="s">
        <v>455</v>
      </c>
      <c r="F10090" s="10" t="s">
        <v>455</v>
      </c>
      <c r="H10090" s="2" t="s">
        <v>21</v>
      </c>
      <c r="K10090" s="18">
        <v>0</v>
      </c>
      <c r="L10090" s="18">
        <v>0</v>
      </c>
      <c r="Q10090" s="18">
        <v>0</v>
      </c>
      <c r="U10090" s="22">
        <v>0.3</v>
      </c>
      <c r="V10090" s="22">
        <f>3.1/5</f>
        <v>0.62</v>
      </c>
      <c r="X10090" s="3">
        <v>2</v>
      </c>
      <c r="Z10090" s="23">
        <f>41/60</f>
        <v>0.68333333333333335</v>
      </c>
      <c r="AB10090" s="18">
        <f t="shared" si="314"/>
        <v>1990</v>
      </c>
      <c r="AC10090" s="22">
        <f t="shared" si="315"/>
        <v>0.43999999999999995</v>
      </c>
    </row>
    <row r="10091" spans="1:29" ht="25.5">
      <c r="A10091" s="8" t="s">
        <v>7811</v>
      </c>
      <c r="B10091" s="17" t="s">
        <v>7734</v>
      </c>
      <c r="C10091" s="17">
        <v>32969</v>
      </c>
      <c r="D10091" s="13" t="s">
        <v>8463</v>
      </c>
      <c r="E10091" s="10" t="s">
        <v>158</v>
      </c>
      <c r="F10091" s="10" t="s">
        <v>228</v>
      </c>
      <c r="G10091" s="11" t="s">
        <v>1171</v>
      </c>
      <c r="H10091" s="2" t="s">
        <v>149</v>
      </c>
      <c r="K10091" s="18">
        <v>2</v>
      </c>
      <c r="L10091" s="18">
        <v>0</v>
      </c>
      <c r="Q10091" s="18">
        <v>0</v>
      </c>
      <c r="V10091" s="22">
        <f>3.52/5</f>
        <v>0.70399999999999996</v>
      </c>
      <c r="X10091" s="3">
        <v>3</v>
      </c>
      <c r="Z10091" s="23">
        <v>19</v>
      </c>
      <c r="AB10091" s="18">
        <f t="shared" si="314"/>
        <v>1990</v>
      </c>
      <c r="AC10091" s="22">
        <f t="shared" si="315"/>
        <v>0.65199999999999991</v>
      </c>
    </row>
    <row r="10092" spans="1:29" ht="30">
      <c r="A10092" s="8" t="s">
        <v>13728</v>
      </c>
      <c r="B10092" s="17" t="s">
        <v>7734</v>
      </c>
      <c r="C10092" s="13">
        <v>32969</v>
      </c>
      <c r="D10092" s="13" t="s">
        <v>8463</v>
      </c>
      <c r="E10092" s="10" t="s">
        <v>8394</v>
      </c>
      <c r="F10092" s="10" t="s">
        <v>11808</v>
      </c>
      <c r="G10092" s="11" t="s">
        <v>11809</v>
      </c>
      <c r="H10092" s="2" t="s">
        <v>149</v>
      </c>
      <c r="K10092" s="18">
        <v>2</v>
      </c>
      <c r="L10092" s="18">
        <v>0</v>
      </c>
      <c r="Q10092" s="18">
        <v>0</v>
      </c>
      <c r="V10092" s="22">
        <f>3.09/5</f>
        <v>0.61799999999999999</v>
      </c>
      <c r="X10092" s="3">
        <v>2</v>
      </c>
      <c r="Z10092" s="23">
        <v>16</v>
      </c>
      <c r="AB10092" s="18">
        <f t="shared" si="314"/>
        <v>1990</v>
      </c>
      <c r="AC10092" s="22">
        <f t="shared" si="315"/>
        <v>0.50900000000000001</v>
      </c>
    </row>
    <row r="10093" spans="1:29">
      <c r="A10093" s="8" t="s">
        <v>397</v>
      </c>
      <c r="B10093" s="17" t="s">
        <v>6317</v>
      </c>
      <c r="C10093" s="12">
        <v>32964</v>
      </c>
      <c r="D10093" s="13" t="s">
        <v>8465</v>
      </c>
      <c r="E10093" s="10" t="s">
        <v>76</v>
      </c>
      <c r="F10093" s="10" t="s">
        <v>554</v>
      </c>
      <c r="G10093" s="11" t="s">
        <v>397</v>
      </c>
      <c r="H10093" s="2" t="s">
        <v>21</v>
      </c>
      <c r="L10093" s="18">
        <v>0</v>
      </c>
      <c r="Q10093" s="18">
        <v>0</v>
      </c>
      <c r="V10093" s="22">
        <f>3.66/5</f>
        <v>0.73199999999999998</v>
      </c>
      <c r="X10093" s="3">
        <v>3</v>
      </c>
      <c r="Z10093" s="23">
        <v>1</v>
      </c>
      <c r="AB10093" s="18">
        <f t="shared" si="314"/>
        <v>1990</v>
      </c>
      <c r="AC10093" s="22">
        <f t="shared" si="315"/>
        <v>0.66599999999999993</v>
      </c>
    </row>
    <row r="10094" spans="1:29">
      <c r="A10094" s="8" t="s">
        <v>196</v>
      </c>
      <c r="B10094" s="17" t="s">
        <v>7734</v>
      </c>
      <c r="C10094" s="12">
        <v>32964</v>
      </c>
      <c r="D10094" s="13" t="s">
        <v>8465</v>
      </c>
      <c r="E10094" s="10" t="s">
        <v>244</v>
      </c>
      <c r="F10094" s="10" t="s">
        <v>72</v>
      </c>
      <c r="G10094" s="11" t="s">
        <v>220</v>
      </c>
      <c r="H10094" s="2" t="s">
        <v>245</v>
      </c>
      <c r="L10094" s="18">
        <v>0</v>
      </c>
      <c r="Q10094" s="18">
        <v>0</v>
      </c>
      <c r="V10094" s="22">
        <f>3.15/5</f>
        <v>0.63</v>
      </c>
      <c r="X10094" s="3">
        <v>3</v>
      </c>
      <c r="Z10094" s="23">
        <v>4.5</v>
      </c>
      <c r="AB10094" s="18">
        <f t="shared" si="314"/>
        <v>1990</v>
      </c>
      <c r="AC10094" s="22">
        <f t="shared" si="315"/>
        <v>0.61499999999999999</v>
      </c>
    </row>
    <row r="10095" spans="1:29">
      <c r="A10095" s="8" t="s">
        <v>179</v>
      </c>
      <c r="B10095" s="17" t="s">
        <v>7734</v>
      </c>
      <c r="C10095" s="12">
        <v>32964</v>
      </c>
      <c r="D10095" s="13" t="s">
        <v>8465</v>
      </c>
      <c r="E10095" s="10" t="s">
        <v>62</v>
      </c>
      <c r="F10095" s="10" t="s">
        <v>228</v>
      </c>
      <c r="H10095" s="2" t="s">
        <v>21</v>
      </c>
      <c r="L10095" s="18">
        <v>0</v>
      </c>
      <c r="Q10095" s="18">
        <v>0</v>
      </c>
      <c r="V10095" s="22">
        <f>3.67/5</f>
        <v>0.73399999999999999</v>
      </c>
      <c r="X10095" s="3">
        <v>2</v>
      </c>
      <c r="Z10095" s="23">
        <v>2</v>
      </c>
      <c r="AB10095" s="18">
        <f t="shared" si="314"/>
        <v>1990</v>
      </c>
      <c r="AC10095" s="22">
        <f t="shared" si="315"/>
        <v>0.56699999999999995</v>
      </c>
    </row>
    <row r="10096" spans="1:29" ht="30">
      <c r="A10096" s="8" t="s">
        <v>8157</v>
      </c>
      <c r="B10096" s="17" t="s">
        <v>7750</v>
      </c>
      <c r="C10096" s="12">
        <v>32964</v>
      </c>
      <c r="D10096" s="13" t="s">
        <v>8465</v>
      </c>
      <c r="E10096" s="10" t="s">
        <v>455</v>
      </c>
      <c r="F10096" s="10" t="s">
        <v>455</v>
      </c>
      <c r="G10096" s="11" t="s">
        <v>2407</v>
      </c>
      <c r="H10096" s="2" t="s">
        <v>56</v>
      </c>
      <c r="L10096" s="18">
        <v>0</v>
      </c>
      <c r="Q10096" s="18">
        <v>0</v>
      </c>
      <c r="V10096" s="22">
        <f>2.64/5</f>
        <v>0.52800000000000002</v>
      </c>
      <c r="X10096" s="3">
        <v>3</v>
      </c>
      <c r="Z10096" s="23">
        <v>4</v>
      </c>
      <c r="AB10096" s="18">
        <f t="shared" si="314"/>
        <v>1990</v>
      </c>
      <c r="AC10096" s="22">
        <f t="shared" si="315"/>
        <v>0.56400000000000006</v>
      </c>
    </row>
    <row r="10097" spans="1:29">
      <c r="A10097" s="8" t="s">
        <v>10959</v>
      </c>
      <c r="B10097" s="17" t="s">
        <v>10960</v>
      </c>
      <c r="C10097" s="12">
        <v>32964</v>
      </c>
      <c r="D10097" s="13" t="s">
        <v>8463</v>
      </c>
      <c r="E10097" s="10" t="s">
        <v>9109</v>
      </c>
      <c r="F10097" s="10" t="s">
        <v>9109</v>
      </c>
      <c r="G10097" s="11" t="s">
        <v>10959</v>
      </c>
      <c r="H10097" s="2" t="s">
        <v>21</v>
      </c>
      <c r="K10097" s="18">
        <v>0</v>
      </c>
      <c r="L10097" s="18">
        <v>0</v>
      </c>
      <c r="Q10097" s="18">
        <v>0</v>
      </c>
      <c r="V10097" s="22">
        <f>3.35/5</f>
        <v>0.67</v>
      </c>
      <c r="X10097" s="3">
        <v>2</v>
      </c>
      <c r="AB10097" s="18">
        <f t="shared" si="314"/>
        <v>1990</v>
      </c>
      <c r="AC10097" s="22">
        <f t="shared" si="315"/>
        <v>0.53500000000000003</v>
      </c>
    </row>
    <row r="10098" spans="1:29">
      <c r="A10098" s="8" t="s">
        <v>14499</v>
      </c>
      <c r="B10098" s="17" t="s">
        <v>7751</v>
      </c>
      <c r="C10098" s="12">
        <v>32964</v>
      </c>
      <c r="D10098" s="13" t="s">
        <v>8465</v>
      </c>
      <c r="E10098" s="10" t="s">
        <v>2641</v>
      </c>
      <c r="F10098" s="10" t="s">
        <v>1427</v>
      </c>
      <c r="G10098" s="11" t="s">
        <v>14497</v>
      </c>
      <c r="H10098" s="2" t="s">
        <v>171</v>
      </c>
      <c r="L10098" s="18">
        <v>0</v>
      </c>
      <c r="Q10098" s="18">
        <v>0</v>
      </c>
      <c r="V10098" s="22">
        <f>2.59/5</f>
        <v>0.51800000000000002</v>
      </c>
      <c r="X10098" s="3">
        <v>2</v>
      </c>
      <c r="Z10098" s="23">
        <v>13.5</v>
      </c>
      <c r="AB10098" s="18">
        <f t="shared" si="314"/>
        <v>1990</v>
      </c>
      <c r="AC10098" s="22">
        <f t="shared" si="315"/>
        <v>0.45900000000000002</v>
      </c>
    </row>
    <row r="10099" spans="1:29">
      <c r="A10099" s="8" t="s">
        <v>266</v>
      </c>
      <c r="B10099" s="17" t="s">
        <v>7734</v>
      </c>
      <c r="C10099" s="13">
        <v>32962</v>
      </c>
      <c r="D10099" s="13" t="s">
        <v>8463</v>
      </c>
      <c r="E10099" s="10" t="s">
        <v>72</v>
      </c>
      <c r="F10099" s="10" t="s">
        <v>72</v>
      </c>
      <c r="G10099" s="11" t="s">
        <v>297</v>
      </c>
      <c r="H10099" s="2" t="s">
        <v>149</v>
      </c>
      <c r="K10099" s="18">
        <v>2</v>
      </c>
      <c r="L10099" s="18">
        <v>0</v>
      </c>
      <c r="Q10099" s="18">
        <v>0</v>
      </c>
      <c r="V10099" s="22">
        <f>3.65/5</f>
        <v>0.73</v>
      </c>
      <c r="X10099" s="3">
        <v>3</v>
      </c>
      <c r="AB10099" s="18">
        <f t="shared" si="314"/>
        <v>1990</v>
      </c>
      <c r="AC10099" s="22">
        <f t="shared" si="315"/>
        <v>0.66500000000000004</v>
      </c>
    </row>
    <row r="10100" spans="1:29" ht="30">
      <c r="A10100" s="8" t="s">
        <v>14021</v>
      </c>
      <c r="B10100" s="17" t="s">
        <v>7734</v>
      </c>
      <c r="C10100" s="13">
        <v>32955</v>
      </c>
      <c r="D10100" s="13" t="s">
        <v>8463</v>
      </c>
      <c r="E10100" s="10" t="s">
        <v>1468</v>
      </c>
      <c r="F10100" s="10" t="s">
        <v>1420</v>
      </c>
      <c r="G10100" s="11" t="s">
        <v>14021</v>
      </c>
      <c r="H10100" s="2" t="s">
        <v>149</v>
      </c>
      <c r="K10100" s="18">
        <v>2</v>
      </c>
      <c r="L10100" s="18">
        <v>0</v>
      </c>
      <c r="Q10100" s="18">
        <v>0</v>
      </c>
      <c r="V10100" s="22">
        <f>3.64/5</f>
        <v>0.72799999999999998</v>
      </c>
      <c r="X10100" s="3">
        <v>2</v>
      </c>
      <c r="AB10100" s="18">
        <f t="shared" si="314"/>
        <v>1990</v>
      </c>
      <c r="AC10100" s="22">
        <f t="shared" si="315"/>
        <v>0.56400000000000006</v>
      </c>
    </row>
    <row r="10101" spans="1:29">
      <c r="A10101" s="8" t="s">
        <v>32</v>
      </c>
      <c r="B10101" s="17" t="s">
        <v>7734</v>
      </c>
      <c r="C10101" s="13">
        <v>32952</v>
      </c>
      <c r="D10101" s="13" t="s">
        <v>8465</v>
      </c>
      <c r="E10101" s="10" t="s">
        <v>30</v>
      </c>
      <c r="F10101" s="10" t="s">
        <v>30</v>
      </c>
      <c r="G10101" s="11" t="s">
        <v>53</v>
      </c>
      <c r="H10101" s="2" t="s">
        <v>31</v>
      </c>
      <c r="L10101" s="18">
        <v>0</v>
      </c>
      <c r="Q10101" s="18">
        <v>0</v>
      </c>
      <c r="V10101" s="22">
        <f>3.7/5</f>
        <v>0.74</v>
      </c>
      <c r="X10101" s="3">
        <v>2</v>
      </c>
      <c r="Z10101" s="23">
        <v>4</v>
      </c>
      <c r="AB10101" s="18">
        <f t="shared" si="314"/>
        <v>1990</v>
      </c>
      <c r="AC10101" s="22">
        <f t="shared" si="315"/>
        <v>0.57000000000000006</v>
      </c>
    </row>
    <row r="10102" spans="1:29">
      <c r="A10102" s="8" t="s">
        <v>2879</v>
      </c>
      <c r="B10102" s="17" t="s">
        <v>7790</v>
      </c>
      <c r="C10102" s="13">
        <v>32948</v>
      </c>
      <c r="D10102" s="13" t="s">
        <v>8463</v>
      </c>
      <c r="E10102" s="10" t="s">
        <v>1456</v>
      </c>
      <c r="F10102" s="10" t="s">
        <v>1397</v>
      </c>
      <c r="G10102" s="11" t="s">
        <v>330</v>
      </c>
      <c r="H10102" s="2" t="s">
        <v>21</v>
      </c>
      <c r="K10102" s="18">
        <v>0</v>
      </c>
      <c r="L10102" s="18">
        <v>0</v>
      </c>
      <c r="Q10102" s="18">
        <v>0</v>
      </c>
      <c r="V10102" s="22">
        <f>3.83/5</f>
        <v>0.76600000000000001</v>
      </c>
      <c r="X10102" s="3">
        <v>3</v>
      </c>
      <c r="Z10102" s="23">
        <v>4</v>
      </c>
      <c r="AB10102" s="18">
        <f t="shared" si="314"/>
        <v>1990</v>
      </c>
      <c r="AC10102" s="22">
        <f t="shared" si="315"/>
        <v>0.68300000000000005</v>
      </c>
    </row>
    <row r="10103" spans="1:29">
      <c r="A10103" s="8" t="s">
        <v>42</v>
      </c>
      <c r="B10103" s="17" t="s">
        <v>7734</v>
      </c>
      <c r="C10103" s="13">
        <v>32940</v>
      </c>
      <c r="D10103" s="13" t="s">
        <v>8465</v>
      </c>
      <c r="E10103" s="10" t="s">
        <v>70</v>
      </c>
      <c r="F10103" s="10" t="s">
        <v>71</v>
      </c>
      <c r="G10103" s="11" t="s">
        <v>42</v>
      </c>
      <c r="H10103" s="2" t="s">
        <v>56</v>
      </c>
      <c r="L10103" s="18">
        <v>0</v>
      </c>
      <c r="Q10103" s="18">
        <v>0</v>
      </c>
      <c r="V10103" s="22">
        <f>3.23/5</f>
        <v>0.64600000000000002</v>
      </c>
      <c r="X10103" s="3">
        <v>3</v>
      </c>
      <c r="Z10103" s="23">
        <v>1</v>
      </c>
      <c r="AB10103" s="18">
        <f t="shared" si="314"/>
        <v>1990</v>
      </c>
      <c r="AC10103" s="22">
        <f t="shared" si="315"/>
        <v>0.623</v>
      </c>
    </row>
    <row r="10104" spans="1:29">
      <c r="A10104" s="8" t="s">
        <v>189</v>
      </c>
      <c r="B10104" s="17" t="s">
        <v>7734</v>
      </c>
      <c r="C10104" s="12">
        <v>32933</v>
      </c>
      <c r="D10104" s="13" t="s">
        <v>8465</v>
      </c>
      <c r="E10104" s="10" t="s">
        <v>240</v>
      </c>
      <c r="F10104" s="10" t="s">
        <v>241</v>
      </c>
      <c r="H10104" s="2" t="s">
        <v>171</v>
      </c>
      <c r="L10104" s="18">
        <v>0</v>
      </c>
      <c r="Q10104" s="18">
        <v>0</v>
      </c>
      <c r="V10104" s="22">
        <f>3.28/5</f>
        <v>0.65599999999999992</v>
      </c>
      <c r="X10104" s="3">
        <v>3</v>
      </c>
      <c r="Z10104" s="23">
        <v>4</v>
      </c>
      <c r="AB10104" s="18">
        <f t="shared" si="314"/>
        <v>1990</v>
      </c>
      <c r="AC10104" s="22">
        <f t="shared" si="315"/>
        <v>0.62799999999999989</v>
      </c>
    </row>
    <row r="10105" spans="1:29">
      <c r="A10105" s="8" t="s">
        <v>15450</v>
      </c>
      <c r="B10105" s="17" t="s">
        <v>7734</v>
      </c>
      <c r="C10105" s="12">
        <v>32933</v>
      </c>
      <c r="D10105" s="13" t="s">
        <v>8465</v>
      </c>
      <c r="E10105" s="10" t="s">
        <v>73</v>
      </c>
      <c r="F10105" s="10" t="s">
        <v>479</v>
      </c>
      <c r="H10105" s="2" t="s">
        <v>56</v>
      </c>
      <c r="L10105" s="18">
        <v>0</v>
      </c>
      <c r="Q10105" s="18">
        <v>0</v>
      </c>
      <c r="V10105" s="22">
        <f>3.43/5</f>
        <v>0.68600000000000005</v>
      </c>
      <c r="X10105" s="3">
        <v>2</v>
      </c>
      <c r="Z10105" s="23">
        <v>1.5</v>
      </c>
      <c r="AB10105" s="18">
        <f t="shared" si="314"/>
        <v>1990</v>
      </c>
      <c r="AC10105" s="22">
        <f t="shared" si="315"/>
        <v>0.54300000000000004</v>
      </c>
    </row>
    <row r="10106" spans="1:29">
      <c r="A10106" s="8" t="s">
        <v>15663</v>
      </c>
      <c r="B10106" s="17" t="s">
        <v>7734</v>
      </c>
      <c r="C10106" s="12">
        <v>32933</v>
      </c>
      <c r="D10106" s="13" t="s">
        <v>8465</v>
      </c>
      <c r="E10106" s="10" t="s">
        <v>54</v>
      </c>
      <c r="F10106" s="10" t="s">
        <v>82</v>
      </c>
      <c r="G10106" s="11" t="s">
        <v>192</v>
      </c>
      <c r="H10106" s="2" t="s">
        <v>153</v>
      </c>
      <c r="L10106" s="18">
        <v>0</v>
      </c>
      <c r="Q10106" s="18">
        <v>0</v>
      </c>
      <c r="V10106" s="22">
        <f>2.6/5</f>
        <v>0.52</v>
      </c>
      <c r="X10106" s="3">
        <v>2</v>
      </c>
      <c r="Z10106" s="23">
        <v>1.5</v>
      </c>
      <c r="AB10106" s="18">
        <f t="shared" si="314"/>
        <v>1990</v>
      </c>
      <c r="AC10106" s="22">
        <f t="shared" si="315"/>
        <v>0.46</v>
      </c>
    </row>
    <row r="10107" spans="1:29">
      <c r="A10107" s="8" t="s">
        <v>14284</v>
      </c>
      <c r="B10107" s="17" t="s">
        <v>7789</v>
      </c>
      <c r="C10107" s="13">
        <v>32927</v>
      </c>
      <c r="D10107" s="13" t="s">
        <v>8463</v>
      </c>
      <c r="E10107" s="10" t="s">
        <v>1430</v>
      </c>
      <c r="F10107" s="10" t="s">
        <v>1430</v>
      </c>
      <c r="H10107" s="2" t="s">
        <v>75</v>
      </c>
      <c r="K10107" s="18">
        <v>2</v>
      </c>
      <c r="L10107" s="18">
        <v>0</v>
      </c>
      <c r="Q10107" s="18">
        <v>0</v>
      </c>
      <c r="V10107" s="22">
        <f>3.94/5</f>
        <v>0.78800000000000003</v>
      </c>
      <c r="X10107" s="3">
        <v>2</v>
      </c>
      <c r="AB10107" s="18">
        <f t="shared" si="314"/>
        <v>1990</v>
      </c>
      <c r="AC10107" s="22">
        <f t="shared" si="315"/>
        <v>0.59400000000000008</v>
      </c>
    </row>
    <row r="10108" spans="1:29">
      <c r="A10108" s="8" t="s">
        <v>207</v>
      </c>
      <c r="B10108" s="17" t="s">
        <v>7734</v>
      </c>
      <c r="C10108" s="13">
        <v>32917</v>
      </c>
      <c r="D10108" s="13" t="s">
        <v>8465</v>
      </c>
      <c r="E10108" s="10" t="s">
        <v>160</v>
      </c>
      <c r="F10108" s="10" t="s">
        <v>160</v>
      </c>
      <c r="G10108" s="11" t="s">
        <v>207</v>
      </c>
      <c r="H10108" s="2" t="s">
        <v>64</v>
      </c>
      <c r="L10108" s="18">
        <v>0</v>
      </c>
      <c r="Q10108" s="18">
        <v>0</v>
      </c>
      <c r="V10108" s="22">
        <f>3.77/5</f>
        <v>0.754</v>
      </c>
      <c r="X10108" s="3">
        <v>4</v>
      </c>
      <c r="Z10108" s="23">
        <v>1.5</v>
      </c>
      <c r="AB10108" s="18">
        <f t="shared" si="314"/>
        <v>1990</v>
      </c>
      <c r="AC10108" s="22">
        <f t="shared" si="315"/>
        <v>0.77700000000000002</v>
      </c>
    </row>
    <row r="10109" spans="1:29">
      <c r="A10109" s="8" t="s">
        <v>354</v>
      </c>
      <c r="B10109" s="17" t="s">
        <v>6317</v>
      </c>
      <c r="C10109" s="12">
        <v>32905</v>
      </c>
      <c r="D10109" s="13" t="s">
        <v>8465</v>
      </c>
      <c r="E10109" s="10" t="s">
        <v>73</v>
      </c>
      <c r="F10109" s="10" t="s">
        <v>73</v>
      </c>
      <c r="G10109" s="11" t="s">
        <v>441</v>
      </c>
      <c r="H10109" s="2" t="s">
        <v>21</v>
      </c>
      <c r="L10109" s="18">
        <v>0</v>
      </c>
      <c r="Q10109" s="18">
        <v>0</v>
      </c>
      <c r="V10109" s="22">
        <f>3.64/5</f>
        <v>0.72799999999999998</v>
      </c>
      <c r="X10109" s="3">
        <v>3</v>
      </c>
      <c r="Z10109" s="23">
        <v>0.52</v>
      </c>
      <c r="AB10109" s="18">
        <f t="shared" si="314"/>
        <v>1990</v>
      </c>
      <c r="AC10109" s="22">
        <f t="shared" si="315"/>
        <v>0.66399999999999992</v>
      </c>
    </row>
    <row r="10110" spans="1:29">
      <c r="A10110" s="8" t="s">
        <v>13085</v>
      </c>
      <c r="B10110" s="17" t="s">
        <v>7789</v>
      </c>
      <c r="C10110" s="13">
        <v>32899</v>
      </c>
      <c r="D10110" s="13" t="s">
        <v>8463</v>
      </c>
      <c r="E10110" s="10" t="s">
        <v>1430</v>
      </c>
      <c r="F10110" s="10" t="s">
        <v>1430</v>
      </c>
      <c r="G10110" s="11" t="s">
        <v>1369</v>
      </c>
      <c r="H10110" s="2" t="s">
        <v>75</v>
      </c>
      <c r="K10110" s="18">
        <v>2</v>
      </c>
      <c r="L10110" s="18">
        <v>0</v>
      </c>
      <c r="Q10110" s="18">
        <v>0</v>
      </c>
      <c r="V10110" s="22">
        <f>3.04/5</f>
        <v>0.60799999999999998</v>
      </c>
      <c r="X10110" s="3">
        <v>2</v>
      </c>
      <c r="AB10110" s="18">
        <f t="shared" si="314"/>
        <v>1990</v>
      </c>
      <c r="AC10110" s="22">
        <f t="shared" si="315"/>
        <v>0.504</v>
      </c>
    </row>
    <row r="10111" spans="1:29" ht="25.5">
      <c r="A10111" s="8" t="s">
        <v>5564</v>
      </c>
      <c r="B10111" s="17" t="s">
        <v>7800</v>
      </c>
      <c r="C10111" s="13">
        <v>32875</v>
      </c>
      <c r="D10111" s="13" t="s">
        <v>8465</v>
      </c>
      <c r="E10111" s="10" t="s">
        <v>8722</v>
      </c>
      <c r="F10111" s="10" t="s">
        <v>5565</v>
      </c>
      <c r="G10111" s="11" t="s">
        <v>5566</v>
      </c>
      <c r="H10111" s="2" t="s">
        <v>149</v>
      </c>
      <c r="L10111" s="18">
        <v>1</v>
      </c>
      <c r="N10111" s="13">
        <v>41769</v>
      </c>
      <c r="P10111" s="18" t="s">
        <v>1107</v>
      </c>
      <c r="Q10111" s="18">
        <v>0</v>
      </c>
      <c r="V10111" s="22">
        <f>3.74/5</f>
        <v>0.748</v>
      </c>
      <c r="W10111" s="14" t="s">
        <v>7777</v>
      </c>
      <c r="X10111" s="3">
        <v>3</v>
      </c>
      <c r="Z10111" s="23">
        <v>38.5</v>
      </c>
      <c r="AB10111" s="18">
        <f t="shared" si="314"/>
        <v>1990</v>
      </c>
      <c r="AC10111" s="22">
        <f t="shared" si="315"/>
        <v>0.67399999999999993</v>
      </c>
    </row>
    <row r="10112" spans="1:29">
      <c r="A10112" s="8" t="s">
        <v>2887</v>
      </c>
      <c r="B10112" s="17" t="s">
        <v>7790</v>
      </c>
      <c r="C10112" s="12">
        <v>32874</v>
      </c>
      <c r="D10112" s="13" t="s">
        <v>8465</v>
      </c>
      <c r="E10112" s="10" t="s">
        <v>1245</v>
      </c>
      <c r="F10112" s="10" t="s">
        <v>1245</v>
      </c>
      <c r="G10112" s="11" t="s">
        <v>304</v>
      </c>
      <c r="H10112" s="2" t="s">
        <v>171</v>
      </c>
      <c r="L10112" s="18">
        <v>0</v>
      </c>
      <c r="Q10112" s="18">
        <v>0</v>
      </c>
      <c r="V10112" s="22">
        <f>4.15/5</f>
        <v>0.83000000000000007</v>
      </c>
      <c r="X10112" s="3">
        <v>4</v>
      </c>
      <c r="Z10112" s="23">
        <v>14</v>
      </c>
      <c r="AB10112" s="18">
        <f t="shared" si="314"/>
        <v>1990</v>
      </c>
      <c r="AC10112" s="22">
        <f t="shared" si="315"/>
        <v>0.81500000000000006</v>
      </c>
    </row>
    <row r="10113" spans="1:29">
      <c r="A10113" s="8" t="s">
        <v>6852</v>
      </c>
      <c r="B10113" s="17" t="s">
        <v>7800</v>
      </c>
      <c r="C10113" s="12">
        <v>32874</v>
      </c>
      <c r="D10113" s="13" t="s">
        <v>8465</v>
      </c>
      <c r="E10113" s="10" t="s">
        <v>6908</v>
      </c>
      <c r="F10113" s="10" t="s">
        <v>6908</v>
      </c>
      <c r="H10113" s="2" t="s">
        <v>67</v>
      </c>
      <c r="L10113" s="18">
        <v>1</v>
      </c>
      <c r="N10113" s="13">
        <v>44837</v>
      </c>
      <c r="O10113" s="29">
        <v>0</v>
      </c>
      <c r="P10113" s="18" t="s">
        <v>1107</v>
      </c>
      <c r="Q10113" s="18">
        <v>0</v>
      </c>
      <c r="U10113" s="22">
        <v>0.75</v>
      </c>
      <c r="V10113" s="22">
        <f>3.92/5</f>
        <v>0.78400000000000003</v>
      </c>
      <c r="W10113" s="14" t="s">
        <v>7799</v>
      </c>
      <c r="X10113" s="3">
        <v>4</v>
      </c>
      <c r="Z10113" s="23">
        <v>3</v>
      </c>
      <c r="AB10113" s="18">
        <f t="shared" ref="AB10113:AB10176" si="316">IFERROR(YEAR(C10113), "Early Access")</f>
        <v>1990</v>
      </c>
      <c r="AC10113" s="22">
        <f t="shared" ref="AC10113:AC10176" si="317">AVERAGE(T10113, U10113, V10113, IF(ISBLANK(X10113), X10113, X10113/5))</f>
        <v>0.77800000000000002</v>
      </c>
    </row>
    <row r="10114" spans="1:29">
      <c r="A10114" s="8" t="s">
        <v>2868</v>
      </c>
      <c r="B10114" s="17" t="s">
        <v>7789</v>
      </c>
      <c r="C10114" s="12">
        <v>32874</v>
      </c>
      <c r="D10114" s="13" t="s">
        <v>8465</v>
      </c>
      <c r="E10114" s="10" t="s">
        <v>2870</v>
      </c>
      <c r="F10114" s="10" t="s">
        <v>1318</v>
      </c>
      <c r="G10114" s="11" t="s">
        <v>1319</v>
      </c>
      <c r="H10114" s="2" t="s">
        <v>64</v>
      </c>
      <c r="L10114" s="18">
        <v>0</v>
      </c>
      <c r="Q10114" s="18">
        <v>0</v>
      </c>
      <c r="V10114" s="22">
        <f>3.71/5</f>
        <v>0.74199999999999999</v>
      </c>
      <c r="X10114" s="3">
        <v>4</v>
      </c>
      <c r="Z10114" s="23">
        <v>1.5</v>
      </c>
      <c r="AB10114" s="18">
        <f t="shared" si="316"/>
        <v>1990</v>
      </c>
      <c r="AC10114" s="22">
        <f t="shared" si="317"/>
        <v>0.77100000000000002</v>
      </c>
    </row>
    <row r="10115" spans="1:29">
      <c r="A10115" s="8" t="s">
        <v>210</v>
      </c>
      <c r="B10115" s="17" t="s">
        <v>7734</v>
      </c>
      <c r="C10115" s="12">
        <v>32874</v>
      </c>
      <c r="D10115" s="13" t="s">
        <v>8465</v>
      </c>
      <c r="E10115" s="10" t="s">
        <v>250</v>
      </c>
      <c r="F10115" s="10" t="s">
        <v>250</v>
      </c>
      <c r="H10115" s="2" t="s">
        <v>151</v>
      </c>
      <c r="L10115" s="18">
        <v>0</v>
      </c>
      <c r="Q10115" s="18">
        <v>0</v>
      </c>
      <c r="V10115" s="22">
        <f>3.64/5</f>
        <v>0.72799999999999998</v>
      </c>
      <c r="X10115" s="3">
        <v>4</v>
      </c>
      <c r="Z10115" s="23">
        <v>2.5</v>
      </c>
      <c r="AB10115" s="18">
        <f t="shared" si="316"/>
        <v>1990</v>
      </c>
      <c r="AC10115" s="22">
        <f t="shared" si="317"/>
        <v>0.76400000000000001</v>
      </c>
    </row>
    <row r="10116" spans="1:29">
      <c r="A10116" s="8" t="s">
        <v>2869</v>
      </c>
      <c r="B10116" s="17" t="s">
        <v>7789</v>
      </c>
      <c r="C10116" s="12">
        <v>32874</v>
      </c>
      <c r="D10116" s="13" t="s">
        <v>8465</v>
      </c>
      <c r="E10116" s="10" t="s">
        <v>2870</v>
      </c>
      <c r="F10116" s="10" t="s">
        <v>62</v>
      </c>
      <c r="G10116" s="11" t="s">
        <v>2869</v>
      </c>
      <c r="H10116" s="2" t="s">
        <v>80</v>
      </c>
      <c r="L10116" s="18">
        <v>0</v>
      </c>
      <c r="Q10116" s="18">
        <v>0</v>
      </c>
      <c r="V10116" s="22">
        <f>3.57/5</f>
        <v>0.71399999999999997</v>
      </c>
      <c r="X10116" s="3">
        <v>4</v>
      </c>
      <c r="Z10116" s="23">
        <v>6.5</v>
      </c>
      <c r="AB10116" s="18">
        <f t="shared" si="316"/>
        <v>1990</v>
      </c>
      <c r="AC10116" s="22">
        <f t="shared" si="317"/>
        <v>0.75700000000000001</v>
      </c>
    </row>
    <row r="10117" spans="1:29">
      <c r="A10117" s="8" t="s">
        <v>6831</v>
      </c>
      <c r="B10117" s="17" t="s">
        <v>7800</v>
      </c>
      <c r="C10117" s="12">
        <v>32874</v>
      </c>
      <c r="D10117" s="13" t="s">
        <v>8465</v>
      </c>
      <c r="E10117" s="10" t="s">
        <v>6668</v>
      </c>
      <c r="F10117" s="10" t="s">
        <v>6668</v>
      </c>
      <c r="G10117" s="11" t="s">
        <v>445</v>
      </c>
      <c r="H10117" s="2" t="s">
        <v>1720</v>
      </c>
      <c r="L10117" s="18">
        <v>0</v>
      </c>
      <c r="Q10117" s="18">
        <v>0</v>
      </c>
      <c r="V10117" s="22">
        <f>4.38/5</f>
        <v>0.876</v>
      </c>
      <c r="X10117" s="3">
        <v>3</v>
      </c>
      <c r="AB10117" s="18">
        <f t="shared" si="316"/>
        <v>1990</v>
      </c>
      <c r="AC10117" s="22">
        <f t="shared" si="317"/>
        <v>0.73799999999999999</v>
      </c>
    </row>
    <row r="10118" spans="1:29">
      <c r="A10118" s="8" t="s">
        <v>193</v>
      </c>
      <c r="B10118" s="17" t="s">
        <v>7734</v>
      </c>
      <c r="C10118" s="12">
        <v>32874</v>
      </c>
      <c r="D10118" s="13" t="s">
        <v>8465</v>
      </c>
      <c r="E10118" s="10" t="s">
        <v>155</v>
      </c>
      <c r="F10118" s="10" t="s">
        <v>155</v>
      </c>
      <c r="G10118" s="11" t="s">
        <v>226</v>
      </c>
      <c r="H10118" s="2" t="s">
        <v>153</v>
      </c>
      <c r="L10118" s="18">
        <v>0</v>
      </c>
      <c r="Q10118" s="18">
        <v>0</v>
      </c>
      <c r="V10118" s="22">
        <f>4.06/5</f>
        <v>0.81199999999999994</v>
      </c>
      <c r="X10118" s="3">
        <v>3</v>
      </c>
      <c r="Z10118" s="23">
        <v>2</v>
      </c>
      <c r="AB10118" s="18">
        <f t="shared" si="316"/>
        <v>1990</v>
      </c>
      <c r="AC10118" s="22">
        <f t="shared" si="317"/>
        <v>0.70599999999999996</v>
      </c>
    </row>
    <row r="10119" spans="1:29">
      <c r="A10119" s="8" t="s">
        <v>6752</v>
      </c>
      <c r="B10119" s="17" t="s">
        <v>7800</v>
      </c>
      <c r="C10119" s="12">
        <v>32874</v>
      </c>
      <c r="D10119" s="13" t="s">
        <v>8465</v>
      </c>
      <c r="E10119" s="10" t="s">
        <v>6668</v>
      </c>
      <c r="F10119" s="10" t="s">
        <v>2654</v>
      </c>
      <c r="G10119" s="11" t="s">
        <v>445</v>
      </c>
      <c r="H10119" s="2" t="s">
        <v>1720</v>
      </c>
      <c r="L10119" s="18">
        <v>0</v>
      </c>
      <c r="Q10119" s="18">
        <v>0</v>
      </c>
      <c r="V10119" s="22">
        <f>4.06/5</f>
        <v>0.81199999999999994</v>
      </c>
      <c r="X10119" s="3">
        <v>3</v>
      </c>
      <c r="Z10119" s="23">
        <v>1.5</v>
      </c>
      <c r="AB10119" s="18">
        <f t="shared" si="316"/>
        <v>1990</v>
      </c>
      <c r="AC10119" s="22">
        <f t="shared" si="317"/>
        <v>0.70599999999999996</v>
      </c>
    </row>
    <row r="10120" spans="1:29">
      <c r="A10120" s="8" t="s">
        <v>2857</v>
      </c>
      <c r="B10120" s="17" t="s">
        <v>7789</v>
      </c>
      <c r="C10120" s="12">
        <v>32874</v>
      </c>
      <c r="D10120" s="13" t="s">
        <v>8465</v>
      </c>
      <c r="E10120" s="10" t="s">
        <v>2870</v>
      </c>
      <c r="F10120" s="10" t="s">
        <v>1247</v>
      </c>
      <c r="G10120" s="11" t="s">
        <v>1382</v>
      </c>
      <c r="H10120" s="2" t="s">
        <v>1383</v>
      </c>
      <c r="L10120" s="18">
        <v>0</v>
      </c>
      <c r="Q10120" s="18">
        <v>0</v>
      </c>
      <c r="V10120" s="22">
        <f>4.01/5</f>
        <v>0.80199999999999994</v>
      </c>
      <c r="X10120" s="3">
        <v>3</v>
      </c>
      <c r="Z10120" s="23">
        <v>3</v>
      </c>
      <c r="AB10120" s="18">
        <f t="shared" si="316"/>
        <v>1990</v>
      </c>
      <c r="AC10120" s="22">
        <f t="shared" si="317"/>
        <v>0.70099999999999996</v>
      </c>
    </row>
    <row r="10121" spans="1:29" ht="25.5">
      <c r="A10121" s="8" t="s">
        <v>6807</v>
      </c>
      <c r="B10121" s="17" t="s">
        <v>7800</v>
      </c>
      <c r="C10121" s="12">
        <v>32874</v>
      </c>
      <c r="D10121" s="13" t="s">
        <v>8465</v>
      </c>
      <c r="E10121" s="10" t="s">
        <v>1496</v>
      </c>
      <c r="F10121" s="10" t="s">
        <v>1496</v>
      </c>
      <c r="G10121" s="11" t="s">
        <v>6902</v>
      </c>
      <c r="H10121" s="2" t="s">
        <v>67</v>
      </c>
      <c r="L10121" s="18">
        <v>1</v>
      </c>
      <c r="N10121" s="13">
        <v>43956</v>
      </c>
      <c r="O10121" s="29">
        <v>0</v>
      </c>
      <c r="P10121" s="18" t="s">
        <v>1107</v>
      </c>
      <c r="Q10121" s="18">
        <v>0</v>
      </c>
      <c r="U10121" s="22">
        <v>0.78</v>
      </c>
      <c r="V10121" s="22">
        <f>4.11/5</f>
        <v>0.82200000000000006</v>
      </c>
      <c r="W10121" s="14" t="s">
        <v>7777</v>
      </c>
      <c r="X10121" s="3">
        <v>3</v>
      </c>
      <c r="Z10121" s="23">
        <v>7.5</v>
      </c>
      <c r="AB10121" s="18">
        <f t="shared" si="316"/>
        <v>1990</v>
      </c>
      <c r="AC10121" s="22">
        <f t="shared" si="317"/>
        <v>0.73399999999999999</v>
      </c>
    </row>
    <row r="10122" spans="1:29" ht="25.5">
      <c r="A10122" s="8" t="s">
        <v>3626</v>
      </c>
      <c r="B10122" s="17" t="s">
        <v>7800</v>
      </c>
      <c r="C10122" s="13">
        <v>32874</v>
      </c>
      <c r="D10122" s="13" t="s">
        <v>8465</v>
      </c>
      <c r="E10122" s="10" t="s">
        <v>3625</v>
      </c>
      <c r="F10122" s="10" t="s">
        <v>146</v>
      </c>
      <c r="G10122" s="11" t="s">
        <v>16</v>
      </c>
      <c r="H10122" s="2" t="s">
        <v>67</v>
      </c>
      <c r="L10122" s="18">
        <v>1</v>
      </c>
      <c r="N10122" s="13">
        <v>42047</v>
      </c>
      <c r="P10122" s="18" t="s">
        <v>1107</v>
      </c>
      <c r="Q10122" s="18">
        <v>0</v>
      </c>
      <c r="V10122" s="22">
        <f>3.94/5</f>
        <v>0.78800000000000003</v>
      </c>
      <c r="W10122" s="14" t="s">
        <v>7777</v>
      </c>
      <c r="X10122" s="3">
        <v>3</v>
      </c>
      <c r="Z10122" s="23">
        <v>2</v>
      </c>
      <c r="AB10122" s="18">
        <f t="shared" si="316"/>
        <v>1990</v>
      </c>
      <c r="AC10122" s="22">
        <f t="shared" si="317"/>
        <v>0.69399999999999995</v>
      </c>
    </row>
    <row r="10123" spans="1:29">
      <c r="A10123" s="8" t="s">
        <v>2581</v>
      </c>
      <c r="B10123" s="17" t="s">
        <v>7751</v>
      </c>
      <c r="C10123" s="12">
        <v>32874</v>
      </c>
      <c r="D10123" s="13" t="s">
        <v>8465</v>
      </c>
      <c r="E10123" s="10" t="s">
        <v>455</v>
      </c>
      <c r="F10123" s="10" t="s">
        <v>455</v>
      </c>
      <c r="G10123" s="11" t="s">
        <v>2407</v>
      </c>
      <c r="H10123" s="2" t="s">
        <v>143</v>
      </c>
      <c r="L10123" s="18">
        <v>0</v>
      </c>
      <c r="Q10123" s="18">
        <v>0</v>
      </c>
      <c r="U10123" s="22">
        <v>0.8</v>
      </c>
      <c r="V10123" s="22">
        <f>3.7/5</f>
        <v>0.74</v>
      </c>
      <c r="X10123" s="3">
        <v>3</v>
      </c>
      <c r="Z10123" s="23">
        <v>0.93</v>
      </c>
      <c r="AB10123" s="18">
        <f t="shared" si="316"/>
        <v>1990</v>
      </c>
      <c r="AC10123" s="22">
        <f t="shared" si="317"/>
        <v>0.71333333333333337</v>
      </c>
    </row>
    <row r="10124" spans="1:29" ht="25.5">
      <c r="A10124" s="8" t="s">
        <v>6812</v>
      </c>
      <c r="B10124" s="17" t="s">
        <v>7800</v>
      </c>
      <c r="C10124" s="12">
        <v>32874</v>
      </c>
      <c r="D10124" s="13" t="s">
        <v>8465</v>
      </c>
      <c r="E10124" s="10" t="s">
        <v>6668</v>
      </c>
      <c r="F10124" s="10" t="s">
        <v>6668</v>
      </c>
      <c r="G10124" s="11" t="s">
        <v>445</v>
      </c>
      <c r="H10124" s="2" t="s">
        <v>1720</v>
      </c>
      <c r="L10124" s="18">
        <v>0</v>
      </c>
      <c r="Q10124" s="18">
        <v>0</v>
      </c>
      <c r="V10124" s="22">
        <f>3.84/5</f>
        <v>0.76800000000000002</v>
      </c>
      <c r="X10124" s="3">
        <v>3</v>
      </c>
      <c r="Z10124" s="23">
        <v>20</v>
      </c>
      <c r="AB10124" s="18">
        <f t="shared" si="316"/>
        <v>1990</v>
      </c>
      <c r="AC10124" s="22">
        <f t="shared" si="317"/>
        <v>0.68399999999999994</v>
      </c>
    </row>
    <row r="10125" spans="1:29">
      <c r="A10125" s="8" t="s">
        <v>2595</v>
      </c>
      <c r="B10125" s="17" t="s">
        <v>7751</v>
      </c>
      <c r="C10125" s="12">
        <v>32874</v>
      </c>
      <c r="D10125" s="13" t="s">
        <v>8465</v>
      </c>
      <c r="E10125" s="10" t="s">
        <v>455</v>
      </c>
      <c r="F10125" s="10" t="s">
        <v>1297</v>
      </c>
      <c r="G10125" s="11" t="s">
        <v>1298</v>
      </c>
      <c r="H10125" s="2" t="s">
        <v>21</v>
      </c>
      <c r="L10125" s="18">
        <v>0</v>
      </c>
      <c r="Q10125" s="18">
        <v>0</v>
      </c>
      <c r="U10125" s="22">
        <v>0.74</v>
      </c>
      <c r="V10125" s="22">
        <f>3.9/5</f>
        <v>0.78</v>
      </c>
      <c r="X10125" s="3">
        <v>3</v>
      </c>
      <c r="Z10125" s="23">
        <v>0.75</v>
      </c>
      <c r="AB10125" s="18">
        <f t="shared" si="316"/>
        <v>1990</v>
      </c>
      <c r="AC10125" s="22">
        <f t="shared" si="317"/>
        <v>0.70666666666666667</v>
      </c>
    </row>
    <row r="10126" spans="1:29">
      <c r="A10126" s="8" t="s">
        <v>2688</v>
      </c>
      <c r="B10126" s="17" t="s">
        <v>7800</v>
      </c>
      <c r="C10126" s="12">
        <v>32874</v>
      </c>
      <c r="D10126" s="13" t="s">
        <v>8465</v>
      </c>
      <c r="E10126" s="10" t="s">
        <v>1496</v>
      </c>
      <c r="F10126" s="10" t="s">
        <v>2697</v>
      </c>
      <c r="H10126" s="2" t="s">
        <v>1194</v>
      </c>
      <c r="L10126" s="18">
        <v>0</v>
      </c>
      <c r="Q10126" s="18">
        <v>0</v>
      </c>
      <c r="U10126" s="22">
        <v>0.7</v>
      </c>
      <c r="V10126" s="22">
        <f>3.79/5</f>
        <v>0.75800000000000001</v>
      </c>
      <c r="X10126" s="3">
        <v>3</v>
      </c>
      <c r="Z10126" s="23">
        <v>5</v>
      </c>
      <c r="AB10126" s="18">
        <f t="shared" si="316"/>
        <v>1990</v>
      </c>
      <c r="AC10126" s="22">
        <f t="shared" si="317"/>
        <v>0.68599999999999994</v>
      </c>
    </row>
    <row r="10127" spans="1:29">
      <c r="A10127" s="8" t="s">
        <v>6756</v>
      </c>
      <c r="B10127" s="17" t="s">
        <v>7800</v>
      </c>
      <c r="C10127" s="12">
        <v>32874</v>
      </c>
      <c r="D10127" s="13" t="s">
        <v>8465</v>
      </c>
      <c r="E10127" s="10" t="s">
        <v>6668</v>
      </c>
      <c r="F10127" s="10" t="s">
        <v>6668</v>
      </c>
      <c r="G10127" s="11" t="s">
        <v>445</v>
      </c>
      <c r="H10127" s="2" t="s">
        <v>1720</v>
      </c>
      <c r="L10127" s="18">
        <v>0</v>
      </c>
      <c r="Q10127" s="18">
        <v>0</v>
      </c>
      <c r="V10127" s="22">
        <f>3.63/5</f>
        <v>0.72599999999999998</v>
      </c>
      <c r="X10127" s="3">
        <v>3</v>
      </c>
      <c r="Z10127" s="23">
        <v>17</v>
      </c>
      <c r="AB10127" s="18">
        <f t="shared" si="316"/>
        <v>1990</v>
      </c>
      <c r="AC10127" s="22">
        <f t="shared" si="317"/>
        <v>0.66300000000000003</v>
      </c>
    </row>
    <row r="10128" spans="1:29">
      <c r="A10128" s="8" t="s">
        <v>2565</v>
      </c>
      <c r="B10128" s="17" t="s">
        <v>7751</v>
      </c>
      <c r="C10128" s="12">
        <v>32874</v>
      </c>
      <c r="D10128" s="13" t="s">
        <v>8465</v>
      </c>
      <c r="E10128" s="10" t="s">
        <v>455</v>
      </c>
      <c r="F10128" s="10" t="s">
        <v>167</v>
      </c>
      <c r="G10128" s="11" t="s">
        <v>2565</v>
      </c>
      <c r="H10128" s="2" t="s">
        <v>56</v>
      </c>
      <c r="L10128" s="18">
        <v>0</v>
      </c>
      <c r="Q10128" s="18">
        <v>0</v>
      </c>
      <c r="U10128" s="22">
        <v>0.7</v>
      </c>
      <c r="V10128" s="22">
        <f>3.64/5</f>
        <v>0.72799999999999998</v>
      </c>
      <c r="X10128" s="3">
        <v>3</v>
      </c>
      <c r="Z10128" s="23">
        <v>3.5</v>
      </c>
      <c r="AB10128" s="18">
        <f t="shared" si="316"/>
        <v>1990</v>
      </c>
      <c r="AC10128" s="22">
        <f t="shared" si="317"/>
        <v>0.67600000000000005</v>
      </c>
    </row>
    <row r="10129" spans="1:29">
      <c r="A10129" s="8" t="s">
        <v>359</v>
      </c>
      <c r="B10129" s="17" t="s">
        <v>6317</v>
      </c>
      <c r="C10129" s="12">
        <v>32874</v>
      </c>
      <c r="D10129" s="13" t="s">
        <v>8465</v>
      </c>
      <c r="E10129" s="10" t="s">
        <v>72</v>
      </c>
      <c r="F10129" s="10" t="s">
        <v>72</v>
      </c>
      <c r="G10129" s="11" t="s">
        <v>442</v>
      </c>
      <c r="H10129" s="2" t="s">
        <v>147</v>
      </c>
      <c r="L10129" s="18">
        <v>0</v>
      </c>
      <c r="Q10129" s="18">
        <v>0</v>
      </c>
      <c r="V10129" s="22">
        <f>3.52/5</f>
        <v>0.70399999999999996</v>
      </c>
      <c r="X10129" s="3">
        <v>3</v>
      </c>
      <c r="Z10129" s="23">
        <v>0.67</v>
      </c>
      <c r="AB10129" s="18">
        <f t="shared" si="316"/>
        <v>1990</v>
      </c>
      <c r="AC10129" s="22">
        <f t="shared" si="317"/>
        <v>0.65199999999999991</v>
      </c>
    </row>
    <row r="10130" spans="1:29">
      <c r="A10130" s="8" t="s">
        <v>7727</v>
      </c>
      <c r="B10130" s="17" t="s">
        <v>7789</v>
      </c>
      <c r="C10130" s="12">
        <v>32874</v>
      </c>
      <c r="D10130" s="13" t="s">
        <v>8465</v>
      </c>
      <c r="E10130" s="10" t="s">
        <v>2870</v>
      </c>
      <c r="F10130" s="10" t="s">
        <v>1468</v>
      </c>
      <c r="G10130" s="11" t="s">
        <v>2867</v>
      </c>
      <c r="H10130" s="2" t="s">
        <v>56</v>
      </c>
      <c r="L10130" s="18">
        <v>0</v>
      </c>
      <c r="Q10130" s="18">
        <v>0</v>
      </c>
      <c r="V10130" s="22">
        <f>3.5/5</f>
        <v>0.7</v>
      </c>
      <c r="X10130" s="3">
        <v>3</v>
      </c>
      <c r="Z10130" s="23">
        <v>6</v>
      </c>
      <c r="AB10130" s="18">
        <f t="shared" si="316"/>
        <v>1990</v>
      </c>
      <c r="AC10130" s="22">
        <f t="shared" si="317"/>
        <v>0.64999999999999991</v>
      </c>
    </row>
    <row r="10131" spans="1:29" ht="38.25">
      <c r="A10131" s="8" t="s">
        <v>7545</v>
      </c>
      <c r="B10131" s="17" t="s">
        <v>7800</v>
      </c>
      <c r="C10131" s="12">
        <v>32874</v>
      </c>
      <c r="D10131" s="13" t="s">
        <v>8465</v>
      </c>
      <c r="E10131" s="10" t="s">
        <v>166</v>
      </c>
      <c r="F10131" s="10" t="s">
        <v>2654</v>
      </c>
      <c r="G10131" s="11" t="s">
        <v>1433</v>
      </c>
      <c r="H10131" s="2" t="s">
        <v>3279</v>
      </c>
      <c r="L10131" s="18">
        <v>0</v>
      </c>
      <c r="Q10131" s="18">
        <v>0</v>
      </c>
      <c r="V10131" s="22">
        <f>3.39/5</f>
        <v>0.67800000000000005</v>
      </c>
      <c r="X10131" s="3">
        <v>3</v>
      </c>
      <c r="AB10131" s="18">
        <f t="shared" si="316"/>
        <v>1990</v>
      </c>
      <c r="AC10131" s="22">
        <f t="shared" si="317"/>
        <v>0.63900000000000001</v>
      </c>
    </row>
    <row r="10132" spans="1:29">
      <c r="A10132" s="8" t="s">
        <v>2561</v>
      </c>
      <c r="B10132" s="17" t="s">
        <v>7751</v>
      </c>
      <c r="C10132" s="12">
        <v>32874</v>
      </c>
      <c r="D10132" s="13" t="s">
        <v>8465</v>
      </c>
      <c r="E10132" s="10" t="s">
        <v>455</v>
      </c>
      <c r="F10132" s="10" t="s">
        <v>455</v>
      </c>
      <c r="H10132" s="2" t="s">
        <v>21</v>
      </c>
      <c r="L10132" s="18">
        <v>0</v>
      </c>
      <c r="Q10132" s="18">
        <v>0</v>
      </c>
      <c r="U10132" s="22">
        <v>0.64</v>
      </c>
      <c r="V10132" s="22">
        <f>3.51/5</f>
        <v>0.70199999999999996</v>
      </c>
      <c r="X10132" s="3">
        <v>3</v>
      </c>
      <c r="Z10132" s="23">
        <v>0.87</v>
      </c>
      <c r="AB10132" s="18">
        <f t="shared" si="316"/>
        <v>1990</v>
      </c>
      <c r="AC10132" s="22">
        <f t="shared" si="317"/>
        <v>0.64733333333333343</v>
      </c>
    </row>
    <row r="10133" spans="1:29" ht="25.5">
      <c r="A10133" s="8" t="s">
        <v>6822</v>
      </c>
      <c r="B10133" s="17" t="s">
        <v>7800</v>
      </c>
      <c r="C10133" s="12">
        <v>32874</v>
      </c>
      <c r="D10133" s="13" t="s">
        <v>8465</v>
      </c>
      <c r="E10133" s="10" t="s">
        <v>231</v>
      </c>
      <c r="F10133" s="10" t="s">
        <v>1272</v>
      </c>
      <c r="G10133" s="11" t="s">
        <v>5274</v>
      </c>
      <c r="H10133" s="2" t="s">
        <v>1720</v>
      </c>
      <c r="L10133" s="18">
        <v>0</v>
      </c>
      <c r="Q10133" s="18">
        <v>0</v>
      </c>
      <c r="V10133" s="22">
        <f>3.21/5</f>
        <v>0.64200000000000002</v>
      </c>
      <c r="X10133" s="3">
        <v>3</v>
      </c>
      <c r="Z10133" s="23">
        <v>60</v>
      </c>
      <c r="AB10133" s="18">
        <f t="shared" si="316"/>
        <v>1990</v>
      </c>
      <c r="AC10133" s="22">
        <f t="shared" si="317"/>
        <v>0.621</v>
      </c>
    </row>
    <row r="10134" spans="1:29">
      <c r="A10134" s="8" t="s">
        <v>184</v>
      </c>
      <c r="B10134" s="17" t="s">
        <v>7734</v>
      </c>
      <c r="C10134" s="12">
        <v>32874</v>
      </c>
      <c r="D10134" s="13" t="s">
        <v>8465</v>
      </c>
      <c r="E10134" s="10" t="s">
        <v>54</v>
      </c>
      <c r="F10134" s="10" t="s">
        <v>58</v>
      </c>
      <c r="H10134" s="2" t="s">
        <v>56</v>
      </c>
      <c r="L10134" s="18">
        <v>0</v>
      </c>
      <c r="Q10134" s="18">
        <v>0</v>
      </c>
      <c r="V10134" s="22">
        <f>3.15/5</f>
        <v>0.63</v>
      </c>
      <c r="X10134" s="3">
        <v>3</v>
      </c>
      <c r="Z10134" s="23">
        <f>50/60</f>
        <v>0.83333333333333337</v>
      </c>
      <c r="AB10134" s="18">
        <f t="shared" si="316"/>
        <v>1990</v>
      </c>
      <c r="AC10134" s="22">
        <f t="shared" si="317"/>
        <v>0.61499999999999999</v>
      </c>
    </row>
    <row r="10135" spans="1:29">
      <c r="A10135" s="8" t="s">
        <v>7537</v>
      </c>
      <c r="B10135" s="17" t="s">
        <v>7800</v>
      </c>
      <c r="C10135" s="12">
        <v>32874</v>
      </c>
      <c r="D10135" s="13" t="s">
        <v>8465</v>
      </c>
      <c r="E10135" s="10" t="s">
        <v>166</v>
      </c>
      <c r="F10135" s="10" t="s">
        <v>2654</v>
      </c>
      <c r="H10135" s="2" t="s">
        <v>67</v>
      </c>
      <c r="L10135" s="18">
        <v>0</v>
      </c>
      <c r="Q10135" s="18">
        <v>0</v>
      </c>
      <c r="V10135" s="22">
        <f>4.14/5</f>
        <v>0.82799999999999996</v>
      </c>
      <c r="X10135" s="3">
        <v>2</v>
      </c>
      <c r="Z10135" s="23">
        <v>13</v>
      </c>
      <c r="AB10135" s="18">
        <f t="shared" si="316"/>
        <v>1990</v>
      </c>
      <c r="AC10135" s="22">
        <f t="shared" si="317"/>
        <v>0.61399999999999999</v>
      </c>
    </row>
    <row r="10136" spans="1:29">
      <c r="A10136" s="8" t="s">
        <v>10902</v>
      </c>
      <c r="B10136" s="17" t="s">
        <v>10903</v>
      </c>
      <c r="C10136" s="24">
        <v>32874</v>
      </c>
      <c r="D10136" s="13" t="s">
        <v>8465</v>
      </c>
      <c r="E10136" s="10" t="s">
        <v>311</v>
      </c>
      <c r="F10136" s="10" t="s">
        <v>10904</v>
      </c>
      <c r="H10136" s="2" t="s">
        <v>80</v>
      </c>
      <c r="L10136" s="18">
        <v>0</v>
      </c>
      <c r="Q10136" s="18">
        <v>0</v>
      </c>
      <c r="V10136" s="22">
        <f>4.11/5</f>
        <v>0.82200000000000006</v>
      </c>
      <c r="X10136" s="3">
        <v>2</v>
      </c>
      <c r="AB10136" s="18">
        <f t="shared" si="316"/>
        <v>1990</v>
      </c>
      <c r="AC10136" s="22">
        <f t="shared" si="317"/>
        <v>0.61099999999999999</v>
      </c>
    </row>
    <row r="10137" spans="1:29" ht="25.5">
      <c r="A10137" s="8" t="s">
        <v>12617</v>
      </c>
      <c r="B10137" s="17" t="s">
        <v>7800</v>
      </c>
      <c r="C10137" s="24">
        <v>32874</v>
      </c>
      <c r="D10137" s="13" t="s">
        <v>8465</v>
      </c>
      <c r="E10137" s="10" t="s">
        <v>6884</v>
      </c>
      <c r="F10137" s="10" t="s">
        <v>6935</v>
      </c>
      <c r="H10137" s="2" t="s">
        <v>61</v>
      </c>
      <c r="L10137" s="18">
        <v>1</v>
      </c>
      <c r="P10137" s="18" t="s">
        <v>1107</v>
      </c>
      <c r="Q10137" s="18">
        <v>0</v>
      </c>
      <c r="V10137" s="22">
        <f>4.09/5</f>
        <v>0.81799999999999995</v>
      </c>
      <c r="W10137" s="14" t="s">
        <v>7777</v>
      </c>
      <c r="X10137" s="3">
        <v>2</v>
      </c>
      <c r="Z10137" s="23">
        <v>3</v>
      </c>
      <c r="AB10137" s="18">
        <f t="shared" si="316"/>
        <v>1990</v>
      </c>
      <c r="AC10137" s="22">
        <f t="shared" si="317"/>
        <v>0.60899999999999999</v>
      </c>
    </row>
    <row r="10138" spans="1:29">
      <c r="A10138" s="8" t="s">
        <v>2562</v>
      </c>
      <c r="B10138" s="17" t="s">
        <v>7751</v>
      </c>
      <c r="C10138" s="12">
        <v>32874</v>
      </c>
      <c r="D10138" s="13" t="s">
        <v>8465</v>
      </c>
      <c r="E10138" s="10" t="s">
        <v>2638</v>
      </c>
      <c r="F10138" s="10" t="s">
        <v>1294</v>
      </c>
      <c r="H10138" s="2" t="s">
        <v>21</v>
      </c>
      <c r="L10138" s="18">
        <v>0</v>
      </c>
      <c r="Q10138" s="18">
        <v>0</v>
      </c>
      <c r="U10138" s="22">
        <v>0.86</v>
      </c>
      <c r="V10138" s="22">
        <f>3.76/5</f>
        <v>0.752</v>
      </c>
      <c r="X10138" s="3">
        <v>2</v>
      </c>
      <c r="Z10138" s="23">
        <v>1.5</v>
      </c>
      <c r="AB10138" s="18">
        <f t="shared" si="316"/>
        <v>1990</v>
      </c>
      <c r="AC10138" s="22">
        <f t="shared" si="317"/>
        <v>0.67066666666666663</v>
      </c>
    </row>
    <row r="10139" spans="1:29" ht="30">
      <c r="A10139" s="8" t="s">
        <v>9660</v>
      </c>
      <c r="B10139" s="17" t="s">
        <v>9581</v>
      </c>
      <c r="C10139" s="12">
        <v>32874</v>
      </c>
      <c r="D10139" s="13" t="s">
        <v>8465</v>
      </c>
      <c r="E10139" s="10" t="s">
        <v>3625</v>
      </c>
      <c r="F10139" s="10" t="s">
        <v>3625</v>
      </c>
      <c r="G10139" s="11" t="s">
        <v>9660</v>
      </c>
      <c r="H10139" s="2" t="s">
        <v>1377</v>
      </c>
      <c r="L10139" s="18">
        <v>0</v>
      </c>
      <c r="Q10139" s="18">
        <v>0</v>
      </c>
      <c r="V10139" s="22">
        <f>4/5</f>
        <v>0.8</v>
      </c>
      <c r="X10139" s="3">
        <v>2</v>
      </c>
      <c r="Z10139" s="23">
        <v>7</v>
      </c>
      <c r="AB10139" s="18">
        <f t="shared" si="316"/>
        <v>1990</v>
      </c>
      <c r="AC10139" s="22">
        <f t="shared" si="317"/>
        <v>0.60000000000000009</v>
      </c>
    </row>
    <row r="10140" spans="1:29">
      <c r="A10140" s="8" t="s">
        <v>2862</v>
      </c>
      <c r="B10140" s="17" t="s">
        <v>7789</v>
      </c>
      <c r="C10140" s="12">
        <v>32874</v>
      </c>
      <c r="D10140" s="13" t="s">
        <v>8465</v>
      </c>
      <c r="E10140" s="10" t="s">
        <v>2870</v>
      </c>
      <c r="F10140" s="10" t="s">
        <v>144</v>
      </c>
      <c r="H10140" s="2" t="s">
        <v>56</v>
      </c>
      <c r="L10140" s="18">
        <v>0</v>
      </c>
      <c r="Q10140" s="18">
        <v>0</v>
      </c>
      <c r="V10140" s="22">
        <f>3.75/5</f>
        <v>0.75</v>
      </c>
      <c r="X10140" s="3">
        <v>2</v>
      </c>
      <c r="Z10140" s="23">
        <v>1</v>
      </c>
      <c r="AB10140" s="18">
        <f t="shared" si="316"/>
        <v>1990</v>
      </c>
      <c r="AC10140" s="22">
        <f t="shared" si="317"/>
        <v>0.57499999999999996</v>
      </c>
    </row>
    <row r="10141" spans="1:29">
      <c r="A10141" s="8" t="s">
        <v>2848</v>
      </c>
      <c r="B10141" s="17" t="s">
        <v>7789</v>
      </c>
      <c r="C10141" s="12">
        <v>32874</v>
      </c>
      <c r="D10141" s="13" t="s">
        <v>8465</v>
      </c>
      <c r="E10141" s="10" t="s">
        <v>2870</v>
      </c>
      <c r="F10141" s="10" t="s">
        <v>57</v>
      </c>
      <c r="H10141" s="2" t="s">
        <v>147</v>
      </c>
      <c r="L10141" s="18">
        <v>0</v>
      </c>
      <c r="Q10141" s="18">
        <v>0</v>
      </c>
      <c r="V10141" s="22">
        <f>3.71/5</f>
        <v>0.74199999999999999</v>
      </c>
      <c r="X10141" s="3">
        <v>2</v>
      </c>
      <c r="Z10141" s="23">
        <v>2</v>
      </c>
      <c r="AB10141" s="18">
        <f t="shared" si="316"/>
        <v>1990</v>
      </c>
      <c r="AC10141" s="22">
        <f t="shared" si="317"/>
        <v>0.57099999999999995</v>
      </c>
    </row>
    <row r="10142" spans="1:29" ht="30">
      <c r="A10142" s="8" t="s">
        <v>2497</v>
      </c>
      <c r="B10142" s="17" t="s">
        <v>7750</v>
      </c>
      <c r="C10142" s="12">
        <v>32874</v>
      </c>
      <c r="D10142" s="13" t="s">
        <v>8465</v>
      </c>
      <c r="E10142" s="10" t="s">
        <v>455</v>
      </c>
      <c r="F10142" s="10" t="s">
        <v>455</v>
      </c>
      <c r="G10142" s="11" t="s">
        <v>2508</v>
      </c>
      <c r="H10142" s="2" t="s">
        <v>56</v>
      </c>
      <c r="L10142" s="18">
        <v>0</v>
      </c>
      <c r="Q10142" s="18">
        <v>0</v>
      </c>
      <c r="V10142" s="22">
        <f>3.65/5</f>
        <v>0.73</v>
      </c>
      <c r="X10142" s="3">
        <v>2</v>
      </c>
      <c r="Z10142" s="23">
        <v>0.75</v>
      </c>
      <c r="AB10142" s="18">
        <f t="shared" si="316"/>
        <v>1990</v>
      </c>
      <c r="AC10142" s="22">
        <f t="shared" si="317"/>
        <v>0.56499999999999995</v>
      </c>
    </row>
    <row r="10143" spans="1:29">
      <c r="A10143" s="8" t="s">
        <v>2589</v>
      </c>
      <c r="B10143" s="17" t="s">
        <v>7751</v>
      </c>
      <c r="C10143" s="12">
        <v>32874</v>
      </c>
      <c r="D10143" s="13" t="s">
        <v>8465</v>
      </c>
      <c r="E10143" s="10" t="s">
        <v>2669</v>
      </c>
      <c r="F10143" s="10" t="s">
        <v>1361</v>
      </c>
      <c r="G10143" s="11" t="s">
        <v>6100</v>
      </c>
      <c r="H10143" s="2" t="s">
        <v>21</v>
      </c>
      <c r="L10143" s="18">
        <v>0</v>
      </c>
      <c r="Q10143" s="18">
        <v>0</v>
      </c>
      <c r="U10143" s="22">
        <v>0.8</v>
      </c>
      <c r="V10143" s="22">
        <f>3.29/5</f>
        <v>0.65800000000000003</v>
      </c>
      <c r="X10143" s="3">
        <v>2</v>
      </c>
      <c r="Z10143" s="23">
        <f>49/60</f>
        <v>0.81666666666666665</v>
      </c>
      <c r="AB10143" s="18">
        <f t="shared" si="316"/>
        <v>1990</v>
      </c>
      <c r="AC10143" s="22">
        <f t="shared" si="317"/>
        <v>0.6193333333333334</v>
      </c>
    </row>
    <row r="10144" spans="1:29" ht="25.5">
      <c r="A10144" s="8" t="s">
        <v>10388</v>
      </c>
      <c r="B10144" s="17" t="s">
        <v>7788</v>
      </c>
      <c r="C10144" s="12">
        <v>32874</v>
      </c>
      <c r="D10144" s="13" t="s">
        <v>8463</v>
      </c>
      <c r="E10144" s="10" t="s">
        <v>1200</v>
      </c>
      <c r="F10144" s="10" t="s">
        <v>1200</v>
      </c>
      <c r="G10144" s="11" t="s">
        <v>2802</v>
      </c>
      <c r="H10144" s="2" t="s">
        <v>171</v>
      </c>
      <c r="K10144" s="18">
        <v>2</v>
      </c>
      <c r="L10144" s="18">
        <v>0</v>
      </c>
      <c r="Q10144" s="18">
        <v>0</v>
      </c>
      <c r="V10144" s="22">
        <f>3.63/5</f>
        <v>0.72599999999999998</v>
      </c>
      <c r="X10144" s="3">
        <v>2</v>
      </c>
      <c r="Z10144" s="23">
        <v>10</v>
      </c>
      <c r="AB10144" s="18">
        <f t="shared" si="316"/>
        <v>1990</v>
      </c>
      <c r="AC10144" s="22">
        <f t="shared" si="317"/>
        <v>0.56299999999999994</v>
      </c>
    </row>
    <row r="10145" spans="1:29">
      <c r="A10145" s="8" t="s">
        <v>11839</v>
      </c>
      <c r="B10145" s="17" t="s">
        <v>7734</v>
      </c>
      <c r="C10145" s="24">
        <v>32874</v>
      </c>
      <c r="D10145" s="13" t="s">
        <v>8465</v>
      </c>
      <c r="E10145" s="10" t="s">
        <v>239</v>
      </c>
      <c r="F10145" s="10" t="s">
        <v>239</v>
      </c>
      <c r="G10145" s="11" t="s">
        <v>7640</v>
      </c>
      <c r="H10145" s="2" t="s">
        <v>171</v>
      </c>
      <c r="L10145" s="18">
        <v>0</v>
      </c>
      <c r="Q10145" s="18">
        <v>0</v>
      </c>
      <c r="V10145" s="22">
        <f>3.63/5</f>
        <v>0.72599999999999998</v>
      </c>
      <c r="X10145" s="3">
        <v>2</v>
      </c>
      <c r="Z10145" s="23">
        <v>17</v>
      </c>
      <c r="AB10145" s="18">
        <f t="shared" si="316"/>
        <v>1990</v>
      </c>
      <c r="AC10145" s="22">
        <f t="shared" si="317"/>
        <v>0.56299999999999994</v>
      </c>
    </row>
    <row r="10146" spans="1:29">
      <c r="A10146" s="8" t="s">
        <v>1306</v>
      </c>
      <c r="B10146" s="17" t="s">
        <v>7734</v>
      </c>
      <c r="C10146" s="12">
        <v>32874</v>
      </c>
      <c r="D10146" s="13" t="s">
        <v>8465</v>
      </c>
      <c r="E10146" s="10" t="s">
        <v>68</v>
      </c>
      <c r="F10146" s="10" t="s">
        <v>68</v>
      </c>
      <c r="G10146" s="11" t="s">
        <v>1306</v>
      </c>
      <c r="H10146" s="2" t="s">
        <v>14496</v>
      </c>
      <c r="L10146" s="18">
        <v>0</v>
      </c>
      <c r="Q10146" s="18">
        <v>0</v>
      </c>
      <c r="V10146" s="22">
        <f>3.56/5</f>
        <v>0.71199999999999997</v>
      </c>
      <c r="X10146" s="3">
        <v>2</v>
      </c>
      <c r="AB10146" s="18">
        <f t="shared" si="316"/>
        <v>1990</v>
      </c>
      <c r="AC10146" s="22">
        <f t="shared" si="317"/>
        <v>0.55600000000000005</v>
      </c>
    </row>
    <row r="10147" spans="1:29">
      <c r="A10147" s="8" t="s">
        <v>2560</v>
      </c>
      <c r="B10147" s="17" t="s">
        <v>7751</v>
      </c>
      <c r="C10147" s="12">
        <v>32874</v>
      </c>
      <c r="D10147" s="13" t="s">
        <v>8465</v>
      </c>
      <c r="E10147" s="10" t="s">
        <v>2648</v>
      </c>
      <c r="F10147" s="10" t="s">
        <v>460</v>
      </c>
      <c r="H10147" s="2" t="s">
        <v>21</v>
      </c>
      <c r="L10147" s="18">
        <v>0</v>
      </c>
      <c r="Q10147" s="18">
        <v>0</v>
      </c>
      <c r="V10147" s="22">
        <f>3.56/5</f>
        <v>0.71199999999999997</v>
      </c>
      <c r="X10147" s="3">
        <v>2</v>
      </c>
      <c r="Z10147" s="23">
        <v>0.73</v>
      </c>
      <c r="AB10147" s="18">
        <f t="shared" si="316"/>
        <v>1990</v>
      </c>
      <c r="AC10147" s="22">
        <f t="shared" si="317"/>
        <v>0.55600000000000005</v>
      </c>
    </row>
    <row r="10148" spans="1:29" ht="25.5">
      <c r="A10148" s="8" t="s">
        <v>7585</v>
      </c>
      <c r="B10148" s="17" t="s">
        <v>7800</v>
      </c>
      <c r="C10148" s="12">
        <v>32874</v>
      </c>
      <c r="D10148" s="13" t="s">
        <v>8465</v>
      </c>
      <c r="E10148" s="10" t="s">
        <v>1784</v>
      </c>
      <c r="F10148" s="10" t="s">
        <v>1784</v>
      </c>
      <c r="G10148" s="11" t="s">
        <v>1785</v>
      </c>
      <c r="H10148" s="2" t="s">
        <v>1720</v>
      </c>
      <c r="L10148" s="18">
        <v>1</v>
      </c>
      <c r="N10148" s="13">
        <v>41078</v>
      </c>
      <c r="O10148" s="29">
        <v>0</v>
      </c>
      <c r="P10148" s="18" t="s">
        <v>1107</v>
      </c>
      <c r="Q10148" s="18">
        <v>0</v>
      </c>
      <c r="V10148" s="22">
        <f>3.53/5</f>
        <v>0.70599999999999996</v>
      </c>
      <c r="W10148" s="14" t="s">
        <v>7778</v>
      </c>
      <c r="X10148" s="3">
        <v>2</v>
      </c>
      <c r="Z10148" s="23">
        <v>15</v>
      </c>
      <c r="AB10148" s="18">
        <f t="shared" si="316"/>
        <v>1990</v>
      </c>
      <c r="AC10148" s="22">
        <f t="shared" si="317"/>
        <v>0.55299999999999994</v>
      </c>
    </row>
    <row r="10149" spans="1:29">
      <c r="A10149" s="8" t="s">
        <v>2847</v>
      </c>
      <c r="B10149" s="17" t="s">
        <v>7789</v>
      </c>
      <c r="C10149" s="12">
        <v>32874</v>
      </c>
      <c r="D10149" s="13" t="s">
        <v>8463</v>
      </c>
      <c r="E10149" s="10" t="s">
        <v>1456</v>
      </c>
      <c r="F10149" s="10" t="s">
        <v>1397</v>
      </c>
      <c r="G10149" s="11" t="s">
        <v>330</v>
      </c>
      <c r="H10149" s="2" t="s">
        <v>21</v>
      </c>
      <c r="K10149" s="18">
        <v>0</v>
      </c>
      <c r="L10149" s="18">
        <v>0</v>
      </c>
      <c r="Q10149" s="18">
        <v>0</v>
      </c>
      <c r="V10149" s="22">
        <f>3.52/5</f>
        <v>0.70399999999999996</v>
      </c>
      <c r="X10149" s="3">
        <v>2</v>
      </c>
      <c r="Z10149" s="23">
        <v>4</v>
      </c>
      <c r="AB10149" s="18">
        <f t="shared" si="316"/>
        <v>1990</v>
      </c>
      <c r="AC10149" s="22">
        <f t="shared" si="317"/>
        <v>0.55200000000000005</v>
      </c>
    </row>
    <row r="10150" spans="1:29">
      <c r="A10150" s="8" t="s">
        <v>36</v>
      </c>
      <c r="B10150" s="17" t="s">
        <v>7734</v>
      </c>
      <c r="C10150" s="12">
        <v>32874</v>
      </c>
      <c r="D10150" s="13" t="s">
        <v>8465</v>
      </c>
      <c r="E10150" s="10" t="s">
        <v>59</v>
      </c>
      <c r="F10150" s="10" t="s">
        <v>60</v>
      </c>
      <c r="H10150" s="2" t="s">
        <v>61</v>
      </c>
      <c r="L10150" s="18">
        <v>0</v>
      </c>
      <c r="Q10150" s="18">
        <v>0</v>
      </c>
      <c r="V10150" s="22">
        <f>3.46/5</f>
        <v>0.69199999999999995</v>
      </c>
      <c r="X10150" s="3">
        <v>2</v>
      </c>
      <c r="Z10150" s="23">
        <v>2</v>
      </c>
      <c r="AB10150" s="18">
        <f t="shared" si="316"/>
        <v>1990</v>
      </c>
      <c r="AC10150" s="22">
        <f t="shared" si="317"/>
        <v>0.54600000000000004</v>
      </c>
    </row>
    <row r="10151" spans="1:29" ht="38.25">
      <c r="A10151" s="8" t="s">
        <v>10916</v>
      </c>
      <c r="B10151" s="17" t="s">
        <v>10323</v>
      </c>
      <c r="C10151" s="24">
        <v>32874</v>
      </c>
      <c r="D10151" s="13" t="s">
        <v>8463</v>
      </c>
      <c r="E10151" s="10" t="s">
        <v>257</v>
      </c>
      <c r="F10151" s="10" t="s">
        <v>10917</v>
      </c>
      <c r="H10151" s="2" t="s">
        <v>149</v>
      </c>
      <c r="K10151" s="18">
        <v>2</v>
      </c>
      <c r="L10151" s="18">
        <v>0</v>
      </c>
      <c r="Q10151" s="18">
        <v>0</v>
      </c>
      <c r="V10151" s="22">
        <f>3.44/5</f>
        <v>0.68799999999999994</v>
      </c>
      <c r="X10151" s="3">
        <v>2</v>
      </c>
      <c r="Z10151" s="23">
        <v>6</v>
      </c>
      <c r="AB10151" s="18">
        <f t="shared" si="316"/>
        <v>1990</v>
      </c>
      <c r="AC10151" s="22">
        <f t="shared" si="317"/>
        <v>0.54400000000000004</v>
      </c>
    </row>
    <row r="10152" spans="1:29">
      <c r="A10152" s="8" t="s">
        <v>2833</v>
      </c>
      <c r="B10152" s="17" t="s">
        <v>7786</v>
      </c>
      <c r="C10152" s="12">
        <v>32874</v>
      </c>
      <c r="D10152" s="13" t="s">
        <v>8465</v>
      </c>
      <c r="E10152" s="10" t="s">
        <v>2836</v>
      </c>
      <c r="F10152" s="10" t="s">
        <v>2836</v>
      </c>
      <c r="H10152" s="2" t="s">
        <v>21</v>
      </c>
      <c r="L10152" s="18">
        <v>0</v>
      </c>
      <c r="Q10152" s="18">
        <v>0</v>
      </c>
      <c r="V10152" s="22">
        <f>3.36/5</f>
        <v>0.67199999999999993</v>
      </c>
      <c r="X10152" s="3">
        <v>2</v>
      </c>
      <c r="AB10152" s="18">
        <f t="shared" si="316"/>
        <v>1990</v>
      </c>
      <c r="AC10152" s="22">
        <f t="shared" si="317"/>
        <v>0.53600000000000003</v>
      </c>
    </row>
    <row r="10153" spans="1:29">
      <c r="A10153" s="8" t="s">
        <v>2541</v>
      </c>
      <c r="B10153" s="17" t="s">
        <v>7751</v>
      </c>
      <c r="C10153" s="12">
        <v>32874</v>
      </c>
      <c r="D10153" s="13" t="s">
        <v>8465</v>
      </c>
      <c r="E10153" s="10" t="s">
        <v>158</v>
      </c>
      <c r="F10153" s="10" t="s">
        <v>158</v>
      </c>
      <c r="H10153" s="2" t="s">
        <v>21</v>
      </c>
      <c r="L10153" s="18">
        <v>0</v>
      </c>
      <c r="Q10153" s="18">
        <v>0</v>
      </c>
      <c r="U10153" s="22">
        <v>0.68</v>
      </c>
      <c r="V10153" s="22">
        <f>3.32/5</f>
        <v>0.66399999999999992</v>
      </c>
      <c r="X10153" s="3">
        <v>2</v>
      </c>
      <c r="Z10153" s="23">
        <v>2</v>
      </c>
      <c r="AB10153" s="18">
        <f t="shared" si="316"/>
        <v>1990</v>
      </c>
      <c r="AC10153" s="22">
        <f t="shared" si="317"/>
        <v>0.58133333333333326</v>
      </c>
    </row>
    <row r="10154" spans="1:29">
      <c r="A10154" s="8" t="s">
        <v>657</v>
      </c>
      <c r="B10154" s="17" t="s">
        <v>7736</v>
      </c>
      <c r="C10154" s="12">
        <v>32874</v>
      </c>
      <c r="D10154" s="13" t="s">
        <v>8465</v>
      </c>
      <c r="E10154" s="10" t="s">
        <v>1297</v>
      </c>
      <c r="F10154" s="10" t="s">
        <v>1297</v>
      </c>
      <c r="G10154" s="11" t="s">
        <v>1298</v>
      </c>
      <c r="H10154" s="2" t="s">
        <v>21</v>
      </c>
      <c r="L10154" s="18">
        <v>0</v>
      </c>
      <c r="Q10154" s="18">
        <v>0</v>
      </c>
      <c r="U10154" s="22">
        <v>0.63</v>
      </c>
      <c r="V10154" s="22">
        <f>3.55/5</f>
        <v>0.71</v>
      </c>
      <c r="X10154" s="3">
        <v>2</v>
      </c>
      <c r="Z10154" s="23">
        <v>0.75</v>
      </c>
      <c r="AB10154" s="18">
        <f t="shared" si="316"/>
        <v>1990</v>
      </c>
      <c r="AC10154" s="22">
        <f t="shared" si="317"/>
        <v>0.57999999999999996</v>
      </c>
    </row>
    <row r="10155" spans="1:29">
      <c r="A10155" s="8" t="s">
        <v>2552</v>
      </c>
      <c r="B10155" s="17" t="s">
        <v>7751</v>
      </c>
      <c r="C10155" s="12">
        <v>32874</v>
      </c>
      <c r="D10155" s="13" t="s">
        <v>8465</v>
      </c>
      <c r="E10155" s="10" t="s">
        <v>2638</v>
      </c>
      <c r="F10155" s="10" t="s">
        <v>455</v>
      </c>
      <c r="H10155" s="2" t="s">
        <v>21</v>
      </c>
      <c r="L10155" s="18">
        <v>0</v>
      </c>
      <c r="Q10155" s="18">
        <v>0</v>
      </c>
      <c r="U10155" s="22">
        <v>0.63</v>
      </c>
      <c r="V10155" s="22">
        <f>3.42/5</f>
        <v>0.68399999999999994</v>
      </c>
      <c r="X10155" s="3">
        <v>2</v>
      </c>
      <c r="Z10155" s="23">
        <v>0.98</v>
      </c>
      <c r="AB10155" s="18">
        <f t="shared" si="316"/>
        <v>1990</v>
      </c>
      <c r="AC10155" s="22">
        <f t="shared" si="317"/>
        <v>0.57133333333333336</v>
      </c>
    </row>
    <row r="10156" spans="1:29">
      <c r="A10156" s="8" t="s">
        <v>2546</v>
      </c>
      <c r="B10156" s="17" t="s">
        <v>7751</v>
      </c>
      <c r="C10156" s="12">
        <v>32874</v>
      </c>
      <c r="D10156" s="13" t="s">
        <v>8465</v>
      </c>
      <c r="E10156" s="10" t="s">
        <v>2648</v>
      </c>
      <c r="F10156" s="10" t="s">
        <v>460</v>
      </c>
      <c r="H10156" s="2" t="s">
        <v>21</v>
      </c>
      <c r="L10156" s="18">
        <v>0</v>
      </c>
      <c r="Q10156" s="18">
        <v>0</v>
      </c>
      <c r="U10156" s="22">
        <v>0.55000000000000004</v>
      </c>
      <c r="V10156" s="22">
        <f>3.78/5</f>
        <v>0.75600000000000001</v>
      </c>
      <c r="X10156" s="3">
        <v>2</v>
      </c>
      <c r="Z10156" s="23">
        <v>2.5</v>
      </c>
      <c r="AB10156" s="18">
        <f t="shared" si="316"/>
        <v>1990</v>
      </c>
      <c r="AC10156" s="22">
        <f t="shared" si="317"/>
        <v>0.56866666666666665</v>
      </c>
    </row>
    <row r="10157" spans="1:29">
      <c r="A10157" s="8" t="s">
        <v>89</v>
      </c>
      <c r="B10157" s="17" t="s">
        <v>7800</v>
      </c>
      <c r="C10157" s="12">
        <v>32874</v>
      </c>
      <c r="D10157" s="13" t="s">
        <v>8465</v>
      </c>
      <c r="E10157" s="10" t="s">
        <v>73</v>
      </c>
      <c r="F10157" s="10" t="s">
        <v>7510</v>
      </c>
      <c r="G10157" s="11" t="s">
        <v>89</v>
      </c>
      <c r="H10157" s="2" t="s">
        <v>56</v>
      </c>
      <c r="L10157" s="18">
        <v>0</v>
      </c>
      <c r="Q10157" s="18">
        <v>0</v>
      </c>
      <c r="V10157" s="22">
        <f>3.04/5</f>
        <v>0.60799999999999998</v>
      </c>
      <c r="X10157" s="3">
        <v>2</v>
      </c>
      <c r="Z10157" s="23">
        <v>3</v>
      </c>
      <c r="AB10157" s="18">
        <f t="shared" si="316"/>
        <v>1990</v>
      </c>
      <c r="AC10157" s="22">
        <f t="shared" si="317"/>
        <v>0.504</v>
      </c>
    </row>
    <row r="10158" spans="1:29" ht="25.5">
      <c r="A10158" s="8" t="s">
        <v>23</v>
      </c>
      <c r="B10158" s="17" t="s">
        <v>7734</v>
      </c>
      <c r="C10158" s="12">
        <v>32874</v>
      </c>
      <c r="D10158" s="13" t="s">
        <v>8465</v>
      </c>
      <c r="E10158" s="10" t="s">
        <v>24</v>
      </c>
      <c r="F10158" s="10" t="s">
        <v>25</v>
      </c>
      <c r="G10158" s="11" t="s">
        <v>26</v>
      </c>
      <c r="H10158" s="2" t="s">
        <v>27</v>
      </c>
      <c r="L10158" s="18">
        <v>0</v>
      </c>
      <c r="Q10158" s="18">
        <v>0</v>
      </c>
      <c r="V10158" s="22">
        <f>3.01/5</f>
        <v>0.60199999999999998</v>
      </c>
      <c r="X10158" s="3">
        <v>2</v>
      </c>
      <c r="Z10158" s="23">
        <v>0.97</v>
      </c>
      <c r="AB10158" s="18">
        <f t="shared" si="316"/>
        <v>1990</v>
      </c>
      <c r="AC10158" s="22">
        <f t="shared" si="317"/>
        <v>0.501</v>
      </c>
    </row>
    <row r="10159" spans="1:29">
      <c r="A10159" s="8" t="s">
        <v>2538</v>
      </c>
      <c r="B10159" s="17" t="s">
        <v>7751</v>
      </c>
      <c r="C10159" s="12">
        <v>32874</v>
      </c>
      <c r="D10159" s="13" t="s">
        <v>8465</v>
      </c>
      <c r="E10159" s="10" t="s">
        <v>2642</v>
      </c>
      <c r="F10159" s="10" t="s">
        <v>54</v>
      </c>
      <c r="H10159" s="2" t="s">
        <v>21</v>
      </c>
      <c r="L10159" s="18">
        <v>0</v>
      </c>
      <c r="Q10159" s="18">
        <v>0</v>
      </c>
      <c r="U10159" s="22">
        <v>0.59</v>
      </c>
      <c r="V10159" s="22">
        <f>3.06/5</f>
        <v>0.61199999999999999</v>
      </c>
      <c r="X10159" s="3">
        <v>2</v>
      </c>
      <c r="Z10159" s="23">
        <v>1</v>
      </c>
      <c r="AB10159" s="18">
        <f t="shared" si="316"/>
        <v>1990</v>
      </c>
      <c r="AC10159" s="22">
        <f t="shared" si="317"/>
        <v>0.53399999999999992</v>
      </c>
    </row>
    <row r="10160" spans="1:29" ht="30">
      <c r="A10160" s="8" t="s">
        <v>14523</v>
      </c>
      <c r="B10160" s="17" t="s">
        <v>7750</v>
      </c>
      <c r="C10160" s="24">
        <v>32874</v>
      </c>
      <c r="D10160" s="13" t="s">
        <v>8467</v>
      </c>
      <c r="E10160" s="10" t="s">
        <v>455</v>
      </c>
      <c r="F10160" s="10" t="s">
        <v>14524</v>
      </c>
      <c r="H10160" s="2" t="s">
        <v>1170</v>
      </c>
      <c r="L10160" s="18">
        <v>0</v>
      </c>
      <c r="Q10160" s="18">
        <v>0</v>
      </c>
      <c r="V10160" s="22">
        <f>2.95/5</f>
        <v>0.59000000000000008</v>
      </c>
      <c r="X10160" s="3">
        <v>2</v>
      </c>
      <c r="Z10160" s="23">
        <f>35/60</f>
        <v>0.58333333333333337</v>
      </c>
      <c r="AB10160" s="18">
        <f t="shared" si="316"/>
        <v>1990</v>
      </c>
      <c r="AC10160" s="22">
        <f t="shared" si="317"/>
        <v>0.49500000000000005</v>
      </c>
    </row>
    <row r="10161" spans="1:29" ht="30">
      <c r="A10161" s="8" t="s">
        <v>13930</v>
      </c>
      <c r="B10161" s="17" t="s">
        <v>9581</v>
      </c>
      <c r="C10161" s="24">
        <v>32874</v>
      </c>
      <c r="D10161" s="13" t="s">
        <v>8465</v>
      </c>
      <c r="E10161" s="10" t="s">
        <v>7826</v>
      </c>
      <c r="F10161" s="10" t="s">
        <v>13929</v>
      </c>
      <c r="G10161" s="11" t="s">
        <v>13928</v>
      </c>
      <c r="H10161" s="2" t="s">
        <v>64</v>
      </c>
      <c r="L10161" s="18">
        <v>0</v>
      </c>
      <c r="Q10161" s="18">
        <v>0</v>
      </c>
      <c r="V10161" s="22">
        <f>2.93/5</f>
        <v>0.58600000000000008</v>
      </c>
      <c r="X10161" s="3">
        <v>2</v>
      </c>
      <c r="Z10161" s="23">
        <f>43/60</f>
        <v>0.71666666666666667</v>
      </c>
      <c r="AB10161" s="18">
        <f t="shared" si="316"/>
        <v>1990</v>
      </c>
      <c r="AC10161" s="22">
        <f t="shared" si="317"/>
        <v>0.49300000000000005</v>
      </c>
    </row>
    <row r="10162" spans="1:29" ht="25.5">
      <c r="A10162" s="8" t="s">
        <v>13490</v>
      </c>
      <c r="B10162" s="17" t="s">
        <v>7800</v>
      </c>
      <c r="C10162" s="24">
        <v>32874</v>
      </c>
      <c r="D10162" s="13" t="s">
        <v>8465</v>
      </c>
      <c r="E10162" s="10" t="s">
        <v>1272</v>
      </c>
      <c r="F10162" s="10" t="s">
        <v>1272</v>
      </c>
      <c r="G10162" s="11" t="s">
        <v>4445</v>
      </c>
      <c r="H10162" s="2" t="s">
        <v>1720</v>
      </c>
      <c r="L10162" s="18">
        <v>0</v>
      </c>
      <c r="Q10162" s="18">
        <v>0</v>
      </c>
      <c r="V10162" s="22">
        <f>2.91/5</f>
        <v>0.58200000000000007</v>
      </c>
      <c r="X10162" s="3">
        <v>2</v>
      </c>
      <c r="Z10162" s="23">
        <v>14.5</v>
      </c>
      <c r="AB10162" s="18">
        <f t="shared" si="316"/>
        <v>1990</v>
      </c>
      <c r="AC10162" s="22">
        <f t="shared" si="317"/>
        <v>0.49100000000000005</v>
      </c>
    </row>
    <row r="10163" spans="1:29">
      <c r="A10163" s="8" t="s">
        <v>349</v>
      </c>
      <c r="B10163" s="17" t="s">
        <v>6317</v>
      </c>
      <c r="C10163" s="12">
        <v>32874</v>
      </c>
      <c r="D10163" s="13" t="s">
        <v>8465</v>
      </c>
      <c r="E10163" s="10" t="s">
        <v>54</v>
      </c>
      <c r="F10163" s="10" t="s">
        <v>54</v>
      </c>
      <c r="G10163" s="11" t="s">
        <v>349</v>
      </c>
      <c r="H10163" s="2" t="s">
        <v>21</v>
      </c>
      <c r="L10163" s="18">
        <v>0</v>
      </c>
      <c r="Q10163" s="18">
        <v>0</v>
      </c>
      <c r="V10163" s="22">
        <f>2.58/5</f>
        <v>0.51600000000000001</v>
      </c>
      <c r="X10163" s="3">
        <v>2</v>
      </c>
      <c r="Z10163" s="23">
        <f>35/60</f>
        <v>0.58333333333333337</v>
      </c>
      <c r="AB10163" s="18">
        <f t="shared" si="316"/>
        <v>1990</v>
      </c>
      <c r="AC10163" s="22">
        <f t="shared" si="317"/>
        <v>0.45800000000000002</v>
      </c>
    </row>
    <row r="10164" spans="1:29">
      <c r="A10164" s="8" t="s">
        <v>111</v>
      </c>
      <c r="B10164" s="17" t="s">
        <v>7787</v>
      </c>
      <c r="C10164" s="24">
        <v>32874</v>
      </c>
      <c r="D10164" s="13" t="s">
        <v>8467</v>
      </c>
      <c r="E10164" s="10" t="s">
        <v>13956</v>
      </c>
      <c r="F10164" s="10" t="s">
        <v>13956</v>
      </c>
      <c r="G10164" s="11" t="s">
        <v>111</v>
      </c>
      <c r="H10164" s="2" t="s">
        <v>153</v>
      </c>
      <c r="L10164" s="18">
        <v>0</v>
      </c>
      <c r="Q10164" s="18">
        <v>0</v>
      </c>
      <c r="V10164" s="22">
        <f>2.46/5</f>
        <v>0.49199999999999999</v>
      </c>
      <c r="X10164" s="3">
        <v>2</v>
      </c>
      <c r="Z10164" s="23">
        <v>1</v>
      </c>
      <c r="AB10164" s="18">
        <f t="shared" si="316"/>
        <v>1990</v>
      </c>
      <c r="AC10164" s="22">
        <f t="shared" si="317"/>
        <v>0.44600000000000001</v>
      </c>
    </row>
    <row r="10165" spans="1:29" ht="25.5">
      <c r="A10165" s="8" t="s">
        <v>7643</v>
      </c>
      <c r="B10165" s="17" t="s">
        <v>7745</v>
      </c>
      <c r="C10165" s="12">
        <v>32874</v>
      </c>
      <c r="D10165" s="13" t="s">
        <v>8465</v>
      </c>
      <c r="E10165" s="10" t="s">
        <v>154</v>
      </c>
      <c r="F10165" s="10" t="s">
        <v>163</v>
      </c>
      <c r="G10165" s="11" t="s">
        <v>206</v>
      </c>
      <c r="H10165" s="2" t="s">
        <v>56</v>
      </c>
      <c r="L10165" s="18">
        <v>0</v>
      </c>
      <c r="Q10165" s="18">
        <v>0</v>
      </c>
      <c r="U10165" s="22">
        <v>0.2</v>
      </c>
      <c r="V10165" s="22">
        <f>3.06/5</f>
        <v>0.61199999999999999</v>
      </c>
      <c r="X10165" s="3">
        <v>2</v>
      </c>
      <c r="Z10165" s="23">
        <v>2</v>
      </c>
      <c r="AB10165" s="18">
        <f t="shared" si="316"/>
        <v>1990</v>
      </c>
      <c r="AC10165" s="22">
        <f t="shared" si="317"/>
        <v>0.40400000000000008</v>
      </c>
    </row>
    <row r="10166" spans="1:29" ht="30">
      <c r="A10166" s="8" t="s">
        <v>13124</v>
      </c>
      <c r="B10166" s="17" t="s">
        <v>9581</v>
      </c>
      <c r="C10166" s="24">
        <v>32874</v>
      </c>
      <c r="D10166" s="13" t="s">
        <v>8467</v>
      </c>
      <c r="E10166" s="10" t="s">
        <v>1193</v>
      </c>
      <c r="F10166" s="10" t="s">
        <v>13125</v>
      </c>
      <c r="G10166" s="11" t="s">
        <v>7289</v>
      </c>
      <c r="H10166" s="2" t="s">
        <v>1194</v>
      </c>
      <c r="L10166" s="18">
        <v>0</v>
      </c>
      <c r="Q10166" s="18">
        <v>0</v>
      </c>
      <c r="V10166" s="22">
        <f>2/5</f>
        <v>0.4</v>
      </c>
      <c r="X10166" s="3">
        <v>2</v>
      </c>
      <c r="AB10166" s="18">
        <f t="shared" si="316"/>
        <v>1990</v>
      </c>
      <c r="AC10166" s="22">
        <f t="shared" si="317"/>
        <v>0.4</v>
      </c>
    </row>
    <row r="10167" spans="1:29" ht="30">
      <c r="A10167" s="8" t="s">
        <v>9610</v>
      </c>
      <c r="B10167" s="17" t="s">
        <v>9581</v>
      </c>
      <c r="C10167" s="12">
        <v>32874</v>
      </c>
      <c r="D10167" s="13" t="s">
        <v>8465</v>
      </c>
      <c r="E10167" s="10" t="s">
        <v>1273</v>
      </c>
      <c r="F10167" s="10" t="s">
        <v>9611</v>
      </c>
      <c r="H10167" s="2" t="s">
        <v>153</v>
      </c>
      <c r="L10167" s="18">
        <v>0</v>
      </c>
      <c r="Q10167" s="18">
        <v>0</v>
      </c>
      <c r="X10167" s="3">
        <v>2</v>
      </c>
      <c r="AB10167" s="18">
        <f t="shared" si="316"/>
        <v>1990</v>
      </c>
      <c r="AC10167" s="22">
        <f t="shared" si="317"/>
        <v>0.4</v>
      </c>
    </row>
    <row r="10168" spans="1:29" ht="30">
      <c r="A10168" s="8" t="s">
        <v>15876</v>
      </c>
      <c r="B10168" s="17" t="s">
        <v>9581</v>
      </c>
      <c r="C10168" s="24">
        <v>32874</v>
      </c>
      <c r="D10168" s="13" t="s">
        <v>8467</v>
      </c>
      <c r="E10168" s="10" t="s">
        <v>1513</v>
      </c>
      <c r="F10168" s="10" t="s">
        <v>15877</v>
      </c>
      <c r="G10168" s="11" t="s">
        <v>15868</v>
      </c>
      <c r="H10168" s="2" t="s">
        <v>1267</v>
      </c>
      <c r="L10168" s="18">
        <v>0</v>
      </c>
      <c r="Q10168" s="18">
        <v>0</v>
      </c>
      <c r="V10168" s="22">
        <f>3.5/5</f>
        <v>0.7</v>
      </c>
      <c r="X10168" s="3">
        <v>2</v>
      </c>
      <c r="AB10168" s="18">
        <f t="shared" si="316"/>
        <v>1990</v>
      </c>
      <c r="AC10168" s="22">
        <f t="shared" si="317"/>
        <v>0.55000000000000004</v>
      </c>
    </row>
    <row r="10169" spans="1:29">
      <c r="A10169" s="8" t="s">
        <v>207</v>
      </c>
      <c r="B10169" s="17" t="s">
        <v>6317</v>
      </c>
      <c r="C10169" s="24">
        <v>32874</v>
      </c>
      <c r="D10169" s="13" t="s">
        <v>8465</v>
      </c>
      <c r="E10169" s="10" t="s">
        <v>311</v>
      </c>
      <c r="F10169" s="10" t="s">
        <v>311</v>
      </c>
      <c r="G10169" s="11" t="s">
        <v>207</v>
      </c>
      <c r="H10169" s="2" t="s">
        <v>153</v>
      </c>
      <c r="L10169" s="18">
        <v>0</v>
      </c>
      <c r="Q10169" s="18">
        <v>0</v>
      </c>
      <c r="V10169" s="22">
        <f>3.15/5</f>
        <v>0.63</v>
      </c>
      <c r="X10169" s="3">
        <v>2</v>
      </c>
      <c r="Z10169" s="23">
        <v>1.5</v>
      </c>
      <c r="AB10169" s="18">
        <f t="shared" si="316"/>
        <v>1990</v>
      </c>
      <c r="AC10169" s="22">
        <f t="shared" si="317"/>
        <v>0.51500000000000001</v>
      </c>
    </row>
    <row r="10170" spans="1:29" ht="25.5">
      <c r="A10170" s="8" t="s">
        <v>15942</v>
      </c>
      <c r="B10170" s="17" t="s">
        <v>7786</v>
      </c>
      <c r="C10170" s="24">
        <v>32874</v>
      </c>
      <c r="D10170" s="13" t="s">
        <v>8465</v>
      </c>
      <c r="E10170" s="10" t="s">
        <v>311</v>
      </c>
      <c r="F10170" s="10" t="s">
        <v>2836</v>
      </c>
      <c r="G10170" s="11" t="s">
        <v>3967</v>
      </c>
      <c r="H10170" s="2" t="s">
        <v>1377</v>
      </c>
      <c r="L10170" s="18">
        <v>0</v>
      </c>
      <c r="Q10170" s="18">
        <v>0</v>
      </c>
      <c r="V10170" s="22">
        <f>2.96/5</f>
        <v>0.59199999999999997</v>
      </c>
      <c r="X10170" s="3">
        <v>2</v>
      </c>
      <c r="Z10170" s="23">
        <v>4.5</v>
      </c>
      <c r="AB10170" s="18">
        <f t="shared" si="316"/>
        <v>1990</v>
      </c>
      <c r="AC10170" s="22">
        <f t="shared" si="317"/>
        <v>0.496</v>
      </c>
    </row>
    <row r="10171" spans="1:29">
      <c r="A10171" s="8" t="s">
        <v>16055</v>
      </c>
      <c r="B10171" s="17" t="s">
        <v>7734</v>
      </c>
      <c r="C10171" s="12">
        <v>32874</v>
      </c>
      <c r="D10171" s="13" t="s">
        <v>8465</v>
      </c>
      <c r="E10171" s="10" t="s">
        <v>240</v>
      </c>
      <c r="F10171" s="10" t="s">
        <v>9036</v>
      </c>
      <c r="H10171" s="2" t="s">
        <v>56</v>
      </c>
      <c r="L10171" s="18">
        <v>0</v>
      </c>
      <c r="Q10171" s="18">
        <v>0</v>
      </c>
      <c r="V10171" s="22">
        <f>2.94/5</f>
        <v>0.58799999999999997</v>
      </c>
      <c r="X10171" s="3">
        <v>2</v>
      </c>
      <c r="Z10171" s="23">
        <v>2.5</v>
      </c>
      <c r="AB10171" s="18">
        <f t="shared" si="316"/>
        <v>1990</v>
      </c>
      <c r="AC10171" s="22">
        <f t="shared" si="317"/>
        <v>0.49399999999999999</v>
      </c>
    </row>
    <row r="10172" spans="1:29">
      <c r="A10172" s="8" t="s">
        <v>134</v>
      </c>
      <c r="B10172" s="17" t="s">
        <v>7734</v>
      </c>
      <c r="C10172" s="13">
        <v>33208</v>
      </c>
      <c r="D10172" s="13" t="s">
        <v>8465</v>
      </c>
      <c r="E10172" s="10" t="s">
        <v>86</v>
      </c>
      <c r="F10172" s="10" t="s">
        <v>169</v>
      </c>
      <c r="G10172" s="11" t="s">
        <v>134</v>
      </c>
      <c r="H10172" s="2" t="s">
        <v>80</v>
      </c>
      <c r="L10172" s="18">
        <v>0</v>
      </c>
      <c r="Q10172" s="18">
        <v>1</v>
      </c>
      <c r="T10172" s="22">
        <v>0.7</v>
      </c>
      <c r="V10172" s="22">
        <f>3.88/5</f>
        <v>0.77600000000000002</v>
      </c>
      <c r="Y10172" s="18">
        <v>1</v>
      </c>
      <c r="AB10172" s="18">
        <f t="shared" si="316"/>
        <v>1990</v>
      </c>
      <c r="AC10172" s="22">
        <f t="shared" si="317"/>
        <v>0.73799999999999999</v>
      </c>
    </row>
    <row r="10173" spans="1:29">
      <c r="A10173" s="8" t="s">
        <v>118</v>
      </c>
      <c r="B10173" s="17" t="s">
        <v>7734</v>
      </c>
      <c r="C10173" s="12">
        <v>33208</v>
      </c>
      <c r="D10173" s="13" t="s">
        <v>8465</v>
      </c>
      <c r="E10173" s="10" t="s">
        <v>66</v>
      </c>
      <c r="F10173" s="10" t="s">
        <v>66</v>
      </c>
      <c r="G10173" s="11" t="s">
        <v>118</v>
      </c>
      <c r="H10173" s="2" t="s">
        <v>56</v>
      </c>
      <c r="L10173" s="18">
        <v>0</v>
      </c>
      <c r="Q10173" s="18">
        <v>1</v>
      </c>
      <c r="T10173" s="22">
        <v>0.7</v>
      </c>
      <c r="V10173" s="22">
        <f>3.75/5</f>
        <v>0.75</v>
      </c>
      <c r="AB10173" s="18">
        <f t="shared" si="316"/>
        <v>1990</v>
      </c>
      <c r="AC10173" s="22">
        <f t="shared" si="317"/>
        <v>0.72499999999999998</v>
      </c>
    </row>
    <row r="10174" spans="1:29" ht="25.5">
      <c r="A10174" s="8" t="s">
        <v>96</v>
      </c>
      <c r="B10174" s="17" t="s">
        <v>7734</v>
      </c>
      <c r="C10174" s="12">
        <v>33208</v>
      </c>
      <c r="D10174" s="13" t="s">
        <v>8465</v>
      </c>
      <c r="E10174" s="10" t="s">
        <v>59</v>
      </c>
      <c r="F10174" s="10" t="s">
        <v>146</v>
      </c>
      <c r="G10174" s="11" t="s">
        <v>16</v>
      </c>
      <c r="H10174" s="2" t="s">
        <v>67</v>
      </c>
      <c r="L10174" s="18">
        <v>0</v>
      </c>
      <c r="Q10174" s="18">
        <v>1</v>
      </c>
      <c r="T10174" s="22">
        <v>0.7</v>
      </c>
      <c r="V10174" s="22">
        <f>3.63/5</f>
        <v>0.72599999999999998</v>
      </c>
      <c r="Y10174" s="18">
        <v>1</v>
      </c>
      <c r="AB10174" s="18">
        <f t="shared" si="316"/>
        <v>1990</v>
      </c>
      <c r="AC10174" s="22">
        <f t="shared" si="317"/>
        <v>0.71299999999999997</v>
      </c>
    </row>
    <row r="10175" spans="1:29">
      <c r="A10175" s="8" t="s">
        <v>103</v>
      </c>
      <c r="B10175" s="17" t="s">
        <v>7734</v>
      </c>
      <c r="C10175" s="12">
        <v>33178</v>
      </c>
      <c r="D10175" s="13" t="s">
        <v>8465</v>
      </c>
      <c r="E10175" s="10" t="s">
        <v>73</v>
      </c>
      <c r="F10175" s="10" t="s">
        <v>73</v>
      </c>
      <c r="G10175" s="11" t="s">
        <v>89</v>
      </c>
      <c r="H10175" s="2" t="s">
        <v>56</v>
      </c>
      <c r="L10175" s="18">
        <v>0</v>
      </c>
      <c r="Q10175" s="18">
        <v>1</v>
      </c>
      <c r="T10175" s="22">
        <v>0.6</v>
      </c>
      <c r="V10175" s="22">
        <f>4.18/5</f>
        <v>0.83599999999999997</v>
      </c>
      <c r="Y10175" s="18">
        <v>1</v>
      </c>
      <c r="AB10175" s="18">
        <f t="shared" si="316"/>
        <v>1990</v>
      </c>
      <c r="AC10175" s="22">
        <f t="shared" si="317"/>
        <v>0.71799999999999997</v>
      </c>
    </row>
    <row r="10176" spans="1:29" ht="25.5">
      <c r="A10176" s="8" t="s">
        <v>6918</v>
      </c>
      <c r="B10176" s="17" t="s">
        <v>7800</v>
      </c>
      <c r="C10176" s="12">
        <v>33147</v>
      </c>
      <c r="D10176" s="13" t="s">
        <v>8465</v>
      </c>
      <c r="E10176" s="10" t="s">
        <v>1284</v>
      </c>
      <c r="F10176" s="10" t="s">
        <v>6908</v>
      </c>
      <c r="G10176" s="11" t="s">
        <v>4472</v>
      </c>
      <c r="H10176" s="2" t="s">
        <v>67</v>
      </c>
      <c r="L10176" s="18">
        <v>0</v>
      </c>
      <c r="Q10176" s="18">
        <v>1</v>
      </c>
      <c r="T10176" s="22">
        <v>0.7</v>
      </c>
      <c r="U10176" s="22">
        <v>0.81</v>
      </c>
      <c r="V10176" s="22">
        <f>4.35/5</f>
        <v>0.86999999999999988</v>
      </c>
      <c r="AB10176" s="18">
        <f t="shared" si="316"/>
        <v>1990</v>
      </c>
      <c r="AC10176" s="22">
        <f t="shared" si="317"/>
        <v>0.79333333333333333</v>
      </c>
    </row>
    <row r="10177" spans="1:29">
      <c r="A10177" s="8" t="s">
        <v>124</v>
      </c>
      <c r="B10177" s="17" t="s">
        <v>7734</v>
      </c>
      <c r="C10177" s="12">
        <v>33117</v>
      </c>
      <c r="D10177" s="13" t="s">
        <v>8465</v>
      </c>
      <c r="E10177" s="10" t="s">
        <v>160</v>
      </c>
      <c r="F10177" s="10" t="s">
        <v>160</v>
      </c>
      <c r="H10177" s="2" t="s">
        <v>147</v>
      </c>
      <c r="L10177" s="18">
        <v>0</v>
      </c>
      <c r="Q10177" s="18">
        <v>1</v>
      </c>
      <c r="T10177" s="22">
        <v>0.9</v>
      </c>
      <c r="V10177" s="22">
        <f>3.86/5</f>
        <v>0.77200000000000002</v>
      </c>
      <c r="Y10177" s="18">
        <v>1</v>
      </c>
      <c r="AB10177" s="18">
        <f t="shared" ref="AB10177:AB10240" si="318">IFERROR(YEAR(C10177), "Early Access")</f>
        <v>1990</v>
      </c>
      <c r="AC10177" s="22">
        <f t="shared" ref="AC10177:AC10240" si="319">AVERAGE(T10177, U10177, V10177, IF(ISBLANK(X10177), X10177, X10177/5))</f>
        <v>0.83600000000000008</v>
      </c>
    </row>
    <row r="10178" spans="1:29" ht="25.5">
      <c r="A10178" s="8" t="s">
        <v>129</v>
      </c>
      <c r="B10178" s="17" t="s">
        <v>7734</v>
      </c>
      <c r="C10178" s="13">
        <v>33117</v>
      </c>
      <c r="D10178" s="13" t="s">
        <v>8465</v>
      </c>
      <c r="E10178" s="10" t="s">
        <v>72</v>
      </c>
      <c r="F10178" s="10" t="s">
        <v>72</v>
      </c>
      <c r="G10178" s="11" t="s">
        <v>113</v>
      </c>
      <c r="H10178" s="2" t="s">
        <v>56</v>
      </c>
      <c r="L10178" s="18">
        <v>0</v>
      </c>
      <c r="Q10178" s="18">
        <v>1</v>
      </c>
      <c r="T10178" s="22">
        <v>0.8</v>
      </c>
      <c r="V10178" s="22">
        <f>4.1/5</f>
        <v>0.82</v>
      </c>
      <c r="Y10178" s="18">
        <v>1</v>
      </c>
      <c r="AB10178" s="18">
        <f t="shared" si="318"/>
        <v>1990</v>
      </c>
      <c r="AC10178" s="22">
        <f t="shared" si="319"/>
        <v>0.81</v>
      </c>
    </row>
    <row r="10179" spans="1:29" ht="25.5">
      <c r="A10179" s="8" t="s">
        <v>122</v>
      </c>
      <c r="B10179" s="17" t="s">
        <v>7734</v>
      </c>
      <c r="C10179" s="12">
        <v>33117</v>
      </c>
      <c r="D10179" s="13" t="s">
        <v>8465</v>
      </c>
      <c r="E10179" s="10" t="s">
        <v>73</v>
      </c>
      <c r="F10179" s="10" t="s">
        <v>73</v>
      </c>
      <c r="G10179" s="11" t="s">
        <v>159</v>
      </c>
      <c r="H10179" s="2" t="s">
        <v>64</v>
      </c>
      <c r="L10179" s="18">
        <v>0</v>
      </c>
      <c r="Q10179" s="18">
        <v>1</v>
      </c>
      <c r="T10179" s="22">
        <v>0.7</v>
      </c>
      <c r="V10179" s="22">
        <f>3.8/5</f>
        <v>0.76</v>
      </c>
      <c r="AB10179" s="18">
        <f t="shared" si="318"/>
        <v>1990</v>
      </c>
      <c r="AC10179" s="22">
        <f t="shared" si="319"/>
        <v>0.73</v>
      </c>
    </row>
    <row r="10180" spans="1:29" ht="38.25">
      <c r="A10180" s="8" t="s">
        <v>1757</v>
      </c>
      <c r="B10180" s="17" t="s">
        <v>7745</v>
      </c>
      <c r="C10180" s="12">
        <v>33086</v>
      </c>
      <c r="D10180" s="13" t="s">
        <v>8465</v>
      </c>
      <c r="E10180" s="10" t="s">
        <v>72</v>
      </c>
      <c r="F10180" s="10" t="s">
        <v>72</v>
      </c>
      <c r="G10180" s="11" t="s">
        <v>215</v>
      </c>
      <c r="H10180" s="2" t="s">
        <v>153</v>
      </c>
      <c r="L10180" s="18">
        <v>0</v>
      </c>
      <c r="Q10180" s="18">
        <v>1</v>
      </c>
      <c r="T10180" s="22">
        <v>0.7</v>
      </c>
      <c r="U10180" s="22">
        <v>0.81</v>
      </c>
      <c r="V10180" s="22">
        <f>3.41/5</f>
        <v>0.68200000000000005</v>
      </c>
      <c r="AB10180" s="18">
        <f t="shared" si="318"/>
        <v>1990</v>
      </c>
      <c r="AC10180" s="22">
        <f t="shared" si="319"/>
        <v>0.73066666666666669</v>
      </c>
    </row>
    <row r="10181" spans="1:29">
      <c r="A10181" s="8" t="s">
        <v>111</v>
      </c>
      <c r="B10181" s="17" t="s">
        <v>7745</v>
      </c>
      <c r="C10181" s="12">
        <v>33086</v>
      </c>
      <c r="D10181" s="13" t="s">
        <v>8465</v>
      </c>
      <c r="E10181" s="10" t="s">
        <v>152</v>
      </c>
      <c r="F10181" s="10" t="s">
        <v>155</v>
      </c>
      <c r="G10181" s="11" t="s">
        <v>111</v>
      </c>
      <c r="H10181" s="2" t="s">
        <v>153</v>
      </c>
      <c r="L10181" s="18">
        <v>0</v>
      </c>
      <c r="Q10181" s="18">
        <v>1</v>
      </c>
      <c r="T10181" s="22">
        <v>0.6</v>
      </c>
      <c r="U10181" s="22">
        <v>0.56999999999999995</v>
      </c>
      <c r="V10181" s="22">
        <f>3.36/5</f>
        <v>0.67199999999999993</v>
      </c>
      <c r="AB10181" s="18">
        <f t="shared" si="318"/>
        <v>1990</v>
      </c>
      <c r="AC10181" s="22">
        <f t="shared" si="319"/>
        <v>0.61399999999999999</v>
      </c>
    </row>
    <row r="10182" spans="1:29">
      <c r="A10182" s="8" t="s">
        <v>136</v>
      </c>
      <c r="B10182" s="17" t="s">
        <v>7734</v>
      </c>
      <c r="C10182" s="12">
        <v>33055</v>
      </c>
      <c r="D10182" s="13" t="s">
        <v>8465</v>
      </c>
      <c r="E10182" s="10" t="s">
        <v>170</v>
      </c>
      <c r="F10182" s="10" t="s">
        <v>170</v>
      </c>
      <c r="G10182" s="11" t="s">
        <v>136</v>
      </c>
      <c r="H10182" s="2" t="s">
        <v>171</v>
      </c>
      <c r="L10182" s="18">
        <v>0</v>
      </c>
      <c r="Q10182" s="18">
        <v>1</v>
      </c>
      <c r="R10182" s="13">
        <v>41744</v>
      </c>
      <c r="T10182" s="22">
        <v>0.7</v>
      </c>
      <c r="V10182" s="22">
        <f>4.12/5</f>
        <v>0.82400000000000007</v>
      </c>
      <c r="Y10182" s="18">
        <v>1</v>
      </c>
      <c r="AB10182" s="18">
        <f t="shared" si="318"/>
        <v>1990</v>
      </c>
      <c r="AC10182" s="22">
        <f t="shared" si="319"/>
        <v>0.76200000000000001</v>
      </c>
    </row>
    <row r="10183" spans="1:29" ht="25.5">
      <c r="A10183" s="8" t="s">
        <v>107</v>
      </c>
      <c r="B10183" s="17" t="s">
        <v>7734</v>
      </c>
      <c r="C10183" s="12">
        <v>32994</v>
      </c>
      <c r="D10183" s="13" t="s">
        <v>8465</v>
      </c>
      <c r="E10183" s="10" t="s">
        <v>76</v>
      </c>
      <c r="F10183" s="10" t="s">
        <v>76</v>
      </c>
      <c r="G10183" s="11" t="s">
        <v>139</v>
      </c>
      <c r="H10183" s="2" t="s">
        <v>56</v>
      </c>
      <c r="L10183" s="18">
        <v>0</v>
      </c>
      <c r="Q10183" s="18">
        <v>1</v>
      </c>
      <c r="T10183" s="22">
        <v>0.8</v>
      </c>
      <c r="V10183" s="22">
        <f>4.07/5</f>
        <v>0.81400000000000006</v>
      </c>
      <c r="AB10183" s="18">
        <f t="shared" si="318"/>
        <v>1990</v>
      </c>
      <c r="AC10183" s="22">
        <f t="shared" si="319"/>
        <v>0.80700000000000005</v>
      </c>
    </row>
    <row r="10184" spans="1:29">
      <c r="A10184" s="8" t="s">
        <v>126</v>
      </c>
      <c r="B10184" s="17" t="s">
        <v>7734</v>
      </c>
      <c r="C10184" s="12">
        <v>32994</v>
      </c>
      <c r="D10184" s="13" t="s">
        <v>8465</v>
      </c>
      <c r="E10184" s="10" t="s">
        <v>161</v>
      </c>
      <c r="F10184" s="10" t="s">
        <v>161</v>
      </c>
      <c r="G10184" s="11" t="s">
        <v>126</v>
      </c>
      <c r="H10184" s="2" t="s">
        <v>149</v>
      </c>
      <c r="L10184" s="18">
        <v>0</v>
      </c>
      <c r="Q10184" s="18">
        <v>1</v>
      </c>
      <c r="T10184" s="22">
        <v>0.8</v>
      </c>
      <c r="V10184" s="22">
        <f>3.93/5</f>
        <v>0.78600000000000003</v>
      </c>
      <c r="Y10184" s="18">
        <v>1</v>
      </c>
      <c r="AB10184" s="18">
        <f t="shared" si="318"/>
        <v>1990</v>
      </c>
      <c r="AC10184" s="22">
        <f t="shared" si="319"/>
        <v>0.79300000000000004</v>
      </c>
    </row>
    <row r="10185" spans="1:29">
      <c r="A10185" s="8" t="s">
        <v>116</v>
      </c>
      <c r="B10185" s="17" t="s">
        <v>7734</v>
      </c>
      <c r="C10185" s="12">
        <v>32964</v>
      </c>
      <c r="D10185" s="13" t="s">
        <v>8465</v>
      </c>
      <c r="E10185" s="10" t="s">
        <v>72</v>
      </c>
      <c r="F10185" s="10" t="s">
        <v>72</v>
      </c>
      <c r="G10185" s="11" t="s">
        <v>97</v>
      </c>
      <c r="H10185" s="2" t="s">
        <v>147</v>
      </c>
      <c r="L10185" s="18">
        <v>0</v>
      </c>
      <c r="Q10185" s="18">
        <v>1</v>
      </c>
      <c r="T10185" s="22">
        <v>0.7</v>
      </c>
      <c r="V10185" s="22">
        <f>4.07/5</f>
        <v>0.81400000000000006</v>
      </c>
      <c r="AB10185" s="18">
        <f t="shared" si="318"/>
        <v>1990</v>
      </c>
      <c r="AC10185" s="22">
        <f t="shared" si="319"/>
        <v>0.75700000000000001</v>
      </c>
    </row>
    <row r="10186" spans="1:29">
      <c r="A10186" s="8" t="s">
        <v>1758</v>
      </c>
      <c r="B10186" s="17" t="s">
        <v>7745</v>
      </c>
      <c r="C10186" s="12">
        <v>32964</v>
      </c>
      <c r="D10186" s="13" t="s">
        <v>8465</v>
      </c>
      <c r="E10186" s="10" t="s">
        <v>244</v>
      </c>
      <c r="F10186" s="10" t="s">
        <v>72</v>
      </c>
      <c r="G10186" s="11" t="s">
        <v>123</v>
      </c>
      <c r="H10186" s="2" t="s">
        <v>21</v>
      </c>
      <c r="L10186" s="18">
        <v>0</v>
      </c>
      <c r="Q10186" s="18">
        <v>1</v>
      </c>
      <c r="T10186" s="22">
        <v>0.7</v>
      </c>
      <c r="U10186" s="22">
        <v>0.8</v>
      </c>
      <c r="V10186" s="22">
        <f>3.65/5</f>
        <v>0.73</v>
      </c>
      <c r="AB10186" s="18">
        <f t="shared" si="318"/>
        <v>1990</v>
      </c>
      <c r="AC10186" s="22">
        <f t="shared" si="319"/>
        <v>0.74333333333333329</v>
      </c>
    </row>
    <row r="10187" spans="1:29" ht="25.5">
      <c r="A10187" s="8" t="s">
        <v>117</v>
      </c>
      <c r="B10187" s="17" t="s">
        <v>7734</v>
      </c>
      <c r="C10187" s="12">
        <v>32933</v>
      </c>
      <c r="D10187" s="13" t="s">
        <v>8465</v>
      </c>
      <c r="E10187" s="10" t="s">
        <v>66</v>
      </c>
      <c r="F10187" s="10" t="s">
        <v>66</v>
      </c>
      <c r="H10187" s="2" t="s">
        <v>21</v>
      </c>
      <c r="L10187" s="18">
        <v>0</v>
      </c>
      <c r="Q10187" s="18">
        <v>1</v>
      </c>
      <c r="T10187" s="22">
        <v>0.7</v>
      </c>
      <c r="V10187" s="22">
        <f>3.28/5</f>
        <v>0.65599999999999992</v>
      </c>
      <c r="AB10187" s="18">
        <f t="shared" si="318"/>
        <v>1990</v>
      </c>
      <c r="AC10187" s="22">
        <f t="shared" si="319"/>
        <v>0.67799999999999994</v>
      </c>
    </row>
    <row r="10188" spans="1:29">
      <c r="A10188" s="8" t="s">
        <v>91</v>
      </c>
      <c r="B10188" s="17" t="s">
        <v>7734</v>
      </c>
      <c r="C10188" s="13">
        <v>32916</v>
      </c>
      <c r="D10188" s="13" t="s">
        <v>8465</v>
      </c>
      <c r="E10188" s="10" t="s">
        <v>86</v>
      </c>
      <c r="F10188" s="10" t="s">
        <v>87</v>
      </c>
      <c r="G10188" s="11" t="s">
        <v>137</v>
      </c>
      <c r="H10188" s="2" t="s">
        <v>64</v>
      </c>
      <c r="L10188" s="18">
        <v>0</v>
      </c>
      <c r="Q10188" s="18">
        <v>1</v>
      </c>
      <c r="T10188" s="22">
        <v>1</v>
      </c>
      <c r="V10188" s="22">
        <f>4.54/5</f>
        <v>0.90800000000000003</v>
      </c>
      <c r="Y10188" s="18">
        <v>1</v>
      </c>
      <c r="AB10188" s="18">
        <f t="shared" si="318"/>
        <v>1990</v>
      </c>
      <c r="AC10188" s="22">
        <f t="shared" si="319"/>
        <v>0.95399999999999996</v>
      </c>
    </row>
    <row r="10189" spans="1:29">
      <c r="A10189" s="8" t="s">
        <v>1756</v>
      </c>
      <c r="B10189" s="17" t="s">
        <v>7745</v>
      </c>
      <c r="C10189" s="12">
        <v>32905</v>
      </c>
      <c r="D10189" s="13" t="s">
        <v>8465</v>
      </c>
      <c r="E10189" s="10" t="s">
        <v>86</v>
      </c>
      <c r="F10189" s="10" t="s">
        <v>142</v>
      </c>
      <c r="H10189" s="2" t="s">
        <v>21</v>
      </c>
      <c r="L10189" s="18">
        <v>0</v>
      </c>
      <c r="Q10189" s="18">
        <v>1</v>
      </c>
      <c r="T10189" s="22">
        <v>0.7</v>
      </c>
      <c r="U10189" s="22">
        <v>0.75</v>
      </c>
      <c r="V10189" s="22">
        <f>3.57/5</f>
        <v>0.71399999999999997</v>
      </c>
      <c r="AB10189" s="18">
        <f t="shared" si="318"/>
        <v>1990</v>
      </c>
      <c r="AC10189" s="22">
        <f t="shared" si="319"/>
        <v>0.72133333333333327</v>
      </c>
    </row>
    <row r="10190" spans="1:29" ht="25.5">
      <c r="A10190" s="8" t="s">
        <v>112</v>
      </c>
      <c r="B10190" s="17" t="s">
        <v>7734</v>
      </c>
      <c r="C10190" s="12">
        <v>32874</v>
      </c>
      <c r="D10190" s="13" t="s">
        <v>8465</v>
      </c>
      <c r="E10190" s="10" t="s">
        <v>154</v>
      </c>
      <c r="F10190" s="10" t="s">
        <v>155</v>
      </c>
      <c r="G10190" s="11" t="s">
        <v>111</v>
      </c>
      <c r="H10190" s="2" t="s">
        <v>153</v>
      </c>
      <c r="L10190" s="18">
        <v>0</v>
      </c>
      <c r="Q10190" s="18">
        <v>1</v>
      </c>
      <c r="T10190" s="22">
        <v>0.8</v>
      </c>
      <c r="V10190" s="22">
        <f>3.8/5</f>
        <v>0.76</v>
      </c>
      <c r="AB10190" s="18">
        <f t="shared" si="318"/>
        <v>1990</v>
      </c>
      <c r="AC10190" s="22">
        <f t="shared" si="319"/>
        <v>0.78</v>
      </c>
    </row>
    <row r="10191" spans="1:29" ht="25.5">
      <c r="A10191" s="8" t="s">
        <v>279</v>
      </c>
      <c r="B10191" s="17" t="s">
        <v>7734</v>
      </c>
      <c r="C10191" s="13">
        <v>32865</v>
      </c>
      <c r="D10191" s="13" t="s">
        <v>8463</v>
      </c>
      <c r="E10191" s="10" t="s">
        <v>57</v>
      </c>
      <c r="F10191" s="10" t="s">
        <v>57</v>
      </c>
      <c r="G10191" s="11" t="s">
        <v>1243</v>
      </c>
      <c r="H10191" s="2" t="s">
        <v>149</v>
      </c>
      <c r="K10191" s="18">
        <v>2</v>
      </c>
      <c r="L10191" s="18">
        <v>0</v>
      </c>
      <c r="Q10191" s="18">
        <v>0</v>
      </c>
      <c r="V10191" s="22">
        <f>3.42/5</f>
        <v>0.68399999999999994</v>
      </c>
      <c r="X10191" s="3">
        <v>2</v>
      </c>
      <c r="Z10191" s="23">
        <v>14.5</v>
      </c>
      <c r="AB10191" s="18">
        <f t="shared" si="318"/>
        <v>1989</v>
      </c>
      <c r="AC10191" s="22">
        <f t="shared" si="319"/>
        <v>0.54200000000000004</v>
      </c>
    </row>
    <row r="10192" spans="1:29">
      <c r="A10192" s="8" t="s">
        <v>2554</v>
      </c>
      <c r="B10192" s="17" t="s">
        <v>7751</v>
      </c>
      <c r="C10192" s="13">
        <v>32865</v>
      </c>
      <c r="D10192" s="13" t="s">
        <v>8463</v>
      </c>
      <c r="E10192" s="10" t="s">
        <v>2651</v>
      </c>
      <c r="F10192" s="10" t="s">
        <v>2651</v>
      </c>
      <c r="H10192" s="2" t="s">
        <v>21</v>
      </c>
      <c r="K10192" s="18">
        <v>0</v>
      </c>
      <c r="L10192" s="18">
        <v>0</v>
      </c>
      <c r="Q10192" s="18">
        <v>0</v>
      </c>
      <c r="U10192" s="22">
        <v>0.66</v>
      </c>
      <c r="V10192" s="22">
        <f>2.86/5</f>
        <v>0.57199999999999995</v>
      </c>
      <c r="X10192" s="3">
        <v>2</v>
      </c>
      <c r="Z10192" s="23">
        <v>0.3</v>
      </c>
      <c r="AB10192" s="18">
        <f t="shared" si="318"/>
        <v>1989</v>
      </c>
      <c r="AC10192" s="22">
        <f t="shared" si="319"/>
        <v>0.54400000000000004</v>
      </c>
    </row>
    <row r="10193" spans="1:29" ht="25.5">
      <c r="A10193" s="8" t="s">
        <v>12023</v>
      </c>
      <c r="B10193" s="17" t="s">
        <v>7734</v>
      </c>
      <c r="C10193" s="13">
        <v>32864</v>
      </c>
      <c r="D10193" s="13" t="s">
        <v>8463</v>
      </c>
      <c r="E10193" s="10" t="s">
        <v>12024</v>
      </c>
      <c r="F10193" s="10" t="s">
        <v>12024</v>
      </c>
      <c r="H10193" s="2" t="s">
        <v>1057</v>
      </c>
      <c r="K10193" s="18">
        <v>2</v>
      </c>
      <c r="L10193" s="18">
        <v>0</v>
      </c>
      <c r="Q10193" s="18">
        <v>0</v>
      </c>
      <c r="V10193" s="22">
        <f>3.42/5</f>
        <v>0.68399999999999994</v>
      </c>
      <c r="X10193" s="3">
        <v>2</v>
      </c>
      <c r="AB10193" s="18">
        <f t="shared" si="318"/>
        <v>1989</v>
      </c>
      <c r="AC10193" s="22">
        <f t="shared" si="319"/>
        <v>0.54200000000000004</v>
      </c>
    </row>
    <row r="10194" spans="1:29">
      <c r="A10194" s="8" t="s">
        <v>13941</v>
      </c>
      <c r="B10194" s="17" t="s">
        <v>7788</v>
      </c>
      <c r="C10194" s="13">
        <v>32863</v>
      </c>
      <c r="D10194" s="13" t="s">
        <v>8463</v>
      </c>
      <c r="E10194" s="10" t="s">
        <v>72</v>
      </c>
      <c r="F10194" s="10" t="s">
        <v>72</v>
      </c>
      <c r="H10194" s="2" t="s">
        <v>21</v>
      </c>
      <c r="K10194" s="18">
        <v>0</v>
      </c>
      <c r="L10194" s="18">
        <v>0</v>
      </c>
      <c r="Q10194" s="18">
        <v>0</v>
      </c>
      <c r="V10194" s="22">
        <f>3.8/5</f>
        <v>0.76</v>
      </c>
      <c r="X10194" s="3">
        <v>2</v>
      </c>
      <c r="AB10194" s="18">
        <f t="shared" si="318"/>
        <v>1989</v>
      </c>
      <c r="AC10194" s="22">
        <f t="shared" si="319"/>
        <v>0.58000000000000007</v>
      </c>
    </row>
    <row r="10195" spans="1:29">
      <c r="A10195" s="8" t="s">
        <v>294</v>
      </c>
      <c r="B10195" s="17" t="s">
        <v>7734</v>
      </c>
      <c r="C10195" s="13">
        <v>32857</v>
      </c>
      <c r="D10195" s="13" t="s">
        <v>8463</v>
      </c>
      <c r="E10195" s="10" t="s">
        <v>73</v>
      </c>
      <c r="F10195" s="10" t="s">
        <v>73</v>
      </c>
      <c r="H10195" s="2" t="s">
        <v>1061</v>
      </c>
      <c r="K10195" s="18">
        <v>2</v>
      </c>
      <c r="L10195" s="18">
        <v>0</v>
      </c>
      <c r="Q10195" s="18">
        <v>0</v>
      </c>
      <c r="V10195" s="22">
        <f>3.81/5</f>
        <v>0.76200000000000001</v>
      </c>
      <c r="X10195" s="3">
        <v>4</v>
      </c>
      <c r="Z10195" s="23">
        <v>7.5</v>
      </c>
      <c r="AB10195" s="18">
        <f t="shared" si="318"/>
        <v>1989</v>
      </c>
      <c r="AC10195" s="22">
        <f t="shared" si="319"/>
        <v>0.78100000000000003</v>
      </c>
    </row>
    <row r="10196" spans="1:29">
      <c r="A10196" s="8" t="s">
        <v>14016</v>
      </c>
      <c r="B10196" s="17" t="s">
        <v>7734</v>
      </c>
      <c r="C10196" s="13">
        <v>32857</v>
      </c>
      <c r="D10196" s="13" t="s">
        <v>8463</v>
      </c>
      <c r="E10196" s="10" t="s">
        <v>144</v>
      </c>
      <c r="F10196" s="10" t="s">
        <v>145</v>
      </c>
      <c r="H10196" s="2" t="s">
        <v>149</v>
      </c>
      <c r="K10196" s="18">
        <v>2</v>
      </c>
      <c r="L10196" s="18">
        <v>0</v>
      </c>
      <c r="Q10196" s="18">
        <v>0</v>
      </c>
      <c r="V10196" s="22">
        <f>3.88/5</f>
        <v>0.77600000000000002</v>
      </c>
      <c r="X10196" s="3">
        <v>2</v>
      </c>
      <c r="AB10196" s="18">
        <f t="shared" si="318"/>
        <v>1989</v>
      </c>
      <c r="AC10196" s="22">
        <f t="shared" si="319"/>
        <v>0.58800000000000008</v>
      </c>
    </row>
    <row r="10197" spans="1:29" ht="25.5">
      <c r="A10197" s="8" t="s">
        <v>238</v>
      </c>
      <c r="B10197" s="17" t="s">
        <v>7734</v>
      </c>
      <c r="C10197" s="13">
        <v>32857</v>
      </c>
      <c r="D10197" s="13" t="s">
        <v>8465</v>
      </c>
      <c r="E10197" s="10" t="s">
        <v>239</v>
      </c>
      <c r="F10197" s="10" t="s">
        <v>239</v>
      </c>
      <c r="H10197" s="2" t="s">
        <v>80</v>
      </c>
      <c r="L10197" s="18">
        <v>0</v>
      </c>
      <c r="Q10197" s="18">
        <v>0</v>
      </c>
      <c r="V10197" s="22">
        <f>3.69/5</f>
        <v>0.73799999999999999</v>
      </c>
      <c r="X10197" s="3">
        <v>2</v>
      </c>
      <c r="Z10197" s="23">
        <v>6.5</v>
      </c>
      <c r="AB10197" s="18">
        <f t="shared" si="318"/>
        <v>1989</v>
      </c>
      <c r="AC10197" s="22">
        <f t="shared" si="319"/>
        <v>0.56899999999999995</v>
      </c>
    </row>
    <row r="10198" spans="1:29" ht="25.5">
      <c r="A10198" s="8" t="s">
        <v>2593</v>
      </c>
      <c r="B10198" s="17" t="s">
        <v>7751</v>
      </c>
      <c r="C10198" s="13">
        <v>32844</v>
      </c>
      <c r="D10198" s="13" t="s">
        <v>8465</v>
      </c>
      <c r="E10198" s="10" t="s">
        <v>455</v>
      </c>
      <c r="F10198" s="10" t="s">
        <v>455</v>
      </c>
      <c r="G10198" s="11" t="s">
        <v>2407</v>
      </c>
      <c r="H10198" s="2" t="s">
        <v>143</v>
      </c>
      <c r="L10198" s="18">
        <v>0</v>
      </c>
      <c r="Q10198" s="18">
        <v>0</v>
      </c>
      <c r="U10198" s="22">
        <v>0.79</v>
      </c>
      <c r="V10198" s="22">
        <f>3.92/5</f>
        <v>0.78400000000000003</v>
      </c>
      <c r="X10198" s="3">
        <v>3</v>
      </c>
      <c r="Z10198" s="23">
        <v>1</v>
      </c>
      <c r="AB10198" s="18">
        <f t="shared" si="318"/>
        <v>1989</v>
      </c>
      <c r="AC10198" s="22">
        <f t="shared" si="319"/>
        <v>0.72466666666666668</v>
      </c>
    </row>
    <row r="10199" spans="1:29" ht="25.5">
      <c r="A10199" s="8" t="s">
        <v>212</v>
      </c>
      <c r="B10199" s="17" t="s">
        <v>7734</v>
      </c>
      <c r="C10199" s="12">
        <v>32843</v>
      </c>
      <c r="D10199" s="13" t="s">
        <v>8465</v>
      </c>
      <c r="E10199" s="10" t="s">
        <v>154</v>
      </c>
      <c r="F10199" s="10" t="s">
        <v>253</v>
      </c>
      <c r="G10199" s="11" t="s">
        <v>206</v>
      </c>
      <c r="H10199" s="2" t="s">
        <v>56</v>
      </c>
      <c r="L10199" s="18">
        <v>0</v>
      </c>
      <c r="Q10199" s="18">
        <v>0</v>
      </c>
      <c r="V10199" s="22">
        <f>3.24/5</f>
        <v>0.64800000000000002</v>
      </c>
      <c r="X10199" s="3">
        <v>3</v>
      </c>
      <c r="Z10199" s="23">
        <v>3</v>
      </c>
      <c r="AB10199" s="18">
        <f t="shared" si="318"/>
        <v>1989</v>
      </c>
      <c r="AC10199" s="22">
        <f t="shared" si="319"/>
        <v>0.624</v>
      </c>
    </row>
    <row r="10200" spans="1:29">
      <c r="A10200" s="8" t="s">
        <v>201</v>
      </c>
      <c r="B10200" s="17" t="s">
        <v>7734</v>
      </c>
      <c r="C10200" s="12">
        <v>32843</v>
      </c>
      <c r="D10200" s="13" t="s">
        <v>8465</v>
      </c>
      <c r="E10200" s="10" t="s">
        <v>248</v>
      </c>
      <c r="F10200" s="10" t="s">
        <v>249</v>
      </c>
      <c r="G10200" s="11" t="s">
        <v>201</v>
      </c>
      <c r="H10200" s="2" t="s">
        <v>80</v>
      </c>
      <c r="L10200" s="18">
        <v>0</v>
      </c>
      <c r="Q10200" s="18">
        <v>0</v>
      </c>
      <c r="V10200" s="22">
        <f>3.72/5</f>
        <v>0.74399999999999999</v>
      </c>
      <c r="X10200" s="3">
        <v>2</v>
      </c>
      <c r="Z10200" s="23">
        <v>8.5</v>
      </c>
      <c r="AB10200" s="18">
        <f t="shared" si="318"/>
        <v>1989</v>
      </c>
      <c r="AC10200" s="22">
        <f t="shared" si="319"/>
        <v>0.57200000000000006</v>
      </c>
    </row>
    <row r="10201" spans="1:29">
      <c r="A10201" s="8" t="s">
        <v>205</v>
      </c>
      <c r="B10201" s="17" t="s">
        <v>7734</v>
      </c>
      <c r="C10201" s="12">
        <v>32843</v>
      </c>
      <c r="D10201" s="13" t="s">
        <v>8465</v>
      </c>
      <c r="E10201" s="10" t="s">
        <v>73</v>
      </c>
      <c r="F10201" s="10" t="s">
        <v>73</v>
      </c>
      <c r="G10201" s="11" t="s">
        <v>205</v>
      </c>
      <c r="H10201" s="2" t="s">
        <v>171</v>
      </c>
      <c r="L10201" s="18">
        <v>0</v>
      </c>
      <c r="Q10201" s="18">
        <v>0</v>
      </c>
      <c r="V10201" s="22">
        <f>3.58/5</f>
        <v>0.71599999999999997</v>
      </c>
      <c r="X10201" s="3">
        <v>2</v>
      </c>
      <c r="Z10201" s="23">
        <v>2</v>
      </c>
      <c r="AB10201" s="18">
        <f t="shared" si="318"/>
        <v>1989</v>
      </c>
      <c r="AC10201" s="22">
        <f t="shared" si="319"/>
        <v>0.55800000000000005</v>
      </c>
    </row>
    <row r="10202" spans="1:29">
      <c r="A10202" s="8" t="s">
        <v>262</v>
      </c>
      <c r="B10202" s="17" t="s">
        <v>7734</v>
      </c>
      <c r="C10202" s="13">
        <v>32843</v>
      </c>
      <c r="D10202" s="13" t="s">
        <v>8463</v>
      </c>
      <c r="E10202" s="10" t="s">
        <v>1237</v>
      </c>
      <c r="F10202" s="10" t="s">
        <v>1237</v>
      </c>
      <c r="H10202" s="2" t="s">
        <v>75</v>
      </c>
      <c r="K10202" s="18">
        <v>2</v>
      </c>
      <c r="L10202" s="18">
        <v>0</v>
      </c>
      <c r="Q10202" s="18">
        <v>0</v>
      </c>
      <c r="V10202" s="22">
        <f>3.29/5</f>
        <v>0.65800000000000003</v>
      </c>
      <c r="X10202" s="3">
        <v>2</v>
      </c>
      <c r="AB10202" s="18">
        <f t="shared" si="318"/>
        <v>1989</v>
      </c>
      <c r="AC10202" s="22">
        <f t="shared" si="319"/>
        <v>0.52900000000000003</v>
      </c>
    </row>
    <row r="10203" spans="1:29">
      <c r="A10203" s="8" t="s">
        <v>14019</v>
      </c>
      <c r="B10203" s="17" t="s">
        <v>7734</v>
      </c>
      <c r="C10203" s="13">
        <v>32843</v>
      </c>
      <c r="D10203" s="13" t="s">
        <v>8463</v>
      </c>
      <c r="E10203" s="10" t="s">
        <v>14020</v>
      </c>
      <c r="F10203" s="10" t="s">
        <v>13680</v>
      </c>
      <c r="H10203" s="2" t="s">
        <v>149</v>
      </c>
      <c r="K10203" s="18">
        <v>2</v>
      </c>
      <c r="L10203" s="18">
        <v>0</v>
      </c>
      <c r="Q10203" s="18">
        <v>0</v>
      </c>
      <c r="V10203" s="22">
        <f>3.03/5</f>
        <v>0.60599999999999998</v>
      </c>
      <c r="X10203" s="3">
        <v>2</v>
      </c>
      <c r="AB10203" s="18">
        <f t="shared" si="318"/>
        <v>1989</v>
      </c>
      <c r="AC10203" s="22">
        <f t="shared" si="319"/>
        <v>0.503</v>
      </c>
    </row>
    <row r="10204" spans="1:29" ht="30">
      <c r="A10204" s="8" t="s">
        <v>12760</v>
      </c>
      <c r="B10204" s="17" t="s">
        <v>9581</v>
      </c>
      <c r="C10204" s="12">
        <v>32843</v>
      </c>
      <c r="D10204" s="13" t="s">
        <v>8465</v>
      </c>
      <c r="E10204" s="10" t="s">
        <v>7826</v>
      </c>
      <c r="F10204" s="10" t="s">
        <v>12761</v>
      </c>
      <c r="H10204" s="2" t="s">
        <v>78</v>
      </c>
      <c r="L10204" s="18">
        <v>0</v>
      </c>
      <c r="Q10204" s="18">
        <v>0</v>
      </c>
      <c r="X10204" s="3">
        <v>2</v>
      </c>
      <c r="AB10204" s="18">
        <f t="shared" si="318"/>
        <v>1989</v>
      </c>
      <c r="AC10204" s="22">
        <f t="shared" si="319"/>
        <v>0.4</v>
      </c>
    </row>
    <row r="10205" spans="1:29" ht="25.5">
      <c r="A10205" s="8" t="s">
        <v>15406</v>
      </c>
      <c r="B10205" s="17" t="s">
        <v>7800</v>
      </c>
      <c r="C10205" s="12">
        <v>32843</v>
      </c>
      <c r="D10205" s="13" t="s">
        <v>8465</v>
      </c>
      <c r="E10205" s="10" t="s">
        <v>6967</v>
      </c>
      <c r="F10205" s="10" t="s">
        <v>6967</v>
      </c>
      <c r="H10205" s="2" t="s">
        <v>67</v>
      </c>
      <c r="L10205" s="18">
        <v>1</v>
      </c>
      <c r="N10205" s="13">
        <v>45128</v>
      </c>
      <c r="O10205" s="29">
        <v>0</v>
      </c>
      <c r="P10205" s="18" t="s">
        <v>1107</v>
      </c>
      <c r="Q10205" s="18">
        <v>0</v>
      </c>
      <c r="V10205" s="22">
        <f>3.23/5</f>
        <v>0.64600000000000002</v>
      </c>
      <c r="W10205" s="14" t="s">
        <v>7777</v>
      </c>
      <c r="X10205" s="3">
        <v>2</v>
      </c>
      <c r="Z10205" s="23">
        <f>28/60</f>
        <v>0.46666666666666667</v>
      </c>
      <c r="AB10205" s="18">
        <f t="shared" si="318"/>
        <v>1989</v>
      </c>
      <c r="AC10205" s="22">
        <f t="shared" si="319"/>
        <v>0.52300000000000002</v>
      </c>
    </row>
    <row r="10206" spans="1:29">
      <c r="A10206" s="8" t="s">
        <v>7810</v>
      </c>
      <c r="B10206" s="17" t="s">
        <v>7789</v>
      </c>
      <c r="C10206" s="13">
        <v>32827</v>
      </c>
      <c r="D10206" s="13" t="s">
        <v>8465</v>
      </c>
      <c r="E10206" s="10" t="s">
        <v>62</v>
      </c>
      <c r="F10206" s="10" t="s">
        <v>228</v>
      </c>
      <c r="G10206" s="11" t="s">
        <v>7810</v>
      </c>
      <c r="H10206" s="2" t="s">
        <v>171</v>
      </c>
      <c r="L10206" s="18">
        <v>0</v>
      </c>
      <c r="Q10206" s="18">
        <v>0</v>
      </c>
      <c r="V10206" s="22">
        <f>3.37/5</f>
        <v>0.67400000000000004</v>
      </c>
      <c r="X10206" s="3">
        <v>2</v>
      </c>
      <c r="Z10206" s="23">
        <v>3.5</v>
      </c>
      <c r="AB10206" s="18">
        <f t="shared" si="318"/>
        <v>1989</v>
      </c>
      <c r="AC10206" s="22">
        <f t="shared" si="319"/>
        <v>0.53700000000000003</v>
      </c>
    </row>
    <row r="10207" spans="1:29">
      <c r="A10207" s="8" t="s">
        <v>2581</v>
      </c>
      <c r="B10207" s="17" t="s">
        <v>6317</v>
      </c>
      <c r="C10207" s="12">
        <v>32813</v>
      </c>
      <c r="D10207" s="13" t="s">
        <v>8465</v>
      </c>
      <c r="E10207" s="10" t="s">
        <v>455</v>
      </c>
      <c r="F10207" s="10" t="s">
        <v>455</v>
      </c>
      <c r="G10207" s="11" t="s">
        <v>2407</v>
      </c>
      <c r="H10207" s="2" t="s">
        <v>1059</v>
      </c>
      <c r="L10207" s="18">
        <v>0</v>
      </c>
      <c r="Q10207" s="18">
        <v>0</v>
      </c>
      <c r="V10207" s="22">
        <f>3.44/5</f>
        <v>0.68799999999999994</v>
      </c>
      <c r="X10207" s="3">
        <v>3</v>
      </c>
      <c r="Z10207" s="23">
        <v>0.93333333333333335</v>
      </c>
      <c r="AB10207" s="18">
        <f t="shared" si="318"/>
        <v>1989</v>
      </c>
      <c r="AC10207" s="22">
        <f t="shared" si="319"/>
        <v>0.64399999999999991</v>
      </c>
    </row>
    <row r="10208" spans="1:29" ht="25.5">
      <c r="A10208" s="8" t="s">
        <v>10387</v>
      </c>
      <c r="B10208" s="17" t="s">
        <v>7788</v>
      </c>
      <c r="C10208" s="12">
        <v>32813</v>
      </c>
      <c r="D10208" s="13" t="s">
        <v>8463</v>
      </c>
      <c r="E10208" s="10" t="s">
        <v>1200</v>
      </c>
      <c r="F10208" s="10" t="s">
        <v>1200</v>
      </c>
      <c r="G10208" s="11" t="s">
        <v>2802</v>
      </c>
      <c r="H10208" s="2" t="s">
        <v>171</v>
      </c>
      <c r="K10208" s="18">
        <v>2</v>
      </c>
      <c r="L10208" s="18">
        <v>0</v>
      </c>
      <c r="Q10208" s="18">
        <v>0</v>
      </c>
      <c r="V10208" s="22">
        <f>4.1/5</f>
        <v>0.82</v>
      </c>
      <c r="X10208" s="3">
        <v>2</v>
      </c>
      <c r="Z10208" s="23">
        <v>5</v>
      </c>
      <c r="AB10208" s="18">
        <f t="shared" si="318"/>
        <v>1989</v>
      </c>
      <c r="AC10208" s="22">
        <f t="shared" si="319"/>
        <v>0.61</v>
      </c>
    </row>
    <row r="10209" spans="1:29" ht="51">
      <c r="A10209" s="8" t="s">
        <v>6789</v>
      </c>
      <c r="B10209" s="17" t="s">
        <v>7800</v>
      </c>
      <c r="C10209" s="12">
        <v>32813</v>
      </c>
      <c r="D10209" s="13" t="s">
        <v>8465</v>
      </c>
      <c r="E10209" s="10" t="s">
        <v>1496</v>
      </c>
      <c r="F10209" s="10" t="s">
        <v>1496</v>
      </c>
      <c r="G10209" s="11" t="s">
        <v>6897</v>
      </c>
      <c r="H10209" s="2" t="s">
        <v>67</v>
      </c>
      <c r="L10209" s="18">
        <v>0</v>
      </c>
      <c r="Q10209" s="18">
        <v>0</v>
      </c>
      <c r="U10209" s="22">
        <v>0.6</v>
      </c>
      <c r="V10209" s="22">
        <f>3.51/5</f>
        <v>0.70199999999999996</v>
      </c>
      <c r="X10209" s="3">
        <v>2</v>
      </c>
      <c r="Z10209" s="23">
        <v>5</v>
      </c>
      <c r="AB10209" s="18">
        <f t="shared" si="318"/>
        <v>1989</v>
      </c>
      <c r="AC10209" s="22">
        <f t="shared" si="319"/>
        <v>0.56733333333333336</v>
      </c>
    </row>
    <row r="10210" spans="1:29">
      <c r="A10210" s="8" t="s">
        <v>11806</v>
      </c>
      <c r="B10210" s="17" t="s">
        <v>6317</v>
      </c>
      <c r="C10210" s="12">
        <v>32813</v>
      </c>
      <c r="D10210" s="13" t="s">
        <v>8465</v>
      </c>
      <c r="E10210" s="10" t="s">
        <v>170</v>
      </c>
      <c r="F10210" s="10" t="s">
        <v>170</v>
      </c>
      <c r="G10210" s="11" t="s">
        <v>11806</v>
      </c>
      <c r="H10210" s="2" t="s">
        <v>1170</v>
      </c>
      <c r="L10210" s="18">
        <v>0</v>
      </c>
      <c r="Q10210" s="18">
        <v>0</v>
      </c>
      <c r="V10210" s="22">
        <f>3.13/5</f>
        <v>0.626</v>
      </c>
      <c r="X10210" s="3">
        <v>2</v>
      </c>
      <c r="Z10210" s="23">
        <v>3</v>
      </c>
      <c r="AB10210" s="18">
        <f t="shared" si="318"/>
        <v>1989</v>
      </c>
      <c r="AC10210" s="22">
        <f t="shared" si="319"/>
        <v>0.51300000000000001</v>
      </c>
    </row>
    <row r="10211" spans="1:29">
      <c r="A10211" s="8" t="s">
        <v>111</v>
      </c>
      <c r="B10211" s="17" t="s">
        <v>10903</v>
      </c>
      <c r="C10211" s="12">
        <v>32813</v>
      </c>
      <c r="D10211" s="13" t="s">
        <v>8465</v>
      </c>
      <c r="E10211" s="10" t="s">
        <v>1273</v>
      </c>
      <c r="F10211" s="10" t="s">
        <v>25</v>
      </c>
      <c r="G10211" s="11" t="s">
        <v>111</v>
      </c>
      <c r="H10211" s="2" t="s">
        <v>153</v>
      </c>
      <c r="L10211" s="18">
        <v>0</v>
      </c>
      <c r="Q10211" s="18">
        <v>0</v>
      </c>
      <c r="V10211" s="22">
        <f>1.85/5</f>
        <v>0.37</v>
      </c>
      <c r="X10211" s="3">
        <v>2</v>
      </c>
      <c r="Z10211" s="23">
        <v>1</v>
      </c>
      <c r="AB10211" s="18">
        <f t="shared" si="318"/>
        <v>1989</v>
      </c>
      <c r="AC10211" s="22">
        <f t="shared" si="319"/>
        <v>0.38500000000000001</v>
      </c>
    </row>
    <row r="10212" spans="1:29">
      <c r="A10212" s="8" t="s">
        <v>15930</v>
      </c>
      <c r="B10212" s="17" t="s">
        <v>7788</v>
      </c>
      <c r="C10212" s="12">
        <v>32813</v>
      </c>
      <c r="D10212" s="13" t="s">
        <v>8463</v>
      </c>
      <c r="E10212" s="10" t="s">
        <v>167</v>
      </c>
      <c r="F10212" s="10" t="s">
        <v>167</v>
      </c>
      <c r="G10212" s="11" t="s">
        <v>1315</v>
      </c>
      <c r="H10212" s="2" t="s">
        <v>21</v>
      </c>
      <c r="K10212" s="18">
        <v>2</v>
      </c>
      <c r="L10212" s="18">
        <v>0</v>
      </c>
      <c r="Q10212" s="18">
        <v>0</v>
      </c>
      <c r="V10212" s="22">
        <f>3.75/5</f>
        <v>0.75</v>
      </c>
      <c r="X10212" s="3">
        <v>2</v>
      </c>
      <c r="AB10212" s="18">
        <f t="shared" si="318"/>
        <v>1989</v>
      </c>
      <c r="AC10212" s="22">
        <f t="shared" si="319"/>
        <v>0.57499999999999996</v>
      </c>
    </row>
    <row r="10213" spans="1:29">
      <c r="A10213" s="8" t="s">
        <v>16000</v>
      </c>
      <c r="B10213" s="17" t="s">
        <v>10323</v>
      </c>
      <c r="C10213" s="13">
        <v>32813</v>
      </c>
      <c r="D10213" s="13" t="s">
        <v>8463</v>
      </c>
      <c r="E10213" s="10" t="s">
        <v>16002</v>
      </c>
      <c r="F10213" s="10" t="s">
        <v>16002</v>
      </c>
      <c r="G10213" s="11" t="s">
        <v>16000</v>
      </c>
      <c r="H10213" s="2" t="s">
        <v>1377</v>
      </c>
      <c r="K10213" s="18">
        <v>0</v>
      </c>
      <c r="L10213" s="18">
        <v>0</v>
      </c>
      <c r="Q10213" s="18">
        <v>0</v>
      </c>
      <c r="V10213" s="22">
        <f>2.25/5</f>
        <v>0.45</v>
      </c>
      <c r="X10213" s="3">
        <v>2</v>
      </c>
      <c r="AB10213" s="18">
        <f t="shared" si="318"/>
        <v>1989</v>
      </c>
      <c r="AC10213" s="22">
        <f t="shared" si="319"/>
        <v>0.42500000000000004</v>
      </c>
    </row>
    <row r="10214" spans="1:29" ht="25.5">
      <c r="A10214" s="8" t="s">
        <v>6810</v>
      </c>
      <c r="B10214" s="17" t="s">
        <v>7800</v>
      </c>
      <c r="C10214" s="12">
        <v>32782</v>
      </c>
      <c r="D10214" s="13" t="s">
        <v>8465</v>
      </c>
      <c r="E10214" s="10" t="s">
        <v>1496</v>
      </c>
      <c r="F10214" s="10" t="s">
        <v>1496</v>
      </c>
      <c r="G10214" s="11" t="s">
        <v>6902</v>
      </c>
      <c r="H10214" s="2" t="s">
        <v>67</v>
      </c>
      <c r="L10214" s="18">
        <v>1</v>
      </c>
      <c r="N10214" s="13">
        <v>43956</v>
      </c>
      <c r="O10214" s="29">
        <v>0</v>
      </c>
      <c r="P10214" s="18" t="s">
        <v>1107</v>
      </c>
      <c r="Q10214" s="18">
        <v>0</v>
      </c>
      <c r="U10214" s="22">
        <v>0.76</v>
      </c>
      <c r="V10214" s="22">
        <f>4.29/5</f>
        <v>0.85799999999999998</v>
      </c>
      <c r="W10214" s="14" t="s">
        <v>7777</v>
      </c>
      <c r="X10214" s="3">
        <v>3</v>
      </c>
      <c r="Z10214" s="23">
        <v>5.5</v>
      </c>
      <c r="AB10214" s="18">
        <f t="shared" si="318"/>
        <v>1989</v>
      </c>
      <c r="AC10214" s="22">
        <f t="shared" si="319"/>
        <v>0.73933333333333329</v>
      </c>
    </row>
    <row r="10215" spans="1:29" ht="30">
      <c r="A10215" s="8" t="s">
        <v>12766</v>
      </c>
      <c r="B10215" s="17" t="s">
        <v>9581</v>
      </c>
      <c r="C10215" s="12">
        <v>32782</v>
      </c>
      <c r="D10215" s="13" t="s">
        <v>8465</v>
      </c>
      <c r="E10215" s="10" t="s">
        <v>231</v>
      </c>
      <c r="F10215" s="10" t="s">
        <v>12767</v>
      </c>
      <c r="H10215" s="2" t="s">
        <v>1720</v>
      </c>
      <c r="L10215" s="18">
        <v>0</v>
      </c>
      <c r="Q10215" s="18">
        <v>0</v>
      </c>
      <c r="V10215" s="22">
        <f>4.25/5</f>
        <v>0.85</v>
      </c>
      <c r="X10215" s="3">
        <v>2</v>
      </c>
      <c r="AB10215" s="18">
        <f t="shared" si="318"/>
        <v>1989</v>
      </c>
      <c r="AC10215" s="22">
        <f t="shared" si="319"/>
        <v>0.625</v>
      </c>
    </row>
    <row r="10216" spans="1:29" ht="25.5">
      <c r="A10216" s="8" t="s">
        <v>14454</v>
      </c>
      <c r="B10216" s="17" t="s">
        <v>7800</v>
      </c>
      <c r="C10216" s="12">
        <v>32782</v>
      </c>
      <c r="D10216" s="13" t="s">
        <v>8465</v>
      </c>
      <c r="E10216" s="10" t="s">
        <v>6923</v>
      </c>
      <c r="F10216" s="10" t="s">
        <v>6923</v>
      </c>
      <c r="G10216" s="11" t="s">
        <v>14455</v>
      </c>
      <c r="H10216" s="2" t="s">
        <v>67</v>
      </c>
      <c r="L10216" s="18">
        <v>0</v>
      </c>
      <c r="Q10216" s="18">
        <v>0</v>
      </c>
      <c r="V10216" s="22">
        <f>3.96/5</f>
        <v>0.79200000000000004</v>
      </c>
      <c r="X10216" s="3">
        <v>2</v>
      </c>
      <c r="Z10216" s="23">
        <v>4</v>
      </c>
      <c r="AB10216" s="18">
        <f t="shared" si="318"/>
        <v>1989</v>
      </c>
      <c r="AC10216" s="22">
        <f t="shared" si="319"/>
        <v>0.59600000000000009</v>
      </c>
    </row>
    <row r="10217" spans="1:29" ht="30">
      <c r="A10217" s="8" t="s">
        <v>40</v>
      </c>
      <c r="B10217" s="17" t="s">
        <v>7734</v>
      </c>
      <c r="C10217" s="12">
        <v>32782</v>
      </c>
      <c r="D10217" s="13" t="s">
        <v>8465</v>
      </c>
      <c r="E10217" s="10" t="s">
        <v>68</v>
      </c>
      <c r="F10217" s="10" t="s">
        <v>68</v>
      </c>
      <c r="G10217" s="11" t="s">
        <v>40</v>
      </c>
      <c r="H10217" s="2" t="s">
        <v>69</v>
      </c>
      <c r="L10217" s="18">
        <v>0</v>
      </c>
      <c r="Q10217" s="18">
        <v>0</v>
      </c>
      <c r="V10217" s="22">
        <f>3/5</f>
        <v>0.6</v>
      </c>
      <c r="X10217" s="3">
        <v>2</v>
      </c>
      <c r="Z10217" s="23">
        <v>18</v>
      </c>
      <c r="AB10217" s="18">
        <f t="shared" si="318"/>
        <v>1989</v>
      </c>
      <c r="AC10217" s="22">
        <f t="shared" si="319"/>
        <v>0.5</v>
      </c>
    </row>
    <row r="10218" spans="1:29">
      <c r="A10218" s="8" t="s">
        <v>15928</v>
      </c>
      <c r="B10218" s="17" t="s">
        <v>7788</v>
      </c>
      <c r="C10218" s="13">
        <v>32759</v>
      </c>
      <c r="D10218" s="13" t="s">
        <v>8463</v>
      </c>
      <c r="E10218" s="10" t="s">
        <v>167</v>
      </c>
      <c r="F10218" s="10" t="s">
        <v>167</v>
      </c>
      <c r="G10218" s="11" t="s">
        <v>1315</v>
      </c>
      <c r="H10218" s="2" t="s">
        <v>21</v>
      </c>
      <c r="K10218" s="18">
        <v>0</v>
      </c>
      <c r="L10218" s="18">
        <v>0</v>
      </c>
      <c r="Q10218" s="18">
        <v>0</v>
      </c>
      <c r="X10218" s="3">
        <v>2</v>
      </c>
      <c r="AB10218" s="18">
        <f t="shared" si="318"/>
        <v>1989</v>
      </c>
      <c r="AC10218" s="22">
        <f t="shared" si="319"/>
        <v>0.4</v>
      </c>
    </row>
    <row r="10219" spans="1:29" ht="30">
      <c r="A10219" s="8" t="s">
        <v>13759</v>
      </c>
      <c r="B10219" s="17" t="s">
        <v>7750</v>
      </c>
      <c r="C10219" s="13">
        <v>32755</v>
      </c>
      <c r="D10219" s="13" t="s">
        <v>8467</v>
      </c>
      <c r="E10219" s="10" t="s">
        <v>455</v>
      </c>
      <c r="F10219" s="10" t="s">
        <v>455</v>
      </c>
      <c r="G10219" s="11" t="s">
        <v>13741</v>
      </c>
      <c r="H10219" s="2" t="s">
        <v>150</v>
      </c>
      <c r="L10219" s="18">
        <v>0</v>
      </c>
      <c r="Q10219" s="18">
        <v>0</v>
      </c>
      <c r="V10219" s="22">
        <f>3.42/5</f>
        <v>0.68399999999999994</v>
      </c>
      <c r="X10219" s="3">
        <v>2</v>
      </c>
      <c r="Z10219" s="23">
        <v>1</v>
      </c>
      <c r="AB10219" s="18">
        <f t="shared" si="318"/>
        <v>1989</v>
      </c>
      <c r="AC10219" s="22">
        <f t="shared" si="319"/>
        <v>0.54200000000000004</v>
      </c>
    </row>
    <row r="10220" spans="1:29">
      <c r="A10220" s="8" t="s">
        <v>2566</v>
      </c>
      <c r="B10220" s="17" t="s">
        <v>7751</v>
      </c>
      <c r="C10220" s="12">
        <v>32752</v>
      </c>
      <c r="D10220" s="13" t="s">
        <v>8465</v>
      </c>
      <c r="E10220" s="10" t="s">
        <v>73</v>
      </c>
      <c r="F10220" s="10" t="s">
        <v>73</v>
      </c>
      <c r="G10220" s="11" t="s">
        <v>1447</v>
      </c>
      <c r="H10220" s="2" t="s">
        <v>56</v>
      </c>
      <c r="L10220" s="18">
        <v>0</v>
      </c>
      <c r="Q10220" s="18">
        <v>0</v>
      </c>
      <c r="U10220" s="22">
        <v>0.8</v>
      </c>
      <c r="V10220" s="22">
        <f>3.88/5</f>
        <v>0.77600000000000002</v>
      </c>
      <c r="X10220" s="3">
        <v>3</v>
      </c>
      <c r="Z10220" s="23">
        <v>2.5</v>
      </c>
      <c r="AB10220" s="18">
        <f t="shared" si="318"/>
        <v>1989</v>
      </c>
      <c r="AC10220" s="22">
        <f t="shared" si="319"/>
        <v>0.72533333333333339</v>
      </c>
    </row>
    <row r="10221" spans="1:29">
      <c r="A10221" s="8" t="s">
        <v>2834</v>
      </c>
      <c r="B10221" s="17" t="s">
        <v>7786</v>
      </c>
      <c r="C10221" s="13">
        <v>32752</v>
      </c>
      <c r="D10221" s="13" t="s">
        <v>8465</v>
      </c>
      <c r="E10221" s="10" t="s">
        <v>311</v>
      </c>
      <c r="F10221" s="10" t="s">
        <v>2836</v>
      </c>
      <c r="H10221" s="2" t="s">
        <v>7594</v>
      </c>
      <c r="L10221" s="18">
        <v>0</v>
      </c>
      <c r="Q10221" s="18">
        <v>0</v>
      </c>
      <c r="V10221" s="22">
        <f>3.67/5</f>
        <v>0.73399999999999999</v>
      </c>
      <c r="X10221" s="3">
        <v>2</v>
      </c>
      <c r="Z10221" s="23">
        <f>30/60</f>
        <v>0.5</v>
      </c>
      <c r="AB10221" s="18">
        <f t="shared" si="318"/>
        <v>1989</v>
      </c>
      <c r="AC10221" s="22">
        <f t="shared" si="319"/>
        <v>0.56699999999999995</v>
      </c>
    </row>
    <row r="10222" spans="1:29">
      <c r="A10222" s="8" t="s">
        <v>15191</v>
      </c>
      <c r="B10222" s="17" t="s">
        <v>7734</v>
      </c>
      <c r="C10222" s="12">
        <v>32752</v>
      </c>
      <c r="D10222" s="13" t="s">
        <v>8465</v>
      </c>
      <c r="E10222" s="10" t="s">
        <v>1367</v>
      </c>
      <c r="F10222" s="10" t="s">
        <v>1367</v>
      </c>
      <c r="G10222" s="11" t="s">
        <v>15187</v>
      </c>
      <c r="H10222" s="2" t="s">
        <v>151</v>
      </c>
      <c r="L10222" s="18">
        <v>0</v>
      </c>
      <c r="Q10222" s="18">
        <v>0</v>
      </c>
      <c r="V10222" s="22">
        <f>2.67/5</f>
        <v>0.53400000000000003</v>
      </c>
      <c r="X10222" s="3">
        <v>2</v>
      </c>
      <c r="Z10222" s="23">
        <v>2</v>
      </c>
      <c r="AB10222" s="18">
        <f t="shared" si="318"/>
        <v>1989</v>
      </c>
      <c r="AC10222" s="22">
        <f t="shared" si="319"/>
        <v>0.46700000000000003</v>
      </c>
    </row>
    <row r="10223" spans="1:29">
      <c r="A10223" s="8" t="s">
        <v>2854</v>
      </c>
      <c r="B10223" s="17" t="s">
        <v>7789</v>
      </c>
      <c r="C10223" s="13">
        <v>32749</v>
      </c>
      <c r="D10223" s="13" t="s">
        <v>8465</v>
      </c>
      <c r="E10223" s="10" t="s">
        <v>62</v>
      </c>
      <c r="F10223" s="10" t="s">
        <v>167</v>
      </c>
      <c r="H10223" s="2" t="s">
        <v>21</v>
      </c>
      <c r="L10223" s="18">
        <v>0</v>
      </c>
      <c r="Q10223" s="18">
        <v>0</v>
      </c>
      <c r="V10223" s="22">
        <f>3.96/5</f>
        <v>0.79200000000000004</v>
      </c>
      <c r="X10223" s="3">
        <v>3</v>
      </c>
      <c r="Z10223" s="23">
        <v>1.5</v>
      </c>
      <c r="AB10223" s="18">
        <f t="shared" si="318"/>
        <v>1989</v>
      </c>
      <c r="AC10223" s="22">
        <f t="shared" si="319"/>
        <v>0.69599999999999995</v>
      </c>
    </row>
    <row r="10224" spans="1:29">
      <c r="A10224" s="8" t="s">
        <v>2853</v>
      </c>
      <c r="B10224" s="17" t="s">
        <v>7789</v>
      </c>
      <c r="C10224" s="13">
        <v>32749</v>
      </c>
      <c r="D10224" s="13" t="s">
        <v>8465</v>
      </c>
      <c r="E10224" s="10" t="s">
        <v>2870</v>
      </c>
      <c r="F10224" s="10" t="s">
        <v>1247</v>
      </c>
      <c r="G10224" s="11" t="s">
        <v>1382</v>
      </c>
      <c r="H10224" s="2" t="s">
        <v>1383</v>
      </c>
      <c r="L10224" s="18">
        <v>0</v>
      </c>
      <c r="Q10224" s="18">
        <v>0</v>
      </c>
      <c r="V10224" s="22">
        <f>3.63/5</f>
        <v>0.72599999999999998</v>
      </c>
      <c r="X10224" s="3">
        <v>3</v>
      </c>
      <c r="Z10224" s="23">
        <v>2</v>
      </c>
      <c r="AB10224" s="18">
        <f t="shared" si="318"/>
        <v>1989</v>
      </c>
      <c r="AC10224" s="22">
        <f t="shared" si="319"/>
        <v>0.66300000000000003</v>
      </c>
    </row>
    <row r="10225" spans="1:29" ht="30">
      <c r="A10225" s="8" t="s">
        <v>2851</v>
      </c>
      <c r="B10225" s="17" t="s">
        <v>7789</v>
      </c>
      <c r="C10225" s="13">
        <v>32749</v>
      </c>
      <c r="D10225" s="13" t="s">
        <v>8465</v>
      </c>
      <c r="E10225" s="10" t="s">
        <v>2870</v>
      </c>
      <c r="F10225" s="10" t="s">
        <v>1420</v>
      </c>
      <c r="H10225" s="2" t="s">
        <v>64</v>
      </c>
      <c r="L10225" s="18">
        <v>0</v>
      </c>
      <c r="Q10225" s="18">
        <v>0</v>
      </c>
      <c r="V10225" s="22">
        <f>3.12/5</f>
        <v>0.624</v>
      </c>
      <c r="X10225" s="3">
        <v>2</v>
      </c>
      <c r="Z10225" s="23">
        <v>2</v>
      </c>
      <c r="AB10225" s="18">
        <f t="shared" si="318"/>
        <v>1989</v>
      </c>
      <c r="AC10225" s="22">
        <f t="shared" si="319"/>
        <v>0.51200000000000001</v>
      </c>
    </row>
    <row r="10226" spans="1:29">
      <c r="A10226" s="8" t="s">
        <v>2594</v>
      </c>
      <c r="B10226" s="17" t="s">
        <v>7751</v>
      </c>
      <c r="C10226" s="13">
        <v>32734</v>
      </c>
      <c r="D10226" s="13" t="s">
        <v>8465</v>
      </c>
      <c r="E10226" s="10" t="s">
        <v>455</v>
      </c>
      <c r="F10226" s="10" t="s">
        <v>1297</v>
      </c>
      <c r="G10226" s="11" t="s">
        <v>1298</v>
      </c>
      <c r="H10226" s="2" t="s">
        <v>21</v>
      </c>
      <c r="L10226" s="18">
        <v>0</v>
      </c>
      <c r="Q10226" s="18">
        <v>0</v>
      </c>
      <c r="U10226" s="22">
        <v>0.72</v>
      </c>
      <c r="V10226" s="22">
        <f>3.34/5</f>
        <v>0.66799999999999993</v>
      </c>
      <c r="X10226" s="3">
        <v>3</v>
      </c>
      <c r="Z10226" s="23">
        <v>0.75</v>
      </c>
      <c r="AB10226" s="18">
        <f t="shared" si="318"/>
        <v>1989</v>
      </c>
      <c r="AC10226" s="22">
        <f t="shared" si="319"/>
        <v>0.66266666666666663</v>
      </c>
    </row>
    <row r="10227" spans="1:29">
      <c r="A10227" s="8" t="s">
        <v>1938</v>
      </c>
      <c r="B10227" s="17" t="s">
        <v>7751</v>
      </c>
      <c r="C10227" s="13">
        <v>32734</v>
      </c>
      <c r="D10227" s="13" t="s">
        <v>8465</v>
      </c>
      <c r="E10227" s="10" t="s">
        <v>455</v>
      </c>
      <c r="F10227" s="10" t="s">
        <v>455</v>
      </c>
      <c r="G10227" s="11" t="s">
        <v>1938</v>
      </c>
      <c r="H10227" s="2" t="s">
        <v>153</v>
      </c>
      <c r="L10227" s="18">
        <v>0</v>
      </c>
      <c r="Q10227" s="18">
        <v>0</v>
      </c>
      <c r="U10227" s="22">
        <v>0.51</v>
      </c>
      <c r="V10227" s="22">
        <f>3.13/5</f>
        <v>0.626</v>
      </c>
      <c r="X10227" s="3">
        <v>3</v>
      </c>
      <c r="Z10227" s="23">
        <v>1.5</v>
      </c>
      <c r="AB10227" s="18">
        <f t="shared" si="318"/>
        <v>1989</v>
      </c>
      <c r="AC10227" s="22">
        <f t="shared" si="319"/>
        <v>0.57866666666666677</v>
      </c>
    </row>
    <row r="10228" spans="1:29">
      <c r="A10228" s="8" t="s">
        <v>2588</v>
      </c>
      <c r="B10228" s="17" t="s">
        <v>7751</v>
      </c>
      <c r="C10228" s="13">
        <v>32734</v>
      </c>
      <c r="D10228" s="13" t="s">
        <v>8465</v>
      </c>
      <c r="E10228" s="10" t="s">
        <v>455</v>
      </c>
      <c r="F10228" s="10" t="s">
        <v>455</v>
      </c>
      <c r="G10228" s="11" t="s">
        <v>2503</v>
      </c>
      <c r="H10228" s="2" t="s">
        <v>21</v>
      </c>
      <c r="L10228" s="18">
        <v>0</v>
      </c>
      <c r="Q10228" s="18">
        <v>0</v>
      </c>
      <c r="U10228" s="22">
        <v>0.5</v>
      </c>
      <c r="V10228" s="22">
        <f>2.49/5</f>
        <v>0.49800000000000005</v>
      </c>
      <c r="X10228" s="3">
        <v>3</v>
      </c>
      <c r="Z10228" s="23">
        <v>0.48</v>
      </c>
      <c r="AB10228" s="18">
        <f t="shared" si="318"/>
        <v>1989</v>
      </c>
      <c r="AC10228" s="22">
        <f t="shared" si="319"/>
        <v>0.53266666666666662</v>
      </c>
    </row>
    <row r="10229" spans="1:29">
      <c r="A10229" s="8" t="s">
        <v>13748</v>
      </c>
      <c r="B10229" s="17" t="s">
        <v>7751</v>
      </c>
      <c r="C10229" s="13">
        <v>32734</v>
      </c>
      <c r="D10229" s="13" t="s">
        <v>8465</v>
      </c>
      <c r="E10229" s="10" t="s">
        <v>455</v>
      </c>
      <c r="F10229" s="10" t="s">
        <v>455</v>
      </c>
      <c r="G10229" s="11" t="s">
        <v>13745</v>
      </c>
      <c r="H10229" s="2" t="s">
        <v>1170</v>
      </c>
      <c r="L10229" s="18">
        <v>0</v>
      </c>
      <c r="Q10229" s="18">
        <v>0</v>
      </c>
      <c r="V10229" s="22">
        <f>3.23/5</f>
        <v>0.64600000000000002</v>
      </c>
      <c r="X10229" s="3">
        <v>2</v>
      </c>
      <c r="Z10229" s="23">
        <f>50/60</f>
        <v>0.83333333333333337</v>
      </c>
      <c r="AB10229" s="18">
        <f t="shared" si="318"/>
        <v>1989</v>
      </c>
      <c r="AC10229" s="22">
        <f t="shared" si="319"/>
        <v>0.52300000000000002</v>
      </c>
    </row>
    <row r="10230" spans="1:29">
      <c r="A10230" s="8" t="s">
        <v>2837</v>
      </c>
      <c r="B10230" s="17" t="s">
        <v>7787</v>
      </c>
      <c r="C10230" s="13">
        <v>32729</v>
      </c>
      <c r="D10230" s="13" t="s">
        <v>8463</v>
      </c>
      <c r="E10230" s="10" t="s">
        <v>1294</v>
      </c>
      <c r="F10230" s="10" t="s">
        <v>1294</v>
      </c>
      <c r="G10230" s="11" t="s">
        <v>1295</v>
      </c>
      <c r="H10230" s="2" t="s">
        <v>56</v>
      </c>
      <c r="K10230" s="18">
        <v>0</v>
      </c>
      <c r="L10230" s="18">
        <v>0</v>
      </c>
      <c r="Q10230" s="18">
        <v>0</v>
      </c>
      <c r="V10230" s="22">
        <f>3.67/5</f>
        <v>0.73399999999999999</v>
      </c>
      <c r="X10230" s="3">
        <v>3</v>
      </c>
      <c r="Z10230" s="23">
        <v>1</v>
      </c>
      <c r="AB10230" s="18">
        <f t="shared" si="318"/>
        <v>1989</v>
      </c>
      <c r="AC10230" s="22">
        <f t="shared" si="319"/>
        <v>0.66700000000000004</v>
      </c>
    </row>
    <row r="10231" spans="1:29">
      <c r="A10231" s="8" t="s">
        <v>185</v>
      </c>
      <c r="B10231" s="17" t="s">
        <v>7734</v>
      </c>
      <c r="C10231" s="12">
        <v>32721</v>
      </c>
      <c r="D10231" s="13" t="s">
        <v>8465</v>
      </c>
      <c r="E10231" s="10" t="s">
        <v>86</v>
      </c>
      <c r="F10231" s="10" t="s">
        <v>62</v>
      </c>
      <c r="G10231" s="11" t="s">
        <v>8748</v>
      </c>
      <c r="H10231" s="2" t="s">
        <v>171</v>
      </c>
      <c r="L10231" s="18">
        <v>0</v>
      </c>
      <c r="Q10231" s="18">
        <v>0</v>
      </c>
      <c r="V10231" s="22">
        <f>3.73/5</f>
        <v>0.746</v>
      </c>
      <c r="X10231" s="3">
        <v>3</v>
      </c>
      <c r="Z10231" s="23">
        <v>5.5</v>
      </c>
      <c r="AB10231" s="18">
        <f t="shared" si="318"/>
        <v>1989</v>
      </c>
      <c r="AC10231" s="22">
        <f t="shared" si="319"/>
        <v>0.67300000000000004</v>
      </c>
    </row>
    <row r="10232" spans="1:29" ht="25.5">
      <c r="A10232" s="8" t="s">
        <v>284</v>
      </c>
      <c r="B10232" s="17" t="s">
        <v>7734</v>
      </c>
      <c r="C10232" s="13">
        <v>32720</v>
      </c>
      <c r="D10232" s="13" t="s">
        <v>8463</v>
      </c>
      <c r="E10232" s="10" t="s">
        <v>158</v>
      </c>
      <c r="F10232" s="10" t="s">
        <v>63</v>
      </c>
      <c r="G10232" s="11" t="s">
        <v>303</v>
      </c>
      <c r="H10232" s="2" t="s">
        <v>153</v>
      </c>
      <c r="K10232" s="18">
        <v>2</v>
      </c>
      <c r="L10232" s="18">
        <v>0</v>
      </c>
      <c r="Q10232" s="18">
        <v>0</v>
      </c>
      <c r="V10232" s="22">
        <f>3.64/5</f>
        <v>0.72799999999999998</v>
      </c>
      <c r="X10232" s="3">
        <v>2</v>
      </c>
      <c r="Z10232" s="23">
        <v>1</v>
      </c>
      <c r="AB10232" s="18">
        <f t="shared" si="318"/>
        <v>1989</v>
      </c>
      <c r="AC10232" s="22">
        <f t="shared" si="319"/>
        <v>0.56400000000000006</v>
      </c>
    </row>
    <row r="10233" spans="1:29">
      <c r="A10233" s="8" t="s">
        <v>1346</v>
      </c>
      <c r="B10233" s="17" t="s">
        <v>13140</v>
      </c>
      <c r="C10233" s="13">
        <v>32712</v>
      </c>
      <c r="D10233" s="13" t="s">
        <v>8463</v>
      </c>
      <c r="E10233" s="10" t="s">
        <v>8155</v>
      </c>
      <c r="F10233" s="10" t="s">
        <v>8155</v>
      </c>
      <c r="G10233" s="11" t="s">
        <v>1346</v>
      </c>
      <c r="H10233" s="2" t="s">
        <v>56</v>
      </c>
      <c r="K10233" s="18">
        <v>0</v>
      </c>
      <c r="L10233" s="18">
        <v>0</v>
      </c>
      <c r="Q10233" s="18">
        <v>0</v>
      </c>
      <c r="V10233" s="22">
        <f>3/5</f>
        <v>0.6</v>
      </c>
      <c r="X10233" s="3">
        <v>2</v>
      </c>
      <c r="AB10233" s="18">
        <f t="shared" si="318"/>
        <v>1989</v>
      </c>
      <c r="AC10233" s="22">
        <f t="shared" si="319"/>
        <v>0.5</v>
      </c>
    </row>
    <row r="10234" spans="1:29" ht="25.5">
      <c r="A10234" s="8" t="s">
        <v>13468</v>
      </c>
      <c r="B10234" s="17" t="s">
        <v>7800</v>
      </c>
      <c r="C10234" s="13">
        <v>32703</v>
      </c>
      <c r="D10234" s="13" t="s">
        <v>8465</v>
      </c>
      <c r="E10234" s="10" t="s">
        <v>166</v>
      </c>
      <c r="F10234" s="10" t="s">
        <v>166</v>
      </c>
      <c r="G10234" s="11" t="s">
        <v>6921</v>
      </c>
      <c r="H10234" s="2" t="s">
        <v>2826</v>
      </c>
      <c r="L10234" s="18">
        <v>0</v>
      </c>
      <c r="Q10234" s="18">
        <v>0</v>
      </c>
      <c r="V10234" s="22">
        <f>3.42/5</f>
        <v>0.68399999999999994</v>
      </c>
      <c r="X10234" s="3">
        <v>2</v>
      </c>
      <c r="Z10234" s="23">
        <v>4.5</v>
      </c>
      <c r="AB10234" s="18">
        <f t="shared" si="318"/>
        <v>1989</v>
      </c>
      <c r="AC10234" s="22">
        <f t="shared" si="319"/>
        <v>0.54200000000000004</v>
      </c>
    </row>
    <row r="10235" spans="1:29" ht="38.25">
      <c r="A10235" s="8" t="s">
        <v>6851</v>
      </c>
      <c r="B10235" s="17" t="s">
        <v>7800</v>
      </c>
      <c r="C10235" s="12">
        <v>32690</v>
      </c>
      <c r="D10235" s="13" t="s">
        <v>8465</v>
      </c>
      <c r="E10235" s="10" t="s">
        <v>6908</v>
      </c>
      <c r="F10235" s="10" t="s">
        <v>6908</v>
      </c>
      <c r="G10235" s="11" t="s">
        <v>6893</v>
      </c>
      <c r="H10235" s="2" t="s">
        <v>67</v>
      </c>
      <c r="L10235" s="18">
        <v>1</v>
      </c>
      <c r="N10235" s="13">
        <v>44866</v>
      </c>
      <c r="O10235" s="29">
        <v>0</v>
      </c>
      <c r="P10235" s="18" t="s">
        <v>1107</v>
      </c>
      <c r="Q10235" s="18">
        <v>0</v>
      </c>
      <c r="U10235" s="22">
        <v>0.6</v>
      </c>
      <c r="V10235" s="22">
        <f>3.83/5</f>
        <v>0.76600000000000001</v>
      </c>
      <c r="W10235" s="14" t="s">
        <v>7799</v>
      </c>
      <c r="X10235" s="3">
        <v>4</v>
      </c>
      <c r="Z10235" s="23">
        <v>5.5</v>
      </c>
      <c r="AB10235" s="18">
        <f t="shared" si="318"/>
        <v>1989</v>
      </c>
      <c r="AC10235" s="22">
        <f t="shared" si="319"/>
        <v>0.72200000000000009</v>
      </c>
    </row>
    <row r="10236" spans="1:29">
      <c r="A10236" s="8" t="s">
        <v>375</v>
      </c>
      <c r="B10236" s="17" t="s">
        <v>6317</v>
      </c>
      <c r="C10236" s="12">
        <v>32690</v>
      </c>
      <c r="D10236" s="13" t="s">
        <v>8465</v>
      </c>
      <c r="E10236" s="10" t="s">
        <v>73</v>
      </c>
      <c r="F10236" s="10" t="s">
        <v>73</v>
      </c>
      <c r="G10236" s="11" t="s">
        <v>74</v>
      </c>
      <c r="H10236" s="2" t="s">
        <v>153</v>
      </c>
      <c r="L10236" s="18">
        <v>0</v>
      </c>
      <c r="Q10236" s="18">
        <v>0</v>
      </c>
      <c r="V10236" s="22">
        <f>3.03/5</f>
        <v>0.60599999999999998</v>
      </c>
      <c r="X10236" s="3">
        <v>3</v>
      </c>
      <c r="Z10236" s="23">
        <f>32/60</f>
        <v>0.53333333333333333</v>
      </c>
      <c r="AB10236" s="18">
        <f t="shared" si="318"/>
        <v>1989</v>
      </c>
      <c r="AC10236" s="22">
        <f t="shared" si="319"/>
        <v>0.60299999999999998</v>
      </c>
    </row>
    <row r="10237" spans="1:29" ht="38.25">
      <c r="A10237" s="8" t="s">
        <v>14286</v>
      </c>
      <c r="B10237" s="17" t="s">
        <v>7734</v>
      </c>
      <c r="C10237" s="13">
        <v>32684</v>
      </c>
      <c r="D10237" s="13" t="s">
        <v>8463</v>
      </c>
      <c r="E10237" s="10" t="s">
        <v>14287</v>
      </c>
      <c r="F10237" s="10" t="s">
        <v>81</v>
      </c>
      <c r="G10237" s="11" t="s">
        <v>1395</v>
      </c>
      <c r="H10237" s="2" t="s">
        <v>75</v>
      </c>
      <c r="K10237" s="18">
        <v>2</v>
      </c>
      <c r="L10237" s="18">
        <v>0</v>
      </c>
      <c r="Q10237" s="18">
        <v>0</v>
      </c>
      <c r="V10237" s="22">
        <f>3.37/5</f>
        <v>0.67400000000000004</v>
      </c>
      <c r="X10237" s="3">
        <v>2</v>
      </c>
      <c r="AB10237" s="18">
        <f t="shared" si="318"/>
        <v>1989</v>
      </c>
      <c r="AC10237" s="22">
        <f t="shared" si="319"/>
        <v>0.53700000000000003</v>
      </c>
    </row>
    <row r="10238" spans="1:29" ht="25.5">
      <c r="A10238" s="8" t="s">
        <v>14041</v>
      </c>
      <c r="B10238" s="17" t="s">
        <v>7734</v>
      </c>
      <c r="C10238" s="13">
        <v>32682</v>
      </c>
      <c r="D10238" s="13" t="s">
        <v>8463</v>
      </c>
      <c r="E10238" s="10" t="s">
        <v>158</v>
      </c>
      <c r="F10238" s="10" t="s">
        <v>158</v>
      </c>
      <c r="H10238" s="2" t="s">
        <v>149</v>
      </c>
      <c r="K10238" s="18">
        <v>2</v>
      </c>
      <c r="L10238" s="18">
        <v>0</v>
      </c>
      <c r="Q10238" s="18">
        <v>0</v>
      </c>
      <c r="V10238" s="22">
        <f>3.53/5</f>
        <v>0.70599999999999996</v>
      </c>
      <c r="X10238" s="3">
        <v>2</v>
      </c>
      <c r="AB10238" s="18">
        <f t="shared" si="318"/>
        <v>1989</v>
      </c>
      <c r="AC10238" s="22">
        <f t="shared" si="319"/>
        <v>0.55299999999999994</v>
      </c>
    </row>
    <row r="10239" spans="1:29" ht="30">
      <c r="A10239" s="8" t="s">
        <v>215</v>
      </c>
      <c r="B10239" s="17" t="s">
        <v>7734</v>
      </c>
      <c r="C10239" s="12">
        <v>32660</v>
      </c>
      <c r="D10239" s="13" t="s">
        <v>8465</v>
      </c>
      <c r="E10239" s="10" t="s">
        <v>244</v>
      </c>
      <c r="F10239" s="10" t="s">
        <v>72</v>
      </c>
      <c r="G10239" s="11" t="s">
        <v>215</v>
      </c>
      <c r="H10239" s="2" t="s">
        <v>56</v>
      </c>
      <c r="L10239" s="18">
        <v>0</v>
      </c>
      <c r="Q10239" s="18">
        <v>0</v>
      </c>
      <c r="V10239" s="22">
        <f>3.18/5</f>
        <v>0.63600000000000001</v>
      </c>
      <c r="X10239" s="3">
        <v>3</v>
      </c>
      <c r="Z10239" s="23">
        <v>1</v>
      </c>
      <c r="AB10239" s="18">
        <f t="shared" si="318"/>
        <v>1989</v>
      </c>
      <c r="AC10239" s="22">
        <f t="shared" si="319"/>
        <v>0.61799999999999999</v>
      </c>
    </row>
    <row r="10240" spans="1:29">
      <c r="A10240" s="8" t="s">
        <v>14469</v>
      </c>
      <c r="B10240" s="17" t="s">
        <v>7734</v>
      </c>
      <c r="C10240" s="12">
        <v>32660</v>
      </c>
      <c r="D10240" s="13" t="s">
        <v>8465</v>
      </c>
      <c r="E10240" s="10" t="s">
        <v>157</v>
      </c>
      <c r="F10240" s="10" t="s">
        <v>81</v>
      </c>
      <c r="H10240" s="2" t="s">
        <v>56</v>
      </c>
      <c r="L10240" s="18">
        <v>0</v>
      </c>
      <c r="Q10240" s="18">
        <v>0</v>
      </c>
      <c r="V10240" s="22">
        <f>3.55/5</f>
        <v>0.71</v>
      </c>
      <c r="X10240" s="3">
        <v>2</v>
      </c>
      <c r="Z10240" s="23">
        <v>1.5</v>
      </c>
      <c r="AB10240" s="18">
        <f t="shared" si="318"/>
        <v>1989</v>
      </c>
      <c r="AC10240" s="22">
        <f t="shared" si="319"/>
        <v>0.55499999999999994</v>
      </c>
    </row>
    <row r="10241" spans="1:29">
      <c r="A10241" s="8" t="s">
        <v>14497</v>
      </c>
      <c r="B10241" s="17" t="s">
        <v>7734</v>
      </c>
      <c r="C10241" s="12">
        <v>32660</v>
      </c>
      <c r="D10241" s="13" t="s">
        <v>8465</v>
      </c>
      <c r="E10241" s="10" t="s">
        <v>1427</v>
      </c>
      <c r="F10241" s="10" t="s">
        <v>1427</v>
      </c>
      <c r="G10241" s="11" t="s">
        <v>14497</v>
      </c>
      <c r="H10241" s="2" t="s">
        <v>171</v>
      </c>
      <c r="L10241" s="18">
        <v>0</v>
      </c>
      <c r="Q10241" s="18">
        <v>0</v>
      </c>
      <c r="V10241" s="22">
        <f>2.11/5</f>
        <v>0.42199999999999999</v>
      </c>
      <c r="X10241" s="3">
        <v>2</v>
      </c>
      <c r="Z10241" s="23">
        <v>3</v>
      </c>
      <c r="AB10241" s="18">
        <f t="shared" ref="AB10241:AB10304" si="320">IFERROR(YEAR(C10241), "Early Access")</f>
        <v>1989</v>
      </c>
      <c r="AC10241" s="22">
        <f t="shared" ref="AC10241:AC10304" si="321">AVERAGE(T10241, U10241, V10241, IF(ISBLANK(X10241), X10241, X10241/5))</f>
        <v>0.41100000000000003</v>
      </c>
    </row>
    <row r="10242" spans="1:29">
      <c r="A10242" s="8" t="s">
        <v>280</v>
      </c>
      <c r="B10242" s="17" t="s">
        <v>7734</v>
      </c>
      <c r="C10242" s="13">
        <v>32626</v>
      </c>
      <c r="D10242" s="13" t="s">
        <v>8463</v>
      </c>
      <c r="E10242" s="10" t="s">
        <v>144</v>
      </c>
      <c r="F10242" s="10" t="s">
        <v>144</v>
      </c>
      <c r="H10242" s="2" t="s">
        <v>56</v>
      </c>
      <c r="K10242" s="18">
        <v>2</v>
      </c>
      <c r="L10242" s="18">
        <v>0</v>
      </c>
      <c r="Q10242" s="18">
        <v>0</v>
      </c>
      <c r="V10242" s="22">
        <f>3.58/5</f>
        <v>0.71599999999999997</v>
      </c>
      <c r="X10242" s="3">
        <v>3</v>
      </c>
      <c r="Z10242" s="23">
        <v>4</v>
      </c>
      <c r="AB10242" s="18">
        <f t="shared" si="320"/>
        <v>1989</v>
      </c>
      <c r="AC10242" s="22">
        <f t="shared" si="321"/>
        <v>0.65799999999999992</v>
      </c>
    </row>
    <row r="10243" spans="1:29">
      <c r="A10243" s="8" t="s">
        <v>28</v>
      </c>
      <c r="B10243" s="17" t="s">
        <v>7734</v>
      </c>
      <c r="C10243" s="13">
        <v>32618</v>
      </c>
      <c r="D10243" s="13" t="s">
        <v>8465</v>
      </c>
      <c r="E10243" s="10" t="s">
        <v>29</v>
      </c>
      <c r="F10243" s="10" t="s">
        <v>30</v>
      </c>
      <c r="G10243" s="11" t="s">
        <v>53</v>
      </c>
      <c r="H10243" s="2" t="s">
        <v>31</v>
      </c>
      <c r="L10243" s="18">
        <v>0</v>
      </c>
      <c r="Q10243" s="18">
        <v>0</v>
      </c>
      <c r="V10243" s="22">
        <f>3.7/5</f>
        <v>0.74</v>
      </c>
      <c r="X10243" s="3">
        <v>2</v>
      </c>
      <c r="Z10243" s="23">
        <v>3.5</v>
      </c>
      <c r="AB10243" s="18">
        <f t="shared" si="320"/>
        <v>1989</v>
      </c>
      <c r="AC10243" s="22">
        <f t="shared" si="321"/>
        <v>0.57000000000000006</v>
      </c>
    </row>
    <row r="10244" spans="1:29">
      <c r="A10244" s="8" t="s">
        <v>221</v>
      </c>
      <c r="B10244" s="17" t="s">
        <v>7734</v>
      </c>
      <c r="C10244" s="12">
        <v>32599</v>
      </c>
      <c r="D10244" s="13" t="s">
        <v>8465</v>
      </c>
      <c r="E10244" s="10" t="s">
        <v>248</v>
      </c>
      <c r="F10244" s="10" t="s">
        <v>167</v>
      </c>
      <c r="H10244" s="2" t="s">
        <v>21</v>
      </c>
      <c r="L10244" s="18">
        <v>0</v>
      </c>
      <c r="Q10244" s="18">
        <v>0</v>
      </c>
      <c r="V10244" s="22">
        <f>4.13/5</f>
        <v>0.82599999999999996</v>
      </c>
      <c r="X10244" s="3">
        <v>3</v>
      </c>
      <c r="Z10244" s="23">
        <v>4.5</v>
      </c>
      <c r="AB10244" s="18">
        <f t="shared" si="320"/>
        <v>1989</v>
      </c>
      <c r="AC10244" s="22">
        <f t="shared" si="321"/>
        <v>0.71299999999999997</v>
      </c>
    </row>
    <row r="10245" spans="1:29">
      <c r="A10245" s="8" t="s">
        <v>11836</v>
      </c>
      <c r="B10245" s="17" t="s">
        <v>7734</v>
      </c>
      <c r="C10245" s="12">
        <v>32599</v>
      </c>
      <c r="D10245" s="13" t="s">
        <v>8465</v>
      </c>
      <c r="E10245" s="10" t="s">
        <v>248</v>
      </c>
      <c r="F10245" s="10" t="s">
        <v>1245</v>
      </c>
      <c r="G10245" s="11" t="s">
        <v>11837</v>
      </c>
      <c r="H10245" s="2" t="s">
        <v>171</v>
      </c>
      <c r="L10245" s="18">
        <v>0</v>
      </c>
      <c r="Q10245" s="18">
        <v>0</v>
      </c>
      <c r="V10245" s="22">
        <f>3.44/5</f>
        <v>0.68799999999999994</v>
      </c>
      <c r="X10245" s="3">
        <v>3</v>
      </c>
      <c r="Z10245" s="23">
        <v>4.5</v>
      </c>
      <c r="AB10245" s="18">
        <f t="shared" si="320"/>
        <v>1989</v>
      </c>
      <c r="AC10245" s="22">
        <f t="shared" si="321"/>
        <v>0.64399999999999991</v>
      </c>
    </row>
    <row r="10246" spans="1:29">
      <c r="A10246" s="8" t="s">
        <v>111</v>
      </c>
      <c r="B10246" s="17" t="s">
        <v>13527</v>
      </c>
      <c r="C10246" s="12">
        <v>32599</v>
      </c>
      <c r="D10246" s="13" t="s">
        <v>8465</v>
      </c>
      <c r="E10246" s="10" t="s">
        <v>13204</v>
      </c>
      <c r="F10246" s="10" t="s">
        <v>6882</v>
      </c>
      <c r="G10246" s="11" t="s">
        <v>111</v>
      </c>
      <c r="H10246" s="2" t="s">
        <v>153</v>
      </c>
      <c r="L10246" s="18">
        <v>0</v>
      </c>
      <c r="Q10246" s="18">
        <v>0</v>
      </c>
      <c r="V10246" s="22">
        <f>3.44/5</f>
        <v>0.68799999999999994</v>
      </c>
      <c r="X10246" s="3">
        <v>2</v>
      </c>
      <c r="Z10246" s="23">
        <v>1</v>
      </c>
      <c r="AB10246" s="18">
        <f t="shared" si="320"/>
        <v>1989</v>
      </c>
      <c r="AC10246" s="22">
        <f t="shared" si="321"/>
        <v>0.54400000000000004</v>
      </c>
    </row>
    <row r="10247" spans="1:29" ht="30">
      <c r="A10247" s="8" t="s">
        <v>15168</v>
      </c>
      <c r="B10247" s="17" t="s">
        <v>7750</v>
      </c>
      <c r="C10247" s="12">
        <v>32599</v>
      </c>
      <c r="D10247" s="13" t="s">
        <v>8465</v>
      </c>
      <c r="E10247" s="10" t="s">
        <v>455</v>
      </c>
      <c r="F10247" s="10" t="s">
        <v>455</v>
      </c>
      <c r="H10247" s="2" t="s">
        <v>151</v>
      </c>
      <c r="L10247" s="18">
        <v>0</v>
      </c>
      <c r="Q10247" s="18">
        <v>0</v>
      </c>
      <c r="V10247" s="22">
        <f>2.89/5</f>
        <v>0.57800000000000007</v>
      </c>
      <c r="X10247" s="3">
        <v>2</v>
      </c>
      <c r="Z10247" s="23">
        <v>5</v>
      </c>
      <c r="AB10247" s="18">
        <f t="shared" si="320"/>
        <v>1989</v>
      </c>
      <c r="AC10247" s="22">
        <f t="shared" si="321"/>
        <v>0.48900000000000005</v>
      </c>
    </row>
    <row r="10248" spans="1:29" ht="25.5">
      <c r="A10248" s="8" t="s">
        <v>11852</v>
      </c>
      <c r="B10248" s="17" t="s">
        <v>7789</v>
      </c>
      <c r="C10248" s="13">
        <v>32599</v>
      </c>
      <c r="D10248" s="13" t="s">
        <v>8463</v>
      </c>
      <c r="E10248" s="10" t="s">
        <v>57</v>
      </c>
      <c r="F10248" s="10" t="s">
        <v>57</v>
      </c>
      <c r="H10248" s="2" t="s">
        <v>171</v>
      </c>
      <c r="K10248" s="18">
        <v>2</v>
      </c>
      <c r="L10248" s="18">
        <v>0</v>
      </c>
      <c r="Q10248" s="18">
        <v>0</v>
      </c>
      <c r="V10248" s="22">
        <f>2.38/5</f>
        <v>0.47599999999999998</v>
      </c>
      <c r="X10248" s="3">
        <v>2</v>
      </c>
      <c r="AB10248" s="18">
        <f t="shared" si="320"/>
        <v>1989</v>
      </c>
      <c r="AC10248" s="22">
        <f t="shared" si="321"/>
        <v>0.438</v>
      </c>
    </row>
    <row r="10249" spans="1:29">
      <c r="A10249" s="8" t="s">
        <v>9657</v>
      </c>
      <c r="B10249" s="17" t="s">
        <v>7734</v>
      </c>
      <c r="C10249" s="12">
        <v>32599</v>
      </c>
      <c r="D10249" s="13" t="s">
        <v>8465</v>
      </c>
      <c r="E10249" s="10" t="s">
        <v>1273</v>
      </c>
      <c r="F10249" s="10" t="s">
        <v>1237</v>
      </c>
      <c r="G10249" s="11" t="s">
        <v>9657</v>
      </c>
      <c r="H10249" s="2" t="s">
        <v>56</v>
      </c>
      <c r="L10249" s="18">
        <v>0</v>
      </c>
      <c r="Q10249" s="18">
        <v>0</v>
      </c>
      <c r="V10249" s="22">
        <f>2.16/5</f>
        <v>0.43200000000000005</v>
      </c>
      <c r="X10249" s="3">
        <v>2</v>
      </c>
      <c r="Z10249" s="23">
        <f>42/60</f>
        <v>0.7</v>
      </c>
      <c r="AB10249" s="18">
        <f t="shared" si="320"/>
        <v>1989</v>
      </c>
      <c r="AC10249" s="22">
        <f t="shared" si="321"/>
        <v>0.41600000000000004</v>
      </c>
    </row>
    <row r="10250" spans="1:29">
      <c r="A10250" s="8" t="s">
        <v>15643</v>
      </c>
      <c r="B10250" s="17" t="s">
        <v>7734</v>
      </c>
      <c r="C10250" s="12">
        <v>32599</v>
      </c>
      <c r="D10250" s="13" t="s">
        <v>8465</v>
      </c>
      <c r="E10250" s="10" t="s">
        <v>240</v>
      </c>
      <c r="F10250" s="10" t="s">
        <v>15644</v>
      </c>
      <c r="H10250" s="2" t="s">
        <v>64</v>
      </c>
      <c r="L10250" s="18">
        <v>0</v>
      </c>
      <c r="Q10250" s="18">
        <v>0</v>
      </c>
      <c r="V10250" s="22">
        <f>2.69/5</f>
        <v>0.53800000000000003</v>
      </c>
      <c r="X10250" s="3">
        <v>2</v>
      </c>
      <c r="Z10250" s="23">
        <v>4.5</v>
      </c>
      <c r="AB10250" s="18">
        <f t="shared" si="320"/>
        <v>1989</v>
      </c>
      <c r="AC10250" s="22">
        <f t="shared" si="321"/>
        <v>0.46900000000000003</v>
      </c>
    </row>
    <row r="10251" spans="1:29" ht="25.5">
      <c r="A10251" s="8" t="s">
        <v>6817</v>
      </c>
      <c r="B10251" s="17" t="s">
        <v>7800</v>
      </c>
      <c r="C10251" s="13">
        <v>32591</v>
      </c>
      <c r="D10251" s="13" t="s">
        <v>8465</v>
      </c>
      <c r="E10251" s="10" t="s">
        <v>1496</v>
      </c>
      <c r="F10251" s="10" t="s">
        <v>1496</v>
      </c>
      <c r="G10251" s="11" t="s">
        <v>6903</v>
      </c>
      <c r="H10251" s="2" t="s">
        <v>67</v>
      </c>
      <c r="L10251" s="18">
        <v>1</v>
      </c>
      <c r="N10251" s="13">
        <v>43956</v>
      </c>
      <c r="O10251" s="29">
        <v>0</v>
      </c>
      <c r="P10251" s="18" t="s">
        <v>1107</v>
      </c>
      <c r="Q10251" s="18">
        <v>0</v>
      </c>
      <c r="U10251" s="22">
        <v>0.8</v>
      </c>
      <c r="V10251" s="22">
        <f>3.83/5</f>
        <v>0.76600000000000001</v>
      </c>
      <c r="W10251" s="14" t="s">
        <v>7777</v>
      </c>
      <c r="X10251" s="3">
        <v>3</v>
      </c>
      <c r="Z10251" s="23">
        <v>3</v>
      </c>
      <c r="AB10251" s="18">
        <f t="shared" si="320"/>
        <v>1989</v>
      </c>
      <c r="AC10251" s="22">
        <f t="shared" si="321"/>
        <v>0.72199999999999998</v>
      </c>
    </row>
    <row r="10252" spans="1:29" ht="25.5">
      <c r="A10252" s="8" t="s">
        <v>11878</v>
      </c>
      <c r="B10252" s="17" t="s">
        <v>7789</v>
      </c>
      <c r="C10252" s="13">
        <v>32591</v>
      </c>
      <c r="D10252" s="13" t="s">
        <v>8463</v>
      </c>
      <c r="E10252" s="10" t="s">
        <v>1468</v>
      </c>
      <c r="F10252" s="10" t="s">
        <v>1468</v>
      </c>
      <c r="H10252" s="2" t="s">
        <v>171</v>
      </c>
      <c r="K10252" s="18">
        <v>2</v>
      </c>
      <c r="L10252" s="18">
        <v>0</v>
      </c>
      <c r="Q10252" s="18">
        <v>0</v>
      </c>
      <c r="V10252" s="22">
        <f>3.5/5</f>
        <v>0.7</v>
      </c>
      <c r="X10252" s="3">
        <v>2</v>
      </c>
      <c r="AB10252" s="18">
        <f t="shared" si="320"/>
        <v>1989</v>
      </c>
      <c r="AC10252" s="22">
        <f t="shared" si="321"/>
        <v>0.55000000000000004</v>
      </c>
    </row>
    <row r="10253" spans="1:29">
      <c r="A10253" s="8" t="s">
        <v>15647</v>
      </c>
      <c r="B10253" s="17" t="s">
        <v>7734</v>
      </c>
      <c r="C10253" s="13">
        <v>32586</v>
      </c>
      <c r="D10253" s="13" t="s">
        <v>8463</v>
      </c>
      <c r="E10253" s="10" t="s">
        <v>9060</v>
      </c>
      <c r="F10253" s="10" t="s">
        <v>14464</v>
      </c>
      <c r="H10253" s="2" t="s">
        <v>149</v>
      </c>
      <c r="K10253" s="18">
        <v>1</v>
      </c>
      <c r="L10253" s="18">
        <v>0</v>
      </c>
      <c r="Q10253" s="18">
        <v>0</v>
      </c>
      <c r="V10253" s="22">
        <f>3.79/5</f>
        <v>0.75800000000000001</v>
      </c>
      <c r="X10253" s="3">
        <v>3</v>
      </c>
      <c r="AB10253" s="18">
        <f t="shared" si="320"/>
        <v>1989</v>
      </c>
      <c r="AC10253" s="22">
        <f t="shared" si="321"/>
        <v>0.67900000000000005</v>
      </c>
    </row>
    <row r="10254" spans="1:29" ht="30">
      <c r="A10254" s="8" t="s">
        <v>13369</v>
      </c>
      <c r="B10254" s="17" t="s">
        <v>7789</v>
      </c>
      <c r="C10254" s="13">
        <v>32585</v>
      </c>
      <c r="D10254" s="13" t="s">
        <v>8463</v>
      </c>
      <c r="E10254" s="10" t="s">
        <v>1430</v>
      </c>
      <c r="F10254" s="10" t="s">
        <v>1430</v>
      </c>
      <c r="G10254" s="11" t="s">
        <v>13369</v>
      </c>
      <c r="H10254" s="2" t="s">
        <v>56</v>
      </c>
      <c r="K10254" s="18">
        <v>0</v>
      </c>
      <c r="L10254" s="18">
        <v>0</v>
      </c>
      <c r="Q10254" s="18">
        <v>0</v>
      </c>
      <c r="V10254" s="22">
        <f>3.55/5</f>
        <v>0.71</v>
      </c>
      <c r="X10254" s="3">
        <v>2</v>
      </c>
      <c r="Z10254" s="23">
        <f>30/60</f>
        <v>0.5</v>
      </c>
      <c r="AB10254" s="18">
        <f t="shared" si="320"/>
        <v>1989</v>
      </c>
      <c r="AC10254" s="22">
        <f t="shared" si="321"/>
        <v>0.55499999999999994</v>
      </c>
    </row>
    <row r="10255" spans="1:29">
      <c r="A10255" s="8" t="s">
        <v>11868</v>
      </c>
      <c r="B10255" s="17" t="s">
        <v>7789</v>
      </c>
      <c r="C10255" s="13">
        <v>32584</v>
      </c>
      <c r="D10255" s="13" t="s">
        <v>8463</v>
      </c>
      <c r="E10255" s="10" t="s">
        <v>11869</v>
      </c>
      <c r="F10255" s="10" t="s">
        <v>11869</v>
      </c>
      <c r="H10255" s="2" t="s">
        <v>1377</v>
      </c>
      <c r="K10255" s="18">
        <v>2</v>
      </c>
      <c r="L10255" s="18">
        <v>0</v>
      </c>
      <c r="Q10255" s="18">
        <v>0</v>
      </c>
      <c r="V10255" s="22">
        <f>3.7/5</f>
        <v>0.74</v>
      </c>
      <c r="X10255" s="3">
        <v>2</v>
      </c>
      <c r="AB10255" s="18">
        <f t="shared" si="320"/>
        <v>1989</v>
      </c>
      <c r="AC10255" s="22">
        <f t="shared" si="321"/>
        <v>0.57000000000000006</v>
      </c>
    </row>
    <row r="10256" spans="1:29" ht="25.5">
      <c r="A10256" s="8" t="s">
        <v>14488</v>
      </c>
      <c r="B10256" s="17" t="s">
        <v>7734</v>
      </c>
      <c r="C10256" s="13">
        <v>32584</v>
      </c>
      <c r="D10256" s="13" t="s">
        <v>8463</v>
      </c>
      <c r="E10256" s="10" t="s">
        <v>14489</v>
      </c>
      <c r="F10256" s="10" t="s">
        <v>164</v>
      </c>
      <c r="G10256" s="11" t="s">
        <v>14487</v>
      </c>
      <c r="H10256" s="2" t="s">
        <v>67</v>
      </c>
      <c r="K10256" s="18">
        <v>2</v>
      </c>
      <c r="L10256" s="18">
        <v>0</v>
      </c>
      <c r="Q10256" s="18">
        <v>0</v>
      </c>
      <c r="V10256" s="22">
        <f>3.33/5</f>
        <v>0.66600000000000004</v>
      </c>
      <c r="X10256" s="3">
        <v>2</v>
      </c>
      <c r="Z10256" s="23">
        <v>2</v>
      </c>
      <c r="AB10256" s="18">
        <f t="shared" si="320"/>
        <v>1989</v>
      </c>
      <c r="AC10256" s="22">
        <f t="shared" si="321"/>
        <v>0.53300000000000003</v>
      </c>
    </row>
    <row r="10257" spans="1:29">
      <c r="A10257" s="8" t="s">
        <v>2615</v>
      </c>
      <c r="B10257" s="17" t="s">
        <v>7751</v>
      </c>
      <c r="C10257" s="12">
        <v>32568</v>
      </c>
      <c r="D10257" s="13" t="s">
        <v>8465</v>
      </c>
      <c r="E10257" s="10" t="s">
        <v>455</v>
      </c>
      <c r="F10257" s="10" t="s">
        <v>455</v>
      </c>
      <c r="G10257" s="11" t="s">
        <v>1936</v>
      </c>
      <c r="H10257" s="2" t="s">
        <v>149</v>
      </c>
      <c r="L10257" s="18">
        <v>0</v>
      </c>
      <c r="Q10257" s="18">
        <v>0</v>
      </c>
      <c r="U10257" s="22">
        <v>0.8</v>
      </c>
      <c r="V10257" s="22">
        <f>3.76/5</f>
        <v>0.752</v>
      </c>
      <c r="X10257" s="3">
        <v>4</v>
      </c>
      <c r="Z10257" s="23">
        <v>32.5</v>
      </c>
      <c r="AB10257" s="18">
        <f t="shared" si="320"/>
        <v>1989</v>
      </c>
      <c r="AC10257" s="22">
        <f t="shared" si="321"/>
        <v>0.78400000000000014</v>
      </c>
    </row>
    <row r="10258" spans="1:29">
      <c r="A10258" s="8" t="s">
        <v>14513</v>
      </c>
      <c r="B10258" s="17" t="s">
        <v>7767</v>
      </c>
      <c r="C10258" s="12">
        <v>32568</v>
      </c>
      <c r="D10258" s="13" t="s">
        <v>8465</v>
      </c>
      <c r="E10258" s="10" t="s">
        <v>231</v>
      </c>
      <c r="F10258" s="10" t="s">
        <v>2697</v>
      </c>
      <c r="H10258" s="2" t="s">
        <v>1061</v>
      </c>
      <c r="L10258" s="18">
        <v>0</v>
      </c>
      <c r="Q10258" s="18">
        <v>0</v>
      </c>
      <c r="V10258" s="22">
        <f>4.44/5</f>
        <v>0.88800000000000012</v>
      </c>
      <c r="X10258" s="3">
        <v>2</v>
      </c>
      <c r="AB10258" s="18">
        <f t="shared" si="320"/>
        <v>1989</v>
      </c>
      <c r="AC10258" s="22">
        <f t="shared" si="321"/>
        <v>0.64400000000000013</v>
      </c>
    </row>
    <row r="10259" spans="1:29">
      <c r="A10259" s="8" t="s">
        <v>139</v>
      </c>
      <c r="B10259" s="17" t="s">
        <v>7734</v>
      </c>
      <c r="C10259" s="12">
        <v>32568</v>
      </c>
      <c r="D10259" s="13" t="s">
        <v>8465</v>
      </c>
      <c r="E10259" s="10" t="s">
        <v>76</v>
      </c>
      <c r="F10259" s="10" t="s">
        <v>76</v>
      </c>
      <c r="G10259" s="11" t="s">
        <v>139</v>
      </c>
      <c r="H10259" s="2" t="s">
        <v>56</v>
      </c>
      <c r="L10259" s="18">
        <v>0</v>
      </c>
      <c r="Q10259" s="18">
        <v>0</v>
      </c>
      <c r="V10259" s="22">
        <f>3.94/5</f>
        <v>0.78800000000000003</v>
      </c>
      <c r="X10259" s="3">
        <v>2</v>
      </c>
      <c r="Z10259" s="23">
        <v>2.5</v>
      </c>
      <c r="AB10259" s="18">
        <f t="shared" si="320"/>
        <v>1989</v>
      </c>
      <c r="AC10259" s="22">
        <f t="shared" si="321"/>
        <v>0.59400000000000008</v>
      </c>
    </row>
    <row r="10260" spans="1:29" ht="25.5">
      <c r="A10260" s="8" t="s">
        <v>12337</v>
      </c>
      <c r="B10260" s="17" t="s">
        <v>7734</v>
      </c>
      <c r="C10260" s="13">
        <v>32554</v>
      </c>
      <c r="D10260" s="13" t="s">
        <v>8463</v>
      </c>
      <c r="E10260" s="10" t="s">
        <v>157</v>
      </c>
      <c r="F10260" s="10" t="s">
        <v>58</v>
      </c>
      <c r="G10260" s="11" t="s">
        <v>12338</v>
      </c>
      <c r="H10260" s="2" t="s">
        <v>171</v>
      </c>
      <c r="K10260" s="18">
        <v>2</v>
      </c>
      <c r="L10260" s="18">
        <v>0</v>
      </c>
      <c r="Q10260" s="18">
        <v>0</v>
      </c>
      <c r="V10260" s="22">
        <f>3.59/5</f>
        <v>0.71799999999999997</v>
      </c>
      <c r="X10260" s="3">
        <v>2</v>
      </c>
      <c r="AB10260" s="18">
        <f t="shared" si="320"/>
        <v>1989</v>
      </c>
      <c r="AC10260" s="22">
        <f t="shared" si="321"/>
        <v>0.55899999999999994</v>
      </c>
    </row>
    <row r="10261" spans="1:29">
      <c r="A10261" s="8" t="s">
        <v>15512</v>
      </c>
      <c r="B10261" s="17" t="s">
        <v>7734</v>
      </c>
      <c r="C10261" s="12">
        <v>32540</v>
      </c>
      <c r="D10261" s="13" t="s">
        <v>8465</v>
      </c>
      <c r="E10261" s="10" t="s">
        <v>76</v>
      </c>
      <c r="F10261" s="10" t="s">
        <v>76</v>
      </c>
      <c r="G10261" s="11" t="s">
        <v>15512</v>
      </c>
      <c r="H10261" s="2" t="s">
        <v>255</v>
      </c>
      <c r="L10261" s="18">
        <v>0</v>
      </c>
      <c r="Q10261" s="18">
        <v>0</v>
      </c>
      <c r="V10261" s="22">
        <f>3.63/5</f>
        <v>0.72599999999999998</v>
      </c>
      <c r="X10261" s="3">
        <v>2</v>
      </c>
      <c r="Z10261" s="23">
        <v>4</v>
      </c>
      <c r="AB10261" s="18">
        <f t="shared" si="320"/>
        <v>1989</v>
      </c>
      <c r="AC10261" s="22">
        <f t="shared" si="321"/>
        <v>0.56299999999999994</v>
      </c>
    </row>
    <row r="10262" spans="1:29">
      <c r="A10262" s="8" t="s">
        <v>278</v>
      </c>
      <c r="B10262" s="17" t="s">
        <v>7734</v>
      </c>
      <c r="C10262" s="13">
        <v>32512</v>
      </c>
      <c r="D10262" s="13" t="s">
        <v>8463</v>
      </c>
      <c r="E10262" s="10" t="s">
        <v>72</v>
      </c>
      <c r="F10262" s="10" t="s">
        <v>72</v>
      </c>
      <c r="G10262" s="11" t="s">
        <v>1242</v>
      </c>
      <c r="H10262" s="2" t="s">
        <v>80</v>
      </c>
      <c r="K10262" s="18">
        <v>2</v>
      </c>
      <c r="L10262" s="18">
        <v>0</v>
      </c>
      <c r="Q10262" s="18">
        <v>0</v>
      </c>
      <c r="V10262" s="22">
        <f>3.95/5</f>
        <v>0.79</v>
      </c>
      <c r="X10262" s="3">
        <v>3</v>
      </c>
      <c r="Z10262" s="23">
        <v>3.5</v>
      </c>
      <c r="AB10262" s="18">
        <f t="shared" si="320"/>
        <v>1989</v>
      </c>
      <c r="AC10262" s="22">
        <f t="shared" si="321"/>
        <v>0.69500000000000006</v>
      </c>
    </row>
    <row r="10263" spans="1:29" ht="30">
      <c r="A10263" s="8" t="s">
        <v>2504</v>
      </c>
      <c r="B10263" s="17" t="s">
        <v>7750</v>
      </c>
      <c r="C10263" s="12">
        <v>32509</v>
      </c>
      <c r="D10263" s="13" t="s">
        <v>8465</v>
      </c>
      <c r="E10263" s="10" t="s">
        <v>455</v>
      </c>
      <c r="F10263" s="10" t="s">
        <v>2511</v>
      </c>
      <c r="G10263" s="11" t="s">
        <v>1727</v>
      </c>
      <c r="H10263" s="2" t="s">
        <v>64</v>
      </c>
      <c r="L10263" s="18">
        <v>0</v>
      </c>
      <c r="Q10263" s="18">
        <v>0</v>
      </c>
      <c r="V10263" s="22">
        <f>4.33/5</f>
        <v>0.86599999999999999</v>
      </c>
      <c r="X10263" s="3">
        <v>3</v>
      </c>
      <c r="Z10263" s="23">
        <v>5.5</v>
      </c>
      <c r="AB10263" s="18">
        <f t="shared" si="320"/>
        <v>1989</v>
      </c>
      <c r="AC10263" s="22">
        <f t="shared" si="321"/>
        <v>0.73299999999999998</v>
      </c>
    </row>
    <row r="10264" spans="1:29">
      <c r="A10264" s="8" t="s">
        <v>405</v>
      </c>
      <c r="B10264" s="17" t="s">
        <v>6317</v>
      </c>
      <c r="C10264" s="12">
        <v>32509</v>
      </c>
      <c r="D10264" s="13" t="s">
        <v>8465</v>
      </c>
      <c r="E10264" s="10" t="s">
        <v>73</v>
      </c>
      <c r="F10264" s="10" t="s">
        <v>144</v>
      </c>
      <c r="G10264" s="11" t="s">
        <v>404</v>
      </c>
      <c r="H10264" s="2" t="s">
        <v>21</v>
      </c>
      <c r="L10264" s="18">
        <v>0</v>
      </c>
      <c r="Q10264" s="18">
        <v>0</v>
      </c>
      <c r="V10264" s="22">
        <f>3.59/5</f>
        <v>0.71799999999999997</v>
      </c>
      <c r="X10264" s="3">
        <v>3</v>
      </c>
      <c r="Z10264" s="23">
        <v>0.45</v>
      </c>
      <c r="AB10264" s="18">
        <f t="shared" si="320"/>
        <v>1989</v>
      </c>
      <c r="AC10264" s="22">
        <f t="shared" si="321"/>
        <v>0.65900000000000003</v>
      </c>
    </row>
    <row r="10265" spans="1:29" ht="30">
      <c r="A10265" s="8" t="s">
        <v>2506</v>
      </c>
      <c r="B10265" s="17" t="s">
        <v>7750</v>
      </c>
      <c r="C10265" s="12">
        <v>32509</v>
      </c>
      <c r="D10265" s="13" t="s">
        <v>8465</v>
      </c>
      <c r="E10265" s="10" t="s">
        <v>455</v>
      </c>
      <c r="F10265" s="10" t="s">
        <v>250</v>
      </c>
      <c r="H10265" s="2" t="s">
        <v>64</v>
      </c>
      <c r="L10265" s="18">
        <v>0</v>
      </c>
      <c r="Q10265" s="18">
        <v>0</v>
      </c>
      <c r="V10265" s="22">
        <f>3.57/5</f>
        <v>0.71399999999999997</v>
      </c>
      <c r="X10265" s="3">
        <v>3</v>
      </c>
      <c r="Z10265" s="23">
        <v>2</v>
      </c>
      <c r="AB10265" s="18">
        <f t="shared" si="320"/>
        <v>1989</v>
      </c>
      <c r="AC10265" s="22">
        <f t="shared" si="321"/>
        <v>0.65700000000000003</v>
      </c>
    </row>
    <row r="10266" spans="1:29">
      <c r="A10266" s="8" t="s">
        <v>2867</v>
      </c>
      <c r="B10266" s="17" t="s">
        <v>7789</v>
      </c>
      <c r="C10266" s="12">
        <v>32509</v>
      </c>
      <c r="D10266" s="13" t="s">
        <v>8465</v>
      </c>
      <c r="E10266" s="10" t="s">
        <v>2870</v>
      </c>
      <c r="F10266" s="10" t="s">
        <v>1468</v>
      </c>
      <c r="G10266" s="11" t="s">
        <v>2867</v>
      </c>
      <c r="H10266" s="2" t="s">
        <v>56</v>
      </c>
      <c r="L10266" s="18">
        <v>0</v>
      </c>
      <c r="Q10266" s="18">
        <v>0</v>
      </c>
      <c r="V10266" s="22">
        <f>3.56/5</f>
        <v>0.71199999999999997</v>
      </c>
      <c r="X10266" s="3">
        <v>3</v>
      </c>
      <c r="Z10266" s="23">
        <v>2</v>
      </c>
      <c r="AB10266" s="18">
        <f t="shared" si="320"/>
        <v>1989</v>
      </c>
      <c r="AC10266" s="22">
        <f t="shared" si="321"/>
        <v>0.65599999999999992</v>
      </c>
    </row>
    <row r="10267" spans="1:29">
      <c r="A10267" s="8" t="s">
        <v>303</v>
      </c>
      <c r="B10267" s="17" t="s">
        <v>6317</v>
      </c>
      <c r="C10267" s="12">
        <v>32509</v>
      </c>
      <c r="D10267" s="13" t="s">
        <v>8465</v>
      </c>
      <c r="E10267" s="10" t="s">
        <v>158</v>
      </c>
      <c r="F10267" s="10" t="s">
        <v>158</v>
      </c>
      <c r="G10267" s="11" t="s">
        <v>303</v>
      </c>
      <c r="H10267" s="2" t="s">
        <v>153</v>
      </c>
      <c r="L10267" s="18">
        <v>0</v>
      </c>
      <c r="Q10267" s="18">
        <v>0</v>
      </c>
      <c r="V10267" s="22">
        <f>3.29/5</f>
        <v>0.65800000000000003</v>
      </c>
      <c r="X10267" s="3">
        <v>3</v>
      </c>
      <c r="Z10267" s="23">
        <v>0.77</v>
      </c>
      <c r="AB10267" s="18">
        <f t="shared" si="320"/>
        <v>1989</v>
      </c>
      <c r="AC10267" s="22">
        <f t="shared" si="321"/>
        <v>0.629</v>
      </c>
    </row>
    <row r="10268" spans="1:29">
      <c r="A10268" s="8" t="s">
        <v>13942</v>
      </c>
      <c r="B10268" s="17" t="s">
        <v>7788</v>
      </c>
      <c r="C10268" s="24">
        <v>32509</v>
      </c>
      <c r="D10268" s="13" t="s">
        <v>8467</v>
      </c>
      <c r="E10268" s="10" t="s">
        <v>72</v>
      </c>
      <c r="F10268" s="10" t="s">
        <v>72</v>
      </c>
      <c r="H10268" s="2" t="s">
        <v>80</v>
      </c>
      <c r="L10268" s="18">
        <v>0</v>
      </c>
      <c r="Q10268" s="18">
        <v>0</v>
      </c>
      <c r="V10268" s="22">
        <f>4.18/5</f>
        <v>0.83599999999999997</v>
      </c>
      <c r="X10268" s="3">
        <v>2</v>
      </c>
      <c r="AB10268" s="18">
        <f t="shared" si="320"/>
        <v>1989</v>
      </c>
      <c r="AC10268" s="22">
        <f t="shared" si="321"/>
        <v>0.61799999999999999</v>
      </c>
    </row>
    <row r="10269" spans="1:29" ht="25.5">
      <c r="A10269" s="8" t="s">
        <v>6794</v>
      </c>
      <c r="B10269" s="17" t="s">
        <v>7800</v>
      </c>
      <c r="C10269" s="12">
        <v>32509</v>
      </c>
      <c r="D10269" s="13" t="s">
        <v>8465</v>
      </c>
      <c r="E10269" s="10" t="s">
        <v>1496</v>
      </c>
      <c r="F10269" s="10" t="s">
        <v>6899</v>
      </c>
      <c r="G10269" s="11" t="s">
        <v>6900</v>
      </c>
      <c r="H10269" s="2" t="s">
        <v>67</v>
      </c>
      <c r="L10269" s="18">
        <v>0</v>
      </c>
      <c r="Q10269" s="18">
        <v>0</v>
      </c>
      <c r="U10269" s="22">
        <v>0.6</v>
      </c>
      <c r="V10269" s="22">
        <f>2.96/5</f>
        <v>0.59199999999999997</v>
      </c>
      <c r="X10269" s="3">
        <v>3</v>
      </c>
      <c r="AB10269" s="18">
        <f t="shared" si="320"/>
        <v>1989</v>
      </c>
      <c r="AC10269" s="22">
        <f t="shared" si="321"/>
        <v>0.59733333333333327</v>
      </c>
    </row>
    <row r="10270" spans="1:29">
      <c r="A10270" s="8" t="s">
        <v>14516</v>
      </c>
      <c r="B10270" s="17" t="s">
        <v>7767</v>
      </c>
      <c r="C10270" s="24">
        <v>32509</v>
      </c>
      <c r="D10270" s="13" t="s">
        <v>8465</v>
      </c>
      <c r="E10270" s="10" t="s">
        <v>1260</v>
      </c>
      <c r="F10270" s="10" t="s">
        <v>1260</v>
      </c>
      <c r="G10270" s="11" t="s">
        <v>2289</v>
      </c>
      <c r="H10270" s="2" t="s">
        <v>64</v>
      </c>
      <c r="L10270" s="18">
        <v>0</v>
      </c>
      <c r="Q10270" s="18">
        <v>0</v>
      </c>
      <c r="V10270" s="22">
        <f>3.94/5</f>
        <v>0.78800000000000003</v>
      </c>
      <c r="X10270" s="3">
        <v>2</v>
      </c>
      <c r="Z10270" s="23">
        <v>1</v>
      </c>
      <c r="AB10270" s="18">
        <f t="shared" si="320"/>
        <v>1989</v>
      </c>
      <c r="AC10270" s="22">
        <f t="shared" si="321"/>
        <v>0.59400000000000008</v>
      </c>
    </row>
    <row r="10271" spans="1:29">
      <c r="A10271" s="8" t="s">
        <v>14015</v>
      </c>
      <c r="B10271" s="17" t="s">
        <v>7788</v>
      </c>
      <c r="C10271" s="24">
        <v>32509</v>
      </c>
      <c r="D10271" s="13" t="s">
        <v>8463</v>
      </c>
      <c r="E10271" s="10" t="s">
        <v>1237</v>
      </c>
      <c r="F10271" s="10" t="s">
        <v>1237</v>
      </c>
      <c r="H10271" s="2" t="s">
        <v>171</v>
      </c>
      <c r="K10271" s="18">
        <v>2</v>
      </c>
      <c r="L10271" s="18">
        <v>0</v>
      </c>
      <c r="Q10271" s="18">
        <v>0</v>
      </c>
      <c r="V10271" s="22">
        <f>3.83/5</f>
        <v>0.76600000000000001</v>
      </c>
      <c r="X10271" s="3">
        <v>2</v>
      </c>
      <c r="AB10271" s="18">
        <f t="shared" si="320"/>
        <v>1989</v>
      </c>
      <c r="AC10271" s="22">
        <f t="shared" si="321"/>
        <v>0.58299999999999996</v>
      </c>
    </row>
    <row r="10272" spans="1:29">
      <c r="A10272" s="8" t="s">
        <v>647</v>
      </c>
      <c r="B10272" s="17" t="s">
        <v>7800</v>
      </c>
      <c r="C10272" s="12">
        <v>32509</v>
      </c>
      <c r="D10272" s="13" t="s">
        <v>8465</v>
      </c>
      <c r="E10272" s="10" t="s">
        <v>1273</v>
      </c>
      <c r="F10272" s="10" t="s">
        <v>2697</v>
      </c>
      <c r="G10272" s="11" t="s">
        <v>1433</v>
      </c>
      <c r="H10272" s="2" t="s">
        <v>1204</v>
      </c>
      <c r="L10272" s="18">
        <v>0</v>
      </c>
      <c r="Q10272" s="18">
        <v>0</v>
      </c>
      <c r="U10272" s="22">
        <v>0.42</v>
      </c>
      <c r="V10272" s="22">
        <f>3.45/5</f>
        <v>0.69000000000000006</v>
      </c>
      <c r="X10272" s="3">
        <v>3</v>
      </c>
      <c r="Z10272" s="23">
        <v>2.5</v>
      </c>
      <c r="AB10272" s="18">
        <f t="shared" si="320"/>
        <v>1989</v>
      </c>
      <c r="AC10272" s="22">
        <f t="shared" si="321"/>
        <v>0.56999999999999995</v>
      </c>
    </row>
    <row r="10273" spans="1:29" ht="30">
      <c r="A10273" s="8" t="s">
        <v>9585</v>
      </c>
      <c r="B10273" s="17" t="s">
        <v>9581</v>
      </c>
      <c r="C10273" s="12">
        <v>32509</v>
      </c>
      <c r="D10273" s="13" t="s">
        <v>8465</v>
      </c>
      <c r="E10273" s="10" t="s">
        <v>9586</v>
      </c>
      <c r="F10273" s="10" t="s">
        <v>9586</v>
      </c>
      <c r="H10273" s="2" t="s">
        <v>80</v>
      </c>
      <c r="L10273" s="18">
        <v>0</v>
      </c>
      <c r="Q10273" s="18">
        <v>0</v>
      </c>
      <c r="V10273" s="22">
        <f>3.76/5</f>
        <v>0.752</v>
      </c>
      <c r="X10273" s="3">
        <v>2</v>
      </c>
      <c r="Z10273" s="23">
        <v>2.5</v>
      </c>
      <c r="AB10273" s="18">
        <f t="shared" si="320"/>
        <v>1989</v>
      </c>
      <c r="AC10273" s="22">
        <f t="shared" si="321"/>
        <v>0.57600000000000007</v>
      </c>
    </row>
    <row r="10274" spans="1:29" ht="30">
      <c r="A10274" s="8" t="s">
        <v>9607</v>
      </c>
      <c r="B10274" s="17" t="s">
        <v>9581</v>
      </c>
      <c r="C10274" s="12">
        <v>32509</v>
      </c>
      <c r="D10274" s="13" t="s">
        <v>8465</v>
      </c>
      <c r="E10274" s="10" t="s">
        <v>9608</v>
      </c>
      <c r="F10274" s="10" t="s">
        <v>9609</v>
      </c>
      <c r="H10274" s="2" t="s">
        <v>31</v>
      </c>
      <c r="L10274" s="18">
        <v>0</v>
      </c>
      <c r="Q10274" s="18">
        <v>0</v>
      </c>
      <c r="V10274" s="22">
        <f>3.75/5</f>
        <v>0.75</v>
      </c>
      <c r="X10274" s="3">
        <v>2</v>
      </c>
      <c r="AB10274" s="18">
        <f t="shared" si="320"/>
        <v>1989</v>
      </c>
      <c r="AC10274" s="22">
        <f t="shared" si="321"/>
        <v>0.57499999999999996</v>
      </c>
    </row>
    <row r="10275" spans="1:29" ht="25.5">
      <c r="A10275" s="8" t="s">
        <v>13529</v>
      </c>
      <c r="B10275" s="17" t="s">
        <v>13527</v>
      </c>
      <c r="C10275" s="24">
        <v>32509</v>
      </c>
      <c r="D10275" s="13" t="s">
        <v>8465</v>
      </c>
      <c r="E10275" s="10" t="s">
        <v>13528</v>
      </c>
      <c r="F10275" s="10" t="s">
        <v>13528</v>
      </c>
      <c r="G10275" s="11" t="s">
        <v>13526</v>
      </c>
      <c r="H10275" s="2" t="s">
        <v>1377</v>
      </c>
      <c r="J10275" s="18">
        <v>1</v>
      </c>
      <c r="L10275" s="18">
        <v>0</v>
      </c>
      <c r="Q10275" s="18">
        <v>0</v>
      </c>
      <c r="V10275" s="22">
        <f>3.7/5</f>
        <v>0.74</v>
      </c>
      <c r="X10275" s="3">
        <v>2</v>
      </c>
      <c r="Z10275" s="23">
        <v>19</v>
      </c>
      <c r="AB10275" s="18">
        <f t="shared" si="320"/>
        <v>1989</v>
      </c>
      <c r="AC10275" s="22">
        <f t="shared" si="321"/>
        <v>0.57000000000000006</v>
      </c>
    </row>
    <row r="10276" spans="1:29" ht="30">
      <c r="A10276" s="8" t="s">
        <v>13928</v>
      </c>
      <c r="B10276" s="17" t="s">
        <v>9581</v>
      </c>
      <c r="C10276" s="24">
        <v>32509</v>
      </c>
      <c r="D10276" s="13" t="s">
        <v>8465</v>
      </c>
      <c r="E10276" s="10" t="s">
        <v>7826</v>
      </c>
      <c r="F10276" s="10" t="s">
        <v>13929</v>
      </c>
      <c r="G10276" s="11" t="s">
        <v>13928</v>
      </c>
      <c r="H10276" s="2" t="s">
        <v>64</v>
      </c>
      <c r="L10276" s="18">
        <v>0</v>
      </c>
      <c r="Q10276" s="18">
        <v>0</v>
      </c>
      <c r="V10276" s="22">
        <f>3.59/5</f>
        <v>0.71799999999999997</v>
      </c>
      <c r="X10276" s="3">
        <v>2</v>
      </c>
      <c r="Z10276" s="23">
        <v>1.5</v>
      </c>
      <c r="AB10276" s="18">
        <f t="shared" si="320"/>
        <v>1989</v>
      </c>
      <c r="AC10276" s="22">
        <f t="shared" si="321"/>
        <v>0.55899999999999994</v>
      </c>
    </row>
    <row r="10277" spans="1:29">
      <c r="A10277" s="8" t="s">
        <v>393</v>
      </c>
      <c r="B10277" s="17" t="s">
        <v>6317</v>
      </c>
      <c r="C10277" s="12">
        <v>32509</v>
      </c>
      <c r="D10277" s="13" t="s">
        <v>8465</v>
      </c>
      <c r="E10277" s="10" t="s">
        <v>547</v>
      </c>
      <c r="F10277" s="10" t="s">
        <v>547</v>
      </c>
      <c r="H10277" s="2" t="s">
        <v>21</v>
      </c>
      <c r="L10277" s="18">
        <v>0</v>
      </c>
      <c r="Q10277" s="18">
        <v>0</v>
      </c>
      <c r="V10277" s="22">
        <f>3.44/5</f>
        <v>0.68799999999999994</v>
      </c>
      <c r="X10277" s="3">
        <v>2</v>
      </c>
      <c r="AB10277" s="18">
        <f t="shared" si="320"/>
        <v>1989</v>
      </c>
      <c r="AC10277" s="22">
        <f t="shared" si="321"/>
        <v>0.54400000000000004</v>
      </c>
    </row>
    <row r="10278" spans="1:29">
      <c r="A10278" s="8" t="s">
        <v>14899</v>
      </c>
      <c r="B10278" s="17" t="s">
        <v>6317</v>
      </c>
      <c r="C10278" s="24">
        <v>32509</v>
      </c>
      <c r="D10278" s="13" t="s">
        <v>8465</v>
      </c>
      <c r="E10278" s="10" t="s">
        <v>170</v>
      </c>
      <c r="F10278" s="10" t="s">
        <v>170</v>
      </c>
      <c r="H10278" s="2" t="s">
        <v>1170</v>
      </c>
      <c r="L10278" s="18">
        <v>0</v>
      </c>
      <c r="Q10278" s="18">
        <v>0</v>
      </c>
      <c r="V10278" s="22">
        <f>3.41/5</f>
        <v>0.68200000000000005</v>
      </c>
      <c r="X10278" s="3">
        <v>2</v>
      </c>
      <c r="Z10278" s="23">
        <v>5</v>
      </c>
      <c r="AB10278" s="18">
        <f t="shared" si="320"/>
        <v>1989</v>
      </c>
      <c r="AC10278" s="22">
        <f t="shared" si="321"/>
        <v>0.54100000000000004</v>
      </c>
    </row>
    <row r="10279" spans="1:29" ht="25.5">
      <c r="A10279" s="8" t="s">
        <v>14510</v>
      </c>
      <c r="B10279" s="17" t="s">
        <v>13485</v>
      </c>
      <c r="C10279" s="24">
        <v>32509</v>
      </c>
      <c r="D10279" s="13" t="s">
        <v>8467</v>
      </c>
      <c r="E10279" s="10" t="s">
        <v>14511</v>
      </c>
      <c r="F10279" s="10" t="s">
        <v>14512</v>
      </c>
      <c r="H10279" s="2" t="s">
        <v>147</v>
      </c>
      <c r="L10279" s="18">
        <v>0</v>
      </c>
      <c r="Q10279" s="18">
        <v>0</v>
      </c>
      <c r="V10279" s="22">
        <f>3.25/5</f>
        <v>0.65</v>
      </c>
      <c r="X10279" s="3">
        <v>2</v>
      </c>
      <c r="Z10279" s="23">
        <f>50/60</f>
        <v>0.83333333333333337</v>
      </c>
      <c r="AB10279" s="18">
        <f t="shared" si="320"/>
        <v>1989</v>
      </c>
      <c r="AC10279" s="22">
        <f t="shared" si="321"/>
        <v>0.52500000000000002</v>
      </c>
    </row>
    <row r="10280" spans="1:29">
      <c r="A10280" s="8" t="s">
        <v>2874</v>
      </c>
      <c r="B10280" s="17" t="s">
        <v>7734</v>
      </c>
      <c r="C10280" s="12">
        <v>32509</v>
      </c>
      <c r="D10280" s="13" t="s">
        <v>8465</v>
      </c>
      <c r="E10280" s="10" t="s">
        <v>240</v>
      </c>
      <c r="F10280" s="10" t="s">
        <v>62</v>
      </c>
      <c r="G10280" s="11" t="s">
        <v>2874</v>
      </c>
      <c r="H10280" s="2" t="s">
        <v>21</v>
      </c>
      <c r="L10280" s="18">
        <v>0</v>
      </c>
      <c r="Q10280" s="18">
        <v>0</v>
      </c>
      <c r="V10280" s="22">
        <f>3.18/5</f>
        <v>0.63600000000000001</v>
      </c>
      <c r="X10280" s="3">
        <v>2</v>
      </c>
      <c r="Z10280" s="23">
        <v>16</v>
      </c>
      <c r="AB10280" s="18">
        <f t="shared" si="320"/>
        <v>1989</v>
      </c>
      <c r="AC10280" s="22">
        <f t="shared" si="321"/>
        <v>0.51800000000000002</v>
      </c>
    </row>
    <row r="10281" spans="1:29" ht="25.5">
      <c r="A10281" s="8" t="s">
        <v>2846</v>
      </c>
      <c r="B10281" s="17" t="s">
        <v>7789</v>
      </c>
      <c r="C10281" s="12">
        <v>32509</v>
      </c>
      <c r="D10281" s="13" t="s">
        <v>8465</v>
      </c>
      <c r="E10281" s="10" t="s">
        <v>547</v>
      </c>
      <c r="F10281" s="10" t="s">
        <v>547</v>
      </c>
      <c r="G10281" s="11" t="s">
        <v>2526</v>
      </c>
      <c r="H10281" s="2" t="s">
        <v>21</v>
      </c>
      <c r="L10281" s="18">
        <v>0</v>
      </c>
      <c r="Q10281" s="18">
        <v>0</v>
      </c>
      <c r="V10281" s="22">
        <f>3.13/5</f>
        <v>0.626</v>
      </c>
      <c r="X10281" s="3">
        <v>2</v>
      </c>
      <c r="Z10281" s="23">
        <f>56/60</f>
        <v>0.93333333333333335</v>
      </c>
      <c r="AB10281" s="18">
        <f t="shared" si="320"/>
        <v>1989</v>
      </c>
      <c r="AC10281" s="22">
        <f t="shared" si="321"/>
        <v>0.51300000000000001</v>
      </c>
    </row>
    <row r="10282" spans="1:29">
      <c r="A10282" s="8" t="s">
        <v>11840</v>
      </c>
      <c r="B10282" s="17" t="s">
        <v>7734</v>
      </c>
      <c r="C10282" s="24">
        <v>32509</v>
      </c>
      <c r="D10282" s="13" t="s">
        <v>8465</v>
      </c>
      <c r="E10282" s="10" t="s">
        <v>239</v>
      </c>
      <c r="F10282" s="10" t="s">
        <v>11841</v>
      </c>
      <c r="G10282" s="11" t="s">
        <v>7640</v>
      </c>
      <c r="H10282" s="2" t="s">
        <v>153</v>
      </c>
      <c r="L10282" s="18">
        <v>0</v>
      </c>
      <c r="Q10282" s="18">
        <v>0</v>
      </c>
      <c r="V10282" s="22">
        <f>3.1/5</f>
        <v>0.62</v>
      </c>
      <c r="X10282" s="3">
        <v>2</v>
      </c>
      <c r="Z10282" s="23">
        <v>1</v>
      </c>
      <c r="AB10282" s="18">
        <f t="shared" si="320"/>
        <v>1989</v>
      </c>
      <c r="AC10282" s="22">
        <f t="shared" si="321"/>
        <v>0.51</v>
      </c>
    </row>
    <row r="10283" spans="1:29">
      <c r="A10283" s="8" t="s">
        <v>13923</v>
      </c>
      <c r="B10283" s="17" t="s">
        <v>13822</v>
      </c>
      <c r="C10283" s="24">
        <v>32509</v>
      </c>
      <c r="D10283" s="13" t="s">
        <v>8465</v>
      </c>
      <c r="E10283" s="10" t="s">
        <v>13917</v>
      </c>
      <c r="F10283" s="10" t="s">
        <v>13917</v>
      </c>
      <c r="H10283" s="2" t="s">
        <v>21</v>
      </c>
      <c r="L10283" s="18">
        <v>0</v>
      </c>
      <c r="Q10283" s="18">
        <v>0</v>
      </c>
      <c r="V10283" s="22">
        <f>3/5</f>
        <v>0.6</v>
      </c>
      <c r="X10283" s="3">
        <v>2</v>
      </c>
      <c r="AB10283" s="18">
        <f t="shared" si="320"/>
        <v>1989</v>
      </c>
      <c r="AC10283" s="22">
        <f t="shared" si="321"/>
        <v>0.5</v>
      </c>
    </row>
    <row r="10284" spans="1:29" ht="25.5">
      <c r="A10284" s="8" t="s">
        <v>112</v>
      </c>
      <c r="B10284" s="17" t="s">
        <v>7800</v>
      </c>
      <c r="C10284" s="12">
        <v>32509</v>
      </c>
      <c r="D10284" s="13" t="s">
        <v>8465</v>
      </c>
      <c r="E10284" s="10" t="s">
        <v>1259</v>
      </c>
      <c r="F10284" s="10" t="s">
        <v>6882</v>
      </c>
      <c r="G10284" s="11" t="s">
        <v>111</v>
      </c>
      <c r="H10284" s="2" t="s">
        <v>153</v>
      </c>
      <c r="L10284" s="18">
        <v>0</v>
      </c>
      <c r="Q10284" s="18">
        <v>0</v>
      </c>
      <c r="V10284" s="22">
        <f>2.96/5</f>
        <v>0.59199999999999997</v>
      </c>
      <c r="X10284" s="3">
        <v>2</v>
      </c>
      <c r="Z10284" s="23">
        <f>50/60</f>
        <v>0.83333333333333337</v>
      </c>
      <c r="AB10284" s="18">
        <f t="shared" si="320"/>
        <v>1989</v>
      </c>
      <c r="AC10284" s="22">
        <f t="shared" si="321"/>
        <v>0.496</v>
      </c>
    </row>
    <row r="10285" spans="1:29">
      <c r="A10285" s="8" t="s">
        <v>373</v>
      </c>
      <c r="B10285" s="17" t="s">
        <v>6317</v>
      </c>
      <c r="C10285" s="12">
        <v>32509</v>
      </c>
      <c r="D10285" s="13" t="s">
        <v>8465</v>
      </c>
      <c r="E10285" s="10" t="s">
        <v>144</v>
      </c>
      <c r="F10285" s="10" t="s">
        <v>144</v>
      </c>
      <c r="H10285" s="2" t="s">
        <v>21</v>
      </c>
      <c r="L10285" s="18">
        <v>0</v>
      </c>
      <c r="Q10285" s="18">
        <v>0</v>
      </c>
      <c r="V10285" s="22">
        <f>2.92/5</f>
        <v>0.58399999999999996</v>
      </c>
      <c r="X10285" s="3">
        <v>2</v>
      </c>
      <c r="AB10285" s="18">
        <f t="shared" si="320"/>
        <v>1989</v>
      </c>
      <c r="AC10285" s="22">
        <f t="shared" si="321"/>
        <v>0.49199999999999999</v>
      </c>
    </row>
    <row r="10286" spans="1:29" ht="30">
      <c r="A10286" s="8" t="s">
        <v>2498</v>
      </c>
      <c r="B10286" s="17" t="s">
        <v>7750</v>
      </c>
      <c r="C10286" s="12">
        <v>32509</v>
      </c>
      <c r="D10286" s="13" t="s">
        <v>8465</v>
      </c>
      <c r="E10286" s="10" t="s">
        <v>455</v>
      </c>
      <c r="F10286" s="10" t="s">
        <v>455</v>
      </c>
      <c r="G10286" s="11" t="s">
        <v>2508</v>
      </c>
      <c r="H10286" s="2" t="s">
        <v>64</v>
      </c>
      <c r="L10286" s="18">
        <v>0</v>
      </c>
      <c r="Q10286" s="18">
        <v>0</v>
      </c>
      <c r="V10286" s="22">
        <f>2.51/5</f>
        <v>0.502</v>
      </c>
      <c r="X10286" s="3">
        <v>2</v>
      </c>
      <c r="Z10286" s="23">
        <v>1.5</v>
      </c>
      <c r="AB10286" s="18">
        <f t="shared" si="320"/>
        <v>1989</v>
      </c>
      <c r="AC10286" s="22">
        <f t="shared" si="321"/>
        <v>0.45100000000000001</v>
      </c>
    </row>
    <row r="10287" spans="1:29">
      <c r="A10287" s="8" t="s">
        <v>12416</v>
      </c>
      <c r="B10287" s="17" t="s">
        <v>6317</v>
      </c>
      <c r="C10287" s="24">
        <v>32509</v>
      </c>
      <c r="D10287" s="13" t="s">
        <v>8465</v>
      </c>
      <c r="E10287" s="10" t="s">
        <v>12417</v>
      </c>
      <c r="F10287" s="10" t="s">
        <v>12417</v>
      </c>
      <c r="H10287" s="2" t="s">
        <v>21</v>
      </c>
      <c r="L10287" s="18">
        <v>0</v>
      </c>
      <c r="Q10287" s="18">
        <v>0</v>
      </c>
      <c r="V10287" s="22">
        <f>2.5/5</f>
        <v>0.5</v>
      </c>
      <c r="X10287" s="3">
        <v>2</v>
      </c>
      <c r="AB10287" s="18">
        <f t="shared" si="320"/>
        <v>1989</v>
      </c>
      <c r="AC10287" s="22">
        <f t="shared" si="321"/>
        <v>0.45</v>
      </c>
    </row>
    <row r="10288" spans="1:29">
      <c r="A10288" s="8" t="s">
        <v>7538</v>
      </c>
      <c r="B10288" s="17" t="s">
        <v>7800</v>
      </c>
      <c r="C10288" s="12">
        <v>32509</v>
      </c>
      <c r="D10288" s="13" t="s">
        <v>8465</v>
      </c>
      <c r="E10288" s="10" t="s">
        <v>6668</v>
      </c>
      <c r="F10288" s="10" t="s">
        <v>2654</v>
      </c>
      <c r="G10288" s="11" t="s">
        <v>445</v>
      </c>
      <c r="H10288" s="2" t="s">
        <v>1720</v>
      </c>
      <c r="L10288" s="18">
        <v>0</v>
      </c>
      <c r="Q10288" s="18">
        <v>0</v>
      </c>
      <c r="V10288" s="22">
        <f>2.47/5</f>
        <v>0.49400000000000005</v>
      </c>
      <c r="X10288" s="3">
        <v>2</v>
      </c>
      <c r="Z10288" s="23">
        <v>6</v>
      </c>
      <c r="AB10288" s="18">
        <f t="shared" si="320"/>
        <v>1989</v>
      </c>
      <c r="AC10288" s="22">
        <f t="shared" si="321"/>
        <v>0.44700000000000006</v>
      </c>
    </row>
    <row r="10289" spans="1:29">
      <c r="A10289" s="8" t="s">
        <v>9625</v>
      </c>
      <c r="B10289" s="17" t="s">
        <v>7734</v>
      </c>
      <c r="C10289" s="12">
        <v>32509</v>
      </c>
      <c r="D10289" s="13" t="s">
        <v>8465</v>
      </c>
      <c r="E10289" s="10" t="s">
        <v>9626</v>
      </c>
      <c r="F10289" s="10" t="s">
        <v>9626</v>
      </c>
      <c r="H10289" s="2" t="s">
        <v>147</v>
      </c>
      <c r="L10289" s="18">
        <v>0</v>
      </c>
      <c r="Q10289" s="18">
        <v>0</v>
      </c>
      <c r="V10289" s="22">
        <f>1.68/5</f>
        <v>0.33599999999999997</v>
      </c>
      <c r="X10289" s="3">
        <v>2</v>
      </c>
      <c r="Z10289" s="23">
        <v>1.5</v>
      </c>
      <c r="AB10289" s="18">
        <f t="shared" si="320"/>
        <v>1989</v>
      </c>
      <c r="AC10289" s="22">
        <f t="shared" si="321"/>
        <v>0.36799999999999999</v>
      </c>
    </row>
    <row r="10290" spans="1:29">
      <c r="A10290" s="8" t="s">
        <v>15639</v>
      </c>
      <c r="B10290" s="17" t="s">
        <v>7734</v>
      </c>
      <c r="C10290" s="24">
        <v>32509</v>
      </c>
      <c r="D10290" s="13" t="s">
        <v>8465</v>
      </c>
      <c r="E10290" s="10" t="s">
        <v>9060</v>
      </c>
      <c r="F10290" s="10" t="s">
        <v>14464</v>
      </c>
      <c r="G10290" s="11" t="s">
        <v>15639</v>
      </c>
      <c r="H10290" s="2" t="s">
        <v>21</v>
      </c>
      <c r="L10290" s="18">
        <v>0</v>
      </c>
      <c r="Q10290" s="18">
        <v>0</v>
      </c>
      <c r="V10290" s="22">
        <f>2.59/5</f>
        <v>0.51800000000000002</v>
      </c>
      <c r="X10290" s="3">
        <v>2</v>
      </c>
      <c r="Z10290" s="23">
        <v>1.5</v>
      </c>
      <c r="AB10290" s="18">
        <f t="shared" si="320"/>
        <v>1989</v>
      </c>
      <c r="AC10290" s="22">
        <f t="shared" si="321"/>
        <v>0.45900000000000002</v>
      </c>
    </row>
    <row r="10291" spans="1:29" ht="25.5">
      <c r="A10291" s="8" t="s">
        <v>15664</v>
      </c>
      <c r="B10291" s="17" t="s">
        <v>7767</v>
      </c>
      <c r="C10291" s="24">
        <v>32509</v>
      </c>
      <c r="D10291" s="13" t="s">
        <v>8465</v>
      </c>
      <c r="E10291" s="10" t="s">
        <v>15665</v>
      </c>
      <c r="F10291" s="10" t="s">
        <v>1324</v>
      </c>
      <c r="G10291" s="11" t="s">
        <v>192</v>
      </c>
      <c r="H10291" s="2" t="s">
        <v>153</v>
      </c>
      <c r="L10291" s="18">
        <v>0</v>
      </c>
      <c r="Q10291" s="18">
        <v>0</v>
      </c>
      <c r="V10291" s="22">
        <f>3.78/5</f>
        <v>0.75600000000000001</v>
      </c>
      <c r="X10291" s="3">
        <v>2</v>
      </c>
      <c r="AB10291" s="18">
        <f t="shared" si="320"/>
        <v>1989</v>
      </c>
      <c r="AC10291" s="22">
        <f t="shared" si="321"/>
        <v>0.57800000000000007</v>
      </c>
    </row>
    <row r="10292" spans="1:29" ht="25.5">
      <c r="A10292" s="8" t="s">
        <v>15740</v>
      </c>
      <c r="B10292" s="17" t="s">
        <v>7800</v>
      </c>
      <c r="C10292" s="24">
        <v>32509</v>
      </c>
      <c r="D10292" s="13" t="s">
        <v>8465</v>
      </c>
      <c r="E10292" s="10" t="s">
        <v>6668</v>
      </c>
      <c r="F10292" s="10" t="s">
        <v>6668</v>
      </c>
      <c r="G10292" s="11" t="s">
        <v>445</v>
      </c>
      <c r="H10292" s="2" t="s">
        <v>1720</v>
      </c>
      <c r="L10292" s="18">
        <v>0</v>
      </c>
      <c r="Q10292" s="18">
        <v>0</v>
      </c>
      <c r="V10292" s="22">
        <f>3.93/5</f>
        <v>0.78600000000000003</v>
      </c>
      <c r="X10292" s="3">
        <v>3</v>
      </c>
      <c r="Z10292" s="23">
        <v>19</v>
      </c>
      <c r="AB10292" s="18">
        <f t="shared" si="320"/>
        <v>1989</v>
      </c>
      <c r="AC10292" s="22">
        <f t="shared" si="321"/>
        <v>0.69300000000000006</v>
      </c>
    </row>
    <row r="10293" spans="1:29">
      <c r="A10293" s="8" t="s">
        <v>15755</v>
      </c>
      <c r="B10293" s="17" t="s">
        <v>7800</v>
      </c>
      <c r="C10293" s="13">
        <v>32509</v>
      </c>
      <c r="D10293" s="13" t="s">
        <v>8465</v>
      </c>
      <c r="E10293" s="10" t="s">
        <v>6668</v>
      </c>
      <c r="F10293" s="10" t="s">
        <v>1303</v>
      </c>
      <c r="G10293" s="11" t="s">
        <v>445</v>
      </c>
      <c r="H10293" s="2" t="s">
        <v>171</v>
      </c>
      <c r="L10293" s="18">
        <v>0</v>
      </c>
      <c r="Q10293" s="18">
        <v>0</v>
      </c>
      <c r="V10293" s="22">
        <f>3.06/5</f>
        <v>0.61199999999999999</v>
      </c>
      <c r="X10293" s="3">
        <v>2</v>
      </c>
      <c r="AB10293" s="18">
        <f t="shared" si="320"/>
        <v>1989</v>
      </c>
      <c r="AC10293" s="22">
        <f t="shared" si="321"/>
        <v>0.50600000000000001</v>
      </c>
    </row>
    <row r="10294" spans="1:29" ht="30">
      <c r="A10294" s="8" t="s">
        <v>15869</v>
      </c>
      <c r="B10294" s="17" t="s">
        <v>9581</v>
      </c>
      <c r="C10294" s="24">
        <v>32509</v>
      </c>
      <c r="D10294" s="13" t="s">
        <v>8465</v>
      </c>
      <c r="E10294" s="10" t="s">
        <v>1513</v>
      </c>
      <c r="F10294" s="10" t="s">
        <v>15872</v>
      </c>
      <c r="G10294" s="11" t="s">
        <v>15868</v>
      </c>
      <c r="H10294" s="2" t="s">
        <v>1267</v>
      </c>
      <c r="L10294" s="18">
        <v>0</v>
      </c>
      <c r="Q10294" s="18">
        <v>0</v>
      </c>
      <c r="V10294" s="22">
        <f>3.63/5</f>
        <v>0.72599999999999998</v>
      </c>
      <c r="X10294" s="3">
        <v>2</v>
      </c>
      <c r="Z10294" s="23">
        <v>3</v>
      </c>
      <c r="AB10294" s="18">
        <f t="shared" si="320"/>
        <v>1989</v>
      </c>
      <c r="AC10294" s="22">
        <f t="shared" si="321"/>
        <v>0.56299999999999994</v>
      </c>
    </row>
    <row r="10295" spans="1:29" ht="30">
      <c r="A10295" s="8" t="s">
        <v>15870</v>
      </c>
      <c r="B10295" s="17" t="s">
        <v>9581</v>
      </c>
      <c r="C10295" s="24">
        <v>32509</v>
      </c>
      <c r="D10295" s="13" t="s">
        <v>8467</v>
      </c>
      <c r="E10295" s="10" t="s">
        <v>1513</v>
      </c>
      <c r="F10295" s="10" t="s">
        <v>15872</v>
      </c>
      <c r="G10295" s="11" t="s">
        <v>15868</v>
      </c>
      <c r="H10295" s="2" t="s">
        <v>31</v>
      </c>
      <c r="L10295" s="18">
        <v>0</v>
      </c>
      <c r="Q10295" s="18">
        <v>0</v>
      </c>
      <c r="V10295" s="22">
        <f>4.33/5</f>
        <v>0.86599999999999999</v>
      </c>
      <c r="X10295" s="3">
        <v>2</v>
      </c>
      <c r="AB10295" s="18">
        <f t="shared" si="320"/>
        <v>1989</v>
      </c>
      <c r="AC10295" s="22">
        <f t="shared" si="321"/>
        <v>0.63300000000000001</v>
      </c>
    </row>
    <row r="10296" spans="1:29">
      <c r="A10296" s="8" t="s">
        <v>16060</v>
      </c>
      <c r="B10296" s="17" t="s">
        <v>13527</v>
      </c>
      <c r="C10296" s="24">
        <v>32509</v>
      </c>
      <c r="D10296" s="13" t="s">
        <v>8467</v>
      </c>
      <c r="E10296" s="10" t="s">
        <v>1299</v>
      </c>
      <c r="F10296" s="10" t="s">
        <v>1282</v>
      </c>
      <c r="G10296" s="11" t="s">
        <v>16060</v>
      </c>
      <c r="H10296" s="2" t="s">
        <v>56</v>
      </c>
      <c r="L10296" s="18">
        <v>0</v>
      </c>
      <c r="Q10296" s="18">
        <v>0</v>
      </c>
      <c r="V10296" s="22">
        <f>3.83/5</f>
        <v>0.76600000000000001</v>
      </c>
      <c r="X10296" s="3">
        <v>2</v>
      </c>
      <c r="Z10296" s="23">
        <v>2</v>
      </c>
      <c r="AB10296" s="18">
        <f t="shared" si="320"/>
        <v>1989</v>
      </c>
      <c r="AC10296" s="22">
        <f t="shared" si="321"/>
        <v>0.58299999999999996</v>
      </c>
    </row>
    <row r="10297" spans="1:29">
      <c r="A10297" s="8" t="s">
        <v>446</v>
      </c>
      <c r="B10297" s="17" t="s">
        <v>7751</v>
      </c>
      <c r="C10297" s="13">
        <v>32864</v>
      </c>
      <c r="D10297" s="13" t="s">
        <v>8465</v>
      </c>
      <c r="E10297" s="10" t="s">
        <v>455</v>
      </c>
      <c r="F10297" s="10" t="s">
        <v>455</v>
      </c>
      <c r="G10297" s="11" t="s">
        <v>446</v>
      </c>
      <c r="H10297" s="2" t="s">
        <v>153</v>
      </c>
      <c r="L10297" s="18">
        <v>0</v>
      </c>
      <c r="Q10297" s="18">
        <v>1</v>
      </c>
      <c r="R10297" s="13">
        <v>45006</v>
      </c>
      <c r="S10297" s="21">
        <f>1+12/60+38/3600</f>
        <v>1.2105555555555556</v>
      </c>
      <c r="T10297" s="22">
        <v>0.4</v>
      </c>
      <c r="U10297" s="22">
        <v>0.69</v>
      </c>
      <c r="V10297" s="22">
        <f>3.61/5</f>
        <v>0.72199999999999998</v>
      </c>
      <c r="AB10297" s="18">
        <f t="shared" si="320"/>
        <v>1989</v>
      </c>
      <c r="AC10297" s="22">
        <f t="shared" si="321"/>
        <v>0.60399999999999998</v>
      </c>
    </row>
    <row r="10298" spans="1:29">
      <c r="A10298" s="8" t="s">
        <v>18</v>
      </c>
      <c r="B10298" s="17" t="s">
        <v>7734</v>
      </c>
      <c r="C10298" s="12">
        <v>32843</v>
      </c>
      <c r="D10298" s="13" t="s">
        <v>8465</v>
      </c>
      <c r="E10298" s="10" t="s">
        <v>59</v>
      </c>
      <c r="F10298" s="10" t="s">
        <v>146</v>
      </c>
      <c r="G10298" s="11" t="s">
        <v>18</v>
      </c>
      <c r="H10298" s="2" t="s">
        <v>67</v>
      </c>
      <c r="L10298" s="18">
        <v>0</v>
      </c>
      <c r="Q10298" s="18">
        <v>1</v>
      </c>
      <c r="T10298" s="22">
        <v>0.7</v>
      </c>
      <c r="V10298" s="22">
        <f>3.68/5</f>
        <v>0.73599999999999999</v>
      </c>
      <c r="Y10298" s="18">
        <v>1</v>
      </c>
      <c r="AB10298" s="18">
        <f t="shared" si="320"/>
        <v>1989</v>
      </c>
      <c r="AC10298" s="22">
        <f t="shared" si="321"/>
        <v>0.71799999999999997</v>
      </c>
    </row>
    <row r="10299" spans="1:29" ht="25.5">
      <c r="A10299" s="8" t="s">
        <v>1755</v>
      </c>
      <c r="B10299" s="17" t="s">
        <v>7745</v>
      </c>
      <c r="C10299" s="12">
        <v>32843</v>
      </c>
      <c r="D10299" s="13" t="s">
        <v>8465</v>
      </c>
      <c r="E10299" s="10" t="s">
        <v>72</v>
      </c>
      <c r="F10299" s="10" t="s">
        <v>72</v>
      </c>
      <c r="G10299" s="11" t="s">
        <v>113</v>
      </c>
      <c r="H10299" s="2" t="s">
        <v>56</v>
      </c>
      <c r="L10299" s="18">
        <v>0</v>
      </c>
      <c r="Q10299" s="18">
        <v>1</v>
      </c>
      <c r="T10299" s="22">
        <v>0.7</v>
      </c>
      <c r="U10299" s="22">
        <v>0.55000000000000004</v>
      </c>
      <c r="V10299" s="22">
        <f>2.7/5</f>
        <v>0.54</v>
      </c>
      <c r="AB10299" s="18">
        <f t="shared" si="320"/>
        <v>1989</v>
      </c>
      <c r="AC10299" s="22">
        <f t="shared" si="321"/>
        <v>0.59666666666666668</v>
      </c>
    </row>
    <row r="10300" spans="1:29">
      <c r="A10300" s="8" t="s">
        <v>98</v>
      </c>
      <c r="B10300" s="17" t="s">
        <v>7734</v>
      </c>
      <c r="C10300" s="12">
        <v>32813</v>
      </c>
      <c r="D10300" s="13" t="s">
        <v>8465</v>
      </c>
      <c r="E10300" s="10" t="s">
        <v>86</v>
      </c>
      <c r="F10300" s="10" t="s">
        <v>142</v>
      </c>
      <c r="G10300" s="11" t="s">
        <v>98</v>
      </c>
      <c r="H10300" s="2" t="s">
        <v>78</v>
      </c>
      <c r="L10300" s="18">
        <v>0</v>
      </c>
      <c r="Q10300" s="18">
        <v>1</v>
      </c>
      <c r="T10300" s="22">
        <v>0.8</v>
      </c>
      <c r="V10300" s="22">
        <f>4.08/5</f>
        <v>0.81600000000000006</v>
      </c>
      <c r="AB10300" s="18">
        <f t="shared" si="320"/>
        <v>1989</v>
      </c>
      <c r="AC10300" s="22">
        <f t="shared" si="321"/>
        <v>0.80800000000000005</v>
      </c>
    </row>
    <row r="10301" spans="1:29">
      <c r="A10301" s="8" t="s">
        <v>125</v>
      </c>
      <c r="B10301" s="17" t="s">
        <v>7734</v>
      </c>
      <c r="C10301" s="13">
        <v>32765</v>
      </c>
      <c r="D10301" s="13" t="s">
        <v>8465</v>
      </c>
      <c r="E10301" s="10" t="s">
        <v>73</v>
      </c>
      <c r="F10301" s="10" t="s">
        <v>73</v>
      </c>
      <c r="G10301" s="11" t="s">
        <v>125</v>
      </c>
      <c r="H10301" s="2" t="s">
        <v>56</v>
      </c>
      <c r="L10301" s="18">
        <v>0</v>
      </c>
      <c r="Q10301" s="18">
        <v>1</v>
      </c>
      <c r="T10301" s="22">
        <v>0.8</v>
      </c>
      <c r="V10301" s="22">
        <f>3.95/5</f>
        <v>0.79</v>
      </c>
      <c r="AB10301" s="18">
        <f t="shared" si="320"/>
        <v>1989</v>
      </c>
      <c r="AC10301" s="22">
        <f t="shared" si="321"/>
        <v>0.79500000000000004</v>
      </c>
    </row>
    <row r="10302" spans="1:29">
      <c r="A10302" s="8" t="s">
        <v>130</v>
      </c>
      <c r="B10302" s="17" t="s">
        <v>7734</v>
      </c>
      <c r="C10302" s="12">
        <v>32721</v>
      </c>
      <c r="D10302" s="13" t="s">
        <v>8465</v>
      </c>
      <c r="E10302" s="10" t="s">
        <v>86</v>
      </c>
      <c r="F10302" s="10" t="s">
        <v>164</v>
      </c>
      <c r="G10302" s="11" t="s">
        <v>140</v>
      </c>
      <c r="H10302" s="2" t="s">
        <v>149</v>
      </c>
      <c r="L10302" s="18">
        <v>0</v>
      </c>
      <c r="Q10302" s="18">
        <v>1</v>
      </c>
      <c r="T10302" s="22">
        <v>0.7</v>
      </c>
      <c r="V10302" s="22">
        <f>3.67/5</f>
        <v>0.73399999999999999</v>
      </c>
      <c r="Y10302" s="18">
        <v>1</v>
      </c>
      <c r="AB10302" s="18">
        <f t="shared" si="320"/>
        <v>1989</v>
      </c>
      <c r="AC10302" s="22">
        <f t="shared" si="321"/>
        <v>0.71699999999999997</v>
      </c>
    </row>
    <row r="10303" spans="1:29">
      <c r="A10303" s="8" t="s">
        <v>1754</v>
      </c>
      <c r="B10303" s="17" t="s">
        <v>7745</v>
      </c>
      <c r="C10303" s="13">
        <v>32720</v>
      </c>
      <c r="D10303" s="13" t="s">
        <v>8465</v>
      </c>
      <c r="E10303" s="10" t="s">
        <v>86</v>
      </c>
      <c r="F10303" s="10" t="s">
        <v>142</v>
      </c>
      <c r="G10303" s="11" t="s">
        <v>137</v>
      </c>
      <c r="H10303" s="2" t="s">
        <v>64</v>
      </c>
      <c r="L10303" s="18">
        <v>0</v>
      </c>
      <c r="Q10303" s="18">
        <v>1</v>
      </c>
      <c r="T10303" s="22">
        <v>0.7</v>
      </c>
      <c r="U10303" s="22">
        <v>0.78</v>
      </c>
      <c r="V10303" s="22">
        <f>3.67/5</f>
        <v>0.73399999999999999</v>
      </c>
      <c r="Y10303" s="18">
        <v>1</v>
      </c>
      <c r="AB10303" s="18">
        <f t="shared" si="320"/>
        <v>1989</v>
      </c>
      <c r="AC10303" s="22">
        <f t="shared" si="321"/>
        <v>0.73799999999999999</v>
      </c>
    </row>
    <row r="10304" spans="1:29">
      <c r="A10304" s="8" t="s">
        <v>99</v>
      </c>
      <c r="B10304" s="17" t="s">
        <v>7734</v>
      </c>
      <c r="C10304" s="13">
        <v>32716</v>
      </c>
      <c r="D10304" s="13" t="s">
        <v>8463</v>
      </c>
      <c r="E10304" s="10" t="s">
        <v>86</v>
      </c>
      <c r="F10304" s="10" t="s">
        <v>148</v>
      </c>
      <c r="G10304" s="11" t="s">
        <v>99</v>
      </c>
      <c r="H10304" s="2" t="s">
        <v>149</v>
      </c>
      <c r="K10304" s="18">
        <v>2</v>
      </c>
      <c r="L10304" s="18">
        <v>0</v>
      </c>
      <c r="Q10304" s="18">
        <v>1</v>
      </c>
      <c r="T10304" s="22">
        <v>0.8</v>
      </c>
      <c r="V10304" s="22">
        <f>3.84/5</f>
        <v>0.76800000000000002</v>
      </c>
      <c r="AB10304" s="18">
        <f t="shared" si="320"/>
        <v>1989</v>
      </c>
      <c r="AC10304" s="22">
        <f t="shared" si="321"/>
        <v>0.78400000000000003</v>
      </c>
    </row>
    <row r="10305" spans="1:29">
      <c r="A10305" s="8" t="s">
        <v>102</v>
      </c>
      <c r="B10305" s="17" t="s">
        <v>7734</v>
      </c>
      <c r="C10305" s="12">
        <v>32660</v>
      </c>
      <c r="D10305" s="13" t="s">
        <v>8465</v>
      </c>
      <c r="E10305" s="10" t="s">
        <v>73</v>
      </c>
      <c r="F10305" s="10" t="s">
        <v>73</v>
      </c>
      <c r="G10305" s="11" t="s">
        <v>89</v>
      </c>
      <c r="H10305" s="2" t="s">
        <v>56</v>
      </c>
      <c r="L10305" s="18">
        <v>0</v>
      </c>
      <c r="Q10305" s="18">
        <v>1</v>
      </c>
      <c r="T10305" s="22">
        <v>0.9</v>
      </c>
      <c r="V10305" s="22">
        <f>4.26/5</f>
        <v>0.85199999999999998</v>
      </c>
      <c r="Y10305" s="18">
        <v>1</v>
      </c>
      <c r="AB10305" s="18">
        <f t="shared" ref="AB10305:AB10368" si="322">IFERROR(YEAR(C10305), "Early Access")</f>
        <v>1989</v>
      </c>
      <c r="AC10305" s="22">
        <f t="shared" ref="AC10305:AC10368" si="323">AVERAGE(T10305, U10305, V10305, IF(ISBLANK(X10305), X10305, X10305/5))</f>
        <v>0.876</v>
      </c>
    </row>
    <row r="10306" spans="1:29">
      <c r="A10306" s="8" t="s">
        <v>9597</v>
      </c>
      <c r="B10306" s="17" t="s">
        <v>7734</v>
      </c>
      <c r="C10306" s="13">
        <v>32501</v>
      </c>
      <c r="D10306" s="13" t="s">
        <v>8463</v>
      </c>
      <c r="E10306" s="10" t="s">
        <v>8140</v>
      </c>
      <c r="F10306" s="10" t="s">
        <v>58</v>
      </c>
      <c r="G10306" s="11" t="s">
        <v>9597</v>
      </c>
      <c r="H10306" s="2" t="s">
        <v>67</v>
      </c>
      <c r="K10306" s="18">
        <v>2</v>
      </c>
      <c r="L10306" s="18">
        <v>0</v>
      </c>
      <c r="Q10306" s="18">
        <v>0</v>
      </c>
      <c r="V10306" s="22">
        <f>3/5</f>
        <v>0.6</v>
      </c>
      <c r="X10306" s="3">
        <v>2</v>
      </c>
      <c r="Z10306" s="23">
        <v>2</v>
      </c>
      <c r="AB10306" s="18">
        <f t="shared" si="322"/>
        <v>1988</v>
      </c>
      <c r="AC10306" s="22">
        <f t="shared" si="323"/>
        <v>0.5</v>
      </c>
    </row>
    <row r="10307" spans="1:29">
      <c r="A10307" s="8" t="s">
        <v>295</v>
      </c>
      <c r="B10307" s="17" t="s">
        <v>7734</v>
      </c>
      <c r="C10307" s="13">
        <v>32494</v>
      </c>
      <c r="D10307" s="13" t="s">
        <v>8463</v>
      </c>
      <c r="E10307" s="10" t="s">
        <v>161</v>
      </c>
      <c r="F10307" s="10" t="s">
        <v>161</v>
      </c>
      <c r="G10307" s="11" t="s">
        <v>126</v>
      </c>
      <c r="H10307" s="2" t="s">
        <v>149</v>
      </c>
      <c r="K10307" s="18">
        <v>2</v>
      </c>
      <c r="L10307" s="18">
        <v>0</v>
      </c>
      <c r="Q10307" s="18">
        <v>0</v>
      </c>
      <c r="V10307" s="22">
        <f>3.32/5</f>
        <v>0.66399999999999992</v>
      </c>
      <c r="X10307" s="3">
        <v>2</v>
      </c>
      <c r="Z10307" s="23">
        <v>25.5</v>
      </c>
      <c r="AB10307" s="18">
        <f t="shared" si="322"/>
        <v>1988</v>
      </c>
      <c r="AC10307" s="22">
        <f t="shared" si="323"/>
        <v>0.53200000000000003</v>
      </c>
    </row>
    <row r="10308" spans="1:29">
      <c r="A10308" s="8" t="s">
        <v>12226</v>
      </c>
      <c r="B10308" s="17" t="s">
        <v>7734</v>
      </c>
      <c r="C10308" s="13">
        <v>32493</v>
      </c>
      <c r="D10308" s="13" t="s">
        <v>8463</v>
      </c>
      <c r="E10308" s="10" t="s">
        <v>1468</v>
      </c>
      <c r="F10308" s="10" t="s">
        <v>1289</v>
      </c>
      <c r="H10308" s="2" t="s">
        <v>67</v>
      </c>
      <c r="K10308" s="18">
        <v>2</v>
      </c>
      <c r="L10308" s="18">
        <v>0</v>
      </c>
      <c r="Q10308" s="18">
        <v>0</v>
      </c>
      <c r="V10308" s="22">
        <f>3.84/5</f>
        <v>0.76800000000000002</v>
      </c>
      <c r="X10308" s="3">
        <v>2</v>
      </c>
      <c r="AB10308" s="18">
        <f t="shared" si="322"/>
        <v>1988</v>
      </c>
      <c r="AC10308" s="22">
        <f t="shared" si="323"/>
        <v>0.58400000000000007</v>
      </c>
    </row>
    <row r="10309" spans="1:29">
      <c r="A10309" s="8" t="s">
        <v>15</v>
      </c>
      <c r="B10309" s="17" t="s">
        <v>7734</v>
      </c>
      <c r="C10309" s="12">
        <v>32478</v>
      </c>
      <c r="D10309" s="13" t="s">
        <v>8465</v>
      </c>
      <c r="E10309" s="10" t="s">
        <v>73</v>
      </c>
      <c r="F10309" s="10" t="s">
        <v>73</v>
      </c>
      <c r="G10309" s="11" t="s">
        <v>15</v>
      </c>
      <c r="H10309" s="2" t="s">
        <v>64</v>
      </c>
      <c r="L10309" s="18">
        <v>0</v>
      </c>
      <c r="Q10309" s="18">
        <v>0</v>
      </c>
      <c r="V10309" s="22">
        <f>3.87/5</f>
        <v>0.77400000000000002</v>
      </c>
      <c r="X10309" s="3">
        <v>4</v>
      </c>
      <c r="Z10309" s="23">
        <v>2.5</v>
      </c>
      <c r="AB10309" s="18">
        <f t="shared" si="322"/>
        <v>1988</v>
      </c>
      <c r="AC10309" s="22">
        <f t="shared" si="323"/>
        <v>0.78700000000000003</v>
      </c>
    </row>
    <row r="10310" spans="1:29">
      <c r="A10310" s="8" t="s">
        <v>2842</v>
      </c>
      <c r="B10310" s="17" t="s">
        <v>7788</v>
      </c>
      <c r="C10310" s="12">
        <v>32478</v>
      </c>
      <c r="D10310" s="13" t="s">
        <v>8463</v>
      </c>
      <c r="E10310" s="10" t="s">
        <v>72</v>
      </c>
      <c r="F10310" s="10" t="s">
        <v>72</v>
      </c>
      <c r="G10310" s="11" t="s">
        <v>2703</v>
      </c>
      <c r="H10310" s="2" t="s">
        <v>149</v>
      </c>
      <c r="K10310" s="18">
        <v>2</v>
      </c>
      <c r="L10310" s="18">
        <v>0</v>
      </c>
      <c r="Q10310" s="18">
        <v>0</v>
      </c>
      <c r="V10310" s="22">
        <f>3.86/5</f>
        <v>0.77200000000000002</v>
      </c>
      <c r="X10310" s="3">
        <v>4</v>
      </c>
      <c r="Z10310" s="23">
        <v>20</v>
      </c>
      <c r="AB10310" s="18">
        <f t="shared" si="322"/>
        <v>1988</v>
      </c>
      <c r="AC10310" s="22">
        <f t="shared" si="323"/>
        <v>0.78600000000000003</v>
      </c>
    </row>
    <row r="10311" spans="1:29">
      <c r="A10311" s="8" t="s">
        <v>1325</v>
      </c>
      <c r="B10311" s="17" t="s">
        <v>7734</v>
      </c>
      <c r="C10311" s="12">
        <v>32478</v>
      </c>
      <c r="D10311" s="13" t="s">
        <v>8465</v>
      </c>
      <c r="E10311" s="10" t="s">
        <v>59</v>
      </c>
      <c r="F10311" s="10" t="s">
        <v>15893</v>
      </c>
      <c r="G10311" s="11" t="s">
        <v>1325</v>
      </c>
      <c r="H10311" s="2" t="s">
        <v>56</v>
      </c>
      <c r="L10311" s="18">
        <v>0</v>
      </c>
      <c r="Q10311" s="18">
        <v>0</v>
      </c>
      <c r="V10311" s="22">
        <f>2.46/5</f>
        <v>0.49199999999999999</v>
      </c>
      <c r="X10311" s="3">
        <v>2</v>
      </c>
      <c r="Z10311" s="23">
        <v>1</v>
      </c>
      <c r="AB10311" s="18">
        <f t="shared" si="322"/>
        <v>1988</v>
      </c>
      <c r="AC10311" s="22">
        <f t="shared" si="323"/>
        <v>0.44600000000000001</v>
      </c>
    </row>
    <row r="10312" spans="1:29" ht="30">
      <c r="A10312" s="8" t="s">
        <v>308</v>
      </c>
      <c r="B10312" s="17" t="s">
        <v>7735</v>
      </c>
      <c r="C10312" s="13">
        <v>32462</v>
      </c>
      <c r="D10312" s="13" t="s">
        <v>8463</v>
      </c>
      <c r="E10312" s="10" t="s">
        <v>73</v>
      </c>
      <c r="F10312" s="10" t="s">
        <v>73</v>
      </c>
      <c r="H10312" s="2" t="s">
        <v>80</v>
      </c>
      <c r="K10312" s="18">
        <v>2</v>
      </c>
      <c r="L10312" s="18">
        <v>0</v>
      </c>
      <c r="Q10312" s="18">
        <v>0</v>
      </c>
      <c r="V10312" s="22">
        <f>3.42/5</f>
        <v>0.68399999999999994</v>
      </c>
      <c r="X10312" s="3">
        <v>3</v>
      </c>
      <c r="AB10312" s="18">
        <f t="shared" si="322"/>
        <v>1988</v>
      </c>
      <c r="AC10312" s="22">
        <f t="shared" si="323"/>
        <v>0.6419999999999999</v>
      </c>
    </row>
    <row r="10313" spans="1:29">
      <c r="A10313" s="8" t="s">
        <v>208</v>
      </c>
      <c r="B10313" s="17" t="s">
        <v>7734</v>
      </c>
      <c r="C10313" s="12">
        <v>32448</v>
      </c>
      <c r="D10313" s="13" t="s">
        <v>8465</v>
      </c>
      <c r="E10313" s="10" t="s">
        <v>160</v>
      </c>
      <c r="F10313" s="10" t="s">
        <v>160</v>
      </c>
      <c r="G10313" s="11" t="s">
        <v>208</v>
      </c>
      <c r="H10313" s="2" t="s">
        <v>151</v>
      </c>
      <c r="L10313" s="18">
        <v>0</v>
      </c>
      <c r="Q10313" s="18">
        <v>0</v>
      </c>
      <c r="V10313" s="22">
        <f>3.93/5</f>
        <v>0.78600000000000003</v>
      </c>
      <c r="X10313" s="3">
        <v>4</v>
      </c>
      <c r="Z10313" s="23">
        <v>4</v>
      </c>
      <c r="AB10313" s="18">
        <f t="shared" si="322"/>
        <v>1988</v>
      </c>
      <c r="AC10313" s="22">
        <f t="shared" si="323"/>
        <v>0.79300000000000004</v>
      </c>
    </row>
    <row r="10314" spans="1:29" ht="25.5">
      <c r="A10314" s="8" t="s">
        <v>6801</v>
      </c>
      <c r="B10314" s="17" t="s">
        <v>7800</v>
      </c>
      <c r="C10314" s="12">
        <v>32448</v>
      </c>
      <c r="D10314" s="13" t="s">
        <v>8465</v>
      </c>
      <c r="E10314" s="10" t="s">
        <v>1496</v>
      </c>
      <c r="F10314" s="10" t="s">
        <v>1496</v>
      </c>
      <c r="G10314" s="11" t="s">
        <v>6901</v>
      </c>
      <c r="H10314" s="2" t="s">
        <v>67</v>
      </c>
      <c r="L10314" s="18">
        <v>1</v>
      </c>
      <c r="N10314" s="13">
        <v>43956</v>
      </c>
      <c r="O10314" s="29">
        <v>0</v>
      </c>
      <c r="P10314" s="18" t="s">
        <v>1107</v>
      </c>
      <c r="Q10314" s="18">
        <v>0</v>
      </c>
      <c r="U10314" s="22">
        <v>0.85</v>
      </c>
      <c r="V10314" s="22">
        <f>3.64/5</f>
        <v>0.72799999999999998</v>
      </c>
      <c r="W10314" s="14" t="s">
        <v>7777</v>
      </c>
      <c r="X10314" s="3">
        <v>3</v>
      </c>
      <c r="Z10314" s="23">
        <v>6</v>
      </c>
      <c r="AB10314" s="18">
        <f t="shared" si="322"/>
        <v>1988</v>
      </c>
      <c r="AC10314" s="22">
        <f t="shared" si="323"/>
        <v>0.72599999999999998</v>
      </c>
    </row>
    <row r="10315" spans="1:29" ht="30">
      <c r="A10315" s="8" t="s">
        <v>111</v>
      </c>
      <c r="B10315" s="17" t="s">
        <v>7750</v>
      </c>
      <c r="C10315" s="12">
        <v>32448</v>
      </c>
      <c r="D10315" s="13" t="s">
        <v>8465</v>
      </c>
      <c r="E10315" s="10" t="s">
        <v>455</v>
      </c>
      <c r="F10315" s="10" t="s">
        <v>455</v>
      </c>
      <c r="G10315" s="11" t="s">
        <v>111</v>
      </c>
      <c r="H10315" s="2" t="s">
        <v>153</v>
      </c>
      <c r="L10315" s="18">
        <v>0</v>
      </c>
      <c r="Q10315" s="18">
        <v>0</v>
      </c>
      <c r="V10315" s="22">
        <f>3.46/5</f>
        <v>0.69199999999999995</v>
      </c>
      <c r="X10315" s="3">
        <v>2</v>
      </c>
      <c r="Z10315" s="23">
        <v>1</v>
      </c>
      <c r="AB10315" s="18">
        <f t="shared" si="322"/>
        <v>1988</v>
      </c>
      <c r="AC10315" s="22">
        <f t="shared" si="323"/>
        <v>0.54600000000000004</v>
      </c>
    </row>
    <row r="10316" spans="1:29">
      <c r="A10316" s="8" t="s">
        <v>111</v>
      </c>
      <c r="B10316" s="17" t="s">
        <v>7767</v>
      </c>
      <c r="C10316" s="12">
        <v>32448</v>
      </c>
      <c r="D10316" s="13" t="s">
        <v>8465</v>
      </c>
      <c r="E10316" s="10" t="s">
        <v>13955</v>
      </c>
      <c r="F10316" s="10" t="s">
        <v>6882</v>
      </c>
      <c r="G10316" s="11" t="s">
        <v>111</v>
      </c>
      <c r="H10316" s="2" t="s">
        <v>153</v>
      </c>
      <c r="L10316" s="18">
        <v>0</v>
      </c>
      <c r="Q10316" s="18">
        <v>0</v>
      </c>
      <c r="V10316" s="22">
        <f>2.83/5</f>
        <v>0.56600000000000006</v>
      </c>
      <c r="X10316" s="3">
        <v>2</v>
      </c>
      <c r="Z10316" s="23">
        <v>1</v>
      </c>
      <c r="AB10316" s="18">
        <f t="shared" si="322"/>
        <v>1988</v>
      </c>
      <c r="AC10316" s="22">
        <f t="shared" si="323"/>
        <v>0.48300000000000004</v>
      </c>
    </row>
    <row r="10317" spans="1:29">
      <c r="A10317" s="8" t="s">
        <v>16097</v>
      </c>
      <c r="B10317" s="17" t="s">
        <v>7800</v>
      </c>
      <c r="C10317" s="12">
        <v>32448</v>
      </c>
      <c r="D10317" s="13" t="s">
        <v>8465</v>
      </c>
      <c r="E10317" s="10" t="s">
        <v>16098</v>
      </c>
      <c r="F10317" s="10" t="s">
        <v>16099</v>
      </c>
      <c r="H10317" s="2" t="s">
        <v>67</v>
      </c>
      <c r="L10317" s="18">
        <v>0</v>
      </c>
      <c r="Q10317" s="18">
        <v>0</v>
      </c>
      <c r="V10317" s="22">
        <f>3.92/5</f>
        <v>0.78400000000000003</v>
      </c>
      <c r="X10317" s="3">
        <v>2</v>
      </c>
      <c r="AB10317" s="18">
        <f t="shared" si="322"/>
        <v>1988</v>
      </c>
      <c r="AC10317" s="22">
        <f t="shared" si="323"/>
        <v>0.59200000000000008</v>
      </c>
    </row>
    <row r="10318" spans="1:29">
      <c r="A10318" s="8" t="s">
        <v>259</v>
      </c>
      <c r="B10318" s="17" t="s">
        <v>7734</v>
      </c>
      <c r="C10318" s="13">
        <v>32427</v>
      </c>
      <c r="D10318" s="13" t="s">
        <v>8463</v>
      </c>
      <c r="E10318" s="10" t="s">
        <v>1234</v>
      </c>
      <c r="F10318" s="10" t="s">
        <v>1230</v>
      </c>
      <c r="G10318" s="11" t="s">
        <v>259</v>
      </c>
      <c r="H10318" s="2" t="s">
        <v>61</v>
      </c>
      <c r="K10318" s="18">
        <v>2</v>
      </c>
      <c r="L10318" s="18">
        <v>0</v>
      </c>
      <c r="Q10318" s="18">
        <v>0</v>
      </c>
      <c r="V10318" s="22">
        <f>3/5</f>
        <v>0.6</v>
      </c>
      <c r="X10318" s="3">
        <v>2</v>
      </c>
      <c r="AB10318" s="18">
        <f t="shared" si="322"/>
        <v>1988</v>
      </c>
      <c r="AC10318" s="22">
        <f t="shared" si="323"/>
        <v>0.5</v>
      </c>
    </row>
    <row r="10319" spans="1:29" ht="25.5">
      <c r="A10319" s="8" t="s">
        <v>6828</v>
      </c>
      <c r="B10319" s="17" t="s">
        <v>7800</v>
      </c>
      <c r="C10319" s="13">
        <v>32421</v>
      </c>
      <c r="D10319" s="13" t="s">
        <v>8465</v>
      </c>
      <c r="E10319" s="10" t="s">
        <v>1784</v>
      </c>
      <c r="F10319" s="10" t="s">
        <v>1784</v>
      </c>
      <c r="G10319" s="11" t="s">
        <v>1785</v>
      </c>
      <c r="H10319" s="2" t="s">
        <v>1720</v>
      </c>
      <c r="L10319" s="18">
        <v>0</v>
      </c>
      <c r="Q10319" s="18">
        <v>0</v>
      </c>
      <c r="V10319" s="22">
        <f>4/5</f>
        <v>0.8</v>
      </c>
      <c r="X10319" s="3">
        <v>3</v>
      </c>
      <c r="Z10319" s="23">
        <v>25.5</v>
      </c>
      <c r="AB10319" s="18">
        <f t="shared" si="322"/>
        <v>1988</v>
      </c>
      <c r="AC10319" s="22">
        <f t="shared" si="323"/>
        <v>0.7</v>
      </c>
    </row>
    <row r="10320" spans="1:29" ht="25.5">
      <c r="A10320" s="8" t="s">
        <v>6876</v>
      </c>
      <c r="B10320" s="17" t="s">
        <v>7800</v>
      </c>
      <c r="C10320" s="12">
        <v>32417</v>
      </c>
      <c r="D10320" s="13" t="s">
        <v>8465</v>
      </c>
      <c r="E10320" s="10" t="s">
        <v>6908</v>
      </c>
      <c r="F10320" s="10" t="s">
        <v>6908</v>
      </c>
      <c r="H10320" s="2" t="s">
        <v>67</v>
      </c>
      <c r="L10320" s="18">
        <v>1</v>
      </c>
      <c r="N10320" s="13">
        <v>44774</v>
      </c>
      <c r="O10320" s="29">
        <v>0</v>
      </c>
      <c r="P10320" s="18" t="s">
        <v>1107</v>
      </c>
      <c r="Q10320" s="18">
        <v>0</v>
      </c>
      <c r="U10320" s="22">
        <v>0.85</v>
      </c>
      <c r="V10320" s="22">
        <f>3.73/5</f>
        <v>0.746</v>
      </c>
      <c r="W10320" s="14" t="s">
        <v>7799</v>
      </c>
      <c r="X10320" s="3">
        <v>3</v>
      </c>
      <c r="Z10320" s="23">
        <v>4</v>
      </c>
      <c r="AB10320" s="18">
        <f t="shared" si="322"/>
        <v>1988</v>
      </c>
      <c r="AC10320" s="22">
        <f t="shared" si="323"/>
        <v>0.7320000000000001</v>
      </c>
    </row>
    <row r="10321" spans="1:29">
      <c r="A10321" s="8" t="s">
        <v>139</v>
      </c>
      <c r="B10321" s="17" t="s">
        <v>6317</v>
      </c>
      <c r="C10321" s="12">
        <v>32417</v>
      </c>
      <c r="D10321" s="13" t="s">
        <v>8465</v>
      </c>
      <c r="E10321" s="10" t="s">
        <v>76</v>
      </c>
      <c r="F10321" s="10" t="s">
        <v>76</v>
      </c>
      <c r="G10321" s="11" t="s">
        <v>139</v>
      </c>
      <c r="H10321" s="2" t="s">
        <v>153</v>
      </c>
      <c r="L10321" s="18">
        <v>0</v>
      </c>
      <c r="Q10321" s="18">
        <v>0</v>
      </c>
      <c r="V10321" s="22">
        <f>3.32/5</f>
        <v>0.66399999999999992</v>
      </c>
      <c r="X10321" s="3">
        <v>3</v>
      </c>
      <c r="Z10321" s="23">
        <v>0.3</v>
      </c>
      <c r="AB10321" s="18">
        <f t="shared" si="322"/>
        <v>1988</v>
      </c>
      <c r="AC10321" s="22">
        <f t="shared" si="323"/>
        <v>0.6319999999999999</v>
      </c>
    </row>
    <row r="10322" spans="1:29" ht="51">
      <c r="A10322" s="8" t="s">
        <v>6788</v>
      </c>
      <c r="B10322" s="17" t="s">
        <v>7800</v>
      </c>
      <c r="C10322" s="12">
        <v>32417</v>
      </c>
      <c r="D10322" s="13" t="s">
        <v>8465</v>
      </c>
      <c r="E10322" s="10" t="s">
        <v>1496</v>
      </c>
      <c r="F10322" s="10" t="s">
        <v>1496</v>
      </c>
      <c r="G10322" s="11" t="s">
        <v>6897</v>
      </c>
      <c r="H10322" s="2" t="s">
        <v>67</v>
      </c>
      <c r="L10322" s="18">
        <v>0</v>
      </c>
      <c r="Q10322" s="18">
        <v>0</v>
      </c>
      <c r="U10322" s="22">
        <v>0.65</v>
      </c>
      <c r="V10322" s="22">
        <f>3.32/5</f>
        <v>0.66399999999999992</v>
      </c>
      <c r="X10322" s="3">
        <v>2</v>
      </c>
      <c r="Z10322" s="23">
        <v>4</v>
      </c>
      <c r="AB10322" s="18">
        <f t="shared" si="322"/>
        <v>1988</v>
      </c>
      <c r="AC10322" s="22">
        <f t="shared" si="323"/>
        <v>0.57133333333333336</v>
      </c>
    </row>
    <row r="10323" spans="1:29">
      <c r="A10323" s="8" t="s">
        <v>12014</v>
      </c>
      <c r="B10323" s="17" t="s">
        <v>7789</v>
      </c>
      <c r="C10323" s="13">
        <v>32409</v>
      </c>
      <c r="D10323" s="13" t="s">
        <v>8463</v>
      </c>
      <c r="E10323" s="10" t="s">
        <v>1430</v>
      </c>
      <c r="F10323" s="10" t="s">
        <v>1430</v>
      </c>
      <c r="G10323" s="11" t="s">
        <v>1369</v>
      </c>
      <c r="H10323" s="2" t="s">
        <v>75</v>
      </c>
      <c r="K10323" s="18">
        <v>2</v>
      </c>
      <c r="L10323" s="18">
        <v>0</v>
      </c>
      <c r="Q10323" s="18">
        <v>0</v>
      </c>
      <c r="V10323" s="22">
        <f>3.22/5</f>
        <v>0.64400000000000002</v>
      </c>
      <c r="X10323" s="3">
        <v>2</v>
      </c>
      <c r="AB10323" s="18">
        <f t="shared" si="322"/>
        <v>1988</v>
      </c>
      <c r="AC10323" s="22">
        <f t="shared" si="323"/>
        <v>0.52200000000000002</v>
      </c>
    </row>
    <row r="10324" spans="1:29" ht="25.5">
      <c r="A10324" s="8" t="s">
        <v>6779</v>
      </c>
      <c r="B10324" s="17" t="s">
        <v>7800</v>
      </c>
      <c r="C10324" s="12">
        <v>32387</v>
      </c>
      <c r="D10324" s="13" t="s">
        <v>8465</v>
      </c>
      <c r="E10324" s="10" t="s">
        <v>1496</v>
      </c>
      <c r="F10324" s="10" t="s">
        <v>1496</v>
      </c>
      <c r="G10324" s="11" t="s">
        <v>6895</v>
      </c>
      <c r="H10324" s="2" t="s">
        <v>67</v>
      </c>
      <c r="L10324" s="18">
        <v>1</v>
      </c>
      <c r="N10324" s="13">
        <v>43956</v>
      </c>
      <c r="O10324" s="29">
        <v>0</v>
      </c>
      <c r="P10324" s="18" t="s">
        <v>1107</v>
      </c>
      <c r="Q10324" s="18">
        <v>0</v>
      </c>
      <c r="U10324" s="22">
        <v>0.8</v>
      </c>
      <c r="V10324" s="22">
        <f>3.64/5</f>
        <v>0.72799999999999998</v>
      </c>
      <c r="W10324" s="14" t="s">
        <v>7777</v>
      </c>
      <c r="X10324" s="3">
        <v>3</v>
      </c>
      <c r="Z10324" s="23">
        <v>3.5</v>
      </c>
      <c r="AB10324" s="18">
        <f t="shared" si="322"/>
        <v>1988</v>
      </c>
      <c r="AC10324" s="22">
        <f t="shared" si="323"/>
        <v>0.70933333333333337</v>
      </c>
    </row>
    <row r="10325" spans="1:29">
      <c r="A10325" s="8" t="s">
        <v>41</v>
      </c>
      <c r="B10325" s="17" t="s">
        <v>7734</v>
      </c>
      <c r="C10325" s="12">
        <v>32387</v>
      </c>
      <c r="D10325" s="13" t="s">
        <v>8465</v>
      </c>
      <c r="E10325" s="10" t="s">
        <v>62</v>
      </c>
      <c r="F10325" s="10" t="s">
        <v>62</v>
      </c>
      <c r="G10325" s="11" t="s">
        <v>41</v>
      </c>
      <c r="H10325" s="2" t="s">
        <v>64</v>
      </c>
      <c r="L10325" s="18">
        <v>0</v>
      </c>
      <c r="Q10325" s="18">
        <v>0</v>
      </c>
      <c r="V10325" s="22">
        <f>3.32/5</f>
        <v>0.66399999999999992</v>
      </c>
      <c r="X10325" s="3">
        <v>3</v>
      </c>
      <c r="Z10325" s="23">
        <v>0.92</v>
      </c>
      <c r="AB10325" s="18">
        <f t="shared" si="322"/>
        <v>1988</v>
      </c>
      <c r="AC10325" s="22">
        <f t="shared" si="323"/>
        <v>0.6319999999999999</v>
      </c>
    </row>
    <row r="10326" spans="1:29" ht="30">
      <c r="A10326" s="8" t="s">
        <v>13758</v>
      </c>
      <c r="B10326" s="17" t="s">
        <v>7750</v>
      </c>
      <c r="C10326" s="12">
        <v>32387</v>
      </c>
      <c r="D10326" s="13" t="s">
        <v>8467</v>
      </c>
      <c r="E10326" s="10" t="s">
        <v>455</v>
      </c>
      <c r="F10326" s="10" t="s">
        <v>455</v>
      </c>
      <c r="G10326" s="11" t="s">
        <v>13741</v>
      </c>
      <c r="H10326" s="2" t="s">
        <v>150</v>
      </c>
      <c r="L10326" s="18">
        <v>0</v>
      </c>
      <c r="Q10326" s="18">
        <v>0</v>
      </c>
      <c r="V10326" s="22">
        <f>3.29/5</f>
        <v>0.65800000000000003</v>
      </c>
      <c r="X10326" s="3">
        <v>2</v>
      </c>
      <c r="AB10326" s="18">
        <f t="shared" si="322"/>
        <v>1988</v>
      </c>
      <c r="AC10326" s="22">
        <f t="shared" si="323"/>
        <v>0.52900000000000003</v>
      </c>
    </row>
    <row r="10327" spans="1:29" ht="25.5">
      <c r="A10327" s="8" t="s">
        <v>211</v>
      </c>
      <c r="B10327" s="17" t="s">
        <v>7734</v>
      </c>
      <c r="C10327" s="12">
        <v>32387</v>
      </c>
      <c r="D10327" s="13" t="s">
        <v>8465</v>
      </c>
      <c r="E10327" s="10" t="s">
        <v>250</v>
      </c>
      <c r="F10327" s="10" t="s">
        <v>250</v>
      </c>
      <c r="G10327" s="11" t="s">
        <v>251</v>
      </c>
      <c r="H10327" s="2" t="s">
        <v>80</v>
      </c>
      <c r="L10327" s="18">
        <v>0</v>
      </c>
      <c r="Q10327" s="18">
        <v>0</v>
      </c>
      <c r="V10327" s="22">
        <f>3.18/5</f>
        <v>0.63600000000000001</v>
      </c>
      <c r="X10327" s="3">
        <v>2</v>
      </c>
      <c r="Z10327" s="23">
        <v>4</v>
      </c>
      <c r="AB10327" s="18">
        <f t="shared" si="322"/>
        <v>1988</v>
      </c>
      <c r="AC10327" s="22">
        <f t="shared" si="323"/>
        <v>0.51800000000000002</v>
      </c>
    </row>
    <row r="10328" spans="1:29">
      <c r="A10328" s="8" t="s">
        <v>7637</v>
      </c>
      <c r="B10328" s="17" t="s">
        <v>7734</v>
      </c>
      <c r="C10328" s="12">
        <v>32387</v>
      </c>
      <c r="D10328" s="13" t="s">
        <v>8465</v>
      </c>
      <c r="E10328" s="10" t="s">
        <v>62</v>
      </c>
      <c r="F10328" s="10" t="s">
        <v>62</v>
      </c>
      <c r="G10328" s="11" t="s">
        <v>7637</v>
      </c>
      <c r="H10328" s="2" t="s">
        <v>56</v>
      </c>
      <c r="L10328" s="18">
        <v>0</v>
      </c>
      <c r="Q10328" s="18">
        <v>0</v>
      </c>
      <c r="V10328" s="22">
        <f>3.01/5</f>
        <v>0.60199999999999998</v>
      </c>
      <c r="X10328" s="3">
        <v>2</v>
      </c>
      <c r="Z10328" s="23">
        <v>1.5</v>
      </c>
      <c r="AB10328" s="18">
        <f t="shared" si="322"/>
        <v>1988</v>
      </c>
      <c r="AC10328" s="22">
        <f t="shared" si="323"/>
        <v>0.501</v>
      </c>
    </row>
    <row r="10329" spans="1:29">
      <c r="A10329" s="8" t="s">
        <v>277</v>
      </c>
      <c r="B10329" s="17" t="s">
        <v>7734</v>
      </c>
      <c r="C10329" s="13">
        <v>32367</v>
      </c>
      <c r="D10329" s="13" t="s">
        <v>8463</v>
      </c>
      <c r="E10329" s="10" t="s">
        <v>86</v>
      </c>
      <c r="F10329" s="10" t="s">
        <v>142</v>
      </c>
      <c r="G10329" s="11" t="s">
        <v>301</v>
      </c>
      <c r="H10329" s="2" t="s">
        <v>75</v>
      </c>
      <c r="K10329" s="18">
        <v>2</v>
      </c>
      <c r="L10329" s="18">
        <v>0</v>
      </c>
      <c r="Q10329" s="18">
        <v>0</v>
      </c>
      <c r="V10329" s="22">
        <f>3.72/5</f>
        <v>0.74399999999999999</v>
      </c>
      <c r="X10329" s="3">
        <v>2</v>
      </c>
      <c r="Z10329" s="23">
        <v>1.5</v>
      </c>
      <c r="AB10329" s="18">
        <f t="shared" si="322"/>
        <v>1988</v>
      </c>
      <c r="AC10329" s="22">
        <f t="shared" si="323"/>
        <v>0.57200000000000006</v>
      </c>
    </row>
    <row r="10330" spans="1:29">
      <c r="A10330" s="8" t="s">
        <v>13856</v>
      </c>
      <c r="B10330" s="17" t="s">
        <v>10510</v>
      </c>
      <c r="C10330" s="13">
        <v>32364</v>
      </c>
      <c r="D10330" s="13" t="s">
        <v>8463</v>
      </c>
      <c r="E10330" s="10" t="s">
        <v>1234</v>
      </c>
      <c r="F10330" s="10" t="s">
        <v>13857</v>
      </c>
      <c r="H10330" s="2" t="s">
        <v>151</v>
      </c>
      <c r="K10330" s="18">
        <v>0</v>
      </c>
      <c r="L10330" s="18">
        <v>0</v>
      </c>
      <c r="Q10330" s="18">
        <v>0</v>
      </c>
      <c r="V10330" s="22">
        <f>3.44/5</f>
        <v>0.68799999999999994</v>
      </c>
      <c r="X10330" s="3">
        <v>2</v>
      </c>
      <c r="Z10330" s="23">
        <v>7</v>
      </c>
      <c r="AB10330" s="18">
        <f t="shared" si="322"/>
        <v>1988</v>
      </c>
      <c r="AC10330" s="22">
        <f t="shared" si="323"/>
        <v>0.54400000000000004</v>
      </c>
    </row>
    <row r="10331" spans="1:29">
      <c r="A10331" s="8" t="s">
        <v>188</v>
      </c>
      <c r="B10331" s="17" t="s">
        <v>7734</v>
      </c>
      <c r="C10331" s="12">
        <v>32356</v>
      </c>
      <c r="D10331" s="13" t="s">
        <v>8465</v>
      </c>
      <c r="E10331" s="10" t="s">
        <v>72</v>
      </c>
      <c r="F10331" s="10" t="s">
        <v>72</v>
      </c>
      <c r="G10331" s="11" t="s">
        <v>123</v>
      </c>
      <c r="H10331" s="2" t="s">
        <v>21</v>
      </c>
      <c r="L10331" s="18">
        <v>0</v>
      </c>
      <c r="Q10331" s="18">
        <v>0</v>
      </c>
      <c r="V10331" s="22">
        <f>3.9/5</f>
        <v>0.78</v>
      </c>
      <c r="X10331" s="3">
        <v>3</v>
      </c>
      <c r="Z10331" s="23">
        <v>0.5</v>
      </c>
      <c r="AB10331" s="18">
        <f t="shared" si="322"/>
        <v>1988</v>
      </c>
      <c r="AC10331" s="22">
        <f t="shared" si="323"/>
        <v>0.69</v>
      </c>
    </row>
    <row r="10332" spans="1:29">
      <c r="A10332" s="8" t="s">
        <v>13751</v>
      </c>
      <c r="B10332" s="17" t="s">
        <v>6317</v>
      </c>
      <c r="C10332" s="12">
        <v>32356</v>
      </c>
      <c r="D10332" s="13" t="s">
        <v>8465</v>
      </c>
      <c r="E10332" s="10" t="s">
        <v>455</v>
      </c>
      <c r="F10332" s="10" t="s">
        <v>456</v>
      </c>
      <c r="H10332" s="2" t="s">
        <v>150</v>
      </c>
      <c r="L10332" s="18">
        <v>0</v>
      </c>
      <c r="Q10332" s="18">
        <v>0</v>
      </c>
      <c r="V10332" s="22">
        <f>3.06/5</f>
        <v>0.61199999999999999</v>
      </c>
      <c r="X10332" s="3">
        <v>2</v>
      </c>
      <c r="Z10332" s="23">
        <f>43/60</f>
        <v>0.71666666666666667</v>
      </c>
      <c r="AB10332" s="18">
        <f t="shared" si="322"/>
        <v>1988</v>
      </c>
      <c r="AC10332" s="22">
        <f t="shared" si="323"/>
        <v>0.50600000000000001</v>
      </c>
    </row>
    <row r="10333" spans="1:29">
      <c r="A10333" s="8" t="s">
        <v>1315</v>
      </c>
      <c r="B10333" s="17" t="s">
        <v>7788</v>
      </c>
      <c r="C10333" s="13">
        <v>32347</v>
      </c>
      <c r="D10333" s="13" t="s">
        <v>8463</v>
      </c>
      <c r="E10333" s="10" t="s">
        <v>167</v>
      </c>
      <c r="F10333" s="10" t="s">
        <v>167</v>
      </c>
      <c r="G10333" s="11" t="s">
        <v>1315</v>
      </c>
      <c r="H10333" s="2" t="s">
        <v>21</v>
      </c>
      <c r="K10333" s="18">
        <v>2</v>
      </c>
      <c r="L10333" s="18">
        <v>0</v>
      </c>
      <c r="Q10333" s="18">
        <v>0</v>
      </c>
      <c r="V10333" s="22">
        <f>3.58/5</f>
        <v>0.71599999999999997</v>
      </c>
      <c r="X10333" s="3">
        <v>3</v>
      </c>
      <c r="Z10333" s="23">
        <f>50/60</f>
        <v>0.83333333333333337</v>
      </c>
      <c r="AB10333" s="18">
        <f t="shared" si="322"/>
        <v>1988</v>
      </c>
      <c r="AC10333" s="22">
        <f t="shared" si="323"/>
        <v>0.65799999999999992</v>
      </c>
    </row>
    <row r="10334" spans="1:29">
      <c r="A10334" s="8" t="s">
        <v>187</v>
      </c>
      <c r="B10334" s="17" t="s">
        <v>7734</v>
      </c>
      <c r="C10334" s="12">
        <v>32325</v>
      </c>
      <c r="D10334" s="13" t="s">
        <v>8465</v>
      </c>
      <c r="E10334" s="10" t="s">
        <v>73</v>
      </c>
      <c r="F10334" s="10" t="s">
        <v>73</v>
      </c>
      <c r="G10334" s="11" t="s">
        <v>187</v>
      </c>
      <c r="H10334" s="2" t="s">
        <v>21</v>
      </c>
      <c r="L10334" s="18">
        <v>0</v>
      </c>
      <c r="Q10334" s="18">
        <v>0</v>
      </c>
      <c r="V10334" s="22">
        <f>3.33/5</f>
        <v>0.66600000000000004</v>
      </c>
      <c r="X10334" s="3">
        <v>3</v>
      </c>
      <c r="Z10334" s="23">
        <v>1</v>
      </c>
      <c r="AB10334" s="18">
        <f t="shared" si="322"/>
        <v>1988</v>
      </c>
      <c r="AC10334" s="22">
        <f t="shared" si="323"/>
        <v>0.63300000000000001</v>
      </c>
    </row>
    <row r="10335" spans="1:29">
      <c r="A10335" s="8" t="s">
        <v>220</v>
      </c>
      <c r="B10335" s="17" t="s">
        <v>7734</v>
      </c>
      <c r="C10335" s="12">
        <v>32295</v>
      </c>
      <c r="D10335" s="13" t="s">
        <v>8465</v>
      </c>
      <c r="E10335" s="10" t="s">
        <v>244</v>
      </c>
      <c r="F10335" s="10" t="s">
        <v>72</v>
      </c>
      <c r="G10335" s="11" t="s">
        <v>220</v>
      </c>
      <c r="H10335" s="2" t="s">
        <v>245</v>
      </c>
      <c r="L10335" s="18">
        <v>0</v>
      </c>
      <c r="Q10335" s="18">
        <v>0</v>
      </c>
      <c r="V10335" s="22">
        <f>3.42/5</f>
        <v>0.68399999999999994</v>
      </c>
      <c r="X10335" s="3">
        <v>4</v>
      </c>
      <c r="Z10335" s="23">
        <v>4</v>
      </c>
      <c r="AB10335" s="18">
        <f t="shared" si="322"/>
        <v>1988</v>
      </c>
      <c r="AC10335" s="22">
        <f t="shared" si="323"/>
        <v>0.74199999999999999</v>
      </c>
    </row>
    <row r="10336" spans="1:29">
      <c r="A10336" s="8" t="s">
        <v>6805</v>
      </c>
      <c r="B10336" s="17" t="s">
        <v>7800</v>
      </c>
      <c r="C10336" s="12">
        <v>32295</v>
      </c>
      <c r="D10336" s="13" t="s">
        <v>8465</v>
      </c>
      <c r="E10336" s="10" t="s">
        <v>6668</v>
      </c>
      <c r="F10336" s="10" t="s">
        <v>6668</v>
      </c>
      <c r="G10336" s="11" t="s">
        <v>445</v>
      </c>
      <c r="H10336" s="2" t="s">
        <v>1720</v>
      </c>
      <c r="L10336" s="18">
        <v>0</v>
      </c>
      <c r="Q10336" s="18">
        <v>0</v>
      </c>
      <c r="V10336" s="22">
        <f>3.98/5</f>
        <v>0.79600000000000004</v>
      </c>
      <c r="X10336" s="3">
        <v>3</v>
      </c>
      <c r="Z10336" s="23">
        <v>32</v>
      </c>
      <c r="AB10336" s="18">
        <f t="shared" si="322"/>
        <v>1988</v>
      </c>
      <c r="AC10336" s="22">
        <f t="shared" si="323"/>
        <v>0.69799999999999995</v>
      </c>
    </row>
    <row r="10337" spans="1:29" ht="25.5">
      <c r="A10337" s="8" t="s">
        <v>11807</v>
      </c>
      <c r="B10337" s="17" t="s">
        <v>7734</v>
      </c>
      <c r="C10337" s="13">
        <v>32276</v>
      </c>
      <c r="D10337" s="13" t="s">
        <v>8463</v>
      </c>
      <c r="E10337" s="10" t="s">
        <v>161</v>
      </c>
      <c r="F10337" s="10" t="s">
        <v>11808</v>
      </c>
      <c r="G10337" s="11" t="s">
        <v>11809</v>
      </c>
      <c r="H10337" s="2" t="s">
        <v>149</v>
      </c>
      <c r="K10337" s="18">
        <v>2</v>
      </c>
      <c r="L10337" s="18">
        <v>0</v>
      </c>
      <c r="Q10337" s="18">
        <v>0</v>
      </c>
      <c r="V10337" s="22">
        <f>2.91/5</f>
        <v>0.58200000000000007</v>
      </c>
      <c r="X10337" s="3">
        <v>2</v>
      </c>
      <c r="Z10337" s="23">
        <v>40</v>
      </c>
      <c r="AB10337" s="18">
        <f t="shared" si="322"/>
        <v>1988</v>
      </c>
      <c r="AC10337" s="22">
        <f t="shared" si="323"/>
        <v>0.49100000000000005</v>
      </c>
    </row>
    <row r="10338" spans="1:29">
      <c r="A10338" s="8" t="s">
        <v>451</v>
      </c>
      <c r="B10338" s="17" t="s">
        <v>7787</v>
      </c>
      <c r="C10338" s="13">
        <v>32261</v>
      </c>
      <c r="D10338" s="13" t="s">
        <v>8463</v>
      </c>
      <c r="E10338" s="10" t="s">
        <v>72</v>
      </c>
      <c r="F10338" s="10" t="s">
        <v>72</v>
      </c>
      <c r="G10338" s="11" t="s">
        <v>451</v>
      </c>
      <c r="H10338" s="2" t="s">
        <v>21</v>
      </c>
      <c r="K10338" s="18">
        <v>2</v>
      </c>
      <c r="L10338" s="18">
        <v>0</v>
      </c>
      <c r="Q10338" s="18">
        <v>0</v>
      </c>
      <c r="V10338" s="22">
        <f>3.47/5</f>
        <v>0.69400000000000006</v>
      </c>
      <c r="X10338" s="3">
        <v>3</v>
      </c>
      <c r="Z10338" s="23">
        <v>1.5</v>
      </c>
      <c r="AB10338" s="18">
        <f t="shared" si="322"/>
        <v>1988</v>
      </c>
      <c r="AC10338" s="22">
        <f t="shared" si="323"/>
        <v>0.64700000000000002</v>
      </c>
    </row>
    <row r="10339" spans="1:29" ht="25.5">
      <c r="A10339" s="8" t="s">
        <v>270</v>
      </c>
      <c r="B10339" s="17" t="s">
        <v>7734</v>
      </c>
      <c r="C10339" s="13">
        <v>32255</v>
      </c>
      <c r="D10339" s="13" t="s">
        <v>8463</v>
      </c>
      <c r="E10339" s="10" t="s">
        <v>72</v>
      </c>
      <c r="F10339" s="10" t="s">
        <v>72</v>
      </c>
      <c r="H10339" s="2" t="s">
        <v>64</v>
      </c>
      <c r="K10339" s="18">
        <v>2</v>
      </c>
      <c r="L10339" s="18">
        <v>0</v>
      </c>
      <c r="Q10339" s="18">
        <v>0</v>
      </c>
      <c r="V10339" s="22">
        <f>3.44/5</f>
        <v>0.68799999999999994</v>
      </c>
      <c r="X10339" s="3">
        <v>2</v>
      </c>
      <c r="Z10339" s="23">
        <v>2.5</v>
      </c>
      <c r="AB10339" s="18">
        <f t="shared" si="322"/>
        <v>1988</v>
      </c>
      <c r="AC10339" s="22">
        <f t="shared" si="323"/>
        <v>0.54400000000000004</v>
      </c>
    </row>
    <row r="10340" spans="1:29" ht="30">
      <c r="A10340" s="8" t="s">
        <v>14374</v>
      </c>
      <c r="B10340" s="17" t="s">
        <v>7735</v>
      </c>
      <c r="C10340" s="13">
        <v>32247</v>
      </c>
      <c r="D10340" s="13" t="s">
        <v>8463</v>
      </c>
      <c r="E10340" s="10" t="s">
        <v>86</v>
      </c>
      <c r="F10340" s="10" t="s">
        <v>86</v>
      </c>
      <c r="G10340" s="11" t="s">
        <v>14372</v>
      </c>
      <c r="H10340" s="2" t="s">
        <v>150</v>
      </c>
      <c r="K10340" s="18">
        <v>2</v>
      </c>
      <c r="L10340" s="18">
        <v>0</v>
      </c>
      <c r="Q10340" s="18">
        <v>0</v>
      </c>
      <c r="V10340" s="22">
        <f>3.29/5</f>
        <v>0.65800000000000003</v>
      </c>
      <c r="X10340" s="3">
        <v>2</v>
      </c>
      <c r="AB10340" s="18">
        <f t="shared" si="322"/>
        <v>1988</v>
      </c>
      <c r="AC10340" s="22">
        <f t="shared" si="323"/>
        <v>0.52900000000000003</v>
      </c>
    </row>
    <row r="10341" spans="1:29" ht="30">
      <c r="A10341" s="8" t="s">
        <v>11757</v>
      </c>
      <c r="B10341" s="17" t="s">
        <v>7750</v>
      </c>
      <c r="C10341" s="13">
        <v>32235</v>
      </c>
      <c r="D10341" s="13" t="s">
        <v>8463</v>
      </c>
      <c r="E10341" s="10" t="s">
        <v>455</v>
      </c>
      <c r="F10341" s="10" t="s">
        <v>455</v>
      </c>
      <c r="H10341" s="2" t="s">
        <v>67</v>
      </c>
      <c r="K10341" s="18">
        <v>2</v>
      </c>
      <c r="L10341" s="18">
        <v>0</v>
      </c>
      <c r="Q10341" s="18">
        <v>0</v>
      </c>
      <c r="V10341" s="22">
        <f>1.4/5</f>
        <v>0.27999999999999997</v>
      </c>
      <c r="X10341" s="3">
        <v>3</v>
      </c>
      <c r="AB10341" s="18">
        <f t="shared" si="322"/>
        <v>1988</v>
      </c>
      <c r="AC10341" s="22">
        <f t="shared" si="323"/>
        <v>0.43999999999999995</v>
      </c>
    </row>
    <row r="10342" spans="1:29" ht="25.5">
      <c r="A10342" s="8" t="s">
        <v>482</v>
      </c>
      <c r="B10342" s="17" t="s">
        <v>6317</v>
      </c>
      <c r="C10342" s="13">
        <v>32226</v>
      </c>
      <c r="D10342" s="13" t="s">
        <v>8467</v>
      </c>
      <c r="E10342" s="10" t="s">
        <v>72</v>
      </c>
      <c r="F10342" s="10" t="s">
        <v>72</v>
      </c>
      <c r="G10342" s="11" t="s">
        <v>123</v>
      </c>
      <c r="H10342" s="2" t="s">
        <v>21</v>
      </c>
      <c r="L10342" s="18">
        <v>0</v>
      </c>
      <c r="Q10342" s="18">
        <v>0</v>
      </c>
      <c r="V10342" s="22">
        <f>3.85/5</f>
        <v>0.77</v>
      </c>
      <c r="X10342" s="3">
        <v>3</v>
      </c>
      <c r="Z10342" s="23">
        <v>0.95</v>
      </c>
      <c r="AB10342" s="18">
        <f t="shared" si="322"/>
        <v>1988</v>
      </c>
      <c r="AC10342" s="22">
        <f t="shared" si="323"/>
        <v>0.68500000000000005</v>
      </c>
    </row>
    <row r="10343" spans="1:29">
      <c r="A10343" s="8" t="s">
        <v>383</v>
      </c>
      <c r="B10343" s="17" t="s">
        <v>6317</v>
      </c>
      <c r="C10343" s="12">
        <v>32174</v>
      </c>
      <c r="D10343" s="13" t="s">
        <v>8465</v>
      </c>
      <c r="E10343" s="10" t="s">
        <v>72</v>
      </c>
      <c r="F10343" s="10" t="s">
        <v>72</v>
      </c>
      <c r="G10343" s="11" t="s">
        <v>113</v>
      </c>
      <c r="H10343" s="2" t="s">
        <v>56</v>
      </c>
      <c r="L10343" s="18">
        <v>0</v>
      </c>
      <c r="Q10343" s="18">
        <v>0</v>
      </c>
      <c r="V10343" s="22">
        <f>2.49/5</f>
        <v>0.49800000000000005</v>
      </c>
      <c r="X10343" s="3">
        <v>3</v>
      </c>
      <c r="Z10343" s="23">
        <v>0.57999999999999996</v>
      </c>
      <c r="AB10343" s="18">
        <f t="shared" si="322"/>
        <v>1988</v>
      </c>
      <c r="AC10343" s="22">
        <f t="shared" si="323"/>
        <v>0.54900000000000004</v>
      </c>
    </row>
    <row r="10344" spans="1:29" ht="30">
      <c r="A10344" s="8" t="s">
        <v>8408</v>
      </c>
      <c r="B10344" s="17" t="s">
        <v>7750</v>
      </c>
      <c r="C10344" s="13">
        <v>32173</v>
      </c>
      <c r="D10344" s="13" t="s">
        <v>8465</v>
      </c>
      <c r="E10344" s="10" t="s">
        <v>455</v>
      </c>
      <c r="F10344" s="10" t="s">
        <v>8409</v>
      </c>
      <c r="H10344" s="2" t="s">
        <v>149</v>
      </c>
      <c r="L10344" s="18">
        <v>0</v>
      </c>
      <c r="Q10344" s="18">
        <v>0</v>
      </c>
      <c r="V10344" s="22">
        <f>3.33/5</f>
        <v>0.66600000000000004</v>
      </c>
      <c r="X10344" s="3">
        <v>2</v>
      </c>
      <c r="Z10344" s="23">
        <v>8</v>
      </c>
      <c r="AB10344" s="18">
        <f t="shared" si="322"/>
        <v>1988</v>
      </c>
      <c r="AC10344" s="22">
        <f t="shared" si="323"/>
        <v>0.53300000000000003</v>
      </c>
    </row>
    <row r="10345" spans="1:29">
      <c r="A10345" s="8" t="s">
        <v>10829</v>
      </c>
      <c r="B10345" s="17" t="s">
        <v>7789</v>
      </c>
      <c r="C10345" s="13">
        <v>32164</v>
      </c>
      <c r="D10345" s="13" t="s">
        <v>8463</v>
      </c>
      <c r="E10345" s="10" t="s">
        <v>62</v>
      </c>
      <c r="F10345" s="10" t="s">
        <v>62</v>
      </c>
      <c r="G10345" s="11" t="s">
        <v>13775</v>
      </c>
      <c r="H10345" s="2" t="s">
        <v>171</v>
      </c>
      <c r="K10345" s="18">
        <v>1</v>
      </c>
      <c r="L10345" s="18">
        <v>0</v>
      </c>
      <c r="Q10345" s="18">
        <v>0</v>
      </c>
      <c r="V10345" s="22">
        <f>3.45/5</f>
        <v>0.69000000000000006</v>
      </c>
      <c r="X10345" s="3">
        <v>2</v>
      </c>
      <c r="Z10345" s="23">
        <v>30</v>
      </c>
      <c r="AB10345" s="18">
        <f t="shared" si="322"/>
        <v>1988</v>
      </c>
      <c r="AC10345" s="22">
        <f t="shared" si="323"/>
        <v>0.54500000000000004</v>
      </c>
    </row>
    <row r="10346" spans="1:29">
      <c r="A10346" s="8" t="s">
        <v>287</v>
      </c>
      <c r="B10346" s="17" t="s">
        <v>7734</v>
      </c>
      <c r="C10346" s="13">
        <v>32156</v>
      </c>
      <c r="D10346" s="13" t="s">
        <v>8463</v>
      </c>
      <c r="E10346" s="10" t="s">
        <v>72</v>
      </c>
      <c r="F10346" s="10" t="s">
        <v>72</v>
      </c>
      <c r="G10346" s="11" t="s">
        <v>287</v>
      </c>
      <c r="H10346" s="2" t="s">
        <v>64</v>
      </c>
      <c r="K10346" s="18">
        <v>2</v>
      </c>
      <c r="L10346" s="18">
        <v>0</v>
      </c>
      <c r="Q10346" s="18">
        <v>0</v>
      </c>
      <c r="V10346" s="22">
        <f>3.66/5</f>
        <v>0.73199999999999998</v>
      </c>
      <c r="X10346" s="3">
        <v>2</v>
      </c>
      <c r="Z10346" s="23">
        <v>11</v>
      </c>
      <c r="AB10346" s="18">
        <f t="shared" si="322"/>
        <v>1988</v>
      </c>
      <c r="AC10346" s="22">
        <f t="shared" si="323"/>
        <v>0.56600000000000006</v>
      </c>
    </row>
    <row r="10347" spans="1:29">
      <c r="A10347" s="8" t="s">
        <v>1719</v>
      </c>
      <c r="B10347" s="17" t="s">
        <v>7800</v>
      </c>
      <c r="C10347" s="13">
        <v>32144</v>
      </c>
      <c r="D10347" s="13" t="s">
        <v>8465</v>
      </c>
      <c r="E10347" s="10" t="s">
        <v>231</v>
      </c>
      <c r="F10347" s="10" t="s">
        <v>1272</v>
      </c>
      <c r="G10347" s="11" t="s">
        <v>1719</v>
      </c>
      <c r="H10347" s="2" t="s">
        <v>1720</v>
      </c>
      <c r="L10347" s="18">
        <v>1</v>
      </c>
      <c r="N10347" s="13">
        <v>44817</v>
      </c>
      <c r="O10347" s="29">
        <v>0.71</v>
      </c>
      <c r="P10347" s="18" t="s">
        <v>1107</v>
      </c>
      <c r="Q10347" s="18">
        <v>0</v>
      </c>
      <c r="V10347" s="22">
        <f>3.96/5</f>
        <v>0.79200000000000004</v>
      </c>
      <c r="W10347" s="14" t="s">
        <v>7777</v>
      </c>
      <c r="X10347" s="3">
        <v>3</v>
      </c>
      <c r="Z10347" s="23">
        <v>30.5</v>
      </c>
      <c r="AB10347" s="18">
        <f t="shared" si="322"/>
        <v>1988</v>
      </c>
      <c r="AC10347" s="22">
        <f t="shared" si="323"/>
        <v>0.69599999999999995</v>
      </c>
    </row>
    <row r="10348" spans="1:29" ht="30">
      <c r="A10348" s="8" t="s">
        <v>1936</v>
      </c>
      <c r="B10348" s="17" t="s">
        <v>7750</v>
      </c>
      <c r="C10348" s="12">
        <v>32143</v>
      </c>
      <c r="D10348" s="13" t="s">
        <v>8465</v>
      </c>
      <c r="E10348" s="10" t="s">
        <v>455</v>
      </c>
      <c r="F10348" s="10" t="s">
        <v>455</v>
      </c>
      <c r="G10348" s="11" t="s">
        <v>1936</v>
      </c>
      <c r="H10348" s="2" t="s">
        <v>149</v>
      </c>
      <c r="L10348" s="18">
        <v>0</v>
      </c>
      <c r="Q10348" s="18">
        <v>0</v>
      </c>
      <c r="V10348" s="22">
        <f>4/5</f>
        <v>0.8</v>
      </c>
      <c r="X10348" s="3">
        <v>4</v>
      </c>
      <c r="Z10348" s="23">
        <v>18</v>
      </c>
      <c r="AB10348" s="18">
        <f t="shared" si="322"/>
        <v>1988</v>
      </c>
      <c r="AC10348" s="22">
        <f t="shared" si="323"/>
        <v>0.8</v>
      </c>
    </row>
    <row r="10349" spans="1:29">
      <c r="A10349" s="8" t="s">
        <v>6855</v>
      </c>
      <c r="B10349" s="17" t="s">
        <v>7800</v>
      </c>
      <c r="C10349" s="12">
        <v>32143</v>
      </c>
      <c r="D10349" s="13" t="s">
        <v>8465</v>
      </c>
      <c r="E10349" s="10" t="s">
        <v>6910</v>
      </c>
      <c r="F10349" s="10" t="s">
        <v>1272</v>
      </c>
      <c r="H10349" s="2" t="s">
        <v>67</v>
      </c>
      <c r="L10349" s="18">
        <v>0</v>
      </c>
      <c r="Q10349" s="18">
        <v>0</v>
      </c>
      <c r="V10349" s="22">
        <f>3.65/5</f>
        <v>0.73</v>
      </c>
      <c r="X10349" s="3">
        <v>4</v>
      </c>
      <c r="AB10349" s="18">
        <f t="shared" si="322"/>
        <v>1988</v>
      </c>
      <c r="AC10349" s="22">
        <f t="shared" si="323"/>
        <v>0.76500000000000001</v>
      </c>
    </row>
    <row r="10350" spans="1:29" ht="30">
      <c r="A10350" s="8" t="s">
        <v>2407</v>
      </c>
      <c r="B10350" s="17" t="s">
        <v>7750</v>
      </c>
      <c r="C10350" s="12">
        <v>32143</v>
      </c>
      <c r="D10350" s="13" t="s">
        <v>8465</v>
      </c>
      <c r="E10350" s="10" t="s">
        <v>455</v>
      </c>
      <c r="F10350" s="10" t="s">
        <v>455</v>
      </c>
      <c r="G10350" s="11" t="s">
        <v>2407</v>
      </c>
      <c r="H10350" s="2" t="s">
        <v>143</v>
      </c>
      <c r="L10350" s="18">
        <v>0</v>
      </c>
      <c r="Q10350" s="18">
        <v>0</v>
      </c>
      <c r="V10350" s="22">
        <f>3.51/5</f>
        <v>0.70199999999999996</v>
      </c>
      <c r="X10350" s="3">
        <v>4</v>
      </c>
      <c r="Z10350" s="23">
        <v>1.5</v>
      </c>
      <c r="AB10350" s="18">
        <f t="shared" si="322"/>
        <v>1988</v>
      </c>
      <c r="AC10350" s="22">
        <f t="shared" si="323"/>
        <v>0.751</v>
      </c>
    </row>
    <row r="10351" spans="1:29" ht="25.5">
      <c r="A10351" s="8" t="s">
        <v>2840</v>
      </c>
      <c r="B10351" s="17" t="s">
        <v>7787</v>
      </c>
      <c r="C10351" s="12">
        <v>32143</v>
      </c>
      <c r="D10351" s="13" t="s">
        <v>8463</v>
      </c>
      <c r="E10351" s="10" t="s">
        <v>72</v>
      </c>
      <c r="F10351" s="10" t="s">
        <v>72</v>
      </c>
      <c r="G10351" s="11" t="s">
        <v>2839</v>
      </c>
      <c r="H10351" s="2" t="s">
        <v>64</v>
      </c>
      <c r="K10351" s="18">
        <v>0</v>
      </c>
      <c r="L10351" s="18">
        <v>0</v>
      </c>
      <c r="Q10351" s="18">
        <v>0</v>
      </c>
      <c r="V10351" s="22">
        <f>4.07/5</f>
        <v>0.81400000000000006</v>
      </c>
      <c r="X10351" s="3">
        <v>3</v>
      </c>
      <c r="AB10351" s="18">
        <f t="shared" si="322"/>
        <v>1988</v>
      </c>
      <c r="AC10351" s="22">
        <f t="shared" si="323"/>
        <v>0.70700000000000007</v>
      </c>
    </row>
    <row r="10352" spans="1:29" ht="25.5">
      <c r="A10352" s="8" t="s">
        <v>6837</v>
      </c>
      <c r="B10352" s="17" t="s">
        <v>7800</v>
      </c>
      <c r="C10352" s="12">
        <v>32143</v>
      </c>
      <c r="D10352" s="13" t="s">
        <v>8465</v>
      </c>
      <c r="E10352" s="10" t="s">
        <v>6885</v>
      </c>
      <c r="F10352" s="10" t="s">
        <v>6885</v>
      </c>
      <c r="G10352" s="11" t="s">
        <v>5566</v>
      </c>
      <c r="H10352" s="2" t="s">
        <v>1720</v>
      </c>
      <c r="L10352" s="18">
        <v>0</v>
      </c>
      <c r="Q10352" s="18">
        <v>0</v>
      </c>
      <c r="V10352" s="22">
        <f>3.9/5</f>
        <v>0.78</v>
      </c>
      <c r="X10352" s="3">
        <v>3</v>
      </c>
      <c r="Z10352" s="23">
        <v>37.5</v>
      </c>
      <c r="AB10352" s="18">
        <f t="shared" si="322"/>
        <v>1988</v>
      </c>
      <c r="AC10352" s="22">
        <f t="shared" si="323"/>
        <v>0.69</v>
      </c>
    </row>
    <row r="10353" spans="1:29" ht="30">
      <c r="A10353" s="8" t="s">
        <v>2507</v>
      </c>
      <c r="B10353" s="17" t="s">
        <v>7750</v>
      </c>
      <c r="C10353" s="12">
        <v>32143</v>
      </c>
      <c r="D10353" s="13" t="s">
        <v>8465</v>
      </c>
      <c r="E10353" s="10" t="s">
        <v>455</v>
      </c>
      <c r="F10353" s="10" t="s">
        <v>455</v>
      </c>
      <c r="G10353" s="11" t="s">
        <v>304</v>
      </c>
      <c r="H10353" s="2" t="s">
        <v>171</v>
      </c>
      <c r="L10353" s="18">
        <v>0</v>
      </c>
      <c r="Q10353" s="18">
        <v>0</v>
      </c>
      <c r="V10353" s="22">
        <f>3.7/5</f>
        <v>0.74</v>
      </c>
      <c r="X10353" s="3">
        <v>3</v>
      </c>
      <c r="Z10353" s="23">
        <v>6</v>
      </c>
      <c r="AB10353" s="18">
        <f t="shared" si="322"/>
        <v>1988</v>
      </c>
      <c r="AC10353" s="22">
        <f t="shared" si="323"/>
        <v>0.66999999999999993</v>
      </c>
    </row>
    <row r="10354" spans="1:29" ht="25.5">
      <c r="A10354" s="8" t="s">
        <v>6821</v>
      </c>
      <c r="B10354" s="17" t="s">
        <v>7800</v>
      </c>
      <c r="C10354" s="12">
        <v>32143</v>
      </c>
      <c r="D10354" s="13" t="s">
        <v>8465</v>
      </c>
      <c r="E10354" s="10" t="s">
        <v>231</v>
      </c>
      <c r="F10354" s="10" t="s">
        <v>1272</v>
      </c>
      <c r="G10354" s="11" t="s">
        <v>5274</v>
      </c>
      <c r="H10354" s="2" t="s">
        <v>1720</v>
      </c>
      <c r="L10354" s="18">
        <v>0</v>
      </c>
      <c r="Q10354" s="18">
        <v>0</v>
      </c>
      <c r="V10354" s="22">
        <f>3.67/5</f>
        <v>0.73399999999999999</v>
      </c>
      <c r="X10354" s="3">
        <v>3</v>
      </c>
      <c r="Z10354" s="23">
        <v>18</v>
      </c>
      <c r="AB10354" s="18">
        <f t="shared" si="322"/>
        <v>1988</v>
      </c>
      <c r="AC10354" s="22">
        <f t="shared" si="323"/>
        <v>0.66700000000000004</v>
      </c>
    </row>
    <row r="10355" spans="1:29" ht="25.5">
      <c r="A10355" s="8" t="s">
        <v>6797</v>
      </c>
      <c r="B10355" s="17" t="s">
        <v>7800</v>
      </c>
      <c r="C10355" s="12">
        <v>32143</v>
      </c>
      <c r="D10355" s="13" t="s">
        <v>8465</v>
      </c>
      <c r="E10355" s="10" t="s">
        <v>2659</v>
      </c>
      <c r="F10355" s="10" t="s">
        <v>2659</v>
      </c>
      <c r="G10355" s="11" t="s">
        <v>1864</v>
      </c>
      <c r="H10355" s="2" t="s">
        <v>1720</v>
      </c>
      <c r="L10355" s="18">
        <v>0</v>
      </c>
      <c r="Q10355" s="18">
        <v>0</v>
      </c>
      <c r="V10355" s="22">
        <f>3.42/5</f>
        <v>0.68399999999999994</v>
      </c>
      <c r="X10355" s="3">
        <v>3</v>
      </c>
      <c r="Z10355" s="23">
        <v>60</v>
      </c>
      <c r="AB10355" s="18">
        <f t="shared" si="322"/>
        <v>1988</v>
      </c>
      <c r="AC10355" s="22">
        <f t="shared" si="323"/>
        <v>0.6419999999999999</v>
      </c>
    </row>
    <row r="10356" spans="1:29" ht="38.25">
      <c r="A10356" s="8" t="s">
        <v>7544</v>
      </c>
      <c r="B10356" s="17" t="s">
        <v>7800</v>
      </c>
      <c r="C10356" s="12">
        <v>32143</v>
      </c>
      <c r="D10356" s="13" t="s">
        <v>8465</v>
      </c>
      <c r="E10356" s="10" t="s">
        <v>166</v>
      </c>
      <c r="F10356" s="10" t="s">
        <v>2654</v>
      </c>
      <c r="G10356" s="11" t="s">
        <v>1433</v>
      </c>
      <c r="H10356" s="2" t="s">
        <v>1720</v>
      </c>
      <c r="L10356" s="18">
        <v>0</v>
      </c>
      <c r="Q10356" s="18">
        <v>0</v>
      </c>
      <c r="V10356" s="22">
        <f>3.85/5</f>
        <v>0.77</v>
      </c>
      <c r="X10356" s="3">
        <v>2</v>
      </c>
      <c r="Z10356" s="23">
        <v>6.5</v>
      </c>
      <c r="AB10356" s="18">
        <f t="shared" si="322"/>
        <v>1988</v>
      </c>
      <c r="AC10356" s="22">
        <f t="shared" si="323"/>
        <v>0.58499999999999996</v>
      </c>
    </row>
    <row r="10357" spans="1:29">
      <c r="A10357" s="8" t="s">
        <v>15175</v>
      </c>
      <c r="B10357" s="17" t="s">
        <v>13485</v>
      </c>
      <c r="C10357" s="24">
        <v>32143</v>
      </c>
      <c r="D10357" s="13" t="s">
        <v>8467</v>
      </c>
      <c r="E10357" s="10" t="s">
        <v>15176</v>
      </c>
      <c r="F10357" s="10" t="s">
        <v>15177</v>
      </c>
      <c r="H10357" s="2" t="s">
        <v>151</v>
      </c>
      <c r="L10357" s="18">
        <v>0</v>
      </c>
      <c r="Q10357" s="18">
        <v>0</v>
      </c>
      <c r="V10357" s="22">
        <f>3.75/5</f>
        <v>0.75</v>
      </c>
      <c r="X10357" s="3">
        <v>2</v>
      </c>
      <c r="AB10357" s="18">
        <f t="shared" si="322"/>
        <v>1988</v>
      </c>
      <c r="AC10357" s="22">
        <f t="shared" si="323"/>
        <v>0.57499999999999996</v>
      </c>
    </row>
    <row r="10358" spans="1:29" ht="30">
      <c r="A10358" s="8" t="s">
        <v>8406</v>
      </c>
      <c r="B10358" s="17" t="s">
        <v>7750</v>
      </c>
      <c r="C10358" s="24">
        <v>32143</v>
      </c>
      <c r="D10358" s="13" t="s">
        <v>8465</v>
      </c>
      <c r="E10358" s="10" t="s">
        <v>455</v>
      </c>
      <c r="F10358" s="10" t="s">
        <v>167</v>
      </c>
      <c r="G10358" s="11" t="s">
        <v>8407</v>
      </c>
      <c r="H10358" s="2" t="s">
        <v>171</v>
      </c>
      <c r="L10358" s="18">
        <v>0</v>
      </c>
      <c r="Q10358" s="18">
        <v>0</v>
      </c>
      <c r="V10358" s="22">
        <f>3.68/5</f>
        <v>0.73599999999999999</v>
      </c>
      <c r="X10358" s="3">
        <v>2</v>
      </c>
      <c r="Z10358" s="23">
        <v>5.5</v>
      </c>
      <c r="AB10358" s="18">
        <f t="shared" si="322"/>
        <v>1988</v>
      </c>
      <c r="AC10358" s="22">
        <f t="shared" si="323"/>
        <v>0.56800000000000006</v>
      </c>
    </row>
    <row r="10359" spans="1:29" ht="30">
      <c r="A10359" s="8" t="s">
        <v>13578</v>
      </c>
      <c r="B10359" s="17" t="s">
        <v>9581</v>
      </c>
      <c r="C10359" s="13">
        <v>32143</v>
      </c>
      <c r="D10359" s="13" t="s">
        <v>8467</v>
      </c>
      <c r="E10359" s="10" t="s">
        <v>1260</v>
      </c>
      <c r="F10359" s="10" t="s">
        <v>1322</v>
      </c>
      <c r="H10359" s="2" t="s">
        <v>21</v>
      </c>
      <c r="L10359" s="18">
        <v>0</v>
      </c>
      <c r="Q10359" s="18">
        <v>0</v>
      </c>
      <c r="V10359" s="22">
        <f>3.67/5</f>
        <v>0.73399999999999999</v>
      </c>
      <c r="X10359" s="3">
        <v>2</v>
      </c>
      <c r="AB10359" s="18">
        <f t="shared" si="322"/>
        <v>1988</v>
      </c>
      <c r="AC10359" s="22">
        <f t="shared" si="323"/>
        <v>0.56699999999999995</v>
      </c>
    </row>
    <row r="10360" spans="1:29" ht="30">
      <c r="A10360" s="8" t="s">
        <v>13489</v>
      </c>
      <c r="B10360" s="17" t="s">
        <v>7800</v>
      </c>
      <c r="C10360" s="24">
        <v>32143</v>
      </c>
      <c r="D10360" s="13" t="s">
        <v>8465</v>
      </c>
      <c r="E10360" s="10" t="s">
        <v>13488</v>
      </c>
      <c r="F10360" s="10" t="s">
        <v>254</v>
      </c>
      <c r="G10360" s="11" t="s">
        <v>4445</v>
      </c>
      <c r="H10360" s="2" t="s">
        <v>2826</v>
      </c>
      <c r="L10360" s="18">
        <v>0</v>
      </c>
      <c r="Q10360" s="18">
        <v>0</v>
      </c>
      <c r="V10360" s="22">
        <f>3.57/5</f>
        <v>0.71399999999999997</v>
      </c>
      <c r="X10360" s="3">
        <v>2</v>
      </c>
      <c r="Z10360" s="23">
        <f>15/60</f>
        <v>0.25</v>
      </c>
      <c r="AB10360" s="18">
        <f t="shared" si="322"/>
        <v>1988</v>
      </c>
      <c r="AC10360" s="22">
        <f t="shared" si="323"/>
        <v>0.55699999999999994</v>
      </c>
    </row>
    <row r="10361" spans="1:29">
      <c r="A10361" s="8" t="s">
        <v>13574</v>
      </c>
      <c r="B10361" s="17" t="s">
        <v>13485</v>
      </c>
      <c r="C10361" s="24">
        <v>32143</v>
      </c>
      <c r="D10361" s="13" t="s">
        <v>8467</v>
      </c>
      <c r="E10361" s="10" t="s">
        <v>13572</v>
      </c>
      <c r="F10361" s="10" t="s">
        <v>13572</v>
      </c>
      <c r="G10361" s="11" t="s">
        <v>13571</v>
      </c>
      <c r="H10361" s="2" t="s">
        <v>21</v>
      </c>
      <c r="L10361" s="18">
        <v>0</v>
      </c>
      <c r="Q10361" s="18">
        <v>0</v>
      </c>
      <c r="V10361" s="22">
        <f>3.5/5</f>
        <v>0.7</v>
      </c>
      <c r="X10361" s="3">
        <v>2</v>
      </c>
      <c r="AB10361" s="18">
        <f t="shared" si="322"/>
        <v>1988</v>
      </c>
      <c r="AC10361" s="22">
        <f t="shared" si="323"/>
        <v>0.55000000000000004</v>
      </c>
    </row>
    <row r="10362" spans="1:29">
      <c r="A10362" s="8" t="s">
        <v>6795</v>
      </c>
      <c r="B10362" s="17" t="s">
        <v>7800</v>
      </c>
      <c r="C10362" s="12">
        <v>32143</v>
      </c>
      <c r="D10362" s="13" t="s">
        <v>8465</v>
      </c>
      <c r="E10362" s="10" t="s">
        <v>1496</v>
      </c>
      <c r="F10362" s="10" t="s">
        <v>6899</v>
      </c>
      <c r="G10362" s="11" t="s">
        <v>6900</v>
      </c>
      <c r="H10362" s="2" t="s">
        <v>67</v>
      </c>
      <c r="L10362" s="18">
        <v>0</v>
      </c>
      <c r="Q10362" s="18">
        <v>0</v>
      </c>
      <c r="U10362" s="22">
        <v>0.4</v>
      </c>
      <c r="V10362" s="22">
        <f>2.73/5</f>
        <v>0.54600000000000004</v>
      </c>
      <c r="X10362" s="3">
        <v>3</v>
      </c>
      <c r="Z10362" s="23">
        <v>4</v>
      </c>
      <c r="AB10362" s="18">
        <f t="shared" si="322"/>
        <v>1988</v>
      </c>
      <c r="AC10362" s="22">
        <f t="shared" si="323"/>
        <v>0.51533333333333331</v>
      </c>
    </row>
    <row r="10363" spans="1:29" ht="30">
      <c r="A10363" s="8" t="s">
        <v>13749</v>
      </c>
      <c r="B10363" s="17" t="s">
        <v>7750</v>
      </c>
      <c r="C10363" s="24">
        <v>32143</v>
      </c>
      <c r="D10363" s="13" t="s">
        <v>8465</v>
      </c>
      <c r="E10363" s="10" t="s">
        <v>455</v>
      </c>
      <c r="F10363" s="10" t="s">
        <v>455</v>
      </c>
      <c r="G10363" s="11" t="s">
        <v>13745</v>
      </c>
      <c r="H10363" s="2" t="s">
        <v>1170</v>
      </c>
      <c r="L10363" s="18">
        <v>0</v>
      </c>
      <c r="Q10363" s="18">
        <v>0</v>
      </c>
      <c r="V10363" s="22">
        <f>3.35/5</f>
        <v>0.67</v>
      </c>
      <c r="X10363" s="3">
        <v>2</v>
      </c>
      <c r="Z10363" s="23">
        <f>53/60</f>
        <v>0.8833333333333333</v>
      </c>
      <c r="AB10363" s="18">
        <f t="shared" si="322"/>
        <v>1988</v>
      </c>
      <c r="AC10363" s="22">
        <f t="shared" si="323"/>
        <v>0.53500000000000003</v>
      </c>
    </row>
    <row r="10364" spans="1:29" ht="30">
      <c r="A10364" s="8" t="s">
        <v>8945</v>
      </c>
      <c r="B10364" s="17" t="s">
        <v>7750</v>
      </c>
      <c r="C10364" s="12">
        <v>32143</v>
      </c>
      <c r="D10364" s="13" t="s">
        <v>8465</v>
      </c>
      <c r="E10364" s="10" t="s">
        <v>455</v>
      </c>
      <c r="F10364" s="10" t="s">
        <v>455</v>
      </c>
      <c r="G10364" s="11" t="s">
        <v>8944</v>
      </c>
      <c r="H10364" s="2" t="s">
        <v>64</v>
      </c>
      <c r="L10364" s="18">
        <v>0</v>
      </c>
      <c r="Q10364" s="18">
        <v>0</v>
      </c>
      <c r="V10364" s="22">
        <f>3.33/5</f>
        <v>0.66600000000000004</v>
      </c>
      <c r="X10364" s="3">
        <v>2</v>
      </c>
      <c r="Z10364" s="23">
        <f>27/60</f>
        <v>0.45</v>
      </c>
      <c r="AB10364" s="18">
        <f t="shared" si="322"/>
        <v>1988</v>
      </c>
      <c r="AC10364" s="22">
        <f t="shared" si="323"/>
        <v>0.53300000000000003</v>
      </c>
    </row>
    <row r="10365" spans="1:29">
      <c r="A10365" s="8" t="s">
        <v>10911</v>
      </c>
      <c r="B10365" s="17" t="s">
        <v>10510</v>
      </c>
      <c r="C10365" s="24">
        <v>32143</v>
      </c>
      <c r="D10365" s="13" t="s">
        <v>8463</v>
      </c>
      <c r="E10365" s="10" t="s">
        <v>10912</v>
      </c>
      <c r="F10365" s="10" t="s">
        <v>1294</v>
      </c>
      <c r="G10365" s="11" t="s">
        <v>2882</v>
      </c>
      <c r="H10365" s="2" t="s">
        <v>171</v>
      </c>
      <c r="K10365" s="18">
        <v>0</v>
      </c>
      <c r="L10365" s="18">
        <v>0</v>
      </c>
      <c r="Q10365" s="18">
        <v>0</v>
      </c>
      <c r="V10365" s="22">
        <f>3.25/5</f>
        <v>0.65</v>
      </c>
      <c r="X10365" s="3">
        <v>2</v>
      </c>
      <c r="AB10365" s="18">
        <f t="shared" si="322"/>
        <v>1988</v>
      </c>
      <c r="AC10365" s="22">
        <f t="shared" si="323"/>
        <v>0.52500000000000002</v>
      </c>
    </row>
    <row r="10366" spans="1:29" ht="30">
      <c r="A10366" s="8" t="s">
        <v>111</v>
      </c>
      <c r="B10366" s="17" t="s">
        <v>9581</v>
      </c>
      <c r="C10366" s="24">
        <v>32143</v>
      </c>
      <c r="D10366" s="13" t="s">
        <v>8467</v>
      </c>
      <c r="E10366" s="10" t="s">
        <v>13486</v>
      </c>
      <c r="F10366" s="10" t="s">
        <v>6882</v>
      </c>
      <c r="G10366" s="11" t="s">
        <v>111</v>
      </c>
      <c r="H10366" s="2" t="s">
        <v>153</v>
      </c>
      <c r="L10366" s="18">
        <v>0</v>
      </c>
      <c r="Q10366" s="18">
        <v>0</v>
      </c>
      <c r="V10366" s="22">
        <f>3.24/5</f>
        <v>0.64800000000000002</v>
      </c>
      <c r="X10366" s="3">
        <v>2</v>
      </c>
      <c r="Z10366" s="23">
        <v>1</v>
      </c>
      <c r="AB10366" s="18">
        <f t="shared" si="322"/>
        <v>1988</v>
      </c>
      <c r="AC10366" s="22">
        <f t="shared" si="323"/>
        <v>0.52400000000000002</v>
      </c>
    </row>
    <row r="10367" spans="1:29">
      <c r="A10367" s="8" t="s">
        <v>15201</v>
      </c>
      <c r="B10367" s="17" t="s">
        <v>7767</v>
      </c>
      <c r="C10367" s="24">
        <v>32143</v>
      </c>
      <c r="D10367" s="13" t="s">
        <v>8465</v>
      </c>
      <c r="E10367" s="10" t="s">
        <v>15202</v>
      </c>
      <c r="F10367" s="10" t="s">
        <v>15202</v>
      </c>
      <c r="H10367" s="2" t="s">
        <v>151</v>
      </c>
      <c r="L10367" s="18">
        <v>0</v>
      </c>
      <c r="Q10367" s="18">
        <v>0</v>
      </c>
      <c r="V10367" s="22">
        <f>3.17/5</f>
        <v>0.63400000000000001</v>
      </c>
      <c r="X10367" s="3">
        <v>2</v>
      </c>
      <c r="AB10367" s="18">
        <f t="shared" si="322"/>
        <v>1988</v>
      </c>
      <c r="AC10367" s="22">
        <f t="shared" si="323"/>
        <v>0.51700000000000002</v>
      </c>
    </row>
    <row r="10368" spans="1:29" ht="30">
      <c r="A10368" s="8" t="s">
        <v>15192</v>
      </c>
      <c r="B10368" s="17" t="s">
        <v>7750</v>
      </c>
      <c r="C10368" s="24">
        <v>32143</v>
      </c>
      <c r="D10368" s="13" t="s">
        <v>8465</v>
      </c>
      <c r="E10368" s="10" t="s">
        <v>1273</v>
      </c>
      <c r="F10368" s="10" t="s">
        <v>455</v>
      </c>
      <c r="H10368" s="2" t="s">
        <v>151</v>
      </c>
      <c r="L10368" s="18">
        <v>0</v>
      </c>
      <c r="Q10368" s="18">
        <v>0</v>
      </c>
      <c r="V10368" s="22">
        <f>3.17/5</f>
        <v>0.63400000000000001</v>
      </c>
      <c r="X10368" s="3">
        <v>2</v>
      </c>
      <c r="AB10368" s="18">
        <f t="shared" si="322"/>
        <v>1988</v>
      </c>
      <c r="AC10368" s="22">
        <f t="shared" si="323"/>
        <v>0.51700000000000002</v>
      </c>
    </row>
    <row r="10369" spans="1:29" ht="30">
      <c r="A10369" s="8" t="s">
        <v>2493</v>
      </c>
      <c r="B10369" s="17" t="s">
        <v>7750</v>
      </c>
      <c r="C10369" s="12">
        <v>32143</v>
      </c>
      <c r="D10369" s="13" t="s">
        <v>8465</v>
      </c>
      <c r="E10369" s="10" t="s">
        <v>455</v>
      </c>
      <c r="F10369" s="10" t="s">
        <v>455</v>
      </c>
      <c r="G10369" s="11" t="s">
        <v>2493</v>
      </c>
      <c r="H10369" s="2" t="s">
        <v>147</v>
      </c>
      <c r="L10369" s="18">
        <v>0</v>
      </c>
      <c r="Q10369" s="18">
        <v>0</v>
      </c>
      <c r="V10369" s="22">
        <f>3.09/5</f>
        <v>0.61799999999999999</v>
      </c>
      <c r="X10369" s="3">
        <v>2</v>
      </c>
      <c r="Z10369" s="23">
        <v>2</v>
      </c>
      <c r="AB10369" s="18">
        <f t="shared" ref="AB10369:AB10432" si="324">IFERROR(YEAR(C10369), "Early Access")</f>
        <v>1988</v>
      </c>
      <c r="AC10369" s="22">
        <f t="shared" ref="AC10369:AC10432" si="325">AVERAGE(T10369, U10369, V10369, IF(ISBLANK(X10369), X10369, X10369/5))</f>
        <v>0.50900000000000001</v>
      </c>
    </row>
    <row r="10370" spans="1:29">
      <c r="A10370" s="8" t="s">
        <v>111</v>
      </c>
      <c r="B10370" s="17" t="s">
        <v>7800</v>
      </c>
      <c r="C10370" s="12">
        <v>32143</v>
      </c>
      <c r="D10370" s="13" t="s">
        <v>8465</v>
      </c>
      <c r="E10370" s="10" t="s">
        <v>6881</v>
      </c>
      <c r="F10370" s="10" t="s">
        <v>6881</v>
      </c>
      <c r="G10370" s="11" t="s">
        <v>111</v>
      </c>
      <c r="H10370" s="2" t="s">
        <v>153</v>
      </c>
      <c r="L10370" s="18">
        <v>0</v>
      </c>
      <c r="Q10370" s="18">
        <v>0</v>
      </c>
      <c r="V10370" s="22">
        <f>3.02/5</f>
        <v>0.60399999999999998</v>
      </c>
      <c r="X10370" s="3">
        <v>2</v>
      </c>
      <c r="Z10370" s="23">
        <v>1</v>
      </c>
      <c r="AB10370" s="18">
        <f t="shared" si="324"/>
        <v>1988</v>
      </c>
      <c r="AC10370" s="22">
        <f t="shared" si="325"/>
        <v>0.502</v>
      </c>
    </row>
    <row r="10371" spans="1:29">
      <c r="A10371" s="8" t="s">
        <v>192</v>
      </c>
      <c r="B10371" s="17" t="s">
        <v>7734</v>
      </c>
      <c r="C10371" s="12">
        <v>32143</v>
      </c>
      <c r="D10371" s="13" t="s">
        <v>8465</v>
      </c>
      <c r="E10371" s="10" t="s">
        <v>54</v>
      </c>
      <c r="F10371" s="10" t="s">
        <v>242</v>
      </c>
      <c r="G10371" s="11" t="s">
        <v>226</v>
      </c>
      <c r="H10371" s="2" t="s">
        <v>153</v>
      </c>
      <c r="L10371" s="18">
        <v>0</v>
      </c>
      <c r="Q10371" s="18">
        <v>0</v>
      </c>
      <c r="V10371" s="22">
        <f>3/5</f>
        <v>0.6</v>
      </c>
      <c r="X10371" s="3">
        <v>2</v>
      </c>
      <c r="Z10371" s="23">
        <v>0.47</v>
      </c>
      <c r="AB10371" s="18">
        <f t="shared" si="324"/>
        <v>1988</v>
      </c>
      <c r="AC10371" s="22">
        <f t="shared" si="325"/>
        <v>0.5</v>
      </c>
    </row>
    <row r="10372" spans="1:29" ht="30">
      <c r="A10372" s="8" t="s">
        <v>2503</v>
      </c>
      <c r="B10372" s="17" t="s">
        <v>7750</v>
      </c>
      <c r="C10372" s="12">
        <v>32143</v>
      </c>
      <c r="D10372" s="13" t="s">
        <v>8465</v>
      </c>
      <c r="E10372" s="10" t="s">
        <v>455</v>
      </c>
      <c r="F10372" s="10" t="s">
        <v>455</v>
      </c>
      <c r="G10372" s="11" t="s">
        <v>2503</v>
      </c>
      <c r="H10372" s="2" t="s">
        <v>21</v>
      </c>
      <c r="L10372" s="18">
        <v>0</v>
      </c>
      <c r="Q10372" s="18">
        <v>0</v>
      </c>
      <c r="V10372" s="22">
        <f>2.91/5</f>
        <v>0.58200000000000007</v>
      </c>
      <c r="X10372" s="3">
        <v>2</v>
      </c>
      <c r="Z10372" s="23">
        <v>0.37</v>
      </c>
      <c r="AB10372" s="18">
        <f t="shared" si="324"/>
        <v>1988</v>
      </c>
      <c r="AC10372" s="22">
        <f t="shared" si="325"/>
        <v>0.49100000000000005</v>
      </c>
    </row>
    <row r="10373" spans="1:29" ht="30">
      <c r="A10373" s="8" t="s">
        <v>2499</v>
      </c>
      <c r="B10373" s="17" t="s">
        <v>7750</v>
      </c>
      <c r="C10373" s="12">
        <v>32143</v>
      </c>
      <c r="D10373" s="13" t="s">
        <v>8465</v>
      </c>
      <c r="E10373" s="10" t="s">
        <v>455</v>
      </c>
      <c r="F10373" s="10" t="s">
        <v>455</v>
      </c>
      <c r="G10373" s="11" t="s">
        <v>2508</v>
      </c>
      <c r="H10373" s="2" t="s">
        <v>64</v>
      </c>
      <c r="L10373" s="18">
        <v>0</v>
      </c>
      <c r="Q10373" s="18">
        <v>0</v>
      </c>
      <c r="V10373" s="22">
        <f>2.85/5</f>
        <v>0.57000000000000006</v>
      </c>
      <c r="X10373" s="3">
        <v>2</v>
      </c>
      <c r="Z10373" s="23">
        <v>1</v>
      </c>
      <c r="AB10373" s="18">
        <f t="shared" si="324"/>
        <v>1988</v>
      </c>
      <c r="AC10373" s="22">
        <f t="shared" si="325"/>
        <v>0.48500000000000004</v>
      </c>
    </row>
    <row r="10374" spans="1:29">
      <c r="A10374" s="8" t="s">
        <v>111</v>
      </c>
      <c r="B10374" s="17" t="s">
        <v>13485</v>
      </c>
      <c r="C10374" s="24">
        <v>32143</v>
      </c>
      <c r="D10374" s="13" t="s">
        <v>8467</v>
      </c>
      <c r="E10374" s="10" t="s">
        <v>13486</v>
      </c>
      <c r="F10374" s="10" t="s">
        <v>6882</v>
      </c>
      <c r="G10374" s="11" t="s">
        <v>111</v>
      </c>
      <c r="H10374" s="2" t="s">
        <v>153</v>
      </c>
      <c r="L10374" s="18">
        <v>0</v>
      </c>
      <c r="Q10374" s="18">
        <v>0</v>
      </c>
      <c r="V10374" s="22">
        <f>2.81/5</f>
        <v>0.56200000000000006</v>
      </c>
      <c r="X10374" s="3">
        <v>2</v>
      </c>
      <c r="Z10374" s="23">
        <v>1</v>
      </c>
      <c r="AB10374" s="18">
        <f t="shared" si="324"/>
        <v>1988</v>
      </c>
      <c r="AC10374" s="22">
        <f t="shared" si="325"/>
        <v>0.48100000000000004</v>
      </c>
    </row>
    <row r="10375" spans="1:29">
      <c r="A10375" s="8" t="s">
        <v>111</v>
      </c>
      <c r="B10375" s="17" t="s">
        <v>12776</v>
      </c>
      <c r="C10375" s="24">
        <v>32143</v>
      </c>
      <c r="D10375" s="13" t="s">
        <v>8467</v>
      </c>
      <c r="E10375" s="10" t="s">
        <v>13486</v>
      </c>
      <c r="F10375" s="10" t="s">
        <v>6882</v>
      </c>
      <c r="G10375" s="11" t="s">
        <v>111</v>
      </c>
      <c r="H10375" s="2" t="s">
        <v>153</v>
      </c>
      <c r="L10375" s="18">
        <v>0</v>
      </c>
      <c r="Q10375" s="18">
        <v>0</v>
      </c>
      <c r="V10375" s="22">
        <f>2.8/5</f>
        <v>0.55999999999999994</v>
      </c>
      <c r="X10375" s="3">
        <v>2</v>
      </c>
      <c r="Z10375" s="23">
        <v>1</v>
      </c>
      <c r="AB10375" s="18">
        <f t="shared" si="324"/>
        <v>1988</v>
      </c>
      <c r="AC10375" s="22">
        <f t="shared" si="325"/>
        <v>0.48</v>
      </c>
    </row>
    <row r="10376" spans="1:29">
      <c r="A10376" s="8" t="s">
        <v>111</v>
      </c>
      <c r="B10376" s="17" t="s">
        <v>7784</v>
      </c>
      <c r="C10376" s="24">
        <v>32143</v>
      </c>
      <c r="D10376" s="13" t="s">
        <v>8465</v>
      </c>
      <c r="E10376" s="10" t="s">
        <v>1273</v>
      </c>
      <c r="F10376" s="10" t="s">
        <v>25</v>
      </c>
      <c r="G10376" s="11" t="s">
        <v>111</v>
      </c>
      <c r="H10376" s="2" t="s">
        <v>153</v>
      </c>
      <c r="L10376" s="18">
        <v>0</v>
      </c>
      <c r="Q10376" s="18">
        <v>0</v>
      </c>
      <c r="V10376" s="22">
        <f>2.6/5</f>
        <v>0.52</v>
      </c>
      <c r="X10376" s="3">
        <v>2</v>
      </c>
      <c r="Z10376" s="23">
        <v>1</v>
      </c>
      <c r="AB10376" s="18">
        <f t="shared" si="324"/>
        <v>1988</v>
      </c>
      <c r="AC10376" s="22">
        <f t="shared" si="325"/>
        <v>0.46</v>
      </c>
    </row>
    <row r="10377" spans="1:29">
      <c r="A10377" s="8" t="s">
        <v>13940</v>
      </c>
      <c r="B10377" s="17" t="s">
        <v>7788</v>
      </c>
      <c r="C10377" s="24">
        <v>32143</v>
      </c>
      <c r="D10377" s="13" t="s">
        <v>8463</v>
      </c>
      <c r="E10377" s="10" t="s">
        <v>1783</v>
      </c>
      <c r="F10377" s="10" t="s">
        <v>1783</v>
      </c>
      <c r="H10377" s="2" t="s">
        <v>80</v>
      </c>
      <c r="K10377" s="18">
        <v>2</v>
      </c>
      <c r="L10377" s="18">
        <v>0</v>
      </c>
      <c r="Q10377" s="18">
        <v>0</v>
      </c>
      <c r="X10377" s="3">
        <v>2</v>
      </c>
      <c r="AB10377" s="18">
        <f t="shared" si="324"/>
        <v>1988</v>
      </c>
      <c r="AC10377" s="22">
        <f t="shared" si="325"/>
        <v>0.4</v>
      </c>
    </row>
    <row r="10378" spans="1:29">
      <c r="A10378" s="8" t="s">
        <v>10913</v>
      </c>
      <c r="B10378" s="17" t="s">
        <v>7788</v>
      </c>
      <c r="C10378" s="24">
        <v>32143</v>
      </c>
      <c r="D10378" s="13" t="s">
        <v>8463</v>
      </c>
      <c r="E10378" s="10" t="s">
        <v>1294</v>
      </c>
      <c r="F10378" s="10" t="s">
        <v>1294</v>
      </c>
      <c r="G10378" s="11" t="s">
        <v>2882</v>
      </c>
      <c r="H10378" s="2" t="s">
        <v>171</v>
      </c>
      <c r="K10378" s="18">
        <v>1</v>
      </c>
      <c r="L10378" s="18">
        <v>0</v>
      </c>
      <c r="Q10378" s="18">
        <v>0</v>
      </c>
      <c r="X10378" s="3">
        <v>2</v>
      </c>
      <c r="AB10378" s="18">
        <f t="shared" si="324"/>
        <v>1988</v>
      </c>
      <c r="AC10378" s="22">
        <f t="shared" si="325"/>
        <v>0.4</v>
      </c>
    </row>
    <row r="10379" spans="1:29">
      <c r="A10379" s="8" t="s">
        <v>15204</v>
      </c>
      <c r="B10379" s="17" t="s">
        <v>7800</v>
      </c>
      <c r="C10379" s="24">
        <v>32143</v>
      </c>
      <c r="D10379" s="13" t="s">
        <v>8465</v>
      </c>
      <c r="E10379" s="10" t="s">
        <v>2836</v>
      </c>
      <c r="F10379" s="10" t="s">
        <v>15205</v>
      </c>
      <c r="H10379" s="2" t="s">
        <v>151</v>
      </c>
      <c r="L10379" s="18">
        <v>0</v>
      </c>
      <c r="Q10379" s="18">
        <v>0</v>
      </c>
      <c r="X10379" s="3">
        <v>2</v>
      </c>
      <c r="AB10379" s="18">
        <f t="shared" si="324"/>
        <v>1988</v>
      </c>
      <c r="AC10379" s="22">
        <f t="shared" si="325"/>
        <v>0.4</v>
      </c>
    </row>
    <row r="10380" spans="1:29">
      <c r="A10380" s="8" t="s">
        <v>7536</v>
      </c>
      <c r="B10380" s="17" t="s">
        <v>7800</v>
      </c>
      <c r="C10380" s="12">
        <v>32143</v>
      </c>
      <c r="D10380" s="13" t="s">
        <v>8465</v>
      </c>
      <c r="E10380" s="10" t="s">
        <v>166</v>
      </c>
      <c r="F10380" s="10" t="s">
        <v>2654</v>
      </c>
      <c r="H10380" s="2" t="s">
        <v>1720</v>
      </c>
      <c r="L10380" s="18">
        <v>0</v>
      </c>
      <c r="Q10380" s="18">
        <v>0</v>
      </c>
      <c r="V10380" s="22">
        <f>1/5</f>
        <v>0.2</v>
      </c>
      <c r="X10380" s="3">
        <v>2</v>
      </c>
      <c r="AB10380" s="18">
        <f t="shared" si="324"/>
        <v>1988</v>
      </c>
      <c r="AC10380" s="22">
        <f t="shared" si="325"/>
        <v>0.30000000000000004</v>
      </c>
    </row>
    <row r="10381" spans="1:29" ht="25.5">
      <c r="A10381" s="8" t="s">
        <v>15460</v>
      </c>
      <c r="B10381" s="17" t="s">
        <v>6317</v>
      </c>
      <c r="C10381" s="24">
        <v>32143</v>
      </c>
      <c r="D10381" s="13" t="s">
        <v>8465</v>
      </c>
      <c r="E10381" s="10" t="s">
        <v>73</v>
      </c>
      <c r="F10381" s="10" t="s">
        <v>73</v>
      </c>
      <c r="H10381" s="2" t="s">
        <v>21</v>
      </c>
      <c r="L10381" s="18">
        <v>0</v>
      </c>
      <c r="Q10381" s="18">
        <v>0</v>
      </c>
      <c r="V10381" s="22">
        <f>3.19/5</f>
        <v>0.63800000000000001</v>
      </c>
      <c r="X10381" s="3">
        <v>2</v>
      </c>
      <c r="Z10381" s="23">
        <f>25/60</f>
        <v>0.41666666666666669</v>
      </c>
      <c r="AB10381" s="18">
        <f t="shared" si="324"/>
        <v>1988</v>
      </c>
      <c r="AC10381" s="22">
        <f t="shared" si="325"/>
        <v>0.51900000000000002</v>
      </c>
    </row>
    <row r="10382" spans="1:29" ht="38.25">
      <c r="A10382" s="8" t="s">
        <v>15754</v>
      </c>
      <c r="B10382" s="17" t="s">
        <v>7800</v>
      </c>
      <c r="C10382" s="13">
        <v>32143</v>
      </c>
      <c r="D10382" s="13" t="s">
        <v>8465</v>
      </c>
      <c r="E10382" s="10" t="s">
        <v>6668</v>
      </c>
      <c r="F10382" s="10" t="s">
        <v>1303</v>
      </c>
      <c r="G10382" s="11" t="s">
        <v>445</v>
      </c>
      <c r="H10382" s="2" t="s">
        <v>171</v>
      </c>
      <c r="L10382" s="18">
        <v>0</v>
      </c>
      <c r="Q10382" s="18">
        <v>0</v>
      </c>
      <c r="V10382" s="22">
        <f>3.41/5</f>
        <v>0.68200000000000005</v>
      </c>
      <c r="X10382" s="3">
        <v>2</v>
      </c>
      <c r="Z10382" s="23">
        <v>3</v>
      </c>
      <c r="AB10382" s="18">
        <f t="shared" si="324"/>
        <v>1988</v>
      </c>
      <c r="AC10382" s="22">
        <f t="shared" si="325"/>
        <v>0.54100000000000004</v>
      </c>
    </row>
    <row r="10383" spans="1:29">
      <c r="A10383" s="8" t="s">
        <v>15868</v>
      </c>
      <c r="B10383" s="17" t="s">
        <v>7767</v>
      </c>
      <c r="C10383" s="24">
        <v>32143</v>
      </c>
      <c r="D10383" s="13" t="s">
        <v>8467</v>
      </c>
      <c r="E10383" s="10" t="s">
        <v>1513</v>
      </c>
      <c r="F10383" s="10" t="s">
        <v>15872</v>
      </c>
      <c r="G10383" s="11" t="s">
        <v>15868</v>
      </c>
      <c r="H10383" s="2" t="s">
        <v>1267</v>
      </c>
      <c r="L10383" s="18">
        <v>0</v>
      </c>
      <c r="Q10383" s="18">
        <v>0</v>
      </c>
      <c r="V10383" s="22">
        <f>3.73/5</f>
        <v>0.746</v>
      </c>
      <c r="X10383" s="3">
        <v>2</v>
      </c>
      <c r="Z10383" s="23">
        <f>43/60</f>
        <v>0.71666666666666667</v>
      </c>
      <c r="AB10383" s="18">
        <f t="shared" si="324"/>
        <v>1988</v>
      </c>
      <c r="AC10383" s="22">
        <f t="shared" si="325"/>
        <v>0.57299999999999995</v>
      </c>
    </row>
    <row r="10384" spans="1:29">
      <c r="A10384" s="8" t="s">
        <v>1325</v>
      </c>
      <c r="B10384" s="17" t="s">
        <v>6317</v>
      </c>
      <c r="C10384" s="24">
        <v>32143</v>
      </c>
      <c r="D10384" s="13" t="s">
        <v>8465</v>
      </c>
      <c r="E10384" s="10" t="s">
        <v>54</v>
      </c>
      <c r="F10384" s="10" t="s">
        <v>54</v>
      </c>
      <c r="G10384" s="11" t="s">
        <v>1325</v>
      </c>
      <c r="H10384" s="2" t="s">
        <v>153</v>
      </c>
      <c r="L10384" s="18">
        <v>0</v>
      </c>
      <c r="Q10384" s="18">
        <v>0</v>
      </c>
      <c r="V10384" s="22">
        <f>3.04/5</f>
        <v>0.60799999999999998</v>
      </c>
      <c r="X10384" s="3">
        <v>2</v>
      </c>
      <c r="Z10384" s="23">
        <f>30/60</f>
        <v>0.5</v>
      </c>
      <c r="AB10384" s="18">
        <f t="shared" si="324"/>
        <v>1988</v>
      </c>
      <c r="AC10384" s="22">
        <f t="shared" si="325"/>
        <v>0.504</v>
      </c>
    </row>
    <row r="10385" spans="1:29" ht="25.5">
      <c r="A10385" s="8" t="s">
        <v>128</v>
      </c>
      <c r="B10385" s="17" t="s">
        <v>7734</v>
      </c>
      <c r="C10385" s="13">
        <v>32478</v>
      </c>
      <c r="D10385" s="13" t="s">
        <v>8465</v>
      </c>
      <c r="E10385" s="10" t="s">
        <v>72</v>
      </c>
      <c r="F10385" s="10" t="s">
        <v>72</v>
      </c>
      <c r="G10385" s="11" t="s">
        <v>113</v>
      </c>
      <c r="H10385" s="2" t="s">
        <v>151</v>
      </c>
      <c r="L10385" s="18">
        <v>0</v>
      </c>
      <c r="Q10385" s="18">
        <v>1</v>
      </c>
      <c r="T10385" s="22">
        <v>0.6</v>
      </c>
      <c r="V10385" s="22">
        <f>3.48/5</f>
        <v>0.69599999999999995</v>
      </c>
      <c r="Y10385" s="18">
        <v>1</v>
      </c>
      <c r="AB10385" s="18">
        <f t="shared" si="324"/>
        <v>1988</v>
      </c>
      <c r="AC10385" s="22">
        <f t="shared" si="325"/>
        <v>0.64799999999999991</v>
      </c>
    </row>
    <row r="10386" spans="1:29">
      <c r="A10386" s="8" t="s">
        <v>51</v>
      </c>
      <c r="B10386" s="17" t="s">
        <v>7734</v>
      </c>
      <c r="C10386" s="12">
        <v>32448</v>
      </c>
      <c r="D10386" s="13" t="s">
        <v>8465</v>
      </c>
      <c r="E10386" s="10" t="s">
        <v>54</v>
      </c>
      <c r="F10386" s="10" t="s">
        <v>54</v>
      </c>
      <c r="G10386" s="11" t="s">
        <v>51</v>
      </c>
      <c r="H10386" s="2" t="s">
        <v>27</v>
      </c>
      <c r="L10386" s="18">
        <v>0</v>
      </c>
      <c r="Q10386" s="18">
        <v>1</v>
      </c>
      <c r="R10386" s="13">
        <v>41682</v>
      </c>
      <c r="T10386" s="22">
        <v>0.8</v>
      </c>
      <c r="V10386" s="22">
        <f>3.88/5</f>
        <v>0.77600000000000002</v>
      </c>
      <c r="AB10386" s="18">
        <f t="shared" si="324"/>
        <v>1988</v>
      </c>
      <c r="AC10386" s="22">
        <f t="shared" si="325"/>
        <v>0.78800000000000003</v>
      </c>
    </row>
    <row r="10387" spans="1:29">
      <c r="A10387" s="8" t="s">
        <v>114</v>
      </c>
      <c r="B10387" s="17" t="s">
        <v>7734</v>
      </c>
      <c r="C10387" s="13">
        <v>32425</v>
      </c>
      <c r="D10387" s="13" t="s">
        <v>8465</v>
      </c>
      <c r="E10387" s="10" t="s">
        <v>86</v>
      </c>
      <c r="F10387" s="10" t="s">
        <v>87</v>
      </c>
      <c r="G10387" s="11" t="s">
        <v>137</v>
      </c>
      <c r="H10387" s="2" t="s">
        <v>64</v>
      </c>
      <c r="L10387" s="18">
        <v>0</v>
      </c>
      <c r="Q10387" s="18">
        <v>1</v>
      </c>
      <c r="T10387" s="22">
        <v>0.8</v>
      </c>
      <c r="V10387" s="22">
        <f>3.81/5</f>
        <v>0.76200000000000001</v>
      </c>
      <c r="Y10387" s="18">
        <v>1</v>
      </c>
      <c r="AB10387" s="18">
        <f t="shared" si="324"/>
        <v>1988</v>
      </c>
      <c r="AC10387" s="22">
        <f t="shared" si="325"/>
        <v>0.78100000000000003</v>
      </c>
    </row>
    <row r="10388" spans="1:29" ht="30">
      <c r="A10388" s="8" t="s">
        <v>88</v>
      </c>
      <c r="B10388" s="17" t="s">
        <v>7734</v>
      </c>
      <c r="C10388" s="13">
        <v>32412</v>
      </c>
      <c r="D10388" s="13" t="s">
        <v>8465</v>
      </c>
      <c r="E10388" s="10" t="s">
        <v>86</v>
      </c>
      <c r="F10388" s="10" t="s">
        <v>87</v>
      </c>
      <c r="G10388" s="11" t="s">
        <v>85</v>
      </c>
      <c r="H10388" s="2" t="s">
        <v>80</v>
      </c>
      <c r="L10388" s="18">
        <v>1</v>
      </c>
      <c r="M10388" s="14" t="s">
        <v>10622</v>
      </c>
      <c r="N10388" s="13">
        <v>43520</v>
      </c>
      <c r="O10388" s="29">
        <v>9.99</v>
      </c>
      <c r="P10388" s="18" t="s">
        <v>14</v>
      </c>
      <c r="Q10388" s="18">
        <v>1</v>
      </c>
      <c r="T10388" s="22">
        <v>0.7</v>
      </c>
      <c r="V10388" s="22">
        <f>3.66/5</f>
        <v>0.73199999999999998</v>
      </c>
      <c r="W10388" s="14" t="s">
        <v>10776</v>
      </c>
      <c r="AB10388" s="18">
        <f t="shared" si="324"/>
        <v>1988</v>
      </c>
      <c r="AC10388" s="22">
        <f t="shared" si="325"/>
        <v>0.71599999999999997</v>
      </c>
    </row>
    <row r="10389" spans="1:29">
      <c r="A10389" s="8" t="s">
        <v>120</v>
      </c>
      <c r="B10389" s="17" t="s">
        <v>7734</v>
      </c>
      <c r="C10389" s="12">
        <v>32387</v>
      </c>
      <c r="D10389" s="13" t="s">
        <v>8465</v>
      </c>
      <c r="E10389" s="10" t="s">
        <v>157</v>
      </c>
      <c r="F10389" s="10" t="s">
        <v>158</v>
      </c>
      <c r="G10389" s="11" t="s">
        <v>120</v>
      </c>
      <c r="H10389" s="2" t="s">
        <v>21</v>
      </c>
      <c r="L10389" s="18">
        <v>0</v>
      </c>
      <c r="Q10389" s="18">
        <v>1</v>
      </c>
      <c r="T10389" s="22">
        <v>0.6</v>
      </c>
      <c r="V10389" s="22">
        <f>3.11/5</f>
        <v>0.622</v>
      </c>
      <c r="AB10389" s="18">
        <f t="shared" si="324"/>
        <v>1988</v>
      </c>
      <c r="AC10389" s="22">
        <f t="shared" si="325"/>
        <v>0.61099999999999999</v>
      </c>
    </row>
    <row r="10390" spans="1:29">
      <c r="A10390" s="8" t="s">
        <v>111</v>
      </c>
      <c r="B10390" s="17" t="s">
        <v>7734</v>
      </c>
      <c r="C10390" s="12">
        <v>32295</v>
      </c>
      <c r="D10390" s="13" t="s">
        <v>8465</v>
      </c>
      <c r="E10390" s="10" t="s">
        <v>152</v>
      </c>
      <c r="F10390" s="10" t="s">
        <v>155</v>
      </c>
      <c r="G10390" s="11" t="s">
        <v>111</v>
      </c>
      <c r="H10390" s="2" t="s">
        <v>153</v>
      </c>
      <c r="L10390" s="18">
        <v>0</v>
      </c>
      <c r="Q10390" s="18">
        <v>1</v>
      </c>
      <c r="T10390" s="22">
        <v>0.7</v>
      </c>
      <c r="V10390" s="22">
        <f>3.6/5</f>
        <v>0.72</v>
      </c>
      <c r="Y10390" s="18">
        <v>1</v>
      </c>
      <c r="AB10390" s="18">
        <f t="shared" si="324"/>
        <v>1988</v>
      </c>
      <c r="AC10390" s="22">
        <f t="shared" si="325"/>
        <v>0.71</v>
      </c>
    </row>
    <row r="10391" spans="1:29">
      <c r="A10391" s="8" t="s">
        <v>97</v>
      </c>
      <c r="B10391" s="17" t="s">
        <v>7734</v>
      </c>
      <c r="C10391" s="13">
        <v>32175</v>
      </c>
      <c r="D10391" s="13" t="s">
        <v>8465</v>
      </c>
      <c r="E10391" s="10" t="s">
        <v>72</v>
      </c>
      <c r="F10391" s="10" t="s">
        <v>72</v>
      </c>
      <c r="G10391" s="11" t="s">
        <v>97</v>
      </c>
      <c r="H10391" s="2" t="s">
        <v>147</v>
      </c>
      <c r="L10391" s="18">
        <v>0</v>
      </c>
      <c r="Q10391" s="18">
        <v>1</v>
      </c>
      <c r="T10391" s="22">
        <v>0.7</v>
      </c>
      <c r="V10391" s="22">
        <f>4.16/5</f>
        <v>0.83200000000000007</v>
      </c>
      <c r="Y10391" s="18">
        <v>1</v>
      </c>
      <c r="AB10391" s="18">
        <f t="shared" si="324"/>
        <v>1988</v>
      </c>
      <c r="AC10391" s="22">
        <f t="shared" si="325"/>
        <v>0.76600000000000001</v>
      </c>
    </row>
    <row r="10392" spans="1:29" ht="30">
      <c r="A10392" s="8" t="s">
        <v>8944</v>
      </c>
      <c r="B10392" s="17" t="s">
        <v>7750</v>
      </c>
      <c r="C10392" s="13">
        <v>32142</v>
      </c>
      <c r="D10392" s="13" t="s">
        <v>8465</v>
      </c>
      <c r="E10392" s="10" t="s">
        <v>455</v>
      </c>
      <c r="F10392" s="10" t="s">
        <v>455</v>
      </c>
      <c r="G10392" s="11" t="s">
        <v>8944</v>
      </c>
      <c r="H10392" s="2" t="s">
        <v>80</v>
      </c>
      <c r="L10392" s="18">
        <v>0</v>
      </c>
      <c r="Q10392" s="18">
        <v>0</v>
      </c>
      <c r="V10392" s="22">
        <f>3.77/5</f>
        <v>0.754</v>
      </c>
      <c r="X10392" s="3">
        <v>2</v>
      </c>
      <c r="Z10392" s="23">
        <v>1.5</v>
      </c>
      <c r="AB10392" s="18">
        <f t="shared" si="324"/>
        <v>1987</v>
      </c>
      <c r="AC10392" s="22">
        <f t="shared" si="325"/>
        <v>0.57699999999999996</v>
      </c>
    </row>
    <row r="10393" spans="1:29">
      <c r="A10393" s="8" t="s">
        <v>14495</v>
      </c>
      <c r="B10393" s="17" t="s">
        <v>7734</v>
      </c>
      <c r="C10393" s="13">
        <v>32126</v>
      </c>
      <c r="D10393" s="13" t="s">
        <v>8463</v>
      </c>
      <c r="E10393" s="10" t="s">
        <v>86</v>
      </c>
      <c r="F10393" s="10" t="s">
        <v>13680</v>
      </c>
      <c r="H10393" s="2" t="s">
        <v>149</v>
      </c>
      <c r="K10393" s="18">
        <v>0</v>
      </c>
      <c r="L10393" s="18">
        <v>0</v>
      </c>
      <c r="Q10393" s="18">
        <v>0</v>
      </c>
      <c r="V10393" s="22">
        <f>3.37/5</f>
        <v>0.67400000000000004</v>
      </c>
      <c r="X10393" s="3">
        <v>2</v>
      </c>
      <c r="AB10393" s="18">
        <f t="shared" si="324"/>
        <v>1987</v>
      </c>
      <c r="AC10393" s="22">
        <f t="shared" si="325"/>
        <v>0.53700000000000003</v>
      </c>
    </row>
    <row r="10394" spans="1:29" ht="25.5">
      <c r="A10394" s="8" t="s">
        <v>15642</v>
      </c>
      <c r="B10394" s="17" t="s">
        <v>7734</v>
      </c>
      <c r="C10394" s="13">
        <v>32118</v>
      </c>
      <c r="D10394" s="13" t="s">
        <v>8463</v>
      </c>
      <c r="E10394" s="10" t="s">
        <v>9060</v>
      </c>
      <c r="F10394" s="10" t="s">
        <v>14464</v>
      </c>
      <c r="G10394" s="11" t="s">
        <v>15641</v>
      </c>
      <c r="H10394" s="2" t="s">
        <v>1170</v>
      </c>
      <c r="K10394" s="18">
        <v>0</v>
      </c>
      <c r="L10394" s="18">
        <v>0</v>
      </c>
      <c r="Q10394" s="18">
        <v>0</v>
      </c>
      <c r="V10394" s="22">
        <f>3.68/5</f>
        <v>0.73599999999999999</v>
      </c>
      <c r="X10394" s="3">
        <v>2</v>
      </c>
      <c r="AB10394" s="18">
        <f t="shared" si="324"/>
        <v>1987</v>
      </c>
      <c r="AC10394" s="22">
        <f t="shared" si="325"/>
        <v>0.56800000000000006</v>
      </c>
    </row>
    <row r="10395" spans="1:29" ht="25.5">
      <c r="A10395" s="8" t="s">
        <v>11811</v>
      </c>
      <c r="B10395" s="17" t="s">
        <v>7734</v>
      </c>
      <c r="C10395" s="13">
        <v>32115</v>
      </c>
      <c r="D10395" s="13" t="s">
        <v>8463</v>
      </c>
      <c r="E10395" s="10" t="s">
        <v>72</v>
      </c>
      <c r="F10395" s="10" t="s">
        <v>72</v>
      </c>
      <c r="H10395" s="2" t="s">
        <v>171</v>
      </c>
      <c r="K10395" s="18">
        <v>2</v>
      </c>
      <c r="L10395" s="18">
        <v>0</v>
      </c>
      <c r="Q10395" s="18">
        <v>0</v>
      </c>
      <c r="V10395" s="22">
        <f>3.63/5</f>
        <v>0.72599999999999998</v>
      </c>
      <c r="X10395" s="3">
        <v>2</v>
      </c>
      <c r="AB10395" s="18">
        <f t="shared" si="324"/>
        <v>1987</v>
      </c>
      <c r="AC10395" s="22">
        <f t="shared" si="325"/>
        <v>0.56299999999999994</v>
      </c>
    </row>
    <row r="10396" spans="1:29" ht="30">
      <c r="A10396" s="8" t="s">
        <v>11870</v>
      </c>
      <c r="B10396" s="17" t="s">
        <v>7734</v>
      </c>
      <c r="C10396" s="13">
        <v>32115</v>
      </c>
      <c r="D10396" s="13" t="s">
        <v>8463</v>
      </c>
      <c r="E10396" s="10" t="s">
        <v>11871</v>
      </c>
      <c r="F10396" s="10" t="s">
        <v>1289</v>
      </c>
      <c r="H10396" s="2" t="s">
        <v>171</v>
      </c>
      <c r="K10396" s="18">
        <v>2</v>
      </c>
      <c r="L10396" s="18">
        <v>0</v>
      </c>
      <c r="Q10396" s="18">
        <v>0</v>
      </c>
      <c r="V10396" s="22">
        <f>2.5/5</f>
        <v>0.5</v>
      </c>
      <c r="X10396" s="3">
        <v>2</v>
      </c>
      <c r="AB10396" s="18">
        <f t="shared" si="324"/>
        <v>1987</v>
      </c>
      <c r="AC10396" s="22">
        <f t="shared" si="325"/>
        <v>0.45</v>
      </c>
    </row>
    <row r="10397" spans="1:29">
      <c r="A10397" s="8" t="s">
        <v>206</v>
      </c>
      <c r="B10397" s="17" t="s">
        <v>7734</v>
      </c>
      <c r="C10397" s="12">
        <v>32112</v>
      </c>
      <c r="D10397" s="13" t="s">
        <v>8465</v>
      </c>
      <c r="E10397" s="10" t="s">
        <v>154</v>
      </c>
      <c r="F10397" s="10" t="s">
        <v>163</v>
      </c>
      <c r="G10397" s="11" t="s">
        <v>206</v>
      </c>
      <c r="H10397" s="2" t="s">
        <v>56</v>
      </c>
      <c r="L10397" s="18">
        <v>0</v>
      </c>
      <c r="Q10397" s="18">
        <v>0</v>
      </c>
      <c r="V10397" s="22">
        <f>3.56/5</f>
        <v>0.71199999999999997</v>
      </c>
      <c r="X10397" s="3">
        <v>2</v>
      </c>
      <c r="Z10397" s="23">
        <v>3</v>
      </c>
      <c r="AB10397" s="18">
        <f t="shared" si="324"/>
        <v>1987</v>
      </c>
      <c r="AC10397" s="22">
        <f t="shared" si="325"/>
        <v>0.55600000000000005</v>
      </c>
    </row>
    <row r="10398" spans="1:29">
      <c r="A10398" s="8" t="s">
        <v>7651</v>
      </c>
      <c r="B10398" s="17" t="s">
        <v>7787</v>
      </c>
      <c r="C10398" s="13">
        <v>32112</v>
      </c>
      <c r="D10398" s="13" t="s">
        <v>8463</v>
      </c>
      <c r="E10398" s="10" t="s">
        <v>72</v>
      </c>
      <c r="F10398" s="10" t="s">
        <v>72</v>
      </c>
      <c r="G10398" s="11" t="s">
        <v>7649</v>
      </c>
      <c r="H10398" s="2" t="s">
        <v>149</v>
      </c>
      <c r="K10398" s="18">
        <v>2</v>
      </c>
      <c r="L10398" s="18">
        <v>0</v>
      </c>
      <c r="Q10398" s="18">
        <v>0</v>
      </c>
      <c r="V10398" s="22">
        <f>2.5/5</f>
        <v>0.5</v>
      </c>
      <c r="X10398" s="3">
        <v>3</v>
      </c>
      <c r="AB10398" s="18">
        <f t="shared" si="324"/>
        <v>1987</v>
      </c>
      <c r="AC10398" s="22">
        <f t="shared" si="325"/>
        <v>0.55000000000000004</v>
      </c>
    </row>
    <row r="10399" spans="1:29" ht="30">
      <c r="A10399" s="8" t="s">
        <v>11960</v>
      </c>
      <c r="B10399" s="17" t="s">
        <v>7735</v>
      </c>
      <c r="C10399" s="13">
        <v>32112</v>
      </c>
      <c r="D10399" s="13" t="s">
        <v>8463</v>
      </c>
      <c r="E10399" s="10" t="s">
        <v>86</v>
      </c>
      <c r="F10399" s="10" t="s">
        <v>161</v>
      </c>
      <c r="H10399" s="2" t="s">
        <v>1057</v>
      </c>
      <c r="K10399" s="18">
        <v>2</v>
      </c>
      <c r="L10399" s="18">
        <v>0</v>
      </c>
      <c r="Q10399" s="18">
        <v>0</v>
      </c>
      <c r="V10399" s="22">
        <f>3.47/5</f>
        <v>0.69400000000000006</v>
      </c>
      <c r="X10399" s="3">
        <v>2</v>
      </c>
      <c r="AB10399" s="18">
        <f t="shared" si="324"/>
        <v>1987</v>
      </c>
      <c r="AC10399" s="22">
        <f t="shared" si="325"/>
        <v>0.54700000000000004</v>
      </c>
    </row>
    <row r="10400" spans="1:29" ht="38.25">
      <c r="A10400" s="8" t="s">
        <v>14285</v>
      </c>
      <c r="B10400" s="17" t="s">
        <v>7735</v>
      </c>
      <c r="C10400" s="13">
        <v>32101</v>
      </c>
      <c r="D10400" s="13" t="s">
        <v>8463</v>
      </c>
      <c r="E10400" s="10" t="s">
        <v>157</v>
      </c>
      <c r="F10400" s="10" t="s">
        <v>81</v>
      </c>
      <c r="G10400" s="11" t="s">
        <v>1395</v>
      </c>
      <c r="H10400" s="2" t="s">
        <v>75</v>
      </c>
      <c r="K10400" s="18">
        <v>2</v>
      </c>
      <c r="L10400" s="18">
        <v>0</v>
      </c>
      <c r="Q10400" s="18">
        <v>0</v>
      </c>
      <c r="V10400" s="22">
        <f>3.36/5</f>
        <v>0.67199999999999993</v>
      </c>
      <c r="X10400" s="3">
        <v>2</v>
      </c>
      <c r="AB10400" s="18">
        <f t="shared" si="324"/>
        <v>1987</v>
      </c>
      <c r="AC10400" s="22">
        <f t="shared" si="325"/>
        <v>0.53600000000000003</v>
      </c>
    </row>
    <row r="10401" spans="1:29" ht="38.25">
      <c r="A10401" s="8" t="s">
        <v>6816</v>
      </c>
      <c r="B10401" s="17" t="s">
        <v>7800</v>
      </c>
      <c r="C10401" s="13">
        <v>32095</v>
      </c>
      <c r="D10401" s="13" t="s">
        <v>8465</v>
      </c>
      <c r="E10401" s="10" t="s">
        <v>1496</v>
      </c>
      <c r="F10401" s="10" t="s">
        <v>1496</v>
      </c>
      <c r="G10401" s="11" t="s">
        <v>6903</v>
      </c>
      <c r="H10401" s="2" t="s">
        <v>67</v>
      </c>
      <c r="L10401" s="18">
        <v>1</v>
      </c>
      <c r="N10401" s="13">
        <v>43956</v>
      </c>
      <c r="O10401" s="29">
        <v>0</v>
      </c>
      <c r="P10401" s="18" t="s">
        <v>1107</v>
      </c>
      <c r="Q10401" s="18">
        <v>0</v>
      </c>
      <c r="U10401" s="22">
        <v>0.7</v>
      </c>
      <c r="V10401" s="22">
        <f>3.66/5</f>
        <v>0.73199999999999998</v>
      </c>
      <c r="W10401" s="14" t="s">
        <v>7777</v>
      </c>
      <c r="X10401" s="3">
        <v>3</v>
      </c>
      <c r="Z10401" s="23">
        <v>3.5</v>
      </c>
      <c r="AB10401" s="18">
        <f t="shared" si="324"/>
        <v>1987</v>
      </c>
      <c r="AC10401" s="22">
        <f t="shared" si="325"/>
        <v>0.67733333333333334</v>
      </c>
    </row>
    <row r="10402" spans="1:29">
      <c r="A10402" s="8" t="s">
        <v>15157</v>
      </c>
      <c r="B10402" s="17" t="s">
        <v>7734</v>
      </c>
      <c r="C10402" s="13">
        <v>32082</v>
      </c>
      <c r="D10402" s="13" t="s">
        <v>8465</v>
      </c>
      <c r="E10402" s="10" t="s">
        <v>72</v>
      </c>
      <c r="F10402" s="10" t="s">
        <v>72</v>
      </c>
      <c r="G10402" s="11" t="s">
        <v>15158</v>
      </c>
      <c r="H10402" s="2" t="s">
        <v>151</v>
      </c>
      <c r="L10402" s="18">
        <v>0</v>
      </c>
      <c r="Q10402" s="18">
        <v>0</v>
      </c>
      <c r="V10402" s="22">
        <f>3.48/5</f>
        <v>0.69599999999999995</v>
      </c>
      <c r="X10402" s="3">
        <v>2</v>
      </c>
      <c r="Z10402" s="23">
        <v>3</v>
      </c>
      <c r="AB10402" s="18">
        <f t="shared" si="324"/>
        <v>1987</v>
      </c>
      <c r="AC10402" s="22">
        <f t="shared" si="325"/>
        <v>0.54800000000000004</v>
      </c>
    </row>
    <row r="10403" spans="1:29">
      <c r="A10403" s="8" t="s">
        <v>35</v>
      </c>
      <c r="B10403" s="17" t="s">
        <v>7734</v>
      </c>
      <c r="C10403" s="13">
        <v>32082</v>
      </c>
      <c r="D10403" s="13" t="s">
        <v>8465</v>
      </c>
      <c r="E10403" s="10" t="s">
        <v>57</v>
      </c>
      <c r="F10403" s="10" t="s">
        <v>58</v>
      </c>
      <c r="H10403" s="2" t="s">
        <v>56</v>
      </c>
      <c r="L10403" s="18">
        <v>0</v>
      </c>
      <c r="Q10403" s="18">
        <v>0</v>
      </c>
      <c r="V10403" s="22">
        <f>3.28/5</f>
        <v>0.65599999999999992</v>
      </c>
      <c r="X10403" s="3">
        <v>2</v>
      </c>
      <c r="Z10403" s="23">
        <v>0.9</v>
      </c>
      <c r="AB10403" s="18">
        <f t="shared" si="324"/>
        <v>1987</v>
      </c>
      <c r="AC10403" s="22">
        <f t="shared" si="325"/>
        <v>0.52800000000000002</v>
      </c>
    </row>
    <row r="10404" spans="1:29">
      <c r="A10404" s="8" t="s">
        <v>15151</v>
      </c>
      <c r="B10404" s="17" t="s">
        <v>15152</v>
      </c>
      <c r="C10404" s="13">
        <v>32082</v>
      </c>
      <c r="D10404" s="13" t="s">
        <v>8467</v>
      </c>
      <c r="E10404" s="10" t="s">
        <v>15153</v>
      </c>
      <c r="F10404" s="10" t="s">
        <v>15154</v>
      </c>
      <c r="H10404" s="2" t="s">
        <v>151</v>
      </c>
      <c r="L10404" s="18">
        <v>0</v>
      </c>
      <c r="Q10404" s="18">
        <v>0</v>
      </c>
      <c r="V10404" s="22">
        <f>3.25/5</f>
        <v>0.65</v>
      </c>
      <c r="X10404" s="3">
        <v>2</v>
      </c>
      <c r="AB10404" s="18">
        <f t="shared" si="324"/>
        <v>1987</v>
      </c>
      <c r="AC10404" s="22">
        <f t="shared" si="325"/>
        <v>0.52500000000000002</v>
      </c>
    </row>
    <row r="10405" spans="1:29">
      <c r="A10405" s="8" t="s">
        <v>13900</v>
      </c>
      <c r="B10405" s="17" t="s">
        <v>7734</v>
      </c>
      <c r="C10405" s="12">
        <v>32082</v>
      </c>
      <c r="D10405" s="13" t="s">
        <v>8465</v>
      </c>
      <c r="E10405" s="10" t="s">
        <v>1273</v>
      </c>
      <c r="F10405" s="10" t="s">
        <v>1289</v>
      </c>
      <c r="G10405" s="11" t="s">
        <v>13898</v>
      </c>
      <c r="H10405" s="2" t="s">
        <v>64</v>
      </c>
      <c r="L10405" s="18">
        <v>0</v>
      </c>
      <c r="Q10405" s="18">
        <v>0</v>
      </c>
      <c r="V10405" s="22">
        <f>2.21/5</f>
        <v>0.442</v>
      </c>
      <c r="X10405" s="3">
        <v>2</v>
      </c>
      <c r="Z10405" s="23">
        <v>2</v>
      </c>
      <c r="AB10405" s="18">
        <f t="shared" si="324"/>
        <v>1987</v>
      </c>
      <c r="AC10405" s="22">
        <f t="shared" si="325"/>
        <v>0.42100000000000004</v>
      </c>
    </row>
    <row r="10406" spans="1:29" ht="30">
      <c r="A10406" s="8" t="s">
        <v>14373</v>
      </c>
      <c r="B10406" s="17" t="s">
        <v>7735</v>
      </c>
      <c r="C10406" s="13">
        <v>32080</v>
      </c>
      <c r="D10406" s="13" t="s">
        <v>8463</v>
      </c>
      <c r="E10406" s="10" t="s">
        <v>86</v>
      </c>
      <c r="F10406" s="10" t="s">
        <v>86</v>
      </c>
      <c r="G10406" s="11" t="s">
        <v>14372</v>
      </c>
      <c r="H10406" s="2" t="s">
        <v>150</v>
      </c>
      <c r="K10406" s="18">
        <v>2</v>
      </c>
      <c r="L10406" s="18">
        <v>0</v>
      </c>
      <c r="Q10406" s="18">
        <v>0</v>
      </c>
      <c r="V10406" s="22">
        <f>3.29/5</f>
        <v>0.65800000000000003</v>
      </c>
      <c r="X10406" s="3">
        <v>2</v>
      </c>
      <c r="AB10406" s="18">
        <f t="shared" si="324"/>
        <v>1987</v>
      </c>
      <c r="AC10406" s="22">
        <f t="shared" si="325"/>
        <v>0.52900000000000003</v>
      </c>
    </row>
    <row r="10407" spans="1:29">
      <c r="A10407" s="8" t="s">
        <v>13420</v>
      </c>
      <c r="B10407" s="17" t="s">
        <v>7734</v>
      </c>
      <c r="C10407" s="13">
        <v>32077</v>
      </c>
      <c r="D10407" s="13" t="s">
        <v>8463</v>
      </c>
      <c r="E10407" s="10" t="s">
        <v>13421</v>
      </c>
      <c r="F10407" s="10" t="s">
        <v>13422</v>
      </c>
      <c r="H10407" s="2" t="s">
        <v>149</v>
      </c>
      <c r="K10407" s="18">
        <v>1</v>
      </c>
      <c r="L10407" s="18">
        <v>0</v>
      </c>
      <c r="Q10407" s="18">
        <v>0</v>
      </c>
      <c r="V10407" s="22">
        <f>1.2/5</f>
        <v>0.24</v>
      </c>
      <c r="X10407" s="3">
        <v>2</v>
      </c>
      <c r="Z10407" s="23">
        <v>7</v>
      </c>
      <c r="AB10407" s="18">
        <f t="shared" si="324"/>
        <v>1987</v>
      </c>
      <c r="AC10407" s="22">
        <f t="shared" si="325"/>
        <v>0.32</v>
      </c>
    </row>
    <row r="10408" spans="1:29">
      <c r="A10408" s="8" t="s">
        <v>264</v>
      </c>
      <c r="B10408" s="17" t="s">
        <v>7734</v>
      </c>
      <c r="C10408" s="13">
        <v>32076</v>
      </c>
      <c r="D10408" s="13" t="s">
        <v>8463</v>
      </c>
      <c r="E10408" s="10" t="s">
        <v>62</v>
      </c>
      <c r="F10408" s="10" t="s">
        <v>62</v>
      </c>
      <c r="G10408" s="11" t="s">
        <v>264</v>
      </c>
      <c r="H10408" s="2" t="s">
        <v>149</v>
      </c>
      <c r="K10408" s="18">
        <v>2</v>
      </c>
      <c r="L10408" s="18">
        <v>0</v>
      </c>
      <c r="Q10408" s="18">
        <v>0</v>
      </c>
      <c r="V10408" s="22">
        <f>3.1/5</f>
        <v>0.62</v>
      </c>
      <c r="X10408" s="3">
        <v>2</v>
      </c>
      <c r="Z10408" s="23">
        <v>26.5</v>
      </c>
      <c r="AB10408" s="18">
        <f t="shared" si="324"/>
        <v>1987</v>
      </c>
      <c r="AC10408" s="22">
        <f t="shared" si="325"/>
        <v>0.51</v>
      </c>
    </row>
    <row r="10409" spans="1:29" ht="25.5">
      <c r="A10409" s="8" t="s">
        <v>14043</v>
      </c>
      <c r="B10409" s="17" t="s">
        <v>7734</v>
      </c>
      <c r="C10409" s="13">
        <v>32073</v>
      </c>
      <c r="D10409" s="13" t="s">
        <v>8463</v>
      </c>
      <c r="E10409" s="10" t="s">
        <v>54</v>
      </c>
      <c r="F10409" s="10" t="s">
        <v>11834</v>
      </c>
      <c r="G10409" s="11" t="s">
        <v>1461</v>
      </c>
      <c r="H10409" s="2" t="s">
        <v>149</v>
      </c>
      <c r="K10409" s="18">
        <v>2</v>
      </c>
      <c r="L10409" s="18">
        <v>0</v>
      </c>
      <c r="Q10409" s="18">
        <v>0</v>
      </c>
      <c r="V10409" s="22">
        <f>3.6/5</f>
        <v>0.72</v>
      </c>
      <c r="X10409" s="3">
        <v>2</v>
      </c>
      <c r="Z10409" s="23">
        <v>23</v>
      </c>
      <c r="AB10409" s="18">
        <f t="shared" si="324"/>
        <v>1987</v>
      </c>
      <c r="AC10409" s="22">
        <f t="shared" si="325"/>
        <v>0.56000000000000005</v>
      </c>
    </row>
    <row r="10410" spans="1:29">
      <c r="A10410" s="8" t="s">
        <v>14033</v>
      </c>
      <c r="B10410" s="17" t="s">
        <v>7734</v>
      </c>
      <c r="C10410" s="13">
        <v>32070</v>
      </c>
      <c r="D10410" s="13" t="s">
        <v>8463</v>
      </c>
      <c r="E10410" s="10" t="s">
        <v>59</v>
      </c>
      <c r="F10410" s="10" t="s">
        <v>59</v>
      </c>
      <c r="H10410" s="2" t="s">
        <v>149</v>
      </c>
      <c r="K10410" s="18">
        <v>2</v>
      </c>
      <c r="L10410" s="18">
        <v>0</v>
      </c>
      <c r="Q10410" s="18">
        <v>0</v>
      </c>
      <c r="V10410" s="22">
        <f>2.02/5</f>
        <v>0.40400000000000003</v>
      </c>
      <c r="X10410" s="3">
        <v>2</v>
      </c>
      <c r="Z10410" s="23">
        <v>17</v>
      </c>
      <c r="AB10410" s="18">
        <f t="shared" si="324"/>
        <v>1987</v>
      </c>
      <c r="AC10410" s="22">
        <f t="shared" si="325"/>
        <v>0.40200000000000002</v>
      </c>
    </row>
    <row r="10411" spans="1:29">
      <c r="A10411" s="8" t="s">
        <v>3584</v>
      </c>
      <c r="B10411" s="17" t="s">
        <v>7800</v>
      </c>
      <c r="C10411" s="13">
        <v>32055</v>
      </c>
      <c r="D10411" s="13" t="s">
        <v>8465</v>
      </c>
      <c r="E10411" s="10" t="s">
        <v>6908</v>
      </c>
      <c r="F10411" s="10" t="s">
        <v>6908</v>
      </c>
      <c r="G10411" s="11" t="s">
        <v>3584</v>
      </c>
      <c r="H10411" s="2" t="s">
        <v>67</v>
      </c>
      <c r="L10411" s="18">
        <v>0</v>
      </c>
      <c r="Q10411" s="18">
        <v>0</v>
      </c>
      <c r="U10411" s="22">
        <v>0.83</v>
      </c>
      <c r="V10411" s="22">
        <f>3.86/5</f>
        <v>0.77200000000000002</v>
      </c>
      <c r="X10411" s="3">
        <v>4</v>
      </c>
      <c r="Z10411" s="23">
        <v>3</v>
      </c>
      <c r="AB10411" s="18">
        <f t="shared" si="324"/>
        <v>1987</v>
      </c>
      <c r="AC10411" s="22">
        <f t="shared" si="325"/>
        <v>0.80066666666666675</v>
      </c>
    </row>
    <row r="10412" spans="1:29" ht="30">
      <c r="A10412" s="8" t="s">
        <v>307</v>
      </c>
      <c r="B10412" s="17" t="s">
        <v>7735</v>
      </c>
      <c r="C10412" s="13">
        <v>32052</v>
      </c>
      <c r="D10412" s="13" t="s">
        <v>8463</v>
      </c>
      <c r="E10412" s="10" t="s">
        <v>309</v>
      </c>
      <c r="F10412" s="10" t="s">
        <v>310</v>
      </c>
      <c r="H10412" s="2" t="s">
        <v>171</v>
      </c>
      <c r="K10412" s="18">
        <v>2</v>
      </c>
      <c r="L10412" s="18">
        <v>0</v>
      </c>
      <c r="Q10412" s="18">
        <v>0</v>
      </c>
      <c r="V10412" s="22">
        <f>3.03/5</f>
        <v>0.60599999999999998</v>
      </c>
      <c r="X10412" s="3">
        <v>2</v>
      </c>
      <c r="AB10412" s="18">
        <f t="shared" si="324"/>
        <v>1987</v>
      </c>
      <c r="AC10412" s="22">
        <f t="shared" si="325"/>
        <v>0.503</v>
      </c>
    </row>
    <row r="10413" spans="1:29">
      <c r="A10413" s="8" t="s">
        <v>358</v>
      </c>
      <c r="B10413" s="17" t="s">
        <v>6317</v>
      </c>
      <c r="C10413" s="12">
        <v>32051</v>
      </c>
      <c r="D10413" s="13" t="s">
        <v>8465</v>
      </c>
      <c r="E10413" s="10" t="s">
        <v>455</v>
      </c>
      <c r="F10413" s="10" t="s">
        <v>456</v>
      </c>
      <c r="G10413" s="11" t="s">
        <v>357</v>
      </c>
      <c r="H10413" s="2" t="s">
        <v>7594</v>
      </c>
      <c r="L10413" s="18">
        <v>0</v>
      </c>
      <c r="Q10413" s="18">
        <v>0</v>
      </c>
      <c r="V10413" s="22">
        <f>3.29/5</f>
        <v>0.65800000000000003</v>
      </c>
      <c r="X10413" s="3">
        <v>3</v>
      </c>
      <c r="Z10413" s="23">
        <v>0.57999999999999996</v>
      </c>
      <c r="AB10413" s="18">
        <f t="shared" si="324"/>
        <v>1987</v>
      </c>
      <c r="AC10413" s="22">
        <f t="shared" si="325"/>
        <v>0.629</v>
      </c>
    </row>
    <row r="10414" spans="1:29" ht="25.5">
      <c r="A10414" s="8" t="s">
        <v>13467</v>
      </c>
      <c r="B10414" s="17" t="s">
        <v>7800</v>
      </c>
      <c r="C10414" s="12">
        <v>32051</v>
      </c>
      <c r="D10414" s="13" t="s">
        <v>8465</v>
      </c>
      <c r="E10414" s="10" t="s">
        <v>166</v>
      </c>
      <c r="F10414" s="10" t="s">
        <v>166</v>
      </c>
      <c r="G10414" s="11" t="s">
        <v>6921</v>
      </c>
      <c r="H10414" s="2" t="s">
        <v>2826</v>
      </c>
      <c r="L10414" s="18">
        <v>0</v>
      </c>
      <c r="Q10414" s="18">
        <v>0</v>
      </c>
      <c r="V10414" s="22">
        <f>3.62/5</f>
        <v>0.72399999999999998</v>
      </c>
      <c r="X10414" s="3">
        <v>2</v>
      </c>
      <c r="Z10414" s="23">
        <v>11</v>
      </c>
      <c r="AB10414" s="18">
        <f t="shared" si="324"/>
        <v>1987</v>
      </c>
      <c r="AC10414" s="22">
        <f t="shared" si="325"/>
        <v>0.56200000000000006</v>
      </c>
    </row>
    <row r="10415" spans="1:29">
      <c r="A10415" s="8" t="s">
        <v>15645</v>
      </c>
      <c r="B10415" s="17" t="s">
        <v>7734</v>
      </c>
      <c r="C10415" s="12">
        <v>32051</v>
      </c>
      <c r="D10415" s="13" t="s">
        <v>8465</v>
      </c>
      <c r="E10415" s="10" t="s">
        <v>86</v>
      </c>
      <c r="F10415" s="10" t="s">
        <v>14464</v>
      </c>
      <c r="G10415" s="11" t="s">
        <v>15645</v>
      </c>
      <c r="H10415" s="2" t="s">
        <v>150</v>
      </c>
      <c r="L10415" s="18">
        <v>0</v>
      </c>
      <c r="Q10415" s="18">
        <v>0</v>
      </c>
      <c r="V10415" s="22">
        <f>3.43/5</f>
        <v>0.68600000000000005</v>
      </c>
      <c r="X10415" s="3">
        <v>2</v>
      </c>
      <c r="Z10415" s="23">
        <v>2</v>
      </c>
      <c r="AB10415" s="18">
        <f t="shared" si="324"/>
        <v>1987</v>
      </c>
      <c r="AC10415" s="22">
        <f t="shared" si="325"/>
        <v>0.54300000000000004</v>
      </c>
    </row>
    <row r="10416" spans="1:29">
      <c r="A10416" s="8" t="s">
        <v>15932</v>
      </c>
      <c r="B10416" s="17" t="s">
        <v>7734</v>
      </c>
      <c r="C10416" s="12">
        <v>32051</v>
      </c>
      <c r="D10416" s="13" t="s">
        <v>8465</v>
      </c>
      <c r="E10416" s="10" t="s">
        <v>1791</v>
      </c>
      <c r="F10416" s="10" t="s">
        <v>167</v>
      </c>
      <c r="G10416" s="11" t="s">
        <v>15932</v>
      </c>
      <c r="H10416" s="2" t="s">
        <v>21</v>
      </c>
      <c r="L10416" s="18">
        <v>0</v>
      </c>
      <c r="Q10416" s="18">
        <v>0</v>
      </c>
      <c r="V10416" s="22">
        <f>3.88/5</f>
        <v>0.77600000000000002</v>
      </c>
      <c r="X10416" s="3">
        <v>2</v>
      </c>
      <c r="Z10416" s="23">
        <v>1.5</v>
      </c>
      <c r="AB10416" s="18">
        <f t="shared" si="324"/>
        <v>1987</v>
      </c>
      <c r="AC10416" s="22">
        <f t="shared" si="325"/>
        <v>0.58800000000000008</v>
      </c>
    </row>
    <row r="10417" spans="1:29" ht="25.5">
      <c r="A10417" s="8" t="s">
        <v>1248</v>
      </c>
      <c r="B10417" s="17" t="s">
        <v>7734</v>
      </c>
      <c r="C10417" s="13">
        <v>32031</v>
      </c>
      <c r="D10417" s="13" t="s">
        <v>8463</v>
      </c>
      <c r="E10417" s="10" t="s">
        <v>158</v>
      </c>
      <c r="F10417" s="10" t="s">
        <v>228</v>
      </c>
      <c r="G10417" s="11" t="s">
        <v>1171</v>
      </c>
      <c r="H10417" s="2" t="s">
        <v>149</v>
      </c>
      <c r="K10417" s="18">
        <v>2</v>
      </c>
      <c r="L10417" s="18">
        <v>0</v>
      </c>
      <c r="Q10417" s="18">
        <v>0</v>
      </c>
      <c r="V10417" s="22">
        <f>3.21/5</f>
        <v>0.64200000000000002</v>
      </c>
      <c r="X10417" s="3">
        <v>3</v>
      </c>
      <c r="Z10417" s="23">
        <v>21.5</v>
      </c>
      <c r="AB10417" s="18">
        <f t="shared" si="324"/>
        <v>1987</v>
      </c>
      <c r="AC10417" s="22">
        <f t="shared" si="325"/>
        <v>0.621</v>
      </c>
    </row>
    <row r="10418" spans="1:29" ht="25.5">
      <c r="A10418" s="8" t="s">
        <v>14035</v>
      </c>
      <c r="B10418" s="17" t="s">
        <v>7734</v>
      </c>
      <c r="C10418" s="13">
        <v>32031</v>
      </c>
      <c r="D10418" s="13" t="s">
        <v>8463</v>
      </c>
      <c r="E10418" s="10" t="s">
        <v>11802</v>
      </c>
      <c r="F10418" s="10" t="s">
        <v>14036</v>
      </c>
      <c r="H10418" s="2" t="s">
        <v>149</v>
      </c>
      <c r="K10418" s="18">
        <v>2</v>
      </c>
      <c r="L10418" s="18">
        <v>0</v>
      </c>
      <c r="Q10418" s="18">
        <v>0</v>
      </c>
      <c r="V10418" s="22">
        <f>3.1/5</f>
        <v>0.62</v>
      </c>
      <c r="X10418" s="3">
        <v>2</v>
      </c>
      <c r="AB10418" s="18">
        <f t="shared" si="324"/>
        <v>1987</v>
      </c>
      <c r="AC10418" s="22">
        <f t="shared" si="325"/>
        <v>0.51</v>
      </c>
    </row>
    <row r="10419" spans="1:29">
      <c r="A10419" s="8" t="s">
        <v>176</v>
      </c>
      <c r="B10419" s="17" t="s">
        <v>7734</v>
      </c>
      <c r="C10419" s="12">
        <v>32021</v>
      </c>
      <c r="D10419" s="13" t="s">
        <v>8465</v>
      </c>
      <c r="E10419" s="10" t="s">
        <v>72</v>
      </c>
      <c r="F10419" s="10" t="s">
        <v>72</v>
      </c>
      <c r="G10419" s="11" t="s">
        <v>230</v>
      </c>
      <c r="H10419" s="2" t="s">
        <v>21</v>
      </c>
      <c r="L10419" s="18">
        <v>0</v>
      </c>
      <c r="Q10419" s="18">
        <v>0</v>
      </c>
      <c r="V10419" s="22">
        <f>3.44/5</f>
        <v>0.68799999999999994</v>
      </c>
      <c r="X10419" s="3">
        <v>3</v>
      </c>
      <c r="Z10419" s="23">
        <v>0.65</v>
      </c>
      <c r="AB10419" s="18">
        <f t="shared" si="324"/>
        <v>1987</v>
      </c>
      <c r="AC10419" s="22">
        <f t="shared" si="325"/>
        <v>0.64399999999999991</v>
      </c>
    </row>
    <row r="10420" spans="1:29">
      <c r="A10420" s="8" t="s">
        <v>13885</v>
      </c>
      <c r="B10420" s="17" t="s">
        <v>7800</v>
      </c>
      <c r="C10420" s="12">
        <v>32021</v>
      </c>
      <c r="D10420" s="13" t="s">
        <v>8465</v>
      </c>
      <c r="E10420" s="10" t="s">
        <v>6923</v>
      </c>
      <c r="F10420" s="10" t="s">
        <v>1512</v>
      </c>
      <c r="G10420" s="11" t="s">
        <v>13885</v>
      </c>
      <c r="H10420" s="2" t="s">
        <v>147</v>
      </c>
      <c r="L10420" s="18">
        <v>0</v>
      </c>
      <c r="Q10420" s="18">
        <v>0</v>
      </c>
      <c r="V10420" s="22">
        <f>3.38/5</f>
        <v>0.67599999999999993</v>
      </c>
      <c r="X10420" s="3">
        <v>2</v>
      </c>
      <c r="AB10420" s="18">
        <f t="shared" si="324"/>
        <v>1987</v>
      </c>
      <c r="AC10420" s="22">
        <f t="shared" si="325"/>
        <v>0.53800000000000003</v>
      </c>
    </row>
    <row r="10421" spans="1:29">
      <c r="A10421" s="8" t="s">
        <v>175</v>
      </c>
      <c r="B10421" s="17" t="s">
        <v>7734</v>
      </c>
      <c r="C10421" s="12">
        <v>32021</v>
      </c>
      <c r="D10421" s="13" t="s">
        <v>8465</v>
      </c>
      <c r="E10421" s="10" t="s">
        <v>144</v>
      </c>
      <c r="F10421" s="10" t="s">
        <v>229</v>
      </c>
      <c r="H10421" s="2" t="s">
        <v>21</v>
      </c>
      <c r="L10421" s="18">
        <v>0</v>
      </c>
      <c r="Q10421" s="18">
        <v>0</v>
      </c>
      <c r="V10421" s="22">
        <f>3.17/5</f>
        <v>0.63400000000000001</v>
      </c>
      <c r="X10421" s="3">
        <v>2</v>
      </c>
      <c r="AB10421" s="18">
        <f t="shared" si="324"/>
        <v>1987</v>
      </c>
      <c r="AC10421" s="22">
        <f t="shared" si="325"/>
        <v>0.51700000000000002</v>
      </c>
    </row>
    <row r="10422" spans="1:29">
      <c r="A10422" s="8" t="s">
        <v>174</v>
      </c>
      <c r="B10422" s="17" t="s">
        <v>7734</v>
      </c>
      <c r="C10422" s="12">
        <v>32021</v>
      </c>
      <c r="D10422" s="13" t="s">
        <v>8465</v>
      </c>
      <c r="E10422" s="10" t="s">
        <v>160</v>
      </c>
      <c r="F10422" s="10" t="s">
        <v>158</v>
      </c>
      <c r="G10422" s="11" t="s">
        <v>174</v>
      </c>
      <c r="H10422" s="2" t="s">
        <v>21</v>
      </c>
      <c r="L10422" s="18">
        <v>0</v>
      </c>
      <c r="Q10422" s="18">
        <v>0</v>
      </c>
      <c r="V10422" s="22">
        <f>3.15/5</f>
        <v>0.63</v>
      </c>
      <c r="X10422" s="3">
        <v>2</v>
      </c>
      <c r="Z10422" s="23">
        <v>1</v>
      </c>
      <c r="AB10422" s="18">
        <f t="shared" si="324"/>
        <v>1987</v>
      </c>
      <c r="AC10422" s="22">
        <f t="shared" si="325"/>
        <v>0.51500000000000001</v>
      </c>
    </row>
    <row r="10423" spans="1:29">
      <c r="A10423" s="8" t="s">
        <v>15641</v>
      </c>
      <c r="B10423" s="17" t="s">
        <v>7734</v>
      </c>
      <c r="C10423" s="12">
        <v>32021</v>
      </c>
      <c r="D10423" s="13" t="s">
        <v>8465</v>
      </c>
      <c r="E10423" s="10" t="s">
        <v>154</v>
      </c>
      <c r="F10423" s="10" t="s">
        <v>14464</v>
      </c>
      <c r="G10423" s="11" t="s">
        <v>15641</v>
      </c>
      <c r="H10423" s="2" t="s">
        <v>1170</v>
      </c>
      <c r="L10423" s="18">
        <v>0</v>
      </c>
      <c r="Q10423" s="18">
        <v>0</v>
      </c>
      <c r="V10423" s="22">
        <f>2.97/5</f>
        <v>0.59400000000000008</v>
      </c>
      <c r="X10423" s="3">
        <v>2</v>
      </c>
      <c r="Z10423" s="23">
        <v>1</v>
      </c>
      <c r="AB10423" s="18">
        <f t="shared" si="324"/>
        <v>1987</v>
      </c>
      <c r="AC10423" s="22">
        <f t="shared" si="325"/>
        <v>0.49700000000000005</v>
      </c>
    </row>
    <row r="10424" spans="1:29">
      <c r="A10424" s="8" t="s">
        <v>2838</v>
      </c>
      <c r="B10424" s="17" t="s">
        <v>7787</v>
      </c>
      <c r="C10424" s="13">
        <v>32011</v>
      </c>
      <c r="D10424" s="13" t="s">
        <v>8463</v>
      </c>
      <c r="E10424" s="10" t="s">
        <v>72</v>
      </c>
      <c r="F10424" s="10" t="s">
        <v>72</v>
      </c>
      <c r="G10424" s="11" t="s">
        <v>123</v>
      </c>
      <c r="H10424" s="2" t="s">
        <v>21</v>
      </c>
      <c r="K10424" s="18">
        <v>0</v>
      </c>
      <c r="L10424" s="18">
        <v>0</v>
      </c>
      <c r="Q10424" s="18">
        <v>0</v>
      </c>
      <c r="V10424" s="22">
        <f>3.88/5</f>
        <v>0.77600000000000002</v>
      </c>
      <c r="X10424" s="3">
        <v>3</v>
      </c>
      <c r="Z10424" s="23">
        <f>57/60</f>
        <v>0.95</v>
      </c>
      <c r="AB10424" s="18">
        <f t="shared" si="324"/>
        <v>1987</v>
      </c>
      <c r="AC10424" s="22">
        <f t="shared" si="325"/>
        <v>0.68799999999999994</v>
      </c>
    </row>
    <row r="10425" spans="1:29" ht="30">
      <c r="A10425" s="8" t="s">
        <v>306</v>
      </c>
      <c r="B10425" s="17" t="s">
        <v>7735</v>
      </c>
      <c r="C10425" s="13">
        <v>32000</v>
      </c>
      <c r="D10425" s="13" t="s">
        <v>8463</v>
      </c>
      <c r="E10425" s="10" t="s">
        <v>72</v>
      </c>
      <c r="F10425" s="10" t="s">
        <v>72</v>
      </c>
      <c r="H10425" s="2" t="s">
        <v>64</v>
      </c>
      <c r="K10425" s="18">
        <v>2</v>
      </c>
      <c r="L10425" s="18">
        <v>0</v>
      </c>
      <c r="Q10425" s="18">
        <v>0</v>
      </c>
      <c r="V10425" s="22">
        <f>3.91/5</f>
        <v>0.78200000000000003</v>
      </c>
      <c r="X10425" s="3">
        <v>2</v>
      </c>
      <c r="AB10425" s="18">
        <f t="shared" si="324"/>
        <v>1987</v>
      </c>
      <c r="AC10425" s="22">
        <f t="shared" si="325"/>
        <v>0.59099999999999997</v>
      </c>
    </row>
    <row r="10426" spans="1:29">
      <c r="A10426" s="8" t="s">
        <v>364</v>
      </c>
      <c r="B10426" s="17" t="s">
        <v>6317</v>
      </c>
      <c r="C10426" s="12">
        <v>31990</v>
      </c>
      <c r="D10426" s="13" t="s">
        <v>8465</v>
      </c>
      <c r="E10426" s="10" t="s">
        <v>73</v>
      </c>
      <c r="F10426" s="10" t="s">
        <v>73</v>
      </c>
      <c r="G10426" s="11" t="s">
        <v>364</v>
      </c>
      <c r="H10426" s="2" t="s">
        <v>56</v>
      </c>
      <c r="L10426" s="18">
        <v>0</v>
      </c>
      <c r="Q10426" s="18">
        <v>0</v>
      </c>
      <c r="V10426" s="22">
        <f>3.5/5</f>
        <v>0.7</v>
      </c>
      <c r="X10426" s="3">
        <v>2</v>
      </c>
      <c r="Z10426" s="23">
        <v>0.62</v>
      </c>
      <c r="AB10426" s="18">
        <f t="shared" si="324"/>
        <v>1987</v>
      </c>
      <c r="AC10426" s="22">
        <f t="shared" si="325"/>
        <v>0.55000000000000004</v>
      </c>
    </row>
    <row r="10427" spans="1:29" ht="25.5">
      <c r="A10427" s="8" t="s">
        <v>2841</v>
      </c>
      <c r="B10427" s="17" t="s">
        <v>7788</v>
      </c>
      <c r="C10427" s="13">
        <v>31988</v>
      </c>
      <c r="D10427" s="13" t="s">
        <v>8463</v>
      </c>
      <c r="E10427" s="10" t="s">
        <v>72</v>
      </c>
      <c r="F10427" s="10" t="s">
        <v>72</v>
      </c>
      <c r="G10427" s="11" t="s">
        <v>1242</v>
      </c>
      <c r="H10427" s="2" t="s">
        <v>80</v>
      </c>
      <c r="K10427" s="18">
        <v>2</v>
      </c>
      <c r="L10427" s="18">
        <v>0</v>
      </c>
      <c r="Q10427" s="18">
        <v>0</v>
      </c>
      <c r="V10427" s="22">
        <f>4.06/5</f>
        <v>0.81199999999999994</v>
      </c>
      <c r="X10427" s="3">
        <v>2</v>
      </c>
      <c r="Z10427" s="23">
        <v>2.5</v>
      </c>
      <c r="AB10427" s="18">
        <f t="shared" si="324"/>
        <v>1987</v>
      </c>
      <c r="AC10427" s="22">
        <f t="shared" si="325"/>
        <v>0.60599999999999998</v>
      </c>
    </row>
    <row r="10428" spans="1:29">
      <c r="A10428" s="8" t="s">
        <v>272</v>
      </c>
      <c r="B10428" s="17" t="s">
        <v>7734</v>
      </c>
      <c r="C10428" s="13">
        <v>31988</v>
      </c>
      <c r="D10428" s="13" t="s">
        <v>8463</v>
      </c>
      <c r="E10428" s="10" t="s">
        <v>250</v>
      </c>
      <c r="F10428" s="10" t="s">
        <v>250</v>
      </c>
      <c r="H10428" s="2" t="s">
        <v>171</v>
      </c>
      <c r="K10428" s="18">
        <v>2</v>
      </c>
      <c r="L10428" s="18">
        <v>0</v>
      </c>
      <c r="Q10428" s="18">
        <v>0</v>
      </c>
      <c r="V10428" s="22">
        <f>2.95/5</f>
        <v>0.59000000000000008</v>
      </c>
      <c r="X10428" s="3">
        <v>2</v>
      </c>
      <c r="AB10428" s="18">
        <f t="shared" si="324"/>
        <v>1987</v>
      </c>
      <c r="AC10428" s="22">
        <f t="shared" si="325"/>
        <v>0.49500000000000005</v>
      </c>
    </row>
    <row r="10429" spans="1:29" ht="30">
      <c r="A10429" s="8" t="s">
        <v>14037</v>
      </c>
      <c r="B10429" s="17" t="s">
        <v>7735</v>
      </c>
      <c r="C10429" s="13">
        <v>31982</v>
      </c>
      <c r="D10429" s="13" t="s">
        <v>8463</v>
      </c>
      <c r="E10429" s="10" t="s">
        <v>9060</v>
      </c>
      <c r="F10429" s="10" t="s">
        <v>9060</v>
      </c>
      <c r="H10429" s="2" t="s">
        <v>149</v>
      </c>
      <c r="K10429" s="18">
        <v>2</v>
      </c>
      <c r="L10429" s="18">
        <v>0</v>
      </c>
      <c r="Q10429" s="18">
        <v>0</v>
      </c>
      <c r="V10429" s="22">
        <f>3/5</f>
        <v>0.6</v>
      </c>
      <c r="X10429" s="3">
        <v>2</v>
      </c>
      <c r="Z10429" s="23">
        <v>9</v>
      </c>
      <c r="AB10429" s="18">
        <f t="shared" si="324"/>
        <v>1987</v>
      </c>
      <c r="AC10429" s="22">
        <f t="shared" si="325"/>
        <v>0.5</v>
      </c>
    </row>
    <row r="10430" spans="1:29">
      <c r="A10430" s="8" t="s">
        <v>220</v>
      </c>
      <c r="B10430" s="17" t="s">
        <v>7788</v>
      </c>
      <c r="C10430" s="13">
        <v>31971</v>
      </c>
      <c r="D10430" s="13" t="s">
        <v>8463</v>
      </c>
      <c r="E10430" s="10" t="s">
        <v>72</v>
      </c>
      <c r="F10430" s="10" t="s">
        <v>72</v>
      </c>
      <c r="G10430" s="11" t="s">
        <v>220</v>
      </c>
      <c r="H10430" s="2" t="s">
        <v>245</v>
      </c>
      <c r="K10430" s="18">
        <v>2</v>
      </c>
      <c r="L10430" s="18">
        <v>0</v>
      </c>
      <c r="Q10430" s="18">
        <v>0</v>
      </c>
      <c r="V10430" s="22">
        <f>3.69/5</f>
        <v>0.73799999999999999</v>
      </c>
      <c r="X10430" s="3">
        <v>4</v>
      </c>
      <c r="Z10430" s="23">
        <v>4</v>
      </c>
      <c r="AB10430" s="18">
        <f t="shared" si="324"/>
        <v>1987</v>
      </c>
      <c r="AC10430" s="22">
        <f t="shared" si="325"/>
        <v>0.76900000000000002</v>
      </c>
    </row>
    <row r="10431" spans="1:29">
      <c r="A10431" s="8" t="s">
        <v>292</v>
      </c>
      <c r="B10431" s="17" t="s">
        <v>7734</v>
      </c>
      <c r="C10431" s="13">
        <v>31965</v>
      </c>
      <c r="D10431" s="13" t="s">
        <v>8463</v>
      </c>
      <c r="E10431" s="10" t="s">
        <v>72</v>
      </c>
      <c r="F10431" s="10" t="s">
        <v>72</v>
      </c>
      <c r="H10431" s="2" t="s">
        <v>171</v>
      </c>
      <c r="K10431" s="18">
        <v>2</v>
      </c>
      <c r="L10431" s="18">
        <v>0</v>
      </c>
      <c r="Q10431" s="18">
        <v>0</v>
      </c>
      <c r="V10431" s="22">
        <f>3.95/5</f>
        <v>0.79</v>
      </c>
      <c r="X10431" s="3">
        <v>2</v>
      </c>
      <c r="Z10431" s="23">
        <v>4.5</v>
      </c>
      <c r="AB10431" s="18">
        <f t="shared" si="324"/>
        <v>1987</v>
      </c>
      <c r="AC10431" s="22">
        <f t="shared" si="325"/>
        <v>0.59499999999999997</v>
      </c>
    </row>
    <row r="10432" spans="1:29" ht="38.25">
      <c r="A10432" s="8" t="s">
        <v>6790</v>
      </c>
      <c r="B10432" s="17" t="s">
        <v>7800</v>
      </c>
      <c r="C10432" s="13">
        <v>31963</v>
      </c>
      <c r="D10432" s="13" t="s">
        <v>8465</v>
      </c>
      <c r="E10432" s="10" t="s">
        <v>1496</v>
      </c>
      <c r="F10432" s="10" t="s">
        <v>1496</v>
      </c>
      <c r="G10432" s="11" t="s">
        <v>6897</v>
      </c>
      <c r="H10432" s="2" t="s">
        <v>67</v>
      </c>
      <c r="L10432" s="18">
        <v>0</v>
      </c>
      <c r="Q10432" s="18">
        <v>0</v>
      </c>
      <c r="U10432" s="22">
        <v>0.81</v>
      </c>
      <c r="V10432" s="22">
        <f>3.81/5</f>
        <v>0.76200000000000001</v>
      </c>
      <c r="X10432" s="3">
        <v>2</v>
      </c>
      <c r="Z10432" s="23">
        <v>3</v>
      </c>
      <c r="AB10432" s="18">
        <f t="shared" si="324"/>
        <v>1987</v>
      </c>
      <c r="AC10432" s="22">
        <f t="shared" si="325"/>
        <v>0.65733333333333333</v>
      </c>
    </row>
    <row r="10433" spans="1:29">
      <c r="A10433" s="8" t="s">
        <v>194</v>
      </c>
      <c r="B10433" s="17" t="s">
        <v>7734</v>
      </c>
      <c r="C10433" s="12">
        <v>31959</v>
      </c>
      <c r="D10433" s="13" t="s">
        <v>8465</v>
      </c>
      <c r="E10433" s="10" t="s">
        <v>76</v>
      </c>
      <c r="F10433" s="10" t="s">
        <v>76</v>
      </c>
      <c r="G10433" s="11" t="s">
        <v>194</v>
      </c>
      <c r="H10433" s="2" t="s">
        <v>80</v>
      </c>
      <c r="L10433" s="18">
        <v>0</v>
      </c>
      <c r="Q10433" s="18">
        <v>0</v>
      </c>
      <c r="V10433" s="22">
        <f>3.6/5</f>
        <v>0.72</v>
      </c>
      <c r="X10433" s="3">
        <v>3</v>
      </c>
      <c r="Z10433" s="23">
        <v>1</v>
      </c>
      <c r="AB10433" s="18">
        <f t="shared" ref="AB10433:AB10496" si="326">IFERROR(YEAR(C10433), "Early Access")</f>
        <v>1987</v>
      </c>
      <c r="AC10433" s="22">
        <f t="shared" ref="AC10433:AC10496" si="327">AVERAGE(T10433, U10433, V10433, IF(ISBLANK(X10433), X10433, X10433/5))</f>
        <v>0.65999999999999992</v>
      </c>
    </row>
    <row r="10434" spans="1:29">
      <c r="A10434" s="8" t="s">
        <v>357</v>
      </c>
      <c r="B10434" s="17" t="s">
        <v>6317</v>
      </c>
      <c r="C10434" s="12">
        <v>31959</v>
      </c>
      <c r="D10434" s="13" t="s">
        <v>8463</v>
      </c>
      <c r="E10434" s="10" t="s">
        <v>455</v>
      </c>
      <c r="F10434" s="10" t="s">
        <v>456</v>
      </c>
      <c r="G10434" s="11" t="s">
        <v>357</v>
      </c>
      <c r="H10434" s="2" t="s">
        <v>7594</v>
      </c>
      <c r="K10434" s="18">
        <v>0</v>
      </c>
      <c r="L10434" s="18">
        <v>0</v>
      </c>
      <c r="Q10434" s="18">
        <v>0</v>
      </c>
      <c r="V10434" s="22">
        <f>3.36/5</f>
        <v>0.67199999999999993</v>
      </c>
      <c r="X10434" s="3">
        <v>3</v>
      </c>
      <c r="Z10434" s="23">
        <v>0.78</v>
      </c>
      <c r="AB10434" s="18">
        <f t="shared" si="326"/>
        <v>1987</v>
      </c>
      <c r="AC10434" s="22">
        <f t="shared" si="327"/>
        <v>0.6359999999999999</v>
      </c>
    </row>
    <row r="10435" spans="1:29">
      <c r="A10435" s="8" t="s">
        <v>243</v>
      </c>
      <c r="B10435" s="17" t="s">
        <v>7734</v>
      </c>
      <c r="C10435" s="12">
        <v>31959</v>
      </c>
      <c r="D10435" s="13" t="s">
        <v>8465</v>
      </c>
      <c r="E10435" s="10" t="s">
        <v>73</v>
      </c>
      <c r="F10435" s="10" t="s">
        <v>73</v>
      </c>
      <c r="G10435" s="11" t="s">
        <v>243</v>
      </c>
      <c r="H10435" s="2" t="s">
        <v>21</v>
      </c>
      <c r="L10435" s="18">
        <v>0</v>
      </c>
      <c r="Q10435" s="18">
        <v>0</v>
      </c>
      <c r="V10435" s="22">
        <f>3.14/5</f>
        <v>0.628</v>
      </c>
      <c r="X10435" s="3">
        <v>2</v>
      </c>
      <c r="Z10435" s="23">
        <v>0.82</v>
      </c>
      <c r="AB10435" s="18">
        <f t="shared" si="326"/>
        <v>1987</v>
      </c>
      <c r="AC10435" s="22">
        <f t="shared" si="327"/>
        <v>0.51400000000000001</v>
      </c>
    </row>
    <row r="10436" spans="1:29" ht="25.5">
      <c r="A10436" s="8" t="s">
        <v>355</v>
      </c>
      <c r="B10436" s="17" t="s">
        <v>6317</v>
      </c>
      <c r="C10436" s="12">
        <v>31929</v>
      </c>
      <c r="D10436" s="13" t="s">
        <v>8465</v>
      </c>
      <c r="E10436" s="10" t="s">
        <v>73</v>
      </c>
      <c r="F10436" s="10" t="s">
        <v>73</v>
      </c>
      <c r="G10436" s="11" t="s">
        <v>441</v>
      </c>
      <c r="H10436" s="2" t="s">
        <v>21</v>
      </c>
      <c r="L10436" s="18">
        <v>0</v>
      </c>
      <c r="Q10436" s="18">
        <v>0</v>
      </c>
      <c r="V10436" s="22">
        <f>3.33/5</f>
        <v>0.66600000000000004</v>
      </c>
      <c r="X10436" s="3">
        <v>3</v>
      </c>
      <c r="Z10436" s="23">
        <v>0.57999999999999996</v>
      </c>
      <c r="AB10436" s="18">
        <f t="shared" si="326"/>
        <v>1987</v>
      </c>
      <c r="AC10436" s="22">
        <f t="shared" si="327"/>
        <v>0.63300000000000001</v>
      </c>
    </row>
    <row r="10437" spans="1:29">
      <c r="A10437" s="8" t="s">
        <v>13463</v>
      </c>
      <c r="B10437" s="17" t="s">
        <v>7800</v>
      </c>
      <c r="C10437" s="12">
        <v>31929</v>
      </c>
      <c r="D10437" s="13" t="s">
        <v>8465</v>
      </c>
      <c r="E10437" s="10" t="s">
        <v>166</v>
      </c>
      <c r="F10437" s="10" t="s">
        <v>166</v>
      </c>
      <c r="G10437" s="11" t="s">
        <v>13460</v>
      </c>
      <c r="H10437" s="2" t="s">
        <v>2826</v>
      </c>
      <c r="L10437" s="18">
        <v>0</v>
      </c>
      <c r="Q10437" s="18">
        <v>0</v>
      </c>
      <c r="V10437" s="22">
        <f>3.7/5</f>
        <v>0.74</v>
      </c>
      <c r="X10437" s="3">
        <v>2</v>
      </c>
      <c r="Z10437" s="23">
        <f>30/60</f>
        <v>0.5</v>
      </c>
      <c r="AB10437" s="18">
        <f t="shared" si="326"/>
        <v>1987</v>
      </c>
      <c r="AC10437" s="22">
        <f t="shared" si="327"/>
        <v>0.57000000000000006</v>
      </c>
    </row>
    <row r="10438" spans="1:29">
      <c r="A10438" s="8" t="s">
        <v>15</v>
      </c>
      <c r="B10438" s="17" t="s">
        <v>6317</v>
      </c>
      <c r="C10438" s="12">
        <v>31929</v>
      </c>
      <c r="D10438" s="13" t="s">
        <v>8465</v>
      </c>
      <c r="E10438" s="10" t="s">
        <v>73</v>
      </c>
      <c r="F10438" s="10" t="s">
        <v>73</v>
      </c>
      <c r="G10438" s="11" t="s">
        <v>15</v>
      </c>
      <c r="H10438" s="2" t="s">
        <v>56</v>
      </c>
      <c r="L10438" s="18">
        <v>0</v>
      </c>
      <c r="Q10438" s="18">
        <v>0</v>
      </c>
      <c r="V10438" s="22">
        <f>2.84/5</f>
        <v>0.56799999999999995</v>
      </c>
      <c r="X10438" s="3">
        <v>3</v>
      </c>
      <c r="Z10438" s="23">
        <v>2</v>
      </c>
      <c r="AB10438" s="18">
        <f t="shared" si="326"/>
        <v>1987</v>
      </c>
      <c r="AC10438" s="22">
        <f t="shared" si="327"/>
        <v>0.58399999999999996</v>
      </c>
    </row>
    <row r="10439" spans="1:29" ht="30">
      <c r="A10439" s="8" t="s">
        <v>14522</v>
      </c>
      <c r="B10439" s="17" t="s">
        <v>7735</v>
      </c>
      <c r="C10439" s="13">
        <v>31891</v>
      </c>
      <c r="D10439" s="13" t="s">
        <v>8463</v>
      </c>
      <c r="E10439" s="10" t="s">
        <v>72</v>
      </c>
      <c r="F10439" s="10" t="s">
        <v>72</v>
      </c>
      <c r="H10439" s="2" t="s">
        <v>80</v>
      </c>
      <c r="K10439" s="18">
        <v>2</v>
      </c>
      <c r="L10439" s="18">
        <v>0</v>
      </c>
      <c r="Q10439" s="18">
        <v>0</v>
      </c>
      <c r="V10439" s="22">
        <f>3.86/5</f>
        <v>0.77200000000000002</v>
      </c>
      <c r="X10439" s="3">
        <v>2</v>
      </c>
      <c r="AB10439" s="18">
        <f t="shared" si="326"/>
        <v>1987</v>
      </c>
      <c r="AC10439" s="22">
        <f t="shared" si="327"/>
        <v>0.58600000000000008</v>
      </c>
    </row>
    <row r="10440" spans="1:29" ht="25.5">
      <c r="A10440" s="8" t="s">
        <v>7650</v>
      </c>
      <c r="B10440" s="17" t="s">
        <v>7787</v>
      </c>
      <c r="C10440" s="13">
        <v>31885</v>
      </c>
      <c r="D10440" s="13" t="s">
        <v>8463</v>
      </c>
      <c r="E10440" s="10" t="s">
        <v>72</v>
      </c>
      <c r="F10440" s="10" t="s">
        <v>72</v>
      </c>
      <c r="G10440" s="11" t="s">
        <v>7649</v>
      </c>
      <c r="H10440" s="2" t="s">
        <v>151</v>
      </c>
      <c r="K10440" s="18">
        <v>0</v>
      </c>
      <c r="L10440" s="18">
        <v>0</v>
      </c>
      <c r="Q10440" s="18">
        <v>0</v>
      </c>
      <c r="V10440" s="22">
        <f>4.17/5</f>
        <v>0.83399999999999996</v>
      </c>
      <c r="X10440" s="3">
        <v>2</v>
      </c>
      <c r="AB10440" s="18">
        <f t="shared" si="326"/>
        <v>1987</v>
      </c>
      <c r="AC10440" s="22">
        <f t="shared" si="327"/>
        <v>0.61699999999999999</v>
      </c>
    </row>
    <row r="10441" spans="1:29" ht="30">
      <c r="A10441" s="8" t="s">
        <v>8943</v>
      </c>
      <c r="B10441" s="17" t="s">
        <v>7735</v>
      </c>
      <c r="C10441" s="13">
        <v>31877</v>
      </c>
      <c r="D10441" s="13" t="s">
        <v>8463</v>
      </c>
      <c r="E10441" s="10" t="s">
        <v>1234</v>
      </c>
      <c r="F10441" s="10" t="s">
        <v>1234</v>
      </c>
      <c r="H10441" s="2" t="s">
        <v>80</v>
      </c>
      <c r="K10441" s="18">
        <v>0</v>
      </c>
      <c r="L10441" s="18">
        <v>0</v>
      </c>
      <c r="Q10441" s="18">
        <v>0</v>
      </c>
      <c r="V10441" s="22">
        <f>2.88/5</f>
        <v>0.57599999999999996</v>
      </c>
      <c r="X10441" s="3">
        <v>2</v>
      </c>
      <c r="AB10441" s="18">
        <f t="shared" si="326"/>
        <v>1987</v>
      </c>
      <c r="AC10441" s="22">
        <f t="shared" si="327"/>
        <v>0.48799999999999999</v>
      </c>
    </row>
    <row r="10442" spans="1:29">
      <c r="A10442" s="8" t="s">
        <v>15181</v>
      </c>
      <c r="B10442" s="17" t="s">
        <v>7734</v>
      </c>
      <c r="C10442" s="12">
        <v>31868</v>
      </c>
      <c r="D10442" s="13" t="s">
        <v>8465</v>
      </c>
      <c r="E10442" s="10" t="s">
        <v>72</v>
      </c>
      <c r="F10442" s="10" t="s">
        <v>72</v>
      </c>
      <c r="G10442" s="11" t="s">
        <v>15181</v>
      </c>
      <c r="H10442" s="2" t="s">
        <v>147</v>
      </c>
      <c r="L10442" s="18">
        <v>0</v>
      </c>
      <c r="Q10442" s="18">
        <v>0</v>
      </c>
      <c r="V10442" s="22">
        <f>3.25/5</f>
        <v>0.65</v>
      </c>
      <c r="X10442" s="3">
        <v>2</v>
      </c>
      <c r="Z10442" s="23">
        <f>37/60</f>
        <v>0.6166666666666667</v>
      </c>
      <c r="AB10442" s="18">
        <f t="shared" si="326"/>
        <v>1987</v>
      </c>
      <c r="AC10442" s="22">
        <f t="shared" si="327"/>
        <v>0.52500000000000002</v>
      </c>
    </row>
    <row r="10443" spans="1:29" ht="30">
      <c r="A10443" s="8" t="s">
        <v>300</v>
      </c>
      <c r="B10443" s="17" t="s">
        <v>7735</v>
      </c>
      <c r="C10443" s="13">
        <v>31828</v>
      </c>
      <c r="D10443" s="13" t="s">
        <v>8463</v>
      </c>
      <c r="E10443" s="10" t="s">
        <v>72</v>
      </c>
      <c r="F10443" s="10" t="s">
        <v>72</v>
      </c>
      <c r="G10443" s="11" t="s">
        <v>300</v>
      </c>
      <c r="H10443" s="2" t="s">
        <v>171</v>
      </c>
      <c r="K10443" s="18">
        <v>2</v>
      </c>
      <c r="L10443" s="18">
        <v>0</v>
      </c>
      <c r="Q10443" s="18">
        <v>0</v>
      </c>
      <c r="V10443" s="22">
        <f>3.45/5</f>
        <v>0.69000000000000006</v>
      </c>
      <c r="X10443" s="3">
        <v>3</v>
      </c>
      <c r="AB10443" s="18">
        <f t="shared" si="326"/>
        <v>1987</v>
      </c>
      <c r="AC10443" s="22">
        <f t="shared" si="327"/>
        <v>0.64500000000000002</v>
      </c>
    </row>
    <row r="10444" spans="1:29">
      <c r="A10444" s="8" t="s">
        <v>15449</v>
      </c>
      <c r="B10444" s="17" t="s">
        <v>6317</v>
      </c>
      <c r="C10444" s="12">
        <v>31809</v>
      </c>
      <c r="D10444" s="13" t="s">
        <v>8465</v>
      </c>
      <c r="E10444" s="10" t="s">
        <v>73</v>
      </c>
      <c r="F10444" s="10" t="s">
        <v>73</v>
      </c>
      <c r="H10444" s="2" t="s">
        <v>153</v>
      </c>
      <c r="L10444" s="18">
        <v>0</v>
      </c>
      <c r="Q10444" s="18">
        <v>0</v>
      </c>
      <c r="V10444" s="22">
        <f>2.35/5</f>
        <v>0.47000000000000003</v>
      </c>
      <c r="X10444" s="3">
        <v>2</v>
      </c>
      <c r="AB10444" s="18">
        <f t="shared" si="326"/>
        <v>1987</v>
      </c>
      <c r="AC10444" s="22">
        <f t="shared" si="327"/>
        <v>0.43500000000000005</v>
      </c>
    </row>
    <row r="10445" spans="1:29" ht="30">
      <c r="A10445" s="8" t="s">
        <v>88</v>
      </c>
      <c r="B10445" s="17" t="s">
        <v>7735</v>
      </c>
      <c r="C10445" s="13">
        <v>31791</v>
      </c>
      <c r="D10445" s="13" t="s">
        <v>8463</v>
      </c>
      <c r="E10445" s="10" t="s">
        <v>86</v>
      </c>
      <c r="F10445" s="10" t="s">
        <v>87</v>
      </c>
      <c r="G10445" s="11" t="s">
        <v>85</v>
      </c>
      <c r="H10445" s="2" t="s">
        <v>80</v>
      </c>
      <c r="K10445" s="18">
        <v>0</v>
      </c>
      <c r="L10445" s="18">
        <v>1</v>
      </c>
      <c r="M10445" s="14" t="s">
        <v>10622</v>
      </c>
      <c r="N10445" s="13">
        <v>43558</v>
      </c>
      <c r="O10445" s="29">
        <v>15.99</v>
      </c>
      <c r="P10445" s="18" t="s">
        <v>14</v>
      </c>
      <c r="Q10445" s="18">
        <v>0</v>
      </c>
      <c r="V10445" s="22">
        <f>3.57/5</f>
        <v>0.71399999999999997</v>
      </c>
      <c r="X10445" s="3">
        <v>2</v>
      </c>
      <c r="Z10445" s="23">
        <v>11</v>
      </c>
      <c r="AB10445" s="18">
        <f t="shared" si="326"/>
        <v>1987</v>
      </c>
      <c r="AC10445" s="22">
        <f t="shared" si="327"/>
        <v>0.55699999999999994</v>
      </c>
    </row>
    <row r="10446" spans="1:29">
      <c r="A10446" s="8" t="s">
        <v>404</v>
      </c>
      <c r="B10446" s="17" t="s">
        <v>6317</v>
      </c>
      <c r="C10446" s="12">
        <v>31778</v>
      </c>
      <c r="D10446" s="13" t="s">
        <v>8465</v>
      </c>
      <c r="E10446" s="10" t="s">
        <v>86</v>
      </c>
      <c r="F10446" s="10" t="s">
        <v>144</v>
      </c>
      <c r="G10446" s="11" t="s">
        <v>404</v>
      </c>
      <c r="H10446" s="2" t="s">
        <v>21</v>
      </c>
      <c r="L10446" s="18">
        <v>0</v>
      </c>
      <c r="Q10446" s="18">
        <v>0</v>
      </c>
      <c r="V10446" s="22">
        <f>3.84/5</f>
        <v>0.76800000000000002</v>
      </c>
      <c r="X10446" s="3">
        <v>3</v>
      </c>
      <c r="Z10446" s="23">
        <v>1</v>
      </c>
      <c r="AB10446" s="18">
        <f t="shared" si="326"/>
        <v>1987</v>
      </c>
      <c r="AC10446" s="22">
        <f t="shared" si="327"/>
        <v>0.68399999999999994</v>
      </c>
    </row>
    <row r="10447" spans="1:29" ht="38.25">
      <c r="A10447" s="8" t="s">
        <v>6803</v>
      </c>
      <c r="B10447" s="17" t="s">
        <v>7800</v>
      </c>
      <c r="C10447" s="12">
        <v>31778</v>
      </c>
      <c r="D10447" s="13" t="s">
        <v>8465</v>
      </c>
      <c r="E10447" s="10" t="s">
        <v>1496</v>
      </c>
      <c r="F10447" s="10" t="s">
        <v>1496</v>
      </c>
      <c r="G10447" s="11" t="s">
        <v>6901</v>
      </c>
      <c r="H10447" s="2" t="s">
        <v>67</v>
      </c>
      <c r="L10447" s="18">
        <v>1</v>
      </c>
      <c r="N10447" s="13">
        <v>43956</v>
      </c>
      <c r="O10447" s="29">
        <v>0</v>
      </c>
      <c r="P10447" s="18" t="s">
        <v>1107</v>
      </c>
      <c r="Q10447" s="18">
        <v>0</v>
      </c>
      <c r="U10447" s="22">
        <v>0.75</v>
      </c>
      <c r="V10447" s="22">
        <f>3.71/5</f>
        <v>0.74199999999999999</v>
      </c>
      <c r="W10447" s="14" t="s">
        <v>7777</v>
      </c>
      <c r="X10447" s="3">
        <v>3</v>
      </c>
      <c r="Z10447" s="23">
        <v>6</v>
      </c>
      <c r="AB10447" s="18">
        <f t="shared" si="326"/>
        <v>1987</v>
      </c>
      <c r="AC10447" s="22">
        <f t="shared" si="327"/>
        <v>0.69733333333333336</v>
      </c>
    </row>
    <row r="10448" spans="1:29">
      <c r="A10448" s="8" t="s">
        <v>2407</v>
      </c>
      <c r="B10448" s="17" t="s">
        <v>6317</v>
      </c>
      <c r="C10448" s="12">
        <v>31778</v>
      </c>
      <c r="D10448" s="13" t="s">
        <v>8465</v>
      </c>
      <c r="E10448" s="10" t="s">
        <v>455</v>
      </c>
      <c r="F10448" s="10" t="s">
        <v>476</v>
      </c>
      <c r="G10448" s="11" t="s">
        <v>2407</v>
      </c>
      <c r="H10448" s="2" t="s">
        <v>1059</v>
      </c>
      <c r="L10448" s="18">
        <v>0</v>
      </c>
      <c r="Q10448" s="18">
        <v>0</v>
      </c>
      <c r="V10448" s="22">
        <f>3.62/5</f>
        <v>0.72399999999999998</v>
      </c>
      <c r="X10448" s="3">
        <v>3</v>
      </c>
      <c r="Z10448" s="23">
        <v>1.5</v>
      </c>
      <c r="AB10448" s="18">
        <f t="shared" si="326"/>
        <v>1987</v>
      </c>
      <c r="AC10448" s="22">
        <f t="shared" si="327"/>
        <v>0.66199999999999992</v>
      </c>
    </row>
    <row r="10449" spans="1:29" ht="25.5">
      <c r="A10449" s="8" t="s">
        <v>6836</v>
      </c>
      <c r="B10449" s="17" t="s">
        <v>7800</v>
      </c>
      <c r="C10449" s="12">
        <v>31778</v>
      </c>
      <c r="D10449" s="13" t="s">
        <v>8465</v>
      </c>
      <c r="E10449" s="10" t="s">
        <v>6885</v>
      </c>
      <c r="F10449" s="10" t="s">
        <v>6885</v>
      </c>
      <c r="G10449" s="11" t="s">
        <v>5566</v>
      </c>
      <c r="H10449" s="2" t="s">
        <v>1720</v>
      </c>
      <c r="L10449" s="18">
        <v>0</v>
      </c>
      <c r="Q10449" s="18">
        <v>0</v>
      </c>
      <c r="V10449" s="22">
        <f>3.55/5</f>
        <v>0.71</v>
      </c>
      <c r="X10449" s="3">
        <v>3</v>
      </c>
      <c r="AB10449" s="18">
        <f t="shared" si="326"/>
        <v>1987</v>
      </c>
      <c r="AC10449" s="22">
        <f t="shared" si="327"/>
        <v>0.65500000000000003</v>
      </c>
    </row>
    <row r="10450" spans="1:29">
      <c r="A10450" s="8" t="s">
        <v>7535</v>
      </c>
      <c r="B10450" s="17" t="s">
        <v>7800</v>
      </c>
      <c r="C10450" s="12">
        <v>31778</v>
      </c>
      <c r="D10450" s="13" t="s">
        <v>8465</v>
      </c>
      <c r="E10450" s="10" t="s">
        <v>6668</v>
      </c>
      <c r="F10450" s="10" t="s">
        <v>6668</v>
      </c>
      <c r="G10450" s="11" t="s">
        <v>7534</v>
      </c>
      <c r="H10450" s="2" t="s">
        <v>69</v>
      </c>
      <c r="L10450" s="18">
        <v>0</v>
      </c>
      <c r="Q10450" s="18">
        <v>0</v>
      </c>
      <c r="V10450" s="22">
        <f>4.41/5</f>
        <v>0.88200000000000001</v>
      </c>
      <c r="X10450" s="3">
        <v>2</v>
      </c>
      <c r="AB10450" s="18">
        <f t="shared" si="326"/>
        <v>1987</v>
      </c>
      <c r="AC10450" s="22">
        <f t="shared" si="327"/>
        <v>0.64100000000000001</v>
      </c>
    </row>
    <row r="10451" spans="1:29" ht="30">
      <c r="A10451" s="8" t="s">
        <v>1727</v>
      </c>
      <c r="B10451" s="17" t="s">
        <v>7750</v>
      </c>
      <c r="C10451" s="12">
        <v>31778</v>
      </c>
      <c r="D10451" s="13" t="s">
        <v>8465</v>
      </c>
      <c r="E10451" s="10" t="s">
        <v>455</v>
      </c>
      <c r="F10451" s="10" t="s">
        <v>455</v>
      </c>
      <c r="G10451" s="11" t="s">
        <v>1727</v>
      </c>
      <c r="H10451" s="2" t="s">
        <v>64</v>
      </c>
      <c r="L10451" s="18">
        <v>0</v>
      </c>
      <c r="Q10451" s="18">
        <v>0</v>
      </c>
      <c r="V10451" s="22">
        <f>3.4/5</f>
        <v>0.67999999999999994</v>
      </c>
      <c r="X10451" s="3">
        <v>3</v>
      </c>
      <c r="Z10451" s="23">
        <v>2.5</v>
      </c>
      <c r="AB10451" s="18">
        <f t="shared" si="326"/>
        <v>1987</v>
      </c>
      <c r="AC10451" s="22">
        <f t="shared" si="327"/>
        <v>0.6399999999999999</v>
      </c>
    </row>
    <row r="10452" spans="1:29">
      <c r="A10452" s="8" t="s">
        <v>13526</v>
      </c>
      <c r="B10452" s="17" t="s">
        <v>13527</v>
      </c>
      <c r="C10452" s="24">
        <v>31778</v>
      </c>
      <c r="D10452" s="13" t="s">
        <v>8465</v>
      </c>
      <c r="E10452" s="10" t="s">
        <v>13528</v>
      </c>
      <c r="F10452" s="10" t="s">
        <v>13528</v>
      </c>
      <c r="G10452" s="11" t="s">
        <v>13526</v>
      </c>
      <c r="H10452" s="2" t="s">
        <v>1377</v>
      </c>
      <c r="L10452" s="18">
        <v>0</v>
      </c>
      <c r="Q10452" s="18">
        <v>0</v>
      </c>
      <c r="V10452" s="22">
        <f>4.23/5</f>
        <v>0.84600000000000009</v>
      </c>
      <c r="X10452" s="3">
        <v>2</v>
      </c>
      <c r="Z10452" s="23">
        <v>15.5</v>
      </c>
      <c r="AB10452" s="18">
        <f t="shared" si="326"/>
        <v>1987</v>
      </c>
      <c r="AC10452" s="22">
        <f t="shared" si="327"/>
        <v>0.623</v>
      </c>
    </row>
    <row r="10453" spans="1:29">
      <c r="A10453" s="8" t="s">
        <v>13880</v>
      </c>
      <c r="B10453" s="17" t="s">
        <v>7800</v>
      </c>
      <c r="C10453" s="24">
        <v>31778</v>
      </c>
      <c r="D10453" s="13" t="s">
        <v>8465</v>
      </c>
      <c r="E10453" s="10" t="s">
        <v>13888</v>
      </c>
      <c r="F10453" s="10" t="s">
        <v>13889</v>
      </c>
      <c r="G10453" s="11" t="s">
        <v>13880</v>
      </c>
      <c r="H10453" s="2" t="s">
        <v>78</v>
      </c>
      <c r="L10453" s="18">
        <v>0</v>
      </c>
      <c r="Q10453" s="18">
        <v>0</v>
      </c>
      <c r="V10453" s="22">
        <f>4.2/5</f>
        <v>0.84000000000000008</v>
      </c>
      <c r="X10453" s="3">
        <v>2</v>
      </c>
      <c r="AB10453" s="18">
        <f t="shared" si="326"/>
        <v>1987</v>
      </c>
      <c r="AC10453" s="22">
        <f t="shared" si="327"/>
        <v>0.62000000000000011</v>
      </c>
    </row>
    <row r="10454" spans="1:29">
      <c r="A10454" s="8" t="s">
        <v>14521</v>
      </c>
      <c r="B10454" s="17" t="s">
        <v>7787</v>
      </c>
      <c r="C10454" s="24">
        <v>31778</v>
      </c>
      <c r="D10454" s="13" t="s">
        <v>8463</v>
      </c>
      <c r="E10454" s="10" t="s">
        <v>72</v>
      </c>
      <c r="F10454" s="10" t="s">
        <v>72</v>
      </c>
      <c r="G10454" s="11" t="s">
        <v>14520</v>
      </c>
      <c r="H10454" s="2" t="s">
        <v>21</v>
      </c>
      <c r="K10454" s="18">
        <v>0</v>
      </c>
      <c r="L10454" s="18">
        <v>0</v>
      </c>
      <c r="Q10454" s="18">
        <v>0</v>
      </c>
      <c r="V10454" s="22">
        <f>4.13/5</f>
        <v>0.82599999999999996</v>
      </c>
      <c r="X10454" s="3">
        <v>2</v>
      </c>
      <c r="Z10454" s="23">
        <v>4.5</v>
      </c>
      <c r="AB10454" s="18">
        <f t="shared" si="326"/>
        <v>1987</v>
      </c>
      <c r="AC10454" s="22">
        <f t="shared" si="327"/>
        <v>0.61299999999999999</v>
      </c>
    </row>
    <row r="10455" spans="1:29">
      <c r="A10455" s="8" t="s">
        <v>12618</v>
      </c>
      <c r="B10455" s="17" t="s">
        <v>7800</v>
      </c>
      <c r="C10455" s="24">
        <v>31778</v>
      </c>
      <c r="D10455" s="13" t="s">
        <v>8465</v>
      </c>
      <c r="E10455" s="10" t="s">
        <v>6884</v>
      </c>
      <c r="F10455" s="10" t="s">
        <v>6884</v>
      </c>
      <c r="G10455" s="11" t="s">
        <v>12618</v>
      </c>
      <c r="H10455" s="2" t="s">
        <v>80</v>
      </c>
      <c r="L10455" s="18">
        <v>1</v>
      </c>
      <c r="P10455" s="18" t="s">
        <v>1107</v>
      </c>
      <c r="Q10455" s="18">
        <v>0</v>
      </c>
      <c r="V10455" s="22">
        <f>4.08/5</f>
        <v>0.81600000000000006</v>
      </c>
      <c r="W10455" s="14" t="s">
        <v>7777</v>
      </c>
      <c r="X10455" s="3">
        <v>2</v>
      </c>
      <c r="Z10455" s="23">
        <v>4.5</v>
      </c>
      <c r="AB10455" s="18">
        <f t="shared" si="326"/>
        <v>1987</v>
      </c>
      <c r="AC10455" s="22">
        <f t="shared" si="327"/>
        <v>0.6080000000000001</v>
      </c>
    </row>
    <row r="10456" spans="1:29" ht="25.5">
      <c r="A10456" s="8" t="s">
        <v>6823</v>
      </c>
      <c r="B10456" s="17" t="s">
        <v>7800</v>
      </c>
      <c r="C10456" s="12">
        <v>31778</v>
      </c>
      <c r="D10456" s="13" t="s">
        <v>8465</v>
      </c>
      <c r="E10456" s="10" t="s">
        <v>1784</v>
      </c>
      <c r="F10456" s="10" t="s">
        <v>1784</v>
      </c>
      <c r="G10456" s="11" t="s">
        <v>1785</v>
      </c>
      <c r="H10456" s="2" t="s">
        <v>1720</v>
      </c>
      <c r="L10456" s="18">
        <v>0</v>
      </c>
      <c r="Q10456" s="18">
        <v>0</v>
      </c>
      <c r="V10456" s="22">
        <f>3.02/5</f>
        <v>0.60399999999999998</v>
      </c>
      <c r="X10456" s="3">
        <v>3</v>
      </c>
      <c r="Z10456" s="23">
        <v>5.5</v>
      </c>
      <c r="AB10456" s="18">
        <f t="shared" si="326"/>
        <v>1987</v>
      </c>
      <c r="AC10456" s="22">
        <f t="shared" si="327"/>
        <v>0.60199999999999998</v>
      </c>
    </row>
    <row r="10457" spans="1:29" ht="25.5">
      <c r="A10457" s="8" t="s">
        <v>13936</v>
      </c>
      <c r="B10457" s="17" t="s">
        <v>7787</v>
      </c>
      <c r="C10457" s="24">
        <v>31778</v>
      </c>
      <c r="D10457" s="13" t="s">
        <v>8463</v>
      </c>
      <c r="E10457" s="10" t="s">
        <v>1427</v>
      </c>
      <c r="F10457" s="10" t="s">
        <v>1427</v>
      </c>
      <c r="G10457" s="11" t="s">
        <v>13935</v>
      </c>
      <c r="H10457" s="2" t="s">
        <v>56</v>
      </c>
      <c r="K10457" s="18">
        <v>2</v>
      </c>
      <c r="L10457" s="18">
        <v>0</v>
      </c>
      <c r="Q10457" s="18">
        <v>0</v>
      </c>
      <c r="V10457" s="22">
        <f>4/5</f>
        <v>0.8</v>
      </c>
      <c r="X10457" s="3">
        <v>2</v>
      </c>
      <c r="AB10457" s="18">
        <f t="shared" si="326"/>
        <v>1987</v>
      </c>
      <c r="AC10457" s="22">
        <f t="shared" si="327"/>
        <v>0.60000000000000009</v>
      </c>
    </row>
    <row r="10458" spans="1:29">
      <c r="A10458" s="8" t="s">
        <v>16</v>
      </c>
      <c r="B10458" s="17" t="s">
        <v>7800</v>
      </c>
      <c r="C10458" s="13">
        <v>31778</v>
      </c>
      <c r="D10458" s="13" t="s">
        <v>8465</v>
      </c>
      <c r="E10458" s="10" t="s">
        <v>3625</v>
      </c>
      <c r="F10458" s="10" t="s">
        <v>146</v>
      </c>
      <c r="G10458" s="11" t="s">
        <v>16</v>
      </c>
      <c r="H10458" s="2" t="s">
        <v>67</v>
      </c>
      <c r="L10458" s="18">
        <v>1</v>
      </c>
      <c r="N10458" s="13">
        <v>42047</v>
      </c>
      <c r="P10458" s="18" t="s">
        <v>1107</v>
      </c>
      <c r="Q10458" s="18">
        <v>0</v>
      </c>
      <c r="U10458" s="22">
        <v>0.8</v>
      </c>
      <c r="V10458" s="22">
        <f>3.85/5</f>
        <v>0.77</v>
      </c>
      <c r="W10458" s="14" t="s">
        <v>7777</v>
      </c>
      <c r="X10458" s="3">
        <v>2</v>
      </c>
      <c r="Z10458" s="23">
        <v>2</v>
      </c>
      <c r="AB10458" s="18">
        <f t="shared" si="326"/>
        <v>1987</v>
      </c>
      <c r="AC10458" s="22">
        <f t="shared" si="327"/>
        <v>0.65666666666666673</v>
      </c>
    </row>
    <row r="10459" spans="1:29" ht="25.5">
      <c r="A10459" s="8" t="s">
        <v>14514</v>
      </c>
      <c r="B10459" s="17" t="s">
        <v>7767</v>
      </c>
      <c r="C10459" s="24">
        <v>31778</v>
      </c>
      <c r="D10459" s="13" t="s">
        <v>8465</v>
      </c>
      <c r="E10459" s="10" t="s">
        <v>1260</v>
      </c>
      <c r="F10459" s="10" t="s">
        <v>14515</v>
      </c>
      <c r="G10459" s="11" t="s">
        <v>2289</v>
      </c>
      <c r="H10459" s="2" t="s">
        <v>64</v>
      </c>
      <c r="L10459" s="18">
        <v>0</v>
      </c>
      <c r="Q10459" s="18">
        <v>0</v>
      </c>
      <c r="V10459" s="22">
        <f>3.9/5</f>
        <v>0.78</v>
      </c>
      <c r="X10459" s="3">
        <v>2</v>
      </c>
      <c r="Z10459" s="23">
        <v>1.5</v>
      </c>
      <c r="AB10459" s="18">
        <f t="shared" si="326"/>
        <v>1987</v>
      </c>
      <c r="AC10459" s="22">
        <f t="shared" si="327"/>
        <v>0.59000000000000008</v>
      </c>
    </row>
    <row r="10460" spans="1:29" ht="30">
      <c r="A10460" s="8" t="s">
        <v>2495</v>
      </c>
      <c r="B10460" s="17" t="s">
        <v>7750</v>
      </c>
      <c r="C10460" s="12">
        <v>31778</v>
      </c>
      <c r="D10460" s="13" t="s">
        <v>8465</v>
      </c>
      <c r="E10460" s="10" t="s">
        <v>455</v>
      </c>
      <c r="F10460" s="10" t="s">
        <v>455</v>
      </c>
      <c r="G10460" s="11" t="s">
        <v>2500</v>
      </c>
      <c r="H10460" s="2" t="s">
        <v>21</v>
      </c>
      <c r="L10460" s="18">
        <v>0</v>
      </c>
      <c r="Q10460" s="18">
        <v>0</v>
      </c>
      <c r="V10460" s="22">
        <f>3.76/5</f>
        <v>0.752</v>
      </c>
      <c r="X10460" s="3">
        <v>2</v>
      </c>
      <c r="Z10460" s="23">
        <v>1.5</v>
      </c>
      <c r="AB10460" s="18">
        <f t="shared" si="326"/>
        <v>1987</v>
      </c>
      <c r="AC10460" s="22">
        <f t="shared" si="327"/>
        <v>0.57600000000000007</v>
      </c>
    </row>
    <row r="10461" spans="1:29">
      <c r="A10461" s="8" t="s">
        <v>15182</v>
      </c>
      <c r="B10461" s="17" t="s">
        <v>7767</v>
      </c>
      <c r="C10461" s="24">
        <v>31778</v>
      </c>
      <c r="D10461" s="13" t="s">
        <v>8465</v>
      </c>
      <c r="E10461" s="10" t="s">
        <v>2836</v>
      </c>
      <c r="F10461" s="10" t="s">
        <v>15183</v>
      </c>
      <c r="H10461" s="2" t="s">
        <v>151</v>
      </c>
      <c r="L10461" s="18">
        <v>0</v>
      </c>
      <c r="Q10461" s="18">
        <v>0</v>
      </c>
      <c r="V10461" s="22">
        <f>3.58/5</f>
        <v>0.71599999999999997</v>
      </c>
      <c r="X10461" s="3">
        <v>2</v>
      </c>
      <c r="AB10461" s="18">
        <f t="shared" si="326"/>
        <v>1987</v>
      </c>
      <c r="AC10461" s="22">
        <f t="shared" si="327"/>
        <v>0.55800000000000005</v>
      </c>
    </row>
    <row r="10462" spans="1:29" ht="25.5">
      <c r="A10462" s="8" t="s">
        <v>13932</v>
      </c>
      <c r="B10462" s="17" t="s">
        <v>7787</v>
      </c>
      <c r="C10462" s="24">
        <v>31778</v>
      </c>
      <c r="D10462" s="13" t="s">
        <v>8463</v>
      </c>
      <c r="E10462" s="10" t="s">
        <v>13933</v>
      </c>
      <c r="F10462" s="10" t="s">
        <v>13934</v>
      </c>
      <c r="G10462" s="11" t="s">
        <v>13935</v>
      </c>
      <c r="H10462" s="2" t="s">
        <v>56</v>
      </c>
      <c r="K10462" s="18">
        <v>0</v>
      </c>
      <c r="L10462" s="18">
        <v>0</v>
      </c>
      <c r="Q10462" s="18">
        <v>0</v>
      </c>
      <c r="V10462" s="22">
        <f>3.5/5</f>
        <v>0.7</v>
      </c>
      <c r="X10462" s="3">
        <v>2</v>
      </c>
      <c r="AB10462" s="18">
        <f t="shared" si="326"/>
        <v>1987</v>
      </c>
      <c r="AC10462" s="22">
        <f t="shared" si="327"/>
        <v>0.55000000000000004</v>
      </c>
    </row>
    <row r="10463" spans="1:29" ht="30">
      <c r="A10463" s="8" t="s">
        <v>13906</v>
      </c>
      <c r="B10463" s="17" t="s">
        <v>13893</v>
      </c>
      <c r="C10463" s="24">
        <v>31778</v>
      </c>
      <c r="D10463" s="13" t="s">
        <v>8465</v>
      </c>
      <c r="E10463" s="10" t="s">
        <v>13907</v>
      </c>
      <c r="F10463" s="10" t="s">
        <v>11783</v>
      </c>
      <c r="G10463" s="11" t="s">
        <v>445</v>
      </c>
      <c r="H10463" s="2" t="s">
        <v>171</v>
      </c>
      <c r="L10463" s="18">
        <v>0</v>
      </c>
      <c r="Q10463" s="18">
        <v>0</v>
      </c>
      <c r="V10463" s="22">
        <f>3.48/5</f>
        <v>0.69599999999999995</v>
      </c>
      <c r="X10463" s="3">
        <v>2</v>
      </c>
      <c r="AB10463" s="18">
        <f t="shared" si="326"/>
        <v>1987</v>
      </c>
      <c r="AC10463" s="22">
        <f t="shared" si="327"/>
        <v>0.54800000000000004</v>
      </c>
    </row>
    <row r="10464" spans="1:29">
      <c r="A10464" s="8" t="s">
        <v>14877</v>
      </c>
      <c r="B10464" s="17" t="s">
        <v>7787</v>
      </c>
      <c r="C10464" s="24">
        <v>31778</v>
      </c>
      <c r="D10464" s="13" t="s">
        <v>8463</v>
      </c>
      <c r="E10464" s="10" t="s">
        <v>9060</v>
      </c>
      <c r="F10464" s="10" t="s">
        <v>9060</v>
      </c>
      <c r="G10464" s="11" t="s">
        <v>442</v>
      </c>
      <c r="H10464" s="2" t="s">
        <v>56</v>
      </c>
      <c r="K10464" s="18">
        <v>0</v>
      </c>
      <c r="L10464" s="18">
        <v>0</v>
      </c>
      <c r="Q10464" s="18">
        <v>0</v>
      </c>
      <c r="V10464" s="22">
        <f>3.4/5</f>
        <v>0.67999999999999994</v>
      </c>
      <c r="X10464" s="3">
        <v>2</v>
      </c>
      <c r="AB10464" s="18">
        <f t="shared" si="326"/>
        <v>1987</v>
      </c>
      <c r="AC10464" s="22">
        <f t="shared" si="327"/>
        <v>0.54</v>
      </c>
    </row>
    <row r="10465" spans="1:29">
      <c r="A10465" s="8" t="s">
        <v>403</v>
      </c>
      <c r="B10465" s="17" t="s">
        <v>6317</v>
      </c>
      <c r="C10465" s="12">
        <v>31778</v>
      </c>
      <c r="D10465" s="13" t="s">
        <v>8465</v>
      </c>
      <c r="E10465" s="10" t="s">
        <v>54</v>
      </c>
      <c r="F10465" s="10" t="s">
        <v>54</v>
      </c>
      <c r="G10465" s="11" t="s">
        <v>403</v>
      </c>
      <c r="H10465" s="2" t="s">
        <v>56</v>
      </c>
      <c r="L10465" s="18">
        <v>0</v>
      </c>
      <c r="Q10465" s="18">
        <v>0</v>
      </c>
      <c r="V10465" s="22">
        <f>3.37/5</f>
        <v>0.67400000000000004</v>
      </c>
      <c r="X10465" s="3">
        <v>2</v>
      </c>
      <c r="Z10465" s="23">
        <v>0.97</v>
      </c>
      <c r="AB10465" s="18">
        <f t="shared" si="326"/>
        <v>1987</v>
      </c>
      <c r="AC10465" s="22">
        <f t="shared" si="327"/>
        <v>0.53700000000000003</v>
      </c>
    </row>
    <row r="10466" spans="1:29" ht="25.5">
      <c r="A10466" s="8" t="s">
        <v>13937</v>
      </c>
      <c r="B10466" s="17" t="s">
        <v>7787</v>
      </c>
      <c r="C10466" s="24">
        <v>31778</v>
      </c>
      <c r="D10466" s="13" t="s">
        <v>8463</v>
      </c>
      <c r="E10466" s="10" t="s">
        <v>13933</v>
      </c>
      <c r="F10466" s="10" t="s">
        <v>1200</v>
      </c>
      <c r="G10466" s="11" t="s">
        <v>13935</v>
      </c>
      <c r="H10466" s="2" t="s">
        <v>56</v>
      </c>
      <c r="K10466" s="18">
        <v>2</v>
      </c>
      <c r="L10466" s="18">
        <v>0</v>
      </c>
      <c r="Q10466" s="18">
        <v>0</v>
      </c>
      <c r="V10466" s="22">
        <f>3.25/5</f>
        <v>0.65</v>
      </c>
      <c r="X10466" s="3">
        <v>2</v>
      </c>
      <c r="AB10466" s="18">
        <f t="shared" si="326"/>
        <v>1987</v>
      </c>
      <c r="AC10466" s="22">
        <f t="shared" si="327"/>
        <v>0.52500000000000002</v>
      </c>
    </row>
    <row r="10467" spans="1:29">
      <c r="A10467" s="8" t="s">
        <v>347</v>
      </c>
      <c r="B10467" s="17" t="s">
        <v>6317</v>
      </c>
      <c r="C10467" s="12">
        <v>31778</v>
      </c>
      <c r="D10467" s="13" t="s">
        <v>8465</v>
      </c>
      <c r="E10467" s="10" t="s">
        <v>76</v>
      </c>
      <c r="F10467" s="10" t="s">
        <v>76</v>
      </c>
      <c r="H10467" s="2" t="s">
        <v>21</v>
      </c>
      <c r="L10467" s="18">
        <v>0</v>
      </c>
      <c r="Q10467" s="18">
        <v>0</v>
      </c>
      <c r="V10467" s="22">
        <f>3.1/5</f>
        <v>0.62</v>
      </c>
      <c r="X10467" s="3">
        <v>2</v>
      </c>
      <c r="Z10467" s="23">
        <f>30/60</f>
        <v>0.5</v>
      </c>
      <c r="AB10467" s="18">
        <f t="shared" si="326"/>
        <v>1987</v>
      </c>
      <c r="AC10467" s="22">
        <f t="shared" si="327"/>
        <v>0.51</v>
      </c>
    </row>
    <row r="10468" spans="1:29" ht="30">
      <c r="A10468" s="8" t="s">
        <v>13571</v>
      </c>
      <c r="B10468" s="17" t="s">
        <v>7767</v>
      </c>
      <c r="C10468" s="24">
        <v>31778</v>
      </c>
      <c r="D10468" s="13" t="s">
        <v>8467</v>
      </c>
      <c r="E10468" s="10" t="s">
        <v>13572</v>
      </c>
      <c r="F10468" s="10" t="s">
        <v>13573</v>
      </c>
      <c r="G10468" s="11" t="s">
        <v>13571</v>
      </c>
      <c r="H10468" s="2" t="s">
        <v>21</v>
      </c>
      <c r="L10468" s="18">
        <v>0</v>
      </c>
      <c r="Q10468" s="18">
        <v>0</v>
      </c>
      <c r="V10468" s="22">
        <f>3/5</f>
        <v>0.6</v>
      </c>
      <c r="X10468" s="3">
        <v>2</v>
      </c>
      <c r="AB10468" s="18">
        <f t="shared" si="326"/>
        <v>1987</v>
      </c>
      <c r="AC10468" s="22">
        <f t="shared" si="327"/>
        <v>0.5</v>
      </c>
    </row>
    <row r="10469" spans="1:29">
      <c r="A10469" s="8" t="s">
        <v>227</v>
      </c>
      <c r="B10469" s="17" t="s">
        <v>6317</v>
      </c>
      <c r="C10469" s="12">
        <v>31778</v>
      </c>
      <c r="D10469" s="13" t="s">
        <v>8465</v>
      </c>
      <c r="E10469" s="10" t="s">
        <v>73</v>
      </c>
      <c r="F10469" s="10" t="s">
        <v>73</v>
      </c>
      <c r="G10469" s="11" t="s">
        <v>227</v>
      </c>
      <c r="H10469" s="2" t="s">
        <v>459</v>
      </c>
      <c r="L10469" s="18">
        <v>0</v>
      </c>
      <c r="Q10469" s="18">
        <v>0</v>
      </c>
      <c r="V10469" s="22">
        <f>2.46/5</f>
        <v>0.49199999999999999</v>
      </c>
      <c r="X10469" s="3">
        <v>2</v>
      </c>
      <c r="Z10469" s="23">
        <v>0.83</v>
      </c>
      <c r="AB10469" s="18">
        <f t="shared" si="326"/>
        <v>1987</v>
      </c>
      <c r="AC10469" s="22">
        <f t="shared" si="327"/>
        <v>0.44600000000000001</v>
      </c>
    </row>
    <row r="10470" spans="1:29" ht="25.5">
      <c r="A10470" s="8" t="s">
        <v>15186</v>
      </c>
      <c r="B10470" s="17" t="s">
        <v>15185</v>
      </c>
      <c r="C10470" s="24">
        <v>31778</v>
      </c>
      <c r="D10470" s="13" t="s">
        <v>8467</v>
      </c>
      <c r="E10470" s="10" t="s">
        <v>15153</v>
      </c>
      <c r="F10470" s="10" t="s">
        <v>15153</v>
      </c>
      <c r="G10470" s="11" t="s">
        <v>15184</v>
      </c>
      <c r="H10470" s="2" t="s">
        <v>151</v>
      </c>
      <c r="L10470" s="18">
        <v>0</v>
      </c>
      <c r="Q10470" s="18">
        <v>0</v>
      </c>
      <c r="X10470" s="3">
        <v>2</v>
      </c>
      <c r="AB10470" s="18">
        <f t="shared" si="326"/>
        <v>1987</v>
      </c>
      <c r="AC10470" s="22">
        <f t="shared" si="327"/>
        <v>0.4</v>
      </c>
    </row>
    <row r="10471" spans="1:29">
      <c r="A10471" s="8" t="s">
        <v>89</v>
      </c>
      <c r="B10471" s="17" t="s">
        <v>7734</v>
      </c>
      <c r="C10471" s="12">
        <v>32112</v>
      </c>
      <c r="D10471" s="13" t="s">
        <v>8465</v>
      </c>
      <c r="E10471" s="10" t="s">
        <v>73</v>
      </c>
      <c r="F10471" s="10" t="s">
        <v>73</v>
      </c>
      <c r="G10471" s="11" t="s">
        <v>89</v>
      </c>
      <c r="H10471" s="2" t="s">
        <v>56</v>
      </c>
      <c r="L10471" s="18">
        <v>0</v>
      </c>
      <c r="Q10471" s="18">
        <v>1</v>
      </c>
      <c r="T10471" s="22">
        <v>0.8</v>
      </c>
      <c r="V10471" s="22">
        <f>3.74/5</f>
        <v>0.748</v>
      </c>
      <c r="Y10471" s="18">
        <v>1</v>
      </c>
      <c r="AB10471" s="18">
        <f t="shared" si="326"/>
        <v>1987</v>
      </c>
      <c r="AC10471" s="22">
        <f t="shared" si="327"/>
        <v>0.77400000000000002</v>
      </c>
    </row>
    <row r="10472" spans="1:29" ht="30">
      <c r="A10472" s="8" t="s">
        <v>85</v>
      </c>
      <c r="B10472" s="17" t="s">
        <v>7734</v>
      </c>
      <c r="C10472" s="13">
        <v>32011</v>
      </c>
      <c r="D10472" s="13" t="s">
        <v>8465</v>
      </c>
      <c r="E10472" s="10" t="s">
        <v>86</v>
      </c>
      <c r="F10472" s="10" t="s">
        <v>87</v>
      </c>
      <c r="G10472" s="11" t="s">
        <v>85</v>
      </c>
      <c r="H10472" s="2" t="s">
        <v>80</v>
      </c>
      <c r="L10472" s="18">
        <v>1</v>
      </c>
      <c r="M10472" s="14" t="s">
        <v>10622</v>
      </c>
      <c r="N10472" s="13">
        <v>43309</v>
      </c>
      <c r="O10472" s="29">
        <v>29.95</v>
      </c>
      <c r="P10472" s="18" t="s">
        <v>14</v>
      </c>
      <c r="Q10472" s="18">
        <v>1</v>
      </c>
      <c r="T10472" s="22">
        <v>0.7</v>
      </c>
      <c r="V10472" s="22">
        <f>4.2/5</f>
        <v>0.84000000000000008</v>
      </c>
      <c r="W10472" s="14" t="s">
        <v>10777</v>
      </c>
      <c r="AB10472" s="18">
        <f t="shared" si="326"/>
        <v>1987</v>
      </c>
      <c r="AC10472" s="22">
        <f t="shared" si="327"/>
        <v>0.77</v>
      </c>
    </row>
    <row r="10473" spans="1:29">
      <c r="A10473" s="8" t="s">
        <v>109</v>
      </c>
      <c r="B10473" s="17" t="s">
        <v>7734</v>
      </c>
      <c r="C10473" s="13">
        <v>32004</v>
      </c>
      <c r="D10473" s="13" t="s">
        <v>8465</v>
      </c>
      <c r="E10473" s="10" t="s">
        <v>86</v>
      </c>
      <c r="F10473" s="10" t="s">
        <v>142</v>
      </c>
      <c r="G10473" s="11" t="s">
        <v>109</v>
      </c>
      <c r="H10473" s="2" t="s">
        <v>151</v>
      </c>
      <c r="L10473" s="18">
        <v>0</v>
      </c>
      <c r="Q10473" s="18">
        <v>1</v>
      </c>
      <c r="T10473" s="22">
        <v>0.8</v>
      </c>
      <c r="V10473" s="22">
        <f>3.81/5</f>
        <v>0.76200000000000001</v>
      </c>
      <c r="Y10473" s="18">
        <v>1</v>
      </c>
      <c r="AB10473" s="18">
        <f t="shared" si="326"/>
        <v>1987</v>
      </c>
      <c r="AC10473" s="22">
        <f t="shared" si="327"/>
        <v>0.78100000000000003</v>
      </c>
    </row>
    <row r="10474" spans="1:29">
      <c r="A10474" s="8" t="s">
        <v>111</v>
      </c>
      <c r="B10474" s="17" t="s">
        <v>6317</v>
      </c>
      <c r="C10474" s="12">
        <v>31959</v>
      </c>
      <c r="D10474" s="13" t="s">
        <v>8465</v>
      </c>
      <c r="E10474" s="10" t="s">
        <v>54</v>
      </c>
      <c r="F10474" s="10" t="s">
        <v>155</v>
      </c>
      <c r="G10474" s="11" t="s">
        <v>111</v>
      </c>
      <c r="H10474" s="2" t="s">
        <v>153</v>
      </c>
      <c r="L10474" s="18">
        <v>0</v>
      </c>
      <c r="Q10474" s="18">
        <v>1</v>
      </c>
      <c r="T10474" s="22">
        <v>0.7</v>
      </c>
      <c r="V10474" s="22">
        <f>3.61/5</f>
        <v>0.72199999999999998</v>
      </c>
      <c r="AB10474" s="18">
        <f t="shared" si="326"/>
        <v>1987</v>
      </c>
      <c r="AC10474" s="22">
        <f t="shared" si="327"/>
        <v>0.71099999999999997</v>
      </c>
    </row>
    <row r="10475" spans="1:29">
      <c r="A10475" s="8" t="s">
        <v>110</v>
      </c>
      <c r="B10475" s="17" t="s">
        <v>7734</v>
      </c>
      <c r="C10475" s="13">
        <v>31959</v>
      </c>
      <c r="D10475" s="13" t="s">
        <v>8465</v>
      </c>
      <c r="E10475" s="10" t="s">
        <v>86</v>
      </c>
      <c r="F10475" s="10" t="s">
        <v>142</v>
      </c>
      <c r="G10475" s="11" t="s">
        <v>110</v>
      </c>
      <c r="H10475" s="2" t="s">
        <v>56</v>
      </c>
      <c r="L10475" s="18">
        <v>0</v>
      </c>
      <c r="Q10475" s="18">
        <v>1</v>
      </c>
      <c r="T10475" s="22">
        <v>0.7</v>
      </c>
      <c r="V10475" s="22">
        <f>3.53/5</f>
        <v>0.70599999999999996</v>
      </c>
      <c r="Y10475" s="18">
        <v>1</v>
      </c>
      <c r="AB10475" s="18">
        <f t="shared" si="326"/>
        <v>1987</v>
      </c>
      <c r="AC10475" s="22">
        <f t="shared" si="327"/>
        <v>0.70299999999999996</v>
      </c>
    </row>
    <row r="10476" spans="1:29">
      <c r="A10476" s="8" t="s">
        <v>113</v>
      </c>
      <c r="B10476" s="17" t="s">
        <v>7734</v>
      </c>
      <c r="C10476" s="13">
        <v>31898</v>
      </c>
      <c r="D10476" s="13" t="s">
        <v>8465</v>
      </c>
      <c r="E10476" s="10" t="s">
        <v>72</v>
      </c>
      <c r="F10476" s="10" t="s">
        <v>72</v>
      </c>
      <c r="G10476" s="11" t="s">
        <v>113</v>
      </c>
      <c r="H10476" s="2" t="s">
        <v>56</v>
      </c>
      <c r="L10476" s="18">
        <v>0</v>
      </c>
      <c r="Q10476" s="18">
        <v>1</v>
      </c>
      <c r="T10476" s="22">
        <v>0.7</v>
      </c>
      <c r="V10476" s="22">
        <f>3.9/5</f>
        <v>0.78</v>
      </c>
      <c r="Y10476" s="18">
        <v>1</v>
      </c>
      <c r="AB10476" s="18">
        <f t="shared" si="326"/>
        <v>1987</v>
      </c>
      <c r="AC10476" s="22">
        <f t="shared" si="327"/>
        <v>0.74</v>
      </c>
    </row>
    <row r="10477" spans="1:29">
      <c r="A10477" s="8" t="s">
        <v>330</v>
      </c>
      <c r="B10477" s="17" t="s">
        <v>6317</v>
      </c>
      <c r="C10477" s="12">
        <v>31809</v>
      </c>
      <c r="D10477" s="13" t="s">
        <v>8463</v>
      </c>
      <c r="E10477" s="10" t="s">
        <v>54</v>
      </c>
      <c r="F10477" s="10" t="s">
        <v>54</v>
      </c>
      <c r="G10477" s="11" t="s">
        <v>330</v>
      </c>
      <c r="H10477" s="2" t="s">
        <v>21</v>
      </c>
      <c r="K10477" s="18">
        <v>0</v>
      </c>
      <c r="L10477" s="18">
        <v>0</v>
      </c>
      <c r="Q10477" s="18">
        <v>1</v>
      </c>
      <c r="T10477" s="22">
        <v>0.6</v>
      </c>
      <c r="V10477" s="22">
        <f>3.49/5</f>
        <v>0.69800000000000006</v>
      </c>
      <c r="AB10477" s="18">
        <f t="shared" si="326"/>
        <v>1987</v>
      </c>
      <c r="AC10477" s="22">
        <f t="shared" si="327"/>
        <v>0.64900000000000002</v>
      </c>
    </row>
    <row r="10478" spans="1:29">
      <c r="A10478" s="8" t="s">
        <v>97</v>
      </c>
      <c r="B10478" s="17" t="s">
        <v>6317</v>
      </c>
      <c r="C10478" s="12">
        <v>31778</v>
      </c>
      <c r="D10478" s="13" t="s">
        <v>8465</v>
      </c>
      <c r="E10478" s="10" t="s">
        <v>72</v>
      </c>
      <c r="F10478" s="10" t="s">
        <v>72</v>
      </c>
      <c r="G10478" s="11" t="s">
        <v>97</v>
      </c>
      <c r="H10478" s="2" t="s">
        <v>147</v>
      </c>
      <c r="L10478" s="18">
        <v>0</v>
      </c>
      <c r="Q10478" s="18">
        <v>1</v>
      </c>
      <c r="T10478" s="22">
        <v>0.7</v>
      </c>
      <c r="V10478" s="22">
        <f>3.68/5</f>
        <v>0.73599999999999999</v>
      </c>
      <c r="AB10478" s="18">
        <f t="shared" si="326"/>
        <v>1987</v>
      </c>
      <c r="AC10478" s="22">
        <f t="shared" si="327"/>
        <v>0.71799999999999997</v>
      </c>
    </row>
    <row r="10479" spans="1:29">
      <c r="A10479" s="8" t="s">
        <v>261</v>
      </c>
      <c r="B10479" s="17" t="s">
        <v>7734</v>
      </c>
      <c r="C10479" s="13">
        <v>31766</v>
      </c>
      <c r="D10479" s="13" t="s">
        <v>8463</v>
      </c>
      <c r="E10479" s="10" t="s">
        <v>1236</v>
      </c>
      <c r="F10479" s="10" t="s">
        <v>1236</v>
      </c>
      <c r="H10479" s="2" t="s">
        <v>147</v>
      </c>
      <c r="K10479" s="18">
        <v>0</v>
      </c>
      <c r="L10479" s="18">
        <v>0</v>
      </c>
      <c r="Q10479" s="18">
        <v>0</v>
      </c>
      <c r="V10479" s="22">
        <f>3.51/5</f>
        <v>0.70199999999999996</v>
      </c>
      <c r="X10479" s="3">
        <v>2</v>
      </c>
      <c r="Z10479" s="23">
        <v>3</v>
      </c>
      <c r="AB10479" s="18">
        <f t="shared" si="326"/>
        <v>1986</v>
      </c>
      <c r="AC10479" s="22">
        <f t="shared" si="327"/>
        <v>0.55099999999999993</v>
      </c>
    </row>
    <row r="10480" spans="1:29">
      <c r="A10480" s="8" t="s">
        <v>8942</v>
      </c>
      <c r="B10480" s="17" t="s">
        <v>7734</v>
      </c>
      <c r="C10480" s="13">
        <v>31764</v>
      </c>
      <c r="D10480" s="13" t="s">
        <v>8463</v>
      </c>
      <c r="E10480" s="10" t="s">
        <v>160</v>
      </c>
      <c r="F10480" s="10" t="s">
        <v>160</v>
      </c>
      <c r="H10480" s="2" t="s">
        <v>80</v>
      </c>
      <c r="K10480" s="18">
        <v>2</v>
      </c>
      <c r="L10480" s="18">
        <v>0</v>
      </c>
      <c r="Q10480" s="18">
        <v>0</v>
      </c>
      <c r="V10480" s="22">
        <f>3.49/5</f>
        <v>0.69800000000000006</v>
      </c>
      <c r="X10480" s="3">
        <v>2</v>
      </c>
      <c r="Z10480" s="23">
        <v>2.5</v>
      </c>
      <c r="AB10480" s="18">
        <f t="shared" si="326"/>
        <v>1986</v>
      </c>
      <c r="AC10480" s="22">
        <f t="shared" si="327"/>
        <v>0.54900000000000004</v>
      </c>
    </row>
    <row r="10481" spans="1:29" ht="30">
      <c r="A10481" s="8" t="s">
        <v>15640</v>
      </c>
      <c r="B10481" s="17" t="s">
        <v>7735</v>
      </c>
      <c r="C10481" s="13">
        <v>31761</v>
      </c>
      <c r="D10481" s="13" t="s">
        <v>8463</v>
      </c>
      <c r="E10481" s="10" t="s">
        <v>9060</v>
      </c>
      <c r="F10481" s="10" t="s">
        <v>14464</v>
      </c>
      <c r="H10481" s="2" t="s">
        <v>67</v>
      </c>
      <c r="K10481" s="18">
        <v>0</v>
      </c>
      <c r="L10481" s="18">
        <v>0</v>
      </c>
      <c r="Q10481" s="18">
        <v>0</v>
      </c>
      <c r="V10481" s="22">
        <f>3.69/5</f>
        <v>0.73799999999999999</v>
      </c>
      <c r="X10481" s="3">
        <v>2</v>
      </c>
      <c r="Z10481" s="23">
        <f>53/60</f>
        <v>0.8833333333333333</v>
      </c>
      <c r="AB10481" s="18">
        <f t="shared" si="326"/>
        <v>1986</v>
      </c>
      <c r="AC10481" s="22">
        <f t="shared" si="327"/>
        <v>0.56899999999999995</v>
      </c>
    </row>
    <row r="10482" spans="1:29" ht="25.5">
      <c r="A10482" s="8" t="s">
        <v>13939</v>
      </c>
      <c r="B10482" s="17" t="s">
        <v>7788</v>
      </c>
      <c r="C10482" s="12">
        <v>31747</v>
      </c>
      <c r="D10482" s="13" t="s">
        <v>8463</v>
      </c>
      <c r="E10482" s="10" t="s">
        <v>72</v>
      </c>
      <c r="F10482" s="10" t="s">
        <v>72</v>
      </c>
      <c r="G10482" s="11" t="s">
        <v>6723</v>
      </c>
      <c r="H10482" s="2" t="s">
        <v>171</v>
      </c>
      <c r="K10482" s="18">
        <v>2</v>
      </c>
      <c r="L10482" s="18">
        <v>0</v>
      </c>
      <c r="Q10482" s="18">
        <v>0</v>
      </c>
      <c r="V10482" s="22">
        <f>3.21/5</f>
        <v>0.64200000000000002</v>
      </c>
      <c r="X10482" s="3">
        <v>2</v>
      </c>
      <c r="AB10482" s="18">
        <f t="shared" si="326"/>
        <v>1986</v>
      </c>
      <c r="AC10482" s="22">
        <f t="shared" si="327"/>
        <v>0.52100000000000002</v>
      </c>
    </row>
    <row r="10483" spans="1:29" ht="30">
      <c r="A10483" s="8" t="s">
        <v>14874</v>
      </c>
      <c r="B10483" s="17" t="s">
        <v>7767</v>
      </c>
      <c r="C10483" s="12">
        <v>31747</v>
      </c>
      <c r="D10483" s="13" t="s">
        <v>8467</v>
      </c>
      <c r="E10483" s="10" t="s">
        <v>14875</v>
      </c>
      <c r="F10483" s="10" t="s">
        <v>14876</v>
      </c>
      <c r="G10483" s="11" t="s">
        <v>442</v>
      </c>
      <c r="H10483" s="2" t="s">
        <v>13395</v>
      </c>
      <c r="L10483" s="18">
        <v>0</v>
      </c>
      <c r="Q10483" s="18">
        <v>0</v>
      </c>
      <c r="V10483" s="22">
        <f>2.62/5</f>
        <v>0.52400000000000002</v>
      </c>
      <c r="X10483" s="3">
        <v>2</v>
      </c>
      <c r="AB10483" s="18">
        <f t="shared" si="326"/>
        <v>1986</v>
      </c>
      <c r="AC10483" s="22">
        <f t="shared" si="327"/>
        <v>0.46200000000000002</v>
      </c>
    </row>
    <row r="10484" spans="1:29" ht="25.5">
      <c r="A10484" s="8" t="s">
        <v>6619</v>
      </c>
      <c r="B10484" s="17" t="s">
        <v>7734</v>
      </c>
      <c r="C10484" s="13">
        <v>31727</v>
      </c>
      <c r="D10484" s="13" t="s">
        <v>8463</v>
      </c>
      <c r="E10484" s="10" t="s">
        <v>76</v>
      </c>
      <c r="F10484" s="10" t="s">
        <v>76</v>
      </c>
      <c r="G10484" s="11" t="s">
        <v>6620</v>
      </c>
      <c r="H10484" s="2" t="s">
        <v>21</v>
      </c>
      <c r="K10484" s="18">
        <v>2</v>
      </c>
      <c r="L10484" s="18">
        <v>0</v>
      </c>
      <c r="Q10484" s="18">
        <v>0</v>
      </c>
      <c r="V10484" s="22">
        <f>3.88/5</f>
        <v>0.77600000000000002</v>
      </c>
      <c r="X10484" s="3">
        <v>2</v>
      </c>
      <c r="AB10484" s="18">
        <f t="shared" si="326"/>
        <v>1986</v>
      </c>
      <c r="AC10484" s="22">
        <f t="shared" si="327"/>
        <v>0.58800000000000008</v>
      </c>
    </row>
    <row r="10485" spans="1:29">
      <c r="A10485" s="8" t="s">
        <v>79</v>
      </c>
      <c r="B10485" s="17" t="s">
        <v>7734</v>
      </c>
      <c r="C10485" s="13">
        <v>31717</v>
      </c>
      <c r="D10485" s="13" t="s">
        <v>8465</v>
      </c>
      <c r="E10485" s="10" t="s">
        <v>73</v>
      </c>
      <c r="F10485" s="10" t="s">
        <v>73</v>
      </c>
      <c r="G10485" s="11" t="s">
        <v>79</v>
      </c>
      <c r="H10485" s="2" t="s">
        <v>56</v>
      </c>
      <c r="L10485" s="18">
        <v>0</v>
      </c>
      <c r="Q10485" s="18">
        <v>0</v>
      </c>
      <c r="V10485" s="22">
        <f>3.14/5</f>
        <v>0.628</v>
      </c>
      <c r="X10485" s="3">
        <v>3</v>
      </c>
      <c r="Z10485" s="23">
        <v>4.5</v>
      </c>
      <c r="AB10485" s="18">
        <f t="shared" si="326"/>
        <v>1986</v>
      </c>
      <c r="AC10485" s="22">
        <f t="shared" si="327"/>
        <v>0.61399999999999999</v>
      </c>
    </row>
    <row r="10486" spans="1:29" ht="30">
      <c r="A10486" s="8" t="s">
        <v>14808</v>
      </c>
      <c r="B10486" s="17" t="s">
        <v>7750</v>
      </c>
      <c r="C10486" s="12">
        <v>31717</v>
      </c>
      <c r="D10486" s="13" t="s">
        <v>8465</v>
      </c>
      <c r="E10486" s="10" t="s">
        <v>455</v>
      </c>
      <c r="F10486" s="10" t="s">
        <v>455</v>
      </c>
      <c r="G10486" s="11" t="s">
        <v>7845</v>
      </c>
      <c r="H10486" s="2" t="s">
        <v>153</v>
      </c>
      <c r="L10486" s="18">
        <v>0</v>
      </c>
      <c r="Q10486" s="18">
        <v>0</v>
      </c>
      <c r="V10486" s="22">
        <f>3.42/5</f>
        <v>0.68399999999999994</v>
      </c>
      <c r="X10486" s="3">
        <v>2</v>
      </c>
      <c r="Z10486" s="23">
        <f>41/60</f>
        <v>0.68333333333333335</v>
      </c>
      <c r="AB10486" s="18">
        <f t="shared" si="326"/>
        <v>1986</v>
      </c>
      <c r="AC10486" s="22">
        <f t="shared" si="327"/>
        <v>0.54200000000000004</v>
      </c>
    </row>
    <row r="10487" spans="1:29">
      <c r="A10487" s="8" t="s">
        <v>2844</v>
      </c>
      <c r="B10487" s="17" t="s">
        <v>7788</v>
      </c>
      <c r="C10487" s="13">
        <v>31715</v>
      </c>
      <c r="D10487" s="13" t="s">
        <v>8463</v>
      </c>
      <c r="E10487" s="10" t="s">
        <v>72</v>
      </c>
      <c r="F10487" s="10" t="s">
        <v>72</v>
      </c>
      <c r="G10487" s="11" t="s">
        <v>113</v>
      </c>
      <c r="H10487" s="2" t="s">
        <v>56</v>
      </c>
      <c r="K10487" s="18">
        <v>0</v>
      </c>
      <c r="L10487" s="18">
        <v>0</v>
      </c>
      <c r="Q10487" s="18">
        <v>0</v>
      </c>
      <c r="V10487" s="22">
        <f>3.47/5</f>
        <v>0.69400000000000006</v>
      </c>
      <c r="X10487" s="3">
        <v>3</v>
      </c>
      <c r="Z10487" s="23">
        <v>1</v>
      </c>
      <c r="AB10487" s="18">
        <f t="shared" si="326"/>
        <v>1986</v>
      </c>
      <c r="AC10487" s="22">
        <f t="shared" si="327"/>
        <v>0.64700000000000002</v>
      </c>
    </row>
    <row r="10488" spans="1:29" ht="38.25">
      <c r="A10488" s="8" t="s">
        <v>6862</v>
      </c>
      <c r="B10488" s="17" t="s">
        <v>7800</v>
      </c>
      <c r="C10488" s="12">
        <v>31686</v>
      </c>
      <c r="D10488" s="13" t="s">
        <v>8465</v>
      </c>
      <c r="E10488" s="10" t="s">
        <v>1496</v>
      </c>
      <c r="F10488" s="10" t="s">
        <v>1496</v>
      </c>
      <c r="G10488" s="11" t="s">
        <v>6903</v>
      </c>
      <c r="H10488" s="2" t="s">
        <v>67</v>
      </c>
      <c r="L10488" s="18">
        <v>1</v>
      </c>
      <c r="N10488" s="13">
        <v>43956</v>
      </c>
      <c r="O10488" s="29">
        <v>0</v>
      </c>
      <c r="P10488" s="18" t="s">
        <v>1107</v>
      </c>
      <c r="Q10488" s="18">
        <v>0</v>
      </c>
      <c r="U10488" s="22">
        <v>0.88</v>
      </c>
      <c r="V10488" s="22">
        <f>3.82/5</f>
        <v>0.76400000000000001</v>
      </c>
      <c r="W10488" s="14" t="s">
        <v>7777</v>
      </c>
      <c r="X10488" s="3">
        <v>3</v>
      </c>
      <c r="Z10488" s="23">
        <v>3.5</v>
      </c>
      <c r="AB10488" s="18">
        <f t="shared" si="326"/>
        <v>1986</v>
      </c>
      <c r="AC10488" s="22">
        <f t="shared" si="327"/>
        <v>0.74800000000000011</v>
      </c>
    </row>
    <row r="10489" spans="1:29">
      <c r="A10489" s="8" t="s">
        <v>407</v>
      </c>
      <c r="B10489" s="17" t="s">
        <v>6317</v>
      </c>
      <c r="C10489" s="12">
        <v>31686</v>
      </c>
      <c r="D10489" s="13" t="s">
        <v>8465</v>
      </c>
      <c r="E10489" s="10" t="s">
        <v>72</v>
      </c>
      <c r="F10489" s="10" t="s">
        <v>72</v>
      </c>
      <c r="G10489" s="11" t="s">
        <v>123</v>
      </c>
      <c r="H10489" s="2" t="s">
        <v>21</v>
      </c>
      <c r="L10489" s="18">
        <v>0</v>
      </c>
      <c r="Q10489" s="18">
        <v>0</v>
      </c>
      <c r="V10489" s="22">
        <f>3.72/5</f>
        <v>0.74399999999999999</v>
      </c>
      <c r="X10489" s="3">
        <v>3</v>
      </c>
      <c r="Z10489" s="23">
        <v>0.5</v>
      </c>
      <c r="AB10489" s="18">
        <f t="shared" si="326"/>
        <v>1986</v>
      </c>
      <c r="AC10489" s="22">
        <f t="shared" si="327"/>
        <v>0.67199999999999993</v>
      </c>
    </row>
    <row r="10490" spans="1:29" ht="25.5">
      <c r="A10490" s="8" t="s">
        <v>6778</v>
      </c>
      <c r="B10490" s="17" t="s">
        <v>7800</v>
      </c>
      <c r="C10490" s="13">
        <v>31686</v>
      </c>
      <c r="D10490" s="13" t="s">
        <v>8465</v>
      </c>
      <c r="E10490" s="10" t="s">
        <v>1496</v>
      </c>
      <c r="F10490" s="10" t="s">
        <v>1496</v>
      </c>
      <c r="G10490" s="11" t="s">
        <v>6895</v>
      </c>
      <c r="H10490" s="2" t="s">
        <v>67</v>
      </c>
      <c r="L10490" s="18">
        <v>1</v>
      </c>
      <c r="N10490" s="13">
        <v>43956</v>
      </c>
      <c r="O10490" s="29">
        <v>0</v>
      </c>
      <c r="P10490" s="18" t="s">
        <v>1107</v>
      </c>
      <c r="Q10490" s="18">
        <v>0</v>
      </c>
      <c r="U10490" s="22">
        <v>0.75</v>
      </c>
      <c r="V10490" s="22">
        <f>3.66/5</f>
        <v>0.73199999999999998</v>
      </c>
      <c r="W10490" s="14" t="s">
        <v>7777</v>
      </c>
      <c r="X10490" s="3">
        <v>3</v>
      </c>
      <c r="Z10490" s="23">
        <v>6</v>
      </c>
      <c r="AB10490" s="18">
        <f t="shared" si="326"/>
        <v>1986</v>
      </c>
      <c r="AC10490" s="22">
        <f t="shared" si="327"/>
        <v>0.69399999999999995</v>
      </c>
    </row>
    <row r="10491" spans="1:29" ht="30">
      <c r="A10491" s="8" t="s">
        <v>14518</v>
      </c>
      <c r="B10491" s="17" t="s">
        <v>14517</v>
      </c>
      <c r="C10491" s="13">
        <v>31682</v>
      </c>
      <c r="D10491" s="13" t="s">
        <v>8463</v>
      </c>
      <c r="E10491" s="10" t="s">
        <v>11883</v>
      </c>
      <c r="F10491" s="10" t="s">
        <v>11883</v>
      </c>
      <c r="G10491" s="11" t="s">
        <v>11042</v>
      </c>
      <c r="H10491" s="2" t="s">
        <v>21</v>
      </c>
      <c r="K10491" s="18">
        <v>0</v>
      </c>
      <c r="L10491" s="18">
        <v>0</v>
      </c>
      <c r="Q10491" s="18">
        <v>0</v>
      </c>
      <c r="V10491" s="22">
        <f>3.12/5</f>
        <v>0.624</v>
      </c>
      <c r="X10491" s="3">
        <v>2</v>
      </c>
      <c r="AB10491" s="18">
        <f t="shared" si="326"/>
        <v>1986</v>
      </c>
      <c r="AC10491" s="22">
        <f t="shared" si="327"/>
        <v>0.51200000000000001</v>
      </c>
    </row>
    <row r="10492" spans="1:29">
      <c r="A10492" s="8" t="s">
        <v>6866</v>
      </c>
      <c r="B10492" s="17" t="s">
        <v>7800</v>
      </c>
      <c r="C10492" s="13">
        <v>31639</v>
      </c>
      <c r="D10492" s="13" t="s">
        <v>8465</v>
      </c>
      <c r="E10492" s="10" t="s">
        <v>231</v>
      </c>
      <c r="F10492" s="10" t="s">
        <v>6915</v>
      </c>
      <c r="H10492" s="2" t="s">
        <v>61</v>
      </c>
      <c r="L10492" s="18">
        <v>0</v>
      </c>
      <c r="Q10492" s="18">
        <v>0</v>
      </c>
      <c r="U10492" s="22">
        <v>1</v>
      </c>
      <c r="V10492" s="22">
        <f>4.04/5</f>
        <v>0.80800000000000005</v>
      </c>
      <c r="X10492" s="3">
        <v>3</v>
      </c>
      <c r="Z10492" s="23">
        <v>20</v>
      </c>
      <c r="AB10492" s="18">
        <f t="shared" si="326"/>
        <v>1986</v>
      </c>
      <c r="AC10492" s="22">
        <f t="shared" si="327"/>
        <v>0.80266666666666664</v>
      </c>
    </row>
    <row r="10493" spans="1:29">
      <c r="A10493" s="8" t="s">
        <v>15941</v>
      </c>
      <c r="B10493" s="17" t="s">
        <v>6317</v>
      </c>
      <c r="C10493" s="12">
        <v>31625</v>
      </c>
      <c r="D10493" s="13" t="s">
        <v>8465</v>
      </c>
      <c r="E10493" s="10" t="s">
        <v>311</v>
      </c>
      <c r="F10493" s="10" t="s">
        <v>311</v>
      </c>
      <c r="G10493" s="11" t="s">
        <v>3967</v>
      </c>
      <c r="H10493" s="2" t="s">
        <v>1377</v>
      </c>
      <c r="L10493" s="18">
        <v>0</v>
      </c>
      <c r="Q10493" s="18">
        <v>0</v>
      </c>
      <c r="V10493" s="22">
        <f>3.22/5</f>
        <v>0.64400000000000002</v>
      </c>
      <c r="X10493" s="3">
        <v>2</v>
      </c>
      <c r="Z10493" s="23">
        <f>55/60</f>
        <v>0.91666666666666663</v>
      </c>
      <c r="AB10493" s="18">
        <f t="shared" si="326"/>
        <v>1986</v>
      </c>
      <c r="AC10493" s="22">
        <f t="shared" si="327"/>
        <v>0.52200000000000002</v>
      </c>
    </row>
    <row r="10494" spans="1:29">
      <c r="A10494" s="8" t="s">
        <v>15603</v>
      </c>
      <c r="B10494" s="17" t="s">
        <v>10510</v>
      </c>
      <c r="C10494" s="12">
        <v>31594</v>
      </c>
      <c r="D10494" s="13" t="s">
        <v>8463</v>
      </c>
      <c r="E10494" s="10" t="s">
        <v>9060</v>
      </c>
      <c r="F10494" s="10" t="s">
        <v>9060</v>
      </c>
      <c r="G10494" s="11" t="s">
        <v>14492</v>
      </c>
      <c r="H10494" s="2" t="s">
        <v>1057</v>
      </c>
      <c r="K10494" s="18">
        <v>0</v>
      </c>
      <c r="L10494" s="18">
        <v>0</v>
      </c>
      <c r="Q10494" s="18">
        <v>0</v>
      </c>
      <c r="X10494" s="3">
        <v>2</v>
      </c>
      <c r="AB10494" s="18">
        <f t="shared" si="326"/>
        <v>1986</v>
      </c>
      <c r="AC10494" s="22">
        <f t="shared" si="327"/>
        <v>0.4</v>
      </c>
    </row>
    <row r="10495" spans="1:29">
      <c r="A10495" s="8" t="s">
        <v>391</v>
      </c>
      <c r="B10495" s="17" t="s">
        <v>6317</v>
      </c>
      <c r="C10495" s="12">
        <v>31533</v>
      </c>
      <c r="D10495" s="13" t="s">
        <v>8463</v>
      </c>
      <c r="E10495" s="10" t="s">
        <v>72</v>
      </c>
      <c r="F10495" s="10" t="s">
        <v>72</v>
      </c>
      <c r="G10495" s="11" t="s">
        <v>302</v>
      </c>
      <c r="H10495" s="2" t="s">
        <v>64</v>
      </c>
      <c r="K10495" s="18">
        <v>0</v>
      </c>
      <c r="L10495" s="18">
        <v>0</v>
      </c>
      <c r="Q10495" s="18">
        <v>0</v>
      </c>
      <c r="V10495" s="22">
        <f>3.41/5</f>
        <v>0.68200000000000005</v>
      </c>
      <c r="X10495" s="3">
        <v>2</v>
      </c>
      <c r="Z10495" s="23">
        <v>2</v>
      </c>
      <c r="AB10495" s="18">
        <f t="shared" si="326"/>
        <v>1986</v>
      </c>
      <c r="AC10495" s="22">
        <f t="shared" si="327"/>
        <v>0.54100000000000004</v>
      </c>
    </row>
    <row r="10496" spans="1:29">
      <c r="A10496" s="8" t="s">
        <v>15638</v>
      </c>
      <c r="B10496" s="17" t="s">
        <v>10510</v>
      </c>
      <c r="C10496" s="13">
        <v>31532</v>
      </c>
      <c r="D10496" s="13" t="s">
        <v>8463</v>
      </c>
      <c r="E10496" s="10" t="s">
        <v>9060</v>
      </c>
      <c r="F10496" s="10" t="s">
        <v>14464</v>
      </c>
      <c r="H10496" s="2" t="s">
        <v>149</v>
      </c>
      <c r="K10496" s="18">
        <v>0</v>
      </c>
      <c r="L10496" s="18">
        <v>0</v>
      </c>
      <c r="Q10496" s="18">
        <v>0</v>
      </c>
      <c r="X10496" s="3">
        <v>2</v>
      </c>
      <c r="AB10496" s="18">
        <f t="shared" si="326"/>
        <v>1986</v>
      </c>
      <c r="AC10496" s="22">
        <f t="shared" si="327"/>
        <v>0.4</v>
      </c>
    </row>
    <row r="10497" spans="1:29" ht="25.5">
      <c r="A10497" s="8" t="s">
        <v>15173</v>
      </c>
      <c r="B10497" s="17" t="s">
        <v>7767</v>
      </c>
      <c r="C10497" s="12">
        <v>31472</v>
      </c>
      <c r="D10497" s="13" t="s">
        <v>8467</v>
      </c>
      <c r="E10497" s="10" t="s">
        <v>15160</v>
      </c>
      <c r="F10497" s="10" t="s">
        <v>15160</v>
      </c>
      <c r="H10497" s="2" t="s">
        <v>151</v>
      </c>
      <c r="L10497" s="18">
        <v>0</v>
      </c>
      <c r="Q10497" s="18">
        <v>0</v>
      </c>
      <c r="V10497" s="22">
        <f>3.56/5</f>
        <v>0.71199999999999997</v>
      </c>
      <c r="X10497" s="3">
        <v>2</v>
      </c>
      <c r="AB10497" s="18">
        <f t="shared" ref="AB10497:AB10560" si="328">IFERROR(YEAR(C10497), "Early Access")</f>
        <v>1986</v>
      </c>
      <c r="AC10497" s="22">
        <f t="shared" ref="AC10497:AC10560" si="329">AVERAGE(T10497, U10497, V10497, IF(ISBLANK(X10497), X10497, X10497/5))</f>
        <v>0.55600000000000005</v>
      </c>
    </row>
    <row r="10498" spans="1:29">
      <c r="A10498" s="8" t="s">
        <v>384</v>
      </c>
      <c r="B10498" s="17" t="s">
        <v>6317</v>
      </c>
      <c r="C10498" s="13">
        <v>31472</v>
      </c>
      <c r="D10498" s="13" t="s">
        <v>8465</v>
      </c>
      <c r="E10498" s="10" t="s">
        <v>152</v>
      </c>
      <c r="F10498" s="10" t="s">
        <v>170</v>
      </c>
      <c r="G10498" s="11" t="s">
        <v>384</v>
      </c>
      <c r="H10498" s="2" t="s">
        <v>147</v>
      </c>
      <c r="L10498" s="18">
        <v>0</v>
      </c>
      <c r="Q10498" s="18">
        <v>0</v>
      </c>
      <c r="V10498" s="22">
        <f>2.98/5</f>
        <v>0.59599999999999997</v>
      </c>
      <c r="X10498" s="3">
        <v>2</v>
      </c>
      <c r="Z10498" s="23">
        <v>1.5</v>
      </c>
      <c r="AB10498" s="18">
        <f t="shared" si="328"/>
        <v>1986</v>
      </c>
      <c r="AC10498" s="22">
        <f t="shared" si="329"/>
        <v>0.498</v>
      </c>
    </row>
    <row r="10499" spans="1:29" ht="30">
      <c r="A10499" s="8" t="s">
        <v>85</v>
      </c>
      <c r="B10499" s="17" t="s">
        <v>7735</v>
      </c>
      <c r="C10499" s="13">
        <v>31464</v>
      </c>
      <c r="D10499" s="13" t="s">
        <v>8463</v>
      </c>
      <c r="E10499" s="10" t="s">
        <v>86</v>
      </c>
      <c r="F10499" s="10" t="s">
        <v>87</v>
      </c>
      <c r="G10499" s="11" t="s">
        <v>85</v>
      </c>
      <c r="H10499" s="2" t="s">
        <v>80</v>
      </c>
      <c r="K10499" s="18">
        <v>2</v>
      </c>
      <c r="L10499" s="18">
        <v>1</v>
      </c>
      <c r="M10499" s="14" t="s">
        <v>10622</v>
      </c>
      <c r="N10499" s="13">
        <v>43527</v>
      </c>
      <c r="O10499" s="29">
        <v>18.989999999999998</v>
      </c>
      <c r="P10499" s="18" t="s">
        <v>14</v>
      </c>
      <c r="Q10499" s="18">
        <v>0</v>
      </c>
      <c r="V10499" s="22">
        <f>4.17/5</f>
        <v>0.83399999999999996</v>
      </c>
      <c r="X10499" s="3">
        <v>2</v>
      </c>
      <c r="Z10499" s="23">
        <v>8.5</v>
      </c>
      <c r="AB10499" s="18">
        <f t="shared" si="328"/>
        <v>1986</v>
      </c>
      <c r="AC10499" s="22">
        <f t="shared" si="329"/>
        <v>0.61699999999999999</v>
      </c>
    </row>
    <row r="10500" spans="1:29" ht="38.25">
      <c r="A10500" s="8" t="s">
        <v>6796</v>
      </c>
      <c r="B10500" s="17" t="s">
        <v>7800</v>
      </c>
      <c r="C10500" s="12">
        <v>31413</v>
      </c>
      <c r="D10500" s="13" t="s">
        <v>8465</v>
      </c>
      <c r="E10500" s="10" t="s">
        <v>2659</v>
      </c>
      <c r="F10500" s="10" t="s">
        <v>2659</v>
      </c>
      <c r="G10500" s="11" t="s">
        <v>1864</v>
      </c>
      <c r="H10500" s="2" t="s">
        <v>1720</v>
      </c>
      <c r="L10500" s="18">
        <v>0</v>
      </c>
      <c r="Q10500" s="18">
        <v>0</v>
      </c>
      <c r="V10500" s="22">
        <f>3.28/5</f>
        <v>0.65599999999999992</v>
      </c>
      <c r="X10500" s="3">
        <v>3</v>
      </c>
      <c r="Z10500" s="23">
        <v>60</v>
      </c>
      <c r="AB10500" s="18">
        <f t="shared" si="328"/>
        <v>1986</v>
      </c>
      <c r="AC10500" s="22">
        <f t="shared" si="329"/>
        <v>0.62799999999999989</v>
      </c>
    </row>
    <row r="10501" spans="1:29" ht="25.5">
      <c r="A10501" s="8" t="s">
        <v>7597</v>
      </c>
      <c r="B10501" s="17" t="s">
        <v>7767</v>
      </c>
      <c r="C10501" s="12">
        <v>31413</v>
      </c>
      <c r="D10501" s="13" t="s">
        <v>8465</v>
      </c>
      <c r="E10501" s="10" t="s">
        <v>1273</v>
      </c>
      <c r="F10501" s="10" t="s">
        <v>6908</v>
      </c>
      <c r="G10501" s="11" t="s">
        <v>7598</v>
      </c>
      <c r="H10501" s="2" t="s">
        <v>67</v>
      </c>
      <c r="L10501" s="18">
        <v>0</v>
      </c>
      <c r="Q10501" s="18">
        <v>0</v>
      </c>
      <c r="V10501" s="22">
        <f>4.08/5</f>
        <v>0.81600000000000006</v>
      </c>
      <c r="X10501" s="3">
        <v>2</v>
      </c>
      <c r="AB10501" s="18">
        <f t="shared" si="328"/>
        <v>1986</v>
      </c>
      <c r="AC10501" s="22">
        <f t="shared" si="329"/>
        <v>0.6080000000000001</v>
      </c>
    </row>
    <row r="10502" spans="1:29">
      <c r="A10502" s="8" t="s">
        <v>15184</v>
      </c>
      <c r="B10502" s="17" t="s">
        <v>15185</v>
      </c>
      <c r="C10502" s="24">
        <v>31413</v>
      </c>
      <c r="D10502" s="13" t="s">
        <v>8467</v>
      </c>
      <c r="E10502" s="10" t="s">
        <v>15153</v>
      </c>
      <c r="F10502" s="10" t="s">
        <v>15153</v>
      </c>
      <c r="G10502" s="11" t="s">
        <v>15184</v>
      </c>
      <c r="H10502" s="2" t="s">
        <v>56</v>
      </c>
      <c r="L10502" s="18">
        <v>0</v>
      </c>
      <c r="Q10502" s="18">
        <v>0</v>
      </c>
      <c r="V10502" s="22">
        <f>4.07/5</f>
        <v>0.81400000000000006</v>
      </c>
      <c r="X10502" s="3">
        <v>2</v>
      </c>
      <c r="AB10502" s="18">
        <f t="shared" si="328"/>
        <v>1986</v>
      </c>
      <c r="AC10502" s="22">
        <f t="shared" si="329"/>
        <v>0.60699999999999998</v>
      </c>
    </row>
    <row r="10503" spans="1:29">
      <c r="A10503" s="8" t="s">
        <v>7533</v>
      </c>
      <c r="B10503" s="17" t="s">
        <v>7800</v>
      </c>
      <c r="C10503" s="12">
        <v>31413</v>
      </c>
      <c r="D10503" s="13" t="s">
        <v>8465</v>
      </c>
      <c r="E10503" s="10" t="s">
        <v>6668</v>
      </c>
      <c r="F10503" s="10" t="s">
        <v>6668</v>
      </c>
      <c r="G10503" s="11" t="s">
        <v>7534</v>
      </c>
      <c r="H10503" s="2" t="s">
        <v>69</v>
      </c>
      <c r="L10503" s="18">
        <v>0</v>
      </c>
      <c r="Q10503" s="18">
        <v>0</v>
      </c>
      <c r="V10503" s="22">
        <f>4/5</f>
        <v>0.8</v>
      </c>
      <c r="X10503" s="3">
        <v>2</v>
      </c>
      <c r="AB10503" s="18">
        <f t="shared" si="328"/>
        <v>1986</v>
      </c>
      <c r="AC10503" s="22">
        <f t="shared" si="329"/>
        <v>0.60000000000000009</v>
      </c>
    </row>
    <row r="10504" spans="1:29">
      <c r="A10504" s="8" t="s">
        <v>14348</v>
      </c>
      <c r="B10504" s="17" t="s">
        <v>10323</v>
      </c>
      <c r="C10504" s="24">
        <v>31413</v>
      </c>
      <c r="D10504" s="13" t="s">
        <v>8463</v>
      </c>
      <c r="E10504" s="10" t="s">
        <v>9240</v>
      </c>
      <c r="F10504" s="10" t="s">
        <v>14349</v>
      </c>
      <c r="H10504" s="2" t="s">
        <v>171</v>
      </c>
      <c r="K10504" s="18">
        <v>2</v>
      </c>
      <c r="L10504" s="18">
        <v>0</v>
      </c>
      <c r="Q10504" s="18">
        <v>0</v>
      </c>
      <c r="V10504" s="22">
        <f>3.88/5</f>
        <v>0.77600000000000002</v>
      </c>
      <c r="X10504" s="3">
        <v>2</v>
      </c>
      <c r="AB10504" s="18">
        <f t="shared" si="328"/>
        <v>1986</v>
      </c>
      <c r="AC10504" s="22">
        <f t="shared" si="329"/>
        <v>0.58800000000000008</v>
      </c>
    </row>
    <row r="10505" spans="1:29" ht="30">
      <c r="A10505" s="8" t="s">
        <v>13487</v>
      </c>
      <c r="B10505" s="17" t="s">
        <v>7800</v>
      </c>
      <c r="C10505" s="24">
        <v>31413</v>
      </c>
      <c r="D10505" s="13" t="s">
        <v>8465</v>
      </c>
      <c r="E10505" s="10" t="s">
        <v>13488</v>
      </c>
      <c r="F10505" s="10" t="s">
        <v>254</v>
      </c>
      <c r="G10505" s="11" t="s">
        <v>4445</v>
      </c>
      <c r="H10505" s="2" t="s">
        <v>2826</v>
      </c>
      <c r="L10505" s="18">
        <v>0</v>
      </c>
      <c r="Q10505" s="18">
        <v>0</v>
      </c>
      <c r="V10505" s="22">
        <f>3.81/5</f>
        <v>0.76200000000000001</v>
      </c>
      <c r="X10505" s="3">
        <v>2</v>
      </c>
      <c r="AB10505" s="18">
        <f t="shared" si="328"/>
        <v>1986</v>
      </c>
      <c r="AC10505" s="22">
        <f t="shared" si="329"/>
        <v>0.58099999999999996</v>
      </c>
    </row>
    <row r="10506" spans="1:29" ht="30">
      <c r="A10506" s="8" t="s">
        <v>2496</v>
      </c>
      <c r="B10506" s="17" t="s">
        <v>7750</v>
      </c>
      <c r="C10506" s="12">
        <v>31413</v>
      </c>
      <c r="D10506" s="13" t="s">
        <v>8465</v>
      </c>
      <c r="E10506" s="10" t="s">
        <v>455</v>
      </c>
      <c r="F10506" s="10" t="s">
        <v>455</v>
      </c>
      <c r="G10506" s="11" t="s">
        <v>2508</v>
      </c>
      <c r="H10506" s="2" t="s">
        <v>64</v>
      </c>
      <c r="L10506" s="18">
        <v>0</v>
      </c>
      <c r="Q10506" s="18">
        <v>0</v>
      </c>
      <c r="V10506" s="22">
        <f>3.66/5</f>
        <v>0.73199999999999998</v>
      </c>
      <c r="X10506" s="3">
        <v>2</v>
      </c>
      <c r="Z10506" s="23">
        <v>2</v>
      </c>
      <c r="AB10506" s="18">
        <f t="shared" si="328"/>
        <v>1986</v>
      </c>
      <c r="AC10506" s="22">
        <f t="shared" si="329"/>
        <v>0.56600000000000006</v>
      </c>
    </row>
    <row r="10507" spans="1:29" ht="30">
      <c r="A10507" s="8" t="s">
        <v>2500</v>
      </c>
      <c r="B10507" s="17" t="s">
        <v>7750</v>
      </c>
      <c r="C10507" s="12">
        <v>31413</v>
      </c>
      <c r="D10507" s="13" t="s">
        <v>8465</v>
      </c>
      <c r="E10507" s="10" t="s">
        <v>455</v>
      </c>
      <c r="F10507" s="10" t="s">
        <v>455</v>
      </c>
      <c r="G10507" s="11" t="s">
        <v>2500</v>
      </c>
      <c r="H10507" s="2" t="s">
        <v>21</v>
      </c>
      <c r="L10507" s="18">
        <v>0</v>
      </c>
      <c r="Q10507" s="18">
        <v>0</v>
      </c>
      <c r="V10507" s="22">
        <f>3.55/5</f>
        <v>0.71</v>
      </c>
      <c r="X10507" s="3">
        <v>2</v>
      </c>
      <c r="Z10507" s="23">
        <v>1</v>
      </c>
      <c r="AB10507" s="18">
        <f t="shared" si="328"/>
        <v>1986</v>
      </c>
      <c r="AC10507" s="22">
        <f t="shared" si="329"/>
        <v>0.55499999999999994</v>
      </c>
    </row>
    <row r="10508" spans="1:29">
      <c r="A10508" s="8" t="s">
        <v>12775</v>
      </c>
      <c r="B10508" s="17" t="s">
        <v>12776</v>
      </c>
      <c r="C10508" s="24">
        <v>31413</v>
      </c>
      <c r="D10508" s="13" t="s">
        <v>8467</v>
      </c>
      <c r="E10508" s="10" t="s">
        <v>12777</v>
      </c>
      <c r="F10508" s="10" t="s">
        <v>12778</v>
      </c>
      <c r="H10508" s="2" t="s">
        <v>80</v>
      </c>
      <c r="L10508" s="18">
        <v>0</v>
      </c>
      <c r="Q10508" s="18">
        <v>0</v>
      </c>
      <c r="V10508" s="22">
        <f>3.5/5</f>
        <v>0.7</v>
      </c>
      <c r="X10508" s="3">
        <v>2</v>
      </c>
      <c r="AB10508" s="18">
        <f t="shared" si="328"/>
        <v>1986</v>
      </c>
      <c r="AC10508" s="22">
        <f t="shared" si="329"/>
        <v>0.55000000000000004</v>
      </c>
    </row>
    <row r="10509" spans="1:29">
      <c r="A10509" s="8" t="s">
        <v>13904</v>
      </c>
      <c r="B10509" s="17" t="s">
        <v>13893</v>
      </c>
      <c r="C10509" s="24">
        <v>31413</v>
      </c>
      <c r="D10509" s="13" t="s">
        <v>8465</v>
      </c>
      <c r="E10509" s="10" t="s">
        <v>13905</v>
      </c>
      <c r="F10509" s="10" t="s">
        <v>13894</v>
      </c>
      <c r="H10509" s="2" t="s">
        <v>80</v>
      </c>
      <c r="L10509" s="18">
        <v>0</v>
      </c>
      <c r="Q10509" s="18">
        <v>0</v>
      </c>
      <c r="V10509" s="22">
        <f>3.5/5</f>
        <v>0.7</v>
      </c>
      <c r="X10509" s="3">
        <v>2</v>
      </c>
      <c r="AB10509" s="18">
        <f t="shared" si="328"/>
        <v>1986</v>
      </c>
      <c r="AC10509" s="22">
        <f t="shared" si="329"/>
        <v>0.55000000000000004</v>
      </c>
    </row>
    <row r="10510" spans="1:29">
      <c r="A10510" s="8" t="s">
        <v>13912</v>
      </c>
      <c r="B10510" s="17" t="s">
        <v>7787</v>
      </c>
      <c r="C10510" s="24">
        <v>31413</v>
      </c>
      <c r="D10510" s="13" t="s">
        <v>8467</v>
      </c>
      <c r="E10510" s="10" t="s">
        <v>13913</v>
      </c>
      <c r="F10510" s="10" t="s">
        <v>13913</v>
      </c>
      <c r="H10510" s="2" t="s">
        <v>80</v>
      </c>
      <c r="L10510" s="18">
        <v>0</v>
      </c>
      <c r="Q10510" s="18">
        <v>0</v>
      </c>
      <c r="V10510" s="22">
        <f>3.5/5</f>
        <v>0.7</v>
      </c>
      <c r="X10510" s="3">
        <v>2</v>
      </c>
      <c r="AB10510" s="18">
        <f t="shared" si="328"/>
        <v>1986</v>
      </c>
      <c r="AC10510" s="22">
        <f t="shared" si="329"/>
        <v>0.55000000000000004</v>
      </c>
    </row>
    <row r="10511" spans="1:29" ht="25.5">
      <c r="A10511" s="8" t="s">
        <v>7648</v>
      </c>
      <c r="B10511" s="17" t="s">
        <v>7787</v>
      </c>
      <c r="C10511" s="12">
        <v>31413</v>
      </c>
      <c r="D10511" s="13" t="s">
        <v>8463</v>
      </c>
      <c r="E10511" s="10" t="s">
        <v>72</v>
      </c>
      <c r="F10511" s="10" t="s">
        <v>72</v>
      </c>
      <c r="G10511" s="11" t="s">
        <v>7649</v>
      </c>
      <c r="H10511" s="2" t="s">
        <v>21</v>
      </c>
      <c r="K10511" s="18">
        <v>0</v>
      </c>
      <c r="L10511" s="18">
        <v>0</v>
      </c>
      <c r="Q10511" s="18">
        <v>0</v>
      </c>
      <c r="V10511" s="22">
        <f>3.48/5</f>
        <v>0.69599999999999995</v>
      </c>
      <c r="X10511" s="3">
        <v>2</v>
      </c>
      <c r="Z10511" s="23">
        <v>2</v>
      </c>
      <c r="AB10511" s="18">
        <f t="shared" si="328"/>
        <v>1986</v>
      </c>
      <c r="AC10511" s="22">
        <f t="shared" si="329"/>
        <v>0.54800000000000004</v>
      </c>
    </row>
    <row r="10512" spans="1:29" ht="25.5">
      <c r="A10512" s="8" t="s">
        <v>14874</v>
      </c>
      <c r="B10512" s="17" t="s">
        <v>7767</v>
      </c>
      <c r="C10512" s="24">
        <v>31413</v>
      </c>
      <c r="D10512" s="13" t="s">
        <v>8465</v>
      </c>
      <c r="E10512" s="10" t="s">
        <v>1273</v>
      </c>
      <c r="F10512" s="10" t="s">
        <v>1273</v>
      </c>
      <c r="G10512" s="11" t="s">
        <v>442</v>
      </c>
      <c r="H10512" s="2" t="s">
        <v>80</v>
      </c>
      <c r="L10512" s="18">
        <v>0</v>
      </c>
      <c r="Q10512" s="18">
        <v>0</v>
      </c>
      <c r="V10512" s="22">
        <f>3.38/5</f>
        <v>0.67599999999999993</v>
      </c>
      <c r="X10512" s="3">
        <v>2</v>
      </c>
      <c r="AB10512" s="18">
        <f t="shared" si="328"/>
        <v>1986</v>
      </c>
      <c r="AC10512" s="22">
        <f t="shared" si="329"/>
        <v>0.53800000000000003</v>
      </c>
    </row>
    <row r="10513" spans="1:29" ht="25.5">
      <c r="A10513" s="8" t="s">
        <v>14509</v>
      </c>
      <c r="B10513" s="17" t="s">
        <v>10510</v>
      </c>
      <c r="C10513" s="24">
        <v>31413</v>
      </c>
      <c r="D10513" s="13" t="s">
        <v>8463</v>
      </c>
      <c r="E10513" s="10" t="s">
        <v>62</v>
      </c>
      <c r="F10513" s="10" t="s">
        <v>62</v>
      </c>
      <c r="G10513" s="11" t="s">
        <v>137</v>
      </c>
      <c r="H10513" s="2" t="s">
        <v>64</v>
      </c>
      <c r="K10513" s="18">
        <v>0</v>
      </c>
      <c r="L10513" s="18">
        <v>0</v>
      </c>
      <c r="Q10513" s="18">
        <v>0</v>
      </c>
      <c r="V10513" s="22">
        <f>2.6/5</f>
        <v>0.52</v>
      </c>
      <c r="X10513" s="3">
        <v>2</v>
      </c>
      <c r="Z10513" s="23">
        <v>1</v>
      </c>
      <c r="AB10513" s="18">
        <f t="shared" si="328"/>
        <v>1986</v>
      </c>
      <c r="AC10513" s="22">
        <f t="shared" si="329"/>
        <v>0.46</v>
      </c>
    </row>
    <row r="10514" spans="1:29">
      <c r="A10514" s="8" t="s">
        <v>13264</v>
      </c>
      <c r="B10514" s="17" t="s">
        <v>7767</v>
      </c>
      <c r="C10514" s="24">
        <v>31413</v>
      </c>
      <c r="D10514" s="13" t="s">
        <v>8467</v>
      </c>
      <c r="E10514" s="10" t="s">
        <v>13265</v>
      </c>
      <c r="F10514" s="10" t="s">
        <v>13247</v>
      </c>
      <c r="G10514" s="11" t="s">
        <v>13262</v>
      </c>
      <c r="H10514" s="2" t="s">
        <v>2826</v>
      </c>
      <c r="L10514" s="18">
        <v>0</v>
      </c>
      <c r="Q10514" s="18">
        <v>0</v>
      </c>
      <c r="V10514" s="22">
        <f>2.25/5</f>
        <v>0.45</v>
      </c>
      <c r="X10514" s="3">
        <v>2</v>
      </c>
      <c r="AB10514" s="18">
        <f t="shared" si="328"/>
        <v>1986</v>
      </c>
      <c r="AC10514" s="22">
        <f t="shared" si="329"/>
        <v>0.42500000000000004</v>
      </c>
    </row>
    <row r="10515" spans="1:29">
      <c r="A10515" s="8" t="s">
        <v>14890</v>
      </c>
      <c r="B10515" s="17" t="s">
        <v>6317</v>
      </c>
      <c r="C10515" s="24">
        <v>31413</v>
      </c>
      <c r="D10515" s="13" t="s">
        <v>8465</v>
      </c>
      <c r="E10515" s="10" t="s">
        <v>14891</v>
      </c>
      <c r="F10515" s="10" t="s">
        <v>14891</v>
      </c>
      <c r="H10515" s="2" t="s">
        <v>1170</v>
      </c>
      <c r="L10515" s="18">
        <v>0</v>
      </c>
      <c r="Q10515" s="18">
        <v>0</v>
      </c>
      <c r="V10515" s="22">
        <f>2.1/5</f>
        <v>0.42000000000000004</v>
      </c>
      <c r="X10515" s="3">
        <v>2</v>
      </c>
      <c r="Z10515" s="23">
        <f>15/60</f>
        <v>0.25</v>
      </c>
      <c r="AB10515" s="18">
        <f t="shared" si="328"/>
        <v>1986</v>
      </c>
      <c r="AC10515" s="22">
        <f t="shared" si="329"/>
        <v>0.41000000000000003</v>
      </c>
    </row>
    <row r="10516" spans="1:29" ht="30">
      <c r="A10516" s="8" t="s">
        <v>9634</v>
      </c>
      <c r="B10516" s="17" t="s">
        <v>9581</v>
      </c>
      <c r="C10516" s="12">
        <v>31413</v>
      </c>
      <c r="D10516" s="13" t="s">
        <v>8465</v>
      </c>
      <c r="E10516" s="10" t="s">
        <v>166</v>
      </c>
      <c r="F10516" s="10" t="s">
        <v>166</v>
      </c>
      <c r="H10516" s="2" t="s">
        <v>2826</v>
      </c>
      <c r="L10516" s="18">
        <v>0</v>
      </c>
      <c r="Q10516" s="18">
        <v>0</v>
      </c>
      <c r="X10516" s="3">
        <v>2</v>
      </c>
      <c r="Z10516" s="23">
        <v>5</v>
      </c>
      <c r="AB10516" s="18">
        <f t="shared" si="328"/>
        <v>1986</v>
      </c>
      <c r="AC10516" s="22">
        <f t="shared" si="329"/>
        <v>0.4</v>
      </c>
    </row>
    <row r="10517" spans="1:29" ht="25.5">
      <c r="A10517" s="8" t="s">
        <v>14498</v>
      </c>
      <c r="B10517" s="17" t="s">
        <v>7787</v>
      </c>
      <c r="C10517" s="24">
        <v>31413</v>
      </c>
      <c r="D10517" s="13" t="s">
        <v>8463</v>
      </c>
      <c r="E10517" s="10" t="s">
        <v>1427</v>
      </c>
      <c r="F10517" s="10" t="s">
        <v>1427</v>
      </c>
      <c r="G10517" s="11" t="s">
        <v>14497</v>
      </c>
      <c r="H10517" s="2" t="s">
        <v>171</v>
      </c>
      <c r="K10517" s="18">
        <v>2</v>
      </c>
      <c r="L10517" s="18">
        <v>0</v>
      </c>
      <c r="Q10517" s="18">
        <v>0</v>
      </c>
      <c r="V10517" s="22">
        <f>1.89/5</f>
        <v>0.378</v>
      </c>
      <c r="X10517" s="3">
        <v>2</v>
      </c>
      <c r="Z10517" s="23">
        <v>20</v>
      </c>
      <c r="AB10517" s="18">
        <f t="shared" si="328"/>
        <v>1986</v>
      </c>
      <c r="AC10517" s="22">
        <f t="shared" si="329"/>
        <v>0.38900000000000001</v>
      </c>
    </row>
    <row r="10518" spans="1:29">
      <c r="A10518" s="8" t="s">
        <v>123</v>
      </c>
      <c r="B10518" s="17" t="s">
        <v>7734</v>
      </c>
      <c r="C10518" s="12">
        <v>31747</v>
      </c>
      <c r="D10518" s="13" t="s">
        <v>8465</v>
      </c>
      <c r="E10518" s="10" t="s">
        <v>62</v>
      </c>
      <c r="F10518" s="10" t="s">
        <v>72</v>
      </c>
      <c r="G10518" s="11" t="s">
        <v>123</v>
      </c>
      <c r="H10518" s="2" t="s">
        <v>21</v>
      </c>
      <c r="L10518" s="18">
        <v>0</v>
      </c>
      <c r="Q10518" s="18">
        <v>1</v>
      </c>
      <c r="T10518" s="22">
        <v>0.7</v>
      </c>
      <c r="V10518" s="22">
        <f>3.65/5</f>
        <v>0.73</v>
      </c>
      <c r="AB10518" s="18">
        <f t="shared" si="328"/>
        <v>1986</v>
      </c>
      <c r="AC10518" s="22">
        <f t="shared" si="329"/>
        <v>0.71499999999999997</v>
      </c>
    </row>
    <row r="10519" spans="1:29" ht="30">
      <c r="A10519" s="8" t="s">
        <v>119</v>
      </c>
      <c r="B10519" s="17" t="s">
        <v>7735</v>
      </c>
      <c r="C10519" s="13">
        <v>31566</v>
      </c>
      <c r="D10519" s="13" t="s">
        <v>8463</v>
      </c>
      <c r="E10519" s="10" t="s">
        <v>86</v>
      </c>
      <c r="F10519" s="10" t="s">
        <v>156</v>
      </c>
      <c r="G10519" s="11" t="s">
        <v>137</v>
      </c>
      <c r="H10519" s="2" t="s">
        <v>64</v>
      </c>
      <c r="K10519" s="18">
        <v>2</v>
      </c>
      <c r="L10519" s="18">
        <v>0</v>
      </c>
      <c r="Q10519" s="18">
        <v>1</v>
      </c>
      <c r="T10519" s="22">
        <v>0.8</v>
      </c>
      <c r="V10519" s="22">
        <f>3.61/5</f>
        <v>0.72199999999999998</v>
      </c>
      <c r="AB10519" s="18">
        <f t="shared" si="328"/>
        <v>1986</v>
      </c>
      <c r="AC10519" s="22">
        <f t="shared" si="329"/>
        <v>0.76100000000000001</v>
      </c>
    </row>
    <row r="10520" spans="1:29">
      <c r="A10520" s="8" t="s">
        <v>100</v>
      </c>
      <c r="B10520" s="17" t="s">
        <v>7734</v>
      </c>
      <c r="C10520" s="12">
        <v>31564</v>
      </c>
      <c r="D10520" s="13" t="s">
        <v>8465</v>
      </c>
      <c r="E10520" s="10" t="s">
        <v>86</v>
      </c>
      <c r="F10520" s="10" t="s">
        <v>86</v>
      </c>
      <c r="G10520" s="11" t="s">
        <v>137</v>
      </c>
      <c r="H10520" s="2" t="s">
        <v>143</v>
      </c>
      <c r="L10520" s="18">
        <v>0</v>
      </c>
      <c r="Q10520" s="18">
        <v>1</v>
      </c>
      <c r="T10520" s="22">
        <v>0.7</v>
      </c>
      <c r="V10520" s="22">
        <f>3.42/5</f>
        <v>0.68399999999999994</v>
      </c>
      <c r="AB10520" s="18">
        <f t="shared" si="328"/>
        <v>1986</v>
      </c>
      <c r="AC10520" s="22">
        <f t="shared" si="329"/>
        <v>0.69199999999999995</v>
      </c>
    </row>
    <row r="10521" spans="1:29">
      <c r="A10521" s="8" t="s">
        <v>93</v>
      </c>
      <c r="B10521" s="17" t="s">
        <v>7734</v>
      </c>
      <c r="C10521" s="12">
        <v>31564</v>
      </c>
      <c r="D10521" s="13" t="s">
        <v>8465</v>
      </c>
      <c r="E10521" s="10" t="s">
        <v>86</v>
      </c>
      <c r="F10521" s="10" t="s">
        <v>142</v>
      </c>
      <c r="G10521" s="11" t="s">
        <v>93</v>
      </c>
      <c r="H10521" s="2" t="s">
        <v>143</v>
      </c>
      <c r="L10521" s="18">
        <v>0</v>
      </c>
      <c r="Q10521" s="18">
        <v>1</v>
      </c>
      <c r="T10521" s="22">
        <v>0.6</v>
      </c>
      <c r="V10521" s="22">
        <f>3.41/5</f>
        <v>0.68200000000000005</v>
      </c>
      <c r="AB10521" s="18">
        <f t="shared" si="328"/>
        <v>1986</v>
      </c>
      <c r="AC10521" s="22">
        <f t="shared" si="329"/>
        <v>0.64100000000000001</v>
      </c>
    </row>
    <row r="10522" spans="1:29" ht="30">
      <c r="A10522" s="8" t="s">
        <v>121</v>
      </c>
      <c r="B10522" s="17" t="s">
        <v>7735</v>
      </c>
      <c r="C10522" s="12">
        <v>31413</v>
      </c>
      <c r="D10522" s="13" t="s">
        <v>8463</v>
      </c>
      <c r="E10522" s="10" t="s">
        <v>86</v>
      </c>
      <c r="F10522" s="10" t="s">
        <v>87</v>
      </c>
      <c r="G10522" s="11" t="s">
        <v>137</v>
      </c>
      <c r="H10522" s="2" t="s">
        <v>64</v>
      </c>
      <c r="K10522" s="18">
        <v>0</v>
      </c>
      <c r="L10522" s="18">
        <v>0</v>
      </c>
      <c r="Q10522" s="18">
        <v>1</v>
      </c>
      <c r="T10522" s="22">
        <v>0.7</v>
      </c>
      <c r="V10522" s="22">
        <f>4.03/5</f>
        <v>0.80600000000000005</v>
      </c>
      <c r="AB10522" s="18">
        <f t="shared" si="328"/>
        <v>1986</v>
      </c>
      <c r="AC10522" s="22">
        <f t="shared" si="329"/>
        <v>0.753</v>
      </c>
    </row>
    <row r="10523" spans="1:29" ht="30">
      <c r="A10523" s="8" t="s">
        <v>2494</v>
      </c>
      <c r="B10523" s="17" t="s">
        <v>7750</v>
      </c>
      <c r="C10523" s="12">
        <v>31413</v>
      </c>
      <c r="D10523" s="13" t="s">
        <v>8465</v>
      </c>
      <c r="E10523" s="10" t="s">
        <v>455</v>
      </c>
      <c r="F10523" s="10" t="s">
        <v>455</v>
      </c>
      <c r="G10523" s="11" t="s">
        <v>2494</v>
      </c>
      <c r="H10523" s="2" t="s">
        <v>21</v>
      </c>
      <c r="L10523" s="18">
        <v>0</v>
      </c>
      <c r="Q10523" s="18">
        <v>1</v>
      </c>
      <c r="R10523" s="13">
        <v>43895</v>
      </c>
      <c r="S10523" s="21">
        <f>18/60+28/3600</f>
        <v>0.30777777777777776</v>
      </c>
      <c r="T10523" s="22">
        <v>0.65</v>
      </c>
      <c r="V10523" s="22">
        <f>3.23/5</f>
        <v>0.64600000000000002</v>
      </c>
      <c r="AB10523" s="18">
        <f t="shared" si="328"/>
        <v>1986</v>
      </c>
      <c r="AC10523" s="22">
        <f t="shared" si="329"/>
        <v>0.64800000000000002</v>
      </c>
    </row>
    <row r="10524" spans="1:29">
      <c r="A10524" s="8" t="s">
        <v>14491</v>
      </c>
      <c r="B10524" s="17" t="s">
        <v>7734</v>
      </c>
      <c r="C10524" s="13">
        <v>31395</v>
      </c>
      <c r="D10524" s="13" t="s">
        <v>8463</v>
      </c>
      <c r="E10524" s="10" t="s">
        <v>9240</v>
      </c>
      <c r="F10524" s="10" t="s">
        <v>9240</v>
      </c>
      <c r="G10524" s="11" t="s">
        <v>14491</v>
      </c>
      <c r="H10524" s="2" t="s">
        <v>75</v>
      </c>
      <c r="K10524" s="18">
        <v>0</v>
      </c>
      <c r="L10524" s="18">
        <v>0</v>
      </c>
      <c r="Q10524" s="18">
        <v>0</v>
      </c>
      <c r="V10524" s="22">
        <f>1.97/5</f>
        <v>0.39400000000000002</v>
      </c>
      <c r="X10524" s="3">
        <v>2</v>
      </c>
      <c r="AB10524" s="18">
        <f t="shared" si="328"/>
        <v>1985</v>
      </c>
      <c r="AC10524" s="22">
        <f t="shared" si="329"/>
        <v>0.39700000000000002</v>
      </c>
    </row>
    <row r="10525" spans="1:29" ht="25.5">
      <c r="A10525" s="8" t="s">
        <v>13924</v>
      </c>
      <c r="B10525" s="17" t="s">
        <v>13527</v>
      </c>
      <c r="C10525" s="12">
        <v>31382</v>
      </c>
      <c r="D10525" s="13" t="s">
        <v>8465</v>
      </c>
      <c r="E10525" s="10" t="s">
        <v>13528</v>
      </c>
      <c r="F10525" s="10" t="s">
        <v>13528</v>
      </c>
      <c r="H10525" s="2" t="s">
        <v>1720</v>
      </c>
      <c r="L10525" s="18">
        <v>0</v>
      </c>
      <c r="Q10525" s="18">
        <v>0</v>
      </c>
      <c r="V10525" s="22">
        <f>3.75/5</f>
        <v>0.75</v>
      </c>
      <c r="X10525" s="3">
        <v>2</v>
      </c>
      <c r="AB10525" s="18">
        <f t="shared" si="328"/>
        <v>1985</v>
      </c>
      <c r="AC10525" s="22">
        <f t="shared" si="329"/>
        <v>0.57499999999999996</v>
      </c>
    </row>
    <row r="10526" spans="1:29">
      <c r="A10526" s="8" t="s">
        <v>3967</v>
      </c>
      <c r="B10526" s="17" t="s">
        <v>6317</v>
      </c>
      <c r="C10526" s="12">
        <v>31352</v>
      </c>
      <c r="D10526" s="13" t="s">
        <v>8465</v>
      </c>
      <c r="E10526" s="10" t="s">
        <v>311</v>
      </c>
      <c r="F10526" s="10" t="s">
        <v>311</v>
      </c>
      <c r="G10526" s="11" t="s">
        <v>3967</v>
      </c>
      <c r="H10526" s="2" t="s">
        <v>1377</v>
      </c>
      <c r="L10526" s="18">
        <v>0</v>
      </c>
      <c r="Q10526" s="18">
        <v>0</v>
      </c>
      <c r="V10526" s="22">
        <f>3.58/5</f>
        <v>0.71599999999999997</v>
      </c>
      <c r="X10526" s="3">
        <v>2</v>
      </c>
      <c r="Z10526" s="23">
        <v>2</v>
      </c>
      <c r="AB10526" s="18">
        <f t="shared" si="328"/>
        <v>1985</v>
      </c>
      <c r="AC10526" s="22">
        <f t="shared" si="329"/>
        <v>0.55800000000000005</v>
      </c>
    </row>
    <row r="10527" spans="1:29">
      <c r="A10527" s="8" t="s">
        <v>186</v>
      </c>
      <c r="B10527" s="17" t="s">
        <v>7734</v>
      </c>
      <c r="C10527" s="13">
        <v>31338</v>
      </c>
      <c r="D10527" s="13" t="s">
        <v>8465</v>
      </c>
      <c r="E10527" s="10" t="s">
        <v>86</v>
      </c>
      <c r="F10527" s="10" t="s">
        <v>142</v>
      </c>
      <c r="G10527" s="11" t="s">
        <v>186</v>
      </c>
      <c r="H10527" s="2" t="s">
        <v>64</v>
      </c>
      <c r="L10527" s="18">
        <v>0</v>
      </c>
      <c r="Q10527" s="18">
        <v>0</v>
      </c>
      <c r="V10527" s="22">
        <f>3.13/5</f>
        <v>0.626</v>
      </c>
      <c r="X10527" s="3">
        <v>2</v>
      </c>
      <c r="Z10527" s="23">
        <v>4</v>
      </c>
      <c r="AB10527" s="18">
        <f t="shared" si="328"/>
        <v>1985</v>
      </c>
      <c r="AC10527" s="22">
        <f t="shared" si="329"/>
        <v>0.51300000000000001</v>
      </c>
    </row>
    <row r="10528" spans="1:29">
      <c r="A10528" s="8" t="s">
        <v>13466</v>
      </c>
      <c r="B10528" s="17" t="s">
        <v>7800</v>
      </c>
      <c r="C10528" s="12">
        <v>31321</v>
      </c>
      <c r="D10528" s="13" t="s">
        <v>8465</v>
      </c>
      <c r="E10528" s="10" t="s">
        <v>166</v>
      </c>
      <c r="F10528" s="10" t="s">
        <v>166</v>
      </c>
      <c r="G10528" s="11" t="s">
        <v>13464</v>
      </c>
      <c r="H10528" s="2" t="s">
        <v>2826</v>
      </c>
      <c r="L10528" s="18">
        <v>0</v>
      </c>
      <c r="Q10528" s="18">
        <v>0</v>
      </c>
      <c r="V10528" s="22">
        <f>3.92/5</f>
        <v>0.78400000000000003</v>
      </c>
      <c r="X10528" s="3">
        <v>2</v>
      </c>
      <c r="Z10528" s="23">
        <v>8</v>
      </c>
      <c r="AB10528" s="18">
        <f t="shared" si="328"/>
        <v>1985</v>
      </c>
      <c r="AC10528" s="22">
        <f t="shared" si="329"/>
        <v>0.59200000000000008</v>
      </c>
    </row>
    <row r="10529" spans="1:29">
      <c r="A10529" s="8" t="s">
        <v>15459</v>
      </c>
      <c r="B10529" s="17" t="s">
        <v>6317</v>
      </c>
      <c r="C10529" s="12">
        <v>31321</v>
      </c>
      <c r="D10529" s="13" t="s">
        <v>8465</v>
      </c>
      <c r="E10529" s="10" t="s">
        <v>2648</v>
      </c>
      <c r="F10529" s="10" t="s">
        <v>73</v>
      </c>
      <c r="H10529" s="2" t="s">
        <v>147</v>
      </c>
      <c r="L10529" s="18">
        <v>0</v>
      </c>
      <c r="Q10529" s="18">
        <v>0</v>
      </c>
      <c r="V10529" s="22">
        <f>3.11/5</f>
        <v>0.622</v>
      </c>
      <c r="X10529" s="3">
        <v>2</v>
      </c>
      <c r="Z10529" s="23">
        <f>54/60</f>
        <v>0.9</v>
      </c>
      <c r="AB10529" s="18">
        <f t="shared" si="328"/>
        <v>1985</v>
      </c>
      <c r="AC10529" s="22">
        <f t="shared" si="329"/>
        <v>0.51100000000000001</v>
      </c>
    </row>
    <row r="10530" spans="1:29" ht="25.5">
      <c r="A10530" s="8" t="s">
        <v>7587</v>
      </c>
      <c r="B10530" s="17" t="s">
        <v>7800</v>
      </c>
      <c r="C10530" s="13">
        <v>31306</v>
      </c>
      <c r="D10530" s="13" t="s">
        <v>8465</v>
      </c>
      <c r="E10530" s="10" t="s">
        <v>1784</v>
      </c>
      <c r="F10530" s="10" t="s">
        <v>1784</v>
      </c>
      <c r="G10530" s="11" t="s">
        <v>1785</v>
      </c>
      <c r="H10530" s="2" t="s">
        <v>1720</v>
      </c>
      <c r="L10530" s="18">
        <v>1</v>
      </c>
      <c r="N10530" s="13">
        <v>41078</v>
      </c>
      <c r="O10530" s="29">
        <v>0</v>
      </c>
      <c r="P10530" s="18" t="s">
        <v>1107</v>
      </c>
      <c r="Q10530" s="18">
        <v>0</v>
      </c>
      <c r="V10530" s="22">
        <f>3.82/5</f>
        <v>0.76400000000000001</v>
      </c>
      <c r="W10530" s="14" t="s">
        <v>7778</v>
      </c>
      <c r="X10530" s="3">
        <v>3</v>
      </c>
      <c r="Z10530" s="23">
        <v>27</v>
      </c>
      <c r="AB10530" s="18">
        <f t="shared" si="328"/>
        <v>1985</v>
      </c>
      <c r="AC10530" s="22">
        <f t="shared" si="329"/>
        <v>0.68199999999999994</v>
      </c>
    </row>
    <row r="10531" spans="1:29" ht="25.5">
      <c r="A10531" s="8" t="s">
        <v>14988</v>
      </c>
      <c r="B10531" s="17" t="s">
        <v>7800</v>
      </c>
      <c r="C10531" s="13">
        <v>31273</v>
      </c>
      <c r="D10531" s="13" t="s">
        <v>8465</v>
      </c>
      <c r="E10531" s="10" t="s">
        <v>166</v>
      </c>
      <c r="F10531" s="10" t="s">
        <v>166</v>
      </c>
      <c r="H10531" s="2" t="s">
        <v>2826</v>
      </c>
      <c r="L10531" s="18">
        <v>0</v>
      </c>
      <c r="Q10531" s="18">
        <v>0</v>
      </c>
      <c r="V10531" s="22">
        <f>4.24/5</f>
        <v>0.84800000000000009</v>
      </c>
      <c r="X10531" s="3">
        <v>3</v>
      </c>
      <c r="Z10531" s="23">
        <v>5.5</v>
      </c>
      <c r="AB10531" s="18">
        <f t="shared" si="328"/>
        <v>1985</v>
      </c>
      <c r="AC10531" s="22">
        <f t="shared" si="329"/>
        <v>0.72399999999999998</v>
      </c>
    </row>
    <row r="10532" spans="1:29" ht="30">
      <c r="A10532" s="8" t="s">
        <v>13747</v>
      </c>
      <c r="B10532" s="17" t="s">
        <v>7750</v>
      </c>
      <c r="C10532" s="13">
        <v>31250</v>
      </c>
      <c r="D10532" s="13" t="s">
        <v>8465</v>
      </c>
      <c r="E10532" s="10" t="s">
        <v>455</v>
      </c>
      <c r="F10532" s="10" t="s">
        <v>455</v>
      </c>
      <c r="G10532" s="11" t="s">
        <v>13747</v>
      </c>
      <c r="H10532" s="2" t="s">
        <v>150</v>
      </c>
      <c r="L10532" s="18">
        <v>0</v>
      </c>
      <c r="Q10532" s="18">
        <v>0</v>
      </c>
      <c r="V10532" s="22">
        <f>3.19/5</f>
        <v>0.63800000000000001</v>
      </c>
      <c r="X10532" s="3">
        <v>2</v>
      </c>
      <c r="Z10532" s="23">
        <f>36/60</f>
        <v>0.6</v>
      </c>
      <c r="AB10532" s="18">
        <f t="shared" si="328"/>
        <v>1985</v>
      </c>
      <c r="AC10532" s="22">
        <f t="shared" si="329"/>
        <v>0.51900000000000002</v>
      </c>
    </row>
    <row r="10533" spans="1:29" ht="25.5">
      <c r="A10533" s="8" t="s">
        <v>6777</v>
      </c>
      <c r="B10533" s="17" t="s">
        <v>7800</v>
      </c>
      <c r="C10533" s="12">
        <v>31168</v>
      </c>
      <c r="D10533" s="13" t="s">
        <v>8465</v>
      </c>
      <c r="E10533" s="10" t="s">
        <v>1496</v>
      </c>
      <c r="F10533" s="10" t="s">
        <v>1496</v>
      </c>
      <c r="G10533" s="11" t="s">
        <v>6895</v>
      </c>
      <c r="H10533" s="2" t="s">
        <v>67</v>
      </c>
      <c r="L10533" s="18">
        <v>1</v>
      </c>
      <c r="N10533" s="13">
        <v>43956</v>
      </c>
      <c r="O10533" s="29">
        <v>0</v>
      </c>
      <c r="P10533" s="18" t="s">
        <v>1107</v>
      </c>
      <c r="Q10533" s="18">
        <v>0</v>
      </c>
      <c r="U10533" s="22">
        <v>0.62</v>
      </c>
      <c r="V10533" s="22">
        <f>3.49/5</f>
        <v>0.69800000000000006</v>
      </c>
      <c r="W10533" s="14" t="s">
        <v>7777</v>
      </c>
      <c r="X10533" s="3">
        <v>3</v>
      </c>
      <c r="Z10533" s="23">
        <v>3</v>
      </c>
      <c r="AB10533" s="18">
        <f t="shared" si="328"/>
        <v>1985</v>
      </c>
      <c r="AC10533" s="22">
        <f t="shared" si="329"/>
        <v>0.63933333333333342</v>
      </c>
    </row>
    <row r="10534" spans="1:29">
      <c r="A10534" s="8" t="s">
        <v>15451</v>
      </c>
      <c r="B10534" s="17" t="s">
        <v>6317</v>
      </c>
      <c r="C10534" s="12">
        <v>31138</v>
      </c>
      <c r="D10534" s="13" t="s">
        <v>8465</v>
      </c>
      <c r="E10534" s="10" t="s">
        <v>15452</v>
      </c>
      <c r="F10534" s="10" t="s">
        <v>73</v>
      </c>
      <c r="H10534" s="2" t="s">
        <v>21</v>
      </c>
      <c r="L10534" s="18">
        <v>0</v>
      </c>
      <c r="Q10534" s="18">
        <v>0</v>
      </c>
      <c r="V10534" s="22">
        <f>2.61/5</f>
        <v>0.52200000000000002</v>
      </c>
      <c r="X10534" s="3">
        <v>2</v>
      </c>
      <c r="Z10534" s="23">
        <v>1</v>
      </c>
      <c r="AB10534" s="18">
        <f t="shared" si="328"/>
        <v>1985</v>
      </c>
      <c r="AC10534" s="22">
        <f t="shared" si="329"/>
        <v>0.46100000000000002</v>
      </c>
    </row>
    <row r="10535" spans="1:29">
      <c r="A10535" s="8" t="s">
        <v>230</v>
      </c>
      <c r="B10535" s="17" t="s">
        <v>6317</v>
      </c>
      <c r="C10535" s="13">
        <v>31111</v>
      </c>
      <c r="D10535" s="13" t="s">
        <v>8463</v>
      </c>
      <c r="E10535" s="10" t="s">
        <v>72</v>
      </c>
      <c r="F10535" s="10" t="s">
        <v>72</v>
      </c>
      <c r="G10535" s="11" t="s">
        <v>230</v>
      </c>
      <c r="H10535" s="2" t="s">
        <v>21</v>
      </c>
      <c r="K10535" s="18">
        <v>0</v>
      </c>
      <c r="L10535" s="18">
        <v>0</v>
      </c>
      <c r="Q10535" s="18">
        <v>0</v>
      </c>
      <c r="V10535" s="22">
        <f>3.36/5</f>
        <v>0.67199999999999993</v>
      </c>
      <c r="X10535" s="3">
        <v>3</v>
      </c>
      <c r="Z10535" s="23">
        <v>0.43</v>
      </c>
      <c r="AB10535" s="18">
        <f t="shared" si="328"/>
        <v>1985</v>
      </c>
      <c r="AC10535" s="22">
        <f t="shared" si="329"/>
        <v>0.6359999999999999</v>
      </c>
    </row>
    <row r="10536" spans="1:29">
      <c r="A10536" s="8" t="s">
        <v>2839</v>
      </c>
      <c r="B10536" s="17" t="s">
        <v>7787</v>
      </c>
      <c r="C10536" s="12">
        <v>31048</v>
      </c>
      <c r="D10536" s="13" t="s">
        <v>8463</v>
      </c>
      <c r="E10536" s="10" t="s">
        <v>72</v>
      </c>
      <c r="F10536" s="10" t="s">
        <v>72</v>
      </c>
      <c r="G10536" s="11" t="s">
        <v>2839</v>
      </c>
      <c r="H10536" s="2" t="s">
        <v>64</v>
      </c>
      <c r="K10536" s="18">
        <v>0</v>
      </c>
      <c r="L10536" s="18">
        <v>0</v>
      </c>
      <c r="Q10536" s="18">
        <v>0</v>
      </c>
      <c r="V10536" s="22">
        <f>4.29/5</f>
        <v>0.85799999999999998</v>
      </c>
      <c r="X10536" s="3">
        <v>3</v>
      </c>
      <c r="AB10536" s="18">
        <f t="shared" si="328"/>
        <v>1985</v>
      </c>
      <c r="AC10536" s="22">
        <f t="shared" si="329"/>
        <v>0.72899999999999998</v>
      </c>
    </row>
    <row r="10537" spans="1:29">
      <c r="A10537" s="8" t="s">
        <v>5274</v>
      </c>
      <c r="B10537" s="17" t="s">
        <v>7800</v>
      </c>
      <c r="C10537" s="12">
        <v>31048</v>
      </c>
      <c r="D10537" s="13" t="s">
        <v>8465</v>
      </c>
      <c r="E10537" s="10" t="s">
        <v>231</v>
      </c>
      <c r="F10537" s="10" t="s">
        <v>1272</v>
      </c>
      <c r="G10537" s="11" t="s">
        <v>5274</v>
      </c>
      <c r="H10537" s="2" t="s">
        <v>1720</v>
      </c>
      <c r="L10537" s="18">
        <v>0</v>
      </c>
      <c r="Q10537" s="18">
        <v>0</v>
      </c>
      <c r="V10537" s="22">
        <f>3.64/5</f>
        <v>0.72799999999999998</v>
      </c>
      <c r="X10537" s="3">
        <v>3</v>
      </c>
      <c r="Z10537" s="23">
        <v>14</v>
      </c>
      <c r="AB10537" s="18">
        <f t="shared" si="328"/>
        <v>1985</v>
      </c>
      <c r="AC10537" s="22">
        <f t="shared" si="329"/>
        <v>0.66399999999999992</v>
      </c>
    </row>
    <row r="10538" spans="1:29">
      <c r="A10538" s="8" t="s">
        <v>15189</v>
      </c>
      <c r="B10538" s="17" t="s">
        <v>15185</v>
      </c>
      <c r="C10538" s="24">
        <v>31048</v>
      </c>
      <c r="D10538" s="13" t="s">
        <v>8467</v>
      </c>
      <c r="E10538" s="10" t="s">
        <v>15190</v>
      </c>
      <c r="F10538" s="10" t="s">
        <v>15190</v>
      </c>
      <c r="H10538" s="2" t="s">
        <v>151</v>
      </c>
      <c r="L10538" s="18">
        <v>0</v>
      </c>
      <c r="Q10538" s="18">
        <v>0</v>
      </c>
      <c r="V10538" s="22">
        <f>4/5</f>
        <v>0.8</v>
      </c>
      <c r="X10538" s="3">
        <v>2</v>
      </c>
      <c r="AB10538" s="18">
        <f t="shared" si="328"/>
        <v>1985</v>
      </c>
      <c r="AC10538" s="22">
        <f t="shared" si="329"/>
        <v>0.60000000000000009</v>
      </c>
    </row>
    <row r="10539" spans="1:29">
      <c r="A10539" s="8" t="s">
        <v>273</v>
      </c>
      <c r="B10539" s="17" t="s">
        <v>7734</v>
      </c>
      <c r="C10539" s="12">
        <v>31048</v>
      </c>
      <c r="D10539" s="13" t="s">
        <v>8463</v>
      </c>
      <c r="E10539" s="10" t="s">
        <v>1241</v>
      </c>
      <c r="F10539" s="10" t="s">
        <v>1241</v>
      </c>
      <c r="G10539" s="11" t="s">
        <v>273</v>
      </c>
      <c r="H10539" s="2" t="s">
        <v>171</v>
      </c>
      <c r="K10539" s="18">
        <v>2</v>
      </c>
      <c r="L10539" s="18">
        <v>0</v>
      </c>
      <c r="Q10539" s="18">
        <v>0</v>
      </c>
      <c r="V10539" s="22">
        <f>3.53/5</f>
        <v>0.70599999999999996</v>
      </c>
      <c r="X10539" s="3">
        <v>2</v>
      </c>
      <c r="AB10539" s="18">
        <f t="shared" si="328"/>
        <v>1985</v>
      </c>
      <c r="AC10539" s="22">
        <f t="shared" si="329"/>
        <v>0.55299999999999994</v>
      </c>
    </row>
    <row r="10540" spans="1:29">
      <c r="A10540" s="8" t="s">
        <v>15193</v>
      </c>
      <c r="B10540" s="17" t="s">
        <v>7767</v>
      </c>
      <c r="C10540" s="24">
        <v>31048</v>
      </c>
      <c r="D10540" s="13" t="s">
        <v>8467</v>
      </c>
      <c r="E10540" s="10" t="s">
        <v>15194</v>
      </c>
      <c r="F10540" s="10" t="s">
        <v>15194</v>
      </c>
      <c r="H10540" s="2" t="s">
        <v>151</v>
      </c>
      <c r="L10540" s="18">
        <v>0</v>
      </c>
      <c r="Q10540" s="18">
        <v>0</v>
      </c>
      <c r="V10540" s="22">
        <f>3.38/5</f>
        <v>0.67599999999999993</v>
      </c>
      <c r="X10540" s="3">
        <v>2</v>
      </c>
      <c r="AB10540" s="18">
        <f t="shared" si="328"/>
        <v>1985</v>
      </c>
      <c r="AC10540" s="22">
        <f t="shared" si="329"/>
        <v>0.53800000000000003</v>
      </c>
    </row>
    <row r="10541" spans="1:29">
      <c r="A10541" s="8" t="s">
        <v>15187</v>
      </c>
      <c r="B10541" s="17" t="s">
        <v>15188</v>
      </c>
      <c r="C10541" s="24">
        <v>31048</v>
      </c>
      <c r="D10541" s="13" t="s">
        <v>8463</v>
      </c>
      <c r="E10541" s="10" t="s">
        <v>1367</v>
      </c>
      <c r="F10541" s="10" t="s">
        <v>1367</v>
      </c>
      <c r="G10541" s="11" t="s">
        <v>15187</v>
      </c>
      <c r="H10541" s="2" t="s">
        <v>151</v>
      </c>
      <c r="K10541" s="18">
        <v>0</v>
      </c>
      <c r="L10541" s="18">
        <v>0</v>
      </c>
      <c r="Q10541" s="18">
        <v>0</v>
      </c>
      <c r="V10541" s="22">
        <f>3.31/5</f>
        <v>0.66200000000000003</v>
      </c>
      <c r="X10541" s="3">
        <v>2</v>
      </c>
      <c r="AB10541" s="18">
        <f t="shared" si="328"/>
        <v>1985</v>
      </c>
      <c r="AC10541" s="22">
        <f t="shared" si="329"/>
        <v>0.53100000000000003</v>
      </c>
    </row>
    <row r="10542" spans="1:29">
      <c r="A10542" s="8" t="s">
        <v>12877</v>
      </c>
      <c r="B10542" s="17" t="s">
        <v>12878</v>
      </c>
      <c r="C10542" s="24">
        <v>31048</v>
      </c>
      <c r="D10542" s="13" t="s">
        <v>8463</v>
      </c>
      <c r="E10542" s="10" t="s">
        <v>257</v>
      </c>
      <c r="F10542" s="10" t="s">
        <v>257</v>
      </c>
      <c r="H10542" s="2" t="s">
        <v>151</v>
      </c>
      <c r="K10542" s="18">
        <v>2</v>
      </c>
      <c r="L10542" s="18">
        <v>0</v>
      </c>
      <c r="Q10542" s="18">
        <v>0</v>
      </c>
      <c r="V10542" s="22">
        <f>3.25/5</f>
        <v>0.65</v>
      </c>
      <c r="X10542" s="3">
        <v>2</v>
      </c>
      <c r="AB10542" s="18">
        <f t="shared" si="328"/>
        <v>1985</v>
      </c>
      <c r="AC10542" s="22">
        <f t="shared" si="329"/>
        <v>0.52500000000000002</v>
      </c>
    </row>
    <row r="10543" spans="1:29">
      <c r="A10543" s="8" t="s">
        <v>13914</v>
      </c>
      <c r="B10543" s="17" t="s">
        <v>7787</v>
      </c>
      <c r="C10543" s="24">
        <v>31048</v>
      </c>
      <c r="D10543" s="13" t="s">
        <v>8467</v>
      </c>
      <c r="E10543" s="10" t="s">
        <v>13915</v>
      </c>
      <c r="F10543" s="10" t="s">
        <v>13915</v>
      </c>
      <c r="H10543" s="2" t="s">
        <v>149</v>
      </c>
      <c r="L10543" s="18">
        <v>0</v>
      </c>
      <c r="Q10543" s="18">
        <v>0</v>
      </c>
      <c r="V10543" s="22">
        <f>3.17/5</f>
        <v>0.63400000000000001</v>
      </c>
      <c r="X10543" s="3">
        <v>2</v>
      </c>
      <c r="AB10543" s="18">
        <f t="shared" si="328"/>
        <v>1985</v>
      </c>
      <c r="AC10543" s="22">
        <f t="shared" si="329"/>
        <v>0.51700000000000002</v>
      </c>
    </row>
    <row r="10544" spans="1:29" ht="25.5">
      <c r="A10544" s="8" t="s">
        <v>15159</v>
      </c>
      <c r="B10544" s="17" t="s">
        <v>7767</v>
      </c>
      <c r="C10544" s="24">
        <v>31048</v>
      </c>
      <c r="D10544" s="13" t="s">
        <v>8467</v>
      </c>
      <c r="E10544" s="10" t="s">
        <v>15160</v>
      </c>
      <c r="F10544" s="10" t="s">
        <v>15161</v>
      </c>
      <c r="H10544" s="2" t="s">
        <v>151</v>
      </c>
      <c r="L10544" s="18">
        <v>0</v>
      </c>
      <c r="Q10544" s="18">
        <v>0</v>
      </c>
      <c r="V10544" s="22">
        <f>3.13/5</f>
        <v>0.626</v>
      </c>
      <c r="X10544" s="3">
        <v>2</v>
      </c>
      <c r="AB10544" s="18">
        <f t="shared" si="328"/>
        <v>1985</v>
      </c>
      <c r="AC10544" s="22">
        <f t="shared" si="329"/>
        <v>0.51300000000000001</v>
      </c>
    </row>
    <row r="10545" spans="1:29">
      <c r="A10545" s="8" t="s">
        <v>14558</v>
      </c>
      <c r="B10545" s="17" t="s">
        <v>6317</v>
      </c>
      <c r="C10545" s="24">
        <v>31048</v>
      </c>
      <c r="D10545" s="13" t="s">
        <v>8465</v>
      </c>
      <c r="E10545" s="10" t="s">
        <v>1241</v>
      </c>
      <c r="F10545" s="10" t="s">
        <v>1241</v>
      </c>
      <c r="G10545" s="11" t="s">
        <v>14558</v>
      </c>
      <c r="H10545" s="2" t="s">
        <v>21</v>
      </c>
      <c r="L10545" s="18">
        <v>0</v>
      </c>
      <c r="Q10545" s="18">
        <v>0</v>
      </c>
      <c r="V10545" s="22">
        <f>3/5</f>
        <v>0.6</v>
      </c>
      <c r="X10545" s="3">
        <v>2</v>
      </c>
      <c r="Z10545" s="23">
        <f>25/60</f>
        <v>0.41666666666666669</v>
      </c>
      <c r="AB10545" s="18">
        <f t="shared" si="328"/>
        <v>1985</v>
      </c>
      <c r="AC10545" s="22">
        <f t="shared" si="329"/>
        <v>0.5</v>
      </c>
    </row>
    <row r="10546" spans="1:29">
      <c r="A10546" s="8" t="s">
        <v>360</v>
      </c>
      <c r="B10546" s="17" t="s">
        <v>6317</v>
      </c>
      <c r="C10546" s="12">
        <v>31048</v>
      </c>
      <c r="D10546" s="13" t="s">
        <v>8465</v>
      </c>
      <c r="E10546" s="10" t="s">
        <v>152</v>
      </c>
      <c r="F10546" s="10" t="s">
        <v>170</v>
      </c>
      <c r="G10546" s="11" t="s">
        <v>360</v>
      </c>
      <c r="H10546" s="2" t="s">
        <v>21</v>
      </c>
      <c r="L10546" s="18">
        <v>0</v>
      </c>
      <c r="Q10546" s="18">
        <v>0</v>
      </c>
      <c r="V10546" s="22">
        <f>2.6/5</f>
        <v>0.52</v>
      </c>
      <c r="X10546" s="3">
        <v>2</v>
      </c>
      <c r="Z10546" s="23">
        <v>1</v>
      </c>
      <c r="AB10546" s="18">
        <f t="shared" si="328"/>
        <v>1985</v>
      </c>
      <c r="AC10546" s="22">
        <f t="shared" si="329"/>
        <v>0.46</v>
      </c>
    </row>
    <row r="10547" spans="1:29">
      <c r="A10547" s="8" t="s">
        <v>14494</v>
      </c>
      <c r="B10547" s="17" t="s">
        <v>14493</v>
      </c>
      <c r="C10547" s="24">
        <v>31048</v>
      </c>
      <c r="D10547" s="13" t="s">
        <v>8463</v>
      </c>
      <c r="E10547" s="10" t="s">
        <v>9060</v>
      </c>
      <c r="F10547" s="10" t="s">
        <v>14464</v>
      </c>
      <c r="G10547" s="11" t="s">
        <v>14492</v>
      </c>
      <c r="H10547" s="2" t="s">
        <v>67</v>
      </c>
      <c r="K10547" s="18">
        <v>0</v>
      </c>
      <c r="L10547" s="18">
        <v>0</v>
      </c>
      <c r="Q10547" s="18">
        <v>0</v>
      </c>
      <c r="V10547" s="22">
        <f>2.36/5</f>
        <v>0.47199999999999998</v>
      </c>
      <c r="X10547" s="3">
        <v>2</v>
      </c>
      <c r="Z10547" s="23">
        <v>2</v>
      </c>
      <c r="AB10547" s="18">
        <f t="shared" si="328"/>
        <v>1985</v>
      </c>
      <c r="AC10547" s="22">
        <f t="shared" si="329"/>
        <v>0.436</v>
      </c>
    </row>
    <row r="10548" spans="1:29">
      <c r="A10548" s="8" t="s">
        <v>7180</v>
      </c>
      <c r="B10548" s="17" t="s">
        <v>7767</v>
      </c>
      <c r="C10548" s="12">
        <v>31048</v>
      </c>
      <c r="D10548" s="13" t="s">
        <v>8465</v>
      </c>
      <c r="E10548" s="10" t="s">
        <v>7616</v>
      </c>
      <c r="F10548" s="10" t="s">
        <v>7617</v>
      </c>
      <c r="G10548" s="11" t="s">
        <v>7180</v>
      </c>
      <c r="H10548" s="2" t="s">
        <v>2138</v>
      </c>
      <c r="L10548" s="18">
        <v>0</v>
      </c>
      <c r="Q10548" s="18">
        <v>0</v>
      </c>
      <c r="V10548" s="22">
        <f>1.88/5</f>
        <v>0.376</v>
      </c>
      <c r="X10548" s="3">
        <v>2</v>
      </c>
      <c r="AB10548" s="18">
        <f t="shared" si="328"/>
        <v>1985</v>
      </c>
      <c r="AC10548" s="22">
        <f t="shared" si="329"/>
        <v>0.38800000000000001</v>
      </c>
    </row>
    <row r="10549" spans="1:29">
      <c r="A10549" s="8" t="s">
        <v>101</v>
      </c>
      <c r="B10549" s="17" t="s">
        <v>7734</v>
      </c>
      <c r="C10549" s="13">
        <v>31338</v>
      </c>
      <c r="D10549" s="13" t="s">
        <v>8465</v>
      </c>
      <c r="E10549" s="10" t="s">
        <v>86</v>
      </c>
      <c r="F10549" s="10" t="s">
        <v>142</v>
      </c>
      <c r="G10549" s="11" t="s">
        <v>138</v>
      </c>
      <c r="H10549" s="2" t="s">
        <v>150</v>
      </c>
      <c r="L10549" s="18">
        <v>0</v>
      </c>
      <c r="Q10549" s="18">
        <v>1</v>
      </c>
      <c r="T10549" s="22">
        <v>0.7</v>
      </c>
      <c r="V10549" s="22">
        <f>3.51/5</f>
        <v>0.70199999999999996</v>
      </c>
      <c r="Y10549" s="18">
        <v>1</v>
      </c>
      <c r="AB10549" s="18">
        <f t="shared" si="328"/>
        <v>1985</v>
      </c>
      <c r="AC10549" s="22">
        <f t="shared" si="329"/>
        <v>0.70099999999999996</v>
      </c>
    </row>
    <row r="10550" spans="1:29">
      <c r="A10550" s="8" t="s">
        <v>92</v>
      </c>
      <c r="B10550" s="17" t="s">
        <v>7734</v>
      </c>
      <c r="C10550" s="13">
        <v>31338</v>
      </c>
      <c r="D10550" s="13" t="s">
        <v>8465</v>
      </c>
      <c r="E10550" s="10" t="s">
        <v>86</v>
      </c>
      <c r="F10550" s="10" t="s">
        <v>142</v>
      </c>
      <c r="G10550" s="11" t="s">
        <v>92</v>
      </c>
      <c r="H10550" s="2" t="s">
        <v>78</v>
      </c>
      <c r="L10550" s="18">
        <v>0</v>
      </c>
      <c r="Q10550" s="18">
        <v>1</v>
      </c>
      <c r="T10550" s="22">
        <v>0.7</v>
      </c>
      <c r="V10550" s="22">
        <f>3.12/5</f>
        <v>0.624</v>
      </c>
      <c r="AB10550" s="18">
        <f t="shared" si="328"/>
        <v>1985</v>
      </c>
      <c r="AC10550" s="22">
        <f t="shared" si="329"/>
        <v>0.66199999999999992</v>
      </c>
    </row>
    <row r="10551" spans="1:29" ht="30">
      <c r="A10551" s="8" t="s">
        <v>90</v>
      </c>
      <c r="B10551" s="17" t="s">
        <v>7734</v>
      </c>
      <c r="C10551" s="12">
        <v>31048</v>
      </c>
      <c r="D10551" s="13" t="s">
        <v>8465</v>
      </c>
      <c r="E10551" s="10" t="s">
        <v>86</v>
      </c>
      <c r="F10551" s="10" t="s">
        <v>141</v>
      </c>
      <c r="G10551" s="11" t="s">
        <v>137</v>
      </c>
      <c r="H10551" s="2" t="s">
        <v>64</v>
      </c>
      <c r="L10551" s="18">
        <v>0</v>
      </c>
      <c r="Q10551" s="18">
        <v>1</v>
      </c>
      <c r="T10551" s="22">
        <v>0.9</v>
      </c>
      <c r="V10551" s="22">
        <f>4.15/5</f>
        <v>0.83000000000000007</v>
      </c>
      <c r="Y10551" s="18">
        <v>1</v>
      </c>
      <c r="AB10551" s="18">
        <f t="shared" si="328"/>
        <v>1985</v>
      </c>
      <c r="AC10551" s="22">
        <f t="shared" si="329"/>
        <v>0.86499999999999999</v>
      </c>
    </row>
    <row r="10552" spans="1:29">
      <c r="A10552" s="8" t="s">
        <v>12350</v>
      </c>
      <c r="B10552" s="17" t="s">
        <v>6317</v>
      </c>
      <c r="C10552" s="12">
        <v>31017</v>
      </c>
      <c r="D10552" s="13" t="s">
        <v>8465</v>
      </c>
      <c r="E10552" s="10" t="s">
        <v>12351</v>
      </c>
      <c r="F10552" s="10" t="s">
        <v>158</v>
      </c>
      <c r="G10552" s="11" t="s">
        <v>4639</v>
      </c>
      <c r="H10552" s="2" t="s">
        <v>64</v>
      </c>
      <c r="L10552" s="18">
        <v>0</v>
      </c>
      <c r="Q10552" s="18">
        <v>0</v>
      </c>
      <c r="V10552" s="22">
        <f>3.39/5</f>
        <v>0.67800000000000005</v>
      </c>
      <c r="X10552" s="3">
        <v>2</v>
      </c>
      <c r="Z10552" s="23">
        <v>1.5</v>
      </c>
      <c r="AB10552" s="18">
        <f t="shared" si="328"/>
        <v>1984</v>
      </c>
      <c r="AC10552" s="22">
        <f t="shared" si="329"/>
        <v>0.53900000000000003</v>
      </c>
    </row>
    <row r="10553" spans="1:29">
      <c r="A10553" s="8">
        <v>1942</v>
      </c>
      <c r="B10553" s="17" t="s">
        <v>6317</v>
      </c>
      <c r="C10553" s="12">
        <v>31017</v>
      </c>
      <c r="D10553" s="13" t="s">
        <v>8465</v>
      </c>
      <c r="E10553" s="10" t="s">
        <v>73</v>
      </c>
      <c r="F10553" s="10" t="s">
        <v>73</v>
      </c>
      <c r="G10553" s="11" t="s">
        <v>441</v>
      </c>
      <c r="H10553" s="2" t="s">
        <v>21</v>
      </c>
      <c r="L10553" s="18">
        <v>0</v>
      </c>
      <c r="Q10553" s="18">
        <v>0</v>
      </c>
      <c r="V10553" s="22">
        <f>3.3/5</f>
        <v>0.65999999999999992</v>
      </c>
      <c r="X10553" s="3">
        <v>2</v>
      </c>
      <c r="Z10553" s="23">
        <v>2</v>
      </c>
      <c r="AB10553" s="18">
        <f t="shared" si="328"/>
        <v>1984</v>
      </c>
      <c r="AC10553" s="22">
        <f t="shared" si="329"/>
        <v>0.53</v>
      </c>
    </row>
    <row r="10554" spans="1:29">
      <c r="A10554" s="8" t="s">
        <v>14492</v>
      </c>
      <c r="B10554" s="17" t="s">
        <v>14493</v>
      </c>
      <c r="C10554" s="12">
        <v>31017</v>
      </c>
      <c r="D10554" s="13" t="s">
        <v>8463</v>
      </c>
      <c r="E10554" s="10" t="s">
        <v>9060</v>
      </c>
      <c r="F10554" s="10" t="s">
        <v>9060</v>
      </c>
      <c r="G10554" s="11" t="s">
        <v>14492</v>
      </c>
      <c r="H10554" s="2" t="s">
        <v>67</v>
      </c>
      <c r="K10554" s="18">
        <v>0</v>
      </c>
      <c r="L10554" s="18">
        <v>0</v>
      </c>
      <c r="Q10554" s="18">
        <v>0</v>
      </c>
      <c r="V10554" s="22">
        <f>3.25/5</f>
        <v>0.65</v>
      </c>
      <c r="X10554" s="3">
        <v>2</v>
      </c>
      <c r="Z10554" s="23">
        <v>1.5</v>
      </c>
      <c r="AB10554" s="18">
        <f t="shared" si="328"/>
        <v>1984</v>
      </c>
      <c r="AC10554" s="22">
        <f t="shared" si="329"/>
        <v>0.52500000000000002</v>
      </c>
    </row>
    <row r="10555" spans="1:29" ht="30">
      <c r="A10555" s="8" t="s">
        <v>13494</v>
      </c>
      <c r="B10555" s="17" t="s">
        <v>7800</v>
      </c>
      <c r="C10555" s="12">
        <v>30956</v>
      </c>
      <c r="D10555" s="13" t="s">
        <v>8465</v>
      </c>
      <c r="E10555" s="10" t="s">
        <v>166</v>
      </c>
      <c r="F10555" s="10" t="s">
        <v>166</v>
      </c>
      <c r="G10555" s="11" t="s">
        <v>13494</v>
      </c>
      <c r="H10555" s="2" t="s">
        <v>2826</v>
      </c>
      <c r="L10555" s="18">
        <v>0</v>
      </c>
      <c r="Q10555" s="18">
        <v>0</v>
      </c>
      <c r="V10555" s="22">
        <f>3.78/5</f>
        <v>0.75600000000000001</v>
      </c>
      <c r="X10555" s="3">
        <v>2</v>
      </c>
      <c r="AB10555" s="18">
        <f t="shared" si="328"/>
        <v>1984</v>
      </c>
      <c r="AC10555" s="22">
        <f t="shared" si="329"/>
        <v>0.57800000000000007</v>
      </c>
    </row>
    <row r="10556" spans="1:29">
      <c r="A10556" s="8" t="s">
        <v>15169</v>
      </c>
      <c r="B10556" s="17" t="s">
        <v>7767</v>
      </c>
      <c r="C10556" s="12">
        <v>30956</v>
      </c>
      <c r="D10556" s="13" t="s">
        <v>8465</v>
      </c>
      <c r="E10556" s="10" t="s">
        <v>15170</v>
      </c>
      <c r="F10556" s="10" t="s">
        <v>15170</v>
      </c>
      <c r="G10556" s="11" t="s">
        <v>15169</v>
      </c>
      <c r="H10556" s="2" t="s">
        <v>151</v>
      </c>
      <c r="L10556" s="18">
        <v>0</v>
      </c>
      <c r="Q10556" s="18">
        <v>0</v>
      </c>
      <c r="V10556" s="22">
        <f>3.69/5</f>
        <v>0.73799999999999999</v>
      </c>
      <c r="X10556" s="3">
        <v>2</v>
      </c>
      <c r="Z10556" s="23">
        <f>20/60</f>
        <v>0.33333333333333331</v>
      </c>
      <c r="AB10556" s="18">
        <f t="shared" si="328"/>
        <v>1984</v>
      </c>
      <c r="AC10556" s="22">
        <f t="shared" si="329"/>
        <v>0.56899999999999995</v>
      </c>
    </row>
    <row r="10557" spans="1:29" ht="25.5">
      <c r="A10557" s="8" t="s">
        <v>13461</v>
      </c>
      <c r="B10557" s="17" t="s">
        <v>7800</v>
      </c>
      <c r="C10557" s="12">
        <v>30834</v>
      </c>
      <c r="D10557" s="13" t="s">
        <v>8465</v>
      </c>
      <c r="E10557" s="10" t="s">
        <v>166</v>
      </c>
      <c r="F10557" s="10" t="s">
        <v>166</v>
      </c>
      <c r="G10557" s="11" t="s">
        <v>6921</v>
      </c>
      <c r="H10557" s="2" t="s">
        <v>2826</v>
      </c>
      <c r="L10557" s="18">
        <v>0</v>
      </c>
      <c r="Q10557" s="18">
        <v>0</v>
      </c>
      <c r="V10557" s="22">
        <f>3.56/5</f>
        <v>0.71199999999999997</v>
      </c>
      <c r="X10557" s="3">
        <v>2</v>
      </c>
      <c r="Z10557" s="23">
        <v>2.5</v>
      </c>
      <c r="AB10557" s="18">
        <f t="shared" si="328"/>
        <v>1984</v>
      </c>
      <c r="AC10557" s="22">
        <f t="shared" si="329"/>
        <v>0.55600000000000005</v>
      </c>
    </row>
    <row r="10558" spans="1:29" ht="25.5">
      <c r="A10558" s="8" t="s">
        <v>6783</v>
      </c>
      <c r="B10558" s="17" t="s">
        <v>7800</v>
      </c>
      <c r="C10558" s="13">
        <v>30812</v>
      </c>
      <c r="D10558" s="13" t="s">
        <v>8465</v>
      </c>
      <c r="E10558" s="10" t="s">
        <v>1496</v>
      </c>
      <c r="F10558" s="10" t="s">
        <v>1496</v>
      </c>
      <c r="G10558" s="11" t="s">
        <v>6895</v>
      </c>
      <c r="H10558" s="2" t="s">
        <v>67</v>
      </c>
      <c r="L10558" s="18">
        <v>1</v>
      </c>
      <c r="N10558" s="13">
        <v>43956</v>
      </c>
      <c r="O10558" s="29">
        <v>0</v>
      </c>
      <c r="P10558" s="18" t="s">
        <v>1107</v>
      </c>
      <c r="Q10558" s="18">
        <v>0</v>
      </c>
      <c r="U10558" s="22">
        <v>0.8</v>
      </c>
      <c r="V10558" s="22">
        <f>3.58/5</f>
        <v>0.71599999999999997</v>
      </c>
      <c r="W10558" s="14" t="s">
        <v>7777</v>
      </c>
      <c r="X10558" s="3">
        <v>3</v>
      </c>
      <c r="Z10558" s="23">
        <v>3</v>
      </c>
      <c r="AB10558" s="18">
        <f t="shared" si="328"/>
        <v>1984</v>
      </c>
      <c r="AC10558" s="22">
        <f t="shared" si="329"/>
        <v>0.70533333333333337</v>
      </c>
    </row>
    <row r="10559" spans="1:29">
      <c r="A10559" s="8" t="s">
        <v>13465</v>
      </c>
      <c r="B10559" s="17" t="s">
        <v>7800</v>
      </c>
      <c r="C10559" s="12">
        <v>30742</v>
      </c>
      <c r="D10559" s="13" t="s">
        <v>8465</v>
      </c>
      <c r="E10559" s="10" t="s">
        <v>166</v>
      </c>
      <c r="F10559" s="10" t="s">
        <v>166</v>
      </c>
      <c r="G10559" s="11" t="s">
        <v>13464</v>
      </c>
      <c r="H10559" s="2" t="s">
        <v>2826</v>
      </c>
      <c r="L10559" s="18">
        <v>0</v>
      </c>
      <c r="Q10559" s="18">
        <v>0</v>
      </c>
      <c r="V10559" s="22">
        <f>3.79/5</f>
        <v>0.75800000000000001</v>
      </c>
      <c r="X10559" s="3">
        <v>2</v>
      </c>
      <c r="AB10559" s="18">
        <f t="shared" si="328"/>
        <v>1984</v>
      </c>
      <c r="AC10559" s="22">
        <f t="shared" si="329"/>
        <v>0.57899999999999996</v>
      </c>
    </row>
    <row r="10560" spans="1:29">
      <c r="A10560" s="8" t="s">
        <v>13899</v>
      </c>
      <c r="B10560" s="17" t="s">
        <v>7784</v>
      </c>
      <c r="C10560" s="13">
        <v>30722</v>
      </c>
      <c r="D10560" s="13" t="s">
        <v>8465</v>
      </c>
      <c r="E10560" s="10" t="s">
        <v>1273</v>
      </c>
      <c r="F10560" s="10" t="s">
        <v>1273</v>
      </c>
      <c r="G10560" s="11" t="s">
        <v>13898</v>
      </c>
      <c r="H10560" s="2" t="s">
        <v>64</v>
      </c>
      <c r="L10560" s="18">
        <v>0</v>
      </c>
      <c r="Q10560" s="18">
        <v>0</v>
      </c>
      <c r="V10560" s="22">
        <f>3.8/5</f>
        <v>0.76</v>
      </c>
      <c r="X10560" s="3">
        <v>2</v>
      </c>
      <c r="Z10560" s="23">
        <f>38/60</f>
        <v>0.6333333333333333</v>
      </c>
      <c r="AB10560" s="18">
        <f t="shared" si="328"/>
        <v>1984</v>
      </c>
      <c r="AC10560" s="22">
        <f t="shared" si="329"/>
        <v>0.58000000000000007</v>
      </c>
    </row>
    <row r="10561" spans="1:29" ht="25.5">
      <c r="A10561" s="8" t="s">
        <v>11740</v>
      </c>
      <c r="B10561" s="17" t="s">
        <v>7784</v>
      </c>
      <c r="C10561" s="12">
        <v>30713</v>
      </c>
      <c r="D10561" s="13" t="s">
        <v>8465</v>
      </c>
      <c r="E10561" s="10" t="s">
        <v>311</v>
      </c>
      <c r="F10561" s="10" t="s">
        <v>311</v>
      </c>
      <c r="G10561" s="11" t="s">
        <v>11738</v>
      </c>
      <c r="H10561" s="2" t="s">
        <v>80</v>
      </c>
      <c r="L10561" s="18">
        <v>0</v>
      </c>
      <c r="Q10561" s="18">
        <v>0</v>
      </c>
      <c r="V10561" s="22">
        <f>2.5/5</f>
        <v>0.5</v>
      </c>
      <c r="X10561" s="3">
        <v>2</v>
      </c>
      <c r="Z10561" s="23">
        <f>18/60</f>
        <v>0.3</v>
      </c>
      <c r="AB10561" s="18">
        <f t="shared" ref="AB10561:AB10632" si="330">IFERROR(YEAR(C10561), "Early Access")</f>
        <v>1984</v>
      </c>
      <c r="AC10561" s="22">
        <f t="shared" ref="AC10561:AC10628" si="331">AVERAGE(T10561, U10561, V10561, IF(ISBLANK(X10561), X10561, X10561/5))</f>
        <v>0.45</v>
      </c>
    </row>
    <row r="10562" spans="1:29" ht="38.25">
      <c r="A10562" s="8" t="s">
        <v>6838</v>
      </c>
      <c r="B10562" s="17" t="s">
        <v>7800</v>
      </c>
      <c r="C10562" s="12">
        <v>30682</v>
      </c>
      <c r="D10562" s="13" t="s">
        <v>8465</v>
      </c>
      <c r="E10562" s="10" t="s">
        <v>6885</v>
      </c>
      <c r="F10562" s="10" t="s">
        <v>6885</v>
      </c>
      <c r="G10562" s="11" t="s">
        <v>5566</v>
      </c>
      <c r="H10562" s="2" t="s">
        <v>1720</v>
      </c>
      <c r="L10562" s="18">
        <v>0</v>
      </c>
      <c r="Q10562" s="18">
        <v>0</v>
      </c>
      <c r="V10562" s="22">
        <f>3.79/5</f>
        <v>0.75800000000000001</v>
      </c>
      <c r="X10562" s="3">
        <v>3</v>
      </c>
      <c r="Z10562" s="23">
        <v>21.5</v>
      </c>
      <c r="AB10562" s="18">
        <f t="shared" si="330"/>
        <v>1984</v>
      </c>
      <c r="AC10562" s="22">
        <f t="shared" si="331"/>
        <v>0.67900000000000005</v>
      </c>
    </row>
    <row r="10563" spans="1:29">
      <c r="A10563" s="8" t="s">
        <v>13464</v>
      </c>
      <c r="B10563" s="17" t="s">
        <v>7800</v>
      </c>
      <c r="C10563" s="24">
        <v>30682</v>
      </c>
      <c r="D10563" s="13" t="s">
        <v>8465</v>
      </c>
      <c r="E10563" s="10" t="s">
        <v>166</v>
      </c>
      <c r="F10563" s="10" t="s">
        <v>166</v>
      </c>
      <c r="G10563" s="11" t="s">
        <v>13464</v>
      </c>
      <c r="H10563" s="2" t="s">
        <v>2826</v>
      </c>
      <c r="L10563" s="18">
        <v>0</v>
      </c>
      <c r="Q10563" s="18">
        <v>0</v>
      </c>
      <c r="V10563" s="22">
        <f>3.84/5</f>
        <v>0.76800000000000002</v>
      </c>
      <c r="X10563" s="3">
        <v>2</v>
      </c>
      <c r="Z10563" s="23">
        <f>20/60</f>
        <v>0.33333333333333331</v>
      </c>
      <c r="AB10563" s="18">
        <f t="shared" si="330"/>
        <v>1984</v>
      </c>
      <c r="AC10563" s="22">
        <f t="shared" si="331"/>
        <v>0.58400000000000007</v>
      </c>
    </row>
    <row r="10564" spans="1:29" ht="30">
      <c r="A10564" s="8" t="s">
        <v>14865</v>
      </c>
      <c r="B10564" s="17" t="s">
        <v>13822</v>
      </c>
      <c r="C10564" s="24">
        <v>30682</v>
      </c>
      <c r="D10564" s="13" t="s">
        <v>8465</v>
      </c>
      <c r="E10564" s="10" t="s">
        <v>14866</v>
      </c>
      <c r="F10564" s="10" t="s">
        <v>14867</v>
      </c>
      <c r="G10564" s="11" t="s">
        <v>14868</v>
      </c>
      <c r="H10564" s="2" t="s">
        <v>1720</v>
      </c>
      <c r="L10564" s="18">
        <v>0</v>
      </c>
      <c r="Q10564" s="18">
        <v>0</v>
      </c>
      <c r="V10564" s="22">
        <f>3.33/5</f>
        <v>0.66600000000000004</v>
      </c>
      <c r="X10564" s="3">
        <v>2</v>
      </c>
      <c r="AB10564" s="18">
        <f t="shared" si="330"/>
        <v>1984</v>
      </c>
      <c r="AC10564" s="22">
        <f t="shared" si="331"/>
        <v>0.53300000000000003</v>
      </c>
    </row>
    <row r="10565" spans="1:29">
      <c r="A10565" s="8" t="s">
        <v>6621</v>
      </c>
      <c r="B10565" s="17" t="s">
        <v>6317</v>
      </c>
      <c r="C10565" s="12">
        <v>30682</v>
      </c>
      <c r="D10565" s="13" t="s">
        <v>8465</v>
      </c>
      <c r="E10565" s="10" t="s">
        <v>76</v>
      </c>
      <c r="F10565" s="10" t="s">
        <v>76</v>
      </c>
      <c r="G10565" s="11" t="s">
        <v>6620</v>
      </c>
      <c r="H10565" s="2" t="s">
        <v>21</v>
      </c>
      <c r="L10565" s="18">
        <v>0</v>
      </c>
      <c r="Q10565" s="18">
        <v>0</v>
      </c>
      <c r="V10565" s="22">
        <f>3.15/5</f>
        <v>0.63</v>
      </c>
      <c r="X10565" s="3">
        <v>2</v>
      </c>
      <c r="Z10565" s="23">
        <v>1.5</v>
      </c>
      <c r="AB10565" s="18">
        <f t="shared" si="330"/>
        <v>1984</v>
      </c>
      <c r="AC10565" s="22">
        <f t="shared" si="331"/>
        <v>0.51500000000000001</v>
      </c>
    </row>
    <row r="10566" spans="1:29" ht="25.5">
      <c r="A10566" s="8" t="s">
        <v>7563</v>
      </c>
      <c r="B10566" s="17" t="s">
        <v>7800</v>
      </c>
      <c r="C10566" s="12">
        <v>30682</v>
      </c>
      <c r="D10566" s="13" t="s">
        <v>8465</v>
      </c>
      <c r="E10566" s="10" t="s">
        <v>7562</v>
      </c>
      <c r="F10566" s="10" t="s">
        <v>7562</v>
      </c>
      <c r="G10566" s="11" t="s">
        <v>1724</v>
      </c>
      <c r="H10566" s="2" t="s">
        <v>245</v>
      </c>
      <c r="L10566" s="18">
        <v>0</v>
      </c>
      <c r="Q10566" s="18">
        <v>0</v>
      </c>
      <c r="V10566" s="22">
        <f>3.13/5</f>
        <v>0.626</v>
      </c>
      <c r="X10566" s="3">
        <v>2</v>
      </c>
      <c r="Z10566" s="23">
        <v>5</v>
      </c>
      <c r="AB10566" s="18">
        <f t="shared" si="330"/>
        <v>1984</v>
      </c>
      <c r="AC10566" s="22">
        <f t="shared" si="331"/>
        <v>0.51300000000000001</v>
      </c>
    </row>
    <row r="10567" spans="1:29">
      <c r="A10567" s="8" t="s">
        <v>13908</v>
      </c>
      <c r="B10567" s="17" t="s">
        <v>13909</v>
      </c>
      <c r="C10567" s="24">
        <v>30682</v>
      </c>
      <c r="D10567" s="13" t="s">
        <v>8465</v>
      </c>
      <c r="E10567" s="10" t="s">
        <v>13910</v>
      </c>
      <c r="F10567" s="10" t="s">
        <v>13910</v>
      </c>
      <c r="H10567" s="2" t="s">
        <v>78</v>
      </c>
      <c r="L10567" s="18">
        <v>0</v>
      </c>
      <c r="Q10567" s="18">
        <v>0</v>
      </c>
      <c r="V10567" s="22">
        <f>2.75/5</f>
        <v>0.55000000000000004</v>
      </c>
      <c r="X10567" s="3">
        <v>2</v>
      </c>
      <c r="AB10567" s="18">
        <f t="shared" si="330"/>
        <v>1984</v>
      </c>
      <c r="AC10567" s="22">
        <f t="shared" si="331"/>
        <v>0.47500000000000003</v>
      </c>
    </row>
    <row r="10568" spans="1:29">
      <c r="A10568" s="8" t="s">
        <v>442</v>
      </c>
      <c r="B10568" s="17" t="s">
        <v>7767</v>
      </c>
      <c r="C10568" s="24">
        <v>30682</v>
      </c>
      <c r="D10568" s="13" t="s">
        <v>8465</v>
      </c>
      <c r="E10568" s="10" t="s">
        <v>14872</v>
      </c>
      <c r="F10568" s="10" t="s">
        <v>14873</v>
      </c>
      <c r="G10568" s="11" t="s">
        <v>442</v>
      </c>
      <c r="H10568" s="2" t="s">
        <v>1334</v>
      </c>
      <c r="L10568" s="18">
        <v>0</v>
      </c>
      <c r="Q10568" s="18">
        <v>0</v>
      </c>
      <c r="V10568" s="22">
        <f>2.75/5</f>
        <v>0.55000000000000004</v>
      </c>
      <c r="X10568" s="3">
        <v>2</v>
      </c>
      <c r="AB10568" s="18">
        <f t="shared" si="330"/>
        <v>1984</v>
      </c>
      <c r="AC10568" s="22">
        <f t="shared" si="331"/>
        <v>0.47500000000000003</v>
      </c>
    </row>
    <row r="10569" spans="1:29" ht="25.5">
      <c r="A10569" s="8" t="s">
        <v>15162</v>
      </c>
      <c r="B10569" s="17" t="s">
        <v>7767</v>
      </c>
      <c r="C10569" s="24">
        <v>30682</v>
      </c>
      <c r="D10569" s="13" t="s">
        <v>8467</v>
      </c>
      <c r="E10569" s="10" t="s">
        <v>15163</v>
      </c>
      <c r="F10569" s="10" t="s">
        <v>15164</v>
      </c>
      <c r="H10569" s="2" t="s">
        <v>151</v>
      </c>
      <c r="L10569" s="18">
        <v>0</v>
      </c>
      <c r="Q10569" s="18">
        <v>0</v>
      </c>
      <c r="X10569" s="3">
        <v>2</v>
      </c>
      <c r="AB10569" s="18">
        <f t="shared" si="330"/>
        <v>1984</v>
      </c>
      <c r="AC10569" s="22">
        <f t="shared" si="331"/>
        <v>0.4</v>
      </c>
    </row>
    <row r="10570" spans="1:29">
      <c r="A10570" s="8" t="s">
        <v>1298</v>
      </c>
      <c r="B10570" s="17" t="s">
        <v>12878</v>
      </c>
      <c r="C10570" s="24">
        <v>30651</v>
      </c>
      <c r="D10570" s="13" t="s">
        <v>8463</v>
      </c>
      <c r="E10570" s="10" t="s">
        <v>13884</v>
      </c>
      <c r="F10570" s="10" t="s">
        <v>13884</v>
      </c>
      <c r="G10570" s="11" t="s">
        <v>1298</v>
      </c>
      <c r="H10570" s="2" t="s">
        <v>21</v>
      </c>
      <c r="K10570" s="18">
        <v>0</v>
      </c>
      <c r="L10570" s="18">
        <v>0</v>
      </c>
      <c r="Q10570" s="18">
        <v>0</v>
      </c>
      <c r="V10570" s="22">
        <f>3.15/5</f>
        <v>0.63</v>
      </c>
      <c r="X10570" s="3">
        <v>2</v>
      </c>
      <c r="Z10570" s="23">
        <f>20/60</f>
        <v>0.33333333333333331</v>
      </c>
      <c r="AB10570" s="18">
        <f t="shared" si="330"/>
        <v>1983</v>
      </c>
      <c r="AC10570" s="22">
        <f t="shared" si="331"/>
        <v>0.51500000000000001</v>
      </c>
    </row>
    <row r="10571" spans="1:29" ht="30">
      <c r="A10571" s="8" t="s">
        <v>14555</v>
      </c>
      <c r="B10571" s="17" t="s">
        <v>10510</v>
      </c>
      <c r="C10571" s="13">
        <v>30629</v>
      </c>
      <c r="D10571" s="13" t="s">
        <v>8463</v>
      </c>
      <c r="E10571" s="10" t="s">
        <v>14556</v>
      </c>
      <c r="F10571" s="10" t="s">
        <v>14557</v>
      </c>
      <c r="H10571" s="2" t="s">
        <v>149</v>
      </c>
      <c r="K10571" s="18">
        <v>0</v>
      </c>
      <c r="L10571" s="18">
        <v>0</v>
      </c>
      <c r="Q10571" s="18">
        <v>0</v>
      </c>
      <c r="X10571" s="3">
        <v>2</v>
      </c>
      <c r="AB10571" s="18">
        <f t="shared" si="330"/>
        <v>1983</v>
      </c>
      <c r="AC10571" s="22">
        <f t="shared" si="331"/>
        <v>0.4</v>
      </c>
    </row>
    <row r="10572" spans="1:29">
      <c r="A10572" s="8" t="s">
        <v>6825</v>
      </c>
      <c r="B10572" s="17" t="s">
        <v>7800</v>
      </c>
      <c r="C10572" s="13">
        <v>30551</v>
      </c>
      <c r="D10572" s="13" t="s">
        <v>8465</v>
      </c>
      <c r="E10572" s="10" t="s">
        <v>1784</v>
      </c>
      <c r="F10572" s="10" t="s">
        <v>1784</v>
      </c>
      <c r="G10572" s="11" t="s">
        <v>1785</v>
      </c>
      <c r="H10572" s="2" t="s">
        <v>1720</v>
      </c>
      <c r="L10572" s="18">
        <v>0</v>
      </c>
      <c r="Q10572" s="18">
        <v>0</v>
      </c>
      <c r="V10572" s="22">
        <f>3.2/5</f>
        <v>0.64</v>
      </c>
      <c r="X10572" s="3">
        <v>3</v>
      </c>
      <c r="Z10572" s="23">
        <v>21.5</v>
      </c>
      <c r="AB10572" s="18">
        <f t="shared" si="330"/>
        <v>1983</v>
      </c>
      <c r="AC10572" s="22">
        <f t="shared" si="331"/>
        <v>0.62</v>
      </c>
    </row>
    <row r="10573" spans="1:29">
      <c r="A10573" s="8" t="s">
        <v>11739</v>
      </c>
      <c r="B10573" s="17" t="s">
        <v>7784</v>
      </c>
      <c r="C10573" s="12">
        <v>30348</v>
      </c>
      <c r="D10573" s="13" t="s">
        <v>8465</v>
      </c>
      <c r="E10573" s="10" t="s">
        <v>311</v>
      </c>
      <c r="F10573" s="10" t="s">
        <v>311</v>
      </c>
      <c r="G10573" s="11" t="s">
        <v>11738</v>
      </c>
      <c r="H10573" s="2" t="s">
        <v>80</v>
      </c>
      <c r="L10573" s="18">
        <v>0</v>
      </c>
      <c r="Q10573" s="18">
        <v>0</v>
      </c>
      <c r="V10573" s="22">
        <f>2.41/5</f>
        <v>0.48200000000000004</v>
      </c>
      <c r="X10573" s="3">
        <v>2</v>
      </c>
      <c r="Z10573" s="23">
        <f>30/60</f>
        <v>0.5</v>
      </c>
      <c r="AB10573" s="18">
        <f t="shared" si="330"/>
        <v>1983</v>
      </c>
      <c r="AC10573" s="22">
        <f t="shared" si="331"/>
        <v>0.44100000000000006</v>
      </c>
    </row>
    <row r="10574" spans="1:29" ht="25.5">
      <c r="A10574" s="8" t="s">
        <v>6835</v>
      </c>
      <c r="B10574" s="17" t="s">
        <v>7800</v>
      </c>
      <c r="C10574" s="12">
        <v>30317</v>
      </c>
      <c r="D10574" s="13" t="s">
        <v>8465</v>
      </c>
      <c r="E10574" s="10" t="s">
        <v>6885</v>
      </c>
      <c r="F10574" s="10" t="s">
        <v>6885</v>
      </c>
      <c r="G10574" s="11" t="s">
        <v>5566</v>
      </c>
      <c r="H10574" s="2" t="s">
        <v>1720</v>
      </c>
      <c r="L10574" s="18">
        <v>0</v>
      </c>
      <c r="Q10574" s="18">
        <v>0</v>
      </c>
      <c r="V10574" s="22">
        <f>3.35/5</f>
        <v>0.67</v>
      </c>
      <c r="X10574" s="3">
        <v>3</v>
      </c>
      <c r="Z10574" s="23">
        <v>22.5</v>
      </c>
      <c r="AB10574" s="18">
        <f t="shared" si="330"/>
        <v>1983</v>
      </c>
      <c r="AC10574" s="22">
        <f t="shared" si="331"/>
        <v>0.63500000000000001</v>
      </c>
    </row>
    <row r="10575" spans="1:29">
      <c r="A10575" s="8" t="s">
        <v>13911</v>
      </c>
      <c r="B10575" s="17" t="s">
        <v>12878</v>
      </c>
      <c r="C10575" s="24">
        <v>30317</v>
      </c>
      <c r="D10575" s="13" t="s">
        <v>8463</v>
      </c>
      <c r="E10575" s="10" t="s">
        <v>257</v>
      </c>
      <c r="F10575" s="10" t="s">
        <v>257</v>
      </c>
      <c r="H10575" s="2" t="s">
        <v>56</v>
      </c>
      <c r="K10575" s="18">
        <v>0</v>
      </c>
      <c r="L10575" s="18">
        <v>0</v>
      </c>
      <c r="Q10575" s="18">
        <v>0</v>
      </c>
      <c r="V10575" s="22">
        <f>3.75/5</f>
        <v>0.75</v>
      </c>
      <c r="X10575" s="3">
        <v>2</v>
      </c>
      <c r="AB10575" s="18">
        <f t="shared" si="330"/>
        <v>1983</v>
      </c>
      <c r="AC10575" s="22">
        <f t="shared" si="331"/>
        <v>0.57499999999999996</v>
      </c>
    </row>
    <row r="10576" spans="1:29">
      <c r="A10576" s="8" t="s">
        <v>13881</v>
      </c>
      <c r="B10576" s="17" t="s">
        <v>13882</v>
      </c>
      <c r="C10576" s="24">
        <v>30317</v>
      </c>
      <c r="D10576" s="13" t="s">
        <v>8465</v>
      </c>
      <c r="E10576" s="10" t="s">
        <v>13883</v>
      </c>
      <c r="F10576" s="10" t="s">
        <v>13883</v>
      </c>
      <c r="H10576" s="2" t="s">
        <v>151</v>
      </c>
      <c r="L10576" s="18">
        <v>0</v>
      </c>
      <c r="Q10576" s="18">
        <v>0</v>
      </c>
      <c r="V10576" s="22">
        <f>3.69/5</f>
        <v>0.73799999999999999</v>
      </c>
      <c r="X10576" s="3">
        <v>2</v>
      </c>
      <c r="AB10576" s="18">
        <f t="shared" si="330"/>
        <v>1983</v>
      </c>
      <c r="AC10576" s="22">
        <f t="shared" si="331"/>
        <v>0.56899999999999995</v>
      </c>
    </row>
    <row r="10577" spans="1:29">
      <c r="A10577" s="8" t="s">
        <v>13460</v>
      </c>
      <c r="B10577" s="17" t="s">
        <v>7800</v>
      </c>
      <c r="C10577" s="24">
        <v>30317</v>
      </c>
      <c r="D10577" s="13" t="s">
        <v>8465</v>
      </c>
      <c r="E10577" s="10" t="s">
        <v>166</v>
      </c>
      <c r="F10577" s="10" t="s">
        <v>166</v>
      </c>
      <c r="G10577" s="11" t="s">
        <v>13460</v>
      </c>
      <c r="H10577" s="2" t="s">
        <v>2826</v>
      </c>
      <c r="L10577" s="18">
        <v>0</v>
      </c>
      <c r="Q10577" s="18">
        <v>0</v>
      </c>
      <c r="V10577" s="22">
        <f>3.67/5</f>
        <v>0.73399999999999999</v>
      </c>
      <c r="X10577" s="3">
        <v>2</v>
      </c>
      <c r="Z10577" s="23">
        <v>1.5</v>
      </c>
      <c r="AB10577" s="18">
        <f t="shared" si="330"/>
        <v>1983</v>
      </c>
      <c r="AC10577" s="22">
        <f t="shared" si="331"/>
        <v>0.56699999999999995</v>
      </c>
    </row>
    <row r="10578" spans="1:29" ht="38.25">
      <c r="A10578" s="8" t="s">
        <v>13895</v>
      </c>
      <c r="B10578" s="17" t="s">
        <v>13893</v>
      </c>
      <c r="C10578" s="24">
        <v>30317</v>
      </c>
      <c r="D10578" s="13" t="s">
        <v>8465</v>
      </c>
      <c r="E10578" s="10" t="s">
        <v>13894</v>
      </c>
      <c r="F10578" s="10" t="s">
        <v>13896</v>
      </c>
      <c r="G10578" s="11" t="s">
        <v>445</v>
      </c>
      <c r="H10578" s="2" t="s">
        <v>1377</v>
      </c>
      <c r="L10578" s="18">
        <v>0</v>
      </c>
      <c r="Q10578" s="18">
        <v>0</v>
      </c>
      <c r="V10578" s="22">
        <f>3.46/5</f>
        <v>0.69199999999999995</v>
      </c>
      <c r="X10578" s="3">
        <v>2</v>
      </c>
      <c r="Z10578" s="23">
        <v>5</v>
      </c>
      <c r="AB10578" s="18">
        <f t="shared" si="330"/>
        <v>1983</v>
      </c>
      <c r="AC10578" s="22">
        <f t="shared" si="331"/>
        <v>0.54600000000000004</v>
      </c>
    </row>
    <row r="10579" spans="1:29">
      <c r="A10579" s="8" t="s">
        <v>8829</v>
      </c>
      <c r="B10579" s="17" t="s">
        <v>13822</v>
      </c>
      <c r="C10579" s="24">
        <v>30317</v>
      </c>
      <c r="D10579" s="13" t="s">
        <v>8465</v>
      </c>
      <c r="E10579" s="10" t="s">
        <v>6923</v>
      </c>
      <c r="F10579" s="10" t="s">
        <v>6923</v>
      </c>
      <c r="G10579" s="11" t="s">
        <v>8829</v>
      </c>
      <c r="H10579" s="2" t="s">
        <v>67</v>
      </c>
      <c r="L10579" s="18">
        <v>0</v>
      </c>
      <c r="Q10579" s="18">
        <v>0</v>
      </c>
      <c r="V10579" s="22">
        <f>3.4/5</f>
        <v>0.67999999999999994</v>
      </c>
      <c r="X10579" s="3">
        <v>2</v>
      </c>
      <c r="Z10579" s="23">
        <v>3</v>
      </c>
      <c r="AB10579" s="18">
        <f t="shared" si="330"/>
        <v>1983</v>
      </c>
      <c r="AC10579" s="22">
        <f t="shared" si="331"/>
        <v>0.54</v>
      </c>
    </row>
    <row r="10580" spans="1:29">
      <c r="A10580" s="8" t="s">
        <v>14897</v>
      </c>
      <c r="B10580" s="17" t="s">
        <v>6317</v>
      </c>
      <c r="C10580" s="24">
        <v>30317</v>
      </c>
      <c r="D10580" s="13" t="s">
        <v>8465</v>
      </c>
      <c r="E10580" s="10" t="s">
        <v>14891</v>
      </c>
      <c r="F10580" s="10" t="s">
        <v>14891</v>
      </c>
      <c r="H10580" s="2" t="s">
        <v>1170</v>
      </c>
      <c r="L10580" s="18">
        <v>0</v>
      </c>
      <c r="Q10580" s="18">
        <v>0</v>
      </c>
      <c r="V10580" s="22">
        <f>3.13/5</f>
        <v>0.626</v>
      </c>
      <c r="X10580" s="3">
        <v>2</v>
      </c>
      <c r="Z10580" s="23">
        <f>25/60</f>
        <v>0.41666666666666669</v>
      </c>
      <c r="AB10580" s="18">
        <f t="shared" si="330"/>
        <v>1983</v>
      </c>
      <c r="AC10580" s="22">
        <f t="shared" si="331"/>
        <v>0.51300000000000001</v>
      </c>
    </row>
    <row r="10581" spans="1:29" ht="30">
      <c r="A10581" s="8" t="s">
        <v>7591</v>
      </c>
      <c r="B10581" s="17" t="s">
        <v>7768</v>
      </c>
      <c r="C10581" s="12">
        <v>30317</v>
      </c>
      <c r="D10581" s="13" t="s">
        <v>8465</v>
      </c>
      <c r="E10581" s="10" t="s">
        <v>6923</v>
      </c>
      <c r="F10581" s="10" t="s">
        <v>6923</v>
      </c>
      <c r="G10581" s="11" t="s">
        <v>1785</v>
      </c>
      <c r="H10581" s="2" t="s">
        <v>1377</v>
      </c>
      <c r="L10581" s="18">
        <v>0</v>
      </c>
      <c r="Q10581" s="18">
        <v>0</v>
      </c>
      <c r="V10581" s="22">
        <f>2.8/5</f>
        <v>0.55999999999999994</v>
      </c>
      <c r="X10581" s="3">
        <v>2</v>
      </c>
      <c r="AB10581" s="18">
        <f t="shared" si="330"/>
        <v>1983</v>
      </c>
      <c r="AC10581" s="22">
        <f t="shared" si="331"/>
        <v>0.48</v>
      </c>
    </row>
    <row r="10582" spans="1:29">
      <c r="A10582" s="8" t="s">
        <v>15936</v>
      </c>
      <c r="B10582" s="17" t="s">
        <v>13882</v>
      </c>
      <c r="C10582" s="24">
        <v>30317</v>
      </c>
      <c r="D10582" s="13" t="s">
        <v>8465</v>
      </c>
      <c r="E10582" s="10" t="s">
        <v>311</v>
      </c>
      <c r="F10582" s="10" t="s">
        <v>311</v>
      </c>
      <c r="H10582" s="2" t="s">
        <v>1377</v>
      </c>
      <c r="L10582" s="18">
        <v>0</v>
      </c>
      <c r="Q10582" s="18">
        <v>0</v>
      </c>
      <c r="X10582" s="3">
        <v>2</v>
      </c>
      <c r="AB10582" s="18">
        <f t="shared" si="330"/>
        <v>1983</v>
      </c>
      <c r="AC10582" s="22">
        <f t="shared" si="331"/>
        <v>0.4</v>
      </c>
    </row>
    <row r="10583" spans="1:29" ht="30">
      <c r="A10583" s="8" t="s">
        <v>15937</v>
      </c>
      <c r="B10583" s="17" t="s">
        <v>15938</v>
      </c>
      <c r="C10583" s="24">
        <v>30317</v>
      </c>
      <c r="D10583" s="13" t="s">
        <v>8465</v>
      </c>
      <c r="E10583" s="10" t="s">
        <v>15939</v>
      </c>
      <c r="F10583" s="10" t="s">
        <v>15939</v>
      </c>
      <c r="H10583" s="2" t="s">
        <v>1377</v>
      </c>
      <c r="L10583" s="18">
        <v>0</v>
      </c>
      <c r="Q10583" s="18">
        <v>0</v>
      </c>
      <c r="V10583" s="22">
        <f>2.5/5</f>
        <v>0.5</v>
      </c>
      <c r="X10583" s="3">
        <v>2</v>
      </c>
      <c r="AB10583" s="18">
        <f t="shared" si="330"/>
        <v>1983</v>
      </c>
      <c r="AC10583" s="22">
        <f t="shared" si="331"/>
        <v>0.45</v>
      </c>
    </row>
    <row r="10584" spans="1:29" ht="25.5">
      <c r="A10584" s="8" t="s">
        <v>11737</v>
      </c>
      <c r="B10584" s="17" t="s">
        <v>7784</v>
      </c>
      <c r="C10584" s="12">
        <v>30225</v>
      </c>
      <c r="D10584" s="13" t="s">
        <v>8465</v>
      </c>
      <c r="E10584" s="10" t="s">
        <v>311</v>
      </c>
      <c r="F10584" s="10" t="s">
        <v>311</v>
      </c>
      <c r="G10584" s="11" t="s">
        <v>11738</v>
      </c>
      <c r="H10584" s="2" t="s">
        <v>80</v>
      </c>
      <c r="L10584" s="18">
        <v>0</v>
      </c>
      <c r="Q10584" s="18">
        <v>0</v>
      </c>
      <c r="V10584" s="22">
        <f>2.67/5</f>
        <v>0.53400000000000003</v>
      </c>
      <c r="X10584" s="3">
        <v>2</v>
      </c>
      <c r="Z10584" s="23">
        <f>18/60</f>
        <v>0.3</v>
      </c>
      <c r="AB10584" s="18">
        <f t="shared" si="330"/>
        <v>1982</v>
      </c>
      <c r="AC10584" s="22">
        <f t="shared" si="331"/>
        <v>0.46700000000000003</v>
      </c>
    </row>
    <row r="10585" spans="1:29" ht="25.5">
      <c r="A10585" s="8" t="s">
        <v>13462</v>
      </c>
      <c r="B10585" s="17" t="s">
        <v>7800</v>
      </c>
      <c r="C10585" s="12">
        <v>30195</v>
      </c>
      <c r="D10585" s="13" t="s">
        <v>8465</v>
      </c>
      <c r="E10585" s="10" t="s">
        <v>166</v>
      </c>
      <c r="F10585" s="10" t="s">
        <v>166</v>
      </c>
      <c r="G10585" s="11" t="s">
        <v>6921</v>
      </c>
      <c r="H10585" s="2" t="s">
        <v>2826</v>
      </c>
      <c r="L10585" s="18">
        <v>0</v>
      </c>
      <c r="Q10585" s="18">
        <v>0</v>
      </c>
      <c r="V10585" s="22">
        <f>3.49/5</f>
        <v>0.69800000000000006</v>
      </c>
      <c r="X10585" s="3">
        <v>2</v>
      </c>
      <c r="Z10585" s="23">
        <v>2</v>
      </c>
      <c r="AB10585" s="18">
        <f t="shared" si="330"/>
        <v>1982</v>
      </c>
      <c r="AC10585" s="22">
        <f t="shared" si="331"/>
        <v>0.54900000000000004</v>
      </c>
    </row>
    <row r="10586" spans="1:29" ht="25.5">
      <c r="A10586" s="8" t="s">
        <v>6824</v>
      </c>
      <c r="B10586" s="17" t="s">
        <v>7800</v>
      </c>
      <c r="C10586" s="13">
        <v>30187</v>
      </c>
      <c r="D10586" s="13" t="s">
        <v>8465</v>
      </c>
      <c r="E10586" s="10" t="s">
        <v>1496</v>
      </c>
      <c r="F10586" s="10" t="s">
        <v>1784</v>
      </c>
      <c r="G10586" s="11" t="s">
        <v>1785</v>
      </c>
      <c r="H10586" s="2" t="s">
        <v>1720</v>
      </c>
      <c r="L10586" s="18">
        <v>0</v>
      </c>
      <c r="Q10586" s="18">
        <v>0</v>
      </c>
      <c r="V10586" s="22">
        <f>2.64/5</f>
        <v>0.52800000000000002</v>
      </c>
      <c r="X10586" s="3">
        <v>3</v>
      </c>
      <c r="Z10586" s="23">
        <v>8</v>
      </c>
      <c r="AB10586" s="18">
        <f t="shared" si="330"/>
        <v>1982</v>
      </c>
      <c r="AC10586" s="22">
        <f t="shared" si="331"/>
        <v>0.56400000000000006</v>
      </c>
    </row>
    <row r="10587" spans="1:29">
      <c r="A10587" s="8" t="s">
        <v>13897</v>
      </c>
      <c r="B10587" s="17" t="s">
        <v>7784</v>
      </c>
      <c r="C10587" s="13">
        <v>30183</v>
      </c>
      <c r="D10587" s="13" t="s">
        <v>8465</v>
      </c>
      <c r="E10587" s="10" t="s">
        <v>1273</v>
      </c>
      <c r="F10587" s="10" t="s">
        <v>1273</v>
      </c>
      <c r="G10587" s="11" t="s">
        <v>13898</v>
      </c>
      <c r="H10587" s="2" t="s">
        <v>64</v>
      </c>
      <c r="L10587" s="18">
        <v>0</v>
      </c>
      <c r="Q10587" s="18">
        <v>0</v>
      </c>
      <c r="V10587" s="22">
        <f>3.7/5</f>
        <v>0.74</v>
      </c>
      <c r="X10587" s="3">
        <v>2</v>
      </c>
      <c r="Z10587" s="23">
        <f>34/60</f>
        <v>0.56666666666666665</v>
      </c>
      <c r="AB10587" s="18">
        <f t="shared" si="330"/>
        <v>1982</v>
      </c>
      <c r="AC10587" s="22">
        <f t="shared" si="331"/>
        <v>0.57000000000000006</v>
      </c>
    </row>
    <row r="10588" spans="1:29" ht="38.25">
      <c r="A10588" s="8" t="s">
        <v>13892</v>
      </c>
      <c r="B10588" s="17" t="s">
        <v>13893</v>
      </c>
      <c r="C10588" s="13">
        <v>30179</v>
      </c>
      <c r="D10588" s="13" t="s">
        <v>8465</v>
      </c>
      <c r="E10588" s="10" t="s">
        <v>13894</v>
      </c>
      <c r="F10588" s="10" t="s">
        <v>13894</v>
      </c>
      <c r="G10588" s="11" t="s">
        <v>445</v>
      </c>
      <c r="H10588" s="2" t="s">
        <v>171</v>
      </c>
      <c r="L10588" s="18">
        <v>0</v>
      </c>
      <c r="Q10588" s="18">
        <v>0</v>
      </c>
      <c r="V10588" s="22">
        <f>3.74/5</f>
        <v>0.748</v>
      </c>
      <c r="X10588" s="3">
        <v>2</v>
      </c>
      <c r="Z10588" s="23">
        <f>35/60</f>
        <v>0.58333333333333337</v>
      </c>
      <c r="AB10588" s="18">
        <f t="shared" si="330"/>
        <v>1982</v>
      </c>
      <c r="AC10588" s="22">
        <f t="shared" si="331"/>
        <v>0.57400000000000007</v>
      </c>
    </row>
    <row r="10589" spans="1:29">
      <c r="A10589" s="8" t="s">
        <v>15940</v>
      </c>
      <c r="B10589" s="17" t="s">
        <v>6317</v>
      </c>
      <c r="C10589" s="12">
        <v>30133</v>
      </c>
      <c r="D10589" s="13" t="s">
        <v>8465</v>
      </c>
      <c r="E10589" s="10" t="s">
        <v>14508</v>
      </c>
      <c r="F10589" s="10" t="s">
        <v>72</v>
      </c>
      <c r="H10589" s="2" t="s">
        <v>1377</v>
      </c>
      <c r="L10589" s="18">
        <v>0</v>
      </c>
      <c r="Q10589" s="18">
        <v>0</v>
      </c>
      <c r="V10589" s="22">
        <f>3.53/5</f>
        <v>0.70599999999999996</v>
      </c>
      <c r="X10589" s="3">
        <v>2</v>
      </c>
      <c r="AB10589" s="18">
        <f t="shared" si="330"/>
        <v>1982</v>
      </c>
      <c r="AC10589" s="22">
        <f t="shared" si="331"/>
        <v>0.55299999999999994</v>
      </c>
    </row>
    <row r="10590" spans="1:29" ht="25.5">
      <c r="A10590" s="8" t="s">
        <v>6834</v>
      </c>
      <c r="B10590" s="17" t="s">
        <v>7800</v>
      </c>
      <c r="C10590" s="12">
        <v>29952</v>
      </c>
      <c r="D10590" s="13" t="s">
        <v>8465</v>
      </c>
      <c r="E10590" s="10" t="s">
        <v>6885</v>
      </c>
      <c r="F10590" s="10" t="s">
        <v>6885</v>
      </c>
      <c r="G10590" s="11" t="s">
        <v>5566</v>
      </c>
      <c r="H10590" s="2" t="s">
        <v>1720</v>
      </c>
      <c r="L10590" s="18">
        <v>0</v>
      </c>
      <c r="Q10590" s="18">
        <v>0</v>
      </c>
      <c r="V10590" s="22">
        <f>3.56/5</f>
        <v>0.71199999999999997</v>
      </c>
      <c r="X10590" s="3">
        <v>3</v>
      </c>
      <c r="Z10590" s="23">
        <v>26</v>
      </c>
      <c r="AB10590" s="18">
        <f t="shared" si="330"/>
        <v>1982</v>
      </c>
      <c r="AC10590" s="22">
        <f t="shared" si="331"/>
        <v>0.65599999999999992</v>
      </c>
    </row>
    <row r="10591" spans="1:29">
      <c r="A10591" s="8" t="s">
        <v>14507</v>
      </c>
      <c r="B10591" s="17" t="s">
        <v>14505</v>
      </c>
      <c r="C10591" s="24">
        <v>29952</v>
      </c>
      <c r="D10591" s="13" t="s">
        <v>8465</v>
      </c>
      <c r="E10591" s="10" t="s">
        <v>14508</v>
      </c>
      <c r="F10591" s="10" t="s">
        <v>72</v>
      </c>
      <c r="H10591" s="2" t="s">
        <v>21</v>
      </c>
      <c r="L10591" s="18">
        <v>0</v>
      </c>
      <c r="Q10591" s="18">
        <v>0</v>
      </c>
      <c r="V10591" s="22">
        <f>4.14/5</f>
        <v>0.82799999999999996</v>
      </c>
      <c r="X10591" s="3">
        <v>2</v>
      </c>
      <c r="Z10591" s="23">
        <f>26/60</f>
        <v>0.43333333333333335</v>
      </c>
      <c r="AB10591" s="18">
        <f t="shared" si="330"/>
        <v>1982</v>
      </c>
      <c r="AC10591" s="22">
        <f t="shared" si="331"/>
        <v>0.61399999999999999</v>
      </c>
    </row>
    <row r="10592" spans="1:29">
      <c r="A10592" s="8" t="s">
        <v>14502</v>
      </c>
      <c r="B10592" s="17" t="s">
        <v>7784</v>
      </c>
      <c r="C10592" s="24">
        <v>29952</v>
      </c>
      <c r="D10592" s="13" t="s">
        <v>8465</v>
      </c>
      <c r="E10592" s="10" t="s">
        <v>14503</v>
      </c>
      <c r="F10592" s="10" t="s">
        <v>14503</v>
      </c>
      <c r="H10592" s="2" t="s">
        <v>149</v>
      </c>
      <c r="L10592" s="18">
        <v>0</v>
      </c>
      <c r="Q10592" s="18">
        <v>0</v>
      </c>
      <c r="V10592" s="22">
        <f>3.8/5</f>
        <v>0.76</v>
      </c>
      <c r="X10592" s="3">
        <v>2</v>
      </c>
      <c r="Z10592" s="23">
        <v>2.5</v>
      </c>
      <c r="AB10592" s="18">
        <f t="shared" si="330"/>
        <v>1982</v>
      </c>
      <c r="AC10592" s="22">
        <f t="shared" si="331"/>
        <v>0.58000000000000007</v>
      </c>
    </row>
    <row r="10593" spans="1:29">
      <c r="A10593" s="8" t="s">
        <v>14504</v>
      </c>
      <c r="B10593" s="17" t="s">
        <v>14505</v>
      </c>
      <c r="C10593" s="24">
        <v>29952</v>
      </c>
      <c r="D10593" s="13" t="s">
        <v>8465</v>
      </c>
      <c r="E10593" s="10" t="s">
        <v>14506</v>
      </c>
      <c r="F10593" s="10" t="s">
        <v>14506</v>
      </c>
      <c r="H10593" s="2" t="s">
        <v>21</v>
      </c>
      <c r="L10593" s="18">
        <v>0</v>
      </c>
      <c r="Q10593" s="18">
        <v>0</v>
      </c>
      <c r="V10593" s="22">
        <f>3.72/5</f>
        <v>0.74399999999999999</v>
      </c>
      <c r="X10593" s="3">
        <v>2</v>
      </c>
      <c r="AB10593" s="18">
        <f t="shared" si="330"/>
        <v>1982</v>
      </c>
      <c r="AC10593" s="22">
        <f t="shared" si="331"/>
        <v>0.57200000000000006</v>
      </c>
    </row>
    <row r="10594" spans="1:29">
      <c r="A10594" s="8" t="s">
        <v>6646</v>
      </c>
      <c r="B10594" s="17" t="s">
        <v>13485</v>
      </c>
      <c r="C10594" s="24">
        <v>29952</v>
      </c>
      <c r="D10594" s="13" t="s">
        <v>8467</v>
      </c>
      <c r="E10594" s="10" t="s">
        <v>13486</v>
      </c>
      <c r="F10594" s="10" t="s">
        <v>254</v>
      </c>
      <c r="G10594" s="11" t="s">
        <v>4445</v>
      </c>
      <c r="H10594" s="2" t="s">
        <v>2826</v>
      </c>
      <c r="L10594" s="18">
        <v>0</v>
      </c>
      <c r="Q10594" s="18">
        <v>0</v>
      </c>
      <c r="V10594" s="22">
        <f>3.15/5</f>
        <v>0.63</v>
      </c>
      <c r="X10594" s="3">
        <v>2</v>
      </c>
      <c r="Z10594" s="23">
        <v>1</v>
      </c>
      <c r="AB10594" s="18">
        <f t="shared" si="330"/>
        <v>1982</v>
      </c>
      <c r="AC10594" s="22">
        <f t="shared" si="331"/>
        <v>0.51500000000000001</v>
      </c>
    </row>
    <row r="10595" spans="1:29">
      <c r="A10595" s="8" t="s">
        <v>286</v>
      </c>
      <c r="B10595" s="17" t="s">
        <v>13822</v>
      </c>
      <c r="C10595" s="24">
        <v>29952</v>
      </c>
      <c r="D10595" s="13" t="s">
        <v>8465</v>
      </c>
      <c r="E10595" s="10" t="s">
        <v>13823</v>
      </c>
      <c r="F10595" s="10" t="s">
        <v>13823</v>
      </c>
      <c r="G10595" s="11" t="s">
        <v>13824</v>
      </c>
      <c r="H10595" s="2" t="s">
        <v>67</v>
      </c>
      <c r="L10595" s="18">
        <v>0</v>
      </c>
      <c r="Q10595" s="18">
        <v>0</v>
      </c>
      <c r="V10595" s="22">
        <f>3/5</f>
        <v>0.6</v>
      </c>
      <c r="X10595" s="3">
        <v>2</v>
      </c>
      <c r="Z10595" s="23">
        <v>3.5</v>
      </c>
      <c r="AB10595" s="18">
        <f t="shared" si="330"/>
        <v>1982</v>
      </c>
      <c r="AC10595" s="22">
        <f t="shared" si="331"/>
        <v>0.5</v>
      </c>
    </row>
    <row r="10596" spans="1:29">
      <c r="A10596" s="8" t="s">
        <v>442</v>
      </c>
      <c r="B10596" s="17" t="s">
        <v>7784</v>
      </c>
      <c r="C10596" s="24">
        <v>29952</v>
      </c>
      <c r="D10596" s="13" t="s">
        <v>8465</v>
      </c>
      <c r="E10596" s="10" t="s">
        <v>14871</v>
      </c>
      <c r="F10596" s="10" t="s">
        <v>14871</v>
      </c>
      <c r="G10596" s="11" t="s">
        <v>442</v>
      </c>
      <c r="H10596" s="2" t="s">
        <v>143</v>
      </c>
      <c r="L10596" s="18">
        <v>0</v>
      </c>
      <c r="Q10596" s="18">
        <v>0</v>
      </c>
      <c r="V10596" s="22">
        <f>2.44/5</f>
        <v>0.48799999999999999</v>
      </c>
      <c r="X10596" s="3">
        <v>2</v>
      </c>
      <c r="AB10596" s="18">
        <f t="shared" si="330"/>
        <v>1982</v>
      </c>
      <c r="AC10596" s="22">
        <f t="shared" si="331"/>
        <v>0.44400000000000001</v>
      </c>
    </row>
    <row r="10597" spans="1:29">
      <c r="A10597" s="8" t="s">
        <v>442</v>
      </c>
      <c r="B10597" s="17" t="s">
        <v>13822</v>
      </c>
      <c r="C10597" s="24">
        <v>29952</v>
      </c>
      <c r="D10597" s="13" t="s">
        <v>8465</v>
      </c>
      <c r="E10597" s="10" t="s">
        <v>14883</v>
      </c>
      <c r="F10597" s="10" t="s">
        <v>14883</v>
      </c>
      <c r="H10597" s="2" t="s">
        <v>1334</v>
      </c>
      <c r="L10597" s="18">
        <v>0</v>
      </c>
      <c r="Q10597" s="18">
        <v>0</v>
      </c>
      <c r="X10597" s="3">
        <v>2</v>
      </c>
      <c r="AB10597" s="18">
        <f t="shared" si="330"/>
        <v>1982</v>
      </c>
      <c r="AC10597" s="22">
        <f t="shared" si="331"/>
        <v>0.4</v>
      </c>
    </row>
    <row r="10598" spans="1:29">
      <c r="A10598" s="8" t="s">
        <v>7561</v>
      </c>
      <c r="B10598" s="17" t="s">
        <v>7800</v>
      </c>
      <c r="C10598" s="12">
        <v>29587</v>
      </c>
      <c r="D10598" s="13" t="s">
        <v>8465</v>
      </c>
      <c r="E10598" s="10" t="s">
        <v>7562</v>
      </c>
      <c r="F10598" s="10" t="s">
        <v>7562</v>
      </c>
      <c r="G10598" s="11" t="s">
        <v>1724</v>
      </c>
      <c r="H10598" s="2" t="s">
        <v>245</v>
      </c>
      <c r="L10598" s="18">
        <v>0</v>
      </c>
      <c r="Q10598" s="18">
        <v>0</v>
      </c>
      <c r="V10598" s="22">
        <f>3.4/5</f>
        <v>0.67999999999999994</v>
      </c>
      <c r="W10598" s="22"/>
      <c r="X10598" s="3">
        <v>2</v>
      </c>
      <c r="Z10598" s="23">
        <v>3</v>
      </c>
      <c r="AB10598" s="18">
        <f t="shared" si="330"/>
        <v>1981</v>
      </c>
      <c r="AC10598" s="22">
        <f t="shared" si="331"/>
        <v>0.54</v>
      </c>
    </row>
    <row r="10599" spans="1:29" ht="38.25">
      <c r="A10599" s="8" t="s">
        <v>13829</v>
      </c>
      <c r="B10599" s="17" t="s">
        <v>13822</v>
      </c>
      <c r="C10599" s="24">
        <v>29587</v>
      </c>
      <c r="D10599" s="13" t="s">
        <v>8465</v>
      </c>
      <c r="E10599" s="10" t="s">
        <v>13823</v>
      </c>
      <c r="F10599" s="10" t="s">
        <v>13823</v>
      </c>
      <c r="G10599" s="11" t="s">
        <v>13824</v>
      </c>
      <c r="H10599" s="2" t="s">
        <v>67</v>
      </c>
      <c r="L10599" s="18">
        <v>0</v>
      </c>
      <c r="Q10599" s="18">
        <v>0</v>
      </c>
      <c r="V10599" s="22">
        <f>2.83/5</f>
        <v>0.56600000000000006</v>
      </c>
      <c r="X10599" s="3">
        <v>2</v>
      </c>
      <c r="AB10599" s="18">
        <f t="shared" si="330"/>
        <v>1981</v>
      </c>
      <c r="AC10599" s="22">
        <f t="shared" si="331"/>
        <v>0.48300000000000004</v>
      </c>
    </row>
    <row r="10600" spans="1:29" ht="25.5">
      <c r="A10600" s="8" t="s">
        <v>13828</v>
      </c>
      <c r="B10600" s="17" t="s">
        <v>13822</v>
      </c>
      <c r="C10600" s="24">
        <v>29587</v>
      </c>
      <c r="D10600" s="13" t="s">
        <v>8465</v>
      </c>
      <c r="E10600" s="10" t="s">
        <v>13823</v>
      </c>
      <c r="F10600" s="10" t="s">
        <v>13823</v>
      </c>
      <c r="G10600" s="11" t="s">
        <v>13824</v>
      </c>
      <c r="H10600" s="2" t="s">
        <v>67</v>
      </c>
      <c r="L10600" s="18">
        <v>0</v>
      </c>
      <c r="Q10600" s="18">
        <v>0</v>
      </c>
      <c r="V10600" s="22">
        <f>2.82/5</f>
        <v>0.56399999999999995</v>
      </c>
      <c r="X10600" s="3">
        <v>2</v>
      </c>
      <c r="AB10600" s="18">
        <f t="shared" si="330"/>
        <v>1981</v>
      </c>
      <c r="AC10600" s="22">
        <f t="shared" si="331"/>
        <v>0.48199999999999998</v>
      </c>
    </row>
    <row r="10601" spans="1:29">
      <c r="A10601" s="8" t="s">
        <v>13841</v>
      </c>
      <c r="B10601" s="17" t="s">
        <v>13822</v>
      </c>
      <c r="C10601" s="24">
        <v>29587</v>
      </c>
      <c r="D10601" s="13" t="s">
        <v>8465</v>
      </c>
      <c r="E10601" s="10" t="s">
        <v>13823</v>
      </c>
      <c r="F10601" s="10" t="s">
        <v>2658</v>
      </c>
      <c r="H10601" s="2" t="s">
        <v>2826</v>
      </c>
      <c r="L10601" s="18">
        <v>0</v>
      </c>
      <c r="Q10601" s="18">
        <v>0</v>
      </c>
      <c r="V10601" s="22">
        <f>1.32/5</f>
        <v>0.26400000000000001</v>
      </c>
      <c r="X10601" s="3">
        <v>2</v>
      </c>
      <c r="Z10601" s="23">
        <v>1.5</v>
      </c>
      <c r="AB10601" s="18">
        <f t="shared" si="330"/>
        <v>1981</v>
      </c>
      <c r="AC10601" s="22">
        <f t="shared" si="331"/>
        <v>0.33200000000000002</v>
      </c>
    </row>
    <row r="10602" spans="1:29" ht="25.5">
      <c r="A10602" s="8" t="s">
        <v>13826</v>
      </c>
      <c r="B10602" s="17" t="s">
        <v>13822</v>
      </c>
      <c r="C10602" s="13">
        <v>29346</v>
      </c>
      <c r="D10602" s="13" t="s">
        <v>8465</v>
      </c>
      <c r="E10602" s="10" t="s">
        <v>13823</v>
      </c>
      <c r="F10602" s="10" t="s">
        <v>13823</v>
      </c>
      <c r="G10602" s="11" t="s">
        <v>13824</v>
      </c>
      <c r="H10602" s="2" t="s">
        <v>67</v>
      </c>
      <c r="L10602" s="18">
        <v>0</v>
      </c>
      <c r="Q10602" s="18">
        <v>0</v>
      </c>
      <c r="V10602" s="22">
        <f>2.74/5</f>
        <v>0.54800000000000004</v>
      </c>
      <c r="X10602" s="3">
        <v>2</v>
      </c>
      <c r="Z10602" s="23">
        <v>1.5</v>
      </c>
      <c r="AB10602" s="18">
        <f t="shared" si="330"/>
        <v>1980</v>
      </c>
      <c r="AC10602" s="22">
        <f t="shared" si="331"/>
        <v>0.47400000000000003</v>
      </c>
    </row>
    <row r="10603" spans="1:29" ht="38.25">
      <c r="A10603" s="8" t="s">
        <v>13827</v>
      </c>
      <c r="B10603" s="17" t="s">
        <v>13822</v>
      </c>
      <c r="C10603" s="24">
        <v>29221</v>
      </c>
      <c r="D10603" s="13" t="s">
        <v>8465</v>
      </c>
      <c r="E10603" s="10" t="s">
        <v>13823</v>
      </c>
      <c r="F10603" s="10" t="s">
        <v>13823</v>
      </c>
      <c r="G10603" s="11" t="s">
        <v>13824</v>
      </c>
      <c r="H10603" s="2" t="s">
        <v>67</v>
      </c>
      <c r="L10603" s="18">
        <v>0</v>
      </c>
      <c r="Q10603" s="18">
        <v>0</v>
      </c>
      <c r="V10603" s="22">
        <f>3.2/5</f>
        <v>0.64</v>
      </c>
      <c r="X10603" s="3">
        <v>2</v>
      </c>
      <c r="Z10603" s="23">
        <f>26/60</f>
        <v>0.43333333333333335</v>
      </c>
      <c r="AB10603" s="18">
        <f t="shared" si="330"/>
        <v>1980</v>
      </c>
      <c r="AC10603" s="22">
        <f t="shared" si="331"/>
        <v>0.52</v>
      </c>
    </row>
    <row r="10604" spans="1:29" ht="25.5">
      <c r="A10604" s="8" t="s">
        <v>13825</v>
      </c>
      <c r="B10604" s="17" t="s">
        <v>13822</v>
      </c>
      <c r="C10604" s="24">
        <v>29221</v>
      </c>
      <c r="D10604" s="13" t="s">
        <v>8465</v>
      </c>
      <c r="E10604" s="10" t="s">
        <v>13823</v>
      </c>
      <c r="F10604" s="10" t="s">
        <v>13823</v>
      </c>
      <c r="G10604" s="11" t="s">
        <v>13824</v>
      </c>
      <c r="H10604" s="2" t="s">
        <v>67</v>
      </c>
      <c r="L10604" s="18">
        <v>0</v>
      </c>
      <c r="Q10604" s="18">
        <v>0</v>
      </c>
      <c r="V10604" s="22">
        <f>3.15/5</f>
        <v>0.63</v>
      </c>
      <c r="X10604" s="3">
        <v>2</v>
      </c>
      <c r="Z10604" s="23">
        <f>56/60</f>
        <v>0.93333333333333335</v>
      </c>
      <c r="AB10604" s="18">
        <f t="shared" si="330"/>
        <v>1980</v>
      </c>
      <c r="AC10604" s="22">
        <f t="shared" si="331"/>
        <v>0.51500000000000001</v>
      </c>
    </row>
    <row r="10605" spans="1:29">
      <c r="A10605" s="8" t="s">
        <v>14559</v>
      </c>
      <c r="B10605" s="17" t="s">
        <v>6317</v>
      </c>
      <c r="C10605" s="24">
        <v>29221</v>
      </c>
      <c r="D10605" s="13" t="s">
        <v>8465</v>
      </c>
      <c r="E10605" s="10" t="s">
        <v>14560</v>
      </c>
      <c r="F10605" s="10" t="s">
        <v>14561</v>
      </c>
      <c r="G10605" s="11" t="s">
        <v>14558</v>
      </c>
      <c r="H10605" s="2" t="s">
        <v>21</v>
      </c>
      <c r="L10605" s="18">
        <v>0</v>
      </c>
      <c r="Q10605" s="18">
        <v>0</v>
      </c>
      <c r="V10605" s="22">
        <f>2.89/5</f>
        <v>0.57800000000000007</v>
      </c>
      <c r="X10605" s="3">
        <v>2</v>
      </c>
      <c r="Z10605" s="23">
        <f>40/60</f>
        <v>0.66666666666666663</v>
      </c>
      <c r="AB10605" s="18">
        <f t="shared" si="330"/>
        <v>1980</v>
      </c>
      <c r="AC10605" s="22">
        <f t="shared" si="331"/>
        <v>0.48900000000000005</v>
      </c>
    </row>
    <row r="10606" spans="1:29" ht="25.5">
      <c r="A10606" s="8" t="s">
        <v>6920</v>
      </c>
      <c r="B10606" s="17" t="s">
        <v>7800</v>
      </c>
      <c r="C10606" s="12">
        <v>29556</v>
      </c>
      <c r="D10606" s="13" t="s">
        <v>8465</v>
      </c>
      <c r="E10606" s="10" t="s">
        <v>166</v>
      </c>
      <c r="F10606" s="10" t="s">
        <v>166</v>
      </c>
      <c r="G10606" s="11" t="s">
        <v>6921</v>
      </c>
      <c r="H10606" s="2" t="s">
        <v>2826</v>
      </c>
      <c r="L10606" s="18">
        <v>0</v>
      </c>
      <c r="Q10606" s="18">
        <v>1</v>
      </c>
      <c r="T10606" s="22">
        <v>0.7</v>
      </c>
      <c r="U10606" s="22">
        <v>1</v>
      </c>
      <c r="V10606" s="22">
        <f>3.6/5</f>
        <v>0.72</v>
      </c>
      <c r="AB10606" s="18">
        <f t="shared" si="330"/>
        <v>1980</v>
      </c>
      <c r="AC10606" s="22">
        <f t="shared" si="331"/>
        <v>0.80666666666666664</v>
      </c>
    </row>
    <row r="10607" spans="1:29" ht="30">
      <c r="A10607" s="8" t="s">
        <v>7588</v>
      </c>
      <c r="B10607" s="17" t="s">
        <v>7800</v>
      </c>
      <c r="C10607" s="12">
        <v>28856</v>
      </c>
      <c r="D10607" s="13" t="s">
        <v>8465</v>
      </c>
      <c r="E10607" s="10" t="s">
        <v>7589</v>
      </c>
      <c r="F10607" s="10" t="s">
        <v>7590</v>
      </c>
      <c r="H10607" s="2" t="s">
        <v>1720</v>
      </c>
      <c r="L10607" s="18">
        <v>1</v>
      </c>
      <c r="N10607" s="13">
        <v>43705</v>
      </c>
      <c r="O10607" s="29">
        <v>0</v>
      </c>
      <c r="P10607" s="18" t="s">
        <v>1107</v>
      </c>
      <c r="Q10607" s="18">
        <v>0</v>
      </c>
      <c r="V10607" s="22">
        <f>2.35/5</f>
        <v>0.47000000000000003</v>
      </c>
      <c r="W10607" s="14" t="s">
        <v>7778</v>
      </c>
      <c r="X10607" s="3">
        <v>2</v>
      </c>
      <c r="Z10607" s="23">
        <v>2.5</v>
      </c>
      <c r="AB10607" s="18">
        <f t="shared" si="330"/>
        <v>1979</v>
      </c>
      <c r="AC10607" s="22">
        <f t="shared" si="331"/>
        <v>0.43500000000000005</v>
      </c>
    </row>
    <row r="10608" spans="1:29">
      <c r="A10608" s="8" t="s">
        <v>67</v>
      </c>
      <c r="B10608" s="17" t="s">
        <v>7784</v>
      </c>
      <c r="C10608" s="12">
        <v>29190</v>
      </c>
      <c r="D10608" s="13" t="s">
        <v>8465</v>
      </c>
      <c r="E10608" s="10" t="s">
        <v>311</v>
      </c>
      <c r="F10608" s="10" t="s">
        <v>311</v>
      </c>
      <c r="H10608" s="2" t="s">
        <v>80</v>
      </c>
      <c r="L10608" s="18">
        <v>0</v>
      </c>
      <c r="Q10608" s="18">
        <v>1</v>
      </c>
      <c r="T10608" s="22">
        <v>0.8</v>
      </c>
      <c r="V10608" s="22">
        <f>3.74/5</f>
        <v>0.748</v>
      </c>
      <c r="AB10608" s="18">
        <f t="shared" si="330"/>
        <v>1979</v>
      </c>
      <c r="AC10608" s="22">
        <f t="shared" si="331"/>
        <v>0.77400000000000002</v>
      </c>
    </row>
    <row r="10609" spans="1:29" ht="30">
      <c r="A10609" s="8" t="s">
        <v>13817</v>
      </c>
      <c r="B10609" s="17" t="s">
        <v>13818</v>
      </c>
      <c r="C10609" s="24">
        <v>28126</v>
      </c>
      <c r="D10609" s="13" t="s">
        <v>8465</v>
      </c>
      <c r="E10609" s="10" t="s">
        <v>13819</v>
      </c>
      <c r="F10609" s="10" t="s">
        <v>13819</v>
      </c>
      <c r="H10609" s="2" t="s">
        <v>2826</v>
      </c>
      <c r="L10609" s="18">
        <v>0</v>
      </c>
      <c r="Q10609" s="18">
        <v>0</v>
      </c>
      <c r="X10609" s="3">
        <v>2</v>
      </c>
      <c r="Z10609" s="23">
        <v>2</v>
      </c>
      <c r="AB10609" s="18">
        <f t="shared" si="330"/>
        <v>1977</v>
      </c>
      <c r="AC10609" s="22">
        <f t="shared" si="331"/>
        <v>0.4</v>
      </c>
    </row>
    <row r="10610" spans="1:29">
      <c r="A10610" s="8" t="s">
        <v>16102</v>
      </c>
      <c r="B10610" s="17" t="s">
        <v>7800</v>
      </c>
      <c r="C10610" s="13">
        <v>44133</v>
      </c>
      <c r="D10610" s="13" t="s">
        <v>8465</v>
      </c>
      <c r="E10610" s="10" t="s">
        <v>16103</v>
      </c>
      <c r="F10610" s="10" t="s">
        <v>16103</v>
      </c>
      <c r="H10610" s="2" t="s">
        <v>1061</v>
      </c>
      <c r="L10610" s="18">
        <v>1</v>
      </c>
      <c r="N10610" s="13">
        <v>45229</v>
      </c>
      <c r="O10610" s="29">
        <v>17.489999999999998</v>
      </c>
      <c r="P10610" s="18" t="s">
        <v>1107</v>
      </c>
      <c r="Q10610" s="18">
        <v>0</v>
      </c>
      <c r="U10610" s="22">
        <v>0.81</v>
      </c>
      <c r="V10610" s="22">
        <f>3.19/5</f>
        <v>0.63800000000000001</v>
      </c>
      <c r="W10610" s="14" t="s">
        <v>7777</v>
      </c>
      <c r="X10610" s="3">
        <v>4</v>
      </c>
      <c r="Z10610" s="23">
        <v>9</v>
      </c>
      <c r="AB10610" s="18">
        <f t="shared" si="330"/>
        <v>2020</v>
      </c>
      <c r="AC10610" s="22">
        <f t="shared" si="331"/>
        <v>0.74933333333333341</v>
      </c>
    </row>
    <row r="10611" spans="1:29">
      <c r="A10611" s="8" t="s">
        <v>15236</v>
      </c>
      <c r="B10611" s="17" t="s">
        <v>7744</v>
      </c>
      <c r="C10611" s="13">
        <v>45233</v>
      </c>
      <c r="D10611" s="13" t="s">
        <v>8465</v>
      </c>
      <c r="E10611" s="10" t="s">
        <v>86</v>
      </c>
      <c r="F10611" s="10" t="s">
        <v>1069</v>
      </c>
      <c r="G10611" s="11" t="s">
        <v>1516</v>
      </c>
      <c r="H10611" s="2" t="s">
        <v>1142</v>
      </c>
      <c r="L10611" s="18">
        <v>1</v>
      </c>
      <c r="M10611" s="14" t="s">
        <v>8462</v>
      </c>
      <c r="N10611" s="13">
        <v>45098</v>
      </c>
      <c r="O10611" s="29">
        <v>53.29</v>
      </c>
      <c r="P10611" s="18" t="s">
        <v>14</v>
      </c>
      <c r="Q10611" s="18">
        <v>0</v>
      </c>
      <c r="U10611" s="22">
        <v>0.75</v>
      </c>
      <c r="V10611" s="22">
        <f>4/5</f>
        <v>0.8</v>
      </c>
      <c r="X10611" s="3">
        <v>3</v>
      </c>
      <c r="AB10611" s="18">
        <f t="shared" si="330"/>
        <v>2023</v>
      </c>
      <c r="AC10611" s="22">
        <f t="shared" si="331"/>
        <v>0.71666666666666667</v>
      </c>
    </row>
    <row r="10612" spans="1:29" ht="25.5">
      <c r="A10612" s="8" t="s">
        <v>16106</v>
      </c>
      <c r="B10612" s="17" t="s">
        <v>9440</v>
      </c>
      <c r="C10612" s="13">
        <v>45071</v>
      </c>
      <c r="D10612" s="13" t="s">
        <v>8465</v>
      </c>
      <c r="E10612" s="10" t="s">
        <v>3072</v>
      </c>
      <c r="F10612" s="10" t="s">
        <v>3072</v>
      </c>
      <c r="G10612" s="11" t="s">
        <v>4445</v>
      </c>
      <c r="H10612" s="2" t="s">
        <v>80</v>
      </c>
      <c r="L10612" s="18">
        <v>1</v>
      </c>
      <c r="M10612" s="14" t="s">
        <v>8462</v>
      </c>
      <c r="N10612" s="13">
        <v>45234</v>
      </c>
      <c r="O10612" s="29">
        <v>10.86</v>
      </c>
      <c r="P10612" s="18" t="s">
        <v>14</v>
      </c>
      <c r="Q10612" s="18">
        <v>0</v>
      </c>
      <c r="U10612" s="22">
        <v>0.43</v>
      </c>
      <c r="V10612" s="22">
        <f>0.77/5</f>
        <v>0.154</v>
      </c>
      <c r="X10612" s="3">
        <v>2</v>
      </c>
      <c r="Z10612" s="23">
        <v>12.5</v>
      </c>
      <c r="AB10612" s="18">
        <f t="shared" si="330"/>
        <v>2023</v>
      </c>
      <c r="AC10612" s="22">
        <f t="shared" si="331"/>
        <v>0.32800000000000001</v>
      </c>
    </row>
    <row r="10613" spans="1:29">
      <c r="A10613" s="8" t="s">
        <v>16107</v>
      </c>
      <c r="B10613" s="17" t="s">
        <v>9440</v>
      </c>
      <c r="C10613" s="13">
        <v>45048</v>
      </c>
      <c r="D10613" s="13" t="s">
        <v>8465</v>
      </c>
      <c r="E10613" s="10" t="s">
        <v>1690</v>
      </c>
      <c r="F10613" s="10" t="s">
        <v>16108</v>
      </c>
      <c r="H10613" s="2" t="s">
        <v>1050</v>
      </c>
      <c r="L10613" s="18">
        <v>1</v>
      </c>
      <c r="M10613" s="14" t="s">
        <v>8462</v>
      </c>
      <c r="N10613" s="13">
        <v>45234</v>
      </c>
      <c r="O10613" s="29">
        <v>19.010000000000002</v>
      </c>
      <c r="P10613" s="18" t="s">
        <v>14</v>
      </c>
      <c r="Q10613" s="18">
        <v>0</v>
      </c>
      <c r="U10613" s="22">
        <v>0.56000000000000005</v>
      </c>
      <c r="V10613" s="22">
        <f>2.5/5</f>
        <v>0.5</v>
      </c>
      <c r="X10613" s="3">
        <v>2</v>
      </c>
      <c r="Z10613" s="23">
        <v>12</v>
      </c>
      <c r="AB10613" s="18">
        <f t="shared" si="330"/>
        <v>2023</v>
      </c>
      <c r="AC10613" s="22">
        <f t="shared" si="331"/>
        <v>0.48666666666666664</v>
      </c>
    </row>
    <row r="10614" spans="1:29">
      <c r="A10614" s="8" t="s">
        <v>16111</v>
      </c>
      <c r="B10614" s="17" t="s">
        <v>7800</v>
      </c>
      <c r="C10614" s="13">
        <v>44714</v>
      </c>
      <c r="D10614" s="13" t="s">
        <v>8465</v>
      </c>
      <c r="E10614" s="10" t="s">
        <v>3074</v>
      </c>
      <c r="F10614" s="10" t="s">
        <v>16112</v>
      </c>
      <c r="H10614" s="2" t="s">
        <v>151</v>
      </c>
      <c r="L10614" s="18">
        <v>1</v>
      </c>
      <c r="N10614" s="13">
        <v>45237</v>
      </c>
      <c r="O10614" s="29">
        <v>11</v>
      </c>
      <c r="P10614" s="18" t="s">
        <v>1107</v>
      </c>
      <c r="Q10614" s="18">
        <v>0</v>
      </c>
      <c r="U10614" s="22">
        <v>0.77</v>
      </c>
      <c r="V10614" s="22">
        <f>3.88/5</f>
        <v>0.77600000000000002</v>
      </c>
      <c r="W10614" s="14" t="s">
        <v>7777</v>
      </c>
      <c r="X10614" s="3">
        <v>2</v>
      </c>
      <c r="Z10614" s="23">
        <v>24.5</v>
      </c>
      <c r="AB10614" s="18">
        <f t="shared" si="330"/>
        <v>2022</v>
      </c>
      <c r="AC10614" s="22">
        <f t="shared" si="331"/>
        <v>0.64866666666666672</v>
      </c>
    </row>
    <row r="10615" spans="1:29">
      <c r="A10615" s="8" t="s">
        <v>16113</v>
      </c>
      <c r="B10615" s="17" t="s">
        <v>7800</v>
      </c>
      <c r="C10615" s="13">
        <v>44817</v>
      </c>
      <c r="D10615" s="13" t="s">
        <v>8465</v>
      </c>
      <c r="E10615" s="10" t="s">
        <v>16114</v>
      </c>
      <c r="F10615" s="10" t="s">
        <v>16115</v>
      </c>
      <c r="G10615" s="11" t="s">
        <v>16116</v>
      </c>
      <c r="H10615" s="2" t="s">
        <v>1061</v>
      </c>
      <c r="L10615" s="18">
        <v>1</v>
      </c>
      <c r="N10615" s="13">
        <v>45237</v>
      </c>
      <c r="O10615" s="29">
        <v>0</v>
      </c>
      <c r="P10615" s="18" t="s">
        <v>1107</v>
      </c>
      <c r="Q10615" s="18">
        <v>0</v>
      </c>
      <c r="V10615" s="22">
        <f>3.38/5</f>
        <v>0.67599999999999993</v>
      </c>
      <c r="W10615" s="14" t="s">
        <v>7777</v>
      </c>
      <c r="X10615" s="3">
        <v>2</v>
      </c>
      <c r="Z10615" s="23">
        <v>4.5</v>
      </c>
      <c r="AB10615" s="18">
        <f t="shared" si="330"/>
        <v>2022</v>
      </c>
      <c r="AC10615" s="22">
        <f t="shared" si="331"/>
        <v>0.53800000000000003</v>
      </c>
    </row>
    <row r="10616" spans="1:29" ht="45">
      <c r="A10616" s="8" t="s">
        <v>14746</v>
      </c>
      <c r="B10616" s="17" t="s">
        <v>7800</v>
      </c>
      <c r="C10616" s="13">
        <v>44501</v>
      </c>
      <c r="D10616" s="13" t="s">
        <v>8465</v>
      </c>
      <c r="E10616" s="10" t="s">
        <v>15553</v>
      </c>
      <c r="F10616" s="10" t="s">
        <v>16117</v>
      </c>
      <c r="H10616" s="2" t="s">
        <v>56</v>
      </c>
      <c r="L10616" s="18">
        <v>1</v>
      </c>
      <c r="N10616" s="13">
        <v>45237</v>
      </c>
      <c r="O10616" s="29">
        <v>0</v>
      </c>
      <c r="P10616" s="18" t="s">
        <v>1107</v>
      </c>
      <c r="Q10616" s="18">
        <v>0</v>
      </c>
      <c r="U10616" s="22">
        <v>0.81</v>
      </c>
      <c r="V10616" s="22">
        <f>3.14/5</f>
        <v>0.628</v>
      </c>
      <c r="W10616" s="14" t="s">
        <v>7777</v>
      </c>
      <c r="X10616" s="3">
        <v>3</v>
      </c>
      <c r="Z10616" s="23">
        <v>5</v>
      </c>
      <c r="AB10616" s="18">
        <f t="shared" si="330"/>
        <v>2021</v>
      </c>
      <c r="AC10616" s="22">
        <f t="shared" si="331"/>
        <v>0.67933333333333346</v>
      </c>
    </row>
    <row r="10617" spans="1:29">
      <c r="A10617" s="8" t="s">
        <v>16118</v>
      </c>
      <c r="B10617" s="17" t="s">
        <v>7800</v>
      </c>
      <c r="C10617" s="13">
        <v>44827</v>
      </c>
      <c r="D10617" s="13" t="s">
        <v>8465</v>
      </c>
      <c r="E10617" s="10" t="s">
        <v>9249</v>
      </c>
      <c r="F10617" s="10" t="s">
        <v>16119</v>
      </c>
      <c r="H10617" s="2" t="s">
        <v>1050</v>
      </c>
      <c r="L10617" s="18">
        <v>1</v>
      </c>
      <c r="N10617" s="13">
        <v>45237</v>
      </c>
      <c r="O10617" s="29">
        <v>0</v>
      </c>
      <c r="P10617" s="18" t="s">
        <v>1107</v>
      </c>
      <c r="Q10617" s="18">
        <v>0</v>
      </c>
      <c r="U10617" s="22">
        <v>0.84</v>
      </c>
      <c r="V10617" s="22">
        <f>3.66/5</f>
        <v>0.73199999999999998</v>
      </c>
      <c r="W10617" s="14" t="s">
        <v>7777</v>
      </c>
      <c r="X10617" s="3">
        <v>4</v>
      </c>
      <c r="Z10617" s="23">
        <v>7</v>
      </c>
      <c r="AB10617" s="18">
        <f t="shared" si="330"/>
        <v>2022</v>
      </c>
      <c r="AC10617" s="22">
        <f t="shared" si="331"/>
        <v>0.79066666666666663</v>
      </c>
    </row>
    <row r="10618" spans="1:29">
      <c r="A10618" s="8" t="s">
        <v>16120</v>
      </c>
      <c r="B10618" s="17" t="s">
        <v>7800</v>
      </c>
      <c r="C10618" s="13">
        <v>45001</v>
      </c>
      <c r="D10618" s="13" t="s">
        <v>8465</v>
      </c>
      <c r="E10618" s="10" t="s">
        <v>15102</v>
      </c>
      <c r="F10618" s="10" t="s">
        <v>1328</v>
      </c>
      <c r="G10618" s="11" t="s">
        <v>16121</v>
      </c>
      <c r="H10618" s="2" t="s">
        <v>255</v>
      </c>
      <c r="L10618" s="18">
        <v>1</v>
      </c>
      <c r="N10618" s="13">
        <v>45237</v>
      </c>
      <c r="O10618" s="29">
        <v>0</v>
      </c>
      <c r="P10618" s="18" t="s">
        <v>1107</v>
      </c>
      <c r="Q10618" s="18">
        <v>0</v>
      </c>
      <c r="U10618" s="22">
        <v>0.79</v>
      </c>
      <c r="V10618" s="22">
        <f>4.25/5</f>
        <v>0.85</v>
      </c>
      <c r="W10618" s="14" t="s">
        <v>7777</v>
      </c>
      <c r="X10618" s="3">
        <v>2</v>
      </c>
      <c r="Z10618" s="23">
        <v>8</v>
      </c>
      <c r="AB10618" s="18">
        <f t="shared" si="330"/>
        <v>2023</v>
      </c>
      <c r="AC10618" s="22">
        <f t="shared" si="331"/>
        <v>0.68</v>
      </c>
    </row>
    <row r="10619" spans="1:29" ht="25.5">
      <c r="A10619" s="8" t="s">
        <v>16122</v>
      </c>
      <c r="B10619" s="17" t="s">
        <v>7800</v>
      </c>
      <c r="C10619" s="13">
        <v>44705</v>
      </c>
      <c r="D10619" s="13" t="s">
        <v>8465</v>
      </c>
      <c r="E10619" s="10" t="s">
        <v>12148</v>
      </c>
      <c r="F10619" s="10" t="s">
        <v>15588</v>
      </c>
      <c r="H10619" s="2" t="s">
        <v>1334</v>
      </c>
      <c r="L10619" s="18">
        <v>1</v>
      </c>
      <c r="N10619" s="13">
        <v>45237</v>
      </c>
      <c r="O10619" s="29">
        <v>0</v>
      </c>
      <c r="P10619" s="18" t="s">
        <v>1107</v>
      </c>
      <c r="Q10619" s="18">
        <v>0</v>
      </c>
      <c r="U10619" s="22">
        <v>0.82</v>
      </c>
      <c r="V10619" s="22">
        <f>3.88/5</f>
        <v>0.77600000000000002</v>
      </c>
      <c r="W10619" s="14" t="s">
        <v>7777</v>
      </c>
      <c r="X10619" s="3">
        <v>4</v>
      </c>
      <c r="Z10619" s="23">
        <v>27</v>
      </c>
      <c r="AB10619" s="18">
        <f t="shared" si="330"/>
        <v>2022</v>
      </c>
      <c r="AC10619" s="22">
        <f t="shared" si="331"/>
        <v>0.79866666666666664</v>
      </c>
    </row>
    <row r="10620" spans="1:29">
      <c r="A10620" s="8" t="s">
        <v>16158</v>
      </c>
      <c r="B10620" s="17" t="s">
        <v>7800</v>
      </c>
      <c r="C10620" s="13">
        <v>44468</v>
      </c>
      <c r="D10620" s="13" t="s">
        <v>8465</v>
      </c>
      <c r="E10620" s="10" t="s">
        <v>311</v>
      </c>
      <c r="F10620" s="10" t="s">
        <v>16159</v>
      </c>
      <c r="G10620" s="11" t="s">
        <v>16160</v>
      </c>
      <c r="H10620" s="2" t="s">
        <v>143</v>
      </c>
      <c r="L10620" s="18">
        <v>1</v>
      </c>
      <c r="N10620" s="13">
        <v>45240</v>
      </c>
      <c r="O10620" s="29">
        <v>0</v>
      </c>
      <c r="P10620" s="18" t="s">
        <v>1107</v>
      </c>
      <c r="Q10620" s="18">
        <v>0</v>
      </c>
      <c r="V10620" s="22">
        <f>2.79/5</f>
        <v>0.55800000000000005</v>
      </c>
      <c r="W10620" s="14" t="s">
        <v>7097</v>
      </c>
      <c r="X10620" s="3">
        <v>2</v>
      </c>
      <c r="Z10620" s="23">
        <v>2</v>
      </c>
      <c r="AB10620" s="18">
        <f t="shared" si="330"/>
        <v>2021</v>
      </c>
      <c r="AC10620" s="22">
        <f t="shared" si="331"/>
        <v>0.47900000000000004</v>
      </c>
    </row>
    <row r="10621" spans="1:29" ht="30">
      <c r="A10621" s="8" t="s">
        <v>16161</v>
      </c>
      <c r="B10621" s="17" t="s">
        <v>7741</v>
      </c>
      <c r="C10621" s="13">
        <v>40841</v>
      </c>
      <c r="D10621" s="13" t="s">
        <v>8465</v>
      </c>
      <c r="E10621" s="10" t="s">
        <v>311</v>
      </c>
      <c r="F10621" s="10" t="s">
        <v>1084</v>
      </c>
      <c r="G10621" s="11" t="s">
        <v>16160</v>
      </c>
      <c r="H10621" s="2" t="s">
        <v>147</v>
      </c>
      <c r="L10621" s="18">
        <v>0</v>
      </c>
      <c r="Q10621" s="18">
        <v>0</v>
      </c>
      <c r="V10621" s="22">
        <f>3.5/5</f>
        <v>0.7</v>
      </c>
      <c r="X10621" s="3">
        <v>2</v>
      </c>
      <c r="Z10621" s="23">
        <v>4</v>
      </c>
      <c r="AB10621" s="18">
        <f t="shared" si="330"/>
        <v>2011</v>
      </c>
      <c r="AC10621" s="22">
        <f t="shared" si="331"/>
        <v>0.55000000000000004</v>
      </c>
    </row>
    <row r="10622" spans="1:29" ht="25.5">
      <c r="A10622" s="8" t="s">
        <v>16163</v>
      </c>
      <c r="B10622" s="17" t="s">
        <v>7800</v>
      </c>
      <c r="C10622" s="13">
        <v>45244</v>
      </c>
      <c r="D10622" s="13" t="s">
        <v>8465</v>
      </c>
      <c r="E10622" s="10" t="s">
        <v>9008</v>
      </c>
      <c r="F10622" s="10" t="s">
        <v>5454</v>
      </c>
      <c r="H10622" s="2" t="s">
        <v>1057</v>
      </c>
      <c r="L10622" s="18">
        <v>1</v>
      </c>
      <c r="N10622" s="13">
        <v>45244</v>
      </c>
      <c r="O10622" s="29">
        <v>0</v>
      </c>
      <c r="P10622" s="18" t="s">
        <v>1107</v>
      </c>
      <c r="Q10622" s="18">
        <v>0</v>
      </c>
      <c r="W10622" s="14" t="s">
        <v>7097</v>
      </c>
      <c r="X10622" s="3">
        <v>2</v>
      </c>
      <c r="AB10622" s="18">
        <f t="shared" si="330"/>
        <v>2023</v>
      </c>
      <c r="AC10622" s="22">
        <f t="shared" si="331"/>
        <v>0.4</v>
      </c>
    </row>
    <row r="10623" spans="1:29" ht="25.5">
      <c r="A10623" s="8" t="s">
        <v>16128</v>
      </c>
      <c r="B10623" s="17" t="s">
        <v>9431</v>
      </c>
      <c r="C10623" s="13">
        <v>45232</v>
      </c>
      <c r="D10623" s="13" t="s">
        <v>8465</v>
      </c>
      <c r="E10623" s="10" t="s">
        <v>1082</v>
      </c>
      <c r="F10623" s="10" t="s">
        <v>11525</v>
      </c>
      <c r="G10623" s="11" t="s">
        <v>840</v>
      </c>
      <c r="H10623" s="2" t="s">
        <v>171</v>
      </c>
      <c r="L10623" s="18">
        <v>1</v>
      </c>
      <c r="M10623" s="14" t="s">
        <v>8462</v>
      </c>
      <c r="N10623" s="13">
        <v>45233</v>
      </c>
      <c r="O10623" s="29">
        <v>54.25</v>
      </c>
      <c r="P10623" s="18" t="s">
        <v>14</v>
      </c>
      <c r="Q10623" s="18">
        <v>0</v>
      </c>
      <c r="U10623" s="22">
        <v>0.86</v>
      </c>
      <c r="V10623" s="22">
        <f>4.54/5</f>
        <v>0.90800000000000003</v>
      </c>
      <c r="X10623" s="3">
        <v>4</v>
      </c>
      <c r="Z10623" s="23">
        <v>20</v>
      </c>
      <c r="AB10623" s="18">
        <f t="shared" si="330"/>
        <v>2023</v>
      </c>
      <c r="AC10623" s="22">
        <f t="shared" si="331"/>
        <v>0.85599999999999998</v>
      </c>
    </row>
    <row r="10624" spans="1:29">
      <c r="A10624" s="8" t="s">
        <v>15239</v>
      </c>
      <c r="B10624" s="17" t="s">
        <v>7744</v>
      </c>
      <c r="C10624" s="13">
        <v>45247</v>
      </c>
      <c r="D10624" s="13" t="s">
        <v>8465</v>
      </c>
      <c r="E10624" s="10" t="s">
        <v>86</v>
      </c>
      <c r="F10624" s="10" t="s">
        <v>1537</v>
      </c>
      <c r="G10624" s="11" t="s">
        <v>137</v>
      </c>
      <c r="H10624" s="2" t="s">
        <v>149</v>
      </c>
      <c r="L10624" s="18">
        <v>1</v>
      </c>
      <c r="M10624" s="14" t="s">
        <v>8462</v>
      </c>
      <c r="N10624" s="13">
        <v>45098</v>
      </c>
      <c r="O10624" s="29">
        <v>63.95</v>
      </c>
      <c r="P10624" s="18" t="s">
        <v>14</v>
      </c>
      <c r="Q10624" s="18">
        <v>1</v>
      </c>
      <c r="R10624" s="13">
        <v>45254</v>
      </c>
      <c r="S10624" s="21">
        <f>10+26/60+50/3600</f>
        <v>10.447222222222223</v>
      </c>
      <c r="T10624" s="22">
        <v>0.8</v>
      </c>
      <c r="U10624" s="22">
        <v>0.83</v>
      </c>
      <c r="V10624" s="22">
        <f>3.63/5</f>
        <v>0.72599999999999998</v>
      </c>
      <c r="AB10624" s="18">
        <f t="shared" si="330"/>
        <v>2023</v>
      </c>
      <c r="AC10624" s="22">
        <f t="shared" si="331"/>
        <v>0.78533333333333333</v>
      </c>
    </row>
    <row r="10625" spans="1:29">
      <c r="A10625" s="8" t="s">
        <v>15243</v>
      </c>
      <c r="B10625" s="17" t="s">
        <v>7744</v>
      </c>
      <c r="C10625" s="13">
        <v>45247</v>
      </c>
      <c r="D10625" s="13" t="s">
        <v>8465</v>
      </c>
      <c r="E10625" s="10" t="s">
        <v>455</v>
      </c>
      <c r="F10625" s="10" t="s">
        <v>2458</v>
      </c>
      <c r="G10625" s="11" t="s">
        <v>1171</v>
      </c>
      <c r="H10625" s="2" t="s">
        <v>75</v>
      </c>
      <c r="L10625" s="18">
        <v>1</v>
      </c>
      <c r="M10625" s="14" t="s">
        <v>8462</v>
      </c>
      <c r="N10625" s="13">
        <v>45098</v>
      </c>
      <c r="O10625" s="29">
        <v>65.16</v>
      </c>
      <c r="P10625" s="18" t="s">
        <v>14</v>
      </c>
      <c r="Q10625" s="18">
        <v>0</v>
      </c>
      <c r="U10625" s="22">
        <v>0.79</v>
      </c>
      <c r="V10625" s="22">
        <f>4.3/5</f>
        <v>0.86</v>
      </c>
      <c r="X10625" s="3">
        <v>4</v>
      </c>
      <c r="AA10625" s="18">
        <v>1</v>
      </c>
      <c r="AB10625" s="18">
        <f t="shared" si="330"/>
        <v>2023</v>
      </c>
      <c r="AC10625" s="22">
        <f t="shared" si="331"/>
        <v>0.81666666666666676</v>
      </c>
    </row>
    <row r="10626" spans="1:29" ht="30">
      <c r="A10626" s="8" t="s">
        <v>15231</v>
      </c>
      <c r="B10626" s="17" t="s">
        <v>7744</v>
      </c>
      <c r="C10626" s="13">
        <v>43804</v>
      </c>
      <c r="D10626" s="13" t="s">
        <v>8465</v>
      </c>
      <c r="E10626" s="10" t="s">
        <v>455</v>
      </c>
      <c r="F10626" s="10" t="s">
        <v>16168</v>
      </c>
      <c r="G10626" s="11" t="s">
        <v>442</v>
      </c>
      <c r="H10626" s="2" t="s">
        <v>1061</v>
      </c>
      <c r="L10626" s="18">
        <v>1</v>
      </c>
      <c r="M10626" s="14" t="s">
        <v>8462</v>
      </c>
      <c r="N10626" s="13">
        <v>45086</v>
      </c>
      <c r="O10626" s="29">
        <v>39.99</v>
      </c>
      <c r="P10626" s="18" t="s">
        <v>14</v>
      </c>
      <c r="Q10626" s="18">
        <v>0</v>
      </c>
      <c r="U10626" s="22">
        <v>0.83</v>
      </c>
      <c r="V10626" s="22">
        <f>3.98/5</f>
        <v>0.79600000000000004</v>
      </c>
      <c r="W10626" s="14" t="s">
        <v>1134</v>
      </c>
      <c r="X10626" s="3">
        <v>3</v>
      </c>
      <c r="Z10626" s="23">
        <f>18.5+(24/60)+(32/60)</f>
        <v>19.433333333333334</v>
      </c>
      <c r="AB10626" s="18">
        <f t="shared" si="330"/>
        <v>2019</v>
      </c>
      <c r="AC10626" s="22">
        <f t="shared" si="331"/>
        <v>0.74199999999999999</v>
      </c>
    </row>
    <row r="10627" spans="1:29">
      <c r="A10627" s="8" t="s">
        <v>15232</v>
      </c>
      <c r="B10627" s="17" t="s">
        <v>7744</v>
      </c>
      <c r="C10627" s="13">
        <v>44484</v>
      </c>
      <c r="D10627" s="13" t="s">
        <v>8465</v>
      </c>
      <c r="E10627" s="10" t="s">
        <v>3136</v>
      </c>
      <c r="F10627" s="10" t="s">
        <v>9229</v>
      </c>
      <c r="H10627" s="2" t="s">
        <v>80</v>
      </c>
      <c r="L10627" s="18">
        <v>1</v>
      </c>
      <c r="M10627" s="14" t="s">
        <v>8462</v>
      </c>
      <c r="N10627" s="13">
        <v>45086</v>
      </c>
      <c r="O10627" s="29">
        <v>49.99</v>
      </c>
      <c r="P10627" s="18" t="s">
        <v>14</v>
      </c>
      <c r="Q10627" s="18">
        <v>0</v>
      </c>
      <c r="U10627" s="22">
        <v>0.5</v>
      </c>
      <c r="V10627" s="22">
        <f>3.71/5</f>
        <v>0.74199999999999999</v>
      </c>
      <c r="X10627" s="3">
        <v>3</v>
      </c>
      <c r="Z10627" s="23">
        <v>13.5</v>
      </c>
      <c r="AB10627" s="18">
        <f t="shared" si="330"/>
        <v>2021</v>
      </c>
      <c r="AC10627" s="22">
        <f t="shared" si="331"/>
        <v>0.61399999999999999</v>
      </c>
    </row>
    <row r="10628" spans="1:29">
      <c r="A10628" s="8" t="s">
        <v>16169</v>
      </c>
      <c r="B10628" s="17" t="s">
        <v>7800</v>
      </c>
      <c r="C10628" s="13">
        <v>44329</v>
      </c>
      <c r="D10628" s="13" t="s">
        <v>8465</v>
      </c>
      <c r="E10628" s="10" t="s">
        <v>16170</v>
      </c>
      <c r="F10628" s="10" t="s">
        <v>16171</v>
      </c>
      <c r="H10628" s="2" t="s">
        <v>67</v>
      </c>
      <c r="L10628" s="18">
        <v>1</v>
      </c>
      <c r="N10628" s="13">
        <v>45255</v>
      </c>
      <c r="O10628" s="29">
        <v>0.99</v>
      </c>
      <c r="P10628" s="18" t="s">
        <v>1107</v>
      </c>
      <c r="Q10628" s="18">
        <v>0</v>
      </c>
      <c r="W10628" s="14" t="s">
        <v>7777</v>
      </c>
      <c r="X10628" s="3">
        <v>2</v>
      </c>
      <c r="Z10628" s="23">
        <v>2</v>
      </c>
      <c r="AB10628" s="18">
        <f t="shared" si="330"/>
        <v>2021</v>
      </c>
      <c r="AC10628" s="22">
        <f t="shared" si="331"/>
        <v>0.4</v>
      </c>
    </row>
    <row r="10629" spans="1:29">
      <c r="A10629" s="8" t="s">
        <v>16172</v>
      </c>
      <c r="B10629" s="17" t="s">
        <v>7800</v>
      </c>
      <c r="C10629" s="13">
        <v>44593</v>
      </c>
      <c r="D10629" s="13" t="s">
        <v>8465</v>
      </c>
      <c r="E10629" s="10" t="s">
        <v>12543</v>
      </c>
      <c r="F10629" s="10" t="s">
        <v>12543</v>
      </c>
      <c r="H10629" s="2" t="s">
        <v>151</v>
      </c>
      <c r="L10629" s="18">
        <v>1</v>
      </c>
      <c r="N10629" s="13">
        <v>45255</v>
      </c>
      <c r="O10629" s="29">
        <v>0.89</v>
      </c>
      <c r="P10629" s="18" t="s">
        <v>1107</v>
      </c>
      <c r="Q10629" s="18">
        <v>0</v>
      </c>
      <c r="W10629" s="14" t="s">
        <v>7777</v>
      </c>
      <c r="X10629" s="3">
        <v>2</v>
      </c>
      <c r="Z10629" s="23">
        <v>2</v>
      </c>
      <c r="AB10629" s="18">
        <f t="shared" si="330"/>
        <v>2022</v>
      </c>
      <c r="AC10629" s="22">
        <f t="shared" ref="AC10629:AC10631" si="332">AVERAGE(T10629, U10629, V10629, IF(ISBLANK(X10629), X10629, X10629/5))</f>
        <v>0.4</v>
      </c>
    </row>
    <row r="10630" spans="1:29">
      <c r="A10630" s="8" t="s">
        <v>16173</v>
      </c>
      <c r="B10630" s="17" t="s">
        <v>7800</v>
      </c>
      <c r="C10630" s="13">
        <v>45078</v>
      </c>
      <c r="D10630" s="13" t="s">
        <v>8465</v>
      </c>
      <c r="E10630" s="10" t="s">
        <v>16174</v>
      </c>
      <c r="F10630" s="10" t="s">
        <v>16174</v>
      </c>
      <c r="H10630" s="2" t="s">
        <v>1061</v>
      </c>
      <c r="L10630" s="18">
        <v>1</v>
      </c>
      <c r="N10630" s="13">
        <v>45255</v>
      </c>
      <c r="O10630" s="29">
        <v>0.79</v>
      </c>
      <c r="P10630" s="18" t="s">
        <v>1107</v>
      </c>
      <c r="Q10630" s="18">
        <v>0</v>
      </c>
      <c r="W10630" s="14" t="s">
        <v>7777</v>
      </c>
      <c r="X10630" s="3">
        <v>2</v>
      </c>
      <c r="AB10630" s="18">
        <f t="shared" si="330"/>
        <v>2023</v>
      </c>
      <c r="AC10630" s="22">
        <f t="shared" si="332"/>
        <v>0.4</v>
      </c>
    </row>
    <row r="10631" spans="1:29">
      <c r="A10631" s="8" t="s">
        <v>16175</v>
      </c>
      <c r="B10631" s="17" t="s">
        <v>7800</v>
      </c>
      <c r="C10631" s="13">
        <v>43973</v>
      </c>
      <c r="D10631" s="13" t="s">
        <v>8465</v>
      </c>
      <c r="E10631" s="10" t="s">
        <v>16176</v>
      </c>
      <c r="F10631" s="10" t="s">
        <v>16176</v>
      </c>
      <c r="G10631" s="11" t="s">
        <v>16177</v>
      </c>
      <c r="H10631" s="2" t="s">
        <v>151</v>
      </c>
      <c r="L10631" s="18">
        <v>1</v>
      </c>
      <c r="N10631" s="13">
        <v>45255</v>
      </c>
      <c r="O10631" s="29">
        <v>0.71</v>
      </c>
      <c r="P10631" s="18" t="s">
        <v>1107</v>
      </c>
      <c r="Q10631" s="18">
        <v>0</v>
      </c>
      <c r="V10631" s="22">
        <f>3/5</f>
        <v>0.6</v>
      </c>
      <c r="W10631" s="14" t="s">
        <v>7777</v>
      </c>
      <c r="X10631" s="3">
        <v>2</v>
      </c>
      <c r="Z10631" s="23">
        <v>4.5</v>
      </c>
      <c r="AB10631" s="18">
        <f t="shared" si="330"/>
        <v>2020</v>
      </c>
      <c r="AC10631" s="22">
        <f t="shared" si="332"/>
        <v>0.5</v>
      </c>
    </row>
    <row r="10632" spans="1:29">
      <c r="A10632" s="8" t="s">
        <v>16178</v>
      </c>
      <c r="B10632" s="17" t="s">
        <v>7744</v>
      </c>
      <c r="C10632" s="13">
        <v>43403</v>
      </c>
      <c r="D10632" s="13" t="s">
        <v>8465</v>
      </c>
      <c r="E10632" s="10" t="s">
        <v>1534</v>
      </c>
      <c r="F10632" s="10" t="s">
        <v>63</v>
      </c>
      <c r="H10632" s="2" t="s">
        <v>1220</v>
      </c>
      <c r="L10632" s="18">
        <v>1</v>
      </c>
      <c r="N10632" s="13">
        <v>45255</v>
      </c>
      <c r="O10632" s="29">
        <v>4.76</v>
      </c>
      <c r="P10632" s="18" t="s">
        <v>1107</v>
      </c>
      <c r="Q10632" s="18">
        <v>0</v>
      </c>
      <c r="U10632" s="22">
        <v>0.61</v>
      </c>
      <c r="V10632" s="22">
        <f>4/5</f>
        <v>0.8</v>
      </c>
      <c r="X10632" s="3">
        <v>3</v>
      </c>
      <c r="Z10632" s="23">
        <v>3.5</v>
      </c>
      <c r="AB10632" s="18">
        <f t="shared" si="330"/>
        <v>2018</v>
      </c>
    </row>
  </sheetData>
  <autoFilter ref="A1:AB10426" xr:uid="{791584E9-C344-4153-A0DE-BE2AC03D8567}">
    <sortState xmlns:xlrd2="http://schemas.microsoft.com/office/spreadsheetml/2017/richdata2" ref="A2:AB10268">
      <sortCondition descending="1" ref="AA1:AA10268"/>
    </sortState>
  </autoFilter>
  <sortState xmlns:xlrd2="http://schemas.microsoft.com/office/spreadsheetml/2017/richdata2" ref="A2:AC10609">
    <sortCondition descending="1" ref="AA1:AA10609"/>
  </sortState>
  <customSheetViews>
    <customSheetView guid="{27CD999D-077E-4AAD-9B12-102015DE6011}" filter="1" showAutoFilter="1" hiddenColumns="1">
      <pane xSplit="1" ySplit="1" topLeftCell="B2" activePane="bottomRight" state="frozen"/>
      <selection pane="bottomRight" activeCell="X1" sqref="X1:X1048576"/>
      <pageMargins left="0.7" right="0.7" top="0.75" bottom="0.75" header="0.3" footer="0.3"/>
      <pageSetup orientation="portrait" horizontalDpi="1200" verticalDpi="1200" r:id="rId1"/>
      <autoFilter ref="A1:AA7214" xr:uid="{897E4067-F114-478A-A8A5-D19674134AEA}">
        <filterColumn colId="7">
          <filters>
            <filter val="Action RPG"/>
            <filter val="Dungeon Crawler"/>
            <filter val="Strategy RPG"/>
            <filter val="Turn-Based RPG"/>
          </filters>
        </filterColumn>
        <filterColumn colId="10">
          <filters blank="1">
            <filter val="1"/>
            <filter val="2"/>
          </filters>
        </filterColumn>
        <filterColumn colId="16">
          <filters>
            <filter val="0"/>
          </filters>
        </filterColumn>
        <sortState xmlns:xlrd2="http://schemas.microsoft.com/office/spreadsheetml/2017/richdata2" ref="A2:AA7214">
          <sortCondition ref="B1:B7214"/>
        </sortState>
      </autoFilter>
    </customSheetView>
    <customSheetView guid="{E19BF558-CF7A-4C36-981A-080DBBE265DE}" showAutoFilter="1">
      <pane xSplit="1" ySplit="1" topLeftCell="B2684" activePane="bottomRight" state="frozen"/>
      <selection pane="bottomRight" activeCell="D2627" sqref="D2627"/>
      <pageMargins left="0.7" right="0.7" top="0.75" bottom="0.75" header="0.3" footer="0.3"/>
      <pageSetup orientation="portrait" horizontalDpi="1200" verticalDpi="1200" r:id="rId2"/>
      <autoFilter ref="A1:AA7214" xr:uid="{BEE78868-229A-466B-AE41-DDC95D9589F5}">
        <sortState xmlns:xlrd2="http://schemas.microsoft.com/office/spreadsheetml/2017/richdata2" ref="A2:AA7187">
          <sortCondition descending="1" ref="W1:W7187"/>
        </sortState>
      </autoFilter>
    </customSheetView>
  </customSheetViews>
  <phoneticPr fontId="7" type="noConversion"/>
  <conditionalFormatting sqref="I1:I1048576">
    <cfRule type="iconSet" priority="49">
      <iconSet iconSet="3Symbols2" showValue="0">
        <cfvo type="percent" val="0"/>
        <cfvo type="num" val="1"/>
        <cfvo type="num" val="1"/>
      </iconSet>
    </cfRule>
  </conditionalFormatting>
  <conditionalFormatting sqref="J1:J1048576">
    <cfRule type="iconSet" priority="31">
      <iconSet iconSet="3Symbols2" showValue="0">
        <cfvo type="percent" val="0"/>
        <cfvo type="num" val="1"/>
        <cfvo type="num" val="1"/>
      </iconSet>
    </cfRule>
  </conditionalFormatting>
  <conditionalFormatting sqref="L1:L1048576">
    <cfRule type="iconSet" priority="64">
      <iconSet iconSet="3Symbols2" showValue="0">
        <cfvo type="percent" val="0"/>
        <cfvo type="percent" val="33"/>
        <cfvo type="percent" val="67"/>
      </iconSet>
    </cfRule>
  </conditionalFormatting>
  <conditionalFormatting sqref="P1:P1048576">
    <cfRule type="cellIs" dxfId="7" priority="25" operator="equal">
      <formula>"Both"</formula>
    </cfRule>
    <cfRule type="containsText" dxfId="6" priority="28" operator="containsText" text="Digital">
      <formula>NOT(ISERROR(SEARCH("Digital",P1)))</formula>
    </cfRule>
    <cfRule type="containsText" dxfId="5" priority="29" operator="containsText" text="Physical">
      <formula>NOT(ISERROR(SEARCH("Physical",P1)))</formula>
    </cfRule>
  </conditionalFormatting>
  <conditionalFormatting sqref="Q1:Q1048576">
    <cfRule type="iconSet" priority="66">
      <iconSet iconSet="3Symbols2" showValue="0">
        <cfvo type="percent" val="0"/>
        <cfvo type="num" val="1"/>
        <cfvo type="num" val="1"/>
      </iconSet>
    </cfRule>
  </conditionalFormatting>
  <conditionalFormatting sqref="S1:S1048576 Z1:Z1048576">
    <cfRule type="colorScale" priority="56">
      <colorScale>
        <cfvo type="num" val="5"/>
        <cfvo type="num" val="15"/>
        <cfvo type="num" val="30"/>
        <color theme="7"/>
        <color theme="5"/>
        <color theme="8"/>
      </colorScale>
    </cfRule>
  </conditionalFormatting>
  <conditionalFormatting sqref="T1:V1048576">
    <cfRule type="colorScale" priority="1">
      <colorScale>
        <cfvo type="percent" val="0"/>
        <cfvo type="percent" val="75"/>
        <cfvo type="percent" val="100"/>
        <color rgb="FFF8696B"/>
        <color rgb="FFFFEB84"/>
        <color rgb="FF63BE7B"/>
      </colorScale>
    </cfRule>
  </conditionalFormatting>
  <conditionalFormatting sqref="X1:X1048576">
    <cfRule type="colorScale" priority="58">
      <colorScale>
        <cfvo type="num" val="1"/>
        <cfvo type="num" val="2.5"/>
        <cfvo type="num" val="5"/>
        <color rgb="FFF8696B"/>
        <color rgb="FFFFEB84"/>
        <color rgb="FF63BE7B"/>
      </colorScale>
    </cfRule>
  </conditionalFormatting>
  <conditionalFormatting sqref="Y1:Y1048576">
    <cfRule type="iconSet" priority="60">
      <iconSet iconSet="3Symbols2" showValue="0">
        <cfvo type="percent" val="0"/>
        <cfvo type="num" val="1"/>
        <cfvo type="num" val="1"/>
      </iconSet>
    </cfRule>
  </conditionalFormatting>
  <conditionalFormatting sqref="AC1:AC1048576">
    <cfRule type="colorScale" priority="2">
      <colorScale>
        <cfvo type="percent" val="0"/>
        <cfvo type="percent" val="75"/>
        <cfvo type="percent" val="100"/>
        <color rgb="FFF8696B"/>
        <color rgb="FFFFEB84"/>
        <color rgb="FF63BE7B"/>
      </colorScale>
    </cfRule>
  </conditionalFormatting>
  <pageMargins left="0.7" right="0.7" top="0.75" bottom="0.75" header="0.3" footer="0.3"/>
  <pageSetup orientation="portrait" horizontalDpi="1200" verticalDpi="1200" r:id="rId3"/>
  <extLst>
    <ext xmlns:x14="http://schemas.microsoft.com/office/spreadsheetml/2009/9/main" uri="{78C0D931-6437-407d-A8EE-F0AAD7539E65}">
      <x14:conditionalFormattings>
        <x14:conditionalFormatting xmlns:xm="http://schemas.microsoft.com/office/excel/2006/main">
          <x14:cfRule type="iconSet" priority="15" id="{3F5C20D2-B694-4A63-8477-C99D0043BBB2}">
            <x14:iconSet iconSet="3Symbols2" showValue="0" custom="1">
              <x14:cfvo type="percent">
                <xm:f>0</xm:f>
              </x14:cfvo>
              <x14:cfvo type="percent">
                <xm:f>1</xm:f>
              </x14:cfvo>
              <x14:cfvo type="num">
                <xm:f>2</xm:f>
              </x14:cfvo>
              <x14:cfIcon iconSet="3Stars" iconId="0"/>
              <x14:cfIcon iconSet="3Stars" iconId="1"/>
              <x14:cfIcon iconSet="3Stars" iconId="2"/>
            </x14:iconSet>
          </x14:cfRule>
          <xm:sqref>K1:K1048576</xm:sqref>
        </x14:conditionalFormatting>
        <x14:conditionalFormatting xmlns:xm="http://schemas.microsoft.com/office/excel/2006/main">
          <x14:cfRule type="iconSet" priority="39" id="{00000000-000E-0000-0000-00001E000000}">
            <x14:iconSet iconSet="3Symbols2" showValue="0" custom="1">
              <x14:cfvo type="percent">
                <xm:f>0</xm:f>
              </x14:cfvo>
              <x14:cfvo type="num">
                <xm:f>0</xm:f>
              </x14:cfvo>
              <x14:cfvo type="num">
                <xm:f>1</xm:f>
              </x14:cfvo>
              <x14:cfIcon iconSet="4RedToBlack" iconId="1"/>
              <x14:cfIcon iconSet="3Triangles" iconId="1"/>
              <x14:cfIcon iconSet="3Symbols2" iconId="2"/>
            </x14:iconSet>
          </x14:cfRule>
          <xm:sqref>AA1:AA1048576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67AB3-1493-4576-B42D-403558E79854}">
  <sheetPr codeName="Sheet3"/>
  <dimension ref="A1:K4875"/>
  <sheetViews>
    <sheetView workbookViewId="0">
      <pane xSplit="1" topLeftCell="B1" activePane="topRight" state="frozen"/>
      <selection activeCell="A28" sqref="A28"/>
      <selection pane="topRight" activeCell="I10" sqref="I10"/>
    </sheetView>
  </sheetViews>
  <sheetFormatPr defaultRowHeight="15"/>
  <cols>
    <col min="1" max="1" width="22.7109375" style="8" customWidth="1"/>
    <col min="2" max="2" width="19.85546875" bestFit="1" customWidth="1"/>
    <col min="3" max="3" width="21" bestFit="1" customWidth="1"/>
    <col min="4" max="4" width="13.28515625" style="18" bestFit="1" customWidth="1"/>
    <col min="5" max="5" width="9.140625" style="29"/>
    <col min="6" max="6" width="8.140625" style="18" customWidth="1"/>
    <col min="7" max="7" width="8.28515625" style="18" bestFit="1" customWidth="1"/>
    <col min="8" max="8" width="20.28515625" style="18" bestFit="1" customWidth="1"/>
    <col min="9" max="9" width="33.140625" style="18" bestFit="1" customWidth="1"/>
    <col min="10" max="10" width="22.140625" style="68" customWidth="1"/>
    <col min="11" max="11" width="31.7109375" style="18" bestFit="1" customWidth="1"/>
    <col min="12" max="12" width="16.42578125" bestFit="1" customWidth="1"/>
  </cols>
  <sheetData>
    <row r="1" spans="1:11" ht="30" customHeight="1">
      <c r="A1" s="8" t="s">
        <v>0</v>
      </c>
      <c r="B1" s="8" t="s">
        <v>7730</v>
      </c>
      <c r="C1" s="16" t="s">
        <v>9914</v>
      </c>
      <c r="D1" s="7" t="s">
        <v>9915</v>
      </c>
      <c r="E1" s="28" t="s">
        <v>9916</v>
      </c>
      <c r="F1" s="5" t="s">
        <v>12</v>
      </c>
      <c r="G1" s="5" t="s">
        <v>11426</v>
      </c>
      <c r="H1" s="5" t="s">
        <v>11432</v>
      </c>
      <c r="I1" s="5" t="s">
        <v>11428</v>
      </c>
      <c r="J1" s="5" t="s">
        <v>11435</v>
      </c>
      <c r="K1" s="31" t="s">
        <v>10078</v>
      </c>
    </row>
    <row r="2" spans="1:11" ht="45">
      <c r="A2" s="8" t="s">
        <v>11420</v>
      </c>
      <c r="B2" s="18" t="s">
        <v>9431</v>
      </c>
      <c r="C2" s="18" t="s">
        <v>11419</v>
      </c>
      <c r="D2" s="13">
        <v>44039</v>
      </c>
      <c r="E2" s="29">
        <v>56.99</v>
      </c>
      <c r="F2" s="18" t="s">
        <v>14</v>
      </c>
      <c r="G2" s="74" t="s">
        <v>11427</v>
      </c>
      <c r="H2" s="72">
        <v>44835</v>
      </c>
      <c r="I2" s="70">
        <v>8318</v>
      </c>
      <c r="J2" s="75" t="s">
        <v>12206</v>
      </c>
    </row>
    <row r="3" spans="1:11">
      <c r="A3" s="8" t="s">
        <v>11422</v>
      </c>
      <c r="B3" s="18" t="s">
        <v>7744</v>
      </c>
      <c r="C3" s="18" t="s">
        <v>11423</v>
      </c>
      <c r="D3" s="13">
        <v>44417</v>
      </c>
      <c r="E3" s="29">
        <v>70</v>
      </c>
      <c r="F3" s="18" t="s">
        <v>1107</v>
      </c>
      <c r="G3" s="74" t="s">
        <v>11427</v>
      </c>
      <c r="H3" s="72">
        <v>44896</v>
      </c>
      <c r="I3" s="15">
        <v>28</v>
      </c>
      <c r="J3" s="68" t="s">
        <v>11433</v>
      </c>
    </row>
    <row r="4" spans="1:11" ht="45">
      <c r="A4" s="8" t="s">
        <v>15241</v>
      </c>
      <c r="B4" s="18" t="s">
        <v>7744</v>
      </c>
      <c r="C4" s="18" t="s">
        <v>7099</v>
      </c>
      <c r="D4" s="13">
        <v>45099</v>
      </c>
      <c r="E4" s="29">
        <v>65.16</v>
      </c>
      <c r="F4" s="18" t="s">
        <v>14</v>
      </c>
      <c r="G4" s="74" t="s">
        <v>11427</v>
      </c>
      <c r="H4" s="71">
        <v>45261</v>
      </c>
      <c r="I4" s="15" t="s">
        <v>16149</v>
      </c>
      <c r="J4" s="75" t="s">
        <v>12206</v>
      </c>
    </row>
    <row r="5" spans="1:11">
      <c r="A5" s="8" t="s">
        <v>11418</v>
      </c>
      <c r="B5" s="18" t="s">
        <v>7800</v>
      </c>
      <c r="C5" s="18" t="s">
        <v>11419</v>
      </c>
      <c r="D5" s="13">
        <v>44593</v>
      </c>
      <c r="E5" s="29">
        <v>20</v>
      </c>
      <c r="F5" s="18" t="s">
        <v>1107</v>
      </c>
      <c r="G5" s="74" t="s">
        <v>11427</v>
      </c>
      <c r="H5" s="73">
        <v>45261</v>
      </c>
      <c r="I5" s="70">
        <v>2484</v>
      </c>
      <c r="J5" s="68" t="s">
        <v>11433</v>
      </c>
    </row>
    <row r="6" spans="1:11" ht="45">
      <c r="A6" s="8" t="s">
        <v>16133</v>
      </c>
      <c r="B6" s="18" t="s">
        <v>7744</v>
      </c>
      <c r="C6" s="18" t="s">
        <v>7099</v>
      </c>
      <c r="D6" s="13">
        <v>45225</v>
      </c>
      <c r="E6" s="29">
        <v>49.99</v>
      </c>
      <c r="F6" s="18" t="s">
        <v>14</v>
      </c>
      <c r="G6" s="74" t="s">
        <v>11427</v>
      </c>
      <c r="H6" s="71">
        <v>45265</v>
      </c>
      <c r="I6" s="15" t="s">
        <v>16130</v>
      </c>
      <c r="J6" s="75" t="s">
        <v>12206</v>
      </c>
    </row>
    <row r="7" spans="1:11" ht="45">
      <c r="A7" s="8" t="s">
        <v>16154</v>
      </c>
      <c r="B7" s="18" t="s">
        <v>7744</v>
      </c>
      <c r="C7" s="18" t="s">
        <v>11317</v>
      </c>
      <c r="D7" s="13">
        <v>45136</v>
      </c>
      <c r="E7" s="29">
        <v>40.94</v>
      </c>
      <c r="F7" s="18" t="s">
        <v>14</v>
      </c>
      <c r="G7" s="74" t="s">
        <v>11427</v>
      </c>
      <c r="H7" s="71">
        <v>45268</v>
      </c>
      <c r="I7" s="15">
        <v>1736435</v>
      </c>
      <c r="J7" s="75" t="s">
        <v>12206</v>
      </c>
    </row>
    <row r="8" spans="1:11" ht="45">
      <c r="A8" s="8" t="s">
        <v>16155</v>
      </c>
      <c r="B8" s="18" t="s">
        <v>7744</v>
      </c>
      <c r="C8" s="18" t="s">
        <v>13499</v>
      </c>
      <c r="D8" s="13">
        <v>45194</v>
      </c>
      <c r="E8" s="29">
        <v>43.44</v>
      </c>
      <c r="F8" s="18" t="s">
        <v>14</v>
      </c>
      <c r="G8" s="74" t="s">
        <v>11427</v>
      </c>
      <c r="H8" s="71">
        <v>45268</v>
      </c>
      <c r="I8" s="15" t="s">
        <v>16156</v>
      </c>
      <c r="J8" s="75" t="s">
        <v>12206</v>
      </c>
    </row>
    <row r="9" spans="1:11" ht="45">
      <c r="A9" s="8" t="s">
        <v>9917</v>
      </c>
      <c r="B9" s="18" t="s">
        <v>7744</v>
      </c>
      <c r="C9" s="18" t="s">
        <v>7099</v>
      </c>
      <c r="D9" s="13">
        <v>42899</v>
      </c>
      <c r="E9" s="29">
        <v>59.99</v>
      </c>
      <c r="F9" s="18" t="s">
        <v>14</v>
      </c>
      <c r="G9" s="74" t="s">
        <v>11427</v>
      </c>
      <c r="H9" s="71">
        <v>45291</v>
      </c>
      <c r="I9" s="15" t="s">
        <v>11430</v>
      </c>
      <c r="J9" s="75" t="s">
        <v>12206</v>
      </c>
    </row>
    <row r="10" spans="1:11" ht="45">
      <c r="A10" s="8" t="s">
        <v>15233</v>
      </c>
      <c r="B10" s="18" t="s">
        <v>7744</v>
      </c>
      <c r="C10" s="18" t="s">
        <v>10493</v>
      </c>
      <c r="D10" s="13">
        <v>45074</v>
      </c>
      <c r="E10" s="29">
        <v>29.99</v>
      </c>
      <c r="F10" s="18" t="s">
        <v>14</v>
      </c>
      <c r="G10" s="74" t="s">
        <v>11427</v>
      </c>
      <c r="H10" s="71">
        <v>45291</v>
      </c>
      <c r="I10" s="15">
        <v>48496227</v>
      </c>
      <c r="J10" s="75" t="s">
        <v>12206</v>
      </c>
    </row>
    <row r="11" spans="1:11" ht="45">
      <c r="A11" s="8" t="s">
        <v>15234</v>
      </c>
      <c r="B11" s="18" t="s">
        <v>7744</v>
      </c>
      <c r="C11" s="18" t="s">
        <v>10493</v>
      </c>
      <c r="D11" s="13">
        <v>45074</v>
      </c>
      <c r="E11" s="29">
        <v>29.99</v>
      </c>
      <c r="F11" s="18" t="s">
        <v>14</v>
      </c>
      <c r="G11" s="74" t="s">
        <v>11427</v>
      </c>
      <c r="H11" s="71">
        <v>45291</v>
      </c>
      <c r="I11" s="15">
        <v>48496227</v>
      </c>
      <c r="J11" s="75" t="s">
        <v>12206</v>
      </c>
    </row>
    <row r="12" spans="1:11" ht="45">
      <c r="A12" s="8" t="s">
        <v>15235</v>
      </c>
      <c r="B12" s="18" t="s">
        <v>7744</v>
      </c>
      <c r="C12" s="18" t="s">
        <v>10493</v>
      </c>
      <c r="D12" s="13">
        <v>45074</v>
      </c>
      <c r="E12" s="29">
        <v>59.99</v>
      </c>
      <c r="F12" s="18" t="s">
        <v>14</v>
      </c>
      <c r="G12" s="74" t="s">
        <v>11427</v>
      </c>
      <c r="H12" s="71">
        <v>45291</v>
      </c>
      <c r="I12" s="15">
        <v>48496227</v>
      </c>
      <c r="J12" s="75" t="s">
        <v>12206</v>
      </c>
    </row>
    <row r="13" spans="1:11" ht="45">
      <c r="A13" s="8" t="s">
        <v>16139</v>
      </c>
      <c r="B13" s="18" t="s">
        <v>7744</v>
      </c>
      <c r="C13" s="18" t="s">
        <v>7099</v>
      </c>
      <c r="D13" s="13">
        <v>45187</v>
      </c>
      <c r="E13" s="29">
        <v>65.16</v>
      </c>
      <c r="F13" s="18" t="s">
        <v>14</v>
      </c>
      <c r="G13" s="74" t="s">
        <v>11427</v>
      </c>
      <c r="H13" s="71">
        <v>45310</v>
      </c>
      <c r="I13" s="15" t="s">
        <v>16141</v>
      </c>
      <c r="J13" s="75" t="s">
        <v>12206</v>
      </c>
    </row>
    <row r="14" spans="1:11" ht="45">
      <c r="A14" s="8" t="s">
        <v>16123</v>
      </c>
      <c r="B14" s="18" t="s">
        <v>7744</v>
      </c>
      <c r="C14" s="18" t="s">
        <v>10493</v>
      </c>
      <c r="D14" s="13">
        <v>45198</v>
      </c>
      <c r="E14" s="29">
        <v>15.99</v>
      </c>
      <c r="F14" s="18" t="s">
        <v>14</v>
      </c>
      <c r="G14" s="74" t="s">
        <v>11427</v>
      </c>
      <c r="H14" s="71">
        <v>45316</v>
      </c>
      <c r="I14" s="15">
        <v>50426083</v>
      </c>
      <c r="J14" s="75" t="s">
        <v>12206</v>
      </c>
    </row>
    <row r="15" spans="1:11" ht="45">
      <c r="A15" s="8" t="s">
        <v>16124</v>
      </c>
      <c r="B15" s="18" t="s">
        <v>7744</v>
      </c>
      <c r="C15" s="18" t="s">
        <v>10493</v>
      </c>
      <c r="D15" s="13">
        <v>45198</v>
      </c>
      <c r="E15" s="29">
        <v>59.99</v>
      </c>
      <c r="F15" s="18" t="s">
        <v>14</v>
      </c>
      <c r="G15" s="74" t="s">
        <v>11427</v>
      </c>
      <c r="H15" s="71">
        <v>45316</v>
      </c>
      <c r="I15" s="15">
        <v>50426083</v>
      </c>
      <c r="J15" s="75" t="s">
        <v>12206</v>
      </c>
    </row>
    <row r="16" spans="1:11" ht="45">
      <c r="A16" s="8" t="s">
        <v>16125</v>
      </c>
      <c r="B16" s="18" t="s">
        <v>7744</v>
      </c>
      <c r="C16" s="18" t="s">
        <v>10493</v>
      </c>
      <c r="D16" s="13">
        <v>45198</v>
      </c>
      <c r="E16" s="29">
        <v>27.99</v>
      </c>
      <c r="F16" s="18" t="s">
        <v>14</v>
      </c>
      <c r="G16" s="74" t="s">
        <v>11427</v>
      </c>
      <c r="H16" s="71">
        <v>45316</v>
      </c>
      <c r="I16" s="15">
        <v>50426083</v>
      </c>
      <c r="J16" s="75" t="s">
        <v>12206</v>
      </c>
    </row>
    <row r="17" spans="1:10" ht="45">
      <c r="A17" s="8" t="s">
        <v>16126</v>
      </c>
      <c r="B17" s="18" t="s">
        <v>7744</v>
      </c>
      <c r="C17" s="18" t="s">
        <v>10493</v>
      </c>
      <c r="D17" s="13">
        <v>45106</v>
      </c>
      <c r="E17" s="29">
        <v>58.99</v>
      </c>
      <c r="F17" s="18" t="s">
        <v>14</v>
      </c>
      <c r="G17" s="74" t="s">
        <v>11427</v>
      </c>
      <c r="H17" s="71">
        <v>45316</v>
      </c>
      <c r="I17" s="15">
        <v>48979953</v>
      </c>
      <c r="J17" s="75" t="s">
        <v>12206</v>
      </c>
    </row>
    <row r="18" spans="1:10" ht="45">
      <c r="A18" s="8" t="s">
        <v>10101</v>
      </c>
      <c r="B18" s="18" t="s">
        <v>7744</v>
      </c>
      <c r="C18" s="18" t="s">
        <v>10493</v>
      </c>
      <c r="D18" s="13">
        <v>45106</v>
      </c>
      <c r="E18" s="29">
        <v>39.99</v>
      </c>
      <c r="F18" s="18" t="s">
        <v>14</v>
      </c>
      <c r="G18" s="74" t="s">
        <v>11427</v>
      </c>
      <c r="H18" s="71">
        <v>45316</v>
      </c>
      <c r="I18" s="15">
        <v>48979953</v>
      </c>
      <c r="J18" s="75" t="s">
        <v>12206</v>
      </c>
    </row>
    <row r="19" spans="1:10" ht="45">
      <c r="A19" s="8" t="s">
        <v>16127</v>
      </c>
      <c r="B19" s="18" t="s">
        <v>7744</v>
      </c>
      <c r="C19" s="18" t="s">
        <v>10493</v>
      </c>
      <c r="D19" s="13">
        <v>45106</v>
      </c>
      <c r="E19" s="29">
        <v>59.99</v>
      </c>
      <c r="F19" s="18" t="s">
        <v>14</v>
      </c>
      <c r="G19" s="74" t="s">
        <v>11427</v>
      </c>
      <c r="H19" s="71">
        <v>45316</v>
      </c>
      <c r="I19" s="15">
        <v>48979953</v>
      </c>
      <c r="J19" s="75" t="s">
        <v>12206</v>
      </c>
    </row>
    <row r="20" spans="1:10" ht="45">
      <c r="A20" s="8" t="s">
        <v>16147</v>
      </c>
      <c r="B20" s="18" t="s">
        <v>9431</v>
      </c>
      <c r="C20" s="18" t="s">
        <v>7099</v>
      </c>
      <c r="D20" s="13">
        <v>45161</v>
      </c>
      <c r="E20" s="29">
        <v>76.03</v>
      </c>
      <c r="F20" s="18" t="s">
        <v>14</v>
      </c>
      <c r="G20" s="74" t="s">
        <v>11427</v>
      </c>
      <c r="H20" s="71">
        <v>45324</v>
      </c>
      <c r="I20" s="15" t="s">
        <v>16148</v>
      </c>
      <c r="J20" s="75" t="s">
        <v>12206</v>
      </c>
    </row>
    <row r="21" spans="1:10" ht="45">
      <c r="A21" s="8" t="s">
        <v>16129</v>
      </c>
      <c r="B21" s="18" t="s">
        <v>7744</v>
      </c>
      <c r="C21" s="18" t="s">
        <v>7099</v>
      </c>
      <c r="D21" s="13">
        <v>45225</v>
      </c>
      <c r="E21" s="29">
        <v>49.99</v>
      </c>
      <c r="F21" s="18" t="s">
        <v>14</v>
      </c>
      <c r="G21" s="74" t="s">
        <v>11427</v>
      </c>
      <c r="H21" s="71">
        <v>45337</v>
      </c>
      <c r="I21" s="15" t="s">
        <v>16130</v>
      </c>
      <c r="J21" s="75" t="s">
        <v>12206</v>
      </c>
    </row>
    <row r="22" spans="1:10" ht="45">
      <c r="A22" s="8" t="s">
        <v>1964</v>
      </c>
      <c r="B22" s="18" t="s">
        <v>7744</v>
      </c>
      <c r="C22" s="18" t="s">
        <v>7099</v>
      </c>
      <c r="D22" s="13">
        <v>45183</v>
      </c>
      <c r="E22" s="29">
        <v>54.3</v>
      </c>
      <c r="F22" s="18" t="s">
        <v>14</v>
      </c>
      <c r="G22" s="74" t="s">
        <v>11427</v>
      </c>
      <c r="H22" s="71">
        <v>45338</v>
      </c>
      <c r="I22" s="15" t="s">
        <v>16144</v>
      </c>
      <c r="J22" s="75" t="s">
        <v>12206</v>
      </c>
    </row>
    <row r="23" spans="1:10" ht="45">
      <c r="A23" s="8" t="s">
        <v>16131</v>
      </c>
      <c r="B23" s="18" t="s">
        <v>7744</v>
      </c>
      <c r="C23" s="18" t="s">
        <v>7099</v>
      </c>
      <c r="D23" s="13">
        <v>45225</v>
      </c>
      <c r="E23" s="29">
        <v>59.99</v>
      </c>
      <c r="F23" s="18" t="s">
        <v>14</v>
      </c>
      <c r="G23" s="74" t="s">
        <v>11427</v>
      </c>
      <c r="H23" s="71">
        <v>45349</v>
      </c>
      <c r="I23" s="15" t="s">
        <v>16130</v>
      </c>
      <c r="J23" s="75" t="s">
        <v>12206</v>
      </c>
    </row>
    <row r="24" spans="1:10" ht="45">
      <c r="A24" s="8" t="s">
        <v>16145</v>
      </c>
      <c r="B24" s="18" t="s">
        <v>9431</v>
      </c>
      <c r="C24" s="18" t="s">
        <v>7099</v>
      </c>
      <c r="D24" s="13">
        <v>45169</v>
      </c>
      <c r="E24" s="29">
        <v>66.260000000000005</v>
      </c>
      <c r="F24" s="18" t="s">
        <v>14</v>
      </c>
      <c r="G24" s="74" t="s">
        <v>11427</v>
      </c>
      <c r="H24" s="71">
        <v>45351</v>
      </c>
      <c r="I24" s="15" t="s">
        <v>16146</v>
      </c>
      <c r="J24" s="75" t="s">
        <v>12206</v>
      </c>
    </row>
    <row r="25" spans="1:10" ht="45">
      <c r="A25" s="8" t="s">
        <v>16138</v>
      </c>
      <c r="B25" s="18" t="s">
        <v>7744</v>
      </c>
      <c r="C25" s="18" t="s">
        <v>7099</v>
      </c>
      <c r="D25" s="13">
        <v>45191</v>
      </c>
      <c r="E25" s="29">
        <v>65.16</v>
      </c>
      <c r="F25" s="18" t="s">
        <v>14</v>
      </c>
      <c r="G25" s="74" t="s">
        <v>11427</v>
      </c>
      <c r="H25" s="71">
        <v>45359</v>
      </c>
      <c r="I25" s="15" t="s">
        <v>16140</v>
      </c>
      <c r="J25" s="75" t="s">
        <v>12206</v>
      </c>
    </row>
    <row r="26" spans="1:10" ht="45">
      <c r="A26" s="8" t="s">
        <v>16142</v>
      </c>
      <c r="B26" s="18" t="s">
        <v>7744</v>
      </c>
      <c r="C26" s="18" t="s">
        <v>7099</v>
      </c>
      <c r="D26" s="13">
        <v>45187</v>
      </c>
      <c r="E26" s="29">
        <v>65.16</v>
      </c>
      <c r="F26" s="18" t="s">
        <v>14</v>
      </c>
      <c r="G26" s="74" t="s">
        <v>11427</v>
      </c>
      <c r="H26" s="71">
        <v>45373</v>
      </c>
      <c r="I26" s="15" t="s">
        <v>16143</v>
      </c>
      <c r="J26" s="75" t="s">
        <v>12206</v>
      </c>
    </row>
    <row r="27" spans="1:10" ht="45">
      <c r="A27" s="8" t="s">
        <v>16134</v>
      </c>
      <c r="B27" s="18" t="s">
        <v>7744</v>
      </c>
      <c r="C27" s="18" t="s">
        <v>7099</v>
      </c>
      <c r="D27" s="13">
        <v>45218</v>
      </c>
      <c r="E27" s="29">
        <v>54.3</v>
      </c>
      <c r="F27" s="18" t="s">
        <v>14</v>
      </c>
      <c r="G27" s="74" t="s">
        <v>11427</v>
      </c>
      <c r="H27" s="71">
        <v>45382</v>
      </c>
      <c r="I27" s="15" t="s">
        <v>16135</v>
      </c>
      <c r="J27" s="75" t="s">
        <v>12206</v>
      </c>
    </row>
    <row r="28" spans="1:10" ht="45">
      <c r="A28" s="8" t="s">
        <v>16132</v>
      </c>
      <c r="B28" s="18" t="s">
        <v>7744</v>
      </c>
      <c r="C28" s="18" t="s">
        <v>7099</v>
      </c>
      <c r="D28" s="13">
        <v>45225</v>
      </c>
      <c r="E28" s="29">
        <v>49.99</v>
      </c>
      <c r="F28" s="18" t="s">
        <v>14</v>
      </c>
      <c r="G28" s="74" t="s">
        <v>11427</v>
      </c>
      <c r="H28" s="71">
        <v>45473</v>
      </c>
      <c r="I28" s="15" t="s">
        <v>16130</v>
      </c>
      <c r="J28" s="75" t="s">
        <v>12206</v>
      </c>
    </row>
    <row r="29" spans="1:10" ht="45">
      <c r="A29" s="8" t="s">
        <v>16136</v>
      </c>
      <c r="B29" s="18" t="s">
        <v>7744</v>
      </c>
      <c r="C29" s="18" t="s">
        <v>7099</v>
      </c>
      <c r="D29" s="13">
        <v>45200</v>
      </c>
      <c r="E29" s="29">
        <v>65.16</v>
      </c>
      <c r="F29" s="18" t="s">
        <v>14</v>
      </c>
      <c r="G29" s="74" t="s">
        <v>11427</v>
      </c>
      <c r="H29" s="71">
        <v>45504</v>
      </c>
      <c r="I29" s="15" t="s">
        <v>16137</v>
      </c>
      <c r="J29" s="75" t="s">
        <v>12206</v>
      </c>
    </row>
    <row r="30" spans="1:10" ht="45">
      <c r="A30" s="8" t="s">
        <v>12410</v>
      </c>
      <c r="B30" s="18" t="s">
        <v>12412</v>
      </c>
      <c r="C30" s="18" t="s">
        <v>11419</v>
      </c>
      <c r="D30" s="13">
        <v>44802</v>
      </c>
      <c r="E30" s="29">
        <v>0</v>
      </c>
      <c r="F30" s="18" t="s">
        <v>14</v>
      </c>
      <c r="G30" s="74" t="s">
        <v>11427</v>
      </c>
      <c r="H30" s="73">
        <v>45717</v>
      </c>
      <c r="I30" s="15" t="s">
        <v>12413</v>
      </c>
      <c r="J30" s="75" t="s">
        <v>12206</v>
      </c>
    </row>
    <row r="31" spans="1:10" ht="45">
      <c r="A31" s="8" t="s">
        <v>12411</v>
      </c>
      <c r="B31" s="18" t="s">
        <v>12412</v>
      </c>
      <c r="C31" s="18" t="s">
        <v>11419</v>
      </c>
      <c r="D31" s="13">
        <v>44802</v>
      </c>
      <c r="E31" s="29">
        <v>0</v>
      </c>
      <c r="F31" s="18" t="s">
        <v>14</v>
      </c>
      <c r="G31" s="74" t="s">
        <v>11427</v>
      </c>
      <c r="H31" s="73">
        <v>45717</v>
      </c>
      <c r="I31" s="15" t="s">
        <v>12413</v>
      </c>
      <c r="J31" s="75" t="s">
        <v>12206</v>
      </c>
    </row>
    <row r="32" spans="1:10" ht="45">
      <c r="A32" s="8" t="s">
        <v>14746</v>
      </c>
      <c r="B32" s="18" t="s">
        <v>7744</v>
      </c>
      <c r="C32" s="18" t="s">
        <v>1134</v>
      </c>
      <c r="D32" s="13">
        <v>45055</v>
      </c>
      <c r="E32" s="29">
        <v>34.99</v>
      </c>
      <c r="F32" s="18" t="s">
        <v>14</v>
      </c>
      <c r="G32" s="74" t="s">
        <v>11427</v>
      </c>
      <c r="H32" s="74" t="s">
        <v>11433</v>
      </c>
      <c r="I32" s="15">
        <v>2661493</v>
      </c>
      <c r="J32" s="75" t="s">
        <v>12206</v>
      </c>
    </row>
    <row r="33" spans="1:10" ht="45">
      <c r="A33" s="8" t="s">
        <v>14747</v>
      </c>
      <c r="B33" s="18" t="s">
        <v>7744</v>
      </c>
      <c r="C33" s="18" t="s">
        <v>1134</v>
      </c>
      <c r="D33" s="13">
        <v>45055</v>
      </c>
      <c r="E33" s="29">
        <v>39.99</v>
      </c>
      <c r="F33" s="18" t="s">
        <v>14</v>
      </c>
      <c r="G33" s="74" t="s">
        <v>11427</v>
      </c>
      <c r="H33" s="74" t="s">
        <v>11433</v>
      </c>
      <c r="I33" s="15">
        <v>2661493</v>
      </c>
      <c r="J33" s="75" t="s">
        <v>12206</v>
      </c>
    </row>
    <row r="34" spans="1:10" ht="45">
      <c r="A34" s="8" t="s">
        <v>14748</v>
      </c>
      <c r="B34" s="18" t="s">
        <v>7744</v>
      </c>
      <c r="C34" s="18" t="s">
        <v>1134</v>
      </c>
      <c r="D34" s="13">
        <v>45055</v>
      </c>
      <c r="E34" s="29">
        <v>49.99</v>
      </c>
      <c r="F34" s="18" t="s">
        <v>14</v>
      </c>
      <c r="G34" s="74" t="s">
        <v>11427</v>
      </c>
      <c r="H34" s="74" t="s">
        <v>11433</v>
      </c>
      <c r="I34" s="15">
        <v>2661493</v>
      </c>
      <c r="J34" s="75" t="s">
        <v>12206</v>
      </c>
    </row>
    <row r="35" spans="1:10" ht="45">
      <c r="A35" s="8" t="s">
        <v>15228</v>
      </c>
      <c r="B35" s="18" t="s">
        <v>7744</v>
      </c>
      <c r="C35" s="18" t="s">
        <v>14752</v>
      </c>
      <c r="D35" s="13">
        <v>45070</v>
      </c>
      <c r="E35" s="29">
        <v>45.61</v>
      </c>
      <c r="F35" s="18" t="s">
        <v>14</v>
      </c>
      <c r="G35" s="74" t="s">
        <v>11427</v>
      </c>
      <c r="H35" s="71" t="s">
        <v>11433</v>
      </c>
      <c r="I35" s="15" t="s">
        <v>15230</v>
      </c>
      <c r="J35" s="75" t="s">
        <v>12206</v>
      </c>
    </row>
    <row r="36" spans="1:10" ht="45">
      <c r="A36" s="8" t="s">
        <v>15229</v>
      </c>
      <c r="B36" s="18" t="s">
        <v>7744</v>
      </c>
      <c r="C36" s="18" t="s">
        <v>14752</v>
      </c>
      <c r="D36" s="13">
        <v>45070</v>
      </c>
      <c r="E36" s="29">
        <v>45.61</v>
      </c>
      <c r="F36" s="18" t="s">
        <v>14</v>
      </c>
      <c r="G36" s="74" t="s">
        <v>11427</v>
      </c>
      <c r="H36" s="71" t="s">
        <v>11433</v>
      </c>
      <c r="I36" s="15" t="s">
        <v>15230</v>
      </c>
      <c r="J36" s="75" t="s">
        <v>12206</v>
      </c>
    </row>
    <row r="37" spans="1:10" ht="45">
      <c r="A37" s="8" t="s">
        <v>16150</v>
      </c>
      <c r="B37" s="18" t="s">
        <v>7744</v>
      </c>
      <c r="C37" s="18" t="s">
        <v>14752</v>
      </c>
      <c r="D37" s="13">
        <v>45199</v>
      </c>
      <c r="E37" s="29">
        <v>39.840000000000003</v>
      </c>
      <c r="F37" s="18" t="s">
        <v>14</v>
      </c>
      <c r="G37" s="74" t="s">
        <v>11427</v>
      </c>
      <c r="H37" s="71" t="s">
        <v>11433</v>
      </c>
      <c r="I37" s="15" t="s">
        <v>16151</v>
      </c>
      <c r="J37" s="75" t="s">
        <v>12206</v>
      </c>
    </row>
    <row r="38" spans="1:10" ht="45">
      <c r="A38" s="8" t="s">
        <v>16152</v>
      </c>
      <c r="B38" s="18" t="s">
        <v>7744</v>
      </c>
      <c r="C38" s="18" t="s">
        <v>14752</v>
      </c>
      <c r="D38" s="13">
        <v>45199</v>
      </c>
      <c r="E38" s="29">
        <v>28.97</v>
      </c>
      <c r="F38" s="18" t="s">
        <v>14</v>
      </c>
      <c r="G38" s="74" t="s">
        <v>11427</v>
      </c>
      <c r="H38" s="71" t="s">
        <v>11433</v>
      </c>
      <c r="I38" s="15" t="s">
        <v>16151</v>
      </c>
      <c r="J38" s="75" t="s">
        <v>12206</v>
      </c>
    </row>
    <row r="39" spans="1:10" ht="45">
      <c r="A39" s="8" t="s">
        <v>16153</v>
      </c>
      <c r="B39" s="18" t="s">
        <v>7744</v>
      </c>
      <c r="C39" s="18" t="s">
        <v>14752</v>
      </c>
      <c r="D39" s="13">
        <v>45199</v>
      </c>
      <c r="E39" s="29">
        <v>28.97</v>
      </c>
      <c r="F39" s="18" t="s">
        <v>14</v>
      </c>
      <c r="G39" s="74" t="s">
        <v>11427</v>
      </c>
      <c r="H39" s="71" t="s">
        <v>11433</v>
      </c>
      <c r="I39" s="15" t="s">
        <v>16151</v>
      </c>
      <c r="J39" s="75" t="s">
        <v>12206</v>
      </c>
    </row>
    <row r="40" spans="1:10">
      <c r="A40" s="8" t="s">
        <v>11424</v>
      </c>
      <c r="B40" s="18" t="s">
        <v>7800</v>
      </c>
      <c r="C40" s="18" t="s">
        <v>11425</v>
      </c>
      <c r="D40" s="13">
        <v>44638</v>
      </c>
      <c r="E40" s="29">
        <v>15.94</v>
      </c>
      <c r="F40" s="18" t="s">
        <v>1107</v>
      </c>
      <c r="G40" s="74" t="s">
        <v>11427</v>
      </c>
      <c r="H40" s="74" t="s">
        <v>11434</v>
      </c>
      <c r="I40" s="15" t="s">
        <v>11429</v>
      </c>
      <c r="J40" s="68" t="s">
        <v>11433</v>
      </c>
    </row>
    <row r="238" spans="1:1">
      <c r="A238" s="9"/>
    </row>
    <row r="330" spans="1:1">
      <c r="A330" s="9"/>
    </row>
    <row r="437" spans="1:1">
      <c r="A437" s="9"/>
    </row>
    <row r="580" spans="1:1">
      <c r="A580" s="9"/>
    </row>
    <row r="608" spans="1:1">
      <c r="A608" s="9"/>
    </row>
    <row r="655" spans="1:1">
      <c r="A655" s="9"/>
    </row>
    <row r="746" spans="1:1">
      <c r="A746" s="9"/>
    </row>
    <row r="914" spans="1:1">
      <c r="A914" s="9"/>
    </row>
    <row r="1077" spans="1:1">
      <c r="A1077" s="9"/>
    </row>
    <row r="1297" spans="1:1">
      <c r="A1297" s="9"/>
    </row>
    <row r="1410" spans="1:1">
      <c r="A1410" s="9"/>
    </row>
    <row r="1431" spans="1:1">
      <c r="A1431" s="9"/>
    </row>
    <row r="1566" spans="1:1">
      <c r="A1566" s="9"/>
    </row>
    <row r="1583" spans="1:1">
      <c r="A1583" s="9"/>
    </row>
    <row r="1589" spans="1:1">
      <c r="A1589" s="9"/>
    </row>
    <row r="1617" spans="1:1">
      <c r="A1617" s="9"/>
    </row>
    <row r="1676" spans="1:1">
      <c r="A1676" s="9"/>
    </row>
    <row r="1852" spans="1:1">
      <c r="A1852" s="9"/>
    </row>
    <row r="2094" spans="1:1">
      <c r="A2094" s="9"/>
    </row>
    <row r="2241" spans="1:1">
      <c r="A2241" s="9"/>
    </row>
    <row r="2418" spans="1:1">
      <c r="A2418" s="9"/>
    </row>
    <row r="2439" spans="1:1">
      <c r="A2439" s="9"/>
    </row>
    <row r="2456" spans="1:1">
      <c r="A2456" s="9"/>
    </row>
    <row r="2649" spans="1:1">
      <c r="A2649" s="9"/>
    </row>
    <row r="2670" spans="1:1">
      <c r="A2670" s="9"/>
    </row>
    <row r="2672" spans="1:1">
      <c r="A2672" s="9"/>
    </row>
    <row r="2836" spans="1:1">
      <c r="A2836" s="9"/>
    </row>
    <row r="4346" spans="1:1">
      <c r="A4346" s="9"/>
    </row>
    <row r="4416" spans="1:1">
      <c r="A4416" s="9"/>
    </row>
    <row r="4460" spans="1:1">
      <c r="A4460" s="9"/>
    </row>
    <row r="4680" spans="1:1">
      <c r="A4680" s="9"/>
    </row>
    <row r="4708" spans="1:1">
      <c r="A4708" s="9"/>
    </row>
    <row r="4845" spans="1:1">
      <c r="A4845" s="9"/>
    </row>
    <row r="4867" spans="1:1">
      <c r="A4867" s="9"/>
    </row>
    <row r="4875" spans="1:1">
      <c r="A4875" s="9"/>
    </row>
  </sheetData>
  <sortState xmlns:xlrd2="http://schemas.microsoft.com/office/spreadsheetml/2017/richdata2" ref="A2:K40">
    <sortCondition ref="H1:H40"/>
  </sortState>
  <customSheetViews>
    <customSheetView guid="{27CD999D-077E-4AAD-9B12-102015DE6011}" topLeftCell="A28">
      <pane xSplit="1" topLeftCell="B1" activePane="topRight" state="frozen"/>
      <selection pane="topRight" activeCell="F51" sqref="F51"/>
      <pageMargins left="0.7" right="0.7" top="0.75" bottom="0.75" header="0.3" footer="0.3"/>
    </customSheetView>
    <customSheetView guid="{E19BF558-CF7A-4C36-981A-080DBBE265DE}" topLeftCell="A28">
      <pane xSplit="1" topLeftCell="B1" activePane="topRight" state="frozen"/>
      <selection pane="topRight" activeCell="F51" sqref="F51"/>
      <pageMargins left="0.7" right="0.7" top="0.75" bottom="0.75" header="0.3" footer="0.3"/>
    </customSheetView>
  </customSheetViews>
  <phoneticPr fontId="7" type="noConversion"/>
  <conditionalFormatting sqref="A1:A1048576">
    <cfRule type="duplicateValues" dxfId="4" priority="11"/>
  </conditionalFormatting>
  <conditionalFormatting sqref="B1">
    <cfRule type="duplicateValues" dxfId="3" priority="15"/>
  </conditionalFormatting>
  <conditionalFormatting sqref="C1">
    <cfRule type="colorScale" priority="12">
      <colorScale>
        <cfvo type="num" val="5"/>
        <cfvo type="num" val="15"/>
        <cfvo type="num" val="30"/>
        <color theme="7"/>
        <color theme="5"/>
        <color theme="8"/>
      </colorScale>
    </cfRule>
  </conditionalFormatting>
  <conditionalFormatting sqref="D1">
    <cfRule type="colorScale" priority="14">
      <colorScale>
        <cfvo type="percent" val="0"/>
        <cfvo type="percent" val="50"/>
        <cfvo type="percent" val="100"/>
        <color rgb="FFF8696B"/>
        <color rgb="FFFFEB84"/>
        <color rgb="FF63BE7B"/>
      </colorScale>
    </cfRule>
  </conditionalFormatting>
  <conditionalFormatting sqref="E1">
    <cfRule type="colorScale" priority="13">
      <colorScale>
        <cfvo type="percent" val="0"/>
        <cfvo type="percent" val="50"/>
        <cfvo type="percent" val="100"/>
        <color rgb="FFF8696B"/>
        <color rgb="FFFFEB84"/>
        <color rgb="FF63BE7B"/>
      </colorScale>
    </cfRule>
  </conditionalFormatting>
  <conditionalFormatting sqref="F1:G1048576 I1:J1048576">
    <cfRule type="cellIs" dxfId="2" priority="2" operator="equal">
      <formula>"Both"</formula>
    </cfRule>
    <cfRule type="containsText" dxfId="1" priority="3" operator="containsText" text="Digital">
      <formula>NOT(ISERROR(SEARCH("Digital",F1)))</formula>
    </cfRule>
    <cfRule type="containsText" dxfId="0" priority="4" operator="containsText" text="Physical">
      <formula>NOT(ISERROR(SEARCH("Physical",F1)))</formula>
    </cfRule>
  </conditionalFormatting>
  <conditionalFormatting sqref="G1:G1048576">
    <cfRule type="colorScale" priority="1">
      <colorScale>
        <cfvo type="min"/>
        <cfvo type="percentile" val="50"/>
        <cfvo type="max"/>
        <color rgb="FF63BE7B"/>
        <color rgb="FFFCFCFF"/>
        <color rgb="FFF8696B"/>
      </colorScale>
    </cfRule>
  </conditionalFormatting>
  <conditionalFormatting sqref="K1">
    <cfRule type="colorScale" priority="10">
      <colorScale>
        <cfvo type="percent" val="0"/>
        <cfvo type="percent" val="50"/>
        <cfvo type="percent" val="100"/>
        <color rgb="FFF8696B"/>
        <color rgb="FFFFEB84"/>
        <color rgb="FF63BE7B"/>
      </colorScale>
    </cfRule>
  </conditionalFormatting>
  <hyperlinks>
    <hyperlink ref="I2" r:id="rId1" display="https://www.kickstarter.com/projects/rabbitandbearstudios/eiyuden-chronicle-hundred-heroes" xr:uid="{01DBEFE1-5276-4326-BFC5-8C439EAC094A}"/>
    <hyperlink ref="I5" r:id="rId2" display="https://www.kickstarter.com/projects/yachtclubgames/mina-the-hollower" xr:uid="{DE878D51-DDB0-44F8-A567-4063D82F5F14}"/>
    <hyperlink ref="I3" r:id="rId3" location="/" display="https://www.indiegogo.com/projects/bittersweet-birthday-a-game-of-heart-horror--2/x/18098791 - /" xr:uid="{D0BB6AE7-057B-4BAE-A1D8-AD5AA2A4498E}"/>
    <hyperlink ref="I40" r:id="rId4" xr:uid="{226FBA9D-5A8B-44E8-A9A4-6F2958F326F7}"/>
    <hyperlink ref="I9" r:id="rId5" xr:uid="{46617446-BE14-489D-B40B-A887BC2A54F0}"/>
    <hyperlink ref="I30" r:id="rId6" xr:uid="{95659117-1B56-4EBF-8B3B-9ABBB02EC7C7}"/>
    <hyperlink ref="I31" r:id="rId7" xr:uid="{4F8469BD-AAC2-4E04-9B3C-F6FF0F53C91F}"/>
    <hyperlink ref="I32" r:id="rId8" display="https://limitedrungames.com/account/orders/974984fff80cb7357d8e26ddc7f3f008" xr:uid="{67A5C988-9FEE-4FC4-AC5A-A43B108B8267}"/>
    <hyperlink ref="I33" r:id="rId9" display="https://limitedrungames.com/account/orders/974984fff80cb7357d8e26ddc7f3f008" xr:uid="{EB3FC70B-93B7-4475-BB59-D4EEF24E8489}"/>
    <hyperlink ref="I34" r:id="rId10" display="https://limitedrungames.com/account/orders/974984fff80cb7357d8e26ddc7f3f008" xr:uid="{B4B4A2C2-0E84-4C1A-96D2-1346510B64E5}"/>
    <hyperlink ref="I36" r:id="rId11" xr:uid="{FAF0A0A8-922E-4168-A2EB-319D35AE6DD1}"/>
    <hyperlink ref="I35" r:id="rId12" xr:uid="{BA6861D7-33EB-419B-93BF-09359152BDD3}"/>
    <hyperlink ref="I10" r:id="rId13" display="https://www.play-asia.com/order-info/svfxf" xr:uid="{D3E579A4-5BD6-456B-846B-B03D6A42357B}"/>
    <hyperlink ref="I11" r:id="rId14" display="https://www.play-asia.com/order-info/svfxf" xr:uid="{45EC5F8F-E5FC-4BFE-BE04-4D15F114F83F}"/>
    <hyperlink ref="I12" r:id="rId15" display="https://www.play-asia.com/order-info/svfxf" xr:uid="{10558863-C554-4801-97E3-CCDBC1458800}"/>
    <hyperlink ref="I14" r:id="rId16" display="https://www.play-asia.com/order-info/u0t0j" xr:uid="{9F0DA1F9-58AC-4EFF-B784-473F0F0CAAA5}"/>
    <hyperlink ref="I15" r:id="rId17" display="https://www.play-asia.com/order-info/u0t0j" xr:uid="{A1DA14DE-FE11-46A1-B27B-56D458F40AC4}"/>
    <hyperlink ref="I16" r:id="rId18" display="https://www.play-asia.com/order-info/u0t0j" xr:uid="{4CAD0001-5C48-4921-AF13-E5942D567E1A}"/>
    <hyperlink ref="I17" r:id="rId19" display="https://www.play-asia.com/order-info/t5t69" xr:uid="{BB498318-AB98-490E-8069-9CCABF2F51C2}"/>
    <hyperlink ref="I18" r:id="rId20" display="https://www.play-asia.com/order-info/t5t69" xr:uid="{8E867D54-8B9D-4026-BCEB-5174A1896ECF}"/>
    <hyperlink ref="I19" r:id="rId21" display="https://www.play-asia.com/order-info/t5t69" xr:uid="{F6A86059-006B-4D78-85E2-5784846ABE9B}"/>
    <hyperlink ref="I21" r:id="rId22" xr:uid="{48E13004-D697-44C1-BF45-145C64838650}"/>
    <hyperlink ref="I23" r:id="rId23" xr:uid="{D1647ADF-65B0-4BF7-AD2A-DD3FA1D660B4}"/>
    <hyperlink ref="I28" r:id="rId24" xr:uid="{3EFA2CEB-FA20-43C5-8B7E-62ACD7AAA8AA}"/>
    <hyperlink ref="I6" r:id="rId25" xr:uid="{B25F67D6-6D04-4BC8-8455-AC1CBAFF1DBC}"/>
    <hyperlink ref="I27" r:id="rId26" xr:uid="{503B0114-E448-44DB-9AAB-871C42A30EB3}"/>
    <hyperlink ref="I29" r:id="rId27" xr:uid="{DECBFC3B-CA50-42C6-97DB-94C9266C98FC}"/>
    <hyperlink ref="I25" r:id="rId28" xr:uid="{217AC2F8-EE5A-4A44-A605-EB7C4DE933A5}"/>
    <hyperlink ref="I13" r:id="rId29" xr:uid="{8361BF58-A9BB-4DA5-BEF8-6D3130D1C841}"/>
    <hyperlink ref="I26" r:id="rId30" xr:uid="{B4D84CCF-2498-4AD6-AC29-B884DF9B240B}"/>
    <hyperlink ref="I22" r:id="rId31" xr:uid="{3DFCA269-81FC-4084-8F29-404241A07ACF}"/>
    <hyperlink ref="I24" r:id="rId32" xr:uid="{470A1507-09A8-402A-BAC9-87348EBE34CB}"/>
    <hyperlink ref="I20" r:id="rId33" xr:uid="{D012711C-9CF6-4C07-B286-0B9CED6929C5}"/>
    <hyperlink ref="I4" r:id="rId34" xr:uid="{A38C8854-0BDC-4444-9370-CAE5A03ABA78}"/>
    <hyperlink ref="I37" r:id="rId35" xr:uid="{8916DF86-7666-49E4-82CA-28EFE4CB27AA}"/>
    <hyperlink ref="I38" r:id="rId36" xr:uid="{B1E9F3B2-B811-40CB-8FFE-F47418785F4E}"/>
    <hyperlink ref="I39" r:id="rId37" xr:uid="{E5AB8F5E-4FB7-41F0-BC17-9FEBF0C9F21E}"/>
    <hyperlink ref="I7" r:id="rId38" display="https://www.fangamer.com/_t/c/A1020004-1776667E98138807-962AA018?l=AADQ228%2FrH%2Feu2lPUDlmpGJ7EdcGppop4pMXivs2sVFOljPB0SWEV4J%2FKDeRqvzXrZ%2BNAJKHzQjfUYo46QR4Ryjr0yX3UwBULsKqWlRdf4R20O84li7cDMQG3OsWuxYq7ijiuUSSWKPg9foI6C63Lia300E%2FNRHxzYVrqRJCgcCm0Lc3IjeIRTYOscU03wKPw6Mn%2BatjiNIC4hnEIv283aziLuYycB6fnWEy8%2BFlGS735PqfgAzct6SMFsK52Yg2Vg7lYcFueT2mJTAuJfQlI8lyTEDGJW1EpnjCjwREOIZZa72tSzvhmNYVdENzZNkZBoN7%2BYTydn23F0L4hYOu9Qs%2FA4vLnZcSfg%3D%3D&amp;c=AABoK4H2ZDKiwSsKCn2bRW%2Fxcjd94IwywfBlNYB3stTXbczG2wzfS2bQAA2pK2YOHCpmIkrUKo8jawonTfLmmyl8jhQ%2FmWOw2Kd69Dw3hJ1c0GJPuQJ2vwsIQ1jYNjpBW8xqUQZp18w9idb3FgL3ntdJzcNUOciWqqRA0nAD80A%2FivKmE3k00FXbtCRii5PViVO3jCOS%2FDTz%2F7EUkW%2FrBS5Ds04WiOKSFVgbITl3L9dDHyq1PCSfwPnwCCXxuSp65mlbqp4uRgL5cYyyZWzx5vSOIA8mL2DPqDumTISbghaDCUOuEpncThekOZu6puAf5FvuOpGcOqibt7lTNxfUANDKgfJjuMaVEy8YT5GoLudsDajSctogDD5XeVSPCkjtFWg6phNKnRI9VbRxtp2judFDPdaU8dvIHRAy%2BawIuYS2KTyloWXrzKhyurB%2FfftnIo4vrtiHhTRpoUmlpYxm%2BA%3D%3D" xr:uid="{973DB9F4-FEC3-4ECB-81C5-215F539B8411}"/>
    <hyperlink ref="I8" r:id="rId39" xr:uid="{ED8570EF-0837-494E-AA8D-9DE1D09FA547}"/>
  </hyperlinks>
  <pageMargins left="0.7" right="0.7" top="0.75" bottom="0.75" header="0.3" footer="0.3"/>
  <pageSetup orientation="portrait" r:id="rId4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7D531-A770-4A64-816A-10D9D4F09BC0}">
  <sheetPr codeName="Sheet2"/>
  <dimension ref="A1:R1800"/>
  <sheetViews>
    <sheetView zoomScaleNormal="100" workbookViewId="0">
      <pane ySplit="1" topLeftCell="A1366" activePane="bottomLeft" state="frozen"/>
      <selection pane="bottomLeft" activeCell="R1369" sqref="R1369"/>
    </sheetView>
  </sheetViews>
  <sheetFormatPr defaultRowHeight="15"/>
  <cols>
    <col min="1" max="1" width="22.7109375" style="39" customWidth="1"/>
    <col min="2" max="2" width="19.85546875" style="18" bestFit="1" customWidth="1"/>
    <col min="3" max="3" width="12.85546875" style="18" bestFit="1" customWidth="1"/>
    <col min="4" max="4" width="12" style="18" bestFit="1" customWidth="1"/>
    <col min="5" max="5" width="30" style="10" bestFit="1" customWidth="1"/>
    <col min="6" max="6" width="30.7109375" style="10" bestFit="1" customWidth="1"/>
    <col min="7" max="7" width="26.42578125" style="59" bestFit="1" customWidth="1"/>
    <col min="8" max="8" width="23.5703125" style="68" bestFit="1" customWidth="1"/>
    <col min="9" max="9" width="8.140625" style="18" bestFit="1" customWidth="1"/>
    <col min="10" max="10" width="22.5703125" style="10" bestFit="1" customWidth="1"/>
    <col min="11" max="11" width="11.42578125" style="60" bestFit="1" customWidth="1"/>
    <col min="12" max="12" width="6.5703125" style="18" bestFit="1" customWidth="1"/>
    <col min="13" max="13" width="10.7109375" style="38" bestFit="1" customWidth="1"/>
    <col min="14" max="14" width="14.7109375" style="21" bestFit="1" customWidth="1"/>
    <col min="15" max="16" width="14.140625" style="18" bestFit="1" customWidth="1"/>
    <col min="17" max="17" width="16.140625" style="60" bestFit="1" customWidth="1"/>
    <col min="18" max="18" width="36.5703125" customWidth="1"/>
  </cols>
  <sheetData>
    <row r="1" spans="1:18" s="39" customFormat="1" ht="12.75">
      <c r="A1" s="33" t="s">
        <v>9955</v>
      </c>
      <c r="B1" s="33" t="s">
        <v>7730</v>
      </c>
      <c r="C1" s="33" t="s">
        <v>9956</v>
      </c>
      <c r="D1" s="33" t="s">
        <v>10987</v>
      </c>
      <c r="E1" s="33" t="s">
        <v>2</v>
      </c>
      <c r="F1" s="33" t="s">
        <v>3</v>
      </c>
      <c r="G1" s="33" t="s">
        <v>4</v>
      </c>
      <c r="H1" s="64" t="s">
        <v>5</v>
      </c>
      <c r="I1" s="34" t="s">
        <v>8548</v>
      </c>
      <c r="J1" s="34" t="s">
        <v>9957</v>
      </c>
      <c r="K1" s="35" t="s">
        <v>11</v>
      </c>
      <c r="L1" s="33" t="s">
        <v>9958</v>
      </c>
      <c r="M1" s="37" t="s">
        <v>9959</v>
      </c>
      <c r="N1" s="34" t="s">
        <v>9960</v>
      </c>
      <c r="O1" s="34" t="s">
        <v>12488</v>
      </c>
      <c r="P1" s="34" t="s">
        <v>9961</v>
      </c>
      <c r="Q1" s="35" t="s">
        <v>9962</v>
      </c>
      <c r="R1" s="35" t="s">
        <v>13</v>
      </c>
    </row>
    <row r="2" spans="1:18">
      <c r="A2" s="33" t="s">
        <v>89</v>
      </c>
      <c r="B2" s="40" t="s">
        <v>7734</v>
      </c>
      <c r="C2" s="41">
        <v>32112</v>
      </c>
      <c r="D2" s="47" t="s">
        <v>8465</v>
      </c>
      <c r="E2" s="40" t="s">
        <v>73</v>
      </c>
      <c r="F2" s="40" t="s">
        <v>73</v>
      </c>
      <c r="G2" s="42" t="s">
        <v>89</v>
      </c>
      <c r="H2" s="65" t="s">
        <v>56</v>
      </c>
      <c r="J2" s="43"/>
      <c r="K2" s="61">
        <v>0.8</v>
      </c>
      <c r="L2" s="40">
        <v>1</v>
      </c>
      <c r="M2" s="44"/>
      <c r="N2" s="45"/>
      <c r="O2" s="18">
        <v>0</v>
      </c>
      <c r="P2" s="18">
        <v>1</v>
      </c>
      <c r="Q2" s="61"/>
      <c r="R2" s="46"/>
    </row>
    <row r="3" spans="1:18">
      <c r="A3" s="33" t="s">
        <v>1162</v>
      </c>
      <c r="B3" s="40" t="s">
        <v>7765</v>
      </c>
      <c r="C3" s="47">
        <v>39406</v>
      </c>
      <c r="D3" s="47" t="s">
        <v>8465</v>
      </c>
      <c r="E3" s="40" t="s">
        <v>3116</v>
      </c>
      <c r="F3" s="40" t="s">
        <v>1161</v>
      </c>
      <c r="G3" s="42" t="s">
        <v>1162</v>
      </c>
      <c r="H3" s="65" t="s">
        <v>171</v>
      </c>
      <c r="J3" s="43"/>
      <c r="K3" s="61">
        <v>0.9</v>
      </c>
      <c r="L3" s="40">
        <v>2</v>
      </c>
      <c r="M3" s="44"/>
      <c r="N3" s="45"/>
      <c r="O3" s="18">
        <v>0</v>
      </c>
      <c r="P3" s="18">
        <v>0</v>
      </c>
      <c r="Q3" s="61">
        <v>0.91239999999999999</v>
      </c>
      <c r="R3" s="46"/>
    </row>
    <row r="4" spans="1:18">
      <c r="A4" s="33" t="s">
        <v>5969</v>
      </c>
      <c r="B4" s="40" t="s">
        <v>7765</v>
      </c>
      <c r="C4" s="47">
        <v>40204</v>
      </c>
      <c r="D4" s="47" t="s">
        <v>8465</v>
      </c>
      <c r="E4" s="40" t="s">
        <v>231</v>
      </c>
      <c r="F4" s="40" t="s">
        <v>1161</v>
      </c>
      <c r="G4" s="42" t="s">
        <v>1162</v>
      </c>
      <c r="H4" s="65" t="s">
        <v>171</v>
      </c>
      <c r="J4" s="43"/>
      <c r="K4" s="61">
        <v>0.9</v>
      </c>
      <c r="L4" s="40">
        <v>3</v>
      </c>
      <c r="M4" s="44"/>
      <c r="N4" s="45"/>
      <c r="O4" s="18">
        <v>0</v>
      </c>
      <c r="P4" s="18">
        <v>0</v>
      </c>
      <c r="Q4" s="61">
        <v>0.9577</v>
      </c>
      <c r="R4" s="46"/>
    </row>
    <row r="5" spans="1:18">
      <c r="A5" s="33" t="s">
        <v>4796</v>
      </c>
      <c r="B5" s="40" t="s">
        <v>7765</v>
      </c>
      <c r="C5" s="47">
        <v>39966</v>
      </c>
      <c r="D5" s="47" t="s">
        <v>8465</v>
      </c>
      <c r="E5" s="40" t="s">
        <v>1342</v>
      </c>
      <c r="F5" s="40" t="s">
        <v>1655</v>
      </c>
      <c r="G5" s="42" t="s">
        <v>1646</v>
      </c>
      <c r="H5" s="65" t="s">
        <v>1168</v>
      </c>
      <c r="J5" s="43"/>
      <c r="K5" s="61">
        <v>1</v>
      </c>
      <c r="L5" s="40">
        <v>4</v>
      </c>
      <c r="M5" s="44"/>
      <c r="N5" s="45"/>
      <c r="O5" s="18">
        <v>0</v>
      </c>
      <c r="P5" s="18">
        <v>0</v>
      </c>
      <c r="Q5" s="61">
        <v>0.85270000000000001</v>
      </c>
      <c r="R5" s="46"/>
    </row>
    <row r="6" spans="1:18">
      <c r="A6" s="33" t="s">
        <v>6343</v>
      </c>
      <c r="B6" s="40" t="s">
        <v>7765</v>
      </c>
      <c r="C6" s="47">
        <v>39469</v>
      </c>
      <c r="D6" s="47" t="s">
        <v>8465</v>
      </c>
      <c r="E6" s="40" t="s">
        <v>231</v>
      </c>
      <c r="F6" s="40" t="s">
        <v>3393</v>
      </c>
      <c r="G6" s="42" t="s">
        <v>3394</v>
      </c>
      <c r="H6" s="65" t="s">
        <v>150</v>
      </c>
      <c r="J6" s="43"/>
      <c r="K6" s="61">
        <v>0.9</v>
      </c>
      <c r="L6" s="40">
        <v>5</v>
      </c>
      <c r="M6" s="44"/>
      <c r="N6" s="45"/>
      <c r="O6" s="18">
        <v>0</v>
      </c>
      <c r="P6" s="18">
        <v>0</v>
      </c>
      <c r="Q6" s="61">
        <v>0.88360000000000005</v>
      </c>
      <c r="R6" s="46"/>
    </row>
    <row r="7" spans="1:18">
      <c r="A7" s="33" t="s">
        <v>6340</v>
      </c>
      <c r="B7" s="40" t="s">
        <v>7764</v>
      </c>
      <c r="C7" s="47">
        <v>37210</v>
      </c>
      <c r="D7" s="47" t="s">
        <v>8465</v>
      </c>
      <c r="E7" s="40" t="s">
        <v>3116</v>
      </c>
      <c r="F7" s="40" t="s">
        <v>6342</v>
      </c>
      <c r="G7" s="42" t="s">
        <v>4079</v>
      </c>
      <c r="H7" s="65" t="s">
        <v>1050</v>
      </c>
      <c r="J7" s="43"/>
      <c r="K7" s="61">
        <v>0.8</v>
      </c>
      <c r="L7" s="40">
        <v>6</v>
      </c>
      <c r="M7" s="44"/>
      <c r="N7" s="45"/>
      <c r="O7" s="18">
        <v>0</v>
      </c>
      <c r="P7" s="18">
        <v>0</v>
      </c>
      <c r="Q7" s="61">
        <v>0.95540000000000003</v>
      </c>
      <c r="R7" s="46"/>
    </row>
    <row r="8" spans="1:18">
      <c r="A8" s="33" t="s">
        <v>6341</v>
      </c>
      <c r="B8" s="40" t="s">
        <v>7764</v>
      </c>
      <c r="C8" s="47">
        <v>38300</v>
      </c>
      <c r="D8" s="47" t="s">
        <v>8465</v>
      </c>
      <c r="E8" s="40" t="s">
        <v>3116</v>
      </c>
      <c r="F8" s="40" t="s">
        <v>6342</v>
      </c>
      <c r="G8" s="42" t="s">
        <v>4079</v>
      </c>
      <c r="H8" s="65" t="s">
        <v>1050</v>
      </c>
      <c r="J8" s="43"/>
      <c r="K8" s="61">
        <v>0.8</v>
      </c>
      <c r="L8" s="40">
        <v>7</v>
      </c>
      <c r="M8" s="44"/>
      <c r="N8" s="45"/>
      <c r="O8" s="18">
        <v>0</v>
      </c>
      <c r="P8" s="18">
        <v>0</v>
      </c>
      <c r="Q8" s="61">
        <v>0.94569999999999999</v>
      </c>
      <c r="R8" s="46"/>
    </row>
    <row r="9" spans="1:18">
      <c r="A9" s="33" t="s">
        <v>901</v>
      </c>
      <c r="B9" s="40" t="s">
        <v>7740</v>
      </c>
      <c r="C9" s="47">
        <v>37514</v>
      </c>
      <c r="D9" s="47" t="s">
        <v>8465</v>
      </c>
      <c r="E9" s="40" t="s">
        <v>86</v>
      </c>
      <c r="F9" s="40" t="s">
        <v>87</v>
      </c>
      <c r="G9" s="42" t="s">
        <v>901</v>
      </c>
      <c r="H9" s="65" t="s">
        <v>1334</v>
      </c>
      <c r="J9" s="43"/>
      <c r="K9" s="61">
        <v>0.9</v>
      </c>
      <c r="L9" s="40">
        <v>8</v>
      </c>
      <c r="M9" s="44"/>
      <c r="N9" s="45"/>
      <c r="O9" s="18">
        <v>0</v>
      </c>
      <c r="P9" s="18">
        <v>0</v>
      </c>
      <c r="Q9" s="61">
        <v>0.86360000000000003</v>
      </c>
      <c r="R9" s="46"/>
    </row>
    <row r="10" spans="1:18" ht="25.5">
      <c r="A10" s="33" t="s">
        <v>2094</v>
      </c>
      <c r="B10" s="40" t="s">
        <v>7748</v>
      </c>
      <c r="C10" s="47">
        <v>38691</v>
      </c>
      <c r="D10" s="47" t="s">
        <v>8465</v>
      </c>
      <c r="E10" s="40" t="s">
        <v>86</v>
      </c>
      <c r="F10" s="40" t="s">
        <v>87</v>
      </c>
      <c r="G10" s="42" t="s">
        <v>901</v>
      </c>
      <c r="H10" s="65" t="s">
        <v>1334</v>
      </c>
      <c r="J10" s="43"/>
      <c r="K10" s="61">
        <v>0.9</v>
      </c>
      <c r="L10" s="40">
        <v>9</v>
      </c>
      <c r="M10" s="44"/>
      <c r="N10" s="45"/>
      <c r="O10" s="18">
        <v>0</v>
      </c>
      <c r="P10" s="18">
        <v>0</v>
      </c>
      <c r="Q10" s="61">
        <v>0.86270000000000002</v>
      </c>
      <c r="R10" s="46"/>
    </row>
    <row r="11" spans="1:18" ht="38.25">
      <c r="A11" s="33" t="s">
        <v>4302</v>
      </c>
      <c r="B11" s="40" t="s">
        <v>7765</v>
      </c>
      <c r="C11" s="47">
        <v>39602</v>
      </c>
      <c r="D11" s="47" t="s">
        <v>8465</v>
      </c>
      <c r="E11" s="40" t="s">
        <v>1284</v>
      </c>
      <c r="F11" s="40" t="s">
        <v>1309</v>
      </c>
      <c r="G11" s="42" t="s">
        <v>4305</v>
      </c>
      <c r="H11" s="65" t="s">
        <v>80</v>
      </c>
      <c r="J11" s="43"/>
      <c r="K11" s="61">
        <v>0.7</v>
      </c>
      <c r="L11" s="40">
        <v>10</v>
      </c>
      <c r="M11" s="44"/>
      <c r="N11" s="45"/>
      <c r="O11" s="18">
        <v>0</v>
      </c>
      <c r="P11" s="18">
        <v>0</v>
      </c>
      <c r="Q11" s="61">
        <v>0.78600000000000003</v>
      </c>
      <c r="R11" s="46"/>
    </row>
    <row r="12" spans="1:18">
      <c r="A12" s="33" t="s">
        <v>902</v>
      </c>
      <c r="B12" s="40" t="s">
        <v>7740</v>
      </c>
      <c r="C12" s="47">
        <v>37577</v>
      </c>
      <c r="D12" s="47" t="s">
        <v>8465</v>
      </c>
      <c r="E12" s="40" t="s">
        <v>86</v>
      </c>
      <c r="F12" s="40" t="s">
        <v>1139</v>
      </c>
      <c r="G12" s="42" t="s">
        <v>109</v>
      </c>
      <c r="H12" s="65" t="s">
        <v>1050</v>
      </c>
      <c r="J12" s="43"/>
      <c r="K12" s="61">
        <v>0.7</v>
      </c>
      <c r="L12" s="40">
        <v>11</v>
      </c>
      <c r="M12" s="44"/>
      <c r="N12" s="45"/>
      <c r="O12" s="18">
        <v>0</v>
      </c>
      <c r="P12" s="18">
        <v>0</v>
      </c>
      <c r="Q12" s="61">
        <v>0.96350000000000002</v>
      </c>
      <c r="R12" s="46"/>
    </row>
    <row r="13" spans="1:18" ht="25.5">
      <c r="A13" s="33" t="s">
        <v>956</v>
      </c>
      <c r="B13" s="40" t="s">
        <v>7741</v>
      </c>
      <c r="C13" s="47">
        <v>39382</v>
      </c>
      <c r="D13" s="47" t="s">
        <v>8465</v>
      </c>
      <c r="E13" s="40" t="s">
        <v>86</v>
      </c>
      <c r="F13" s="40" t="s">
        <v>1139</v>
      </c>
      <c r="G13" s="42" t="s">
        <v>109</v>
      </c>
      <c r="H13" s="65" t="s">
        <v>1050</v>
      </c>
      <c r="J13" s="43"/>
      <c r="K13" s="61">
        <v>0.8</v>
      </c>
      <c r="L13" s="40">
        <v>12</v>
      </c>
      <c r="M13" s="44"/>
      <c r="N13" s="45"/>
      <c r="O13" s="18">
        <v>0</v>
      </c>
      <c r="P13" s="18">
        <v>0</v>
      </c>
      <c r="Q13" s="61">
        <v>0.90229999999999999</v>
      </c>
      <c r="R13" s="46"/>
    </row>
    <row r="14" spans="1:18">
      <c r="A14" s="33" t="s">
        <v>2095</v>
      </c>
      <c r="B14" s="40" t="s">
        <v>7748</v>
      </c>
      <c r="C14" s="47">
        <v>38796</v>
      </c>
      <c r="D14" s="47" t="s">
        <v>8465</v>
      </c>
      <c r="E14" s="40" t="s">
        <v>86</v>
      </c>
      <c r="F14" s="40" t="s">
        <v>86</v>
      </c>
      <c r="G14" s="42" t="s">
        <v>109</v>
      </c>
      <c r="H14" s="65" t="s">
        <v>1050</v>
      </c>
      <c r="J14" s="43"/>
      <c r="K14" s="61">
        <v>0.6</v>
      </c>
      <c r="L14" s="40">
        <v>13</v>
      </c>
      <c r="M14" s="44"/>
      <c r="N14" s="45"/>
      <c r="O14" s="18">
        <v>0</v>
      </c>
      <c r="P14" s="18">
        <v>0</v>
      </c>
      <c r="Q14" s="61">
        <v>0.83950000000000002</v>
      </c>
      <c r="R14" s="46"/>
    </row>
    <row r="15" spans="1:18">
      <c r="A15" s="33" t="s">
        <v>1906</v>
      </c>
      <c r="B15" s="40" t="s">
        <v>7747</v>
      </c>
      <c r="C15" s="47">
        <v>38026</v>
      </c>
      <c r="D15" s="47" t="s">
        <v>8465</v>
      </c>
      <c r="E15" s="40" t="s">
        <v>86</v>
      </c>
      <c r="F15" s="40" t="s">
        <v>142</v>
      </c>
      <c r="G15" s="42" t="s">
        <v>109</v>
      </c>
      <c r="H15" s="65" t="s">
        <v>151</v>
      </c>
      <c r="J15" s="43"/>
      <c r="K15" s="61">
        <v>0.9</v>
      </c>
      <c r="L15" s="40">
        <v>14</v>
      </c>
      <c r="M15" s="44"/>
      <c r="N15" s="45"/>
      <c r="O15" s="18">
        <v>0</v>
      </c>
      <c r="P15" s="18">
        <v>0</v>
      </c>
      <c r="Q15" s="61">
        <v>0.89890000000000003</v>
      </c>
      <c r="R15" s="46"/>
    </row>
    <row r="16" spans="1:18">
      <c r="A16" s="33" t="s">
        <v>1907</v>
      </c>
      <c r="B16" s="40" t="s">
        <v>7747</v>
      </c>
      <c r="C16" s="47">
        <v>37577</v>
      </c>
      <c r="D16" s="47" t="s">
        <v>8465</v>
      </c>
      <c r="E16" s="40" t="s">
        <v>86</v>
      </c>
      <c r="F16" s="40" t="s">
        <v>142</v>
      </c>
      <c r="G16" s="42" t="s">
        <v>109</v>
      </c>
      <c r="H16" s="65" t="s">
        <v>151</v>
      </c>
      <c r="J16" s="43"/>
      <c r="K16" s="61">
        <v>0.8</v>
      </c>
      <c r="L16" s="40">
        <v>15</v>
      </c>
      <c r="M16" s="44"/>
      <c r="N16" s="45"/>
      <c r="O16" s="18">
        <v>0</v>
      </c>
      <c r="P16" s="18">
        <v>0</v>
      </c>
      <c r="Q16" s="61">
        <v>0.91439999999999999</v>
      </c>
      <c r="R16" s="46"/>
    </row>
    <row r="17" spans="1:18">
      <c r="A17" s="33" t="s">
        <v>576</v>
      </c>
      <c r="B17" s="40" t="s">
        <v>7736</v>
      </c>
      <c r="C17" s="47">
        <v>34442</v>
      </c>
      <c r="D17" s="47" t="s">
        <v>8465</v>
      </c>
      <c r="E17" s="40" t="s">
        <v>86</v>
      </c>
      <c r="F17" s="40" t="s">
        <v>142</v>
      </c>
      <c r="G17" s="42" t="s">
        <v>109</v>
      </c>
      <c r="H17" s="65" t="s">
        <v>151</v>
      </c>
      <c r="J17" s="43"/>
      <c r="K17" s="61">
        <v>1</v>
      </c>
      <c r="L17" s="40">
        <v>16</v>
      </c>
      <c r="M17" s="44"/>
      <c r="N17" s="45"/>
      <c r="O17" s="18">
        <v>0</v>
      </c>
      <c r="P17" s="18">
        <v>1</v>
      </c>
      <c r="Q17" s="61">
        <v>0.95499999999999996</v>
      </c>
      <c r="R17" s="46"/>
    </row>
    <row r="18" spans="1:18">
      <c r="A18" s="33" t="s">
        <v>903</v>
      </c>
      <c r="B18" s="40" t="s">
        <v>7740</v>
      </c>
      <c r="C18" s="47">
        <v>38166</v>
      </c>
      <c r="D18" s="47" t="s">
        <v>8465</v>
      </c>
      <c r="E18" s="40" t="s">
        <v>1273</v>
      </c>
      <c r="F18" s="40" t="s">
        <v>1508</v>
      </c>
      <c r="G18" s="42" t="s">
        <v>1264</v>
      </c>
      <c r="H18" s="65" t="s">
        <v>80</v>
      </c>
      <c r="J18" s="43"/>
      <c r="K18" s="61">
        <v>0.8</v>
      </c>
      <c r="L18" s="40">
        <v>17</v>
      </c>
      <c r="M18" s="44"/>
      <c r="N18" s="45"/>
      <c r="O18" s="18">
        <v>0</v>
      </c>
      <c r="P18" s="18">
        <v>0</v>
      </c>
      <c r="Q18" s="61">
        <v>0.80200000000000005</v>
      </c>
      <c r="R18" s="46"/>
    </row>
    <row r="19" spans="1:18">
      <c r="A19" s="33" t="s">
        <v>4071</v>
      </c>
      <c r="B19" s="40" t="s">
        <v>7765</v>
      </c>
      <c r="C19" s="47">
        <v>39365</v>
      </c>
      <c r="D19" s="47" t="s">
        <v>8465</v>
      </c>
      <c r="E19" s="40" t="s">
        <v>5706</v>
      </c>
      <c r="F19" s="40" t="s">
        <v>5706</v>
      </c>
      <c r="G19" s="42" t="s">
        <v>4069</v>
      </c>
      <c r="H19" s="65" t="s">
        <v>1050</v>
      </c>
      <c r="J19" s="43" t="s">
        <v>6509</v>
      </c>
      <c r="K19" s="61">
        <v>0.9</v>
      </c>
      <c r="L19" s="40">
        <v>18</v>
      </c>
      <c r="M19" s="44">
        <v>40116</v>
      </c>
      <c r="N19" s="45"/>
      <c r="O19" s="18">
        <v>0</v>
      </c>
      <c r="P19" s="18">
        <v>0</v>
      </c>
      <c r="Q19" s="61">
        <v>0.96360000000000001</v>
      </c>
      <c r="R19" s="46"/>
    </row>
    <row r="20" spans="1:18" ht="25.5">
      <c r="A20" s="33" t="s">
        <v>4072</v>
      </c>
      <c r="B20" s="40" t="s">
        <v>7765</v>
      </c>
      <c r="C20" s="47">
        <v>39365</v>
      </c>
      <c r="D20" s="47" t="s">
        <v>8465</v>
      </c>
      <c r="E20" s="40" t="s">
        <v>5706</v>
      </c>
      <c r="F20" s="40" t="s">
        <v>5706</v>
      </c>
      <c r="G20" s="42" t="s">
        <v>4069</v>
      </c>
      <c r="H20" s="65" t="s">
        <v>1050</v>
      </c>
      <c r="J20" s="43" t="s">
        <v>6509</v>
      </c>
      <c r="K20" s="61">
        <v>0.9</v>
      </c>
      <c r="L20" s="40">
        <v>19</v>
      </c>
      <c r="M20" s="44">
        <v>40123</v>
      </c>
      <c r="N20" s="45"/>
      <c r="O20" s="18">
        <v>0</v>
      </c>
      <c r="P20" s="18">
        <v>0</v>
      </c>
      <c r="Q20" s="61"/>
      <c r="R20" s="46"/>
    </row>
    <row r="21" spans="1:18" ht="25.5">
      <c r="A21" s="33" t="s">
        <v>4073</v>
      </c>
      <c r="B21" s="40" t="s">
        <v>7765</v>
      </c>
      <c r="C21" s="47">
        <v>39365</v>
      </c>
      <c r="D21" s="47" t="s">
        <v>8465</v>
      </c>
      <c r="E21" s="40" t="s">
        <v>5706</v>
      </c>
      <c r="F21" s="40" t="s">
        <v>5706</v>
      </c>
      <c r="G21" s="42" t="s">
        <v>4069</v>
      </c>
      <c r="H21" s="65" t="s">
        <v>1050</v>
      </c>
      <c r="J21" s="43" t="s">
        <v>6509</v>
      </c>
      <c r="K21" s="61">
        <v>0.9</v>
      </c>
      <c r="L21" s="40">
        <v>20</v>
      </c>
      <c r="M21" s="44">
        <v>40145</v>
      </c>
      <c r="N21" s="45"/>
      <c r="O21" s="18">
        <v>0</v>
      </c>
      <c r="P21" s="18">
        <v>0</v>
      </c>
      <c r="Q21" s="61"/>
      <c r="R21" s="46"/>
    </row>
    <row r="22" spans="1:18">
      <c r="A22" s="33" t="s">
        <v>4732</v>
      </c>
      <c r="B22" s="40" t="s">
        <v>7765</v>
      </c>
      <c r="C22" s="47">
        <v>39365</v>
      </c>
      <c r="D22" s="47" t="s">
        <v>8465</v>
      </c>
      <c r="E22" s="40" t="s">
        <v>5706</v>
      </c>
      <c r="F22" s="40" t="s">
        <v>5706</v>
      </c>
      <c r="G22" s="42" t="s">
        <v>4732</v>
      </c>
      <c r="H22" s="65" t="s">
        <v>27</v>
      </c>
      <c r="J22" s="43" t="s">
        <v>6509</v>
      </c>
      <c r="K22" s="61">
        <v>0.9</v>
      </c>
      <c r="L22" s="40">
        <v>21</v>
      </c>
      <c r="M22" s="44">
        <v>40146</v>
      </c>
      <c r="N22" s="45"/>
      <c r="O22" s="18">
        <v>0</v>
      </c>
      <c r="P22" s="18">
        <v>0</v>
      </c>
      <c r="Q22" s="61"/>
      <c r="R22" s="46"/>
    </row>
    <row r="23" spans="1:18">
      <c r="A23" s="33" t="s">
        <v>677</v>
      </c>
      <c r="B23" s="40" t="s">
        <v>7765</v>
      </c>
      <c r="C23" s="47">
        <v>39784</v>
      </c>
      <c r="D23" s="47" t="s">
        <v>8465</v>
      </c>
      <c r="E23" s="40" t="s">
        <v>1047</v>
      </c>
      <c r="F23" s="40" t="s">
        <v>1048</v>
      </c>
      <c r="G23" s="42" t="s">
        <v>677</v>
      </c>
      <c r="H23" s="65" t="s">
        <v>1040</v>
      </c>
      <c r="J23" s="43"/>
      <c r="K23" s="61">
        <v>0.8</v>
      </c>
      <c r="L23" s="40">
        <v>22</v>
      </c>
      <c r="M23" s="44"/>
      <c r="N23" s="45"/>
      <c r="O23" s="18">
        <v>0</v>
      </c>
      <c r="P23" s="18">
        <v>0</v>
      </c>
      <c r="Q23" s="61">
        <v>0.80630000000000002</v>
      </c>
      <c r="R23" s="46"/>
    </row>
    <row r="24" spans="1:18">
      <c r="A24" s="33" t="s">
        <v>6305</v>
      </c>
      <c r="B24" s="40" t="s">
        <v>7765</v>
      </c>
      <c r="C24" s="47">
        <v>39759</v>
      </c>
      <c r="D24" s="47" t="s">
        <v>8465</v>
      </c>
      <c r="E24" s="40" t="s">
        <v>3116</v>
      </c>
      <c r="F24" s="40" t="s">
        <v>6304</v>
      </c>
      <c r="G24" s="42" t="s">
        <v>6303</v>
      </c>
      <c r="H24" s="65" t="s">
        <v>1168</v>
      </c>
      <c r="J24" s="43"/>
      <c r="K24" s="61">
        <v>0.8</v>
      </c>
      <c r="L24" s="40">
        <v>23</v>
      </c>
      <c r="M24" s="44"/>
      <c r="N24" s="45"/>
      <c r="O24" s="18">
        <v>0</v>
      </c>
      <c r="P24" s="18">
        <v>0</v>
      </c>
      <c r="Q24" s="61">
        <v>0.93320000000000003</v>
      </c>
      <c r="R24" s="46"/>
    </row>
    <row r="25" spans="1:18" ht="25.5">
      <c r="A25" s="33" t="s">
        <v>6344</v>
      </c>
      <c r="B25" s="40" t="s">
        <v>7765</v>
      </c>
      <c r="C25" s="47">
        <v>39622</v>
      </c>
      <c r="D25" s="47" t="s">
        <v>8465</v>
      </c>
      <c r="E25" s="40" t="s">
        <v>231</v>
      </c>
      <c r="F25" s="40" t="s">
        <v>6349</v>
      </c>
      <c r="G25" s="42" t="s">
        <v>6350</v>
      </c>
      <c r="H25" s="65" t="s">
        <v>1050</v>
      </c>
      <c r="J25" s="43"/>
      <c r="K25" s="61">
        <v>0.7</v>
      </c>
      <c r="L25" s="40">
        <v>24</v>
      </c>
      <c r="M25" s="44"/>
      <c r="N25" s="45"/>
      <c r="O25" s="18">
        <v>0</v>
      </c>
      <c r="P25" s="18">
        <v>0</v>
      </c>
      <c r="Q25" s="61">
        <v>0.83760000000000001</v>
      </c>
      <c r="R25" s="46"/>
    </row>
    <row r="26" spans="1:18" ht="25.5">
      <c r="A26" s="33" t="s">
        <v>957</v>
      </c>
      <c r="B26" s="40" t="s">
        <v>7741</v>
      </c>
      <c r="C26" s="47">
        <v>39035</v>
      </c>
      <c r="D26" s="47" t="s">
        <v>8465</v>
      </c>
      <c r="E26" s="40" t="s">
        <v>1273</v>
      </c>
      <c r="F26" s="40" t="s">
        <v>1511</v>
      </c>
      <c r="G26" s="42" t="s">
        <v>957</v>
      </c>
      <c r="H26" s="65" t="s">
        <v>153</v>
      </c>
      <c r="J26" s="43"/>
      <c r="K26" s="61">
        <v>0.7</v>
      </c>
      <c r="L26" s="40">
        <v>25</v>
      </c>
      <c r="M26" s="44"/>
      <c r="N26" s="45"/>
      <c r="O26" s="18">
        <v>0</v>
      </c>
      <c r="P26" s="18">
        <v>0</v>
      </c>
      <c r="Q26" s="61">
        <v>0.73960000000000004</v>
      </c>
      <c r="R26" s="46"/>
    </row>
    <row r="27" spans="1:18" ht="25.5">
      <c r="A27" s="33" t="s">
        <v>6543</v>
      </c>
      <c r="B27" s="40" t="s">
        <v>7800</v>
      </c>
      <c r="C27" s="47">
        <v>36822</v>
      </c>
      <c r="D27" s="47" t="s">
        <v>8465</v>
      </c>
      <c r="E27" s="40" t="s">
        <v>231</v>
      </c>
      <c r="F27" s="40" t="s">
        <v>2654</v>
      </c>
      <c r="G27" s="42" t="s">
        <v>3043</v>
      </c>
      <c r="H27" s="65" t="s">
        <v>1143</v>
      </c>
      <c r="J27" s="43"/>
      <c r="K27" s="61">
        <v>1</v>
      </c>
      <c r="L27" s="40">
        <v>26</v>
      </c>
      <c r="M27" s="44"/>
      <c r="N27" s="45"/>
      <c r="O27" s="18">
        <v>0</v>
      </c>
      <c r="P27" s="18">
        <v>0</v>
      </c>
      <c r="Q27" s="61">
        <v>0.8629</v>
      </c>
      <c r="R27" s="46"/>
    </row>
    <row r="28" spans="1:18" ht="38.25">
      <c r="A28" s="33" t="s">
        <v>6545</v>
      </c>
      <c r="B28" s="40" t="s">
        <v>7800</v>
      </c>
      <c r="C28" s="47">
        <v>37174</v>
      </c>
      <c r="D28" s="47" t="s">
        <v>8465</v>
      </c>
      <c r="E28" s="40" t="s">
        <v>231</v>
      </c>
      <c r="F28" s="40" t="s">
        <v>2654</v>
      </c>
      <c r="G28" s="42" t="s">
        <v>3043</v>
      </c>
      <c r="H28" s="65" t="s">
        <v>1143</v>
      </c>
      <c r="J28" s="43"/>
      <c r="K28" s="61">
        <v>1</v>
      </c>
      <c r="L28" s="40">
        <v>27</v>
      </c>
      <c r="M28" s="44"/>
      <c r="N28" s="45"/>
      <c r="O28" s="18">
        <v>0</v>
      </c>
      <c r="P28" s="18">
        <v>0</v>
      </c>
      <c r="Q28" s="61">
        <v>0.8508</v>
      </c>
      <c r="R28" s="46"/>
    </row>
    <row r="29" spans="1:18" ht="25.5">
      <c r="A29" s="33" t="s">
        <v>5639</v>
      </c>
      <c r="B29" s="40" t="s">
        <v>7800</v>
      </c>
      <c r="C29" s="47">
        <v>36433</v>
      </c>
      <c r="D29" s="47" t="s">
        <v>8465</v>
      </c>
      <c r="E29" s="40" t="s">
        <v>3116</v>
      </c>
      <c r="F29" s="40" t="s">
        <v>5115</v>
      </c>
      <c r="G29" s="42" t="s">
        <v>3118</v>
      </c>
      <c r="H29" s="65" t="s">
        <v>1143</v>
      </c>
      <c r="J29" s="43"/>
      <c r="K29" s="61">
        <v>0.9</v>
      </c>
      <c r="L29" s="40">
        <v>28</v>
      </c>
      <c r="M29" s="44"/>
      <c r="N29" s="45"/>
      <c r="O29" s="18">
        <v>0</v>
      </c>
      <c r="P29" s="18">
        <v>0</v>
      </c>
      <c r="Q29" s="61">
        <v>0.91810000000000003</v>
      </c>
      <c r="R29" s="46"/>
    </row>
    <row r="30" spans="1:18" ht="25.5">
      <c r="A30" s="33" t="s">
        <v>3399</v>
      </c>
      <c r="B30" s="40" t="s">
        <v>7765</v>
      </c>
      <c r="C30" s="47">
        <v>39391</v>
      </c>
      <c r="D30" s="47" t="s">
        <v>8465</v>
      </c>
      <c r="E30" s="40" t="s">
        <v>1273</v>
      </c>
      <c r="F30" s="40" t="s">
        <v>3400</v>
      </c>
      <c r="G30" s="42" t="s">
        <v>3401</v>
      </c>
      <c r="H30" s="65" t="s">
        <v>1050</v>
      </c>
      <c r="J30" s="43"/>
      <c r="K30" s="61">
        <v>1</v>
      </c>
      <c r="L30" s="40">
        <v>29</v>
      </c>
      <c r="M30" s="44"/>
      <c r="N30" s="45"/>
      <c r="O30" s="18">
        <v>0</v>
      </c>
      <c r="P30" s="18">
        <v>0</v>
      </c>
      <c r="Q30" s="61">
        <v>0.94159999999999999</v>
      </c>
      <c r="R30" s="46"/>
    </row>
    <row r="31" spans="1:18" ht="25.5">
      <c r="A31" s="33" t="s">
        <v>3402</v>
      </c>
      <c r="B31" s="40" t="s">
        <v>7765</v>
      </c>
      <c r="C31" s="47">
        <v>40127</v>
      </c>
      <c r="D31" s="47" t="s">
        <v>8465</v>
      </c>
      <c r="E31" s="40" t="s">
        <v>1273</v>
      </c>
      <c r="F31" s="40" t="s">
        <v>3400</v>
      </c>
      <c r="G31" s="42" t="s">
        <v>3401</v>
      </c>
      <c r="H31" s="65" t="s">
        <v>1050</v>
      </c>
      <c r="J31" s="43"/>
      <c r="K31" s="61">
        <v>0.8</v>
      </c>
      <c r="L31" s="40">
        <v>30</v>
      </c>
      <c r="M31" s="44"/>
      <c r="N31" s="45"/>
      <c r="O31" s="18">
        <v>0</v>
      </c>
      <c r="P31" s="18">
        <v>0</v>
      </c>
      <c r="Q31" s="61">
        <v>0.93569999999999998</v>
      </c>
      <c r="R31" s="46"/>
    </row>
    <row r="32" spans="1:18">
      <c r="A32" s="33" t="s">
        <v>1563</v>
      </c>
      <c r="B32" s="40" t="s">
        <v>7765</v>
      </c>
      <c r="C32" s="47">
        <v>39399</v>
      </c>
      <c r="D32" s="47" t="s">
        <v>8465</v>
      </c>
      <c r="E32" s="40" t="s">
        <v>1047</v>
      </c>
      <c r="F32" s="40" t="s">
        <v>1048</v>
      </c>
      <c r="G32" s="42" t="s">
        <v>1563</v>
      </c>
      <c r="H32" s="65" t="s">
        <v>80</v>
      </c>
      <c r="J32" s="43"/>
      <c r="K32" s="61">
        <v>0.8</v>
      </c>
      <c r="L32" s="40">
        <v>31</v>
      </c>
      <c r="M32" s="44"/>
      <c r="N32" s="45"/>
      <c r="O32" s="18">
        <v>0</v>
      </c>
      <c r="P32" s="18">
        <v>0</v>
      </c>
      <c r="Q32" s="61">
        <v>0.82920000000000005</v>
      </c>
      <c r="R32" s="46"/>
    </row>
    <row r="33" spans="1:18">
      <c r="A33" s="33" t="s">
        <v>6488</v>
      </c>
      <c r="B33" s="40" t="s">
        <v>7765</v>
      </c>
      <c r="C33" s="47">
        <v>39141</v>
      </c>
      <c r="D33" s="47" t="s">
        <v>8465</v>
      </c>
      <c r="E33" s="40" t="s">
        <v>6500</v>
      </c>
      <c r="F33" s="40" t="s">
        <v>3275</v>
      </c>
      <c r="G33" s="42"/>
      <c r="H33" s="65" t="s">
        <v>147</v>
      </c>
      <c r="J33" s="43"/>
      <c r="K33" s="61">
        <v>0.8</v>
      </c>
      <c r="L33" s="40">
        <v>32</v>
      </c>
      <c r="M33" s="44"/>
      <c r="N33" s="45"/>
      <c r="O33" s="18">
        <v>0</v>
      </c>
      <c r="P33" s="18">
        <v>0</v>
      </c>
      <c r="Q33" s="61">
        <v>0.77829999999999999</v>
      </c>
      <c r="R33" s="46"/>
    </row>
    <row r="34" spans="1:18">
      <c r="A34" s="33" t="s">
        <v>3415</v>
      </c>
      <c r="B34" s="40" t="s">
        <v>7765</v>
      </c>
      <c r="C34" s="47">
        <v>39687</v>
      </c>
      <c r="D34" s="47" t="s">
        <v>8465</v>
      </c>
      <c r="E34" s="40" t="s">
        <v>3116</v>
      </c>
      <c r="F34" s="40" t="s">
        <v>3275</v>
      </c>
      <c r="G34" s="42"/>
      <c r="H34" s="65" t="s">
        <v>153</v>
      </c>
      <c r="J34" s="43"/>
      <c r="K34" s="61">
        <v>0.9</v>
      </c>
      <c r="L34" s="40">
        <v>33</v>
      </c>
      <c r="M34" s="44"/>
      <c r="N34" s="45"/>
      <c r="O34" s="18">
        <v>0</v>
      </c>
      <c r="P34" s="18">
        <v>0</v>
      </c>
      <c r="Q34" s="61">
        <v>0.82730000000000004</v>
      </c>
      <c r="R34" s="46"/>
    </row>
    <row r="35" spans="1:18" ht="25.5">
      <c r="A35" s="33" t="s">
        <v>2972</v>
      </c>
      <c r="B35" s="40" t="s">
        <v>7765</v>
      </c>
      <c r="C35" s="47">
        <v>39162</v>
      </c>
      <c r="D35" s="47" t="s">
        <v>8465</v>
      </c>
      <c r="E35" s="40" t="s">
        <v>72</v>
      </c>
      <c r="F35" s="40" t="s">
        <v>72</v>
      </c>
      <c r="G35" s="42" t="s">
        <v>113</v>
      </c>
      <c r="H35" s="65" t="s">
        <v>151</v>
      </c>
      <c r="J35" s="43"/>
      <c r="K35" s="61">
        <v>1</v>
      </c>
      <c r="L35" s="40">
        <v>34</v>
      </c>
      <c r="M35" s="44"/>
      <c r="N35" s="45"/>
      <c r="O35" s="18">
        <v>0</v>
      </c>
      <c r="P35" s="18">
        <v>0</v>
      </c>
      <c r="Q35" s="61">
        <v>0.89580000000000004</v>
      </c>
      <c r="R35" s="46"/>
    </row>
    <row r="36" spans="1:18" ht="25.5">
      <c r="A36" s="33" t="s">
        <v>6321</v>
      </c>
      <c r="B36" s="40" t="s">
        <v>7765</v>
      </c>
      <c r="C36" s="47">
        <v>38678</v>
      </c>
      <c r="D36" s="47" t="s">
        <v>8465</v>
      </c>
      <c r="E36" s="40" t="s">
        <v>3116</v>
      </c>
      <c r="F36" s="40" t="s">
        <v>1052</v>
      </c>
      <c r="G36" s="42" t="s">
        <v>1053</v>
      </c>
      <c r="H36" s="65" t="s">
        <v>9963</v>
      </c>
      <c r="J36" s="43"/>
      <c r="K36" s="61">
        <v>0.9</v>
      </c>
      <c r="L36" s="40">
        <v>35</v>
      </c>
      <c r="M36" s="44"/>
      <c r="N36" s="45"/>
      <c r="O36" s="18">
        <v>0</v>
      </c>
      <c r="P36" s="18">
        <v>0</v>
      </c>
      <c r="Q36" s="61">
        <v>0.87519999999999998</v>
      </c>
      <c r="R36" s="46"/>
    </row>
    <row r="37" spans="1:18" ht="25.5">
      <c r="A37" s="33" t="s">
        <v>6322</v>
      </c>
      <c r="B37" s="40" t="s">
        <v>7765</v>
      </c>
      <c r="C37" s="47">
        <v>39659</v>
      </c>
      <c r="D37" s="47" t="s">
        <v>8465</v>
      </c>
      <c r="E37" s="40" t="s">
        <v>1273</v>
      </c>
      <c r="F37" s="40" t="s">
        <v>1052</v>
      </c>
      <c r="G37" s="42" t="s">
        <v>1053</v>
      </c>
      <c r="H37" s="65" t="s">
        <v>9963</v>
      </c>
      <c r="J37" s="43"/>
      <c r="K37" s="61">
        <v>0.9</v>
      </c>
      <c r="L37" s="40">
        <v>36</v>
      </c>
      <c r="M37" s="44"/>
      <c r="N37" s="45"/>
      <c r="O37" s="18">
        <v>0</v>
      </c>
      <c r="P37" s="18">
        <v>0</v>
      </c>
      <c r="Q37" s="61">
        <v>0.89770000000000005</v>
      </c>
      <c r="R37" s="46"/>
    </row>
    <row r="38" spans="1:18" ht="25.5">
      <c r="A38" s="33" t="s">
        <v>6362</v>
      </c>
      <c r="B38" s="40" t="s">
        <v>7765</v>
      </c>
      <c r="C38" s="47">
        <v>40109</v>
      </c>
      <c r="D38" s="47" t="s">
        <v>8465</v>
      </c>
      <c r="E38" s="40" t="s">
        <v>2137</v>
      </c>
      <c r="F38" s="40" t="s">
        <v>2137</v>
      </c>
      <c r="G38" s="42" t="s">
        <v>6434</v>
      </c>
      <c r="H38" s="65" t="s">
        <v>78</v>
      </c>
      <c r="J38" s="43"/>
      <c r="K38" s="61">
        <v>0.7</v>
      </c>
      <c r="L38" s="40">
        <v>37</v>
      </c>
      <c r="M38" s="44"/>
      <c r="N38" s="45"/>
      <c r="O38" s="18">
        <v>0</v>
      </c>
      <c r="P38" s="18">
        <v>0</v>
      </c>
      <c r="Q38" s="61"/>
      <c r="R38" s="46"/>
    </row>
    <row r="39" spans="1:18" ht="25.5">
      <c r="A39" s="33" t="s">
        <v>6363</v>
      </c>
      <c r="B39" s="40" t="s">
        <v>7765</v>
      </c>
      <c r="C39" s="47">
        <v>40168</v>
      </c>
      <c r="D39" s="47" t="s">
        <v>8465</v>
      </c>
      <c r="E39" s="40" t="s">
        <v>2137</v>
      </c>
      <c r="F39" s="40" t="s">
        <v>2137</v>
      </c>
      <c r="G39" s="42" t="s">
        <v>6434</v>
      </c>
      <c r="H39" s="65" t="s">
        <v>64</v>
      </c>
      <c r="J39" s="43"/>
      <c r="K39" s="61">
        <v>0.9</v>
      </c>
      <c r="L39" s="40">
        <v>38</v>
      </c>
      <c r="M39" s="44"/>
      <c r="N39" s="45"/>
      <c r="O39" s="18">
        <v>0</v>
      </c>
      <c r="P39" s="18">
        <v>0</v>
      </c>
      <c r="Q39" s="61">
        <v>0.7</v>
      </c>
      <c r="R39" s="46"/>
    </row>
    <row r="40" spans="1:18">
      <c r="A40" s="33" t="s">
        <v>139</v>
      </c>
      <c r="B40" s="40" t="s">
        <v>7742</v>
      </c>
      <c r="C40" s="47">
        <v>39216</v>
      </c>
      <c r="D40" s="47" t="s">
        <v>8465</v>
      </c>
      <c r="E40" s="40" t="s">
        <v>76</v>
      </c>
      <c r="F40" s="40" t="s">
        <v>76</v>
      </c>
      <c r="G40" s="42" t="s">
        <v>139</v>
      </c>
      <c r="H40" s="65" t="s">
        <v>56</v>
      </c>
      <c r="J40" s="43"/>
      <c r="K40" s="61">
        <v>0.8</v>
      </c>
      <c r="L40" s="40">
        <v>39</v>
      </c>
      <c r="M40" s="44"/>
      <c r="N40" s="45"/>
      <c r="O40" s="18">
        <v>0</v>
      </c>
      <c r="P40" s="18">
        <v>0</v>
      </c>
      <c r="Q40" s="61"/>
      <c r="R40" s="46"/>
    </row>
    <row r="41" spans="1:18" ht="25.5">
      <c r="A41" s="33" t="s">
        <v>2096</v>
      </c>
      <c r="B41" s="40" t="s">
        <v>7748</v>
      </c>
      <c r="C41" s="47">
        <v>39532</v>
      </c>
      <c r="D41" s="47" t="s">
        <v>8465</v>
      </c>
      <c r="E41" s="40" t="s">
        <v>76</v>
      </c>
      <c r="F41" s="40" t="s">
        <v>1136</v>
      </c>
      <c r="G41" s="42" t="s">
        <v>139</v>
      </c>
      <c r="H41" s="65" t="s">
        <v>1059</v>
      </c>
      <c r="J41" s="43"/>
      <c r="K41" s="61">
        <v>0.8</v>
      </c>
      <c r="L41" s="40">
        <v>40</v>
      </c>
      <c r="M41" s="44"/>
      <c r="N41" s="45"/>
      <c r="O41" s="18">
        <v>0</v>
      </c>
      <c r="P41" s="18">
        <v>0</v>
      </c>
      <c r="Q41" s="61">
        <v>0.83240000000000003</v>
      </c>
      <c r="R41" s="46"/>
    </row>
    <row r="42" spans="1:18">
      <c r="A42" s="33" t="s">
        <v>1890</v>
      </c>
      <c r="B42" s="40" t="s">
        <v>7747</v>
      </c>
      <c r="C42" s="47">
        <v>37192</v>
      </c>
      <c r="D42" s="47" t="s">
        <v>8465</v>
      </c>
      <c r="E42" s="40" t="s">
        <v>1273</v>
      </c>
      <c r="F42" s="40" t="s">
        <v>1889</v>
      </c>
      <c r="G42" s="42" t="s">
        <v>1890</v>
      </c>
      <c r="H42" s="65" t="s">
        <v>1050</v>
      </c>
      <c r="J42" s="43"/>
      <c r="K42" s="61">
        <v>0.6</v>
      </c>
      <c r="L42" s="40">
        <v>41</v>
      </c>
      <c r="M42" s="44"/>
      <c r="N42" s="45"/>
      <c r="O42" s="18">
        <v>0</v>
      </c>
      <c r="P42" s="18">
        <v>1</v>
      </c>
      <c r="Q42" s="61">
        <v>0.79779999999999995</v>
      </c>
      <c r="R42" s="46"/>
    </row>
    <row r="43" spans="1:18">
      <c r="A43" s="33" t="s">
        <v>6364</v>
      </c>
      <c r="B43" s="40" t="s">
        <v>7765</v>
      </c>
      <c r="C43" s="47">
        <v>40075</v>
      </c>
      <c r="D43" s="47" t="s">
        <v>8465</v>
      </c>
      <c r="E43" s="40" t="s">
        <v>6435</v>
      </c>
      <c r="F43" s="40" t="s">
        <v>6435</v>
      </c>
      <c r="G43" s="42"/>
      <c r="H43" s="65" t="s">
        <v>1334</v>
      </c>
      <c r="J43" s="43"/>
      <c r="K43" s="61">
        <v>0.7</v>
      </c>
      <c r="L43" s="40">
        <v>42</v>
      </c>
      <c r="M43" s="44"/>
      <c r="N43" s="45"/>
      <c r="O43" s="18">
        <v>0</v>
      </c>
      <c r="P43" s="18">
        <v>0</v>
      </c>
      <c r="Q43" s="61"/>
      <c r="R43" s="46"/>
    </row>
    <row r="44" spans="1:18" ht="25.5">
      <c r="A44" s="33" t="s">
        <v>6365</v>
      </c>
      <c r="B44" s="40" t="s">
        <v>7765</v>
      </c>
      <c r="C44" s="47">
        <v>40041</v>
      </c>
      <c r="D44" s="47" t="s">
        <v>8465</v>
      </c>
      <c r="E44" s="40" t="s">
        <v>6436</v>
      </c>
      <c r="F44" s="40" t="s">
        <v>6436</v>
      </c>
      <c r="G44" s="42"/>
      <c r="H44" s="65" t="s">
        <v>9963</v>
      </c>
      <c r="J44" s="43"/>
      <c r="K44" s="61">
        <v>0.7</v>
      </c>
      <c r="L44" s="40">
        <v>43</v>
      </c>
      <c r="M44" s="44"/>
      <c r="N44" s="45"/>
      <c r="O44" s="18">
        <v>0</v>
      </c>
      <c r="P44" s="18">
        <v>0</v>
      </c>
      <c r="Q44" s="61">
        <v>0.82</v>
      </c>
      <c r="R44" s="46"/>
    </row>
    <row r="45" spans="1:18">
      <c r="A45" s="33" t="s">
        <v>6366</v>
      </c>
      <c r="B45" s="40" t="s">
        <v>7765</v>
      </c>
      <c r="C45" s="47">
        <v>39848</v>
      </c>
      <c r="D45" s="47" t="s">
        <v>8465</v>
      </c>
      <c r="E45" s="40" t="s">
        <v>6437</v>
      </c>
      <c r="F45" s="40" t="s">
        <v>6437</v>
      </c>
      <c r="G45" s="42"/>
      <c r="H45" s="65" t="s">
        <v>1334</v>
      </c>
      <c r="J45" s="43"/>
      <c r="K45" s="61">
        <v>0.8</v>
      </c>
      <c r="L45" s="40">
        <v>44</v>
      </c>
      <c r="M45" s="44"/>
      <c r="N45" s="45"/>
      <c r="O45" s="18">
        <v>0</v>
      </c>
      <c r="P45" s="18">
        <v>0</v>
      </c>
      <c r="Q45" s="61"/>
      <c r="R45" s="46"/>
    </row>
    <row r="46" spans="1:18">
      <c r="A46" s="33" t="s">
        <v>4639</v>
      </c>
      <c r="B46" s="40" t="s">
        <v>7765</v>
      </c>
      <c r="C46" s="47">
        <v>39400</v>
      </c>
      <c r="D46" s="47" t="s">
        <v>8465</v>
      </c>
      <c r="E46" s="40" t="s">
        <v>1509</v>
      </c>
      <c r="F46" s="40" t="s">
        <v>1509</v>
      </c>
      <c r="G46" s="42" t="s">
        <v>4639</v>
      </c>
      <c r="H46" s="65" t="s">
        <v>31</v>
      </c>
      <c r="J46" s="43"/>
      <c r="K46" s="61">
        <v>0.7</v>
      </c>
      <c r="L46" s="40">
        <v>45</v>
      </c>
      <c r="M46" s="44"/>
      <c r="N46" s="45"/>
      <c r="O46" s="18">
        <v>0</v>
      </c>
      <c r="P46" s="18">
        <v>0</v>
      </c>
      <c r="Q46" s="61">
        <v>0.63649999999999995</v>
      </c>
      <c r="R46" s="46"/>
    </row>
    <row r="47" spans="1:18">
      <c r="A47" s="33" t="s">
        <v>6329</v>
      </c>
      <c r="B47" s="40" t="s">
        <v>7765</v>
      </c>
      <c r="C47" s="47">
        <v>39092</v>
      </c>
      <c r="D47" s="47" t="s">
        <v>8465</v>
      </c>
      <c r="E47" s="40" t="s">
        <v>1509</v>
      </c>
      <c r="F47" s="40" t="s">
        <v>1509</v>
      </c>
      <c r="G47" s="42" t="s">
        <v>4639</v>
      </c>
      <c r="H47" s="65" t="s">
        <v>31</v>
      </c>
      <c r="J47" s="43"/>
      <c r="K47" s="61">
        <v>0.7</v>
      </c>
      <c r="L47" s="40">
        <v>46</v>
      </c>
      <c r="M47" s="44"/>
      <c r="N47" s="45"/>
      <c r="O47" s="18">
        <v>0</v>
      </c>
      <c r="P47" s="18">
        <v>0</v>
      </c>
      <c r="Q47" s="61">
        <v>0.64080000000000004</v>
      </c>
      <c r="R47" s="46"/>
    </row>
    <row r="48" spans="1:18">
      <c r="A48" s="36" t="s">
        <v>4489</v>
      </c>
      <c r="B48" s="40" t="s">
        <v>7765</v>
      </c>
      <c r="C48" s="47">
        <v>40016</v>
      </c>
      <c r="D48" s="47" t="s">
        <v>8465</v>
      </c>
      <c r="E48" s="40" t="s">
        <v>3116</v>
      </c>
      <c r="F48" s="40" t="s">
        <v>9964</v>
      </c>
      <c r="G48" s="48" t="s">
        <v>4489</v>
      </c>
      <c r="H48" s="65" t="s">
        <v>56</v>
      </c>
      <c r="J48" s="43"/>
      <c r="K48" s="61">
        <v>0.8</v>
      </c>
      <c r="L48" s="40">
        <v>47</v>
      </c>
      <c r="M48" s="44"/>
      <c r="N48" s="45"/>
      <c r="O48" s="18">
        <v>0</v>
      </c>
      <c r="P48" s="18">
        <v>0</v>
      </c>
      <c r="Q48" s="61">
        <v>0.85650000000000004</v>
      </c>
      <c r="R48" s="46"/>
    </row>
    <row r="49" spans="1:18" ht="30">
      <c r="A49" s="33" t="s">
        <v>575</v>
      </c>
      <c r="B49" s="40" t="s">
        <v>7733</v>
      </c>
      <c r="C49" s="47">
        <v>36514</v>
      </c>
      <c r="D49" s="47" t="s">
        <v>8465</v>
      </c>
      <c r="E49" s="40" t="s">
        <v>170</v>
      </c>
      <c r="F49" s="40" t="s">
        <v>1232</v>
      </c>
      <c r="G49" s="42" t="s">
        <v>1233</v>
      </c>
      <c r="H49" s="65" t="s">
        <v>64</v>
      </c>
      <c r="J49" s="43"/>
      <c r="K49" s="61">
        <v>0.8</v>
      </c>
      <c r="L49" s="40">
        <v>48</v>
      </c>
      <c r="M49" s="44"/>
      <c r="N49" s="45"/>
      <c r="O49" s="18">
        <v>0</v>
      </c>
      <c r="P49" s="18">
        <v>1</v>
      </c>
      <c r="Q49" s="61"/>
      <c r="R49" s="46"/>
    </row>
    <row r="50" spans="1:18">
      <c r="A50" s="33" t="s">
        <v>6334</v>
      </c>
      <c r="B50" s="40" t="s">
        <v>7765</v>
      </c>
      <c r="C50" s="47">
        <v>39834</v>
      </c>
      <c r="D50" s="47" t="s">
        <v>8465</v>
      </c>
      <c r="E50" s="40" t="s">
        <v>3116</v>
      </c>
      <c r="F50" s="40" t="s">
        <v>9964</v>
      </c>
      <c r="G50" s="42"/>
      <c r="H50" s="65" t="s">
        <v>31</v>
      </c>
      <c r="J50" s="43"/>
      <c r="K50" s="61">
        <v>0.8</v>
      </c>
      <c r="L50" s="40">
        <v>49</v>
      </c>
      <c r="M50" s="44"/>
      <c r="N50" s="45"/>
      <c r="O50" s="18">
        <v>0</v>
      </c>
      <c r="P50" s="18">
        <v>0</v>
      </c>
      <c r="Q50" s="61">
        <v>0.76060000000000005</v>
      </c>
      <c r="R50" s="46"/>
    </row>
    <row r="51" spans="1:18">
      <c r="A51" s="33" t="s">
        <v>2626</v>
      </c>
      <c r="B51" s="40" t="s">
        <v>7765</v>
      </c>
      <c r="C51" s="47">
        <v>39323</v>
      </c>
      <c r="D51" s="47" t="s">
        <v>8465</v>
      </c>
      <c r="E51" s="40" t="s">
        <v>455</v>
      </c>
      <c r="F51" s="40" t="s">
        <v>455</v>
      </c>
      <c r="G51" s="42" t="s">
        <v>2516</v>
      </c>
      <c r="H51" s="65" t="s">
        <v>153</v>
      </c>
      <c r="J51" s="43"/>
      <c r="K51" s="61">
        <v>0.9</v>
      </c>
      <c r="L51" s="40">
        <v>50</v>
      </c>
      <c r="M51" s="44"/>
      <c r="N51" s="45"/>
      <c r="O51" s="18">
        <v>0</v>
      </c>
      <c r="P51" s="18">
        <v>0</v>
      </c>
      <c r="Q51" s="61">
        <v>0.76500000000000001</v>
      </c>
      <c r="R51" s="46"/>
    </row>
    <row r="52" spans="1:18" ht="38.25">
      <c r="A52" s="33" t="s">
        <v>6511</v>
      </c>
      <c r="B52" s="40" t="s">
        <v>7765</v>
      </c>
      <c r="C52" s="47">
        <v>39155</v>
      </c>
      <c r="D52" s="47" t="s">
        <v>8465</v>
      </c>
      <c r="E52" s="40" t="s">
        <v>72</v>
      </c>
      <c r="F52" s="40" t="s">
        <v>72</v>
      </c>
      <c r="G52" s="42" t="s">
        <v>215</v>
      </c>
      <c r="H52" s="65" t="s">
        <v>153</v>
      </c>
      <c r="J52" s="43"/>
      <c r="K52" s="61">
        <v>0.7</v>
      </c>
      <c r="L52" s="40">
        <v>51</v>
      </c>
      <c r="M52" s="44"/>
      <c r="N52" s="45"/>
      <c r="O52" s="18">
        <v>0</v>
      </c>
      <c r="P52" s="18">
        <v>0</v>
      </c>
      <c r="Q52" s="61">
        <v>0.66869999999999996</v>
      </c>
      <c r="R52" s="46"/>
    </row>
    <row r="53" spans="1:18" ht="38.25">
      <c r="A53" s="33" t="s">
        <v>6489</v>
      </c>
      <c r="B53" s="40" t="s">
        <v>7765</v>
      </c>
      <c r="C53" s="47">
        <v>40030</v>
      </c>
      <c r="D53" s="47" t="s">
        <v>8465</v>
      </c>
      <c r="E53" s="40" t="s">
        <v>1047</v>
      </c>
      <c r="F53" s="40" t="s">
        <v>6501</v>
      </c>
      <c r="G53" s="42" t="s">
        <v>215</v>
      </c>
      <c r="H53" s="65" t="s">
        <v>153</v>
      </c>
      <c r="J53" s="43"/>
      <c r="K53" s="61">
        <v>0.6</v>
      </c>
      <c r="L53" s="40">
        <v>52</v>
      </c>
      <c r="M53" s="44"/>
      <c r="N53" s="45"/>
      <c r="O53" s="18">
        <v>0</v>
      </c>
      <c r="P53" s="18">
        <v>0</v>
      </c>
      <c r="Q53" s="61">
        <v>0.6179</v>
      </c>
      <c r="R53" s="46"/>
    </row>
    <row r="54" spans="1:18" ht="38.25">
      <c r="A54" s="33" t="s">
        <v>577</v>
      </c>
      <c r="B54" s="40" t="s">
        <v>7736</v>
      </c>
      <c r="C54" s="41">
        <v>33817</v>
      </c>
      <c r="D54" s="47" t="s">
        <v>8465</v>
      </c>
      <c r="E54" s="40" t="s">
        <v>72</v>
      </c>
      <c r="F54" s="40" t="s">
        <v>72</v>
      </c>
      <c r="G54" s="42" t="s">
        <v>215</v>
      </c>
      <c r="H54" s="65" t="s">
        <v>153</v>
      </c>
      <c r="J54" s="43"/>
      <c r="K54" s="61">
        <v>0.9</v>
      </c>
      <c r="L54" s="40">
        <v>53</v>
      </c>
      <c r="M54" s="44"/>
      <c r="N54" s="45"/>
      <c r="O54" s="18">
        <v>0</v>
      </c>
      <c r="P54" s="18">
        <v>1</v>
      </c>
      <c r="Q54" s="61">
        <v>0.83</v>
      </c>
      <c r="R54" s="46"/>
    </row>
    <row r="55" spans="1:18" ht="25.5">
      <c r="A55" s="33" t="s">
        <v>6335</v>
      </c>
      <c r="B55" s="40" t="s">
        <v>7765</v>
      </c>
      <c r="C55" s="47">
        <v>40226</v>
      </c>
      <c r="D55" s="47" t="s">
        <v>8465</v>
      </c>
      <c r="E55" s="40" t="s">
        <v>3310</v>
      </c>
      <c r="F55" s="40" t="s">
        <v>6337</v>
      </c>
      <c r="G55" s="42"/>
      <c r="H55" s="65" t="s">
        <v>31</v>
      </c>
      <c r="J55" s="43"/>
      <c r="K55" s="61">
        <v>0.7</v>
      </c>
      <c r="L55" s="40">
        <v>54</v>
      </c>
      <c r="M55" s="44"/>
      <c r="N55" s="45"/>
      <c r="O55" s="18">
        <v>0</v>
      </c>
      <c r="P55" s="18">
        <v>0</v>
      </c>
      <c r="Q55" s="61">
        <v>0.85329999999999995</v>
      </c>
      <c r="R55" s="46"/>
    </row>
    <row r="56" spans="1:18">
      <c r="A56" s="33" t="s">
        <v>6330</v>
      </c>
      <c r="B56" s="40" t="s">
        <v>7765</v>
      </c>
      <c r="C56" s="47">
        <v>40044</v>
      </c>
      <c r="D56" s="47" t="s">
        <v>8465</v>
      </c>
      <c r="E56" s="40" t="s">
        <v>3116</v>
      </c>
      <c r="F56" s="40" t="s">
        <v>6331</v>
      </c>
      <c r="G56" s="42" t="s">
        <v>6330</v>
      </c>
      <c r="H56" s="65" t="s">
        <v>151</v>
      </c>
      <c r="J56" s="43"/>
      <c r="K56" s="61">
        <v>0.9</v>
      </c>
      <c r="L56" s="40">
        <v>55</v>
      </c>
      <c r="M56" s="44"/>
      <c r="N56" s="45"/>
      <c r="O56" s="18">
        <v>0</v>
      </c>
      <c r="P56" s="18">
        <v>0</v>
      </c>
      <c r="Q56" s="61">
        <v>0.89229999999999998</v>
      </c>
      <c r="R56" s="46"/>
    </row>
    <row r="57" spans="1:18">
      <c r="A57" s="33" t="s">
        <v>2768</v>
      </c>
      <c r="B57" s="40" t="s">
        <v>7765</v>
      </c>
      <c r="C57" s="47">
        <v>40212</v>
      </c>
      <c r="D57" s="47" t="s">
        <v>8465</v>
      </c>
      <c r="E57" s="40" t="s">
        <v>6502</v>
      </c>
      <c r="F57" s="40" t="s">
        <v>6503</v>
      </c>
      <c r="G57" s="42"/>
      <c r="H57" s="65" t="s">
        <v>78</v>
      </c>
      <c r="J57" s="43"/>
      <c r="K57" s="61">
        <v>0.7</v>
      </c>
      <c r="L57" s="40">
        <v>56</v>
      </c>
      <c r="M57" s="44"/>
      <c r="N57" s="45"/>
      <c r="O57" s="18">
        <v>0</v>
      </c>
      <c r="P57" s="18">
        <v>0</v>
      </c>
      <c r="Q57" s="61">
        <v>0.80120000000000002</v>
      </c>
      <c r="R57" s="46"/>
    </row>
    <row r="58" spans="1:18">
      <c r="A58" s="33" t="s">
        <v>6490</v>
      </c>
      <c r="B58" s="40" t="s">
        <v>7765</v>
      </c>
      <c r="C58" s="47">
        <v>39799</v>
      </c>
      <c r="D58" s="47" t="s">
        <v>8465</v>
      </c>
      <c r="E58" s="40" t="s">
        <v>3116</v>
      </c>
      <c r="F58" s="40" t="s">
        <v>6504</v>
      </c>
      <c r="G58" s="42"/>
      <c r="H58" s="65" t="s">
        <v>143</v>
      </c>
      <c r="J58" s="43"/>
      <c r="K58" s="61">
        <v>0.7</v>
      </c>
      <c r="L58" s="40">
        <v>57</v>
      </c>
      <c r="M58" s="44"/>
      <c r="N58" s="45"/>
      <c r="O58" s="18">
        <v>0</v>
      </c>
      <c r="P58" s="18">
        <v>0</v>
      </c>
      <c r="Q58" s="61">
        <v>0.52329999999999999</v>
      </c>
      <c r="R58" s="46"/>
    </row>
    <row r="59" spans="1:18">
      <c r="A59" s="33" t="s">
        <v>4811</v>
      </c>
      <c r="B59" s="40" t="s">
        <v>7765</v>
      </c>
      <c r="C59" s="47">
        <v>39885</v>
      </c>
      <c r="D59" s="47" t="s">
        <v>8465</v>
      </c>
      <c r="E59" s="40" t="s">
        <v>73</v>
      </c>
      <c r="F59" s="40" t="s">
        <v>73</v>
      </c>
      <c r="G59" s="42" t="s">
        <v>943</v>
      </c>
      <c r="H59" s="65" t="s">
        <v>1168</v>
      </c>
      <c r="J59" s="43"/>
      <c r="K59" s="61">
        <v>0.8</v>
      </c>
      <c r="L59" s="40">
        <v>58</v>
      </c>
      <c r="M59" s="44"/>
      <c r="N59" s="45"/>
      <c r="O59" s="18">
        <v>0</v>
      </c>
      <c r="P59" s="18">
        <v>0</v>
      </c>
      <c r="Q59" s="61">
        <v>0.86319999999999997</v>
      </c>
      <c r="R59" s="46"/>
    </row>
    <row r="60" spans="1:18">
      <c r="A60" s="33" t="s">
        <v>2612</v>
      </c>
      <c r="B60" s="40" t="s">
        <v>7765</v>
      </c>
      <c r="C60" s="47">
        <v>39974</v>
      </c>
      <c r="D60" s="47" t="s">
        <v>8465</v>
      </c>
      <c r="E60" s="40" t="s">
        <v>455</v>
      </c>
      <c r="F60" s="40" t="s">
        <v>1474</v>
      </c>
      <c r="G60" s="42" t="s">
        <v>1891</v>
      </c>
      <c r="H60" s="65" t="s">
        <v>147</v>
      </c>
      <c r="J60" s="43"/>
      <c r="K60" s="61">
        <v>0.9</v>
      </c>
      <c r="L60" s="40">
        <v>59</v>
      </c>
      <c r="M60" s="44"/>
      <c r="N60" s="45"/>
      <c r="O60" s="18">
        <v>0</v>
      </c>
      <c r="P60" s="18">
        <v>0</v>
      </c>
      <c r="Q60" s="61">
        <v>0.79169999999999996</v>
      </c>
      <c r="R60" s="46"/>
    </row>
    <row r="61" spans="1:18">
      <c r="A61" s="33" t="s">
        <v>1908</v>
      </c>
      <c r="B61" s="40" t="s">
        <v>7747</v>
      </c>
      <c r="C61" s="47">
        <v>38650</v>
      </c>
      <c r="D61" s="47" t="s">
        <v>8465</v>
      </c>
      <c r="E61" s="40" t="s">
        <v>455</v>
      </c>
      <c r="F61" s="40" t="s">
        <v>1474</v>
      </c>
      <c r="G61" s="42" t="s">
        <v>1891</v>
      </c>
      <c r="H61" s="65" t="s">
        <v>147</v>
      </c>
      <c r="J61" s="43"/>
      <c r="K61" s="61">
        <v>0.8</v>
      </c>
      <c r="L61" s="40">
        <v>60</v>
      </c>
      <c r="M61" s="44"/>
      <c r="N61" s="45"/>
      <c r="O61" s="18">
        <v>0</v>
      </c>
      <c r="P61" s="18">
        <v>1</v>
      </c>
      <c r="Q61" s="61">
        <v>0.83350000000000002</v>
      </c>
      <c r="R61" s="46"/>
    </row>
    <row r="62" spans="1:18" ht="25.5">
      <c r="A62" s="33" t="s">
        <v>6345</v>
      </c>
      <c r="B62" s="40" t="s">
        <v>7765</v>
      </c>
      <c r="C62" s="47">
        <v>39602</v>
      </c>
      <c r="D62" s="47" t="s">
        <v>8465</v>
      </c>
      <c r="E62" s="40" t="s">
        <v>1496</v>
      </c>
      <c r="F62" s="40" t="s">
        <v>5879</v>
      </c>
      <c r="G62" s="42" t="s">
        <v>6351</v>
      </c>
      <c r="H62" s="65" t="s">
        <v>1168</v>
      </c>
      <c r="J62" s="43"/>
      <c r="K62" s="61">
        <v>0.5</v>
      </c>
      <c r="L62" s="40">
        <v>61</v>
      </c>
      <c r="M62" s="44"/>
      <c r="N62" s="45"/>
      <c r="O62" s="18">
        <v>0</v>
      </c>
      <c r="P62" s="18">
        <v>0</v>
      </c>
      <c r="Q62" s="61">
        <v>0.7349</v>
      </c>
      <c r="R62" s="46"/>
    </row>
    <row r="63" spans="1:18">
      <c r="A63" s="33" t="s">
        <v>6320</v>
      </c>
      <c r="B63" s="40" t="s">
        <v>7765</v>
      </c>
      <c r="C63" s="47">
        <v>38924</v>
      </c>
      <c r="D63" s="47" t="s">
        <v>8465</v>
      </c>
      <c r="E63" s="40" t="s">
        <v>1509</v>
      </c>
      <c r="F63" s="40" t="s">
        <v>1509</v>
      </c>
      <c r="G63" s="42" t="s">
        <v>6320</v>
      </c>
      <c r="H63" s="65" t="s">
        <v>21</v>
      </c>
      <c r="J63" s="43"/>
      <c r="K63" s="61">
        <v>0.8</v>
      </c>
      <c r="L63" s="40">
        <v>62</v>
      </c>
      <c r="M63" s="44"/>
      <c r="N63" s="45"/>
      <c r="O63" s="18">
        <v>0</v>
      </c>
      <c r="P63" s="18">
        <v>0</v>
      </c>
      <c r="Q63" s="61">
        <v>0.67349999999999999</v>
      </c>
      <c r="R63" s="46"/>
    </row>
    <row r="64" spans="1:18">
      <c r="A64" s="33" t="s">
        <v>4756</v>
      </c>
      <c r="B64" s="40" t="s">
        <v>7765</v>
      </c>
      <c r="C64" s="47">
        <v>39707</v>
      </c>
      <c r="D64" s="47" t="s">
        <v>8465</v>
      </c>
      <c r="E64" s="40" t="s">
        <v>6352</v>
      </c>
      <c r="F64" s="40" t="s">
        <v>4757</v>
      </c>
      <c r="G64" s="42"/>
      <c r="H64" s="65" t="s">
        <v>150</v>
      </c>
      <c r="J64" s="43"/>
      <c r="K64" s="61">
        <v>0.8</v>
      </c>
      <c r="L64" s="40">
        <v>63</v>
      </c>
      <c r="M64" s="44"/>
      <c r="N64" s="45"/>
      <c r="O64" s="18">
        <v>0</v>
      </c>
      <c r="P64" s="18">
        <v>0</v>
      </c>
      <c r="Q64" s="61">
        <v>0.85329999999999995</v>
      </c>
      <c r="R64" s="46"/>
    </row>
    <row r="65" spans="1:18">
      <c r="A65" s="33" t="s">
        <v>4284</v>
      </c>
      <c r="B65" s="40" t="s">
        <v>7765</v>
      </c>
      <c r="C65" s="47">
        <v>39770</v>
      </c>
      <c r="D65" s="47" t="s">
        <v>8465</v>
      </c>
      <c r="E65" s="40" t="s">
        <v>5706</v>
      </c>
      <c r="F65" s="40" t="s">
        <v>5706</v>
      </c>
      <c r="G65" s="42" t="s">
        <v>4284</v>
      </c>
      <c r="H65" s="65" t="s">
        <v>1050</v>
      </c>
      <c r="J65" s="43"/>
      <c r="K65" s="61">
        <v>0.8</v>
      </c>
      <c r="L65" s="40">
        <v>64</v>
      </c>
      <c r="M65" s="44"/>
      <c r="N65" s="45"/>
      <c r="O65" s="18">
        <v>0</v>
      </c>
      <c r="P65" s="18">
        <v>0</v>
      </c>
      <c r="Q65" s="61">
        <v>0.89439999999999997</v>
      </c>
      <c r="R65" s="46"/>
    </row>
    <row r="66" spans="1:18" ht="25.5">
      <c r="A66" s="33" t="s">
        <v>6346</v>
      </c>
      <c r="B66" s="40" t="s">
        <v>7765</v>
      </c>
      <c r="C66" s="47">
        <v>39763</v>
      </c>
      <c r="D66" s="47" t="s">
        <v>8465</v>
      </c>
      <c r="E66" s="40" t="s">
        <v>3116</v>
      </c>
      <c r="F66" s="40" t="s">
        <v>163</v>
      </c>
      <c r="G66" s="42" t="s">
        <v>852</v>
      </c>
      <c r="H66" s="65" t="s">
        <v>1040</v>
      </c>
      <c r="J66" s="43"/>
      <c r="K66" s="61">
        <v>0.9</v>
      </c>
      <c r="L66" s="40">
        <v>65</v>
      </c>
      <c r="M66" s="44"/>
      <c r="N66" s="45"/>
      <c r="O66" s="18">
        <v>0</v>
      </c>
      <c r="P66" s="18">
        <v>0</v>
      </c>
      <c r="Q66" s="61">
        <v>0.80659999999999998</v>
      </c>
      <c r="R66" s="46"/>
    </row>
    <row r="67" spans="1:18">
      <c r="A67" s="33" t="s">
        <v>894</v>
      </c>
      <c r="B67" s="40" t="s">
        <v>7739</v>
      </c>
      <c r="C67" s="47">
        <v>35489</v>
      </c>
      <c r="D67" s="47" t="s">
        <v>8465</v>
      </c>
      <c r="E67" s="40" t="s">
        <v>86</v>
      </c>
      <c r="F67" s="40" t="s">
        <v>163</v>
      </c>
      <c r="G67" s="42"/>
      <c r="H67" s="65" t="s">
        <v>143</v>
      </c>
      <c r="J67" s="43"/>
      <c r="K67" s="61">
        <v>0.8</v>
      </c>
      <c r="L67" s="40">
        <v>66</v>
      </c>
      <c r="M67" s="44"/>
      <c r="N67" s="45"/>
      <c r="O67" s="18">
        <v>0</v>
      </c>
      <c r="P67" s="18">
        <v>1</v>
      </c>
      <c r="Q67" s="61">
        <v>0.88870000000000005</v>
      </c>
      <c r="R67" s="46"/>
    </row>
    <row r="68" spans="1:18">
      <c r="A68" s="33" t="s">
        <v>6316</v>
      </c>
      <c r="B68" s="40" t="s">
        <v>7765</v>
      </c>
      <c r="C68" s="47">
        <v>39001</v>
      </c>
      <c r="D68" s="47" t="s">
        <v>8465</v>
      </c>
      <c r="E68" s="40" t="s">
        <v>1509</v>
      </c>
      <c r="F68" s="40" t="s">
        <v>1509</v>
      </c>
      <c r="G68" s="42" t="s">
        <v>6316</v>
      </c>
      <c r="H68" s="65" t="s">
        <v>31</v>
      </c>
      <c r="J68" s="43"/>
      <c r="K68" s="61">
        <v>0.5</v>
      </c>
      <c r="L68" s="40">
        <v>67</v>
      </c>
      <c r="M68" s="44"/>
      <c r="N68" s="45"/>
      <c r="O68" s="18">
        <v>0</v>
      </c>
      <c r="P68" s="18">
        <v>0</v>
      </c>
      <c r="Q68" s="61">
        <v>0.64749999999999996</v>
      </c>
      <c r="R68" s="46"/>
    </row>
    <row r="69" spans="1:18" ht="25.5">
      <c r="A69" s="33" t="s">
        <v>6918</v>
      </c>
      <c r="B69" s="40" t="s">
        <v>7800</v>
      </c>
      <c r="C69" s="41">
        <v>33147</v>
      </c>
      <c r="D69" s="47" t="s">
        <v>8465</v>
      </c>
      <c r="E69" s="40" t="s">
        <v>1284</v>
      </c>
      <c r="F69" s="40" t="s">
        <v>6908</v>
      </c>
      <c r="G69" s="42" t="s">
        <v>4472</v>
      </c>
      <c r="H69" s="65" t="s">
        <v>67</v>
      </c>
      <c r="J69" s="43"/>
      <c r="K69" s="61">
        <v>0.7</v>
      </c>
      <c r="L69" s="40">
        <v>68</v>
      </c>
      <c r="M69" s="44"/>
      <c r="N69" s="45"/>
      <c r="O69" s="18">
        <v>0</v>
      </c>
      <c r="P69" s="18">
        <v>1</v>
      </c>
      <c r="Q69" s="61">
        <v>0.8125</v>
      </c>
      <c r="R69" s="46"/>
    </row>
    <row r="70" spans="1:18">
      <c r="A70" s="33" t="s">
        <v>6919</v>
      </c>
      <c r="B70" s="40" t="s">
        <v>7800</v>
      </c>
      <c r="C70" s="41">
        <v>34394</v>
      </c>
      <c r="D70" s="47" t="s">
        <v>8465</v>
      </c>
      <c r="E70" s="40" t="s">
        <v>1259</v>
      </c>
      <c r="F70" s="40" t="s">
        <v>3372</v>
      </c>
      <c r="G70" s="42" t="s">
        <v>6919</v>
      </c>
      <c r="H70" s="65" t="s">
        <v>67</v>
      </c>
      <c r="J70" s="43"/>
      <c r="K70" s="61">
        <v>0.8</v>
      </c>
      <c r="L70" s="40">
        <v>69</v>
      </c>
      <c r="M70" s="44"/>
      <c r="N70" s="45"/>
      <c r="O70" s="18">
        <v>0</v>
      </c>
      <c r="P70" s="18">
        <v>1</v>
      </c>
      <c r="Q70" s="61">
        <v>0.76670000000000005</v>
      </c>
      <c r="R70" s="46"/>
    </row>
    <row r="71" spans="1:18">
      <c r="A71" s="33" t="s">
        <v>6491</v>
      </c>
      <c r="B71" s="40" t="s">
        <v>7765</v>
      </c>
      <c r="C71" s="47">
        <v>39218</v>
      </c>
      <c r="D71" s="47" t="s">
        <v>8465</v>
      </c>
      <c r="E71" s="40" t="s">
        <v>3116</v>
      </c>
      <c r="F71" s="40" t="s">
        <v>3116</v>
      </c>
      <c r="G71" s="42"/>
      <c r="H71" s="65" t="s">
        <v>21</v>
      </c>
      <c r="J71" s="43"/>
      <c r="K71" s="61">
        <v>0.7</v>
      </c>
      <c r="L71" s="40">
        <v>70</v>
      </c>
      <c r="M71" s="44"/>
      <c r="N71" s="45"/>
      <c r="O71" s="18">
        <v>0</v>
      </c>
      <c r="P71" s="18">
        <v>0</v>
      </c>
      <c r="Q71" s="61">
        <v>0.6845</v>
      </c>
      <c r="R71" s="46"/>
    </row>
    <row r="72" spans="1:18" ht="25.5">
      <c r="A72" s="33" t="s">
        <v>6492</v>
      </c>
      <c r="B72" s="40" t="s">
        <v>7765</v>
      </c>
      <c r="C72" s="47">
        <v>39939</v>
      </c>
      <c r="D72" s="47" t="s">
        <v>8465</v>
      </c>
      <c r="E72" s="40" t="s">
        <v>1082</v>
      </c>
      <c r="F72" s="40" t="s">
        <v>1970</v>
      </c>
      <c r="G72" s="42" t="s">
        <v>1088</v>
      </c>
      <c r="H72" s="65" t="s">
        <v>21</v>
      </c>
      <c r="J72" s="43"/>
      <c r="K72" s="61">
        <v>0.8</v>
      </c>
      <c r="L72" s="40">
        <v>71</v>
      </c>
      <c r="M72" s="44"/>
      <c r="N72" s="45"/>
      <c r="O72" s="18">
        <v>0</v>
      </c>
      <c r="P72" s="18">
        <v>0</v>
      </c>
      <c r="Q72" s="61">
        <v>0.82720000000000005</v>
      </c>
      <c r="R72" s="46"/>
    </row>
    <row r="73" spans="1:18">
      <c r="A73" s="33" t="s">
        <v>6493</v>
      </c>
      <c r="B73" s="40" t="s">
        <v>7765</v>
      </c>
      <c r="C73" s="47">
        <v>40343</v>
      </c>
      <c r="D73" s="47" t="s">
        <v>8465</v>
      </c>
      <c r="E73" s="40" t="s">
        <v>3116</v>
      </c>
      <c r="F73" s="40" t="s">
        <v>6505</v>
      </c>
      <c r="G73" s="42" t="s">
        <v>3723</v>
      </c>
      <c r="H73" s="65" t="s">
        <v>1050</v>
      </c>
      <c r="J73" s="43"/>
      <c r="K73" s="61">
        <v>0.8</v>
      </c>
      <c r="L73" s="40">
        <v>72</v>
      </c>
      <c r="M73" s="44"/>
      <c r="N73" s="45"/>
      <c r="O73" s="18">
        <v>0</v>
      </c>
      <c r="P73" s="18">
        <v>0</v>
      </c>
      <c r="Q73" s="61">
        <v>0.80669999999999997</v>
      </c>
      <c r="R73" s="46"/>
    </row>
    <row r="74" spans="1:18">
      <c r="A74" s="33" t="s">
        <v>1585</v>
      </c>
      <c r="B74" s="40" t="s">
        <v>7765</v>
      </c>
      <c r="C74" s="47">
        <v>40183</v>
      </c>
      <c r="D74" s="47" t="s">
        <v>8465</v>
      </c>
      <c r="E74" s="40" t="s">
        <v>1342</v>
      </c>
      <c r="F74" s="40" t="s">
        <v>6353</v>
      </c>
      <c r="G74" s="42" t="s">
        <v>1585</v>
      </c>
      <c r="H74" s="65" t="s">
        <v>1059</v>
      </c>
      <c r="J74" s="43"/>
      <c r="K74" s="61">
        <v>0.8</v>
      </c>
      <c r="L74" s="40">
        <v>73</v>
      </c>
      <c r="M74" s="44"/>
      <c r="N74" s="45"/>
      <c r="O74" s="18">
        <v>0</v>
      </c>
      <c r="P74" s="18">
        <v>0</v>
      </c>
      <c r="Q74" s="61">
        <v>0.83979999999999999</v>
      </c>
      <c r="R74" s="46"/>
    </row>
    <row r="75" spans="1:18">
      <c r="A75" s="33" t="s">
        <v>895</v>
      </c>
      <c r="B75" s="40" t="s">
        <v>7739</v>
      </c>
      <c r="C75" s="47">
        <v>36668</v>
      </c>
      <c r="D75" s="47" t="s">
        <v>8465</v>
      </c>
      <c r="E75" s="40" t="s">
        <v>163</v>
      </c>
      <c r="F75" s="40" t="s">
        <v>163</v>
      </c>
      <c r="G75" s="42" t="s">
        <v>895</v>
      </c>
      <c r="H75" s="65" t="s">
        <v>1050</v>
      </c>
      <c r="J75" s="43"/>
      <c r="K75" s="61">
        <v>0.9</v>
      </c>
      <c r="L75" s="40">
        <v>74</v>
      </c>
      <c r="M75" s="44"/>
      <c r="N75" s="45"/>
      <c r="O75" s="18">
        <v>0</v>
      </c>
      <c r="P75" s="18">
        <v>1</v>
      </c>
      <c r="Q75" s="61">
        <v>0.94199999999999995</v>
      </c>
      <c r="R75" s="46"/>
    </row>
    <row r="76" spans="1:18">
      <c r="A76" s="33" t="s">
        <v>3356</v>
      </c>
      <c r="B76" s="40" t="s">
        <v>7765</v>
      </c>
      <c r="C76" s="47">
        <v>40106</v>
      </c>
      <c r="D76" s="47" t="s">
        <v>8465</v>
      </c>
      <c r="E76" s="40" t="s">
        <v>3310</v>
      </c>
      <c r="F76" s="40" t="s">
        <v>3154</v>
      </c>
      <c r="G76" s="42" t="s">
        <v>3356</v>
      </c>
      <c r="H76" s="65" t="s">
        <v>1050</v>
      </c>
      <c r="J76" s="43"/>
      <c r="K76" s="61">
        <v>0.9</v>
      </c>
      <c r="L76" s="40">
        <v>75</v>
      </c>
      <c r="M76" s="44"/>
      <c r="N76" s="45"/>
      <c r="O76" s="18">
        <v>0</v>
      </c>
      <c r="P76" s="18">
        <v>0</v>
      </c>
      <c r="Q76" s="61">
        <v>0.85960000000000003</v>
      </c>
      <c r="R76" s="46"/>
    </row>
    <row r="77" spans="1:18">
      <c r="A77" s="33" t="s">
        <v>5640</v>
      </c>
      <c r="B77" s="40" t="s">
        <v>7800</v>
      </c>
      <c r="C77" s="47">
        <v>39140</v>
      </c>
      <c r="D77" s="47" t="s">
        <v>8465</v>
      </c>
      <c r="E77" s="40" t="s">
        <v>3288</v>
      </c>
      <c r="F77" s="40" t="s">
        <v>3288</v>
      </c>
      <c r="G77" s="42" t="s">
        <v>5640</v>
      </c>
      <c r="H77" s="65" t="s">
        <v>31</v>
      </c>
      <c r="J77" s="43"/>
      <c r="K77" s="61">
        <v>0.8</v>
      </c>
      <c r="L77" s="40">
        <v>76</v>
      </c>
      <c r="M77" s="44"/>
      <c r="N77" s="45"/>
      <c r="O77" s="18">
        <v>0</v>
      </c>
      <c r="P77" s="18">
        <v>0</v>
      </c>
      <c r="Q77" s="61">
        <v>0.85199999999999998</v>
      </c>
      <c r="R77" s="46"/>
    </row>
    <row r="78" spans="1:18">
      <c r="A78" s="33" t="s">
        <v>5641</v>
      </c>
      <c r="B78" s="40" t="s">
        <v>7800</v>
      </c>
      <c r="C78" s="47">
        <v>39707</v>
      </c>
      <c r="D78" s="47" t="s">
        <v>8465</v>
      </c>
      <c r="E78" s="40" t="s">
        <v>3288</v>
      </c>
      <c r="F78" s="40" t="s">
        <v>3288</v>
      </c>
      <c r="G78" s="42" t="s">
        <v>5640</v>
      </c>
      <c r="H78" s="65" t="s">
        <v>31</v>
      </c>
      <c r="J78" s="43"/>
      <c r="K78" s="61">
        <v>0.8</v>
      </c>
      <c r="L78" s="40">
        <v>77</v>
      </c>
      <c r="M78" s="44"/>
      <c r="N78" s="45"/>
      <c r="O78" s="18">
        <v>0</v>
      </c>
      <c r="P78" s="18">
        <v>0</v>
      </c>
      <c r="Q78" s="61">
        <v>0.76380000000000003</v>
      </c>
      <c r="R78" s="46"/>
    </row>
    <row r="79" spans="1:18">
      <c r="A79" s="33" t="s">
        <v>578</v>
      </c>
      <c r="B79" s="40" t="s">
        <v>7736</v>
      </c>
      <c r="C79" s="47">
        <v>34051</v>
      </c>
      <c r="D79" s="47" t="s">
        <v>8465</v>
      </c>
      <c r="E79" s="40" t="s">
        <v>86</v>
      </c>
      <c r="F79" s="40" t="s">
        <v>87</v>
      </c>
      <c r="G79" s="42" t="s">
        <v>578</v>
      </c>
      <c r="H79" s="65" t="s">
        <v>1170</v>
      </c>
      <c r="J79" s="43"/>
      <c r="K79" s="61">
        <v>0.7</v>
      </c>
      <c r="L79" s="40">
        <v>78</v>
      </c>
      <c r="M79" s="44"/>
      <c r="N79" s="45"/>
      <c r="O79" s="18">
        <v>0</v>
      </c>
      <c r="P79" s="18">
        <v>1</v>
      </c>
      <c r="Q79" s="61">
        <v>0.88</v>
      </c>
      <c r="R79" s="46"/>
    </row>
    <row r="80" spans="1:18">
      <c r="A80" s="33" t="s">
        <v>896</v>
      </c>
      <c r="B80" s="40" t="s">
        <v>7739</v>
      </c>
      <c r="C80" s="47">
        <v>35612</v>
      </c>
      <c r="D80" s="47" t="s">
        <v>8465</v>
      </c>
      <c r="E80" s="40" t="s">
        <v>86</v>
      </c>
      <c r="F80" s="40" t="s">
        <v>87</v>
      </c>
      <c r="G80" s="42" t="s">
        <v>578</v>
      </c>
      <c r="H80" s="65" t="s">
        <v>1170</v>
      </c>
      <c r="J80" s="43"/>
      <c r="K80" s="61">
        <v>0.9</v>
      </c>
      <c r="L80" s="40">
        <v>79</v>
      </c>
      <c r="M80" s="44"/>
      <c r="N80" s="45"/>
      <c r="O80" s="18">
        <v>0</v>
      </c>
      <c r="P80" s="18">
        <v>1</v>
      </c>
      <c r="Q80" s="61">
        <v>0.8901</v>
      </c>
      <c r="R80" s="46"/>
    </row>
    <row r="81" spans="1:18">
      <c r="A81" s="33" t="s">
        <v>904</v>
      </c>
      <c r="B81" s="40" t="s">
        <v>7740</v>
      </c>
      <c r="C81" s="47">
        <v>38285</v>
      </c>
      <c r="D81" s="47" t="s">
        <v>8465</v>
      </c>
      <c r="E81" s="40" t="s">
        <v>86</v>
      </c>
      <c r="F81" s="40" t="s">
        <v>1509</v>
      </c>
      <c r="G81" s="42" t="s">
        <v>578</v>
      </c>
      <c r="H81" s="65" t="s">
        <v>1168</v>
      </c>
      <c r="J81" s="43"/>
      <c r="K81" s="61">
        <v>0.8</v>
      </c>
      <c r="L81" s="40">
        <v>80</v>
      </c>
      <c r="M81" s="44"/>
      <c r="N81" s="45"/>
      <c r="O81" s="18">
        <v>0</v>
      </c>
      <c r="P81" s="18">
        <v>0</v>
      </c>
      <c r="Q81" s="61">
        <v>0.70730000000000004</v>
      </c>
      <c r="R81" s="46"/>
    </row>
    <row r="82" spans="1:18">
      <c r="A82" s="33" t="s">
        <v>905</v>
      </c>
      <c r="B82" s="40" t="s">
        <v>7740</v>
      </c>
      <c r="C82" s="47">
        <v>37522</v>
      </c>
      <c r="D82" s="47" t="s">
        <v>8465</v>
      </c>
      <c r="E82" s="40" t="s">
        <v>86</v>
      </c>
      <c r="F82" s="40" t="s">
        <v>163</v>
      </c>
      <c r="G82" s="42" t="s">
        <v>578</v>
      </c>
      <c r="H82" s="65" t="s">
        <v>80</v>
      </c>
      <c r="J82" s="43"/>
      <c r="K82" s="61">
        <v>0.9</v>
      </c>
      <c r="L82" s="40">
        <v>81</v>
      </c>
      <c r="M82" s="44"/>
      <c r="N82" s="45"/>
      <c r="O82" s="18">
        <v>0</v>
      </c>
      <c r="P82" s="18">
        <v>0</v>
      </c>
      <c r="Q82" s="61">
        <v>0.80779999999999996</v>
      </c>
      <c r="R82" s="46"/>
    </row>
    <row r="83" spans="1:18">
      <c r="A83" s="33" t="s">
        <v>2097</v>
      </c>
      <c r="B83" s="40" t="s">
        <v>7748</v>
      </c>
      <c r="C83" s="47">
        <v>38957</v>
      </c>
      <c r="D83" s="47" t="s">
        <v>8465</v>
      </c>
      <c r="E83" s="40" t="s">
        <v>86</v>
      </c>
      <c r="F83" s="40" t="s">
        <v>2127</v>
      </c>
      <c r="G83" s="42" t="s">
        <v>578</v>
      </c>
      <c r="H83" s="65" t="s">
        <v>61</v>
      </c>
      <c r="J83" s="43"/>
      <c r="K83" s="61">
        <v>0.6</v>
      </c>
      <c r="L83" s="40">
        <v>82</v>
      </c>
      <c r="M83" s="44"/>
      <c r="N83" s="45"/>
      <c r="O83" s="18">
        <v>0</v>
      </c>
      <c r="P83" s="18">
        <v>0</v>
      </c>
      <c r="Q83" s="61">
        <v>0.75560000000000005</v>
      </c>
      <c r="R83" s="46"/>
    </row>
    <row r="84" spans="1:18" ht="25.5">
      <c r="A84" s="33" t="s">
        <v>1821</v>
      </c>
      <c r="B84" s="40" t="s">
        <v>7746</v>
      </c>
      <c r="C84" s="47">
        <v>37025</v>
      </c>
      <c r="D84" s="47" t="s">
        <v>8465</v>
      </c>
      <c r="E84" s="40" t="s">
        <v>86</v>
      </c>
      <c r="F84" s="40" t="s">
        <v>73</v>
      </c>
      <c r="G84" s="42" t="s">
        <v>85</v>
      </c>
      <c r="H84" s="65" t="s">
        <v>80</v>
      </c>
      <c r="J84" s="43"/>
      <c r="K84" s="61">
        <v>0.9</v>
      </c>
      <c r="L84" s="40">
        <v>83</v>
      </c>
      <c r="M84" s="44"/>
      <c r="N84" s="45"/>
      <c r="O84" s="18">
        <v>0</v>
      </c>
      <c r="P84" s="18">
        <v>1</v>
      </c>
      <c r="Q84" s="61">
        <v>0.92200000000000004</v>
      </c>
      <c r="R84" s="46"/>
    </row>
    <row r="85" spans="1:18" ht="25.5">
      <c r="A85" s="33" t="s">
        <v>1822</v>
      </c>
      <c r="B85" s="40" t="s">
        <v>7746</v>
      </c>
      <c r="C85" s="47">
        <v>37025</v>
      </c>
      <c r="D85" s="47" t="s">
        <v>8465</v>
      </c>
      <c r="E85" s="40" t="s">
        <v>86</v>
      </c>
      <c r="F85" s="40" t="s">
        <v>73</v>
      </c>
      <c r="G85" s="42" t="s">
        <v>85</v>
      </c>
      <c r="H85" s="65" t="s">
        <v>80</v>
      </c>
      <c r="J85" s="43"/>
      <c r="K85" s="61">
        <v>0.9</v>
      </c>
      <c r="L85" s="40">
        <v>84</v>
      </c>
      <c r="M85" s="44"/>
      <c r="N85" s="45"/>
      <c r="O85" s="18">
        <v>0</v>
      </c>
      <c r="P85" s="18">
        <v>1</v>
      </c>
      <c r="Q85" s="61">
        <v>0.91369999999999996</v>
      </c>
      <c r="R85" s="46"/>
    </row>
    <row r="86" spans="1:18" ht="25.5">
      <c r="A86" s="33" t="s">
        <v>1823</v>
      </c>
      <c r="B86" s="40" t="s">
        <v>7746</v>
      </c>
      <c r="C86" s="47">
        <v>36130</v>
      </c>
      <c r="D86" s="47" t="s">
        <v>8465</v>
      </c>
      <c r="E86" s="40" t="s">
        <v>86</v>
      </c>
      <c r="F86" s="40" t="s">
        <v>87</v>
      </c>
      <c r="G86" s="42" t="s">
        <v>85</v>
      </c>
      <c r="H86" s="65" t="s">
        <v>80</v>
      </c>
      <c r="J86" s="43"/>
      <c r="K86" s="61">
        <v>0.8</v>
      </c>
      <c r="L86" s="40">
        <v>85</v>
      </c>
      <c r="M86" s="44"/>
      <c r="N86" s="45"/>
      <c r="O86" s="18">
        <v>0</v>
      </c>
      <c r="P86" s="18">
        <v>1</v>
      </c>
      <c r="Q86" s="61">
        <v>0.91210000000000002</v>
      </c>
      <c r="R86" s="46"/>
    </row>
    <row r="87" spans="1:18" ht="25.5">
      <c r="A87" s="33" t="s">
        <v>1909</v>
      </c>
      <c r="B87" s="40" t="s">
        <v>7747</v>
      </c>
      <c r="C87" s="47">
        <v>38362</v>
      </c>
      <c r="D87" s="47" t="s">
        <v>8465</v>
      </c>
      <c r="E87" s="40" t="s">
        <v>86</v>
      </c>
      <c r="F87" s="40" t="s">
        <v>73</v>
      </c>
      <c r="G87" s="42" t="s">
        <v>85</v>
      </c>
      <c r="H87" s="65" t="s">
        <v>80</v>
      </c>
      <c r="J87" s="43"/>
      <c r="K87" s="61">
        <v>0.8</v>
      </c>
      <c r="L87" s="40">
        <v>86</v>
      </c>
      <c r="M87" s="44"/>
      <c r="N87" s="45"/>
      <c r="O87" s="18">
        <v>0</v>
      </c>
      <c r="P87" s="18">
        <v>0</v>
      </c>
      <c r="Q87" s="61">
        <v>0.90359999999999996</v>
      </c>
      <c r="R87" s="46"/>
    </row>
    <row r="88" spans="1:18" ht="25.5">
      <c r="A88" s="33" t="s">
        <v>2098</v>
      </c>
      <c r="B88" s="40" t="s">
        <v>7748</v>
      </c>
      <c r="C88" s="47">
        <v>39356</v>
      </c>
      <c r="D88" s="47" t="s">
        <v>8465</v>
      </c>
      <c r="E88" s="40" t="s">
        <v>86</v>
      </c>
      <c r="F88" s="40" t="s">
        <v>87</v>
      </c>
      <c r="G88" s="42" t="s">
        <v>85</v>
      </c>
      <c r="H88" s="65" t="s">
        <v>80</v>
      </c>
      <c r="J88" s="43"/>
      <c r="K88" s="61">
        <v>0.9</v>
      </c>
      <c r="L88" s="40">
        <v>87</v>
      </c>
      <c r="M88" s="44"/>
      <c r="N88" s="45"/>
      <c r="O88" s="18">
        <v>0</v>
      </c>
      <c r="P88" s="18">
        <v>0</v>
      </c>
      <c r="Q88" s="61">
        <v>0.88819999999999999</v>
      </c>
      <c r="R88" s="46"/>
    </row>
    <row r="89" spans="1:18" ht="25.5">
      <c r="A89" s="33" t="s">
        <v>947</v>
      </c>
      <c r="B89" s="40" t="s">
        <v>7741</v>
      </c>
      <c r="C89" s="47">
        <v>39040</v>
      </c>
      <c r="D89" s="47" t="s">
        <v>8465</v>
      </c>
      <c r="E89" s="40" t="s">
        <v>86</v>
      </c>
      <c r="F89" s="40" t="s">
        <v>87</v>
      </c>
      <c r="G89" s="42" t="s">
        <v>85</v>
      </c>
      <c r="H89" s="65" t="s">
        <v>80</v>
      </c>
      <c r="J89" s="43"/>
      <c r="K89" s="61">
        <v>0.8</v>
      </c>
      <c r="L89" s="40">
        <v>88</v>
      </c>
      <c r="M89" s="44"/>
      <c r="N89" s="45"/>
      <c r="O89" s="18">
        <v>0</v>
      </c>
      <c r="P89" s="18">
        <v>0</v>
      </c>
      <c r="Q89" s="61">
        <v>0.94579999999999997</v>
      </c>
      <c r="R89" s="46"/>
    </row>
    <row r="90" spans="1:18" ht="38.25">
      <c r="A90" s="33" t="s">
        <v>579</v>
      </c>
      <c r="B90" s="40" t="s">
        <v>7736</v>
      </c>
      <c r="C90" s="47">
        <v>35886</v>
      </c>
      <c r="D90" s="47" t="s">
        <v>8463</v>
      </c>
      <c r="E90" s="40" t="s">
        <v>86</v>
      </c>
      <c r="F90" s="40" t="s">
        <v>58</v>
      </c>
      <c r="G90" s="42" t="s">
        <v>9805</v>
      </c>
      <c r="H90" s="65" t="s">
        <v>1057</v>
      </c>
      <c r="J90" s="43"/>
      <c r="K90" s="61">
        <v>0.9</v>
      </c>
      <c r="L90" s="40">
        <v>89</v>
      </c>
      <c r="M90" s="44"/>
      <c r="N90" s="45"/>
      <c r="O90" s="18">
        <v>0</v>
      </c>
      <c r="P90" s="18">
        <v>1</v>
      </c>
      <c r="Q90" s="61"/>
      <c r="R90" s="46"/>
    </row>
    <row r="91" spans="1:18">
      <c r="A91" s="33" t="s">
        <v>1910</v>
      </c>
      <c r="B91" s="40" t="s">
        <v>7747</v>
      </c>
      <c r="C91" s="47">
        <v>37733</v>
      </c>
      <c r="D91" s="47" t="s">
        <v>8465</v>
      </c>
      <c r="E91" s="40" t="s">
        <v>72</v>
      </c>
      <c r="F91" s="40" t="s">
        <v>62</v>
      </c>
      <c r="G91" s="42"/>
      <c r="H91" s="65" t="s">
        <v>56</v>
      </c>
      <c r="J91" s="43"/>
      <c r="K91" s="61">
        <v>0.8</v>
      </c>
      <c r="L91" s="40">
        <v>90</v>
      </c>
      <c r="M91" s="44"/>
      <c r="N91" s="45"/>
      <c r="O91" s="18">
        <v>0</v>
      </c>
      <c r="P91" s="18">
        <v>1</v>
      </c>
      <c r="Q91" s="61">
        <v>0.82869999999999999</v>
      </c>
      <c r="R91" s="46"/>
    </row>
    <row r="92" spans="1:18" ht="25.5">
      <c r="A92" s="33" t="s">
        <v>580</v>
      </c>
      <c r="B92" s="40" t="s">
        <v>7736</v>
      </c>
      <c r="C92" s="47">
        <v>33707</v>
      </c>
      <c r="D92" s="47" t="s">
        <v>8465</v>
      </c>
      <c r="E92" s="40" t="s">
        <v>86</v>
      </c>
      <c r="F92" s="40" t="s">
        <v>87</v>
      </c>
      <c r="G92" s="42" t="s">
        <v>85</v>
      </c>
      <c r="H92" s="65" t="s">
        <v>80</v>
      </c>
      <c r="J92" s="43"/>
      <c r="K92" s="61">
        <v>1</v>
      </c>
      <c r="L92" s="40">
        <v>91</v>
      </c>
      <c r="M92" s="44"/>
      <c r="N92" s="45"/>
      <c r="O92" s="18">
        <v>0</v>
      </c>
      <c r="P92" s="18">
        <v>1</v>
      </c>
      <c r="Q92" s="61">
        <v>0.92869999999999997</v>
      </c>
      <c r="R92" s="46"/>
    </row>
    <row r="93" spans="1:18">
      <c r="A93" s="33" t="s">
        <v>90</v>
      </c>
      <c r="B93" s="40" t="s">
        <v>7734</v>
      </c>
      <c r="C93" s="47">
        <v>31338</v>
      </c>
      <c r="D93" s="47" t="s">
        <v>8465</v>
      </c>
      <c r="E93" s="40" t="s">
        <v>86</v>
      </c>
      <c r="F93" s="40" t="s">
        <v>86</v>
      </c>
      <c r="G93" s="42" t="s">
        <v>137</v>
      </c>
      <c r="H93" s="65" t="s">
        <v>64</v>
      </c>
      <c r="J93" s="43"/>
      <c r="K93" s="61">
        <v>0.9</v>
      </c>
      <c r="L93" s="40">
        <v>92</v>
      </c>
      <c r="M93" s="44"/>
      <c r="N93" s="45"/>
      <c r="O93" s="18">
        <v>0</v>
      </c>
      <c r="P93" s="18">
        <v>1</v>
      </c>
      <c r="Q93" s="61"/>
      <c r="R93" s="46"/>
    </row>
    <row r="94" spans="1:18">
      <c r="A94" s="33" t="s">
        <v>91</v>
      </c>
      <c r="B94" s="40" t="s">
        <v>7734</v>
      </c>
      <c r="C94" s="47">
        <v>32916</v>
      </c>
      <c r="D94" s="47" t="s">
        <v>8465</v>
      </c>
      <c r="E94" s="40" t="s">
        <v>86</v>
      </c>
      <c r="F94" s="40" t="s">
        <v>87</v>
      </c>
      <c r="G94" s="42" t="s">
        <v>137</v>
      </c>
      <c r="H94" s="65" t="s">
        <v>64</v>
      </c>
      <c r="J94" s="43"/>
      <c r="K94" s="61">
        <v>1</v>
      </c>
      <c r="L94" s="40">
        <v>93</v>
      </c>
      <c r="M94" s="44"/>
      <c r="N94" s="45"/>
      <c r="O94" s="18">
        <v>0</v>
      </c>
      <c r="P94" s="18">
        <v>1</v>
      </c>
      <c r="Q94" s="61"/>
      <c r="R94" s="46"/>
    </row>
    <row r="95" spans="1:18" ht="25.5">
      <c r="A95" s="33" t="s">
        <v>1911</v>
      </c>
      <c r="B95" s="40" t="s">
        <v>7747</v>
      </c>
      <c r="C95" s="47">
        <v>37523</v>
      </c>
      <c r="D95" s="47" t="s">
        <v>8465</v>
      </c>
      <c r="E95" s="40" t="s">
        <v>86</v>
      </c>
      <c r="F95" s="40" t="s">
        <v>87</v>
      </c>
      <c r="G95" s="42" t="s">
        <v>1173</v>
      </c>
      <c r="H95" s="65" t="s">
        <v>64</v>
      </c>
      <c r="J95" s="43"/>
      <c r="K95" s="61">
        <v>0.9</v>
      </c>
      <c r="L95" s="40">
        <v>94</v>
      </c>
      <c r="M95" s="44"/>
      <c r="N95" s="45"/>
      <c r="O95" s="18">
        <v>0</v>
      </c>
      <c r="P95" s="18">
        <v>1</v>
      </c>
      <c r="Q95" s="61">
        <v>0.89549999999999996</v>
      </c>
      <c r="R95" s="46"/>
    </row>
    <row r="96" spans="1:18">
      <c r="A96" s="33" t="s">
        <v>958</v>
      </c>
      <c r="B96" s="40" t="s">
        <v>7741</v>
      </c>
      <c r="C96" s="47">
        <v>39398</v>
      </c>
      <c r="D96" s="47" t="s">
        <v>8465</v>
      </c>
      <c r="E96" s="40" t="s">
        <v>86</v>
      </c>
      <c r="F96" s="40" t="s">
        <v>87</v>
      </c>
      <c r="G96" s="42" t="s">
        <v>137</v>
      </c>
      <c r="H96" s="65" t="s">
        <v>1040</v>
      </c>
      <c r="J96" s="43"/>
      <c r="K96" s="61">
        <v>1</v>
      </c>
      <c r="L96" s="40">
        <v>95</v>
      </c>
      <c r="M96" s="44"/>
      <c r="N96" s="45"/>
      <c r="O96" s="18">
        <v>0</v>
      </c>
      <c r="P96" s="18">
        <v>0</v>
      </c>
      <c r="Q96" s="61">
        <v>0.97640000000000005</v>
      </c>
      <c r="R96" s="46"/>
    </row>
    <row r="97" spans="1:18">
      <c r="A97" s="33" t="s">
        <v>906</v>
      </c>
      <c r="B97" s="40" t="s">
        <v>7740</v>
      </c>
      <c r="C97" s="47">
        <v>37494</v>
      </c>
      <c r="D97" s="47" t="s">
        <v>8465</v>
      </c>
      <c r="E97" s="40" t="s">
        <v>86</v>
      </c>
      <c r="F97" s="40" t="s">
        <v>87</v>
      </c>
      <c r="G97" s="42" t="s">
        <v>137</v>
      </c>
      <c r="H97" s="65" t="s">
        <v>1040</v>
      </c>
      <c r="J97" s="43"/>
      <c r="K97" s="61">
        <v>0.9</v>
      </c>
      <c r="L97" s="40">
        <v>96</v>
      </c>
      <c r="M97" s="44"/>
      <c r="N97" s="45"/>
      <c r="O97" s="18">
        <v>0</v>
      </c>
      <c r="P97" s="18">
        <v>0</v>
      </c>
      <c r="Q97" s="61">
        <v>0.91500000000000004</v>
      </c>
      <c r="R97" s="46"/>
    </row>
    <row r="98" spans="1:18">
      <c r="A98" s="33" t="s">
        <v>92</v>
      </c>
      <c r="B98" s="40" t="s">
        <v>7734</v>
      </c>
      <c r="C98" s="47">
        <v>31338</v>
      </c>
      <c r="D98" s="47" t="s">
        <v>8465</v>
      </c>
      <c r="E98" s="40" t="s">
        <v>86</v>
      </c>
      <c r="F98" s="40" t="s">
        <v>142</v>
      </c>
      <c r="G98" s="42"/>
      <c r="H98" s="65" t="s">
        <v>31</v>
      </c>
      <c r="J98" s="43"/>
      <c r="K98" s="61">
        <v>0.7</v>
      </c>
      <c r="L98" s="40">
        <v>97</v>
      </c>
      <c r="M98" s="44"/>
      <c r="N98" s="45"/>
      <c r="O98" s="18">
        <v>0</v>
      </c>
      <c r="P98" s="18">
        <v>1</v>
      </c>
      <c r="Q98" s="61"/>
      <c r="R98" s="46"/>
    </row>
    <row r="99" spans="1:18">
      <c r="A99" s="33" t="s">
        <v>93</v>
      </c>
      <c r="B99" s="40" t="s">
        <v>7734</v>
      </c>
      <c r="C99" s="47">
        <v>31566</v>
      </c>
      <c r="D99" s="47" t="s">
        <v>8465</v>
      </c>
      <c r="E99" s="40" t="s">
        <v>86</v>
      </c>
      <c r="F99" s="40" t="s">
        <v>142</v>
      </c>
      <c r="G99" s="42" t="s">
        <v>93</v>
      </c>
      <c r="H99" s="65" t="s">
        <v>143</v>
      </c>
      <c r="J99" s="43"/>
      <c r="K99" s="61">
        <v>0.6</v>
      </c>
      <c r="L99" s="40">
        <v>98</v>
      </c>
      <c r="M99" s="44"/>
      <c r="N99" s="45"/>
      <c r="O99" s="18">
        <v>0</v>
      </c>
      <c r="P99" s="18">
        <v>1</v>
      </c>
      <c r="Q99" s="61"/>
      <c r="R99" s="46"/>
    </row>
    <row r="100" spans="1:18">
      <c r="A100" s="33" t="s">
        <v>581</v>
      </c>
      <c r="B100" s="40" t="s">
        <v>7736</v>
      </c>
      <c r="C100" s="47">
        <v>34933</v>
      </c>
      <c r="D100" s="47" t="s">
        <v>8465</v>
      </c>
      <c r="E100" s="40" t="s">
        <v>161</v>
      </c>
      <c r="F100" s="40" t="s">
        <v>161</v>
      </c>
      <c r="G100" s="42" t="s">
        <v>1251</v>
      </c>
      <c r="H100" s="65" t="s">
        <v>149</v>
      </c>
      <c r="J100" s="43"/>
      <c r="K100" s="61">
        <v>1</v>
      </c>
      <c r="L100" s="40">
        <v>99</v>
      </c>
      <c r="M100" s="44"/>
      <c r="N100" s="45"/>
      <c r="O100" s="18">
        <v>0</v>
      </c>
      <c r="P100" s="18">
        <v>1</v>
      </c>
      <c r="Q100" s="61">
        <v>0.95640000000000003</v>
      </c>
      <c r="R100" s="46"/>
    </row>
    <row r="101" spans="1:18">
      <c r="A101" s="33" t="s">
        <v>94</v>
      </c>
      <c r="B101" s="40" t="s">
        <v>7734</v>
      </c>
      <c r="C101" s="41">
        <v>32905</v>
      </c>
      <c r="D101" s="47" t="s">
        <v>8465</v>
      </c>
      <c r="E101" s="40" t="s">
        <v>144</v>
      </c>
      <c r="F101" s="40" t="s">
        <v>144</v>
      </c>
      <c r="G101" s="42"/>
      <c r="H101" s="65" t="s">
        <v>56</v>
      </c>
      <c r="J101" s="43"/>
      <c r="K101" s="61">
        <v>0.8</v>
      </c>
      <c r="L101" s="40">
        <v>100</v>
      </c>
      <c r="M101" s="44"/>
      <c r="N101" s="45"/>
      <c r="O101" s="18">
        <v>0</v>
      </c>
      <c r="P101" s="18">
        <v>1</v>
      </c>
      <c r="Q101" s="61"/>
      <c r="R101" s="46"/>
    </row>
    <row r="102" spans="1:18">
      <c r="A102" s="33" t="s">
        <v>95</v>
      </c>
      <c r="B102" s="40" t="s">
        <v>7734</v>
      </c>
      <c r="C102" s="49">
        <v>33239</v>
      </c>
      <c r="D102" s="47" t="s">
        <v>8465</v>
      </c>
      <c r="E102" s="40" t="s">
        <v>59</v>
      </c>
      <c r="F102" s="40" t="s">
        <v>146</v>
      </c>
      <c r="G102" s="42"/>
      <c r="H102" s="65" t="s">
        <v>67</v>
      </c>
      <c r="J102" s="43"/>
      <c r="K102" s="61">
        <v>0.8</v>
      </c>
      <c r="L102" s="40">
        <v>101</v>
      </c>
      <c r="M102" s="44"/>
      <c r="N102" s="45"/>
      <c r="O102" s="18">
        <v>0</v>
      </c>
      <c r="P102" s="18">
        <v>1</v>
      </c>
      <c r="Q102" s="61"/>
      <c r="R102" s="46"/>
    </row>
    <row r="103" spans="1:18" ht="25.5">
      <c r="A103" s="33" t="s">
        <v>96</v>
      </c>
      <c r="B103" s="40" t="s">
        <v>7734</v>
      </c>
      <c r="C103" s="41">
        <v>33208</v>
      </c>
      <c r="D103" s="47" t="s">
        <v>8465</v>
      </c>
      <c r="E103" s="40" t="s">
        <v>59</v>
      </c>
      <c r="F103" s="40" t="s">
        <v>146</v>
      </c>
      <c r="G103" s="42" t="s">
        <v>16</v>
      </c>
      <c r="H103" s="65" t="s">
        <v>67</v>
      </c>
      <c r="J103" s="43"/>
      <c r="K103" s="61">
        <v>0.7</v>
      </c>
      <c r="L103" s="40">
        <v>102</v>
      </c>
      <c r="M103" s="44"/>
      <c r="N103" s="45"/>
      <c r="O103" s="18">
        <v>0</v>
      </c>
      <c r="P103" s="18">
        <v>1</v>
      </c>
      <c r="Q103" s="61"/>
      <c r="R103" s="46"/>
    </row>
    <row r="104" spans="1:18">
      <c r="A104" s="33" t="s">
        <v>582</v>
      </c>
      <c r="B104" s="40" t="s">
        <v>7736</v>
      </c>
      <c r="C104" s="41">
        <v>34943</v>
      </c>
      <c r="D104" s="47" t="s">
        <v>8465</v>
      </c>
      <c r="E104" s="40" t="s">
        <v>73</v>
      </c>
      <c r="F104" s="40" t="s">
        <v>73</v>
      </c>
      <c r="G104" s="42" t="s">
        <v>89</v>
      </c>
      <c r="H104" s="65" t="s">
        <v>56</v>
      </c>
      <c r="J104" s="43"/>
      <c r="K104" s="61">
        <v>0.7</v>
      </c>
      <c r="L104" s="40">
        <v>103</v>
      </c>
      <c r="M104" s="44"/>
      <c r="N104" s="45"/>
      <c r="O104" s="18">
        <v>0</v>
      </c>
      <c r="P104" s="18">
        <v>1</v>
      </c>
      <c r="Q104" s="61">
        <v>0.7077</v>
      </c>
      <c r="R104" s="46"/>
    </row>
    <row r="105" spans="1:18">
      <c r="A105" s="33" t="s">
        <v>97</v>
      </c>
      <c r="B105" s="40" t="s">
        <v>7734</v>
      </c>
      <c r="C105" s="47">
        <v>32175</v>
      </c>
      <c r="D105" s="47" t="s">
        <v>8465</v>
      </c>
      <c r="E105" s="40" t="s">
        <v>72</v>
      </c>
      <c r="F105" s="40" t="s">
        <v>72</v>
      </c>
      <c r="G105" s="42" t="s">
        <v>97</v>
      </c>
      <c r="H105" s="65" t="s">
        <v>147</v>
      </c>
      <c r="J105" s="43"/>
      <c r="K105" s="61">
        <v>0.7</v>
      </c>
      <c r="L105" s="40">
        <v>104</v>
      </c>
      <c r="M105" s="44"/>
      <c r="N105" s="45"/>
      <c r="O105" s="18">
        <v>0</v>
      </c>
      <c r="P105" s="18">
        <v>1</v>
      </c>
      <c r="Q105" s="61"/>
      <c r="R105" s="46"/>
    </row>
    <row r="106" spans="1:18" ht="25.5">
      <c r="A106" s="33" t="s">
        <v>583</v>
      </c>
      <c r="B106" s="40" t="s">
        <v>7736</v>
      </c>
      <c r="C106" s="47">
        <v>33700</v>
      </c>
      <c r="D106" s="47" t="s">
        <v>8465</v>
      </c>
      <c r="E106" s="40" t="s">
        <v>72</v>
      </c>
      <c r="F106" s="40" t="s">
        <v>72</v>
      </c>
      <c r="G106" s="42" t="s">
        <v>97</v>
      </c>
      <c r="H106" s="65" t="s">
        <v>147</v>
      </c>
      <c r="J106" s="43"/>
      <c r="K106" s="61">
        <v>0.9</v>
      </c>
      <c r="L106" s="40">
        <v>105</v>
      </c>
      <c r="M106" s="44"/>
      <c r="N106" s="45"/>
      <c r="O106" s="18">
        <v>0</v>
      </c>
      <c r="P106" s="18">
        <v>1</v>
      </c>
      <c r="Q106" s="61">
        <v>0.86350000000000005</v>
      </c>
      <c r="R106" s="46"/>
    </row>
    <row r="107" spans="1:18">
      <c r="A107" s="33" t="s">
        <v>2099</v>
      </c>
      <c r="B107" s="40" t="s">
        <v>7748</v>
      </c>
      <c r="C107" s="47">
        <v>39428</v>
      </c>
      <c r="D107" s="47" t="s">
        <v>8465</v>
      </c>
      <c r="E107" s="40" t="s">
        <v>72</v>
      </c>
      <c r="F107" s="40" t="s">
        <v>1084</v>
      </c>
      <c r="G107" s="42" t="s">
        <v>97</v>
      </c>
      <c r="H107" s="65" t="s">
        <v>147</v>
      </c>
      <c r="J107" s="43"/>
      <c r="K107" s="61">
        <v>0.8</v>
      </c>
      <c r="L107" s="40">
        <v>106</v>
      </c>
      <c r="M107" s="44"/>
      <c r="N107" s="45"/>
      <c r="O107" s="18">
        <v>0</v>
      </c>
      <c r="P107" s="18">
        <v>0</v>
      </c>
      <c r="Q107" s="61">
        <v>0.84219999999999995</v>
      </c>
      <c r="R107" s="46"/>
    </row>
    <row r="108" spans="1:18">
      <c r="A108" s="33" t="s">
        <v>584</v>
      </c>
      <c r="B108" s="40" t="s">
        <v>7736</v>
      </c>
      <c r="C108" s="41">
        <v>33573</v>
      </c>
      <c r="D108" s="47" t="s">
        <v>8465</v>
      </c>
      <c r="E108" s="40" t="s">
        <v>72</v>
      </c>
      <c r="F108" s="40" t="s">
        <v>72</v>
      </c>
      <c r="G108" s="42" t="s">
        <v>113</v>
      </c>
      <c r="H108" s="65" t="s">
        <v>56</v>
      </c>
      <c r="J108" s="43"/>
      <c r="K108" s="61">
        <v>0.8</v>
      </c>
      <c r="L108" s="40">
        <v>107</v>
      </c>
      <c r="M108" s="44"/>
      <c r="N108" s="45"/>
      <c r="O108" s="18">
        <v>0</v>
      </c>
      <c r="P108" s="18">
        <v>1</v>
      </c>
      <c r="Q108" s="61">
        <v>0.8206</v>
      </c>
      <c r="R108" s="46"/>
    </row>
    <row r="109" spans="1:18" ht="25.5">
      <c r="A109" s="33" t="s">
        <v>2100</v>
      </c>
      <c r="B109" s="40" t="s">
        <v>7748</v>
      </c>
      <c r="C109" s="47">
        <v>38629</v>
      </c>
      <c r="D109" s="47" t="s">
        <v>8465</v>
      </c>
      <c r="E109" s="40" t="s">
        <v>72</v>
      </c>
      <c r="F109" s="40" t="s">
        <v>72</v>
      </c>
      <c r="G109" s="42" t="s">
        <v>113</v>
      </c>
      <c r="H109" s="65" t="s">
        <v>151</v>
      </c>
      <c r="J109" s="43"/>
      <c r="K109" s="61">
        <v>0.9</v>
      </c>
      <c r="L109" s="40">
        <v>108</v>
      </c>
      <c r="M109" s="44"/>
      <c r="N109" s="45"/>
      <c r="O109" s="18">
        <v>0</v>
      </c>
      <c r="P109" s="18">
        <v>0</v>
      </c>
      <c r="Q109" s="61">
        <v>0.90349999999999997</v>
      </c>
      <c r="R109" s="46"/>
    </row>
    <row r="110" spans="1:18" ht="25.5">
      <c r="A110" s="33" t="s">
        <v>2101</v>
      </c>
      <c r="B110" s="40" t="s">
        <v>7748</v>
      </c>
      <c r="C110" s="47">
        <v>39056</v>
      </c>
      <c r="D110" s="47" t="s">
        <v>8465</v>
      </c>
      <c r="E110" s="40" t="s">
        <v>72</v>
      </c>
      <c r="F110" s="40" t="s">
        <v>72</v>
      </c>
      <c r="G110" s="42" t="s">
        <v>113</v>
      </c>
      <c r="H110" s="65" t="s">
        <v>151</v>
      </c>
      <c r="J110" s="43"/>
      <c r="K110" s="61">
        <v>0.8</v>
      </c>
      <c r="L110" s="40">
        <v>109</v>
      </c>
      <c r="M110" s="44"/>
      <c r="N110" s="45"/>
      <c r="O110" s="18">
        <v>0</v>
      </c>
      <c r="P110" s="18">
        <v>0</v>
      </c>
      <c r="Q110" s="61">
        <v>0.8498</v>
      </c>
      <c r="R110" s="46"/>
    </row>
    <row r="111" spans="1:18">
      <c r="A111" s="33" t="s">
        <v>305</v>
      </c>
      <c r="B111" s="40" t="s">
        <v>7747</v>
      </c>
      <c r="C111" s="47">
        <v>37928</v>
      </c>
      <c r="D111" s="47" t="s">
        <v>8465</v>
      </c>
      <c r="E111" s="40" t="s">
        <v>86</v>
      </c>
      <c r="F111" s="40" t="s">
        <v>1069</v>
      </c>
      <c r="G111" s="42" t="s">
        <v>305</v>
      </c>
      <c r="H111" s="65" t="s">
        <v>75</v>
      </c>
      <c r="J111" s="43"/>
      <c r="K111" s="61">
        <v>0.9</v>
      </c>
      <c r="L111" s="40">
        <v>110</v>
      </c>
      <c r="M111" s="44"/>
      <c r="N111" s="45"/>
      <c r="O111" s="18">
        <v>0</v>
      </c>
      <c r="P111" s="18">
        <v>1</v>
      </c>
      <c r="Q111" s="61">
        <v>0.88600000000000001</v>
      </c>
      <c r="R111" s="46"/>
    </row>
    <row r="112" spans="1:18" ht="25.5">
      <c r="A112" s="33" t="s">
        <v>1912</v>
      </c>
      <c r="B112" s="40" t="s">
        <v>7747</v>
      </c>
      <c r="C112" s="47">
        <v>38495</v>
      </c>
      <c r="D112" s="47" t="s">
        <v>8465</v>
      </c>
      <c r="E112" s="40" t="s">
        <v>86</v>
      </c>
      <c r="F112" s="40" t="s">
        <v>1069</v>
      </c>
      <c r="G112" s="42" t="s">
        <v>305</v>
      </c>
      <c r="H112" s="65" t="s">
        <v>75</v>
      </c>
      <c r="J112" s="43"/>
      <c r="K112" s="61">
        <v>0.9</v>
      </c>
      <c r="L112" s="40">
        <v>111</v>
      </c>
      <c r="M112" s="44"/>
      <c r="N112" s="45"/>
      <c r="O112" s="18">
        <v>0</v>
      </c>
      <c r="P112" s="18">
        <v>1</v>
      </c>
      <c r="Q112" s="61">
        <v>0.84809999999999997</v>
      </c>
      <c r="R112" s="46"/>
    </row>
    <row r="113" spans="1:18" ht="25.5">
      <c r="A113" s="33" t="s">
        <v>907</v>
      </c>
      <c r="B113" s="40" t="s">
        <v>7740</v>
      </c>
      <c r="C113" s="47">
        <v>37228</v>
      </c>
      <c r="D113" s="47" t="s">
        <v>8465</v>
      </c>
      <c r="E113" s="40" t="s">
        <v>86</v>
      </c>
      <c r="F113" s="40" t="s">
        <v>30</v>
      </c>
      <c r="G113" s="42" t="s">
        <v>892</v>
      </c>
      <c r="H113" s="65" t="s">
        <v>459</v>
      </c>
      <c r="J113" s="43"/>
      <c r="K113" s="61">
        <v>1</v>
      </c>
      <c r="L113" s="40">
        <v>112</v>
      </c>
      <c r="M113" s="44"/>
      <c r="N113" s="45"/>
      <c r="O113" s="18">
        <v>0</v>
      </c>
      <c r="P113" s="18">
        <v>0</v>
      </c>
      <c r="Q113" s="61">
        <v>0.9052</v>
      </c>
      <c r="R113" s="46"/>
    </row>
    <row r="114" spans="1:18" ht="25.5">
      <c r="A114" s="33" t="s">
        <v>959</v>
      </c>
      <c r="B114" s="40" t="s">
        <v>7741</v>
      </c>
      <c r="C114" s="47">
        <v>39516</v>
      </c>
      <c r="D114" s="47" t="s">
        <v>8465</v>
      </c>
      <c r="E114" s="40" t="s">
        <v>86</v>
      </c>
      <c r="F114" s="40" t="s">
        <v>1512</v>
      </c>
      <c r="G114" s="42" t="s">
        <v>892</v>
      </c>
      <c r="H114" s="65" t="s">
        <v>459</v>
      </c>
      <c r="J114" s="43"/>
      <c r="K114" s="61">
        <v>0.9</v>
      </c>
      <c r="L114" s="40">
        <v>113</v>
      </c>
      <c r="M114" s="44"/>
      <c r="N114" s="45"/>
      <c r="O114" s="18">
        <v>0</v>
      </c>
      <c r="P114" s="18">
        <v>0</v>
      </c>
      <c r="Q114" s="61">
        <v>0.9284</v>
      </c>
      <c r="R114" s="46"/>
    </row>
    <row r="115" spans="1:18" ht="25.5">
      <c r="A115" s="33" t="s">
        <v>1913</v>
      </c>
      <c r="B115" s="40" t="s">
        <v>7747</v>
      </c>
      <c r="C115" s="47">
        <v>37942</v>
      </c>
      <c r="D115" s="47" t="s">
        <v>8465</v>
      </c>
      <c r="E115" s="40" t="s">
        <v>86</v>
      </c>
      <c r="F115" s="40" t="s">
        <v>1892</v>
      </c>
      <c r="G115" s="42" t="s">
        <v>1893</v>
      </c>
      <c r="H115" s="65" t="s">
        <v>149</v>
      </c>
      <c r="J115" s="43"/>
      <c r="K115" s="61">
        <v>0.9</v>
      </c>
      <c r="L115" s="40">
        <v>114</v>
      </c>
      <c r="M115" s="44"/>
      <c r="N115" s="45"/>
      <c r="O115" s="18">
        <v>0</v>
      </c>
      <c r="P115" s="18">
        <v>0</v>
      </c>
      <c r="Q115" s="61">
        <v>0.90500000000000003</v>
      </c>
      <c r="R115" s="46"/>
    </row>
    <row r="116" spans="1:18" ht="25.5">
      <c r="A116" s="33" t="s">
        <v>2102</v>
      </c>
      <c r="B116" s="40" t="s">
        <v>7748</v>
      </c>
      <c r="C116" s="47">
        <v>38684</v>
      </c>
      <c r="D116" s="47" t="s">
        <v>8465</v>
      </c>
      <c r="E116" s="40" t="s">
        <v>86</v>
      </c>
      <c r="F116" s="40" t="s">
        <v>1892</v>
      </c>
      <c r="G116" s="42" t="s">
        <v>1893</v>
      </c>
      <c r="H116" s="65" t="s">
        <v>149</v>
      </c>
      <c r="J116" s="43"/>
      <c r="K116" s="61">
        <v>0.8</v>
      </c>
      <c r="L116" s="40">
        <v>115</v>
      </c>
      <c r="M116" s="44"/>
      <c r="N116" s="45"/>
      <c r="O116" s="18">
        <v>0</v>
      </c>
      <c r="P116" s="18">
        <v>0</v>
      </c>
      <c r="Q116" s="61">
        <v>0.85229999999999995</v>
      </c>
      <c r="R116" s="46"/>
    </row>
    <row r="117" spans="1:18">
      <c r="A117" s="33" t="s">
        <v>908</v>
      </c>
      <c r="B117" s="40" t="s">
        <v>7740</v>
      </c>
      <c r="C117" s="47">
        <v>37213</v>
      </c>
      <c r="D117" s="47" t="s">
        <v>8465</v>
      </c>
      <c r="E117" s="40" t="s">
        <v>86</v>
      </c>
      <c r="F117" s="40" t="s">
        <v>87</v>
      </c>
      <c r="G117" s="42" t="s">
        <v>908</v>
      </c>
      <c r="H117" s="65" t="s">
        <v>80</v>
      </c>
      <c r="J117" s="43"/>
      <c r="K117" s="61">
        <v>0.9</v>
      </c>
      <c r="L117" s="40">
        <v>116</v>
      </c>
      <c r="M117" s="44"/>
      <c r="N117" s="45"/>
      <c r="O117" s="18">
        <v>0</v>
      </c>
      <c r="P117" s="18">
        <v>0</v>
      </c>
      <c r="Q117" s="61">
        <v>0.79430000000000001</v>
      </c>
      <c r="R117" s="46"/>
    </row>
    <row r="118" spans="1:18">
      <c r="A118" s="33" t="s">
        <v>2103</v>
      </c>
      <c r="B118" s="40" t="s">
        <v>7748</v>
      </c>
      <c r="C118" s="47">
        <v>39104</v>
      </c>
      <c r="D118" s="47" t="s">
        <v>8465</v>
      </c>
      <c r="E118" s="40" t="s">
        <v>86</v>
      </c>
      <c r="F118" s="40" t="s">
        <v>1525</v>
      </c>
      <c r="G118" s="42" t="s">
        <v>2128</v>
      </c>
      <c r="H118" s="65" t="s">
        <v>1057</v>
      </c>
      <c r="J118" s="43"/>
      <c r="K118" s="61">
        <v>0.9</v>
      </c>
      <c r="L118" s="40">
        <v>117</v>
      </c>
      <c r="M118" s="44"/>
      <c r="N118" s="45"/>
      <c r="O118" s="18">
        <v>0</v>
      </c>
      <c r="P118" s="18">
        <v>0</v>
      </c>
      <c r="Q118" s="61">
        <v>0.79369999999999996</v>
      </c>
      <c r="R118" s="46"/>
    </row>
    <row r="119" spans="1:18">
      <c r="A119" s="33" t="s">
        <v>2514</v>
      </c>
      <c r="B119" s="40" t="s">
        <v>7751</v>
      </c>
      <c r="C119" s="47">
        <v>34554</v>
      </c>
      <c r="D119" s="47" t="s">
        <v>8465</v>
      </c>
      <c r="E119" s="40" t="s">
        <v>72</v>
      </c>
      <c r="F119" s="40" t="s">
        <v>72</v>
      </c>
      <c r="G119" s="42" t="s">
        <v>97</v>
      </c>
      <c r="H119" s="65" t="s">
        <v>147</v>
      </c>
      <c r="J119" s="43"/>
      <c r="K119" s="61">
        <v>0.8</v>
      </c>
      <c r="L119" s="40">
        <v>118</v>
      </c>
      <c r="M119" s="44"/>
      <c r="N119" s="45"/>
      <c r="O119" s="18">
        <v>0</v>
      </c>
      <c r="P119" s="18">
        <v>1</v>
      </c>
      <c r="Q119" s="61">
        <v>0.875</v>
      </c>
      <c r="R119" s="46"/>
    </row>
    <row r="120" spans="1:18">
      <c r="A120" s="33" t="s">
        <v>585</v>
      </c>
      <c r="B120" s="40" t="s">
        <v>7736</v>
      </c>
      <c r="C120" s="41">
        <v>33543</v>
      </c>
      <c r="D120" s="47" t="s">
        <v>8465</v>
      </c>
      <c r="E120" s="40" t="s">
        <v>257</v>
      </c>
      <c r="F120" s="40" t="s">
        <v>1252</v>
      </c>
      <c r="G120" s="42" t="s">
        <v>585</v>
      </c>
      <c r="H120" s="65" t="s">
        <v>56</v>
      </c>
      <c r="J120" s="43"/>
      <c r="K120" s="61">
        <v>0.9</v>
      </c>
      <c r="L120" s="40">
        <v>119</v>
      </c>
      <c r="M120" s="44"/>
      <c r="N120" s="45"/>
      <c r="O120" s="18">
        <v>0</v>
      </c>
      <c r="P120" s="18">
        <v>1</v>
      </c>
      <c r="Q120" s="61">
        <v>0.79249999999999998</v>
      </c>
      <c r="R120" s="46"/>
    </row>
    <row r="121" spans="1:18">
      <c r="A121" s="33" t="s">
        <v>98</v>
      </c>
      <c r="B121" s="40" t="s">
        <v>7734</v>
      </c>
      <c r="C121" s="41">
        <v>32813</v>
      </c>
      <c r="D121" s="47" t="s">
        <v>8465</v>
      </c>
      <c r="E121" s="40" t="s">
        <v>86</v>
      </c>
      <c r="F121" s="40" t="s">
        <v>86</v>
      </c>
      <c r="G121" s="42" t="s">
        <v>98</v>
      </c>
      <c r="H121" s="65" t="s">
        <v>78</v>
      </c>
      <c r="J121" s="43"/>
      <c r="K121" s="61">
        <v>0.8</v>
      </c>
      <c r="L121" s="40">
        <v>120</v>
      </c>
      <c r="M121" s="44"/>
      <c r="N121" s="45"/>
      <c r="O121" s="18">
        <v>0</v>
      </c>
      <c r="P121" s="18">
        <v>1</v>
      </c>
      <c r="Q121" s="61"/>
      <c r="R121" s="46"/>
    </row>
    <row r="122" spans="1:18">
      <c r="A122" s="33" t="s">
        <v>99</v>
      </c>
      <c r="B122" s="40" t="s">
        <v>7734</v>
      </c>
      <c r="C122" s="47">
        <v>32716</v>
      </c>
      <c r="D122" s="47" t="s">
        <v>8463</v>
      </c>
      <c r="E122" s="40" t="s">
        <v>86</v>
      </c>
      <c r="F122" s="40" t="s">
        <v>86</v>
      </c>
      <c r="G122" s="42" t="s">
        <v>99</v>
      </c>
      <c r="H122" s="65" t="s">
        <v>149</v>
      </c>
      <c r="J122" s="43"/>
      <c r="K122" s="61">
        <v>0.8</v>
      </c>
      <c r="L122" s="40">
        <v>121</v>
      </c>
      <c r="M122" s="44"/>
      <c r="N122" s="45"/>
      <c r="O122" s="18">
        <v>0</v>
      </c>
      <c r="P122" s="18">
        <v>1</v>
      </c>
      <c r="Q122" s="61"/>
      <c r="R122" s="46"/>
    </row>
    <row r="123" spans="1:18">
      <c r="A123" s="33" t="s">
        <v>586</v>
      </c>
      <c r="B123" s="40" t="s">
        <v>7736</v>
      </c>
      <c r="C123" s="47">
        <v>34855</v>
      </c>
      <c r="D123" s="47" t="s">
        <v>8465</v>
      </c>
      <c r="E123" s="40" t="s">
        <v>86</v>
      </c>
      <c r="F123" s="40" t="s">
        <v>30</v>
      </c>
      <c r="G123" s="42" t="s">
        <v>99</v>
      </c>
      <c r="H123" s="65" t="s">
        <v>149</v>
      </c>
      <c r="J123" s="43"/>
      <c r="K123" s="61">
        <v>0.9</v>
      </c>
      <c r="L123" s="40">
        <v>122</v>
      </c>
      <c r="M123" s="44"/>
      <c r="N123" s="45"/>
      <c r="O123" s="18">
        <v>0</v>
      </c>
      <c r="P123" s="18">
        <v>1</v>
      </c>
      <c r="Q123" s="61">
        <v>0.88329999999999997</v>
      </c>
      <c r="R123" s="46"/>
    </row>
    <row r="124" spans="1:18">
      <c r="A124" s="33" t="s">
        <v>1914</v>
      </c>
      <c r="B124" s="40" t="s">
        <v>7747</v>
      </c>
      <c r="C124" s="47">
        <v>38827</v>
      </c>
      <c r="D124" s="47" t="s">
        <v>8463</v>
      </c>
      <c r="E124" s="40" t="s">
        <v>86</v>
      </c>
      <c r="F124" s="40" t="s">
        <v>30</v>
      </c>
      <c r="G124" s="42" t="s">
        <v>99</v>
      </c>
      <c r="H124" s="65" t="s">
        <v>149</v>
      </c>
      <c r="J124" s="43"/>
      <c r="K124" s="61">
        <v>0.9</v>
      </c>
      <c r="L124" s="40">
        <v>123</v>
      </c>
      <c r="M124" s="44"/>
      <c r="N124" s="45"/>
      <c r="O124" s="18">
        <v>0</v>
      </c>
      <c r="P124" s="18">
        <v>1</v>
      </c>
      <c r="Q124" s="61">
        <v>0.83499999999999996</v>
      </c>
      <c r="R124" s="46"/>
    </row>
    <row r="125" spans="1:18">
      <c r="A125" s="33" t="s">
        <v>450</v>
      </c>
      <c r="B125" s="40" t="s">
        <v>7731</v>
      </c>
      <c r="C125" s="47">
        <v>35209</v>
      </c>
      <c r="D125" s="47" t="s">
        <v>8465</v>
      </c>
      <c r="E125" s="40" t="s">
        <v>170</v>
      </c>
      <c r="F125" s="40" t="s">
        <v>562</v>
      </c>
      <c r="G125" s="42" t="s">
        <v>450</v>
      </c>
      <c r="H125" s="65" t="s">
        <v>147</v>
      </c>
      <c r="J125" s="43"/>
      <c r="K125" s="61">
        <v>0.8</v>
      </c>
      <c r="L125" s="40">
        <v>124</v>
      </c>
      <c r="M125" s="44"/>
      <c r="N125" s="45"/>
      <c r="O125" s="18">
        <v>0</v>
      </c>
      <c r="P125" s="18">
        <v>1</v>
      </c>
      <c r="Q125" s="61"/>
      <c r="R125" s="46"/>
    </row>
    <row r="126" spans="1:18">
      <c r="A126" s="33" t="s">
        <v>486</v>
      </c>
      <c r="B126" s="40" t="s">
        <v>7731</v>
      </c>
      <c r="C126" s="47">
        <v>35887</v>
      </c>
      <c r="D126" s="47" t="s">
        <v>8465</v>
      </c>
      <c r="E126" s="40" t="s">
        <v>170</v>
      </c>
      <c r="F126" s="40" t="s">
        <v>170</v>
      </c>
      <c r="G126" s="42" t="s">
        <v>450</v>
      </c>
      <c r="H126" s="65" t="s">
        <v>147</v>
      </c>
      <c r="J126" s="43"/>
      <c r="K126" s="61">
        <v>0.8</v>
      </c>
      <c r="L126" s="40">
        <v>125</v>
      </c>
      <c r="M126" s="44"/>
      <c r="N126" s="45"/>
      <c r="O126" s="18">
        <v>0</v>
      </c>
      <c r="P126" s="18">
        <v>1</v>
      </c>
      <c r="Q126" s="61"/>
      <c r="R126" s="46"/>
    </row>
    <row r="127" spans="1:18">
      <c r="A127" s="33" t="s">
        <v>487</v>
      </c>
      <c r="B127" s="40" t="s">
        <v>7731</v>
      </c>
      <c r="C127" s="47">
        <v>37151</v>
      </c>
      <c r="D127" s="47" t="s">
        <v>8465</v>
      </c>
      <c r="E127" s="40" t="s">
        <v>170</v>
      </c>
      <c r="F127" s="40" t="s">
        <v>474</v>
      </c>
      <c r="G127" s="42" t="s">
        <v>450</v>
      </c>
      <c r="H127" s="65" t="s">
        <v>147</v>
      </c>
      <c r="J127" s="43"/>
      <c r="K127" s="61">
        <v>0.8</v>
      </c>
      <c r="L127" s="40">
        <v>126</v>
      </c>
      <c r="M127" s="44"/>
      <c r="N127" s="45"/>
      <c r="O127" s="18">
        <v>0</v>
      </c>
      <c r="P127" s="18">
        <v>1</v>
      </c>
      <c r="Q127" s="61"/>
      <c r="R127" s="46"/>
    </row>
    <row r="128" spans="1:18">
      <c r="A128" s="33" t="s">
        <v>488</v>
      </c>
      <c r="B128" s="40" t="s">
        <v>7731</v>
      </c>
      <c r="C128" s="47">
        <v>37419</v>
      </c>
      <c r="D128" s="47" t="s">
        <v>8465</v>
      </c>
      <c r="E128" s="40" t="s">
        <v>170</v>
      </c>
      <c r="F128" s="40" t="s">
        <v>9965</v>
      </c>
      <c r="G128" s="42" t="s">
        <v>450</v>
      </c>
      <c r="H128" s="65" t="s">
        <v>147</v>
      </c>
      <c r="J128" s="43"/>
      <c r="K128" s="61">
        <v>0.8</v>
      </c>
      <c r="L128" s="40">
        <v>127</v>
      </c>
      <c r="M128" s="44"/>
      <c r="N128" s="45"/>
      <c r="O128" s="18">
        <v>0</v>
      </c>
      <c r="P128" s="18">
        <v>1</v>
      </c>
      <c r="Q128" s="61"/>
      <c r="R128" s="46"/>
    </row>
    <row r="129" spans="1:18">
      <c r="A129" s="33" t="s">
        <v>489</v>
      </c>
      <c r="B129" s="40" t="s">
        <v>7731</v>
      </c>
      <c r="C129" s="41">
        <v>37926</v>
      </c>
      <c r="D129" s="47" t="s">
        <v>8465</v>
      </c>
      <c r="E129" s="40" t="s">
        <v>170</v>
      </c>
      <c r="F129" s="40" t="s">
        <v>474</v>
      </c>
      <c r="G129" s="42" t="s">
        <v>450</v>
      </c>
      <c r="H129" s="65" t="s">
        <v>147</v>
      </c>
      <c r="J129" s="43"/>
      <c r="K129" s="61">
        <v>0.8</v>
      </c>
      <c r="L129" s="40">
        <v>128</v>
      </c>
      <c r="M129" s="44"/>
      <c r="N129" s="45"/>
      <c r="O129" s="18">
        <v>0</v>
      </c>
      <c r="P129" s="18">
        <v>1</v>
      </c>
      <c r="Q129" s="61"/>
      <c r="R129" s="46"/>
    </row>
    <row r="130" spans="1:18">
      <c r="A130" s="33" t="s">
        <v>312</v>
      </c>
      <c r="B130" s="40" t="s">
        <v>6317</v>
      </c>
      <c r="C130" s="47">
        <v>38772</v>
      </c>
      <c r="D130" s="47" t="s">
        <v>8463</v>
      </c>
      <c r="E130" s="40" t="s">
        <v>170</v>
      </c>
      <c r="F130" s="40" t="s">
        <v>170</v>
      </c>
      <c r="G130" s="42" t="s">
        <v>450</v>
      </c>
      <c r="H130" s="65" t="s">
        <v>147</v>
      </c>
      <c r="J130" s="43"/>
      <c r="K130" s="61">
        <v>0.8</v>
      </c>
      <c r="L130" s="40">
        <v>129</v>
      </c>
      <c r="M130" s="44"/>
      <c r="N130" s="45"/>
      <c r="O130" s="18">
        <v>0</v>
      </c>
      <c r="P130" s="18">
        <v>1</v>
      </c>
      <c r="Q130" s="61"/>
      <c r="R130" s="46"/>
    </row>
    <row r="131" spans="1:18">
      <c r="A131" s="33" t="s">
        <v>490</v>
      </c>
      <c r="B131" s="40" t="s">
        <v>7731</v>
      </c>
      <c r="C131" s="41">
        <v>36220</v>
      </c>
      <c r="D131" s="47" t="s">
        <v>8465</v>
      </c>
      <c r="E131" s="40" t="s">
        <v>170</v>
      </c>
      <c r="F131" s="40" t="s">
        <v>170</v>
      </c>
      <c r="G131" s="42" t="s">
        <v>450</v>
      </c>
      <c r="H131" s="65" t="s">
        <v>147</v>
      </c>
      <c r="J131" s="43"/>
      <c r="K131" s="61">
        <v>0.8</v>
      </c>
      <c r="L131" s="40">
        <v>130</v>
      </c>
      <c r="M131" s="44"/>
      <c r="N131" s="45"/>
      <c r="O131" s="18">
        <v>0</v>
      </c>
      <c r="P131" s="18">
        <v>1</v>
      </c>
      <c r="Q131" s="61"/>
      <c r="R131" s="46"/>
    </row>
    <row r="132" spans="1:18">
      <c r="A132" s="33" t="s">
        <v>960</v>
      </c>
      <c r="B132" s="40" t="s">
        <v>7741</v>
      </c>
      <c r="C132" s="47">
        <v>39203</v>
      </c>
      <c r="D132" s="47" t="s">
        <v>8465</v>
      </c>
      <c r="E132" s="40" t="s">
        <v>1513</v>
      </c>
      <c r="F132" s="40" t="s">
        <v>1513</v>
      </c>
      <c r="G132" s="42"/>
      <c r="H132" s="65" t="s">
        <v>9966</v>
      </c>
      <c r="J132" s="43"/>
      <c r="K132" s="61">
        <v>0.4</v>
      </c>
      <c r="L132" s="40">
        <v>131</v>
      </c>
      <c r="M132" s="44"/>
      <c r="N132" s="45"/>
      <c r="O132" s="18">
        <v>0</v>
      </c>
      <c r="P132" s="18">
        <v>0</v>
      </c>
      <c r="Q132" s="61">
        <v>0.64019999999999999</v>
      </c>
      <c r="R132" s="46"/>
    </row>
    <row r="133" spans="1:18" ht="25.5">
      <c r="A133" s="33" t="s">
        <v>2104</v>
      </c>
      <c r="B133" s="40" t="s">
        <v>7748</v>
      </c>
      <c r="C133" s="47">
        <v>39488</v>
      </c>
      <c r="D133" s="47" t="s">
        <v>8465</v>
      </c>
      <c r="E133" s="40" t="s">
        <v>86</v>
      </c>
      <c r="F133" s="40" t="s">
        <v>2129</v>
      </c>
      <c r="G133" s="42" t="s">
        <v>2130</v>
      </c>
      <c r="H133" s="65" t="s">
        <v>78</v>
      </c>
      <c r="J133" s="43"/>
      <c r="K133" s="61">
        <v>0.9</v>
      </c>
      <c r="L133" s="40">
        <v>132</v>
      </c>
      <c r="M133" s="44"/>
      <c r="N133" s="45"/>
      <c r="O133" s="18">
        <v>0</v>
      </c>
      <c r="P133" s="18">
        <v>0</v>
      </c>
      <c r="Q133" s="61">
        <v>0.86170000000000002</v>
      </c>
      <c r="R133" s="46"/>
    </row>
    <row r="134" spans="1:18">
      <c r="A134" s="33" t="s">
        <v>6929</v>
      </c>
      <c r="B134" s="40" t="s">
        <v>7800</v>
      </c>
      <c r="C134" s="47">
        <v>34758</v>
      </c>
      <c r="D134" s="47" t="s">
        <v>8465</v>
      </c>
      <c r="E134" s="40" t="s">
        <v>468</v>
      </c>
      <c r="F134" s="40" t="s">
        <v>6930</v>
      </c>
      <c r="G134" s="42" t="s">
        <v>6929</v>
      </c>
      <c r="H134" s="65" t="s">
        <v>9967</v>
      </c>
      <c r="J134" s="43"/>
      <c r="K134" s="61">
        <v>0.8</v>
      </c>
      <c r="L134" s="40">
        <v>133</v>
      </c>
      <c r="M134" s="44"/>
      <c r="N134" s="45"/>
      <c r="O134" s="18">
        <v>0</v>
      </c>
      <c r="P134" s="18">
        <v>1</v>
      </c>
      <c r="Q134" s="61">
        <v>0.8</v>
      </c>
      <c r="R134" s="46"/>
    </row>
    <row r="135" spans="1:18">
      <c r="A135" s="33" t="s">
        <v>6934</v>
      </c>
      <c r="B135" s="40" t="s">
        <v>7800</v>
      </c>
      <c r="C135" s="47">
        <v>35124</v>
      </c>
      <c r="D135" s="47" t="s">
        <v>8465</v>
      </c>
      <c r="E135" s="40" t="s">
        <v>468</v>
      </c>
      <c r="F135" s="40" t="s">
        <v>6930</v>
      </c>
      <c r="G135" s="42" t="s">
        <v>6929</v>
      </c>
      <c r="H135" s="65" t="s">
        <v>9967</v>
      </c>
      <c r="J135" s="43"/>
      <c r="K135" s="61">
        <v>0.8</v>
      </c>
      <c r="L135" s="40">
        <v>134</v>
      </c>
      <c r="M135" s="44"/>
      <c r="N135" s="45"/>
      <c r="O135" s="18">
        <v>0</v>
      </c>
      <c r="P135" s="18">
        <v>1</v>
      </c>
      <c r="Q135" s="61">
        <v>0.92</v>
      </c>
      <c r="R135" s="46"/>
    </row>
    <row r="136" spans="1:18">
      <c r="A136" s="33" t="s">
        <v>296</v>
      </c>
      <c r="B136" s="40" t="s">
        <v>7736</v>
      </c>
      <c r="C136" s="47">
        <v>34627</v>
      </c>
      <c r="D136" s="47" t="s">
        <v>8465</v>
      </c>
      <c r="E136" s="40" t="s">
        <v>161</v>
      </c>
      <c r="F136" s="40" t="s">
        <v>161</v>
      </c>
      <c r="G136" s="42" t="s">
        <v>126</v>
      </c>
      <c r="H136" s="65" t="s">
        <v>149</v>
      </c>
      <c r="J136" s="43"/>
      <c r="K136" s="61">
        <v>1</v>
      </c>
      <c r="L136" s="40">
        <v>135</v>
      </c>
      <c r="M136" s="44"/>
      <c r="N136" s="45"/>
      <c r="O136" s="18">
        <v>0</v>
      </c>
      <c r="P136" s="18">
        <v>1</v>
      </c>
      <c r="Q136" s="61">
        <v>0.93959999999999999</v>
      </c>
      <c r="R136" s="46"/>
    </row>
    <row r="137" spans="1:18" ht="38.25">
      <c r="A137" s="33" t="s">
        <v>587</v>
      </c>
      <c r="B137" s="40" t="s">
        <v>7736</v>
      </c>
      <c r="C137" s="47">
        <v>35198</v>
      </c>
      <c r="D137" s="47" t="s">
        <v>8465</v>
      </c>
      <c r="E137" s="40" t="s">
        <v>86</v>
      </c>
      <c r="F137" s="40" t="s">
        <v>161</v>
      </c>
      <c r="G137" s="42" t="s">
        <v>137</v>
      </c>
      <c r="H137" s="65" t="s">
        <v>149</v>
      </c>
      <c r="J137" s="43"/>
      <c r="K137" s="61">
        <v>0.9</v>
      </c>
      <c r="L137" s="40">
        <v>136</v>
      </c>
      <c r="M137" s="44"/>
      <c r="N137" s="45"/>
      <c r="O137" s="18">
        <v>0</v>
      </c>
      <c r="P137" s="18">
        <v>1</v>
      </c>
      <c r="Q137" s="61">
        <v>0.89119999999999999</v>
      </c>
      <c r="R137" s="46"/>
    </row>
    <row r="138" spans="1:18">
      <c r="A138" s="33" t="s">
        <v>2703</v>
      </c>
      <c r="B138" s="40" t="s">
        <v>7752</v>
      </c>
      <c r="C138" s="47">
        <v>34668</v>
      </c>
      <c r="D138" s="47" t="s">
        <v>8465</v>
      </c>
      <c r="E138" s="40" t="s">
        <v>72</v>
      </c>
      <c r="F138" s="40" t="s">
        <v>72</v>
      </c>
      <c r="G138" s="42"/>
      <c r="H138" s="65" t="s">
        <v>67</v>
      </c>
      <c r="J138" s="43"/>
      <c r="K138" s="61">
        <v>0.9</v>
      </c>
      <c r="L138" s="40">
        <v>137</v>
      </c>
      <c r="M138" s="44"/>
      <c r="N138" s="45"/>
      <c r="O138" s="18">
        <v>0</v>
      </c>
      <c r="P138" s="18">
        <v>1</v>
      </c>
      <c r="Q138" s="61">
        <v>0.85</v>
      </c>
      <c r="R138" s="46"/>
    </row>
    <row r="139" spans="1:18">
      <c r="A139" s="33" t="s">
        <v>5523</v>
      </c>
      <c r="B139" s="40" t="s">
        <v>7800</v>
      </c>
      <c r="C139" s="47">
        <v>40189</v>
      </c>
      <c r="D139" s="47" t="s">
        <v>8465</v>
      </c>
      <c r="E139" s="40" t="s">
        <v>2824</v>
      </c>
      <c r="F139" s="40" t="s">
        <v>2824</v>
      </c>
      <c r="G139" s="42"/>
      <c r="H139" s="65" t="s">
        <v>64</v>
      </c>
      <c r="J139" s="43"/>
      <c r="K139" s="61">
        <v>0.9</v>
      </c>
      <c r="L139" s="40">
        <v>138</v>
      </c>
      <c r="M139" s="44"/>
      <c r="N139" s="45">
        <f>4+(12/60)</f>
        <v>4.2</v>
      </c>
      <c r="O139" s="18">
        <v>0</v>
      </c>
      <c r="P139" s="18">
        <v>0</v>
      </c>
      <c r="Q139" s="61">
        <v>0.79900000000000004</v>
      </c>
      <c r="R139" s="46"/>
    </row>
    <row r="140" spans="1:18">
      <c r="A140" s="33" t="s">
        <v>588</v>
      </c>
      <c r="B140" s="40" t="s">
        <v>7736</v>
      </c>
      <c r="C140" s="41">
        <v>34243</v>
      </c>
      <c r="D140" s="47" t="s">
        <v>8465</v>
      </c>
      <c r="E140" s="40" t="s">
        <v>161</v>
      </c>
      <c r="F140" s="40" t="s">
        <v>161</v>
      </c>
      <c r="G140" s="42" t="s">
        <v>1253</v>
      </c>
      <c r="H140" s="65" t="s">
        <v>171</v>
      </c>
      <c r="J140" s="43"/>
      <c r="K140" s="61">
        <v>0.8</v>
      </c>
      <c r="L140" s="40">
        <v>139</v>
      </c>
      <c r="M140" s="44"/>
      <c r="N140" s="45"/>
      <c r="O140" s="18">
        <v>0</v>
      </c>
      <c r="P140" s="18">
        <v>1</v>
      </c>
      <c r="Q140" s="61">
        <v>0.87280000000000002</v>
      </c>
      <c r="R140" s="46"/>
    </row>
    <row r="141" spans="1:18" ht="25.5">
      <c r="A141" s="33" t="s">
        <v>2105</v>
      </c>
      <c r="B141" s="40" t="s">
        <v>7748</v>
      </c>
      <c r="C141" s="47">
        <v>39783</v>
      </c>
      <c r="D141" s="47" t="s">
        <v>8465</v>
      </c>
      <c r="E141" s="40" t="s">
        <v>86</v>
      </c>
      <c r="F141" s="40" t="s">
        <v>86</v>
      </c>
      <c r="G141" s="42" t="s">
        <v>2131</v>
      </c>
      <c r="H141" s="65" t="s">
        <v>1142</v>
      </c>
      <c r="J141" s="43"/>
      <c r="K141" s="61">
        <v>0.6</v>
      </c>
      <c r="L141" s="40">
        <v>140</v>
      </c>
      <c r="M141" s="44"/>
      <c r="N141" s="45"/>
      <c r="O141" s="18">
        <v>0</v>
      </c>
      <c r="P141" s="18">
        <v>0</v>
      </c>
      <c r="Q141" s="61">
        <v>0.6</v>
      </c>
      <c r="R141" s="46"/>
    </row>
    <row r="142" spans="1:18">
      <c r="A142" s="33" t="s">
        <v>2106</v>
      </c>
      <c r="B142" s="40" t="s">
        <v>7748</v>
      </c>
      <c r="C142" s="47">
        <v>39027</v>
      </c>
      <c r="D142" s="47" t="s">
        <v>8465</v>
      </c>
      <c r="E142" s="40" t="s">
        <v>86</v>
      </c>
      <c r="F142" s="40" t="s">
        <v>2132</v>
      </c>
      <c r="G142" s="42" t="s">
        <v>2133</v>
      </c>
      <c r="H142" s="65" t="s">
        <v>1220</v>
      </c>
      <c r="J142" s="43"/>
      <c r="K142" s="61">
        <v>0.9</v>
      </c>
      <c r="L142" s="40">
        <v>141</v>
      </c>
      <c r="M142" s="44"/>
      <c r="N142" s="45"/>
      <c r="O142" s="18">
        <v>0</v>
      </c>
      <c r="P142" s="18">
        <v>0</v>
      </c>
      <c r="Q142" s="61">
        <v>0.88329999999999997</v>
      </c>
      <c r="R142" s="46"/>
    </row>
    <row r="143" spans="1:18" ht="25.5">
      <c r="A143" s="33" t="s">
        <v>1696</v>
      </c>
      <c r="B143" s="40" t="s">
        <v>7748</v>
      </c>
      <c r="C143" s="47">
        <v>39560</v>
      </c>
      <c r="D143" s="47" t="s">
        <v>8465</v>
      </c>
      <c r="E143" s="40" t="s">
        <v>1082</v>
      </c>
      <c r="F143" s="40" t="s">
        <v>1794</v>
      </c>
      <c r="G143" s="42" t="s">
        <v>1696</v>
      </c>
      <c r="H143" s="65" t="s">
        <v>171</v>
      </c>
      <c r="J143" s="43"/>
      <c r="K143" s="61">
        <v>1</v>
      </c>
      <c r="L143" s="40">
        <v>142</v>
      </c>
      <c r="M143" s="44"/>
      <c r="N143" s="45"/>
      <c r="O143" s="18">
        <v>0</v>
      </c>
      <c r="P143" s="18">
        <v>0</v>
      </c>
      <c r="Q143" s="61">
        <v>0.87990000000000002</v>
      </c>
      <c r="R143" s="46"/>
    </row>
    <row r="144" spans="1:18" ht="25.5">
      <c r="A144" s="33" t="s">
        <v>909</v>
      </c>
      <c r="B144" s="40" t="s">
        <v>7740</v>
      </c>
      <c r="C144" s="47">
        <v>38271</v>
      </c>
      <c r="D144" s="47" t="s">
        <v>8465</v>
      </c>
      <c r="E144" s="40" t="s">
        <v>86</v>
      </c>
      <c r="F144" s="40" t="s">
        <v>1069</v>
      </c>
      <c r="G144" s="42" t="s">
        <v>880</v>
      </c>
      <c r="H144" s="65" t="s">
        <v>149</v>
      </c>
      <c r="J144" s="43"/>
      <c r="K144" s="61">
        <v>0.9</v>
      </c>
      <c r="L144" s="40">
        <v>143</v>
      </c>
      <c r="M144" s="44"/>
      <c r="N144" s="45"/>
      <c r="O144" s="18">
        <v>0</v>
      </c>
      <c r="P144" s="18">
        <v>0</v>
      </c>
      <c r="Q144" s="61">
        <v>0.88170000000000004</v>
      </c>
      <c r="R144" s="46"/>
    </row>
    <row r="145" spans="1:18">
      <c r="A145" s="33" t="s">
        <v>961</v>
      </c>
      <c r="B145" s="40" t="s">
        <v>7741</v>
      </c>
      <c r="C145" s="47">
        <v>39181</v>
      </c>
      <c r="D145" s="47" t="s">
        <v>8465</v>
      </c>
      <c r="E145" s="40" t="s">
        <v>86</v>
      </c>
      <c r="F145" s="40" t="s">
        <v>1069</v>
      </c>
      <c r="G145" s="42" t="s">
        <v>880</v>
      </c>
      <c r="H145" s="65" t="s">
        <v>171</v>
      </c>
      <c r="J145" s="43"/>
      <c r="K145" s="61">
        <v>0.8</v>
      </c>
      <c r="L145" s="40">
        <v>144</v>
      </c>
      <c r="M145" s="44"/>
      <c r="N145" s="45"/>
      <c r="O145" s="18">
        <v>0</v>
      </c>
      <c r="P145" s="18">
        <v>0</v>
      </c>
      <c r="Q145" s="61"/>
      <c r="R145" s="46"/>
    </row>
    <row r="146" spans="1:18">
      <c r="A146" s="33" t="s">
        <v>2107</v>
      </c>
      <c r="B146" s="40" t="s">
        <v>7748</v>
      </c>
      <c r="C146" s="47">
        <v>38852</v>
      </c>
      <c r="D146" s="47" t="s">
        <v>8465</v>
      </c>
      <c r="E146" s="40" t="s">
        <v>86</v>
      </c>
      <c r="F146" s="40" t="s">
        <v>87</v>
      </c>
      <c r="G146" s="42" t="s">
        <v>137</v>
      </c>
      <c r="H146" s="65" t="s">
        <v>64</v>
      </c>
      <c r="J146" s="43"/>
      <c r="K146" s="61">
        <v>0.9</v>
      </c>
      <c r="L146" s="40">
        <v>145</v>
      </c>
      <c r="M146" s="44"/>
      <c r="N146" s="45"/>
      <c r="O146" s="18">
        <v>0</v>
      </c>
      <c r="P146" s="18">
        <v>0</v>
      </c>
      <c r="Q146" s="61">
        <v>0.89070000000000005</v>
      </c>
      <c r="R146" s="46"/>
    </row>
    <row r="147" spans="1:18" ht="25.5">
      <c r="A147" s="33" t="s">
        <v>962</v>
      </c>
      <c r="B147" s="40" t="s">
        <v>7741</v>
      </c>
      <c r="C147" s="47">
        <v>40132</v>
      </c>
      <c r="D147" s="47" t="s">
        <v>8465</v>
      </c>
      <c r="E147" s="40" t="s">
        <v>86</v>
      </c>
      <c r="F147" s="40" t="s">
        <v>87</v>
      </c>
      <c r="G147" s="42" t="s">
        <v>137</v>
      </c>
      <c r="H147" s="65" t="s">
        <v>64</v>
      </c>
      <c r="J147" s="43"/>
      <c r="K147" s="61">
        <v>0.9</v>
      </c>
      <c r="L147" s="40">
        <v>146</v>
      </c>
      <c r="M147" s="44"/>
      <c r="N147" s="45"/>
      <c r="O147" s="18">
        <v>0</v>
      </c>
      <c r="P147" s="18">
        <v>0</v>
      </c>
      <c r="Q147" s="61">
        <v>0.85160000000000002</v>
      </c>
      <c r="R147" s="46"/>
    </row>
    <row r="148" spans="1:18" ht="25.5">
      <c r="A148" s="33" t="s">
        <v>910</v>
      </c>
      <c r="B148" s="40" t="s">
        <v>7740</v>
      </c>
      <c r="C148" s="47">
        <v>37942</v>
      </c>
      <c r="D148" s="47" t="s">
        <v>8465</v>
      </c>
      <c r="E148" s="40" t="s">
        <v>86</v>
      </c>
      <c r="F148" s="40" t="s">
        <v>87</v>
      </c>
      <c r="G148" s="42" t="s">
        <v>1135</v>
      </c>
      <c r="H148" s="65" t="s">
        <v>150</v>
      </c>
      <c r="J148" s="43"/>
      <c r="K148" s="61">
        <v>0.9</v>
      </c>
      <c r="L148" s="40">
        <v>147</v>
      </c>
      <c r="M148" s="44"/>
      <c r="N148" s="45"/>
      <c r="O148" s="18">
        <v>0</v>
      </c>
      <c r="P148" s="18">
        <v>0</v>
      </c>
      <c r="Q148" s="61">
        <v>0.87019999999999997</v>
      </c>
      <c r="R148" s="46"/>
    </row>
    <row r="149" spans="1:18">
      <c r="A149" s="33" t="s">
        <v>2108</v>
      </c>
      <c r="B149" s="40" t="s">
        <v>7748</v>
      </c>
      <c r="C149" s="47">
        <v>38670</v>
      </c>
      <c r="D149" s="47" t="s">
        <v>8465</v>
      </c>
      <c r="E149" s="40" t="s">
        <v>86</v>
      </c>
      <c r="F149" s="40" t="s">
        <v>87</v>
      </c>
      <c r="G149" s="42" t="s">
        <v>1135</v>
      </c>
      <c r="H149" s="65" t="s">
        <v>150</v>
      </c>
      <c r="J149" s="43"/>
      <c r="K149" s="61">
        <v>0.9</v>
      </c>
      <c r="L149" s="40">
        <v>148</v>
      </c>
      <c r="M149" s="44"/>
      <c r="N149" s="45"/>
      <c r="O149" s="18">
        <v>0</v>
      </c>
      <c r="P149" s="18">
        <v>0</v>
      </c>
      <c r="Q149" s="61">
        <v>0.91339999999999999</v>
      </c>
      <c r="R149" s="46"/>
    </row>
    <row r="150" spans="1:18">
      <c r="A150" s="33" t="s">
        <v>2109</v>
      </c>
      <c r="B150" s="40" t="s">
        <v>7748</v>
      </c>
      <c r="C150" s="47">
        <v>39194</v>
      </c>
      <c r="D150" s="47" t="s">
        <v>8465</v>
      </c>
      <c r="E150" s="40" t="s">
        <v>86</v>
      </c>
      <c r="F150" s="40" t="s">
        <v>1354</v>
      </c>
      <c r="G150" s="42" t="s">
        <v>1470</v>
      </c>
      <c r="H150" s="65" t="s">
        <v>149</v>
      </c>
      <c r="J150" s="43"/>
      <c r="K150" s="61">
        <v>0.8</v>
      </c>
      <c r="L150" s="40">
        <v>149</v>
      </c>
      <c r="M150" s="44"/>
      <c r="N150" s="45"/>
      <c r="O150" s="18">
        <v>0</v>
      </c>
      <c r="P150" s="18">
        <v>0</v>
      </c>
      <c r="Q150" s="61">
        <v>0.85070000000000001</v>
      </c>
      <c r="R150" s="46"/>
    </row>
    <row r="151" spans="1:18">
      <c r="A151" s="33" t="s">
        <v>1915</v>
      </c>
      <c r="B151" s="40" t="s">
        <v>7747</v>
      </c>
      <c r="C151" s="47">
        <v>38473</v>
      </c>
      <c r="D151" s="47" t="s">
        <v>8465</v>
      </c>
      <c r="E151" s="40" t="s">
        <v>86</v>
      </c>
      <c r="F151" s="40" t="s">
        <v>1354</v>
      </c>
      <c r="G151" s="42" t="s">
        <v>1470</v>
      </c>
      <c r="H151" s="65" t="s">
        <v>149</v>
      </c>
      <c r="J151" s="43"/>
      <c r="K151" s="61">
        <v>0.8</v>
      </c>
      <c r="L151" s="40">
        <v>150</v>
      </c>
      <c r="M151" s="44"/>
      <c r="N151" s="45"/>
      <c r="O151" s="18">
        <v>0</v>
      </c>
      <c r="P151" s="18">
        <v>0</v>
      </c>
      <c r="Q151" s="61">
        <v>0.76649999999999996</v>
      </c>
      <c r="R151" s="46"/>
    </row>
    <row r="152" spans="1:18">
      <c r="A152" s="33" t="s">
        <v>1916</v>
      </c>
      <c r="B152" s="40" t="s">
        <v>7747</v>
      </c>
      <c r="C152" s="47">
        <v>37699</v>
      </c>
      <c r="D152" s="47" t="s">
        <v>8465</v>
      </c>
      <c r="E152" s="40" t="s">
        <v>86</v>
      </c>
      <c r="F152" s="40" t="s">
        <v>1354</v>
      </c>
      <c r="G152" s="42" t="s">
        <v>1470</v>
      </c>
      <c r="H152" s="65" t="s">
        <v>149</v>
      </c>
      <c r="J152" s="43"/>
      <c r="K152" s="61">
        <v>0.8</v>
      </c>
      <c r="L152" s="40">
        <v>151</v>
      </c>
      <c r="M152" s="44"/>
      <c r="N152" s="45"/>
      <c r="O152" s="18">
        <v>0</v>
      </c>
      <c r="P152" s="18">
        <v>0</v>
      </c>
      <c r="Q152" s="61">
        <v>0.83989999999999998</v>
      </c>
      <c r="R152" s="46"/>
    </row>
    <row r="153" spans="1:18">
      <c r="A153" s="33" t="s">
        <v>1917</v>
      </c>
      <c r="B153" s="40" t="s">
        <v>7747</v>
      </c>
      <c r="C153" s="47">
        <v>38239</v>
      </c>
      <c r="D153" s="47" t="s">
        <v>8465</v>
      </c>
      <c r="E153" s="40" t="s">
        <v>86</v>
      </c>
      <c r="F153" s="40" t="s">
        <v>1354</v>
      </c>
      <c r="G153" s="42" t="s">
        <v>1470</v>
      </c>
      <c r="H153" s="65" t="s">
        <v>149</v>
      </c>
      <c r="J153" s="43"/>
      <c r="K153" s="61">
        <v>0.9</v>
      </c>
      <c r="L153" s="40">
        <v>152</v>
      </c>
      <c r="M153" s="44"/>
      <c r="N153" s="45"/>
      <c r="O153" s="18">
        <v>0</v>
      </c>
      <c r="P153" s="18">
        <v>0</v>
      </c>
      <c r="Q153" s="61">
        <v>0.81389999999999996</v>
      </c>
      <c r="R153" s="46"/>
    </row>
    <row r="154" spans="1:18">
      <c r="A154" s="33" t="s">
        <v>2110</v>
      </c>
      <c r="B154" s="40" t="s">
        <v>7748</v>
      </c>
      <c r="C154" s="47">
        <v>38614</v>
      </c>
      <c r="D154" s="47" t="s">
        <v>8465</v>
      </c>
      <c r="E154" s="40" t="s">
        <v>1273</v>
      </c>
      <c r="F154" s="40" t="s">
        <v>1511</v>
      </c>
      <c r="G154" s="42" t="s">
        <v>1264</v>
      </c>
      <c r="H154" s="65" t="s">
        <v>153</v>
      </c>
      <c r="J154" s="43"/>
      <c r="K154" s="61">
        <v>0.8</v>
      </c>
      <c r="L154" s="40">
        <v>153</v>
      </c>
      <c r="M154" s="44"/>
      <c r="N154" s="45"/>
      <c r="O154" s="18">
        <v>0</v>
      </c>
      <c r="P154" s="18">
        <v>0</v>
      </c>
      <c r="Q154" s="61">
        <v>0.74580000000000002</v>
      </c>
      <c r="R154" s="46"/>
    </row>
    <row r="155" spans="1:18" ht="38.25">
      <c r="A155" s="33" t="s">
        <v>2111</v>
      </c>
      <c r="B155" s="40" t="s">
        <v>7748</v>
      </c>
      <c r="C155" s="47">
        <v>38978</v>
      </c>
      <c r="D155" s="47" t="s">
        <v>8465</v>
      </c>
      <c r="E155" s="40" t="s">
        <v>86</v>
      </c>
      <c r="F155" s="40" t="s">
        <v>164</v>
      </c>
      <c r="G155" s="42" t="s">
        <v>1470</v>
      </c>
      <c r="H155" s="65" t="s">
        <v>75</v>
      </c>
      <c r="J155" s="43"/>
      <c r="K155" s="61">
        <v>0.9</v>
      </c>
      <c r="L155" s="40">
        <v>154</v>
      </c>
      <c r="M155" s="44"/>
      <c r="N155" s="45"/>
      <c r="O155" s="18">
        <v>0</v>
      </c>
      <c r="P155" s="18">
        <v>0</v>
      </c>
      <c r="Q155" s="61">
        <v>0.6401</v>
      </c>
      <c r="R155" s="46"/>
    </row>
    <row r="156" spans="1:18" ht="25.5">
      <c r="A156" s="33" t="s">
        <v>963</v>
      </c>
      <c r="B156" s="40" t="s">
        <v>7741</v>
      </c>
      <c r="C156" s="47">
        <v>39383</v>
      </c>
      <c r="D156" s="47" t="s">
        <v>8465</v>
      </c>
      <c r="E156" s="40" t="s">
        <v>1273</v>
      </c>
      <c r="F156" s="40" t="s">
        <v>1511</v>
      </c>
      <c r="G156" s="42" t="s">
        <v>1514</v>
      </c>
      <c r="H156" s="65" t="s">
        <v>1220</v>
      </c>
      <c r="J156" s="43"/>
      <c r="K156" s="61">
        <v>0.7</v>
      </c>
      <c r="L156" s="40">
        <v>155</v>
      </c>
      <c r="M156" s="44"/>
      <c r="N156" s="45"/>
      <c r="O156" s="18">
        <v>0</v>
      </c>
      <c r="P156" s="18">
        <v>0</v>
      </c>
      <c r="Q156" s="61">
        <v>0.86260000000000003</v>
      </c>
      <c r="R156" s="46"/>
    </row>
    <row r="157" spans="1:18" ht="25.5">
      <c r="A157" s="33" t="s">
        <v>964</v>
      </c>
      <c r="B157" s="40" t="s">
        <v>7741</v>
      </c>
      <c r="C157" s="47">
        <v>39378</v>
      </c>
      <c r="D157" s="47" t="s">
        <v>8465</v>
      </c>
      <c r="E157" s="40" t="s">
        <v>73</v>
      </c>
      <c r="F157" s="40" t="s">
        <v>73</v>
      </c>
      <c r="G157" s="42"/>
      <c r="H157" s="65" t="s">
        <v>67</v>
      </c>
      <c r="J157" s="43"/>
      <c r="K157" s="61">
        <v>0.8</v>
      </c>
      <c r="L157" s="40">
        <v>156</v>
      </c>
      <c r="M157" s="44"/>
      <c r="N157" s="45"/>
      <c r="O157" s="18">
        <v>0</v>
      </c>
      <c r="P157" s="18">
        <v>0</v>
      </c>
      <c r="Q157" s="61">
        <v>0.85980000000000001</v>
      </c>
      <c r="R157" s="46"/>
    </row>
    <row r="158" spans="1:18" ht="25.5">
      <c r="A158" s="33" t="s">
        <v>965</v>
      </c>
      <c r="B158" s="40" t="s">
        <v>7741</v>
      </c>
      <c r="C158" s="47">
        <v>39405</v>
      </c>
      <c r="D158" s="47" t="s">
        <v>8465</v>
      </c>
      <c r="E158" s="40" t="s">
        <v>86</v>
      </c>
      <c r="F158" s="40" t="s">
        <v>87</v>
      </c>
      <c r="G158" s="42" t="s">
        <v>85</v>
      </c>
      <c r="H158" s="65" t="s">
        <v>1050</v>
      </c>
      <c r="J158" s="43"/>
      <c r="K158" s="61">
        <v>0.7</v>
      </c>
      <c r="L158" s="40">
        <v>157</v>
      </c>
      <c r="M158" s="44"/>
      <c r="N158" s="45"/>
      <c r="O158" s="18">
        <v>0</v>
      </c>
      <c r="P158" s="18">
        <v>0</v>
      </c>
      <c r="Q158" s="61">
        <v>0.69259999999999999</v>
      </c>
      <c r="R158" s="46"/>
    </row>
    <row r="159" spans="1:18">
      <c r="A159" s="33" t="s">
        <v>966</v>
      </c>
      <c r="B159" s="40" t="s">
        <v>7741</v>
      </c>
      <c r="C159" s="47">
        <v>39040</v>
      </c>
      <c r="D159" s="47" t="s">
        <v>8465</v>
      </c>
      <c r="E159" s="40" t="s">
        <v>86</v>
      </c>
      <c r="F159" s="40" t="s">
        <v>87</v>
      </c>
      <c r="G159" s="42" t="s">
        <v>9968</v>
      </c>
      <c r="H159" s="65" t="s">
        <v>255</v>
      </c>
      <c r="J159" s="43"/>
      <c r="K159" s="61">
        <v>0.7</v>
      </c>
      <c r="L159" s="40">
        <v>158</v>
      </c>
      <c r="M159" s="44"/>
      <c r="N159" s="45"/>
      <c r="O159" s="18">
        <v>0</v>
      </c>
      <c r="P159" s="18">
        <v>0</v>
      </c>
      <c r="Q159" s="61">
        <v>0.76280000000000003</v>
      </c>
      <c r="R159" s="46"/>
    </row>
    <row r="160" spans="1:18">
      <c r="A160" s="33" t="s">
        <v>967</v>
      </c>
      <c r="B160" s="40" t="s">
        <v>7741</v>
      </c>
      <c r="C160" s="47">
        <v>39125</v>
      </c>
      <c r="D160" s="47" t="s">
        <v>8465</v>
      </c>
      <c r="E160" s="40" t="s">
        <v>86</v>
      </c>
      <c r="F160" s="40" t="s">
        <v>87</v>
      </c>
      <c r="G160" s="42" t="s">
        <v>9968</v>
      </c>
      <c r="H160" s="65" t="s">
        <v>1142</v>
      </c>
      <c r="J160" s="43"/>
      <c r="K160" s="61">
        <v>0.6</v>
      </c>
      <c r="L160" s="40">
        <v>159</v>
      </c>
      <c r="M160" s="44"/>
      <c r="N160" s="45"/>
      <c r="O160" s="18">
        <v>0</v>
      </c>
      <c r="P160" s="18">
        <v>0</v>
      </c>
      <c r="Q160" s="61">
        <v>0.61639999999999995</v>
      </c>
      <c r="R160" s="46"/>
    </row>
    <row r="161" spans="1:18" ht="25.5">
      <c r="A161" s="33" t="s">
        <v>968</v>
      </c>
      <c r="B161" s="40" t="s">
        <v>7741</v>
      </c>
      <c r="C161" s="47">
        <v>39097</v>
      </c>
      <c r="D161" s="47" t="s">
        <v>8465</v>
      </c>
      <c r="E161" s="40" t="s">
        <v>86</v>
      </c>
      <c r="F161" s="40" t="s">
        <v>1515</v>
      </c>
      <c r="G161" s="42" t="s">
        <v>1516</v>
      </c>
      <c r="H161" s="65" t="s">
        <v>1142</v>
      </c>
      <c r="J161" s="43"/>
      <c r="K161" s="61">
        <v>0.8</v>
      </c>
      <c r="L161" s="40">
        <v>160</v>
      </c>
      <c r="M161" s="44"/>
      <c r="N161" s="45"/>
      <c r="O161" s="18">
        <v>0</v>
      </c>
      <c r="P161" s="18">
        <v>0</v>
      </c>
      <c r="Q161" s="61">
        <v>0.81820000000000004</v>
      </c>
      <c r="R161" s="46"/>
    </row>
    <row r="162" spans="1:18">
      <c r="A162" s="33" t="s">
        <v>969</v>
      </c>
      <c r="B162" s="40" t="s">
        <v>7741</v>
      </c>
      <c r="C162" s="47">
        <v>39040</v>
      </c>
      <c r="D162" s="47" t="s">
        <v>8465</v>
      </c>
      <c r="E162" s="40" t="s">
        <v>86</v>
      </c>
      <c r="F162" s="40" t="s">
        <v>1517</v>
      </c>
      <c r="G162" s="42" t="s">
        <v>138</v>
      </c>
      <c r="H162" s="65" t="s">
        <v>150</v>
      </c>
      <c r="J162" s="43"/>
      <c r="K162" s="61">
        <v>0.8</v>
      </c>
      <c r="L162" s="40">
        <v>161</v>
      </c>
      <c r="M162" s="44"/>
      <c r="N162" s="45"/>
      <c r="O162" s="18">
        <v>0</v>
      </c>
      <c r="P162" s="18">
        <v>0</v>
      </c>
      <c r="Q162" s="61">
        <v>0.75180000000000002</v>
      </c>
      <c r="R162" s="46"/>
    </row>
    <row r="163" spans="1:18" ht="25.5">
      <c r="A163" s="33" t="s">
        <v>970</v>
      </c>
      <c r="B163" s="40" t="s">
        <v>7741</v>
      </c>
      <c r="C163" s="47">
        <v>39040</v>
      </c>
      <c r="D163" s="47" t="s">
        <v>8465</v>
      </c>
      <c r="E163" s="40" t="s">
        <v>1047</v>
      </c>
      <c r="F163" s="40" t="s">
        <v>1147</v>
      </c>
      <c r="G163" s="42" t="s">
        <v>1477</v>
      </c>
      <c r="H163" s="65" t="s">
        <v>1142</v>
      </c>
      <c r="J163" s="43"/>
      <c r="K163" s="61">
        <v>0.6</v>
      </c>
      <c r="L163" s="40">
        <v>162</v>
      </c>
      <c r="M163" s="44"/>
      <c r="N163" s="45"/>
      <c r="O163" s="18">
        <v>0</v>
      </c>
      <c r="P163" s="18">
        <v>0</v>
      </c>
      <c r="Q163" s="61">
        <v>0.77149999999999996</v>
      </c>
      <c r="R163" s="46"/>
    </row>
    <row r="164" spans="1:18">
      <c r="A164" s="33" t="s">
        <v>1918</v>
      </c>
      <c r="B164" s="40" t="s">
        <v>7747</v>
      </c>
      <c r="C164" s="47">
        <v>38495</v>
      </c>
      <c r="D164" s="47" t="s">
        <v>8465</v>
      </c>
      <c r="E164" s="40" t="s">
        <v>86</v>
      </c>
      <c r="F164" s="40" t="s">
        <v>1515</v>
      </c>
      <c r="G164" s="42" t="s">
        <v>1516</v>
      </c>
      <c r="H164" s="65" t="s">
        <v>1142</v>
      </c>
      <c r="J164" s="43"/>
      <c r="K164" s="61">
        <v>0.8</v>
      </c>
      <c r="L164" s="40">
        <v>163</v>
      </c>
      <c r="M164" s="44"/>
      <c r="N164" s="45"/>
      <c r="O164" s="18">
        <v>0</v>
      </c>
      <c r="P164" s="18">
        <v>1</v>
      </c>
      <c r="Q164" s="61">
        <v>0.87470000000000003</v>
      </c>
      <c r="R164" s="46"/>
    </row>
    <row r="165" spans="1:18" ht="25.5">
      <c r="A165" s="33" t="s">
        <v>1919</v>
      </c>
      <c r="B165" s="40" t="s">
        <v>7747</v>
      </c>
      <c r="C165" s="47">
        <v>37767</v>
      </c>
      <c r="D165" s="47" t="s">
        <v>8465</v>
      </c>
      <c r="E165" s="40" t="s">
        <v>86</v>
      </c>
      <c r="F165" s="40" t="s">
        <v>142</v>
      </c>
      <c r="G165" s="42" t="s">
        <v>1516</v>
      </c>
      <c r="H165" s="65" t="s">
        <v>1142</v>
      </c>
      <c r="J165" s="43"/>
      <c r="K165" s="61">
        <v>0.8</v>
      </c>
      <c r="L165" s="40">
        <v>164</v>
      </c>
      <c r="M165" s="44"/>
      <c r="N165" s="45"/>
      <c r="O165" s="18">
        <v>0</v>
      </c>
      <c r="P165" s="18">
        <v>1</v>
      </c>
      <c r="Q165" s="61">
        <v>0.88990000000000002</v>
      </c>
      <c r="R165" s="46"/>
    </row>
    <row r="166" spans="1:18">
      <c r="A166" s="33" t="s">
        <v>313</v>
      </c>
      <c r="B166" s="40" t="s">
        <v>6317</v>
      </c>
      <c r="C166" s="41">
        <v>36192</v>
      </c>
      <c r="D166" s="47" t="s">
        <v>8465</v>
      </c>
      <c r="E166" s="40" t="s">
        <v>73</v>
      </c>
      <c r="F166" s="40" t="s">
        <v>9969</v>
      </c>
      <c r="G166" s="42" t="s">
        <v>313</v>
      </c>
      <c r="H166" s="65" t="s">
        <v>21</v>
      </c>
      <c r="J166" s="43"/>
      <c r="K166" s="61">
        <v>0.8</v>
      </c>
      <c r="L166" s="40">
        <v>165</v>
      </c>
      <c r="M166" s="44"/>
      <c r="N166" s="45"/>
      <c r="O166" s="18">
        <v>0</v>
      </c>
      <c r="P166" s="18">
        <v>1</v>
      </c>
      <c r="Q166" s="61"/>
      <c r="R166" s="46"/>
    </row>
    <row r="167" spans="1:18">
      <c r="A167" s="33" t="s">
        <v>911</v>
      </c>
      <c r="B167" s="40" t="s">
        <v>7740</v>
      </c>
      <c r="C167" s="47">
        <v>37550</v>
      </c>
      <c r="D167" s="47" t="s">
        <v>8465</v>
      </c>
      <c r="E167" s="40" t="s">
        <v>86</v>
      </c>
      <c r="F167" s="40" t="s">
        <v>62</v>
      </c>
      <c r="G167" s="42" t="s">
        <v>860</v>
      </c>
      <c r="H167" s="65" t="s">
        <v>1469</v>
      </c>
      <c r="J167" s="43"/>
      <c r="K167" s="61">
        <v>0.7</v>
      </c>
      <c r="L167" s="40">
        <v>166</v>
      </c>
      <c r="M167" s="44"/>
      <c r="N167" s="45"/>
      <c r="O167" s="18">
        <v>0</v>
      </c>
      <c r="P167" s="18">
        <v>0</v>
      </c>
      <c r="Q167" s="61">
        <v>0.73299999999999998</v>
      </c>
      <c r="R167" s="46"/>
    </row>
    <row r="168" spans="1:18">
      <c r="A168" s="33" t="s">
        <v>912</v>
      </c>
      <c r="B168" s="40" t="s">
        <v>7740</v>
      </c>
      <c r="C168" s="47">
        <v>37935</v>
      </c>
      <c r="D168" s="47" t="s">
        <v>8465</v>
      </c>
      <c r="E168" s="40" t="s">
        <v>86</v>
      </c>
      <c r="F168" s="40" t="s">
        <v>62</v>
      </c>
      <c r="G168" s="42" t="s">
        <v>860</v>
      </c>
      <c r="H168" s="65" t="s">
        <v>1469</v>
      </c>
      <c r="J168" s="43"/>
      <c r="K168" s="61">
        <v>0.7</v>
      </c>
      <c r="L168" s="40">
        <v>167</v>
      </c>
      <c r="M168" s="44"/>
      <c r="N168" s="45"/>
      <c r="O168" s="18">
        <v>0</v>
      </c>
      <c r="P168" s="18">
        <v>0</v>
      </c>
      <c r="Q168" s="61">
        <v>0.70920000000000005</v>
      </c>
      <c r="R168" s="46"/>
    </row>
    <row r="169" spans="1:18">
      <c r="A169" s="33" t="s">
        <v>913</v>
      </c>
      <c r="B169" s="40" t="s">
        <v>7740</v>
      </c>
      <c r="C169" s="47">
        <v>38327</v>
      </c>
      <c r="D169" s="47" t="s">
        <v>8465</v>
      </c>
      <c r="E169" s="40" t="s">
        <v>86</v>
      </c>
      <c r="F169" s="40" t="s">
        <v>62</v>
      </c>
      <c r="G169" s="42" t="s">
        <v>860</v>
      </c>
      <c r="H169" s="65" t="s">
        <v>1469</v>
      </c>
      <c r="J169" s="43"/>
      <c r="K169" s="61">
        <v>0.7</v>
      </c>
      <c r="L169" s="40">
        <v>168</v>
      </c>
      <c r="M169" s="44"/>
      <c r="N169" s="45"/>
      <c r="O169" s="18">
        <v>0</v>
      </c>
      <c r="P169" s="18">
        <v>0</v>
      </c>
      <c r="Q169" s="61">
        <v>0.73229999999999995</v>
      </c>
      <c r="R169" s="46"/>
    </row>
    <row r="170" spans="1:18">
      <c r="A170" s="33" t="s">
        <v>914</v>
      </c>
      <c r="B170" s="40" t="s">
        <v>7740</v>
      </c>
      <c r="C170" s="47">
        <v>38663</v>
      </c>
      <c r="D170" s="47" t="s">
        <v>8465</v>
      </c>
      <c r="E170" s="40" t="s">
        <v>86</v>
      </c>
      <c r="F170" s="40" t="s">
        <v>62</v>
      </c>
      <c r="G170" s="42" t="s">
        <v>860</v>
      </c>
      <c r="H170" s="65" t="s">
        <v>1469</v>
      </c>
      <c r="J170" s="43"/>
      <c r="K170" s="61">
        <v>0.7</v>
      </c>
      <c r="L170" s="40">
        <v>169</v>
      </c>
      <c r="M170" s="44"/>
      <c r="N170" s="45"/>
      <c r="O170" s="18">
        <v>0</v>
      </c>
      <c r="P170" s="18">
        <v>0</v>
      </c>
      <c r="Q170" s="61">
        <v>0.65390000000000004</v>
      </c>
      <c r="R170" s="46"/>
    </row>
    <row r="171" spans="1:18" ht="25.5">
      <c r="A171" s="33" t="s">
        <v>2112</v>
      </c>
      <c r="B171" s="40" t="s">
        <v>7748</v>
      </c>
      <c r="C171" s="47">
        <v>38823</v>
      </c>
      <c r="D171" s="47" t="s">
        <v>8465</v>
      </c>
      <c r="E171" s="40" t="s">
        <v>86</v>
      </c>
      <c r="F171" s="40" t="s">
        <v>1515</v>
      </c>
      <c r="G171" s="42" t="s">
        <v>2134</v>
      </c>
      <c r="H171" s="65" t="s">
        <v>1334</v>
      </c>
      <c r="J171" s="43"/>
      <c r="K171" s="61">
        <v>0.7</v>
      </c>
      <c r="L171" s="40">
        <v>170</v>
      </c>
      <c r="M171" s="44"/>
      <c r="N171" s="45"/>
      <c r="O171" s="18">
        <v>0</v>
      </c>
      <c r="P171" s="18">
        <v>0</v>
      </c>
      <c r="Q171" s="61">
        <v>0.78049999999999997</v>
      </c>
      <c r="R171" s="46"/>
    </row>
    <row r="172" spans="1:18">
      <c r="A172" s="33" t="s">
        <v>589</v>
      </c>
      <c r="B172" s="40" t="s">
        <v>7736</v>
      </c>
      <c r="C172" s="47">
        <v>34659</v>
      </c>
      <c r="D172" s="47" t="s">
        <v>8465</v>
      </c>
      <c r="E172" s="40" t="s">
        <v>86</v>
      </c>
      <c r="F172" s="40" t="s">
        <v>163</v>
      </c>
      <c r="G172" s="42" t="s">
        <v>1254</v>
      </c>
      <c r="H172" s="65" t="s">
        <v>64</v>
      </c>
      <c r="J172" s="43"/>
      <c r="K172" s="61">
        <v>0.9</v>
      </c>
      <c r="L172" s="40">
        <v>171</v>
      </c>
      <c r="M172" s="44"/>
      <c r="N172" s="45"/>
      <c r="O172" s="18">
        <v>0</v>
      </c>
      <c r="P172" s="18">
        <v>1</v>
      </c>
      <c r="Q172" s="61">
        <v>0.88939999999999997</v>
      </c>
      <c r="R172" s="46"/>
    </row>
    <row r="173" spans="1:18" ht="25.5">
      <c r="A173" s="33" t="s">
        <v>2515</v>
      </c>
      <c r="B173" s="40" t="s">
        <v>7751</v>
      </c>
      <c r="C173" s="47">
        <v>34299</v>
      </c>
      <c r="D173" s="47" t="s">
        <v>8465</v>
      </c>
      <c r="E173" s="40" t="s">
        <v>455</v>
      </c>
      <c r="F173" s="40" t="s">
        <v>167</v>
      </c>
      <c r="G173" s="42" t="s">
        <v>1233</v>
      </c>
      <c r="H173" s="65" t="s">
        <v>78</v>
      </c>
      <c r="J173" s="43"/>
      <c r="K173" s="61">
        <v>0.7</v>
      </c>
      <c r="L173" s="40">
        <v>172</v>
      </c>
      <c r="M173" s="44"/>
      <c r="N173" s="45"/>
      <c r="O173" s="18">
        <v>0</v>
      </c>
      <c r="P173" s="18">
        <v>1</v>
      </c>
      <c r="Q173" s="61">
        <v>0.746</v>
      </c>
      <c r="R173" s="46"/>
    </row>
    <row r="174" spans="1:18">
      <c r="A174" s="33" t="s">
        <v>915</v>
      </c>
      <c r="B174" s="40" t="s">
        <v>7740</v>
      </c>
      <c r="C174" s="47">
        <v>38769</v>
      </c>
      <c r="D174" s="47" t="s">
        <v>8465</v>
      </c>
      <c r="E174" s="40" t="s">
        <v>455</v>
      </c>
      <c r="F174" s="40" t="s">
        <v>1492</v>
      </c>
      <c r="G174" s="42" t="s">
        <v>1233</v>
      </c>
      <c r="H174" s="65" t="s">
        <v>150</v>
      </c>
      <c r="J174" s="43"/>
      <c r="K174" s="61">
        <v>0.7</v>
      </c>
      <c r="L174" s="40">
        <v>173</v>
      </c>
      <c r="M174" s="44"/>
      <c r="N174" s="45"/>
      <c r="O174" s="18">
        <v>0</v>
      </c>
      <c r="P174" s="18">
        <v>0</v>
      </c>
      <c r="Q174" s="61">
        <v>0.63460000000000005</v>
      </c>
      <c r="R174" s="46"/>
    </row>
    <row r="175" spans="1:18">
      <c r="A175" s="33" t="s">
        <v>590</v>
      </c>
      <c r="B175" s="40" t="s">
        <v>7736</v>
      </c>
      <c r="C175" s="41">
        <v>35278</v>
      </c>
      <c r="D175" s="47" t="s">
        <v>8465</v>
      </c>
      <c r="E175" s="40" t="s">
        <v>86</v>
      </c>
      <c r="F175" s="40" t="s">
        <v>142</v>
      </c>
      <c r="G175" s="42" t="s">
        <v>98</v>
      </c>
      <c r="H175" s="65" t="s">
        <v>78</v>
      </c>
      <c r="J175" s="43"/>
      <c r="K175" s="61">
        <v>0.9</v>
      </c>
      <c r="L175" s="40">
        <v>174</v>
      </c>
      <c r="M175" s="44"/>
      <c r="N175" s="45"/>
      <c r="O175" s="18">
        <v>0</v>
      </c>
      <c r="P175" s="18">
        <v>1</v>
      </c>
      <c r="Q175" s="61">
        <v>0.89870000000000005</v>
      </c>
      <c r="R175" s="46"/>
    </row>
    <row r="176" spans="1:18">
      <c r="A176" s="33" t="s">
        <v>1920</v>
      </c>
      <c r="B176" s="40" t="s">
        <v>7747</v>
      </c>
      <c r="C176" s="47">
        <v>38435</v>
      </c>
      <c r="D176" s="47" t="s">
        <v>8465</v>
      </c>
      <c r="E176" s="40" t="s">
        <v>455</v>
      </c>
      <c r="F176" s="40" t="s">
        <v>1492</v>
      </c>
      <c r="G176" s="42" t="s">
        <v>1894</v>
      </c>
      <c r="H176" s="65" t="s">
        <v>78</v>
      </c>
      <c r="J176" s="43"/>
      <c r="K176" s="61">
        <v>0.7</v>
      </c>
      <c r="L176" s="40">
        <v>175</v>
      </c>
      <c r="M176" s="44"/>
      <c r="N176" s="45"/>
      <c r="O176" s="18">
        <v>0</v>
      </c>
      <c r="P176" s="18">
        <v>1</v>
      </c>
      <c r="Q176" s="61"/>
      <c r="R176" s="46"/>
    </row>
    <row r="177" spans="1:18">
      <c r="A177" s="33" t="s">
        <v>591</v>
      </c>
      <c r="B177" s="40" t="s">
        <v>7736</v>
      </c>
      <c r="C177" s="47">
        <v>35418</v>
      </c>
      <c r="D177" s="47" t="s">
        <v>8467</v>
      </c>
      <c r="E177" s="40" t="s">
        <v>86</v>
      </c>
      <c r="F177" s="40" t="s">
        <v>1252</v>
      </c>
      <c r="G177" s="42" t="s">
        <v>1255</v>
      </c>
      <c r="H177" s="65" t="s">
        <v>171</v>
      </c>
      <c r="J177" s="43"/>
      <c r="K177" s="61">
        <v>0.7</v>
      </c>
      <c r="L177" s="40">
        <v>176</v>
      </c>
      <c r="M177" s="44"/>
      <c r="N177" s="45"/>
      <c r="O177" s="18">
        <v>0</v>
      </c>
      <c r="P177" s="18">
        <v>1</v>
      </c>
      <c r="Q177" s="61">
        <v>0.74139999999999995</v>
      </c>
      <c r="R177" s="46"/>
    </row>
    <row r="178" spans="1:18">
      <c r="A178" s="33" t="s">
        <v>100</v>
      </c>
      <c r="B178" s="40" t="s">
        <v>7734</v>
      </c>
      <c r="C178" s="47">
        <v>30511</v>
      </c>
      <c r="D178" s="47" t="s">
        <v>8465</v>
      </c>
      <c r="E178" s="40" t="s">
        <v>86</v>
      </c>
      <c r="F178" s="40" t="s">
        <v>86</v>
      </c>
      <c r="G178" s="42" t="s">
        <v>137</v>
      </c>
      <c r="H178" s="65" t="s">
        <v>56</v>
      </c>
      <c r="J178" s="43"/>
      <c r="K178" s="61">
        <v>0.7</v>
      </c>
      <c r="L178" s="40">
        <v>177</v>
      </c>
      <c r="M178" s="44"/>
      <c r="N178" s="45"/>
      <c r="O178" s="18">
        <v>0</v>
      </c>
      <c r="P178" s="18">
        <v>1</v>
      </c>
      <c r="Q178" s="61"/>
      <c r="R178" s="46"/>
    </row>
    <row r="179" spans="1:18">
      <c r="A179" s="33" t="s">
        <v>2704</v>
      </c>
      <c r="B179" s="40" t="s">
        <v>7752</v>
      </c>
      <c r="C179" s="47">
        <v>34292</v>
      </c>
      <c r="D179" s="47" t="s">
        <v>8465</v>
      </c>
      <c r="E179" s="40" t="s">
        <v>455</v>
      </c>
      <c r="F179" s="40" t="s">
        <v>1492</v>
      </c>
      <c r="G179" s="42" t="s">
        <v>1233</v>
      </c>
      <c r="H179" s="65" t="s">
        <v>64</v>
      </c>
      <c r="J179" s="43"/>
      <c r="K179" s="61">
        <v>0.8</v>
      </c>
      <c r="L179" s="40">
        <v>178</v>
      </c>
      <c r="M179" s="44"/>
      <c r="N179" s="45"/>
      <c r="O179" s="18">
        <v>0</v>
      </c>
      <c r="P179" s="18">
        <v>1</v>
      </c>
      <c r="Q179" s="61">
        <v>1</v>
      </c>
      <c r="R179" s="46"/>
    </row>
    <row r="180" spans="1:18">
      <c r="A180" s="33" t="s">
        <v>101</v>
      </c>
      <c r="B180" s="40" t="s">
        <v>7734</v>
      </c>
      <c r="C180" s="47">
        <v>31338</v>
      </c>
      <c r="D180" s="47" t="s">
        <v>8465</v>
      </c>
      <c r="E180" s="40" t="s">
        <v>86</v>
      </c>
      <c r="F180" s="40" t="s">
        <v>142</v>
      </c>
      <c r="G180" s="42" t="s">
        <v>138</v>
      </c>
      <c r="H180" s="65" t="s">
        <v>150</v>
      </c>
      <c r="J180" s="43"/>
      <c r="K180" s="61">
        <v>0.7</v>
      </c>
      <c r="L180" s="40">
        <v>179</v>
      </c>
      <c r="M180" s="44"/>
      <c r="N180" s="45"/>
      <c r="O180" s="18">
        <v>0</v>
      </c>
      <c r="P180" s="18">
        <v>1</v>
      </c>
      <c r="Q180" s="61"/>
      <c r="R180" s="46"/>
    </row>
    <row r="181" spans="1:18">
      <c r="A181" s="33" t="s">
        <v>2113</v>
      </c>
      <c r="B181" s="40" t="s">
        <v>7748</v>
      </c>
      <c r="C181" s="47">
        <v>38425</v>
      </c>
      <c r="D181" s="47" t="s">
        <v>8465</v>
      </c>
      <c r="E181" s="40" t="s">
        <v>86</v>
      </c>
      <c r="F181" s="40" t="s">
        <v>87</v>
      </c>
      <c r="G181" s="42" t="s">
        <v>1173</v>
      </c>
      <c r="H181" s="65" t="s">
        <v>64</v>
      </c>
      <c r="J181" s="43"/>
      <c r="K181" s="61">
        <v>0.5</v>
      </c>
      <c r="L181" s="40">
        <v>180</v>
      </c>
      <c r="M181" s="44"/>
      <c r="N181" s="45"/>
      <c r="O181" s="18">
        <v>0</v>
      </c>
      <c r="P181" s="18">
        <v>0</v>
      </c>
      <c r="Q181" s="61">
        <v>0.75009999999999999</v>
      </c>
      <c r="R181" s="46"/>
    </row>
    <row r="182" spans="1:18">
      <c r="A182" s="33" t="s">
        <v>2114</v>
      </c>
      <c r="B182" s="40" t="s">
        <v>7748</v>
      </c>
      <c r="C182" s="47">
        <v>39034</v>
      </c>
      <c r="D182" s="47" t="s">
        <v>8465</v>
      </c>
      <c r="E182" s="40" t="s">
        <v>86</v>
      </c>
      <c r="F182" s="40" t="s">
        <v>2135</v>
      </c>
      <c r="G182" s="42" t="s">
        <v>1173</v>
      </c>
      <c r="H182" s="65" t="s">
        <v>64</v>
      </c>
      <c r="J182" s="43"/>
      <c r="K182" s="61">
        <v>0.8</v>
      </c>
      <c r="L182" s="40">
        <v>181</v>
      </c>
      <c r="M182" s="44"/>
      <c r="N182" s="45"/>
      <c r="O182" s="18">
        <v>0</v>
      </c>
      <c r="P182" s="18">
        <v>0</v>
      </c>
      <c r="Q182" s="61">
        <v>0.8115</v>
      </c>
      <c r="R182" s="46"/>
    </row>
    <row r="183" spans="1:18">
      <c r="A183" s="33" t="s">
        <v>5642</v>
      </c>
      <c r="B183" s="40" t="s">
        <v>7800</v>
      </c>
      <c r="C183" s="47">
        <v>39938</v>
      </c>
      <c r="D183" s="47" t="s">
        <v>8465</v>
      </c>
      <c r="E183" s="40" t="s">
        <v>3288</v>
      </c>
      <c r="F183" s="40" t="s">
        <v>3288</v>
      </c>
      <c r="G183" s="42" t="s">
        <v>5642</v>
      </c>
      <c r="H183" s="65" t="s">
        <v>61</v>
      </c>
      <c r="J183" s="43"/>
      <c r="K183" s="61">
        <v>0.8</v>
      </c>
      <c r="L183" s="40">
        <v>182</v>
      </c>
      <c r="M183" s="44"/>
      <c r="N183" s="45"/>
      <c r="O183" s="18">
        <v>0</v>
      </c>
      <c r="P183" s="18">
        <v>0</v>
      </c>
      <c r="Q183" s="61">
        <v>0.88319999999999999</v>
      </c>
      <c r="R183" s="46"/>
    </row>
    <row r="184" spans="1:18" ht="38.25">
      <c r="A184" s="33" t="s">
        <v>1934</v>
      </c>
      <c r="B184" s="40" t="s">
        <v>7747</v>
      </c>
      <c r="C184" s="47">
        <v>37592</v>
      </c>
      <c r="D184" s="47" t="s">
        <v>8465</v>
      </c>
      <c r="E184" s="40" t="s">
        <v>86</v>
      </c>
      <c r="F184" s="40" t="s">
        <v>87</v>
      </c>
      <c r="G184" s="42" t="s">
        <v>85</v>
      </c>
      <c r="H184" s="65" t="s">
        <v>80</v>
      </c>
      <c r="J184" s="43"/>
      <c r="K184" s="61">
        <v>0.9</v>
      </c>
      <c r="L184" s="40">
        <v>183</v>
      </c>
      <c r="M184" s="44"/>
      <c r="N184" s="45"/>
      <c r="O184" s="18">
        <v>0</v>
      </c>
      <c r="P184" s="18">
        <v>0</v>
      </c>
      <c r="Q184" s="61">
        <v>0.91739999999999999</v>
      </c>
      <c r="R184" s="46"/>
    </row>
    <row r="185" spans="1:18">
      <c r="A185" s="33" t="s">
        <v>897</v>
      </c>
      <c r="B185" s="40" t="s">
        <v>7739</v>
      </c>
      <c r="C185" s="47">
        <v>35667</v>
      </c>
      <c r="D185" s="47" t="s">
        <v>8465</v>
      </c>
      <c r="E185" s="40" t="s">
        <v>86</v>
      </c>
      <c r="F185" s="40" t="s">
        <v>163</v>
      </c>
      <c r="G185" s="42" t="s">
        <v>1482</v>
      </c>
      <c r="H185" s="65" t="s">
        <v>1050</v>
      </c>
      <c r="J185" s="43"/>
      <c r="K185" s="61">
        <v>0.9</v>
      </c>
      <c r="L185" s="40">
        <v>184</v>
      </c>
      <c r="M185" s="44"/>
      <c r="N185" s="45"/>
      <c r="O185" s="18">
        <v>0</v>
      </c>
      <c r="P185" s="18">
        <v>1</v>
      </c>
      <c r="Q185" s="61">
        <v>0.94589999999999996</v>
      </c>
      <c r="R185" s="46"/>
    </row>
    <row r="186" spans="1:18">
      <c r="A186" s="33" t="s">
        <v>916</v>
      </c>
      <c r="B186" s="40" t="s">
        <v>7740</v>
      </c>
      <c r="C186" s="47">
        <v>37537</v>
      </c>
      <c r="D186" s="47" t="s">
        <v>8465</v>
      </c>
      <c r="E186" s="40" t="s">
        <v>231</v>
      </c>
      <c r="F186" s="40" t="s">
        <v>231</v>
      </c>
      <c r="G186" s="42" t="s">
        <v>1510</v>
      </c>
      <c r="H186" s="65" t="s">
        <v>255</v>
      </c>
      <c r="J186" s="43"/>
      <c r="K186" s="61">
        <v>0.7</v>
      </c>
      <c r="L186" s="40">
        <v>185</v>
      </c>
      <c r="M186" s="44"/>
      <c r="N186" s="45"/>
      <c r="O186" s="18">
        <v>0</v>
      </c>
      <c r="P186" s="18">
        <v>0</v>
      </c>
      <c r="Q186" s="61">
        <v>0.82709999999999995</v>
      </c>
      <c r="R186" s="46"/>
    </row>
    <row r="187" spans="1:18">
      <c r="A187" s="33" t="s">
        <v>917</v>
      </c>
      <c r="B187" s="40" t="s">
        <v>7740</v>
      </c>
      <c r="C187" s="47">
        <v>37991</v>
      </c>
      <c r="D187" s="47" t="s">
        <v>8465</v>
      </c>
      <c r="E187" s="40" t="s">
        <v>455</v>
      </c>
      <c r="F187" s="40" t="s">
        <v>1492</v>
      </c>
      <c r="G187" s="42" t="s">
        <v>1233</v>
      </c>
      <c r="H187" s="65" t="s">
        <v>1040</v>
      </c>
      <c r="J187" s="43"/>
      <c r="K187" s="61">
        <v>0.6</v>
      </c>
      <c r="L187" s="40">
        <v>186</v>
      </c>
      <c r="M187" s="44"/>
      <c r="N187" s="45"/>
      <c r="O187" s="18">
        <v>0</v>
      </c>
      <c r="P187" s="18">
        <v>0</v>
      </c>
      <c r="Q187" s="61">
        <v>0.74680000000000002</v>
      </c>
      <c r="R187" s="46"/>
    </row>
    <row r="188" spans="1:18">
      <c r="A188" s="33" t="s">
        <v>102</v>
      </c>
      <c r="B188" s="40" t="s">
        <v>7734</v>
      </c>
      <c r="C188" s="41">
        <v>32660</v>
      </c>
      <c r="D188" s="47" t="s">
        <v>8465</v>
      </c>
      <c r="E188" s="40" t="s">
        <v>73</v>
      </c>
      <c r="F188" s="40" t="s">
        <v>73</v>
      </c>
      <c r="G188" s="42" t="s">
        <v>89</v>
      </c>
      <c r="H188" s="65" t="s">
        <v>56</v>
      </c>
      <c r="J188" s="43"/>
      <c r="K188" s="61">
        <v>0.9</v>
      </c>
      <c r="L188" s="40">
        <v>187</v>
      </c>
      <c r="M188" s="44"/>
      <c r="N188" s="45"/>
      <c r="O188" s="18">
        <v>0</v>
      </c>
      <c r="P188" s="18">
        <v>1</v>
      </c>
      <c r="Q188" s="61"/>
      <c r="R188" s="46"/>
    </row>
    <row r="189" spans="1:18">
      <c r="A189" s="33" t="s">
        <v>6347</v>
      </c>
      <c r="B189" s="40" t="s">
        <v>7765</v>
      </c>
      <c r="C189" s="47">
        <v>39749</v>
      </c>
      <c r="D189" s="47" t="s">
        <v>8465</v>
      </c>
      <c r="E189" s="40" t="s">
        <v>1690</v>
      </c>
      <c r="F189" s="40" t="s">
        <v>1690</v>
      </c>
      <c r="G189" s="42" t="s">
        <v>3864</v>
      </c>
      <c r="H189" s="65" t="s">
        <v>171</v>
      </c>
      <c r="J189" s="43"/>
      <c r="K189" s="61">
        <v>0.8</v>
      </c>
      <c r="L189" s="40">
        <v>188</v>
      </c>
      <c r="M189" s="44"/>
      <c r="N189" s="45"/>
      <c r="O189" s="18">
        <v>0</v>
      </c>
      <c r="P189" s="18">
        <v>0</v>
      </c>
      <c r="Q189" s="61">
        <v>0.92849999999999999</v>
      </c>
      <c r="R189" s="46"/>
    </row>
    <row r="190" spans="1:18" ht="25.5">
      <c r="A190" s="33" t="s">
        <v>3926</v>
      </c>
      <c r="B190" s="40" t="s">
        <v>7800</v>
      </c>
      <c r="C190" s="47">
        <v>40324</v>
      </c>
      <c r="D190" s="47" t="s">
        <v>8465</v>
      </c>
      <c r="E190" s="40" t="s">
        <v>9970</v>
      </c>
      <c r="F190" s="40" t="s">
        <v>9970</v>
      </c>
      <c r="G190" s="42"/>
      <c r="H190" s="65" t="s">
        <v>78</v>
      </c>
      <c r="J190" s="43"/>
      <c r="K190" s="61">
        <v>0.8</v>
      </c>
      <c r="L190" s="40">
        <v>189</v>
      </c>
      <c r="M190" s="44"/>
      <c r="N190" s="45"/>
      <c r="O190" s="18">
        <v>0</v>
      </c>
      <c r="P190" s="18">
        <v>0</v>
      </c>
      <c r="Q190" s="61">
        <v>0.79669999999999996</v>
      </c>
      <c r="R190" s="46"/>
    </row>
    <row r="191" spans="1:18">
      <c r="A191" s="33" t="s">
        <v>1921</v>
      </c>
      <c r="B191" s="40" t="s">
        <v>7747</v>
      </c>
      <c r="C191" s="47">
        <v>38754</v>
      </c>
      <c r="D191" s="47" t="s">
        <v>8465</v>
      </c>
      <c r="E191" s="40" t="s">
        <v>86</v>
      </c>
      <c r="F191" s="40" t="s">
        <v>1354</v>
      </c>
      <c r="G191" s="42"/>
      <c r="H191" s="65" t="s">
        <v>56</v>
      </c>
      <c r="J191" s="43"/>
      <c r="K191" s="61">
        <v>0.7</v>
      </c>
      <c r="L191" s="40">
        <v>190</v>
      </c>
      <c r="M191" s="44"/>
      <c r="N191" s="45"/>
      <c r="O191" s="18">
        <v>0</v>
      </c>
      <c r="P191" s="18">
        <v>1</v>
      </c>
      <c r="Q191" s="61">
        <v>0.81540000000000001</v>
      </c>
      <c r="R191" s="46"/>
    </row>
    <row r="192" spans="1:18">
      <c r="A192" s="33" t="s">
        <v>592</v>
      </c>
      <c r="B192" s="40" t="s">
        <v>7736</v>
      </c>
      <c r="C192" s="41">
        <v>33878</v>
      </c>
      <c r="D192" s="47" t="s">
        <v>8465</v>
      </c>
      <c r="E192" s="40" t="s">
        <v>152</v>
      </c>
      <c r="F192" s="40" t="s">
        <v>155</v>
      </c>
      <c r="G192" s="42" t="s">
        <v>111</v>
      </c>
      <c r="H192" s="65" t="s">
        <v>153</v>
      </c>
      <c r="J192" s="43"/>
      <c r="K192" s="61">
        <v>0.7</v>
      </c>
      <c r="L192" s="40">
        <v>191</v>
      </c>
      <c r="M192" s="44"/>
      <c r="N192" s="45"/>
      <c r="O192" s="18">
        <v>0</v>
      </c>
      <c r="P192" s="18">
        <v>1</v>
      </c>
      <c r="Q192" s="61">
        <v>0.65329999999999999</v>
      </c>
      <c r="R192" s="46"/>
    </row>
    <row r="193" spans="1:18">
      <c r="A193" s="33" t="s">
        <v>3428</v>
      </c>
      <c r="B193" s="40" t="s">
        <v>7800</v>
      </c>
      <c r="C193" s="47">
        <v>38341</v>
      </c>
      <c r="D193" s="47" t="s">
        <v>8465</v>
      </c>
      <c r="E193" s="40" t="s">
        <v>4696</v>
      </c>
      <c r="F193" s="40" t="s">
        <v>4696</v>
      </c>
      <c r="G193" s="42" t="s">
        <v>3428</v>
      </c>
      <c r="H193" s="65" t="s">
        <v>151</v>
      </c>
      <c r="J193" s="43"/>
      <c r="K193" s="61">
        <v>0.9</v>
      </c>
      <c r="L193" s="40">
        <v>192</v>
      </c>
      <c r="M193" s="44"/>
      <c r="N193" s="45"/>
      <c r="O193" s="18">
        <v>0</v>
      </c>
      <c r="P193" s="18">
        <v>0</v>
      </c>
      <c r="Q193" s="61">
        <v>1</v>
      </c>
      <c r="R193" s="46"/>
    </row>
    <row r="194" spans="1:18">
      <c r="A194" s="33" t="s">
        <v>5643</v>
      </c>
      <c r="B194" s="40" t="s">
        <v>7800</v>
      </c>
      <c r="C194" s="47">
        <v>39387</v>
      </c>
      <c r="D194" s="47" t="s">
        <v>8465</v>
      </c>
      <c r="E194" s="40" t="s">
        <v>5680</v>
      </c>
      <c r="F194" s="40" t="s">
        <v>5680</v>
      </c>
      <c r="G194" s="42"/>
      <c r="H194" s="65" t="s">
        <v>2820</v>
      </c>
      <c r="J194" s="43"/>
      <c r="K194" s="61">
        <v>0.8</v>
      </c>
      <c r="L194" s="40">
        <v>193</v>
      </c>
      <c r="M194" s="44"/>
      <c r="N194" s="45"/>
      <c r="O194" s="18">
        <v>0</v>
      </c>
      <c r="P194" s="18">
        <v>0</v>
      </c>
      <c r="Q194" s="61"/>
      <c r="R194" s="46"/>
    </row>
    <row r="195" spans="1:18" ht="25.5">
      <c r="A195" s="33" t="s">
        <v>1922</v>
      </c>
      <c r="B195" s="40" t="s">
        <v>7747</v>
      </c>
      <c r="C195" s="47">
        <v>37938</v>
      </c>
      <c r="D195" s="47" t="s">
        <v>8465</v>
      </c>
      <c r="E195" s="40" t="s">
        <v>228</v>
      </c>
      <c r="F195" s="40" t="s">
        <v>242</v>
      </c>
      <c r="G195" s="42" t="s">
        <v>111</v>
      </c>
      <c r="H195" s="65" t="s">
        <v>153</v>
      </c>
      <c r="J195" s="43"/>
      <c r="K195" s="61">
        <v>0.8</v>
      </c>
      <c r="L195" s="40">
        <v>194</v>
      </c>
      <c r="M195" s="44"/>
      <c r="N195" s="45"/>
      <c r="O195" s="18">
        <v>0</v>
      </c>
      <c r="P195" s="18">
        <v>1</v>
      </c>
      <c r="Q195" s="61">
        <v>0.75</v>
      </c>
      <c r="R195" s="46"/>
    </row>
    <row r="196" spans="1:18">
      <c r="A196" s="33" t="s">
        <v>103</v>
      </c>
      <c r="B196" s="40" t="s">
        <v>7734</v>
      </c>
      <c r="C196" s="41">
        <v>33178</v>
      </c>
      <c r="D196" s="47" t="s">
        <v>8465</v>
      </c>
      <c r="E196" s="40" t="s">
        <v>73</v>
      </c>
      <c r="F196" s="40" t="s">
        <v>73</v>
      </c>
      <c r="G196" s="42" t="s">
        <v>89</v>
      </c>
      <c r="H196" s="65" t="s">
        <v>56</v>
      </c>
      <c r="J196" s="43"/>
      <c r="K196" s="61">
        <v>0.6</v>
      </c>
      <c r="L196" s="40">
        <v>195</v>
      </c>
      <c r="M196" s="44"/>
      <c r="N196" s="45"/>
      <c r="O196" s="18">
        <v>0</v>
      </c>
      <c r="P196" s="18">
        <v>1</v>
      </c>
      <c r="Q196" s="61"/>
      <c r="R196" s="46"/>
    </row>
    <row r="197" spans="1:18">
      <c r="A197" s="33" t="s">
        <v>111</v>
      </c>
      <c r="B197" s="40" t="s">
        <v>6317</v>
      </c>
      <c r="C197" s="49">
        <v>31778</v>
      </c>
      <c r="D197" s="47" t="s">
        <v>8465</v>
      </c>
      <c r="E197" s="40" t="s">
        <v>54</v>
      </c>
      <c r="F197" s="40" t="s">
        <v>155</v>
      </c>
      <c r="G197" s="42" t="s">
        <v>111</v>
      </c>
      <c r="H197" s="65" t="s">
        <v>153</v>
      </c>
      <c r="J197" s="43"/>
      <c r="K197" s="61">
        <v>0.7</v>
      </c>
      <c r="L197" s="40">
        <v>196</v>
      </c>
      <c r="M197" s="44"/>
      <c r="N197" s="45"/>
      <c r="O197" s="18">
        <v>0</v>
      </c>
      <c r="P197" s="18">
        <v>1</v>
      </c>
      <c r="Q197" s="61"/>
      <c r="R197" s="46"/>
    </row>
    <row r="198" spans="1:18">
      <c r="A198" s="33" t="s">
        <v>104</v>
      </c>
      <c r="B198" s="40" t="s">
        <v>7734</v>
      </c>
      <c r="C198" s="41">
        <v>33604</v>
      </c>
      <c r="D198" s="47" t="s">
        <v>8465</v>
      </c>
      <c r="E198" s="40" t="s">
        <v>73</v>
      </c>
      <c r="F198" s="40" t="s">
        <v>73</v>
      </c>
      <c r="G198" s="42" t="s">
        <v>89</v>
      </c>
      <c r="H198" s="65" t="s">
        <v>56</v>
      </c>
      <c r="J198" s="43"/>
      <c r="K198" s="61">
        <v>0.8</v>
      </c>
      <c r="L198" s="40">
        <v>197</v>
      </c>
      <c r="M198" s="44"/>
      <c r="N198" s="45"/>
      <c r="O198" s="18">
        <v>0</v>
      </c>
      <c r="P198" s="18">
        <v>1</v>
      </c>
      <c r="Q198" s="61"/>
      <c r="R198" s="46"/>
    </row>
    <row r="199" spans="1:18" ht="25.5">
      <c r="A199" s="33" t="s">
        <v>893</v>
      </c>
      <c r="B199" s="40" t="s">
        <v>7742</v>
      </c>
      <c r="C199" s="47">
        <v>39139</v>
      </c>
      <c r="D199" s="47" t="s">
        <v>8465</v>
      </c>
      <c r="E199" s="40" t="s">
        <v>86</v>
      </c>
      <c r="F199" s="40" t="s">
        <v>87</v>
      </c>
      <c r="G199" s="42" t="s">
        <v>85</v>
      </c>
      <c r="H199" s="65" t="s">
        <v>80</v>
      </c>
      <c r="J199" s="43"/>
      <c r="K199" s="61">
        <v>0.8</v>
      </c>
      <c r="L199" s="40">
        <v>198</v>
      </c>
      <c r="M199" s="44"/>
      <c r="N199" s="45"/>
      <c r="O199" s="18">
        <v>0</v>
      </c>
      <c r="P199" s="18">
        <v>0</v>
      </c>
      <c r="Q199" s="61"/>
      <c r="R199" s="46"/>
    </row>
    <row r="200" spans="1:18">
      <c r="A200" s="33" t="s">
        <v>105</v>
      </c>
      <c r="B200" s="40" t="s">
        <v>7734</v>
      </c>
      <c r="C200" s="41">
        <v>33939</v>
      </c>
      <c r="D200" s="47" t="s">
        <v>8465</v>
      </c>
      <c r="E200" s="40" t="s">
        <v>73</v>
      </c>
      <c r="F200" s="40" t="s">
        <v>73</v>
      </c>
      <c r="G200" s="42" t="s">
        <v>89</v>
      </c>
      <c r="H200" s="65" t="s">
        <v>56</v>
      </c>
      <c r="J200" s="43"/>
      <c r="K200" s="61">
        <v>0.7</v>
      </c>
      <c r="L200" s="40">
        <v>199</v>
      </c>
      <c r="M200" s="44"/>
      <c r="N200" s="45"/>
      <c r="O200" s="18">
        <v>0</v>
      </c>
      <c r="P200" s="18">
        <v>1</v>
      </c>
      <c r="Q200" s="61"/>
      <c r="R200" s="46"/>
    </row>
    <row r="201" spans="1:18">
      <c r="A201" s="33" t="s">
        <v>18</v>
      </c>
      <c r="B201" s="40" t="s">
        <v>7734</v>
      </c>
      <c r="C201" s="41">
        <v>32843</v>
      </c>
      <c r="D201" s="47" t="s">
        <v>8465</v>
      </c>
      <c r="E201" s="40" t="s">
        <v>59</v>
      </c>
      <c r="F201" s="40" t="s">
        <v>146</v>
      </c>
      <c r="G201" s="42" t="s">
        <v>18</v>
      </c>
      <c r="H201" s="65" t="s">
        <v>67</v>
      </c>
      <c r="J201" s="43"/>
      <c r="K201" s="61">
        <v>0.7</v>
      </c>
      <c r="L201" s="40">
        <v>200</v>
      </c>
      <c r="M201" s="44"/>
      <c r="N201" s="45"/>
      <c r="O201" s="18">
        <v>0</v>
      </c>
      <c r="P201" s="18">
        <v>1</v>
      </c>
      <c r="Q201" s="61"/>
      <c r="R201" s="46"/>
    </row>
    <row r="202" spans="1:18">
      <c r="A202" s="33" t="s">
        <v>106</v>
      </c>
      <c r="B202" s="40" t="s">
        <v>7734</v>
      </c>
      <c r="C202" s="41">
        <v>34394</v>
      </c>
      <c r="D202" s="47" t="s">
        <v>8465</v>
      </c>
      <c r="E202" s="40" t="s">
        <v>86</v>
      </c>
      <c r="F202" s="40" t="s">
        <v>73</v>
      </c>
      <c r="G202" s="42" t="s">
        <v>89</v>
      </c>
      <c r="H202" s="65" t="s">
        <v>56</v>
      </c>
      <c r="J202" s="43"/>
      <c r="K202" s="61">
        <v>0.7</v>
      </c>
      <c r="L202" s="40">
        <v>201</v>
      </c>
      <c r="M202" s="44"/>
      <c r="N202" s="45"/>
      <c r="O202" s="18">
        <v>0</v>
      </c>
      <c r="P202" s="18">
        <v>1</v>
      </c>
      <c r="Q202" s="61"/>
      <c r="R202" s="46"/>
    </row>
    <row r="203" spans="1:18" ht="25.5">
      <c r="A203" s="33" t="s">
        <v>107</v>
      </c>
      <c r="B203" s="40" t="s">
        <v>7734</v>
      </c>
      <c r="C203" s="41">
        <v>32994</v>
      </c>
      <c r="D203" s="47" t="s">
        <v>8465</v>
      </c>
      <c r="E203" s="40" t="s">
        <v>76</v>
      </c>
      <c r="F203" s="40" t="s">
        <v>76</v>
      </c>
      <c r="G203" s="42" t="s">
        <v>139</v>
      </c>
      <c r="H203" s="65" t="s">
        <v>56</v>
      </c>
      <c r="J203" s="43"/>
      <c r="K203" s="61">
        <v>0.8</v>
      </c>
      <c r="L203" s="40">
        <v>202</v>
      </c>
      <c r="M203" s="44"/>
      <c r="N203" s="45"/>
      <c r="O203" s="18">
        <v>0</v>
      </c>
      <c r="P203" s="18">
        <v>1</v>
      </c>
      <c r="Q203" s="61"/>
      <c r="R203" s="46"/>
    </row>
    <row r="204" spans="1:18">
      <c r="A204" s="33" t="s">
        <v>593</v>
      </c>
      <c r="B204" s="40" t="s">
        <v>7736</v>
      </c>
      <c r="C204" s="47">
        <v>35328</v>
      </c>
      <c r="D204" s="47" t="s">
        <v>8465</v>
      </c>
      <c r="E204" s="40" t="s">
        <v>86</v>
      </c>
      <c r="F204" s="40" t="s">
        <v>30</v>
      </c>
      <c r="G204" s="42" t="s">
        <v>223</v>
      </c>
      <c r="H204" s="65" t="s">
        <v>64</v>
      </c>
      <c r="J204" s="43"/>
      <c r="K204" s="61">
        <v>0.7</v>
      </c>
      <c r="L204" s="40">
        <v>203</v>
      </c>
      <c r="M204" s="44"/>
      <c r="N204" s="45"/>
      <c r="O204" s="18">
        <v>0</v>
      </c>
      <c r="P204" s="18">
        <v>1</v>
      </c>
      <c r="Q204" s="61">
        <v>0.85740000000000005</v>
      </c>
      <c r="R204" s="46"/>
    </row>
    <row r="205" spans="1:18" ht="25.5">
      <c r="A205" s="33" t="s">
        <v>594</v>
      </c>
      <c r="B205" s="40" t="s">
        <v>7736</v>
      </c>
      <c r="C205" s="47">
        <v>35023</v>
      </c>
      <c r="D205" s="47" t="s">
        <v>8465</v>
      </c>
      <c r="E205" s="40" t="s">
        <v>86</v>
      </c>
      <c r="F205" s="40" t="s">
        <v>163</v>
      </c>
      <c r="G205" s="42" t="s">
        <v>1254</v>
      </c>
      <c r="H205" s="65" t="s">
        <v>64</v>
      </c>
      <c r="J205" s="43"/>
      <c r="K205" s="61">
        <v>0.8</v>
      </c>
      <c r="L205" s="40">
        <v>204</v>
      </c>
      <c r="M205" s="44"/>
      <c r="N205" s="45"/>
      <c r="O205" s="18">
        <v>0</v>
      </c>
      <c r="P205" s="18">
        <v>1</v>
      </c>
      <c r="Q205" s="61">
        <v>0.89810000000000001</v>
      </c>
      <c r="R205" s="46"/>
    </row>
    <row r="206" spans="1:18">
      <c r="A206" s="33" t="s">
        <v>971</v>
      </c>
      <c r="B206" s="40" t="s">
        <v>7741</v>
      </c>
      <c r="C206" s="47">
        <v>40321</v>
      </c>
      <c r="D206" s="47" t="s">
        <v>8465</v>
      </c>
      <c r="E206" s="40" t="s">
        <v>86</v>
      </c>
      <c r="F206" s="40" t="s">
        <v>87</v>
      </c>
      <c r="G206" s="42" t="s">
        <v>137</v>
      </c>
      <c r="H206" s="65" t="s">
        <v>1040</v>
      </c>
      <c r="J206" s="43"/>
      <c r="K206" s="61">
        <v>0.9</v>
      </c>
      <c r="L206" s="40">
        <v>205</v>
      </c>
      <c r="M206" s="44"/>
      <c r="N206" s="45"/>
      <c r="O206" s="18">
        <v>0</v>
      </c>
      <c r="P206" s="18">
        <v>0</v>
      </c>
      <c r="Q206" s="61">
        <v>0.97350000000000003</v>
      </c>
      <c r="R206" s="46"/>
    </row>
    <row r="207" spans="1:18" ht="25.5">
      <c r="A207" s="33" t="s">
        <v>108</v>
      </c>
      <c r="B207" s="40" t="s">
        <v>7734</v>
      </c>
      <c r="C207" s="41">
        <v>33451</v>
      </c>
      <c r="D207" s="47" t="s">
        <v>8465</v>
      </c>
      <c r="E207" s="40" t="s">
        <v>76</v>
      </c>
      <c r="F207" s="40" t="s">
        <v>76</v>
      </c>
      <c r="G207" s="42" t="s">
        <v>139</v>
      </c>
      <c r="H207" s="65" t="s">
        <v>56</v>
      </c>
      <c r="J207" s="43"/>
      <c r="K207" s="61">
        <v>0.8</v>
      </c>
      <c r="L207" s="40">
        <v>206</v>
      </c>
      <c r="M207" s="44"/>
      <c r="N207" s="45"/>
      <c r="O207" s="18">
        <v>0</v>
      </c>
      <c r="P207" s="18">
        <v>1</v>
      </c>
      <c r="Q207" s="61"/>
      <c r="R207" s="46"/>
    </row>
    <row r="208" spans="1:18">
      <c r="A208" s="33" t="s">
        <v>5992</v>
      </c>
      <c r="B208" s="40" t="s">
        <v>7765</v>
      </c>
      <c r="C208" s="47">
        <v>39973</v>
      </c>
      <c r="D208" s="47" t="s">
        <v>8465</v>
      </c>
      <c r="E208" s="40" t="s">
        <v>1273</v>
      </c>
      <c r="F208" s="40" t="s">
        <v>1501</v>
      </c>
      <c r="G208" s="42" t="s">
        <v>5992</v>
      </c>
      <c r="H208" s="65" t="s">
        <v>80</v>
      </c>
      <c r="J208" s="43"/>
      <c r="K208" s="61">
        <v>0.8</v>
      </c>
      <c r="L208" s="40">
        <v>207</v>
      </c>
      <c r="M208" s="44"/>
      <c r="N208" s="45"/>
      <c r="O208" s="18">
        <v>0</v>
      </c>
      <c r="P208" s="18">
        <v>0</v>
      </c>
      <c r="Q208" s="61">
        <v>0.79849999999999999</v>
      </c>
      <c r="R208" s="46"/>
    </row>
    <row r="209" spans="1:18">
      <c r="A209" s="33" t="s">
        <v>4460</v>
      </c>
      <c r="B209" s="40" t="s">
        <v>7765</v>
      </c>
      <c r="C209" s="47">
        <v>39764</v>
      </c>
      <c r="D209" s="47" t="s">
        <v>8465</v>
      </c>
      <c r="E209" s="40" t="s">
        <v>231</v>
      </c>
      <c r="F209" s="40" t="s">
        <v>6349</v>
      </c>
      <c r="G209" s="42" t="s">
        <v>4460</v>
      </c>
      <c r="H209" s="65" t="s">
        <v>1050</v>
      </c>
      <c r="J209" s="43"/>
      <c r="K209" s="61">
        <v>0.6</v>
      </c>
      <c r="L209" s="40">
        <v>208</v>
      </c>
      <c r="M209" s="44"/>
      <c r="N209" s="45"/>
      <c r="O209" s="18">
        <v>0</v>
      </c>
      <c r="P209" s="18">
        <v>0</v>
      </c>
      <c r="Q209" s="61">
        <v>0.79530000000000001</v>
      </c>
      <c r="R209" s="46"/>
    </row>
    <row r="210" spans="1:18" ht="38.25">
      <c r="A210" s="33" t="s">
        <v>595</v>
      </c>
      <c r="B210" s="40" t="s">
        <v>7736</v>
      </c>
      <c r="C210" s="47">
        <v>35391</v>
      </c>
      <c r="D210" s="47" t="s">
        <v>8465</v>
      </c>
      <c r="E210" s="40" t="s">
        <v>86</v>
      </c>
      <c r="F210" s="40" t="s">
        <v>163</v>
      </c>
      <c r="G210" s="42" t="s">
        <v>1254</v>
      </c>
      <c r="H210" s="65" t="s">
        <v>64</v>
      </c>
      <c r="J210" s="43"/>
      <c r="K210" s="61">
        <v>0.8</v>
      </c>
      <c r="L210" s="40">
        <v>209</v>
      </c>
      <c r="M210" s="44"/>
      <c r="N210" s="45"/>
      <c r="O210" s="18">
        <v>0</v>
      </c>
      <c r="P210" s="18">
        <v>1</v>
      </c>
      <c r="Q210" s="61">
        <v>0.83240000000000003</v>
      </c>
      <c r="R210" s="46"/>
    </row>
    <row r="211" spans="1:18" ht="25.5">
      <c r="A211" s="33" t="s">
        <v>918</v>
      </c>
      <c r="B211" s="40" t="s">
        <v>7740</v>
      </c>
      <c r="C211" s="47">
        <v>37704</v>
      </c>
      <c r="D211" s="47" t="s">
        <v>8465</v>
      </c>
      <c r="E211" s="40" t="s">
        <v>86</v>
      </c>
      <c r="F211" s="40" t="s">
        <v>87</v>
      </c>
      <c r="G211" s="42" t="s">
        <v>85</v>
      </c>
      <c r="H211" s="65" t="s">
        <v>80</v>
      </c>
      <c r="J211" s="43"/>
      <c r="K211" s="61">
        <v>0.9</v>
      </c>
      <c r="L211" s="40">
        <v>210</v>
      </c>
      <c r="M211" s="44"/>
      <c r="N211" s="45"/>
      <c r="O211" s="18">
        <v>0</v>
      </c>
      <c r="P211" s="18">
        <v>0</v>
      </c>
      <c r="Q211" s="61">
        <v>0.94430000000000003</v>
      </c>
      <c r="R211" s="46"/>
    </row>
    <row r="212" spans="1:18">
      <c r="A212" s="33" t="s">
        <v>109</v>
      </c>
      <c r="B212" s="40" t="s">
        <v>7734</v>
      </c>
      <c r="C212" s="41">
        <v>31990</v>
      </c>
      <c r="D212" s="47" t="s">
        <v>8465</v>
      </c>
      <c r="E212" s="40" t="s">
        <v>86</v>
      </c>
      <c r="F212" s="40" t="s">
        <v>142</v>
      </c>
      <c r="G212" s="42" t="s">
        <v>109</v>
      </c>
      <c r="H212" s="65" t="s">
        <v>151</v>
      </c>
      <c r="J212" s="43"/>
      <c r="K212" s="61">
        <v>0.8</v>
      </c>
      <c r="L212" s="40">
        <v>211</v>
      </c>
      <c r="M212" s="44"/>
      <c r="N212" s="45"/>
      <c r="O212" s="18">
        <v>0</v>
      </c>
      <c r="P212" s="18">
        <v>1</v>
      </c>
      <c r="Q212" s="61"/>
      <c r="R212" s="46"/>
    </row>
    <row r="213" spans="1:18" ht="25.5">
      <c r="A213" s="33" t="s">
        <v>1742</v>
      </c>
      <c r="B213" s="40" t="s">
        <v>7745</v>
      </c>
      <c r="C213" s="41">
        <v>33543</v>
      </c>
      <c r="D213" s="47" t="s">
        <v>8465</v>
      </c>
      <c r="E213" s="40" t="s">
        <v>86</v>
      </c>
      <c r="F213" s="40" t="s">
        <v>142</v>
      </c>
      <c r="G213" s="42" t="s">
        <v>109</v>
      </c>
      <c r="H213" s="65" t="s">
        <v>151</v>
      </c>
      <c r="J213" s="43"/>
      <c r="K213" s="61">
        <v>0.8</v>
      </c>
      <c r="L213" s="40">
        <v>212</v>
      </c>
      <c r="M213" s="44"/>
      <c r="N213" s="45"/>
      <c r="O213" s="18">
        <v>0</v>
      </c>
      <c r="P213" s="18">
        <v>1</v>
      </c>
      <c r="Q213" s="61">
        <v>0.78</v>
      </c>
      <c r="R213" s="46"/>
    </row>
    <row r="214" spans="1:18" ht="25.5">
      <c r="A214" s="33" t="s">
        <v>1923</v>
      </c>
      <c r="B214" s="40" t="s">
        <v>7747</v>
      </c>
      <c r="C214" s="47">
        <v>37194</v>
      </c>
      <c r="D214" s="47" t="s">
        <v>8465</v>
      </c>
      <c r="E214" s="40" t="s">
        <v>73</v>
      </c>
      <c r="F214" s="40" t="s">
        <v>73</v>
      </c>
      <c r="G214" s="42" t="s">
        <v>227</v>
      </c>
      <c r="H214" s="65" t="s">
        <v>459</v>
      </c>
      <c r="J214" s="43"/>
      <c r="K214" s="61">
        <v>0.7</v>
      </c>
      <c r="L214" s="40">
        <v>213</v>
      </c>
      <c r="M214" s="44"/>
      <c r="N214" s="45"/>
      <c r="O214" s="18">
        <v>0</v>
      </c>
      <c r="P214" s="18">
        <v>1</v>
      </c>
      <c r="Q214" s="61">
        <v>0.82909999999999995</v>
      </c>
      <c r="R214" s="46"/>
    </row>
    <row r="215" spans="1:18">
      <c r="A215" s="33" t="s">
        <v>110</v>
      </c>
      <c r="B215" s="40" t="s">
        <v>7734</v>
      </c>
      <c r="C215" s="41">
        <v>31959</v>
      </c>
      <c r="D215" s="47" t="s">
        <v>8465</v>
      </c>
      <c r="E215" s="40" t="s">
        <v>86</v>
      </c>
      <c r="F215" s="40" t="s">
        <v>142</v>
      </c>
      <c r="G215" s="42" t="s">
        <v>110</v>
      </c>
      <c r="H215" s="65" t="s">
        <v>56</v>
      </c>
      <c r="J215" s="43"/>
      <c r="K215" s="61">
        <v>0.7</v>
      </c>
      <c r="L215" s="40">
        <v>214</v>
      </c>
      <c r="M215" s="44"/>
      <c r="N215" s="45"/>
      <c r="O215" s="18">
        <v>0</v>
      </c>
      <c r="P215" s="18">
        <v>1</v>
      </c>
      <c r="Q215" s="61"/>
      <c r="R215" s="46"/>
    </row>
    <row r="216" spans="1:18" ht="25.5">
      <c r="A216" s="33" t="s">
        <v>6494</v>
      </c>
      <c r="B216" s="40" t="s">
        <v>7765</v>
      </c>
      <c r="C216" s="47">
        <v>40023</v>
      </c>
      <c r="D216" s="47" t="s">
        <v>8465</v>
      </c>
      <c r="E216" s="40" t="s">
        <v>73</v>
      </c>
      <c r="F216" s="40" t="s">
        <v>1970</v>
      </c>
      <c r="G216" s="42" t="s">
        <v>449</v>
      </c>
      <c r="H216" s="65" t="s">
        <v>459</v>
      </c>
      <c r="J216" s="43"/>
      <c r="K216" s="61">
        <v>0.8</v>
      </c>
      <c r="L216" s="40">
        <v>215</v>
      </c>
      <c r="M216" s="44"/>
      <c r="N216" s="45"/>
      <c r="O216" s="18">
        <v>0</v>
      </c>
      <c r="P216" s="18">
        <v>0</v>
      </c>
      <c r="Q216" s="61"/>
      <c r="R216" s="46"/>
    </row>
    <row r="217" spans="1:18" ht="25.5">
      <c r="A217" s="33" t="s">
        <v>5304</v>
      </c>
      <c r="B217" s="40" t="s">
        <v>7765</v>
      </c>
      <c r="C217" s="47">
        <v>38796</v>
      </c>
      <c r="D217" s="47" t="s">
        <v>8465</v>
      </c>
      <c r="E217" s="40" t="s">
        <v>3310</v>
      </c>
      <c r="F217" s="40" t="s">
        <v>1690</v>
      </c>
      <c r="G217" s="42" t="s">
        <v>1207</v>
      </c>
      <c r="H217" s="65" t="s">
        <v>171</v>
      </c>
      <c r="J217" s="43"/>
      <c r="K217" s="61">
        <v>1</v>
      </c>
      <c r="L217" s="40">
        <v>216</v>
      </c>
      <c r="M217" s="44"/>
      <c r="N217" s="45"/>
      <c r="O217" s="18">
        <v>0</v>
      </c>
      <c r="P217" s="18">
        <v>0</v>
      </c>
      <c r="Q217" s="61">
        <v>0.9385</v>
      </c>
      <c r="R217" s="46"/>
    </row>
    <row r="218" spans="1:18">
      <c r="A218" s="33" t="s">
        <v>491</v>
      </c>
      <c r="B218" s="40" t="s">
        <v>7731</v>
      </c>
      <c r="C218" s="49">
        <v>32874</v>
      </c>
      <c r="D218" s="47" t="s">
        <v>8465</v>
      </c>
      <c r="E218" s="40" t="s">
        <v>170</v>
      </c>
      <c r="F218" s="40" t="s">
        <v>9971</v>
      </c>
      <c r="G218" s="42"/>
      <c r="H218" s="65" t="s">
        <v>147</v>
      </c>
      <c r="J218" s="43"/>
      <c r="K218" s="61">
        <v>0.7</v>
      </c>
      <c r="L218" s="40">
        <v>217</v>
      </c>
      <c r="M218" s="44"/>
      <c r="N218" s="45"/>
      <c r="O218" s="18">
        <v>0</v>
      </c>
      <c r="P218" s="18">
        <v>1</v>
      </c>
      <c r="Q218" s="61"/>
      <c r="R218" s="46"/>
    </row>
    <row r="219" spans="1:18" ht="25.5">
      <c r="A219" s="33" t="s">
        <v>1743</v>
      </c>
      <c r="B219" s="40" t="s">
        <v>7745</v>
      </c>
      <c r="C219" s="47">
        <v>33547</v>
      </c>
      <c r="D219" s="47" t="s">
        <v>8465</v>
      </c>
      <c r="E219" s="40" t="s">
        <v>86</v>
      </c>
      <c r="F219" s="40" t="s">
        <v>86</v>
      </c>
      <c r="G219" s="42" t="s">
        <v>110</v>
      </c>
      <c r="H219" s="65" t="s">
        <v>56</v>
      </c>
      <c r="J219" s="43"/>
      <c r="K219" s="61">
        <v>0.6</v>
      </c>
      <c r="L219" s="40">
        <v>218</v>
      </c>
      <c r="M219" s="44"/>
      <c r="N219" s="45"/>
      <c r="O219" s="18">
        <v>0</v>
      </c>
      <c r="P219" s="18">
        <v>1</v>
      </c>
      <c r="Q219" s="61">
        <v>0.78920000000000001</v>
      </c>
      <c r="R219" s="46"/>
    </row>
    <row r="220" spans="1:18" ht="25.5">
      <c r="A220" s="33" t="s">
        <v>314</v>
      </c>
      <c r="B220" s="40" t="s">
        <v>6317</v>
      </c>
      <c r="C220" s="47">
        <v>35818</v>
      </c>
      <c r="D220" s="47" t="s">
        <v>8465</v>
      </c>
      <c r="E220" s="40" t="s">
        <v>73</v>
      </c>
      <c r="F220" s="40" t="s">
        <v>73</v>
      </c>
      <c r="G220" s="42" t="s">
        <v>449</v>
      </c>
      <c r="H220" s="65" t="s">
        <v>459</v>
      </c>
      <c r="J220" s="43"/>
      <c r="K220" s="61">
        <v>0.7</v>
      </c>
      <c r="L220" s="40">
        <v>219</v>
      </c>
      <c r="M220" s="44"/>
      <c r="N220" s="45"/>
      <c r="O220" s="18">
        <v>0</v>
      </c>
      <c r="P220" s="18">
        <v>1</v>
      </c>
      <c r="Q220" s="61"/>
      <c r="R220" s="46"/>
    </row>
    <row r="221" spans="1:18">
      <c r="A221" s="33" t="s">
        <v>111</v>
      </c>
      <c r="B221" s="40" t="s">
        <v>7734</v>
      </c>
      <c r="C221" s="41">
        <v>32295</v>
      </c>
      <c r="D221" s="47" t="s">
        <v>8465</v>
      </c>
      <c r="E221" s="40" t="s">
        <v>152</v>
      </c>
      <c r="F221" s="40" t="s">
        <v>155</v>
      </c>
      <c r="G221" s="42" t="s">
        <v>111</v>
      </c>
      <c r="H221" s="65" t="s">
        <v>153</v>
      </c>
      <c r="J221" s="43"/>
      <c r="K221" s="61">
        <v>0.7</v>
      </c>
      <c r="L221" s="40">
        <v>220</v>
      </c>
      <c r="M221" s="44"/>
      <c r="N221" s="45"/>
      <c r="O221" s="18">
        <v>0</v>
      </c>
      <c r="P221" s="18">
        <v>1</v>
      </c>
      <c r="Q221" s="61"/>
      <c r="R221" s="46"/>
    </row>
    <row r="222" spans="1:18" ht="25.5">
      <c r="A222" s="33" t="s">
        <v>315</v>
      </c>
      <c r="B222" s="40" t="s">
        <v>6317</v>
      </c>
      <c r="C222" s="41">
        <v>34973</v>
      </c>
      <c r="D222" s="47" t="s">
        <v>8465</v>
      </c>
      <c r="E222" s="40" t="s">
        <v>73</v>
      </c>
      <c r="F222" s="40" t="s">
        <v>73</v>
      </c>
      <c r="G222" s="42" t="s">
        <v>89</v>
      </c>
      <c r="H222" s="65" t="s">
        <v>459</v>
      </c>
      <c r="J222" s="43"/>
      <c r="K222" s="61">
        <v>0.8</v>
      </c>
      <c r="L222" s="40">
        <v>221</v>
      </c>
      <c r="M222" s="44"/>
      <c r="N222" s="45"/>
      <c r="O222" s="18">
        <v>0</v>
      </c>
      <c r="P222" s="18">
        <v>1</v>
      </c>
      <c r="Q222" s="61"/>
      <c r="R222" s="46"/>
    </row>
    <row r="223" spans="1:18" ht="25.5">
      <c r="A223" s="33" t="s">
        <v>316</v>
      </c>
      <c r="B223" s="40" t="s">
        <v>6317</v>
      </c>
      <c r="C223" s="41">
        <v>35247</v>
      </c>
      <c r="D223" s="47" t="s">
        <v>8465</v>
      </c>
      <c r="E223" s="40" t="s">
        <v>73</v>
      </c>
      <c r="F223" s="40" t="s">
        <v>73</v>
      </c>
      <c r="G223" s="42" t="s">
        <v>89</v>
      </c>
      <c r="H223" s="65" t="s">
        <v>459</v>
      </c>
      <c r="J223" s="43"/>
      <c r="K223" s="61">
        <v>0.7</v>
      </c>
      <c r="L223" s="40">
        <v>222</v>
      </c>
      <c r="M223" s="44"/>
      <c r="N223" s="45"/>
      <c r="O223" s="18">
        <v>0</v>
      </c>
      <c r="P223" s="18">
        <v>1</v>
      </c>
      <c r="Q223" s="61"/>
      <c r="R223" s="46"/>
    </row>
    <row r="224" spans="1:18">
      <c r="A224" s="33" t="s">
        <v>852</v>
      </c>
      <c r="B224" s="40" t="s">
        <v>7765</v>
      </c>
      <c r="C224" s="47">
        <v>40189</v>
      </c>
      <c r="D224" s="47" t="s">
        <v>8465</v>
      </c>
      <c r="E224" s="40" t="s">
        <v>3116</v>
      </c>
      <c r="F224" s="40" t="s">
        <v>163</v>
      </c>
      <c r="G224" s="42" t="s">
        <v>852</v>
      </c>
      <c r="H224" s="65" t="s">
        <v>1040</v>
      </c>
      <c r="J224" s="43"/>
      <c r="K224" s="61">
        <v>0.8</v>
      </c>
      <c r="L224" s="40">
        <v>223</v>
      </c>
      <c r="M224" s="44"/>
      <c r="N224" s="45"/>
      <c r="O224" s="18">
        <v>0</v>
      </c>
      <c r="P224" s="18">
        <v>0</v>
      </c>
      <c r="Q224" s="61">
        <v>0.80879999999999996</v>
      </c>
      <c r="R224" s="46"/>
    </row>
    <row r="225" spans="1:18" ht="25.5">
      <c r="A225" s="33" t="s">
        <v>6348</v>
      </c>
      <c r="B225" s="40" t="s">
        <v>7765</v>
      </c>
      <c r="C225" s="47">
        <v>39371</v>
      </c>
      <c r="D225" s="47" t="s">
        <v>8465</v>
      </c>
      <c r="E225" s="40" t="s">
        <v>3310</v>
      </c>
      <c r="F225" s="40" t="s">
        <v>1690</v>
      </c>
      <c r="G225" s="42" t="s">
        <v>1207</v>
      </c>
      <c r="H225" s="65" t="s">
        <v>171</v>
      </c>
      <c r="J225" s="43"/>
      <c r="K225" s="61">
        <v>1</v>
      </c>
      <c r="L225" s="40">
        <v>224</v>
      </c>
      <c r="M225" s="44"/>
      <c r="N225" s="45"/>
      <c r="O225" s="18">
        <v>0</v>
      </c>
      <c r="P225" s="18">
        <v>0</v>
      </c>
      <c r="Q225" s="61">
        <v>0.87619999999999998</v>
      </c>
      <c r="R225" s="46"/>
    </row>
    <row r="226" spans="1:18">
      <c r="A226" s="33" t="s">
        <v>89</v>
      </c>
      <c r="B226" s="40" t="s">
        <v>7756</v>
      </c>
      <c r="C226" s="49">
        <v>34700</v>
      </c>
      <c r="D226" s="47" t="s">
        <v>8465</v>
      </c>
      <c r="E226" s="40" t="s">
        <v>73</v>
      </c>
      <c r="F226" s="40" t="s">
        <v>2774</v>
      </c>
      <c r="G226" s="42" t="s">
        <v>89</v>
      </c>
      <c r="H226" s="65" t="s">
        <v>56</v>
      </c>
      <c r="J226" s="43"/>
      <c r="K226" s="61">
        <v>0.7</v>
      </c>
      <c r="L226" s="40">
        <v>225</v>
      </c>
      <c r="M226" s="44"/>
      <c r="N226" s="45"/>
      <c r="O226" s="18">
        <v>0</v>
      </c>
      <c r="P226" s="18">
        <v>1</v>
      </c>
      <c r="Q226" s="61"/>
      <c r="R226" s="46"/>
    </row>
    <row r="227" spans="1:18" ht="25.5">
      <c r="A227" s="33" t="s">
        <v>112</v>
      </c>
      <c r="B227" s="40" t="s">
        <v>7734</v>
      </c>
      <c r="C227" s="41">
        <v>32874</v>
      </c>
      <c r="D227" s="47" t="s">
        <v>8465</v>
      </c>
      <c r="E227" s="40" t="s">
        <v>9972</v>
      </c>
      <c r="F227" s="40" t="s">
        <v>155</v>
      </c>
      <c r="G227" s="42" t="s">
        <v>111</v>
      </c>
      <c r="H227" s="65" t="s">
        <v>153</v>
      </c>
      <c r="J227" s="43"/>
      <c r="K227" s="61">
        <v>0.8</v>
      </c>
      <c r="L227" s="40">
        <v>226</v>
      </c>
      <c r="M227" s="44"/>
      <c r="N227" s="45"/>
      <c r="O227" s="18">
        <v>0</v>
      </c>
      <c r="P227" s="18">
        <v>1</v>
      </c>
      <c r="Q227" s="61"/>
      <c r="R227" s="46"/>
    </row>
    <row r="228" spans="1:18">
      <c r="A228" s="33" t="s">
        <v>113</v>
      </c>
      <c r="B228" s="40" t="s">
        <v>7734</v>
      </c>
      <c r="C228" s="47">
        <v>31898</v>
      </c>
      <c r="D228" s="47" t="s">
        <v>8465</v>
      </c>
      <c r="E228" s="40" t="s">
        <v>72</v>
      </c>
      <c r="F228" s="40" t="s">
        <v>72</v>
      </c>
      <c r="G228" s="42" t="s">
        <v>113</v>
      </c>
      <c r="H228" s="65" t="s">
        <v>56</v>
      </c>
      <c r="J228" s="43"/>
      <c r="K228" s="61">
        <v>0.7</v>
      </c>
      <c r="L228" s="40">
        <v>227</v>
      </c>
      <c r="M228" s="44"/>
      <c r="N228" s="45"/>
      <c r="O228" s="18">
        <v>0</v>
      </c>
      <c r="P228" s="18">
        <v>1</v>
      </c>
      <c r="Q228" s="61"/>
      <c r="R228" s="46"/>
    </row>
    <row r="229" spans="1:18">
      <c r="A229" s="33" t="s">
        <v>114</v>
      </c>
      <c r="B229" s="40" t="s">
        <v>7734</v>
      </c>
      <c r="C229" s="47">
        <v>32436</v>
      </c>
      <c r="D229" s="47" t="s">
        <v>8465</v>
      </c>
      <c r="E229" s="40" t="s">
        <v>86</v>
      </c>
      <c r="F229" s="40" t="s">
        <v>87</v>
      </c>
      <c r="G229" s="42" t="s">
        <v>137</v>
      </c>
      <c r="H229" s="65" t="s">
        <v>64</v>
      </c>
      <c r="J229" s="43"/>
      <c r="K229" s="61">
        <v>0.8</v>
      </c>
      <c r="L229" s="40">
        <v>228</v>
      </c>
      <c r="M229" s="44"/>
      <c r="N229" s="45"/>
      <c r="O229" s="18">
        <v>0</v>
      </c>
      <c r="P229" s="18">
        <v>1</v>
      </c>
      <c r="Q229" s="61"/>
      <c r="R229" s="46"/>
    </row>
    <row r="230" spans="1:18">
      <c r="A230" s="33" t="s">
        <v>581</v>
      </c>
      <c r="B230" s="40" t="s">
        <v>7748</v>
      </c>
      <c r="C230" s="47">
        <v>39777</v>
      </c>
      <c r="D230" s="47" t="s">
        <v>8465</v>
      </c>
      <c r="E230" s="40" t="s">
        <v>1082</v>
      </c>
      <c r="F230" s="40" t="s">
        <v>58</v>
      </c>
      <c r="G230" s="42" t="s">
        <v>1251</v>
      </c>
      <c r="H230" s="65" t="s">
        <v>149</v>
      </c>
      <c r="J230" s="43"/>
      <c r="K230" s="61">
        <v>1</v>
      </c>
      <c r="L230" s="40">
        <v>229</v>
      </c>
      <c r="M230" s="44"/>
      <c r="N230" s="45"/>
      <c r="O230" s="18">
        <v>0</v>
      </c>
      <c r="P230" s="18">
        <v>0</v>
      </c>
      <c r="Q230" s="61">
        <v>0.91979999999999995</v>
      </c>
      <c r="R230" s="46"/>
    </row>
    <row r="231" spans="1:18">
      <c r="A231" s="33" t="s">
        <v>85</v>
      </c>
      <c r="B231" s="40" t="s">
        <v>7734</v>
      </c>
      <c r="C231" s="47">
        <v>32011</v>
      </c>
      <c r="D231" s="47" t="s">
        <v>8465</v>
      </c>
      <c r="E231" s="40" t="s">
        <v>86</v>
      </c>
      <c r="F231" s="40" t="s">
        <v>87</v>
      </c>
      <c r="G231" s="42" t="s">
        <v>85</v>
      </c>
      <c r="H231" s="65" t="s">
        <v>80</v>
      </c>
      <c r="J231" s="43"/>
      <c r="K231" s="61">
        <v>0.7</v>
      </c>
      <c r="L231" s="40">
        <v>230</v>
      </c>
      <c r="M231" s="44"/>
      <c r="N231" s="45"/>
      <c r="O231" s="18">
        <v>0</v>
      </c>
      <c r="P231" s="18">
        <v>1</v>
      </c>
      <c r="Q231" s="61"/>
      <c r="R231" s="46"/>
    </row>
    <row r="232" spans="1:18" ht="25.5">
      <c r="A232" s="33" t="s">
        <v>115</v>
      </c>
      <c r="B232" s="40" t="s">
        <v>7734</v>
      </c>
      <c r="C232" s="41">
        <v>33270</v>
      </c>
      <c r="D232" s="47" t="s">
        <v>8465</v>
      </c>
      <c r="E232" s="40" t="s">
        <v>9972</v>
      </c>
      <c r="F232" s="40" t="s">
        <v>155</v>
      </c>
      <c r="G232" s="42" t="s">
        <v>111</v>
      </c>
      <c r="H232" s="65" t="s">
        <v>153</v>
      </c>
      <c r="J232" s="43"/>
      <c r="K232" s="61">
        <v>0.6</v>
      </c>
      <c r="L232" s="40">
        <v>231</v>
      </c>
      <c r="M232" s="44"/>
      <c r="N232" s="45"/>
      <c r="O232" s="18">
        <v>0</v>
      </c>
      <c r="P232" s="18">
        <v>1</v>
      </c>
      <c r="Q232" s="61"/>
      <c r="R232" s="46"/>
    </row>
    <row r="233" spans="1:18">
      <c r="A233" s="33" t="s">
        <v>116</v>
      </c>
      <c r="B233" s="40" t="s">
        <v>7734</v>
      </c>
      <c r="C233" s="41">
        <v>32964</v>
      </c>
      <c r="D233" s="47" t="s">
        <v>8465</v>
      </c>
      <c r="E233" s="40" t="s">
        <v>72</v>
      </c>
      <c r="F233" s="40" t="s">
        <v>72</v>
      </c>
      <c r="G233" s="42" t="s">
        <v>97</v>
      </c>
      <c r="H233" s="65" t="s">
        <v>147</v>
      </c>
      <c r="J233" s="43"/>
      <c r="K233" s="61">
        <v>0.7</v>
      </c>
      <c r="L233" s="40">
        <v>232</v>
      </c>
      <c r="M233" s="44"/>
      <c r="N233" s="45"/>
      <c r="O233" s="18">
        <v>0</v>
      </c>
      <c r="P233" s="18">
        <v>1</v>
      </c>
      <c r="Q233" s="61"/>
      <c r="R233" s="46"/>
    </row>
    <row r="234" spans="1:18">
      <c r="A234" s="33" t="s">
        <v>492</v>
      </c>
      <c r="B234" s="40" t="s">
        <v>7731</v>
      </c>
      <c r="C234" s="49">
        <v>35431</v>
      </c>
      <c r="D234" s="47" t="s">
        <v>8465</v>
      </c>
      <c r="E234" s="40" t="s">
        <v>170</v>
      </c>
      <c r="F234" s="40" t="s">
        <v>565</v>
      </c>
      <c r="G234" s="42" t="s">
        <v>492</v>
      </c>
      <c r="H234" s="65" t="s">
        <v>147</v>
      </c>
      <c r="J234" s="43"/>
      <c r="K234" s="61">
        <v>0.9</v>
      </c>
      <c r="L234" s="40">
        <v>233</v>
      </c>
      <c r="M234" s="44"/>
      <c r="N234" s="45"/>
      <c r="O234" s="18">
        <v>0</v>
      </c>
      <c r="P234" s="18">
        <v>1</v>
      </c>
      <c r="Q234" s="61"/>
      <c r="R234" s="46"/>
    </row>
    <row r="235" spans="1:18" ht="25.5">
      <c r="A235" s="33" t="s">
        <v>493</v>
      </c>
      <c r="B235" s="40" t="s">
        <v>7731</v>
      </c>
      <c r="C235" s="47">
        <v>36335</v>
      </c>
      <c r="D235" s="47" t="s">
        <v>8465</v>
      </c>
      <c r="E235" s="40" t="s">
        <v>170</v>
      </c>
      <c r="F235" s="40" t="s">
        <v>565</v>
      </c>
      <c r="G235" s="42" t="s">
        <v>492</v>
      </c>
      <c r="H235" s="65" t="s">
        <v>147</v>
      </c>
      <c r="J235" s="43"/>
      <c r="K235" s="61">
        <v>0.7</v>
      </c>
      <c r="L235" s="40">
        <v>234</v>
      </c>
      <c r="M235" s="44"/>
      <c r="N235" s="45"/>
      <c r="O235" s="18">
        <v>0</v>
      </c>
      <c r="P235" s="18">
        <v>1</v>
      </c>
      <c r="Q235" s="61"/>
      <c r="R235" s="46"/>
    </row>
    <row r="236" spans="1:18">
      <c r="A236" s="33" t="s">
        <v>317</v>
      </c>
      <c r="B236" s="40" t="s">
        <v>6317</v>
      </c>
      <c r="C236" s="49">
        <v>36161</v>
      </c>
      <c r="D236" s="47" t="s">
        <v>8463</v>
      </c>
      <c r="E236" s="40" t="s">
        <v>228</v>
      </c>
      <c r="F236" s="40" t="s">
        <v>467</v>
      </c>
      <c r="G236" s="42"/>
      <c r="H236" s="65" t="s">
        <v>21</v>
      </c>
      <c r="J236" s="43"/>
      <c r="K236" s="61">
        <v>0.8</v>
      </c>
      <c r="L236" s="40">
        <v>235</v>
      </c>
      <c r="M236" s="44"/>
      <c r="N236" s="45"/>
      <c r="O236" s="18">
        <v>0</v>
      </c>
      <c r="P236" s="18">
        <v>1</v>
      </c>
      <c r="Q236" s="61"/>
      <c r="R236" s="46"/>
    </row>
    <row r="237" spans="1:18">
      <c r="A237" s="33" t="s">
        <v>6367</v>
      </c>
      <c r="B237" s="40" t="s">
        <v>7765</v>
      </c>
      <c r="C237" s="47">
        <v>40322</v>
      </c>
      <c r="D237" s="47" t="s">
        <v>8465</v>
      </c>
      <c r="E237" s="40" t="s">
        <v>1944</v>
      </c>
      <c r="F237" s="40" t="s">
        <v>1944</v>
      </c>
      <c r="G237" s="42"/>
      <c r="H237" s="65" t="s">
        <v>1169</v>
      </c>
      <c r="J237" s="43"/>
      <c r="K237" s="61">
        <v>0.9</v>
      </c>
      <c r="L237" s="40">
        <v>236</v>
      </c>
      <c r="M237" s="44"/>
      <c r="N237" s="45"/>
      <c r="O237" s="18">
        <v>0</v>
      </c>
      <c r="P237" s="18">
        <v>0</v>
      </c>
      <c r="Q237" s="61"/>
      <c r="R237" s="46"/>
    </row>
    <row r="238" spans="1:18" ht="25.5">
      <c r="A238" s="33" t="s">
        <v>318</v>
      </c>
      <c r="B238" s="40" t="s">
        <v>6317</v>
      </c>
      <c r="C238" s="41">
        <v>34060</v>
      </c>
      <c r="D238" s="47" t="s">
        <v>8465</v>
      </c>
      <c r="E238" s="40" t="s">
        <v>73</v>
      </c>
      <c r="F238" s="40" t="s">
        <v>73</v>
      </c>
      <c r="G238" s="42"/>
      <c r="H238" s="65" t="s">
        <v>153</v>
      </c>
      <c r="J238" s="43"/>
      <c r="K238" s="61">
        <v>0.5</v>
      </c>
      <c r="L238" s="40">
        <v>237</v>
      </c>
      <c r="M238" s="44"/>
      <c r="N238" s="45"/>
      <c r="O238" s="18">
        <v>0</v>
      </c>
      <c r="P238" s="18">
        <v>1</v>
      </c>
      <c r="Q238" s="61"/>
      <c r="R238" s="46"/>
    </row>
    <row r="239" spans="1:18">
      <c r="A239" s="33" t="s">
        <v>6327</v>
      </c>
      <c r="B239" s="40" t="s">
        <v>7765</v>
      </c>
      <c r="C239" s="47">
        <v>40268</v>
      </c>
      <c r="D239" s="47" t="s">
        <v>8465</v>
      </c>
      <c r="E239" s="40" t="s">
        <v>73</v>
      </c>
      <c r="F239" s="40" t="s">
        <v>1070</v>
      </c>
      <c r="G239" s="42" t="s">
        <v>89</v>
      </c>
      <c r="H239" s="65" t="s">
        <v>56</v>
      </c>
      <c r="J239" s="43"/>
      <c r="K239" s="61">
        <v>0.8</v>
      </c>
      <c r="L239" s="40">
        <v>238</v>
      </c>
      <c r="M239" s="44"/>
      <c r="N239" s="45"/>
      <c r="O239" s="18">
        <v>0</v>
      </c>
      <c r="P239" s="18">
        <v>0</v>
      </c>
      <c r="Q239" s="61">
        <v>0.80369999999999997</v>
      </c>
      <c r="R239" s="46"/>
    </row>
    <row r="240" spans="1:18" ht="25.5">
      <c r="A240" s="33" t="s">
        <v>88</v>
      </c>
      <c r="B240" s="40" t="s">
        <v>7734</v>
      </c>
      <c r="C240" s="47">
        <v>32412</v>
      </c>
      <c r="D240" s="47" t="s">
        <v>8465</v>
      </c>
      <c r="E240" s="40" t="s">
        <v>86</v>
      </c>
      <c r="F240" s="40" t="s">
        <v>87</v>
      </c>
      <c r="G240" s="42" t="s">
        <v>85</v>
      </c>
      <c r="H240" s="65" t="s">
        <v>80</v>
      </c>
      <c r="J240" s="43"/>
      <c r="K240" s="61">
        <v>0.7</v>
      </c>
      <c r="L240" s="40">
        <v>239</v>
      </c>
      <c r="M240" s="44"/>
      <c r="N240" s="45"/>
      <c r="O240" s="18">
        <v>0</v>
      </c>
      <c r="P240" s="18">
        <v>1</v>
      </c>
      <c r="Q240" s="61"/>
      <c r="R240" s="46"/>
    </row>
    <row r="241" spans="1:18">
      <c r="A241" s="33" t="s">
        <v>450</v>
      </c>
      <c r="B241" s="40" t="s">
        <v>7742</v>
      </c>
      <c r="C241" s="47">
        <v>39594</v>
      </c>
      <c r="D241" s="47" t="s">
        <v>8465</v>
      </c>
      <c r="E241" s="40" t="s">
        <v>170</v>
      </c>
      <c r="F241" s="40" t="s">
        <v>562</v>
      </c>
      <c r="G241" s="42" t="s">
        <v>450</v>
      </c>
      <c r="H241" s="65" t="s">
        <v>147</v>
      </c>
      <c r="J241" s="43"/>
      <c r="K241" s="61">
        <v>0.8</v>
      </c>
      <c r="L241" s="40">
        <v>240</v>
      </c>
      <c r="M241" s="44"/>
      <c r="N241" s="45"/>
      <c r="O241" s="18">
        <v>0</v>
      </c>
      <c r="P241" s="18">
        <v>0</v>
      </c>
      <c r="Q241" s="61"/>
      <c r="R241" s="46"/>
    </row>
    <row r="242" spans="1:18" ht="25.5">
      <c r="A242" s="33" t="s">
        <v>319</v>
      </c>
      <c r="B242" s="40" t="s">
        <v>6317</v>
      </c>
      <c r="C242" s="49">
        <v>35065</v>
      </c>
      <c r="D242" s="47" t="s">
        <v>8465</v>
      </c>
      <c r="E242" s="40" t="s">
        <v>73</v>
      </c>
      <c r="F242" s="40" t="s">
        <v>73</v>
      </c>
      <c r="G242" s="42" t="s">
        <v>445</v>
      </c>
      <c r="H242" s="65" t="s">
        <v>153</v>
      </c>
      <c r="J242" s="43"/>
      <c r="K242" s="61">
        <v>0.9</v>
      </c>
      <c r="L242" s="40">
        <v>241</v>
      </c>
      <c r="M242" s="44"/>
      <c r="N242" s="45"/>
      <c r="O242" s="18">
        <v>0</v>
      </c>
      <c r="P242" s="18">
        <v>1</v>
      </c>
      <c r="Q242" s="61"/>
      <c r="R242" s="46"/>
    </row>
    <row r="243" spans="1:18">
      <c r="A243" s="33" t="s">
        <v>6495</v>
      </c>
      <c r="B243" s="40" t="s">
        <v>7765</v>
      </c>
      <c r="C243" s="47">
        <v>40352</v>
      </c>
      <c r="D243" s="47" t="s">
        <v>8465</v>
      </c>
      <c r="E243" s="40" t="s">
        <v>231</v>
      </c>
      <c r="F243" s="40" t="s">
        <v>3413</v>
      </c>
      <c r="G243" s="42" t="s">
        <v>6506</v>
      </c>
      <c r="H243" s="65" t="s">
        <v>1469</v>
      </c>
      <c r="J243" s="43"/>
      <c r="K243" s="61">
        <v>0.8</v>
      </c>
      <c r="L243" s="40">
        <v>242</v>
      </c>
      <c r="M243" s="44"/>
      <c r="N243" s="45"/>
      <c r="O243" s="18">
        <v>0</v>
      </c>
      <c r="P243" s="18">
        <v>0</v>
      </c>
      <c r="Q243" s="61">
        <v>0.77680000000000005</v>
      </c>
      <c r="R243" s="46"/>
    </row>
    <row r="244" spans="1:18" ht="25.5">
      <c r="A244" s="33" t="s">
        <v>320</v>
      </c>
      <c r="B244" s="40" t="s">
        <v>6317</v>
      </c>
      <c r="C244" s="49">
        <v>33970</v>
      </c>
      <c r="D244" s="47" t="s">
        <v>8465</v>
      </c>
      <c r="E244" s="40" t="s">
        <v>73</v>
      </c>
      <c r="F244" s="40" t="s">
        <v>73</v>
      </c>
      <c r="G244" s="42" t="s">
        <v>445</v>
      </c>
      <c r="H244" s="65" t="s">
        <v>153</v>
      </c>
      <c r="J244" s="43"/>
      <c r="K244" s="61">
        <v>0.8</v>
      </c>
      <c r="L244" s="40">
        <v>243</v>
      </c>
      <c r="M244" s="44"/>
      <c r="N244" s="45"/>
      <c r="O244" s="18">
        <v>0</v>
      </c>
      <c r="P244" s="18">
        <v>1</v>
      </c>
      <c r="Q244" s="61"/>
      <c r="R244" s="46"/>
    </row>
    <row r="245" spans="1:18">
      <c r="A245" s="33" t="s">
        <v>321</v>
      </c>
      <c r="B245" s="40" t="s">
        <v>6317</v>
      </c>
      <c r="C245" s="47">
        <v>34474</v>
      </c>
      <c r="D245" s="47" t="s">
        <v>8465</v>
      </c>
      <c r="E245" s="40" t="s">
        <v>73</v>
      </c>
      <c r="F245" s="40" t="s">
        <v>73</v>
      </c>
      <c r="G245" s="42" t="s">
        <v>442</v>
      </c>
      <c r="H245" s="65" t="s">
        <v>153</v>
      </c>
      <c r="J245" s="43"/>
      <c r="K245" s="61">
        <v>0.8</v>
      </c>
      <c r="L245" s="40">
        <v>244</v>
      </c>
      <c r="M245" s="44"/>
      <c r="N245" s="45"/>
      <c r="O245" s="18">
        <v>0</v>
      </c>
      <c r="P245" s="18">
        <v>1</v>
      </c>
      <c r="Q245" s="61"/>
      <c r="R245" s="46"/>
    </row>
    <row r="246" spans="1:18">
      <c r="A246" s="33" t="s">
        <v>2115</v>
      </c>
      <c r="B246" s="40" t="s">
        <v>7748</v>
      </c>
      <c r="C246" s="47">
        <v>40251</v>
      </c>
      <c r="D246" s="47" t="s">
        <v>8465</v>
      </c>
      <c r="E246" s="40" t="s">
        <v>86</v>
      </c>
      <c r="F246" s="40" t="s">
        <v>1354</v>
      </c>
      <c r="G246" s="42" t="s">
        <v>1470</v>
      </c>
      <c r="H246" s="65" t="s">
        <v>149</v>
      </c>
      <c r="J246" s="43"/>
      <c r="K246" s="61">
        <v>0.7</v>
      </c>
      <c r="L246" s="40">
        <v>245</v>
      </c>
      <c r="M246" s="44"/>
      <c r="N246" s="45"/>
      <c r="O246" s="18">
        <v>0</v>
      </c>
      <c r="P246" s="18">
        <v>0</v>
      </c>
      <c r="Q246" s="61">
        <v>0.87809999999999999</v>
      </c>
      <c r="R246" s="46"/>
    </row>
    <row r="247" spans="1:18" ht="25.5">
      <c r="A247" s="33" t="s">
        <v>117</v>
      </c>
      <c r="B247" s="40" t="s">
        <v>7734</v>
      </c>
      <c r="C247" s="41">
        <v>32933</v>
      </c>
      <c r="D247" s="47" t="s">
        <v>8465</v>
      </c>
      <c r="E247" s="40" t="s">
        <v>66</v>
      </c>
      <c r="F247" s="40" t="s">
        <v>66</v>
      </c>
      <c r="G247" s="42"/>
      <c r="H247" s="65" t="s">
        <v>21</v>
      </c>
      <c r="J247" s="43"/>
      <c r="K247" s="61">
        <v>0.7</v>
      </c>
      <c r="L247" s="40">
        <v>246</v>
      </c>
      <c r="M247" s="44"/>
      <c r="N247" s="45"/>
      <c r="O247" s="18">
        <v>0</v>
      </c>
      <c r="P247" s="18">
        <v>1</v>
      </c>
      <c r="Q247" s="61"/>
      <c r="R247" s="46"/>
    </row>
    <row r="248" spans="1:18">
      <c r="A248" s="33" t="s">
        <v>118</v>
      </c>
      <c r="B248" s="40" t="s">
        <v>7734</v>
      </c>
      <c r="C248" s="41">
        <v>33239</v>
      </c>
      <c r="D248" s="47" t="s">
        <v>8465</v>
      </c>
      <c r="E248" s="40" t="s">
        <v>66</v>
      </c>
      <c r="F248" s="40" t="s">
        <v>66</v>
      </c>
      <c r="G248" s="42"/>
      <c r="H248" s="65" t="s">
        <v>56</v>
      </c>
      <c r="J248" s="43"/>
      <c r="K248" s="61">
        <v>0.7</v>
      </c>
      <c r="L248" s="40">
        <v>247</v>
      </c>
      <c r="M248" s="44"/>
      <c r="N248" s="45"/>
      <c r="O248" s="18">
        <v>0</v>
      </c>
      <c r="P248" s="18">
        <v>1</v>
      </c>
      <c r="Q248" s="61"/>
      <c r="R248" s="46"/>
    </row>
    <row r="249" spans="1:18">
      <c r="A249" s="33" t="s">
        <v>2116</v>
      </c>
      <c r="B249" s="40" t="s">
        <v>7748</v>
      </c>
      <c r="C249" s="47">
        <v>39834</v>
      </c>
      <c r="D249" s="47" t="s">
        <v>8465</v>
      </c>
      <c r="E249" s="40" t="s">
        <v>2136</v>
      </c>
      <c r="F249" s="40" t="s">
        <v>2137</v>
      </c>
      <c r="G249" s="42"/>
      <c r="H249" s="65" t="s">
        <v>2138</v>
      </c>
      <c r="J249" s="43"/>
      <c r="K249" s="61">
        <v>0.7</v>
      </c>
      <c r="L249" s="40">
        <v>248</v>
      </c>
      <c r="M249" s="44"/>
      <c r="N249" s="45"/>
      <c r="O249" s="18">
        <v>0</v>
      </c>
      <c r="P249" s="18">
        <v>0</v>
      </c>
      <c r="Q249" s="61">
        <v>0.79510000000000003</v>
      </c>
      <c r="R249" s="46"/>
    </row>
    <row r="250" spans="1:18" ht="30">
      <c r="A250" s="33" t="s">
        <v>119</v>
      </c>
      <c r="B250" s="40" t="s">
        <v>7735</v>
      </c>
      <c r="C250" s="47">
        <v>31566</v>
      </c>
      <c r="D250" s="47" t="s">
        <v>8463</v>
      </c>
      <c r="E250" s="40" t="s">
        <v>86</v>
      </c>
      <c r="F250" s="40" t="s">
        <v>87</v>
      </c>
      <c r="G250" s="42" t="s">
        <v>137</v>
      </c>
      <c r="H250" s="65" t="s">
        <v>64</v>
      </c>
      <c r="J250" s="43"/>
      <c r="K250" s="61">
        <v>0.8</v>
      </c>
      <c r="L250" s="40">
        <v>249</v>
      </c>
      <c r="M250" s="44"/>
      <c r="N250" s="45"/>
      <c r="O250" s="18">
        <v>0</v>
      </c>
      <c r="P250" s="18">
        <v>1</v>
      </c>
      <c r="Q250" s="61"/>
      <c r="R250" s="46"/>
    </row>
    <row r="251" spans="1:18">
      <c r="A251" s="33" t="s">
        <v>120</v>
      </c>
      <c r="B251" s="40" t="s">
        <v>7734</v>
      </c>
      <c r="C251" s="41">
        <v>30317</v>
      </c>
      <c r="D251" s="47" t="s">
        <v>8465</v>
      </c>
      <c r="E251" s="40" t="s">
        <v>157</v>
      </c>
      <c r="F251" s="40" t="s">
        <v>158</v>
      </c>
      <c r="G251" s="42" t="s">
        <v>120</v>
      </c>
      <c r="H251" s="65" t="s">
        <v>21</v>
      </c>
      <c r="J251" s="43"/>
      <c r="K251" s="61">
        <v>0.6</v>
      </c>
      <c r="L251" s="40">
        <v>250</v>
      </c>
      <c r="M251" s="44"/>
      <c r="N251" s="45"/>
      <c r="O251" s="18">
        <v>0</v>
      </c>
      <c r="P251" s="18">
        <v>1</v>
      </c>
      <c r="Q251" s="61"/>
      <c r="R251" s="46"/>
    </row>
    <row r="252" spans="1:18" ht="25.5">
      <c r="A252" s="33" t="s">
        <v>121</v>
      </c>
      <c r="B252" s="40" t="s">
        <v>7734</v>
      </c>
      <c r="C252" s="41">
        <v>31747</v>
      </c>
      <c r="D252" s="47" t="s">
        <v>8463</v>
      </c>
      <c r="E252" s="40" t="s">
        <v>86</v>
      </c>
      <c r="F252" s="40" t="s">
        <v>86</v>
      </c>
      <c r="G252" s="42" t="s">
        <v>137</v>
      </c>
      <c r="H252" s="65" t="s">
        <v>64</v>
      </c>
      <c r="J252" s="43"/>
      <c r="K252" s="61">
        <v>0.7</v>
      </c>
      <c r="L252" s="40">
        <v>251</v>
      </c>
      <c r="M252" s="44"/>
      <c r="N252" s="45"/>
      <c r="O252" s="18">
        <v>0</v>
      </c>
      <c r="P252" s="18">
        <v>1</v>
      </c>
      <c r="Q252" s="61"/>
      <c r="R252" s="46"/>
    </row>
    <row r="253" spans="1:18">
      <c r="A253" s="33" t="s">
        <v>6368</v>
      </c>
      <c r="B253" s="40" t="s">
        <v>7765</v>
      </c>
      <c r="C253" s="47">
        <v>40234</v>
      </c>
      <c r="D253" s="47" t="s">
        <v>8465</v>
      </c>
      <c r="E253" s="40" t="s">
        <v>4946</v>
      </c>
      <c r="F253" s="40" t="s">
        <v>4946</v>
      </c>
      <c r="G253" s="42"/>
      <c r="H253" s="65" t="s">
        <v>21</v>
      </c>
      <c r="J253" s="43"/>
      <c r="K253" s="61">
        <v>0.8</v>
      </c>
      <c r="L253" s="40">
        <v>252</v>
      </c>
      <c r="M253" s="44"/>
      <c r="N253" s="45"/>
      <c r="O253" s="18">
        <v>0</v>
      </c>
      <c r="P253" s="18">
        <v>0</v>
      </c>
      <c r="Q253" s="61">
        <v>0.83199999999999996</v>
      </c>
      <c r="R253" s="46"/>
    </row>
    <row r="254" spans="1:18" ht="25.5">
      <c r="A254" s="33" t="s">
        <v>6496</v>
      </c>
      <c r="B254" s="40" t="s">
        <v>7765</v>
      </c>
      <c r="C254" s="47">
        <v>40394</v>
      </c>
      <c r="D254" s="47" t="s">
        <v>8465</v>
      </c>
      <c r="E254" s="40" t="s">
        <v>72</v>
      </c>
      <c r="F254" s="40" t="s">
        <v>72</v>
      </c>
      <c r="G254" s="42" t="s">
        <v>113</v>
      </c>
      <c r="H254" s="65" t="s">
        <v>56</v>
      </c>
      <c r="J254" s="43"/>
      <c r="K254" s="61">
        <v>0.9</v>
      </c>
      <c r="L254" s="40">
        <v>253</v>
      </c>
      <c r="M254" s="44"/>
      <c r="N254" s="45"/>
      <c r="O254" s="18">
        <v>0</v>
      </c>
      <c r="P254" s="18">
        <v>0</v>
      </c>
      <c r="Q254" s="61">
        <v>0.70960000000000001</v>
      </c>
      <c r="R254" s="46"/>
    </row>
    <row r="255" spans="1:18" ht="25.5">
      <c r="A255" s="33" t="s">
        <v>6369</v>
      </c>
      <c r="B255" s="40" t="s">
        <v>7765</v>
      </c>
      <c r="C255" s="47">
        <v>40088</v>
      </c>
      <c r="D255" s="47" t="s">
        <v>8465</v>
      </c>
      <c r="E255" s="40" t="s">
        <v>2137</v>
      </c>
      <c r="F255" s="40" t="s">
        <v>2137</v>
      </c>
      <c r="G255" s="42" t="s">
        <v>6434</v>
      </c>
      <c r="H255" s="65" t="s">
        <v>64</v>
      </c>
      <c r="J255" s="43"/>
      <c r="K255" s="61">
        <v>0.8</v>
      </c>
      <c r="L255" s="40">
        <v>254</v>
      </c>
      <c r="M255" s="44"/>
      <c r="N255" s="45"/>
      <c r="O255" s="18">
        <v>0</v>
      </c>
      <c r="P255" s="18">
        <v>0</v>
      </c>
      <c r="Q255" s="61"/>
      <c r="R255" s="46"/>
    </row>
    <row r="256" spans="1:18">
      <c r="A256" s="33" t="s">
        <v>6370</v>
      </c>
      <c r="B256" s="40" t="s">
        <v>7765</v>
      </c>
      <c r="C256" s="47">
        <v>40314</v>
      </c>
      <c r="D256" s="47" t="s">
        <v>8465</v>
      </c>
      <c r="E256" s="40" t="s">
        <v>6438</v>
      </c>
      <c r="F256" s="40" t="s">
        <v>6438</v>
      </c>
      <c r="G256" s="42" t="s">
        <v>6438</v>
      </c>
      <c r="H256" s="65" t="s">
        <v>9963</v>
      </c>
      <c r="J256" s="43"/>
      <c r="K256" s="61">
        <v>0.9</v>
      </c>
      <c r="L256" s="40">
        <v>255</v>
      </c>
      <c r="M256" s="44"/>
      <c r="N256" s="45"/>
      <c r="O256" s="18">
        <v>0</v>
      </c>
      <c r="P256" s="18">
        <v>0</v>
      </c>
      <c r="Q256" s="61">
        <v>0.7</v>
      </c>
      <c r="R256" s="46"/>
    </row>
    <row r="257" spans="1:18">
      <c r="A257" s="33" t="s">
        <v>6371</v>
      </c>
      <c r="B257" s="40" t="s">
        <v>7765</v>
      </c>
      <c r="C257" s="47">
        <v>40366</v>
      </c>
      <c r="D257" s="47" t="s">
        <v>8465</v>
      </c>
      <c r="E257" s="40" t="s">
        <v>6438</v>
      </c>
      <c r="F257" s="40" t="s">
        <v>6438</v>
      </c>
      <c r="G257" s="42" t="s">
        <v>6438</v>
      </c>
      <c r="H257" s="65" t="s">
        <v>21</v>
      </c>
      <c r="J257" s="43"/>
      <c r="K257" s="61">
        <v>0.8</v>
      </c>
      <c r="L257" s="40">
        <v>256</v>
      </c>
      <c r="M257" s="44"/>
      <c r="N257" s="45"/>
      <c r="O257" s="18">
        <v>0</v>
      </c>
      <c r="P257" s="18">
        <v>0</v>
      </c>
      <c r="Q257" s="61">
        <v>0.7</v>
      </c>
      <c r="R257" s="46"/>
    </row>
    <row r="258" spans="1:18">
      <c r="A258" s="33" t="s">
        <v>6372</v>
      </c>
      <c r="B258" s="40" t="s">
        <v>7765</v>
      </c>
      <c r="C258" s="47">
        <v>39822</v>
      </c>
      <c r="D258" s="47" t="s">
        <v>8465</v>
      </c>
      <c r="E258" s="40" t="s">
        <v>6439</v>
      </c>
      <c r="F258" s="40" t="s">
        <v>6439</v>
      </c>
      <c r="G258" s="42"/>
      <c r="H258" s="65" t="s">
        <v>9963</v>
      </c>
      <c r="J258" s="43"/>
      <c r="K258" s="61">
        <v>0.8</v>
      </c>
      <c r="L258" s="40">
        <v>257</v>
      </c>
      <c r="M258" s="44"/>
      <c r="N258" s="45"/>
      <c r="O258" s="18">
        <v>0</v>
      </c>
      <c r="P258" s="18">
        <v>0</v>
      </c>
      <c r="Q258" s="61"/>
      <c r="R258" s="46"/>
    </row>
    <row r="259" spans="1:18">
      <c r="A259" s="33" t="s">
        <v>322</v>
      </c>
      <c r="B259" s="40" t="s">
        <v>6317</v>
      </c>
      <c r="C259" s="49">
        <v>35796</v>
      </c>
      <c r="D259" s="47" t="s">
        <v>8465</v>
      </c>
      <c r="E259" s="40" t="s">
        <v>228</v>
      </c>
      <c r="F259" s="40" t="s">
        <v>467</v>
      </c>
      <c r="G259" s="42"/>
      <c r="H259" s="65" t="s">
        <v>21</v>
      </c>
      <c r="J259" s="43"/>
      <c r="K259" s="61">
        <v>0.7</v>
      </c>
      <c r="L259" s="40">
        <v>258</v>
      </c>
      <c r="M259" s="44"/>
      <c r="N259" s="45"/>
      <c r="O259" s="18">
        <v>0</v>
      </c>
      <c r="P259" s="18">
        <v>1</v>
      </c>
      <c r="Q259" s="61"/>
      <c r="R259" s="46"/>
    </row>
    <row r="260" spans="1:18">
      <c r="A260" s="33" t="s">
        <v>111</v>
      </c>
      <c r="B260" s="40" t="s">
        <v>7731</v>
      </c>
      <c r="C260" s="47">
        <v>34761</v>
      </c>
      <c r="D260" s="47" t="s">
        <v>8465</v>
      </c>
      <c r="E260" s="40" t="s">
        <v>170</v>
      </c>
      <c r="F260" s="40" t="s">
        <v>155</v>
      </c>
      <c r="G260" s="42" t="s">
        <v>111</v>
      </c>
      <c r="H260" s="65" t="s">
        <v>459</v>
      </c>
      <c r="J260" s="43"/>
      <c r="K260" s="61">
        <v>0.6</v>
      </c>
      <c r="L260" s="40">
        <v>259</v>
      </c>
      <c r="M260" s="44"/>
      <c r="N260" s="45"/>
      <c r="O260" s="18">
        <v>0</v>
      </c>
      <c r="P260" s="18">
        <v>1</v>
      </c>
      <c r="Q260" s="61"/>
      <c r="R260" s="46"/>
    </row>
    <row r="261" spans="1:18">
      <c r="A261" s="33" t="s">
        <v>323</v>
      </c>
      <c r="B261" s="40" t="s">
        <v>6317</v>
      </c>
      <c r="C261" s="49">
        <v>34700</v>
      </c>
      <c r="D261" s="47" t="s">
        <v>8465</v>
      </c>
      <c r="E261" s="40" t="s">
        <v>228</v>
      </c>
      <c r="F261" s="40" t="s">
        <v>467</v>
      </c>
      <c r="G261" s="42" t="s">
        <v>323</v>
      </c>
      <c r="H261" s="65" t="s">
        <v>21</v>
      </c>
      <c r="J261" s="43"/>
      <c r="K261" s="61">
        <v>0.7</v>
      </c>
      <c r="L261" s="40">
        <v>260</v>
      </c>
      <c r="M261" s="44"/>
      <c r="N261" s="45"/>
      <c r="O261" s="18">
        <v>0</v>
      </c>
      <c r="P261" s="18">
        <v>1</v>
      </c>
      <c r="Q261" s="61"/>
      <c r="R261" s="46"/>
    </row>
    <row r="262" spans="1:18" ht="25.5">
      <c r="A262" s="33" t="s">
        <v>6373</v>
      </c>
      <c r="B262" s="40" t="s">
        <v>7765</v>
      </c>
      <c r="C262" s="47">
        <v>39808</v>
      </c>
      <c r="D262" s="47" t="s">
        <v>8465</v>
      </c>
      <c r="E262" s="40" t="s">
        <v>6440</v>
      </c>
      <c r="F262" s="40" t="s">
        <v>6440</v>
      </c>
      <c r="G262" s="42" t="s">
        <v>6441</v>
      </c>
      <c r="H262" s="65" t="s">
        <v>27</v>
      </c>
      <c r="J262" s="43"/>
      <c r="K262" s="61">
        <v>0.7</v>
      </c>
      <c r="L262" s="40">
        <v>261</v>
      </c>
      <c r="M262" s="44"/>
      <c r="N262" s="45"/>
      <c r="O262" s="18">
        <v>0</v>
      </c>
      <c r="P262" s="18">
        <v>0</v>
      </c>
      <c r="Q262" s="61"/>
      <c r="R262" s="46"/>
    </row>
    <row r="263" spans="1:18">
      <c r="A263" s="33" t="s">
        <v>324</v>
      </c>
      <c r="B263" s="40" t="s">
        <v>6317</v>
      </c>
      <c r="C263" s="49">
        <v>34700</v>
      </c>
      <c r="D263" s="47" t="s">
        <v>8467</v>
      </c>
      <c r="E263" s="40" t="s">
        <v>54</v>
      </c>
      <c r="F263" s="40" t="s">
        <v>54</v>
      </c>
      <c r="G263" s="42"/>
      <c r="H263" s="65" t="s">
        <v>21</v>
      </c>
      <c r="J263" s="43"/>
      <c r="K263" s="61">
        <v>0.5</v>
      </c>
      <c r="L263" s="40">
        <v>262</v>
      </c>
      <c r="M263" s="44"/>
      <c r="N263" s="45"/>
      <c r="O263" s="18">
        <v>0</v>
      </c>
      <c r="P263" s="18">
        <v>1</v>
      </c>
      <c r="Q263" s="61"/>
      <c r="R263" s="46"/>
    </row>
    <row r="264" spans="1:18">
      <c r="A264" s="33" t="s">
        <v>67</v>
      </c>
      <c r="B264" s="40" t="s">
        <v>7784</v>
      </c>
      <c r="C264" s="41">
        <v>29190</v>
      </c>
      <c r="D264" s="47" t="s">
        <v>8465</v>
      </c>
      <c r="E264" s="40" t="s">
        <v>311</v>
      </c>
      <c r="F264" s="40" t="s">
        <v>311</v>
      </c>
      <c r="G264" s="42" t="s">
        <v>67</v>
      </c>
      <c r="H264" s="65" t="s">
        <v>80</v>
      </c>
      <c r="J264" s="43"/>
      <c r="K264" s="61">
        <v>0.8</v>
      </c>
      <c r="L264" s="40">
        <v>263</v>
      </c>
      <c r="M264" s="44"/>
      <c r="N264" s="45"/>
      <c r="O264" s="18">
        <v>0</v>
      </c>
      <c r="P264" s="18">
        <v>1</v>
      </c>
      <c r="Q264" s="61"/>
      <c r="R264" s="46"/>
    </row>
    <row r="265" spans="1:18" ht="25.5">
      <c r="A265" s="33" t="s">
        <v>325</v>
      </c>
      <c r="B265" s="40" t="s">
        <v>6317</v>
      </c>
      <c r="C265" s="47">
        <v>35040</v>
      </c>
      <c r="D265" s="47" t="s">
        <v>8465</v>
      </c>
      <c r="E265" s="40" t="s">
        <v>73</v>
      </c>
      <c r="F265" s="40" t="s">
        <v>73</v>
      </c>
      <c r="G265" s="42">
        <v>1942</v>
      </c>
      <c r="H265" s="65" t="s">
        <v>21</v>
      </c>
      <c r="J265" s="43"/>
      <c r="K265" s="61">
        <v>0.7</v>
      </c>
      <c r="L265" s="40">
        <v>264</v>
      </c>
      <c r="M265" s="44"/>
      <c r="N265" s="45"/>
      <c r="O265" s="18">
        <v>0</v>
      </c>
      <c r="P265" s="18">
        <v>1</v>
      </c>
      <c r="Q265" s="61"/>
      <c r="R265" s="46"/>
    </row>
    <row r="266" spans="1:18">
      <c r="A266" s="33" t="s">
        <v>43</v>
      </c>
      <c r="B266" s="40" t="s">
        <v>6317</v>
      </c>
      <c r="C266" s="49">
        <v>33604</v>
      </c>
      <c r="D266" s="47" t="s">
        <v>8465</v>
      </c>
      <c r="E266" s="40" t="s">
        <v>72</v>
      </c>
      <c r="F266" s="40" t="s">
        <v>72</v>
      </c>
      <c r="G266" s="42" t="s">
        <v>43</v>
      </c>
      <c r="H266" s="65" t="s">
        <v>153</v>
      </c>
      <c r="J266" s="43"/>
      <c r="K266" s="61">
        <v>0.6</v>
      </c>
      <c r="L266" s="40">
        <v>265</v>
      </c>
      <c r="M266" s="44"/>
      <c r="N266" s="45"/>
      <c r="O266" s="18">
        <v>0</v>
      </c>
      <c r="P266" s="18">
        <v>1</v>
      </c>
      <c r="Q266" s="61"/>
      <c r="R266" s="46"/>
    </row>
    <row r="267" spans="1:18">
      <c r="A267" s="33" t="s">
        <v>6374</v>
      </c>
      <c r="B267" s="40" t="s">
        <v>7765</v>
      </c>
      <c r="C267" s="47">
        <v>40306</v>
      </c>
      <c r="D267" s="47" t="s">
        <v>8465</v>
      </c>
      <c r="E267" s="40" t="s">
        <v>6442</v>
      </c>
      <c r="F267" s="40" t="s">
        <v>6442</v>
      </c>
      <c r="G267" s="42"/>
      <c r="H267" s="65" t="s">
        <v>21</v>
      </c>
      <c r="J267" s="43"/>
      <c r="K267" s="61">
        <v>0.6</v>
      </c>
      <c r="L267" s="40">
        <v>266</v>
      </c>
      <c r="M267" s="44"/>
      <c r="N267" s="45"/>
      <c r="O267" s="18">
        <v>0</v>
      </c>
      <c r="P267" s="18">
        <v>0</v>
      </c>
      <c r="Q267" s="61"/>
      <c r="R267" s="46"/>
    </row>
    <row r="268" spans="1:18">
      <c r="A268" s="33" t="s">
        <v>326</v>
      </c>
      <c r="B268" s="40" t="s">
        <v>6317</v>
      </c>
      <c r="C268" s="47">
        <v>35466</v>
      </c>
      <c r="D268" s="47" t="s">
        <v>8465</v>
      </c>
      <c r="E268" s="40" t="s">
        <v>228</v>
      </c>
      <c r="F268" s="40" t="s">
        <v>467</v>
      </c>
      <c r="G268" s="42" t="s">
        <v>323</v>
      </c>
      <c r="H268" s="65" t="s">
        <v>21</v>
      </c>
      <c r="J268" s="43"/>
      <c r="K268" s="61">
        <v>0.7</v>
      </c>
      <c r="L268" s="40">
        <v>267</v>
      </c>
      <c r="M268" s="44"/>
      <c r="N268" s="45"/>
      <c r="O268" s="18">
        <v>0</v>
      </c>
      <c r="P268" s="18">
        <v>1</v>
      </c>
      <c r="Q268" s="61"/>
      <c r="R268" s="46"/>
    </row>
    <row r="269" spans="1:18">
      <c r="A269" s="33" t="s">
        <v>327</v>
      </c>
      <c r="B269" s="40" t="s">
        <v>6317</v>
      </c>
      <c r="C269" s="47">
        <v>36697</v>
      </c>
      <c r="D269" s="47" t="s">
        <v>8465</v>
      </c>
      <c r="E269" s="40" t="s">
        <v>73</v>
      </c>
      <c r="F269" s="40" t="s">
        <v>9973</v>
      </c>
      <c r="G269" s="42">
        <v>1942</v>
      </c>
      <c r="H269" s="65" t="s">
        <v>21</v>
      </c>
      <c r="J269" s="43"/>
      <c r="K269" s="61">
        <v>0.7</v>
      </c>
      <c r="L269" s="40">
        <v>268</v>
      </c>
      <c r="M269" s="44"/>
      <c r="N269" s="45"/>
      <c r="O269" s="18">
        <v>0</v>
      </c>
      <c r="P269" s="18">
        <v>1</v>
      </c>
      <c r="Q269" s="61"/>
      <c r="R269" s="46"/>
    </row>
    <row r="270" spans="1:18" ht="25.5">
      <c r="A270" s="33" t="s">
        <v>1744</v>
      </c>
      <c r="B270" s="40" t="s">
        <v>7745</v>
      </c>
      <c r="C270" s="41">
        <v>33573</v>
      </c>
      <c r="D270" s="47" t="s">
        <v>8465</v>
      </c>
      <c r="E270" s="40" t="s">
        <v>73</v>
      </c>
      <c r="F270" s="40" t="s">
        <v>1745</v>
      </c>
      <c r="G270" s="42" t="s">
        <v>89</v>
      </c>
      <c r="H270" s="65" t="s">
        <v>56</v>
      </c>
      <c r="J270" s="43"/>
      <c r="K270" s="61">
        <v>0.7</v>
      </c>
      <c r="L270" s="40">
        <v>269</v>
      </c>
      <c r="M270" s="44"/>
      <c r="N270" s="45"/>
      <c r="O270" s="18">
        <v>0</v>
      </c>
      <c r="P270" s="18">
        <v>1</v>
      </c>
      <c r="Q270" s="61">
        <v>0.69</v>
      </c>
      <c r="R270" s="46"/>
    </row>
    <row r="271" spans="1:18">
      <c r="A271" s="33" t="s">
        <v>1746</v>
      </c>
      <c r="B271" s="40" t="s">
        <v>7745</v>
      </c>
      <c r="C271" s="41">
        <v>33635</v>
      </c>
      <c r="D271" s="47" t="s">
        <v>8465</v>
      </c>
      <c r="E271" s="40" t="s">
        <v>86</v>
      </c>
      <c r="F271" s="40" t="s">
        <v>1778</v>
      </c>
      <c r="G271" s="42" t="s">
        <v>89</v>
      </c>
      <c r="H271" s="65" t="s">
        <v>56</v>
      </c>
      <c r="J271" s="43"/>
      <c r="K271" s="61">
        <v>0.7</v>
      </c>
      <c r="L271" s="40">
        <v>270</v>
      </c>
      <c r="M271" s="44"/>
      <c r="N271" s="45"/>
      <c r="O271" s="18">
        <v>0</v>
      </c>
      <c r="P271" s="18">
        <v>1</v>
      </c>
      <c r="Q271" s="61">
        <v>0.68830000000000002</v>
      </c>
      <c r="R271" s="46"/>
    </row>
    <row r="272" spans="1:18">
      <c r="A272" s="33" t="s">
        <v>1747</v>
      </c>
      <c r="B272" s="40" t="s">
        <v>7745</v>
      </c>
      <c r="C272" s="41">
        <v>33939</v>
      </c>
      <c r="D272" s="47" t="s">
        <v>8465</v>
      </c>
      <c r="E272" s="40" t="s">
        <v>73</v>
      </c>
      <c r="F272" s="40" t="s">
        <v>1745</v>
      </c>
      <c r="G272" s="42" t="s">
        <v>89</v>
      </c>
      <c r="H272" s="65" t="s">
        <v>56</v>
      </c>
      <c r="J272" s="43"/>
      <c r="K272" s="61">
        <v>0.7</v>
      </c>
      <c r="L272" s="40">
        <v>271</v>
      </c>
      <c r="M272" s="44"/>
      <c r="N272" s="45"/>
      <c r="O272" s="18">
        <v>0</v>
      </c>
      <c r="P272" s="18">
        <v>1</v>
      </c>
      <c r="Q272" s="61">
        <v>0.82499999999999996</v>
      </c>
      <c r="R272" s="46"/>
    </row>
    <row r="273" spans="1:18">
      <c r="A273" s="33" t="s">
        <v>1748</v>
      </c>
      <c r="B273" s="40" t="s">
        <v>7745</v>
      </c>
      <c r="C273" s="41">
        <v>34304</v>
      </c>
      <c r="D273" s="47" t="s">
        <v>8465</v>
      </c>
      <c r="E273" s="40" t="s">
        <v>73</v>
      </c>
      <c r="F273" s="40" t="s">
        <v>1745</v>
      </c>
      <c r="G273" s="42" t="s">
        <v>89</v>
      </c>
      <c r="H273" s="65" t="s">
        <v>56</v>
      </c>
      <c r="J273" s="43"/>
      <c r="K273" s="61">
        <v>0.7</v>
      </c>
      <c r="L273" s="40">
        <v>272</v>
      </c>
      <c r="M273" s="44"/>
      <c r="N273" s="45"/>
      <c r="O273" s="18">
        <v>0</v>
      </c>
      <c r="P273" s="18">
        <v>1</v>
      </c>
      <c r="Q273" s="61">
        <v>0.73829999999999996</v>
      </c>
      <c r="R273" s="46"/>
    </row>
    <row r="274" spans="1:18">
      <c r="A274" s="33" t="s">
        <v>5058</v>
      </c>
      <c r="B274" s="40" t="s">
        <v>7765</v>
      </c>
      <c r="C274" s="47">
        <v>39892</v>
      </c>
      <c r="D274" s="47" t="s">
        <v>8465</v>
      </c>
      <c r="E274" s="40" t="s">
        <v>5057</v>
      </c>
      <c r="F274" s="40" t="s">
        <v>5057</v>
      </c>
      <c r="G274" s="42" t="s">
        <v>5058</v>
      </c>
      <c r="H274" s="65" t="s">
        <v>1334</v>
      </c>
      <c r="J274" s="43"/>
      <c r="K274" s="61">
        <v>0.8</v>
      </c>
      <c r="L274" s="40">
        <v>273</v>
      </c>
      <c r="M274" s="44"/>
      <c r="N274" s="45"/>
      <c r="O274" s="18">
        <v>0</v>
      </c>
      <c r="P274" s="18">
        <v>0</v>
      </c>
      <c r="Q274" s="61">
        <v>0.8</v>
      </c>
      <c r="R274" s="46"/>
    </row>
    <row r="275" spans="1:18">
      <c r="A275" s="33" t="s">
        <v>1749</v>
      </c>
      <c r="B275" s="40" t="s">
        <v>7745</v>
      </c>
      <c r="C275" s="41">
        <v>34578</v>
      </c>
      <c r="D275" s="47" t="s">
        <v>8465</v>
      </c>
      <c r="E275" s="40" t="s">
        <v>73</v>
      </c>
      <c r="F275" s="40" t="s">
        <v>1745</v>
      </c>
      <c r="G275" s="42" t="s">
        <v>89</v>
      </c>
      <c r="H275" s="65" t="s">
        <v>56</v>
      </c>
      <c r="J275" s="43"/>
      <c r="K275" s="61">
        <v>0.7</v>
      </c>
      <c r="L275" s="40">
        <v>274</v>
      </c>
      <c r="M275" s="44"/>
      <c r="N275" s="45"/>
      <c r="O275" s="18">
        <v>0</v>
      </c>
      <c r="P275" s="18">
        <v>1</v>
      </c>
      <c r="Q275" s="61">
        <v>0.75829999999999997</v>
      </c>
      <c r="R275" s="46"/>
    </row>
    <row r="276" spans="1:18">
      <c r="A276" s="33" t="s">
        <v>2516</v>
      </c>
      <c r="B276" s="40" t="s">
        <v>7751</v>
      </c>
      <c r="C276" s="41">
        <v>33482</v>
      </c>
      <c r="D276" s="47" t="s">
        <v>8465</v>
      </c>
      <c r="E276" s="40" t="s">
        <v>455</v>
      </c>
      <c r="F276" s="40" t="s">
        <v>455</v>
      </c>
      <c r="G276" s="42" t="s">
        <v>2516</v>
      </c>
      <c r="H276" s="65" t="s">
        <v>153</v>
      </c>
      <c r="J276" s="43"/>
      <c r="K276" s="61">
        <v>0.7</v>
      </c>
      <c r="L276" s="40">
        <v>275</v>
      </c>
      <c r="M276" s="44"/>
      <c r="N276" s="45"/>
      <c r="O276" s="18">
        <v>0</v>
      </c>
      <c r="P276" s="18">
        <v>1</v>
      </c>
      <c r="Q276" s="61">
        <v>0.75219999999999998</v>
      </c>
      <c r="R276" s="46"/>
    </row>
    <row r="277" spans="1:18" ht="25.5">
      <c r="A277" s="33" t="s">
        <v>919</v>
      </c>
      <c r="B277" s="40" t="s">
        <v>7740</v>
      </c>
      <c r="C277" s="47">
        <v>38306</v>
      </c>
      <c r="D277" s="47" t="s">
        <v>8465</v>
      </c>
      <c r="E277" s="40" t="s">
        <v>86</v>
      </c>
      <c r="F277" s="40" t="s">
        <v>1139</v>
      </c>
      <c r="G277" s="42" t="s">
        <v>109</v>
      </c>
      <c r="H277" s="65" t="s">
        <v>1050</v>
      </c>
      <c r="J277" s="43"/>
      <c r="K277" s="61">
        <v>0.7</v>
      </c>
      <c r="L277" s="40">
        <v>276</v>
      </c>
      <c r="M277" s="44"/>
      <c r="N277" s="45"/>
      <c r="O277" s="18">
        <v>0</v>
      </c>
      <c r="P277" s="18">
        <v>0</v>
      </c>
      <c r="Q277" s="61">
        <v>0.92049999999999998</v>
      </c>
      <c r="R277" s="46"/>
    </row>
    <row r="278" spans="1:18" ht="25.5">
      <c r="A278" s="33" t="s">
        <v>2517</v>
      </c>
      <c r="B278" s="40" t="s">
        <v>7751</v>
      </c>
      <c r="C278" s="41">
        <v>34731</v>
      </c>
      <c r="D278" s="47" t="s">
        <v>8465</v>
      </c>
      <c r="E278" s="40" t="s">
        <v>73</v>
      </c>
      <c r="F278" s="40" t="s">
        <v>1745</v>
      </c>
      <c r="G278" s="42" t="s">
        <v>89</v>
      </c>
      <c r="H278" s="65" t="s">
        <v>56</v>
      </c>
      <c r="J278" s="43"/>
      <c r="K278" s="61">
        <v>0.7</v>
      </c>
      <c r="L278" s="40">
        <v>277</v>
      </c>
      <c r="M278" s="44"/>
      <c r="N278" s="45"/>
      <c r="O278" s="18">
        <v>0</v>
      </c>
      <c r="P278" s="18">
        <v>1</v>
      </c>
      <c r="Q278" s="61">
        <v>0.9</v>
      </c>
      <c r="R278" s="46"/>
    </row>
    <row r="279" spans="1:18">
      <c r="A279" s="33" t="s">
        <v>6309</v>
      </c>
      <c r="B279" s="40" t="s">
        <v>7765</v>
      </c>
      <c r="C279" s="47">
        <v>40134</v>
      </c>
      <c r="D279" s="47" t="s">
        <v>8465</v>
      </c>
      <c r="E279" s="40" t="s">
        <v>1047</v>
      </c>
      <c r="F279" s="40" t="s">
        <v>1048</v>
      </c>
      <c r="G279" s="42" t="s">
        <v>1563</v>
      </c>
      <c r="H279" s="65" t="s">
        <v>80</v>
      </c>
      <c r="J279" s="43"/>
      <c r="K279" s="61">
        <v>0.9</v>
      </c>
      <c r="L279" s="40">
        <v>278</v>
      </c>
      <c r="M279" s="44"/>
      <c r="N279" s="45"/>
      <c r="O279" s="18">
        <v>0</v>
      </c>
      <c r="P279" s="18">
        <v>0</v>
      </c>
      <c r="Q279" s="61">
        <v>0.90010000000000001</v>
      </c>
      <c r="R279" s="46"/>
    </row>
    <row r="280" spans="1:18" ht="25.5">
      <c r="A280" s="33" t="s">
        <v>6375</v>
      </c>
      <c r="B280" s="40" t="s">
        <v>7765</v>
      </c>
      <c r="C280" s="47">
        <v>40383</v>
      </c>
      <c r="D280" s="47" t="s">
        <v>8465</v>
      </c>
      <c r="E280" s="40" t="s">
        <v>6443</v>
      </c>
      <c r="F280" s="40" t="s">
        <v>6443</v>
      </c>
      <c r="G280" s="42" t="s">
        <v>6444</v>
      </c>
      <c r="H280" s="65" t="s">
        <v>64</v>
      </c>
      <c r="J280" s="43"/>
      <c r="K280" s="61">
        <v>0.8</v>
      </c>
      <c r="L280" s="40">
        <v>279</v>
      </c>
      <c r="M280" s="44"/>
      <c r="N280" s="45"/>
      <c r="O280" s="18">
        <v>0</v>
      </c>
      <c r="P280" s="18">
        <v>0</v>
      </c>
      <c r="Q280" s="61"/>
      <c r="R280" s="46"/>
    </row>
    <row r="281" spans="1:18">
      <c r="A281" s="33" t="s">
        <v>6376</v>
      </c>
      <c r="B281" s="40" t="s">
        <v>7765</v>
      </c>
      <c r="C281" s="47">
        <v>40159</v>
      </c>
      <c r="D281" s="47" t="s">
        <v>8465</v>
      </c>
      <c r="E281" s="40" t="s">
        <v>6445</v>
      </c>
      <c r="F281" s="40" t="s">
        <v>6445</v>
      </c>
      <c r="G281" s="42"/>
      <c r="H281" s="65" t="s">
        <v>21</v>
      </c>
      <c r="J281" s="43"/>
      <c r="K281" s="61">
        <v>0.6</v>
      </c>
      <c r="L281" s="40">
        <v>280</v>
      </c>
      <c r="M281" s="44"/>
      <c r="N281" s="45"/>
      <c r="O281" s="18">
        <v>0</v>
      </c>
      <c r="P281" s="18">
        <v>0</v>
      </c>
      <c r="Q281" s="61">
        <v>0.8</v>
      </c>
      <c r="R281" s="46"/>
    </row>
    <row r="282" spans="1:18">
      <c r="A282" s="33" t="s">
        <v>6377</v>
      </c>
      <c r="B282" s="40" t="s">
        <v>7765</v>
      </c>
      <c r="C282" s="47">
        <v>39766</v>
      </c>
      <c r="D282" s="47" t="s">
        <v>8465</v>
      </c>
      <c r="E282" s="40" t="s">
        <v>4946</v>
      </c>
      <c r="F282" s="40" t="s">
        <v>4946</v>
      </c>
      <c r="G282" s="42"/>
      <c r="H282" s="65" t="s">
        <v>147</v>
      </c>
      <c r="J282" s="43"/>
      <c r="K282" s="61">
        <v>0.7</v>
      </c>
      <c r="L282" s="40">
        <v>281</v>
      </c>
      <c r="M282" s="44"/>
      <c r="N282" s="45"/>
      <c r="O282" s="18">
        <v>0</v>
      </c>
      <c r="P282" s="18">
        <v>0</v>
      </c>
      <c r="Q282" s="61">
        <v>0.754</v>
      </c>
      <c r="R282" s="46"/>
    </row>
    <row r="283" spans="1:18" ht="25.5">
      <c r="A283" s="33" t="s">
        <v>6378</v>
      </c>
      <c r="B283" s="40" t="s">
        <v>7765</v>
      </c>
      <c r="C283" s="47">
        <v>40414</v>
      </c>
      <c r="D283" s="47" t="s">
        <v>8465</v>
      </c>
      <c r="E283" s="40" t="s">
        <v>4095</v>
      </c>
      <c r="F283" s="40" t="s">
        <v>4095</v>
      </c>
      <c r="G283" s="42"/>
      <c r="H283" s="65" t="s">
        <v>64</v>
      </c>
      <c r="J283" s="43"/>
      <c r="K283" s="61">
        <v>0.7</v>
      </c>
      <c r="L283" s="40">
        <v>282</v>
      </c>
      <c r="M283" s="44"/>
      <c r="N283" s="45"/>
      <c r="O283" s="18">
        <v>0</v>
      </c>
      <c r="P283" s="18">
        <v>0</v>
      </c>
      <c r="Q283" s="61">
        <v>0.76670000000000005</v>
      </c>
      <c r="R283" s="46"/>
    </row>
    <row r="284" spans="1:18">
      <c r="A284" s="33" t="s">
        <v>6379</v>
      </c>
      <c r="B284" s="40" t="s">
        <v>7765</v>
      </c>
      <c r="C284" s="47">
        <v>40404</v>
      </c>
      <c r="D284" s="47" t="s">
        <v>8465</v>
      </c>
      <c r="E284" s="40" t="s">
        <v>6446</v>
      </c>
      <c r="F284" s="40" t="s">
        <v>6446</v>
      </c>
      <c r="G284" s="42"/>
      <c r="H284" s="65" t="s">
        <v>21</v>
      </c>
      <c r="J284" s="43"/>
      <c r="K284" s="61">
        <v>0.8</v>
      </c>
      <c r="L284" s="40">
        <v>283</v>
      </c>
      <c r="M284" s="44"/>
      <c r="N284" s="45"/>
      <c r="O284" s="18">
        <v>0</v>
      </c>
      <c r="P284" s="18">
        <v>0</v>
      </c>
      <c r="Q284" s="61"/>
      <c r="R284" s="46"/>
    </row>
    <row r="285" spans="1:18">
      <c r="A285" s="33" t="s">
        <v>6380</v>
      </c>
      <c r="B285" s="40" t="s">
        <v>7765</v>
      </c>
      <c r="C285" s="47">
        <v>40422</v>
      </c>
      <c r="D285" s="47" t="s">
        <v>8465</v>
      </c>
      <c r="E285" s="40" t="s">
        <v>6438</v>
      </c>
      <c r="F285" s="40" t="s">
        <v>6438</v>
      </c>
      <c r="G285" s="42" t="s">
        <v>6438</v>
      </c>
      <c r="H285" s="65" t="s">
        <v>9963</v>
      </c>
      <c r="J285" s="43"/>
      <c r="K285" s="61">
        <v>0.9</v>
      </c>
      <c r="L285" s="40">
        <v>284</v>
      </c>
      <c r="M285" s="44"/>
      <c r="N285" s="45"/>
      <c r="O285" s="18">
        <v>0</v>
      </c>
      <c r="P285" s="18">
        <v>0</v>
      </c>
      <c r="Q285" s="61"/>
      <c r="R285" s="46"/>
    </row>
    <row r="286" spans="1:18">
      <c r="A286" s="33" t="s">
        <v>6381</v>
      </c>
      <c r="B286" s="40" t="s">
        <v>7765</v>
      </c>
      <c r="C286" s="47">
        <v>40238</v>
      </c>
      <c r="D286" s="47" t="s">
        <v>8465</v>
      </c>
      <c r="E286" s="40" t="s">
        <v>6447</v>
      </c>
      <c r="F286" s="40" t="s">
        <v>6447</v>
      </c>
      <c r="G286" s="42" t="s">
        <v>6381</v>
      </c>
      <c r="H286" s="65" t="s">
        <v>75</v>
      </c>
      <c r="J286" s="43"/>
      <c r="K286" s="61">
        <v>0.8</v>
      </c>
      <c r="L286" s="40">
        <v>285</v>
      </c>
      <c r="M286" s="44"/>
      <c r="N286" s="45"/>
      <c r="O286" s="18">
        <v>0</v>
      </c>
      <c r="P286" s="18">
        <v>0</v>
      </c>
      <c r="Q286" s="61"/>
      <c r="R286" s="46"/>
    </row>
    <row r="287" spans="1:18">
      <c r="A287" s="33" t="s">
        <v>3552</v>
      </c>
      <c r="B287" s="40" t="s">
        <v>7765</v>
      </c>
      <c r="C287" s="47">
        <v>40097</v>
      </c>
      <c r="D287" s="47" t="s">
        <v>8465</v>
      </c>
      <c r="E287" s="40" t="s">
        <v>6448</v>
      </c>
      <c r="F287" s="40" t="s">
        <v>6448</v>
      </c>
      <c r="G287" s="42"/>
      <c r="H287" s="65" t="s">
        <v>64</v>
      </c>
      <c r="J287" s="43"/>
      <c r="K287" s="61">
        <v>0.7</v>
      </c>
      <c r="L287" s="40">
        <v>286</v>
      </c>
      <c r="M287" s="44"/>
      <c r="N287" s="45"/>
      <c r="O287" s="18">
        <v>0</v>
      </c>
      <c r="P287" s="18">
        <v>0</v>
      </c>
      <c r="Q287" s="61"/>
      <c r="R287" s="46"/>
    </row>
    <row r="288" spans="1:18">
      <c r="A288" s="33" t="s">
        <v>6382</v>
      </c>
      <c r="B288" s="40" t="s">
        <v>7765</v>
      </c>
      <c r="C288" s="47">
        <v>40049</v>
      </c>
      <c r="D288" s="47" t="s">
        <v>8465</v>
      </c>
      <c r="E288" s="40" t="s">
        <v>6449</v>
      </c>
      <c r="F288" s="40" t="s">
        <v>6449</v>
      </c>
      <c r="G288" s="42"/>
      <c r="H288" s="65" t="s">
        <v>153</v>
      </c>
      <c r="J288" s="43"/>
      <c r="K288" s="61">
        <v>0.7</v>
      </c>
      <c r="L288" s="40">
        <v>287</v>
      </c>
      <c r="M288" s="44"/>
      <c r="N288" s="45"/>
      <c r="O288" s="18">
        <v>0</v>
      </c>
      <c r="P288" s="18">
        <v>0</v>
      </c>
      <c r="Q288" s="61">
        <v>0.69499999999999995</v>
      </c>
      <c r="R288" s="46"/>
    </row>
    <row r="289" spans="1:18" ht="25.5">
      <c r="A289" s="33" t="s">
        <v>6383</v>
      </c>
      <c r="B289" s="40" t="s">
        <v>7765</v>
      </c>
      <c r="C289" s="47">
        <v>40376</v>
      </c>
      <c r="D289" s="47" t="s">
        <v>8465</v>
      </c>
      <c r="E289" s="40" t="s">
        <v>6450</v>
      </c>
      <c r="F289" s="40" t="s">
        <v>6450</v>
      </c>
      <c r="G289" s="42"/>
      <c r="H289" s="65" t="s">
        <v>151</v>
      </c>
      <c r="J289" s="43"/>
      <c r="K289" s="61">
        <v>0.8</v>
      </c>
      <c r="L289" s="40">
        <v>288</v>
      </c>
      <c r="M289" s="44"/>
      <c r="N289" s="45"/>
      <c r="O289" s="18">
        <v>0</v>
      </c>
      <c r="P289" s="18">
        <v>0</v>
      </c>
      <c r="Q289" s="61"/>
      <c r="R289" s="46"/>
    </row>
    <row r="290" spans="1:18">
      <c r="A290" s="33" t="s">
        <v>328</v>
      </c>
      <c r="B290" s="40" t="s">
        <v>6317</v>
      </c>
      <c r="C290" s="49">
        <v>34700</v>
      </c>
      <c r="D290" s="47" t="s">
        <v>8465</v>
      </c>
      <c r="E290" s="40" t="s">
        <v>473</v>
      </c>
      <c r="F290" s="40" t="s">
        <v>473</v>
      </c>
      <c r="G290" s="42" t="s">
        <v>328</v>
      </c>
      <c r="H290" s="65" t="s">
        <v>21</v>
      </c>
      <c r="J290" s="43"/>
      <c r="K290" s="61">
        <v>0.7</v>
      </c>
      <c r="L290" s="40">
        <v>289</v>
      </c>
      <c r="M290" s="44"/>
      <c r="N290" s="45"/>
      <c r="O290" s="18">
        <v>0</v>
      </c>
      <c r="P290" s="18">
        <v>1</v>
      </c>
      <c r="Q290" s="61"/>
      <c r="R290" s="46"/>
    </row>
    <row r="291" spans="1:18">
      <c r="A291" s="33" t="s">
        <v>3889</v>
      </c>
      <c r="B291" s="40" t="s">
        <v>7765</v>
      </c>
      <c r="C291" s="47">
        <v>40439</v>
      </c>
      <c r="D291" s="47" t="s">
        <v>8465</v>
      </c>
      <c r="E291" s="40" t="s">
        <v>6451</v>
      </c>
      <c r="F291" s="40" t="s">
        <v>6451</v>
      </c>
      <c r="G291" s="42"/>
      <c r="H291" s="65" t="s">
        <v>64</v>
      </c>
      <c r="J291" s="43"/>
      <c r="K291" s="61">
        <v>0.8</v>
      </c>
      <c r="L291" s="40">
        <v>290</v>
      </c>
      <c r="M291" s="44"/>
      <c r="N291" s="45"/>
      <c r="O291" s="18">
        <v>0</v>
      </c>
      <c r="P291" s="18">
        <v>0</v>
      </c>
      <c r="Q291" s="61"/>
      <c r="R291" s="46"/>
    </row>
    <row r="292" spans="1:18" ht="25.5">
      <c r="A292" s="33" t="s">
        <v>6497</v>
      </c>
      <c r="B292" s="40" t="s">
        <v>7765</v>
      </c>
      <c r="C292" s="47">
        <v>40415</v>
      </c>
      <c r="D292" s="47" t="s">
        <v>8465</v>
      </c>
      <c r="E292" s="40" t="s">
        <v>1047</v>
      </c>
      <c r="F292" s="40" t="s">
        <v>1048</v>
      </c>
      <c r="G292" s="42" t="s">
        <v>9570</v>
      </c>
      <c r="H292" s="65" t="s">
        <v>153</v>
      </c>
      <c r="J292" s="43"/>
      <c r="K292" s="61">
        <v>0.9</v>
      </c>
      <c r="L292" s="40">
        <v>291</v>
      </c>
      <c r="M292" s="44"/>
      <c r="N292" s="45"/>
      <c r="O292" s="18">
        <v>0</v>
      </c>
      <c r="P292" s="18">
        <v>0</v>
      </c>
      <c r="Q292" s="61">
        <v>0.75539999999999996</v>
      </c>
      <c r="R292" s="46"/>
    </row>
    <row r="293" spans="1:18">
      <c r="A293" s="33" t="s">
        <v>6384</v>
      </c>
      <c r="B293" s="40" t="s">
        <v>7765</v>
      </c>
      <c r="C293" s="47">
        <v>39940</v>
      </c>
      <c r="D293" s="47" t="s">
        <v>8465</v>
      </c>
      <c r="E293" s="40" t="s">
        <v>6452</v>
      </c>
      <c r="F293" s="40" t="s">
        <v>6452</v>
      </c>
      <c r="G293" s="42" t="s">
        <v>6452</v>
      </c>
      <c r="H293" s="65" t="s">
        <v>78</v>
      </c>
      <c r="J293" s="43"/>
      <c r="K293" s="61">
        <v>0.7</v>
      </c>
      <c r="L293" s="40">
        <v>292</v>
      </c>
      <c r="M293" s="44"/>
      <c r="N293" s="45"/>
      <c r="O293" s="18">
        <v>0</v>
      </c>
      <c r="P293" s="18">
        <v>0</v>
      </c>
      <c r="Q293" s="61"/>
      <c r="R293" s="46"/>
    </row>
    <row r="294" spans="1:18">
      <c r="A294" s="33" t="s">
        <v>6354</v>
      </c>
      <c r="B294" s="40" t="s">
        <v>7765</v>
      </c>
      <c r="C294" s="47">
        <v>38678</v>
      </c>
      <c r="D294" s="47" t="s">
        <v>8465</v>
      </c>
      <c r="E294" s="40" t="s">
        <v>1273</v>
      </c>
      <c r="F294" s="40" t="s">
        <v>3400</v>
      </c>
      <c r="G294" s="42" t="s">
        <v>3401</v>
      </c>
      <c r="H294" s="65" t="s">
        <v>1050</v>
      </c>
      <c r="J294" s="43"/>
      <c r="K294" s="61">
        <v>0.7</v>
      </c>
      <c r="L294" s="40">
        <v>293</v>
      </c>
      <c r="M294" s="44"/>
      <c r="N294" s="45"/>
      <c r="O294" s="18">
        <v>0</v>
      </c>
      <c r="P294" s="18">
        <v>0</v>
      </c>
      <c r="Q294" s="61">
        <v>0.89780000000000004</v>
      </c>
      <c r="R294" s="46"/>
    </row>
    <row r="295" spans="1:18">
      <c r="A295" s="33" t="s">
        <v>6385</v>
      </c>
      <c r="B295" s="40" t="s">
        <v>7765</v>
      </c>
      <c r="C295" s="47">
        <v>40445</v>
      </c>
      <c r="D295" s="47" t="s">
        <v>8465</v>
      </c>
      <c r="E295" s="40" t="s">
        <v>6453</v>
      </c>
      <c r="F295" s="40" t="s">
        <v>6453</v>
      </c>
      <c r="G295" s="42"/>
      <c r="H295" s="65" t="s">
        <v>21</v>
      </c>
      <c r="J295" s="43"/>
      <c r="K295" s="61">
        <v>0.5</v>
      </c>
      <c r="L295" s="40">
        <v>294</v>
      </c>
      <c r="M295" s="44"/>
      <c r="N295" s="45"/>
      <c r="O295" s="18">
        <v>0</v>
      </c>
      <c r="P295" s="18">
        <v>0</v>
      </c>
      <c r="Q295" s="61">
        <v>0.65</v>
      </c>
      <c r="R295" s="46"/>
    </row>
    <row r="296" spans="1:18">
      <c r="A296" s="33" t="s">
        <v>494</v>
      </c>
      <c r="B296" s="40" t="s">
        <v>7731</v>
      </c>
      <c r="C296" s="47">
        <v>32989</v>
      </c>
      <c r="D296" s="47" t="s">
        <v>8465</v>
      </c>
      <c r="E296" s="40" t="s">
        <v>170</v>
      </c>
      <c r="F296" s="40" t="s">
        <v>568</v>
      </c>
      <c r="G296" s="42"/>
      <c r="H296" s="65" t="s">
        <v>56</v>
      </c>
      <c r="J296" s="43"/>
      <c r="K296" s="61">
        <v>0.7</v>
      </c>
      <c r="L296" s="40">
        <v>295</v>
      </c>
      <c r="M296" s="44"/>
      <c r="N296" s="45"/>
      <c r="O296" s="18">
        <v>0</v>
      </c>
      <c r="P296" s="18">
        <v>1</v>
      </c>
      <c r="Q296" s="61"/>
      <c r="R296" s="46"/>
    </row>
    <row r="297" spans="1:18">
      <c r="A297" s="33" t="s">
        <v>495</v>
      </c>
      <c r="B297" s="40" t="s">
        <v>7731</v>
      </c>
      <c r="C297" s="49">
        <v>33604</v>
      </c>
      <c r="D297" s="47" t="s">
        <v>8465</v>
      </c>
      <c r="E297" s="40" t="s">
        <v>170</v>
      </c>
      <c r="F297" s="40" t="s">
        <v>170</v>
      </c>
      <c r="G297" s="42"/>
      <c r="H297" s="65" t="s">
        <v>153</v>
      </c>
      <c r="J297" s="43"/>
      <c r="K297" s="61">
        <v>0.5</v>
      </c>
      <c r="L297" s="40">
        <v>296</v>
      </c>
      <c r="M297" s="44"/>
      <c r="N297" s="45"/>
      <c r="O297" s="18">
        <v>0</v>
      </c>
      <c r="P297" s="18">
        <v>1</v>
      </c>
      <c r="Q297" s="61"/>
      <c r="R297" s="46"/>
    </row>
    <row r="298" spans="1:18" ht="25.5">
      <c r="A298" s="33" t="s">
        <v>6386</v>
      </c>
      <c r="B298" s="40" t="s">
        <v>7765</v>
      </c>
      <c r="C298" s="47">
        <v>40436</v>
      </c>
      <c r="D298" s="47" t="s">
        <v>8465</v>
      </c>
      <c r="E298" s="40" t="s">
        <v>6454</v>
      </c>
      <c r="F298" s="40" t="s">
        <v>6454</v>
      </c>
      <c r="G298" s="42" t="s">
        <v>6386</v>
      </c>
      <c r="H298" s="65" t="s">
        <v>21</v>
      </c>
      <c r="J298" s="43"/>
      <c r="K298" s="61">
        <v>0.7</v>
      </c>
      <c r="L298" s="40">
        <v>297</v>
      </c>
      <c r="M298" s="44"/>
      <c r="N298" s="45"/>
      <c r="O298" s="18">
        <v>0</v>
      </c>
      <c r="P298" s="18">
        <v>0</v>
      </c>
      <c r="Q298" s="61">
        <v>0.75</v>
      </c>
      <c r="R298" s="46"/>
    </row>
    <row r="299" spans="1:18">
      <c r="A299" s="33" t="s">
        <v>581</v>
      </c>
      <c r="B299" s="40" t="s">
        <v>7757</v>
      </c>
      <c r="C299" s="47">
        <v>37071</v>
      </c>
      <c r="D299" s="47" t="s">
        <v>8463</v>
      </c>
      <c r="E299" s="40" t="s">
        <v>1082</v>
      </c>
      <c r="F299" s="40" t="s">
        <v>58</v>
      </c>
      <c r="G299" s="42" t="s">
        <v>1251</v>
      </c>
      <c r="H299" s="65" t="s">
        <v>149</v>
      </c>
      <c r="J299" s="43"/>
      <c r="K299" s="61">
        <v>0.9</v>
      </c>
      <c r="L299" s="40">
        <v>298</v>
      </c>
      <c r="M299" s="44"/>
      <c r="N299" s="45"/>
      <c r="O299" s="18">
        <v>0</v>
      </c>
      <c r="P299" s="18">
        <v>1</v>
      </c>
      <c r="Q299" s="61"/>
      <c r="R299" s="46"/>
    </row>
    <row r="300" spans="1:18">
      <c r="A300" s="33" t="s">
        <v>2903</v>
      </c>
      <c r="B300" s="40" t="s">
        <v>7757</v>
      </c>
      <c r="C300" s="47">
        <v>35104</v>
      </c>
      <c r="D300" s="47" t="s">
        <v>8463</v>
      </c>
      <c r="E300" s="40" t="s">
        <v>72</v>
      </c>
      <c r="F300" s="40" t="s">
        <v>72</v>
      </c>
      <c r="G300" s="42"/>
      <c r="H300" s="65" t="s">
        <v>67</v>
      </c>
      <c r="J300" s="43"/>
      <c r="K300" s="61">
        <v>0.9</v>
      </c>
      <c r="L300" s="40">
        <v>299</v>
      </c>
      <c r="M300" s="44"/>
      <c r="N300" s="45"/>
      <c r="O300" s="18">
        <v>0</v>
      </c>
      <c r="P300" s="18">
        <v>1</v>
      </c>
      <c r="Q300" s="61"/>
      <c r="R300" s="46"/>
    </row>
    <row r="301" spans="1:18">
      <c r="A301" s="33" t="s">
        <v>1762</v>
      </c>
      <c r="B301" s="40" t="s">
        <v>7751</v>
      </c>
      <c r="C301" s="49">
        <v>33239</v>
      </c>
      <c r="D301" s="47" t="s">
        <v>8465</v>
      </c>
      <c r="E301" s="40" t="s">
        <v>54</v>
      </c>
      <c r="F301" s="40" t="s">
        <v>54</v>
      </c>
      <c r="G301" s="42" t="s">
        <v>330</v>
      </c>
      <c r="H301" s="65" t="s">
        <v>21</v>
      </c>
      <c r="J301" s="43"/>
      <c r="K301" s="61">
        <v>0.7</v>
      </c>
      <c r="L301" s="40">
        <v>300</v>
      </c>
      <c r="M301" s="44"/>
      <c r="N301" s="45"/>
      <c r="O301" s="18">
        <v>0</v>
      </c>
      <c r="P301" s="18">
        <v>1</v>
      </c>
      <c r="Q301" s="61">
        <v>0.4</v>
      </c>
      <c r="R301" s="46"/>
    </row>
    <row r="302" spans="1:18">
      <c r="A302" s="33" t="s">
        <v>329</v>
      </c>
      <c r="B302" s="40" t="s">
        <v>6317</v>
      </c>
      <c r="C302" s="49">
        <v>33239</v>
      </c>
      <c r="D302" s="47" t="s">
        <v>8467</v>
      </c>
      <c r="E302" s="40" t="s">
        <v>54</v>
      </c>
      <c r="F302" s="40" t="s">
        <v>54</v>
      </c>
      <c r="G302" s="42" t="s">
        <v>330</v>
      </c>
      <c r="H302" s="65" t="s">
        <v>21</v>
      </c>
      <c r="J302" s="43"/>
      <c r="K302" s="61">
        <v>0.6</v>
      </c>
      <c r="L302" s="40">
        <v>301</v>
      </c>
      <c r="M302" s="44"/>
      <c r="N302" s="45"/>
      <c r="O302" s="18">
        <v>0</v>
      </c>
      <c r="P302" s="18">
        <v>1</v>
      </c>
      <c r="Q302" s="61"/>
      <c r="R302" s="46"/>
    </row>
    <row r="303" spans="1:18">
      <c r="A303" s="33" t="s">
        <v>330</v>
      </c>
      <c r="B303" s="40" t="s">
        <v>6317</v>
      </c>
      <c r="C303" s="41">
        <v>31809</v>
      </c>
      <c r="D303" s="47" t="s">
        <v>8463</v>
      </c>
      <c r="E303" s="40" t="s">
        <v>54</v>
      </c>
      <c r="F303" s="40" t="s">
        <v>54</v>
      </c>
      <c r="G303" s="42" t="s">
        <v>330</v>
      </c>
      <c r="H303" s="65" t="s">
        <v>21</v>
      </c>
      <c r="J303" s="43"/>
      <c r="K303" s="61">
        <v>0.6</v>
      </c>
      <c r="L303" s="40">
        <v>302</v>
      </c>
      <c r="M303" s="44"/>
      <c r="N303" s="45"/>
      <c r="O303" s="18">
        <v>0</v>
      </c>
      <c r="P303" s="18">
        <v>1</v>
      </c>
      <c r="Q303" s="61"/>
      <c r="R303" s="46"/>
    </row>
    <row r="304" spans="1:18">
      <c r="A304" s="33" t="s">
        <v>1924</v>
      </c>
      <c r="B304" s="40" t="s">
        <v>7747</v>
      </c>
      <c r="C304" s="47">
        <v>37603</v>
      </c>
      <c r="D304" s="47" t="s">
        <v>8463</v>
      </c>
      <c r="E304" s="40" t="s">
        <v>54</v>
      </c>
      <c r="F304" s="40" t="s">
        <v>1895</v>
      </c>
      <c r="G304" s="42" t="s">
        <v>330</v>
      </c>
      <c r="H304" s="65" t="s">
        <v>21</v>
      </c>
      <c r="J304" s="43"/>
      <c r="K304" s="61">
        <v>0.6</v>
      </c>
      <c r="L304" s="40">
        <v>303</v>
      </c>
      <c r="M304" s="44"/>
      <c r="N304" s="45"/>
      <c r="O304" s="18">
        <v>0</v>
      </c>
      <c r="P304" s="18">
        <v>1</v>
      </c>
      <c r="Q304" s="61"/>
      <c r="R304" s="46"/>
    </row>
    <row r="305" spans="1:18">
      <c r="A305" s="33" t="s">
        <v>596</v>
      </c>
      <c r="B305" s="40" t="s">
        <v>7736</v>
      </c>
      <c r="C305" s="41">
        <v>34213</v>
      </c>
      <c r="D305" s="47" t="s">
        <v>8465</v>
      </c>
      <c r="E305" s="40" t="s">
        <v>70</v>
      </c>
      <c r="F305" s="40" t="s">
        <v>70</v>
      </c>
      <c r="G305" s="42" t="s">
        <v>1256</v>
      </c>
      <c r="H305" s="65" t="s">
        <v>147</v>
      </c>
      <c r="J305" s="43"/>
      <c r="K305" s="61">
        <v>0.8</v>
      </c>
      <c r="L305" s="40">
        <v>304</v>
      </c>
      <c r="M305" s="44"/>
      <c r="N305" s="45"/>
      <c r="O305" s="18">
        <v>0</v>
      </c>
      <c r="P305" s="18">
        <v>1</v>
      </c>
      <c r="Q305" s="61">
        <v>0.72</v>
      </c>
      <c r="R305" s="46"/>
    </row>
    <row r="306" spans="1:18">
      <c r="A306" s="33" t="s">
        <v>1750</v>
      </c>
      <c r="B306" s="40" t="s">
        <v>7745</v>
      </c>
      <c r="C306" s="41">
        <v>33482</v>
      </c>
      <c r="D306" s="47" t="s">
        <v>8465</v>
      </c>
      <c r="E306" s="40" t="s">
        <v>70</v>
      </c>
      <c r="F306" s="40" t="s">
        <v>70</v>
      </c>
      <c r="G306" s="42" t="s">
        <v>1256</v>
      </c>
      <c r="H306" s="65" t="s">
        <v>147</v>
      </c>
      <c r="J306" s="43"/>
      <c r="K306" s="61">
        <v>0.7</v>
      </c>
      <c r="L306" s="40">
        <v>305</v>
      </c>
      <c r="M306" s="44"/>
      <c r="N306" s="45"/>
      <c r="O306" s="18">
        <v>0</v>
      </c>
      <c r="P306" s="18">
        <v>1</v>
      </c>
      <c r="Q306" s="61">
        <v>0.69</v>
      </c>
      <c r="R306" s="46"/>
    </row>
    <row r="307" spans="1:18">
      <c r="A307" s="33" t="s">
        <v>1751</v>
      </c>
      <c r="B307" s="40" t="s">
        <v>7745</v>
      </c>
      <c r="C307" s="47">
        <v>33655</v>
      </c>
      <c r="D307" s="47" t="s">
        <v>8463</v>
      </c>
      <c r="E307" s="40" t="s">
        <v>70</v>
      </c>
      <c r="F307" s="40" t="s">
        <v>70</v>
      </c>
      <c r="G307" s="42" t="s">
        <v>1256</v>
      </c>
      <c r="H307" s="65" t="s">
        <v>147</v>
      </c>
      <c r="J307" s="43"/>
      <c r="K307" s="61">
        <v>0.8</v>
      </c>
      <c r="L307" s="40">
        <v>306</v>
      </c>
      <c r="M307" s="44"/>
      <c r="N307" s="45"/>
      <c r="O307" s="18">
        <v>0</v>
      </c>
      <c r="P307" s="18">
        <v>1</v>
      </c>
      <c r="Q307" s="61"/>
      <c r="R307" s="46"/>
    </row>
    <row r="308" spans="1:18">
      <c r="A308" s="33" t="s">
        <v>597</v>
      </c>
      <c r="B308" s="40" t="s">
        <v>7736</v>
      </c>
      <c r="C308" s="47">
        <v>33473</v>
      </c>
      <c r="D308" s="47" t="s">
        <v>8465</v>
      </c>
      <c r="E308" s="40" t="s">
        <v>86</v>
      </c>
      <c r="F308" s="40" t="s">
        <v>87</v>
      </c>
      <c r="G308" s="42" t="s">
        <v>137</v>
      </c>
      <c r="H308" s="65" t="s">
        <v>64</v>
      </c>
      <c r="J308" s="43"/>
      <c r="K308" s="61">
        <v>0.9</v>
      </c>
      <c r="L308" s="40">
        <v>307</v>
      </c>
      <c r="M308" s="44"/>
      <c r="N308" s="45"/>
      <c r="O308" s="18">
        <v>0</v>
      </c>
      <c r="P308" s="18">
        <v>1</v>
      </c>
      <c r="Q308" s="61">
        <v>0.94440000000000002</v>
      </c>
      <c r="R308" s="46"/>
    </row>
    <row r="309" spans="1:18">
      <c r="A309" s="33" t="s">
        <v>1752</v>
      </c>
      <c r="B309" s="40" t="s">
        <v>7745</v>
      </c>
      <c r="C309" s="47">
        <v>33935</v>
      </c>
      <c r="D309" s="47" t="s">
        <v>8465</v>
      </c>
      <c r="E309" s="40" t="s">
        <v>160</v>
      </c>
      <c r="F309" s="40" t="s">
        <v>160</v>
      </c>
      <c r="G309" s="42"/>
      <c r="H309" s="65" t="s">
        <v>64</v>
      </c>
      <c r="J309" s="43"/>
      <c r="K309" s="61">
        <v>0.8</v>
      </c>
      <c r="L309" s="40">
        <v>308</v>
      </c>
      <c r="M309" s="44"/>
      <c r="N309" s="45"/>
      <c r="O309" s="18">
        <v>0</v>
      </c>
      <c r="P309" s="18">
        <v>1</v>
      </c>
      <c r="Q309" s="61">
        <v>0.54500000000000004</v>
      </c>
      <c r="R309" s="46"/>
    </row>
    <row r="310" spans="1:18" ht="25.5">
      <c r="A310" s="33" t="s">
        <v>122</v>
      </c>
      <c r="B310" s="40" t="s">
        <v>7734</v>
      </c>
      <c r="C310" s="41">
        <v>33117</v>
      </c>
      <c r="D310" s="47" t="s">
        <v>8465</v>
      </c>
      <c r="E310" s="40" t="s">
        <v>73</v>
      </c>
      <c r="F310" s="40" t="s">
        <v>73</v>
      </c>
      <c r="G310" s="42" t="s">
        <v>159</v>
      </c>
      <c r="H310" s="65" t="s">
        <v>64</v>
      </c>
      <c r="J310" s="43"/>
      <c r="K310" s="61">
        <v>0.7</v>
      </c>
      <c r="L310" s="40">
        <v>309</v>
      </c>
      <c r="M310" s="44"/>
      <c r="N310" s="45"/>
      <c r="O310" s="18">
        <v>0</v>
      </c>
      <c r="P310" s="18">
        <v>1</v>
      </c>
      <c r="Q310" s="61"/>
      <c r="R310" s="46"/>
    </row>
    <row r="311" spans="1:18">
      <c r="A311" s="33" t="s">
        <v>1753</v>
      </c>
      <c r="B311" s="40" t="s">
        <v>7745</v>
      </c>
      <c r="C311" s="47">
        <v>33956</v>
      </c>
      <c r="D311" s="47" t="s">
        <v>8463</v>
      </c>
      <c r="E311" s="40" t="s">
        <v>1427</v>
      </c>
      <c r="F311" s="40" t="s">
        <v>1427</v>
      </c>
      <c r="G311" s="42"/>
      <c r="H311" s="65" t="s">
        <v>21</v>
      </c>
      <c r="J311" s="43"/>
      <c r="K311" s="61">
        <v>0.8</v>
      </c>
      <c r="L311" s="40">
        <v>310</v>
      </c>
      <c r="M311" s="44"/>
      <c r="N311" s="45"/>
      <c r="O311" s="18">
        <v>0</v>
      </c>
      <c r="P311" s="18">
        <v>1</v>
      </c>
      <c r="Q311" s="61"/>
      <c r="R311" s="46"/>
    </row>
    <row r="312" spans="1:18">
      <c r="A312" s="33" t="s">
        <v>123</v>
      </c>
      <c r="B312" s="40" t="s">
        <v>7734</v>
      </c>
      <c r="C312" s="47">
        <v>31435</v>
      </c>
      <c r="D312" s="47" t="s">
        <v>8465</v>
      </c>
      <c r="E312" s="40" t="s">
        <v>72</v>
      </c>
      <c r="F312" s="40" t="s">
        <v>72</v>
      </c>
      <c r="G312" s="42" t="s">
        <v>123</v>
      </c>
      <c r="H312" s="65" t="s">
        <v>21</v>
      </c>
      <c r="J312" s="43"/>
      <c r="K312" s="61">
        <v>0.7</v>
      </c>
      <c r="L312" s="40">
        <v>311</v>
      </c>
      <c r="M312" s="44"/>
      <c r="N312" s="45"/>
      <c r="O312" s="18">
        <v>0</v>
      </c>
      <c r="P312" s="18">
        <v>1</v>
      </c>
      <c r="Q312" s="61"/>
      <c r="R312" s="46"/>
    </row>
    <row r="313" spans="1:18">
      <c r="A313" s="33" t="s">
        <v>1754</v>
      </c>
      <c r="B313" s="40" t="s">
        <v>7745</v>
      </c>
      <c r="C313" s="47">
        <v>32720</v>
      </c>
      <c r="D313" s="47" t="s">
        <v>8465</v>
      </c>
      <c r="E313" s="40" t="s">
        <v>86</v>
      </c>
      <c r="F313" s="40" t="s">
        <v>142</v>
      </c>
      <c r="G313" s="42" t="s">
        <v>137</v>
      </c>
      <c r="H313" s="65" t="s">
        <v>64</v>
      </c>
      <c r="J313" s="43"/>
      <c r="K313" s="61">
        <v>0.7</v>
      </c>
      <c r="L313" s="40">
        <v>312</v>
      </c>
      <c r="M313" s="44"/>
      <c r="N313" s="45"/>
      <c r="O313" s="18">
        <v>0</v>
      </c>
      <c r="P313" s="18">
        <v>1</v>
      </c>
      <c r="Q313" s="61">
        <v>0.77939999999999998</v>
      </c>
      <c r="R313" s="46"/>
    </row>
    <row r="314" spans="1:18" ht="25.5">
      <c r="A314" s="33" t="s">
        <v>1755</v>
      </c>
      <c r="B314" s="40" t="s">
        <v>7745</v>
      </c>
      <c r="C314" s="41">
        <v>32843</v>
      </c>
      <c r="D314" s="47" t="s">
        <v>8465</v>
      </c>
      <c r="E314" s="40" t="s">
        <v>72</v>
      </c>
      <c r="F314" s="40" t="s">
        <v>72</v>
      </c>
      <c r="G314" s="42" t="s">
        <v>113</v>
      </c>
      <c r="H314" s="65" t="s">
        <v>56</v>
      </c>
      <c r="J314" s="43"/>
      <c r="K314" s="61">
        <v>0.6</v>
      </c>
      <c r="L314" s="40">
        <v>313</v>
      </c>
      <c r="M314" s="44"/>
      <c r="N314" s="45"/>
      <c r="O314" s="18">
        <v>0</v>
      </c>
      <c r="P314" s="18">
        <v>1</v>
      </c>
      <c r="Q314" s="61">
        <v>0.55069999999999997</v>
      </c>
      <c r="R314" s="46"/>
    </row>
    <row r="315" spans="1:18">
      <c r="A315" s="33" t="s">
        <v>124</v>
      </c>
      <c r="B315" s="40" t="s">
        <v>7734</v>
      </c>
      <c r="C315" s="41">
        <v>33117</v>
      </c>
      <c r="D315" s="47" t="s">
        <v>8465</v>
      </c>
      <c r="E315" s="40" t="s">
        <v>160</v>
      </c>
      <c r="F315" s="40" t="s">
        <v>160</v>
      </c>
      <c r="G315" s="42"/>
      <c r="H315" s="65" t="s">
        <v>56</v>
      </c>
      <c r="J315" s="43"/>
      <c r="K315" s="61">
        <v>0.9</v>
      </c>
      <c r="L315" s="40">
        <v>314</v>
      </c>
      <c r="M315" s="44"/>
      <c r="N315" s="45"/>
      <c r="O315" s="18">
        <v>0</v>
      </c>
      <c r="P315" s="18">
        <v>1</v>
      </c>
      <c r="Q315" s="61"/>
      <c r="R315" s="46"/>
    </row>
    <row r="316" spans="1:18">
      <c r="A316" s="33" t="s">
        <v>1756</v>
      </c>
      <c r="B316" s="40" t="s">
        <v>7745</v>
      </c>
      <c r="C316" s="41">
        <v>32905</v>
      </c>
      <c r="D316" s="47" t="s">
        <v>8465</v>
      </c>
      <c r="E316" s="40" t="s">
        <v>86</v>
      </c>
      <c r="F316" s="40" t="s">
        <v>142</v>
      </c>
      <c r="G316" s="42"/>
      <c r="H316" s="65" t="s">
        <v>21</v>
      </c>
      <c r="J316" s="43"/>
      <c r="K316" s="61">
        <v>0.7</v>
      </c>
      <c r="L316" s="40">
        <v>315</v>
      </c>
      <c r="M316" s="44"/>
      <c r="N316" s="45"/>
      <c r="O316" s="18">
        <v>0</v>
      </c>
      <c r="P316" s="18">
        <v>1</v>
      </c>
      <c r="Q316" s="61">
        <v>0.75</v>
      </c>
      <c r="R316" s="46"/>
    </row>
    <row r="317" spans="1:18">
      <c r="A317" s="33" t="s">
        <v>125</v>
      </c>
      <c r="B317" s="40" t="s">
        <v>7734</v>
      </c>
      <c r="C317" s="47">
        <v>32899</v>
      </c>
      <c r="D317" s="47" t="s">
        <v>8465</v>
      </c>
      <c r="E317" s="40" t="s">
        <v>73</v>
      </c>
      <c r="F317" s="40" t="s">
        <v>73</v>
      </c>
      <c r="G317" s="42" t="s">
        <v>125</v>
      </c>
      <c r="H317" s="65" t="s">
        <v>64</v>
      </c>
      <c r="J317" s="43"/>
      <c r="K317" s="61">
        <v>0.8</v>
      </c>
      <c r="L317" s="40">
        <v>316</v>
      </c>
      <c r="M317" s="44"/>
      <c r="N317" s="45"/>
      <c r="O317" s="18">
        <v>0</v>
      </c>
      <c r="P317" s="18">
        <v>1</v>
      </c>
      <c r="Q317" s="61"/>
      <c r="R317" s="46"/>
    </row>
    <row r="318" spans="1:18" ht="38.25">
      <c r="A318" s="33" t="s">
        <v>1757</v>
      </c>
      <c r="B318" s="40" t="s">
        <v>7745</v>
      </c>
      <c r="C318" s="41">
        <v>33086</v>
      </c>
      <c r="D318" s="47" t="s">
        <v>8465</v>
      </c>
      <c r="E318" s="40" t="s">
        <v>72</v>
      </c>
      <c r="F318" s="40" t="s">
        <v>72</v>
      </c>
      <c r="G318" s="42" t="s">
        <v>215</v>
      </c>
      <c r="H318" s="65" t="s">
        <v>153</v>
      </c>
      <c r="J318" s="43"/>
      <c r="K318" s="61">
        <v>0.7</v>
      </c>
      <c r="L318" s="40">
        <v>317</v>
      </c>
      <c r="M318" s="44"/>
      <c r="N318" s="45"/>
      <c r="O318" s="18">
        <v>0</v>
      </c>
      <c r="P318" s="18">
        <v>1</v>
      </c>
      <c r="Q318" s="61">
        <v>0.8125</v>
      </c>
      <c r="R318" s="46"/>
    </row>
    <row r="319" spans="1:18">
      <c r="A319" s="33" t="s">
        <v>49</v>
      </c>
      <c r="B319" s="40" t="s">
        <v>7734</v>
      </c>
      <c r="C319" s="41">
        <v>33298</v>
      </c>
      <c r="D319" s="47" t="s">
        <v>8465</v>
      </c>
      <c r="E319" s="40" t="s">
        <v>54</v>
      </c>
      <c r="F319" s="40" t="s">
        <v>66</v>
      </c>
      <c r="G319" s="42" t="s">
        <v>49</v>
      </c>
      <c r="H319" s="65" t="s">
        <v>56</v>
      </c>
      <c r="J319" s="43"/>
      <c r="K319" s="61">
        <v>0.7</v>
      </c>
      <c r="L319" s="40">
        <v>318</v>
      </c>
      <c r="M319" s="44"/>
      <c r="N319" s="45"/>
      <c r="O319" s="18">
        <v>0</v>
      </c>
      <c r="P319" s="18">
        <v>1</v>
      </c>
      <c r="Q319" s="61"/>
      <c r="R319" s="46"/>
    </row>
    <row r="320" spans="1:18">
      <c r="A320" s="33" t="s">
        <v>6355</v>
      </c>
      <c r="B320" s="40" t="s">
        <v>7765</v>
      </c>
      <c r="C320" s="47">
        <v>39742</v>
      </c>
      <c r="D320" s="47" t="s">
        <v>8465</v>
      </c>
      <c r="E320" s="40" t="s">
        <v>3116</v>
      </c>
      <c r="F320" s="40" t="s">
        <v>3856</v>
      </c>
      <c r="G320" s="42" t="s">
        <v>3857</v>
      </c>
      <c r="H320" s="65" t="s">
        <v>171</v>
      </c>
      <c r="J320" s="43"/>
      <c r="K320" s="61">
        <v>0.8</v>
      </c>
      <c r="L320" s="40">
        <v>319</v>
      </c>
      <c r="M320" s="44"/>
      <c r="N320" s="45"/>
      <c r="O320" s="18">
        <v>0</v>
      </c>
      <c r="P320" s="18">
        <v>0</v>
      </c>
      <c r="Q320" s="61">
        <v>0.88500000000000001</v>
      </c>
      <c r="R320" s="46"/>
    </row>
    <row r="321" spans="1:18">
      <c r="A321" s="33" t="s">
        <v>6387</v>
      </c>
      <c r="B321" s="40" t="s">
        <v>7765</v>
      </c>
      <c r="C321" s="47">
        <v>40458</v>
      </c>
      <c r="D321" s="47" t="s">
        <v>8465</v>
      </c>
      <c r="E321" s="40" t="s">
        <v>4946</v>
      </c>
      <c r="F321" s="40" t="s">
        <v>4946</v>
      </c>
      <c r="G321" s="42"/>
      <c r="H321" s="65" t="s">
        <v>31</v>
      </c>
      <c r="J321" s="43"/>
      <c r="K321" s="61">
        <v>0.7</v>
      </c>
      <c r="L321" s="40">
        <v>320</v>
      </c>
      <c r="M321" s="44"/>
      <c r="N321" s="45"/>
      <c r="O321" s="18">
        <v>0</v>
      </c>
      <c r="P321" s="18">
        <v>0</v>
      </c>
      <c r="Q321" s="61">
        <v>0.875</v>
      </c>
      <c r="R321" s="46"/>
    </row>
    <row r="322" spans="1:18">
      <c r="A322" s="33" t="s">
        <v>6388</v>
      </c>
      <c r="B322" s="40" t="s">
        <v>7765</v>
      </c>
      <c r="C322" s="47">
        <v>40473</v>
      </c>
      <c r="D322" s="47" t="s">
        <v>8465</v>
      </c>
      <c r="E322" s="40" t="s">
        <v>6438</v>
      </c>
      <c r="F322" s="40" t="s">
        <v>6438</v>
      </c>
      <c r="G322" s="42" t="s">
        <v>6438</v>
      </c>
      <c r="H322" s="65" t="s">
        <v>143</v>
      </c>
      <c r="J322" s="43"/>
      <c r="K322" s="61">
        <v>0.9</v>
      </c>
      <c r="L322" s="40">
        <v>321</v>
      </c>
      <c r="M322" s="44"/>
      <c r="N322" s="45"/>
      <c r="O322" s="18">
        <v>0</v>
      </c>
      <c r="P322" s="18">
        <v>0</v>
      </c>
      <c r="Q322" s="61">
        <v>0.8</v>
      </c>
      <c r="R322" s="46"/>
    </row>
    <row r="323" spans="1:18">
      <c r="A323" s="33" t="s">
        <v>97</v>
      </c>
      <c r="B323" s="40" t="s">
        <v>6317</v>
      </c>
      <c r="C323" s="47">
        <v>31828</v>
      </c>
      <c r="D323" s="47" t="s">
        <v>8465</v>
      </c>
      <c r="E323" s="40" t="s">
        <v>72</v>
      </c>
      <c r="F323" s="40" t="s">
        <v>72</v>
      </c>
      <c r="G323" s="42" t="s">
        <v>97</v>
      </c>
      <c r="H323" s="65" t="s">
        <v>147</v>
      </c>
      <c r="J323" s="43"/>
      <c r="K323" s="61">
        <v>0.7</v>
      </c>
      <c r="L323" s="40">
        <v>322</v>
      </c>
      <c r="M323" s="44"/>
      <c r="N323" s="45"/>
      <c r="O323" s="18">
        <v>0</v>
      </c>
      <c r="P323" s="18">
        <v>1</v>
      </c>
      <c r="Q323" s="61"/>
      <c r="R323" s="46"/>
    </row>
    <row r="324" spans="1:18">
      <c r="A324" s="33" t="s">
        <v>6389</v>
      </c>
      <c r="B324" s="40" t="s">
        <v>7765</v>
      </c>
      <c r="C324" s="47">
        <v>40194</v>
      </c>
      <c r="D324" s="47" t="s">
        <v>8465</v>
      </c>
      <c r="E324" s="40" t="s">
        <v>6455</v>
      </c>
      <c r="F324" s="40" t="s">
        <v>6455</v>
      </c>
      <c r="G324" s="42" t="s">
        <v>6389</v>
      </c>
      <c r="H324" s="65" t="s">
        <v>21</v>
      </c>
      <c r="J324" s="43"/>
      <c r="K324" s="61">
        <v>0.6</v>
      </c>
      <c r="L324" s="40">
        <v>323</v>
      </c>
      <c r="M324" s="44"/>
      <c r="N324" s="45"/>
      <c r="O324" s="18">
        <v>0</v>
      </c>
      <c r="P324" s="18">
        <v>0</v>
      </c>
      <c r="Q324" s="61"/>
      <c r="R324" s="46"/>
    </row>
    <row r="325" spans="1:18">
      <c r="A325" s="33" t="s">
        <v>6390</v>
      </c>
      <c r="B325" s="40" t="s">
        <v>7765</v>
      </c>
      <c r="C325" s="47">
        <v>40443</v>
      </c>
      <c r="D325" s="47" t="s">
        <v>8465</v>
      </c>
      <c r="E325" s="40" t="s">
        <v>6456</v>
      </c>
      <c r="F325" s="40" t="s">
        <v>6456</v>
      </c>
      <c r="G325" s="42"/>
      <c r="H325" s="65" t="s">
        <v>1875</v>
      </c>
      <c r="J325" s="43"/>
      <c r="K325" s="61">
        <v>0.5</v>
      </c>
      <c r="L325" s="40">
        <v>324</v>
      </c>
      <c r="M325" s="44"/>
      <c r="N325" s="45"/>
      <c r="O325" s="18">
        <v>0</v>
      </c>
      <c r="P325" s="18">
        <v>0</v>
      </c>
      <c r="Q325" s="61"/>
      <c r="R325" s="46"/>
    </row>
    <row r="326" spans="1:18">
      <c r="A326" s="33" t="s">
        <v>6391</v>
      </c>
      <c r="B326" s="40" t="s">
        <v>7765</v>
      </c>
      <c r="C326" s="47">
        <v>40493</v>
      </c>
      <c r="D326" s="47" t="s">
        <v>8465</v>
      </c>
      <c r="E326" s="40" t="s">
        <v>6438</v>
      </c>
      <c r="F326" s="40" t="s">
        <v>6438</v>
      </c>
      <c r="G326" s="42" t="s">
        <v>6438</v>
      </c>
      <c r="H326" s="65" t="s">
        <v>9963</v>
      </c>
      <c r="J326" s="43"/>
      <c r="K326" s="61">
        <v>0.7</v>
      </c>
      <c r="L326" s="40">
        <v>325</v>
      </c>
      <c r="M326" s="44"/>
      <c r="N326" s="45"/>
      <c r="O326" s="18">
        <v>0</v>
      </c>
      <c r="P326" s="18">
        <v>0</v>
      </c>
      <c r="Q326" s="61">
        <v>0.92500000000000004</v>
      </c>
      <c r="R326" s="46"/>
    </row>
    <row r="327" spans="1:18" ht="30">
      <c r="A327" s="33" t="s">
        <v>1896</v>
      </c>
      <c r="B327" s="40" t="s">
        <v>7747</v>
      </c>
      <c r="C327" s="47">
        <v>39161</v>
      </c>
      <c r="D327" s="47" t="s">
        <v>8465</v>
      </c>
      <c r="E327" s="40" t="s">
        <v>1047</v>
      </c>
      <c r="F327" s="40" t="s">
        <v>1048</v>
      </c>
      <c r="G327" s="42" t="s">
        <v>215</v>
      </c>
      <c r="H327" s="65" t="s">
        <v>153</v>
      </c>
      <c r="J327" s="43"/>
      <c r="K327" s="61">
        <v>0.8</v>
      </c>
      <c r="L327" s="40">
        <v>326</v>
      </c>
      <c r="M327" s="44"/>
      <c r="N327" s="45"/>
      <c r="O327" s="18">
        <v>0</v>
      </c>
      <c r="P327" s="18">
        <v>1</v>
      </c>
      <c r="Q327" s="61">
        <v>0.76049999999999995</v>
      </c>
      <c r="R327" s="46"/>
    </row>
    <row r="328" spans="1:18">
      <c r="A328" s="33" t="s">
        <v>598</v>
      </c>
      <c r="B328" s="40" t="s">
        <v>7736</v>
      </c>
      <c r="C328" s="41">
        <v>34274</v>
      </c>
      <c r="D328" s="47" t="s">
        <v>8465</v>
      </c>
      <c r="E328" s="40" t="s">
        <v>250</v>
      </c>
      <c r="F328" s="40" t="s">
        <v>1257</v>
      </c>
      <c r="G328" s="42"/>
      <c r="H328" s="65" t="s">
        <v>147</v>
      </c>
      <c r="J328" s="43"/>
      <c r="K328" s="61">
        <v>0.4</v>
      </c>
      <c r="L328" s="40">
        <v>327</v>
      </c>
      <c r="M328" s="44"/>
      <c r="N328" s="45"/>
      <c r="O328" s="18">
        <v>0</v>
      </c>
      <c r="P328" s="18">
        <v>1</v>
      </c>
      <c r="Q328" s="61">
        <v>0.35749999999999998</v>
      </c>
      <c r="R328" s="46"/>
    </row>
    <row r="329" spans="1:18" ht="25.5">
      <c r="A329" s="33" t="s">
        <v>6392</v>
      </c>
      <c r="B329" s="40" t="s">
        <v>7765</v>
      </c>
      <c r="C329" s="47">
        <v>39824</v>
      </c>
      <c r="D329" s="47" t="s">
        <v>8465</v>
      </c>
      <c r="E329" s="40" t="s">
        <v>6457</v>
      </c>
      <c r="F329" s="40" t="s">
        <v>6457</v>
      </c>
      <c r="G329" s="42"/>
      <c r="H329" s="65" t="s">
        <v>9963</v>
      </c>
      <c r="J329" s="43"/>
      <c r="K329" s="61">
        <v>0.6</v>
      </c>
      <c r="L329" s="40">
        <v>328</v>
      </c>
      <c r="M329" s="44"/>
      <c r="N329" s="45"/>
      <c r="O329" s="18">
        <v>0</v>
      </c>
      <c r="P329" s="18">
        <v>0</v>
      </c>
      <c r="Q329" s="61">
        <v>0.65</v>
      </c>
      <c r="R329" s="46"/>
    </row>
    <row r="330" spans="1:18">
      <c r="A330" s="33" t="s">
        <v>6393</v>
      </c>
      <c r="B330" s="40" t="s">
        <v>7765</v>
      </c>
      <c r="C330" s="47">
        <v>40455</v>
      </c>
      <c r="D330" s="47" t="s">
        <v>8465</v>
      </c>
      <c r="E330" s="40" t="s">
        <v>6458</v>
      </c>
      <c r="F330" s="40" t="s">
        <v>6458</v>
      </c>
      <c r="G330" s="42"/>
      <c r="H330" s="65" t="s">
        <v>31</v>
      </c>
      <c r="J330" s="43"/>
      <c r="K330" s="61">
        <v>0.7</v>
      </c>
      <c r="L330" s="40">
        <v>329</v>
      </c>
      <c r="M330" s="44"/>
      <c r="N330" s="45"/>
      <c r="O330" s="18">
        <v>0</v>
      </c>
      <c r="P330" s="18">
        <v>0</v>
      </c>
      <c r="Q330" s="61"/>
      <c r="R330" s="46"/>
    </row>
    <row r="331" spans="1:18">
      <c r="A331" s="33" t="s">
        <v>1890</v>
      </c>
      <c r="B331" s="40" t="s">
        <v>7765</v>
      </c>
      <c r="C331" s="47">
        <v>38987</v>
      </c>
      <c r="D331" s="47" t="s">
        <v>8465</v>
      </c>
      <c r="E331" s="40" t="s">
        <v>1273</v>
      </c>
      <c r="F331" s="40" t="s">
        <v>1889</v>
      </c>
      <c r="G331" s="42" t="s">
        <v>1890</v>
      </c>
      <c r="H331" s="65" t="s">
        <v>1050</v>
      </c>
      <c r="J331" s="43"/>
      <c r="K331" s="61">
        <v>0.7</v>
      </c>
      <c r="L331" s="40">
        <v>330</v>
      </c>
      <c r="M331" s="44"/>
      <c r="N331" s="45"/>
      <c r="O331" s="18">
        <v>0</v>
      </c>
      <c r="P331" s="18">
        <v>0</v>
      </c>
      <c r="Q331" s="61">
        <v>0.80159999999999998</v>
      </c>
      <c r="R331" s="46"/>
    </row>
    <row r="332" spans="1:18" ht="25.5">
      <c r="A332" s="33" t="s">
        <v>6394</v>
      </c>
      <c r="B332" s="40" t="s">
        <v>7765</v>
      </c>
      <c r="C332" s="47">
        <v>40491</v>
      </c>
      <c r="D332" s="47" t="s">
        <v>8465</v>
      </c>
      <c r="E332" s="40" t="s">
        <v>3050</v>
      </c>
      <c r="F332" s="40" t="s">
        <v>3050</v>
      </c>
      <c r="G332" s="42"/>
      <c r="H332" s="65" t="s">
        <v>56</v>
      </c>
      <c r="J332" s="43"/>
      <c r="K332" s="61">
        <v>0.9</v>
      </c>
      <c r="L332" s="40">
        <v>331</v>
      </c>
      <c r="M332" s="44"/>
      <c r="N332" s="45"/>
      <c r="O332" s="18">
        <v>0</v>
      </c>
      <c r="P332" s="18">
        <v>0</v>
      </c>
      <c r="Q332" s="61">
        <v>0.7</v>
      </c>
      <c r="R332" s="46"/>
    </row>
    <row r="333" spans="1:18">
      <c r="A333" s="33" t="s">
        <v>6395</v>
      </c>
      <c r="B333" s="40" t="s">
        <v>7765</v>
      </c>
      <c r="C333" s="47">
        <v>40505</v>
      </c>
      <c r="D333" s="47" t="s">
        <v>8465</v>
      </c>
      <c r="E333" s="40" t="s">
        <v>6459</v>
      </c>
      <c r="F333" s="40" t="s">
        <v>6459</v>
      </c>
      <c r="G333" s="42"/>
      <c r="H333" s="65" t="s">
        <v>64</v>
      </c>
      <c r="J333" s="43"/>
      <c r="K333" s="61">
        <v>0.8</v>
      </c>
      <c r="L333" s="40">
        <v>332</v>
      </c>
      <c r="M333" s="44"/>
      <c r="N333" s="45"/>
      <c r="O333" s="18">
        <v>0</v>
      </c>
      <c r="P333" s="18">
        <v>0</v>
      </c>
      <c r="Q333" s="61"/>
      <c r="R333" s="46"/>
    </row>
    <row r="334" spans="1:18" ht="25.5">
      <c r="A334" s="33" t="s">
        <v>6396</v>
      </c>
      <c r="B334" s="40" t="s">
        <v>7765</v>
      </c>
      <c r="C334" s="47">
        <v>40422</v>
      </c>
      <c r="D334" s="47" t="s">
        <v>8465</v>
      </c>
      <c r="E334" s="40" t="s">
        <v>6440</v>
      </c>
      <c r="F334" s="40" t="s">
        <v>6440</v>
      </c>
      <c r="G334" s="42" t="s">
        <v>6460</v>
      </c>
      <c r="H334" s="65" t="s">
        <v>31</v>
      </c>
      <c r="J334" s="43"/>
      <c r="K334" s="61">
        <v>0.7</v>
      </c>
      <c r="L334" s="40">
        <v>333</v>
      </c>
      <c r="M334" s="44"/>
      <c r="N334" s="45"/>
      <c r="O334" s="18">
        <v>0</v>
      </c>
      <c r="P334" s="18">
        <v>0</v>
      </c>
      <c r="Q334" s="61"/>
      <c r="R334" s="46"/>
    </row>
    <row r="335" spans="1:18">
      <c r="A335" s="33" t="s">
        <v>6397</v>
      </c>
      <c r="B335" s="40" t="s">
        <v>7765</v>
      </c>
      <c r="C335" s="47">
        <v>40133</v>
      </c>
      <c r="D335" s="47" t="s">
        <v>8465</v>
      </c>
      <c r="E335" s="40" t="s">
        <v>6446</v>
      </c>
      <c r="F335" s="40" t="s">
        <v>6446</v>
      </c>
      <c r="G335" s="42"/>
      <c r="H335" s="65" t="s">
        <v>78</v>
      </c>
      <c r="J335" s="43"/>
      <c r="K335" s="61">
        <v>0.8</v>
      </c>
      <c r="L335" s="40">
        <v>334</v>
      </c>
      <c r="M335" s="44"/>
      <c r="N335" s="45"/>
      <c r="O335" s="18">
        <v>0</v>
      </c>
      <c r="P335" s="18">
        <v>0</v>
      </c>
      <c r="Q335" s="61"/>
      <c r="R335" s="46"/>
    </row>
    <row r="336" spans="1:18" ht="25.5">
      <c r="A336" s="33" t="s">
        <v>3365</v>
      </c>
      <c r="B336" s="40" t="s">
        <v>7765</v>
      </c>
      <c r="C336" s="47">
        <v>40290</v>
      </c>
      <c r="D336" s="47" t="s">
        <v>8465</v>
      </c>
      <c r="E336" s="40" t="s">
        <v>3366</v>
      </c>
      <c r="F336" s="40" t="s">
        <v>3366</v>
      </c>
      <c r="G336" s="42"/>
      <c r="H336" s="65" t="s">
        <v>149</v>
      </c>
      <c r="J336" s="43"/>
      <c r="K336" s="61">
        <v>0.8</v>
      </c>
      <c r="L336" s="40">
        <v>335</v>
      </c>
      <c r="M336" s="44"/>
      <c r="N336" s="45"/>
      <c r="O336" s="18">
        <v>0</v>
      </c>
      <c r="P336" s="18">
        <v>0</v>
      </c>
      <c r="Q336" s="61">
        <v>0.83750000000000002</v>
      </c>
      <c r="R336" s="46"/>
    </row>
    <row r="337" spans="1:18">
      <c r="A337" s="33" t="s">
        <v>6398</v>
      </c>
      <c r="B337" s="40" t="s">
        <v>7765</v>
      </c>
      <c r="C337" s="47">
        <v>40333</v>
      </c>
      <c r="D337" s="47" t="s">
        <v>8465</v>
      </c>
      <c r="E337" s="40" t="s">
        <v>6461</v>
      </c>
      <c r="F337" s="40" t="s">
        <v>6461</v>
      </c>
      <c r="G337" s="42" t="s">
        <v>6462</v>
      </c>
      <c r="H337" s="65" t="s">
        <v>61</v>
      </c>
      <c r="J337" s="43"/>
      <c r="K337" s="61">
        <v>0.5</v>
      </c>
      <c r="L337" s="40">
        <v>336</v>
      </c>
      <c r="M337" s="44"/>
      <c r="N337" s="45"/>
      <c r="O337" s="18">
        <v>0</v>
      </c>
      <c r="P337" s="18">
        <v>0</v>
      </c>
      <c r="Q337" s="61"/>
      <c r="R337" s="46"/>
    </row>
    <row r="338" spans="1:18">
      <c r="A338" s="33" t="s">
        <v>6399</v>
      </c>
      <c r="B338" s="40" t="s">
        <v>7765</v>
      </c>
      <c r="C338" s="47">
        <v>40355</v>
      </c>
      <c r="D338" s="47" t="s">
        <v>8465</v>
      </c>
      <c r="E338" s="40" t="s">
        <v>6463</v>
      </c>
      <c r="F338" s="40" t="s">
        <v>6463</v>
      </c>
      <c r="G338" s="42"/>
      <c r="H338" s="65" t="s">
        <v>21</v>
      </c>
      <c r="J338" s="43"/>
      <c r="K338" s="61">
        <v>0.7</v>
      </c>
      <c r="L338" s="40">
        <v>337</v>
      </c>
      <c r="M338" s="44"/>
      <c r="N338" s="45"/>
      <c r="O338" s="18">
        <v>0</v>
      </c>
      <c r="P338" s="18">
        <v>0</v>
      </c>
      <c r="Q338" s="61">
        <v>0.9</v>
      </c>
      <c r="R338" s="46"/>
    </row>
    <row r="339" spans="1:18">
      <c r="A339" s="33" t="s">
        <v>6400</v>
      </c>
      <c r="B339" s="40" t="s">
        <v>7765</v>
      </c>
      <c r="C339" s="47">
        <v>40262</v>
      </c>
      <c r="D339" s="47" t="s">
        <v>8465</v>
      </c>
      <c r="E339" s="40" t="s">
        <v>6464</v>
      </c>
      <c r="F339" s="40" t="s">
        <v>6464</v>
      </c>
      <c r="G339" s="42"/>
      <c r="H339" s="65" t="s">
        <v>78</v>
      </c>
      <c r="J339" s="43"/>
      <c r="K339" s="61">
        <v>0.5</v>
      </c>
      <c r="L339" s="40">
        <v>338</v>
      </c>
      <c r="M339" s="44"/>
      <c r="N339" s="45"/>
      <c r="O339" s="18">
        <v>0</v>
      </c>
      <c r="P339" s="18">
        <v>0</v>
      </c>
      <c r="Q339" s="61">
        <v>0.7</v>
      </c>
      <c r="R339" s="46"/>
    </row>
    <row r="340" spans="1:18">
      <c r="A340" s="33" t="s">
        <v>6401</v>
      </c>
      <c r="B340" s="40" t="s">
        <v>7765</v>
      </c>
      <c r="C340" s="47">
        <v>40514</v>
      </c>
      <c r="D340" s="47" t="s">
        <v>8465</v>
      </c>
      <c r="E340" s="40" t="s">
        <v>6465</v>
      </c>
      <c r="F340" s="40" t="s">
        <v>6465</v>
      </c>
      <c r="G340" s="42"/>
      <c r="H340" s="65" t="s">
        <v>21</v>
      </c>
      <c r="J340" s="43"/>
      <c r="K340" s="61">
        <v>0.7</v>
      </c>
      <c r="L340" s="40">
        <v>339</v>
      </c>
      <c r="M340" s="44"/>
      <c r="N340" s="45"/>
      <c r="O340" s="18">
        <v>0</v>
      </c>
      <c r="P340" s="18">
        <v>0</v>
      </c>
      <c r="Q340" s="61">
        <v>0.8</v>
      </c>
      <c r="R340" s="46"/>
    </row>
    <row r="341" spans="1:18">
      <c r="A341" s="33" t="s">
        <v>6402</v>
      </c>
      <c r="B341" s="40" t="s">
        <v>7765</v>
      </c>
      <c r="C341" s="47">
        <v>40494</v>
      </c>
      <c r="D341" s="47" t="s">
        <v>8465</v>
      </c>
      <c r="E341" s="40" t="s">
        <v>6466</v>
      </c>
      <c r="F341" s="40" t="s">
        <v>6466</v>
      </c>
      <c r="G341" s="42"/>
      <c r="H341" s="65" t="s">
        <v>6467</v>
      </c>
      <c r="J341" s="43"/>
      <c r="K341" s="61">
        <v>0.2</v>
      </c>
      <c r="L341" s="40">
        <v>340</v>
      </c>
      <c r="M341" s="44"/>
      <c r="N341" s="45"/>
      <c r="O341" s="18">
        <v>0</v>
      </c>
      <c r="P341" s="18">
        <v>0</v>
      </c>
      <c r="Q341" s="61"/>
      <c r="R341" s="46"/>
    </row>
    <row r="342" spans="1:18">
      <c r="A342" s="33" t="s">
        <v>6403</v>
      </c>
      <c r="B342" s="40" t="s">
        <v>7765</v>
      </c>
      <c r="C342" s="47">
        <v>40516</v>
      </c>
      <c r="D342" s="47" t="s">
        <v>8465</v>
      </c>
      <c r="E342" s="40" t="s">
        <v>3685</v>
      </c>
      <c r="F342" s="40" t="s">
        <v>3685</v>
      </c>
      <c r="G342" s="42"/>
      <c r="H342" s="65" t="s">
        <v>1089</v>
      </c>
      <c r="J342" s="43"/>
      <c r="K342" s="61">
        <v>0.5</v>
      </c>
      <c r="L342" s="40">
        <v>341</v>
      </c>
      <c r="M342" s="44"/>
      <c r="N342" s="45"/>
      <c r="O342" s="18">
        <v>0</v>
      </c>
      <c r="P342" s="18">
        <v>0</v>
      </c>
      <c r="Q342" s="61"/>
      <c r="R342" s="46"/>
    </row>
    <row r="343" spans="1:18">
      <c r="A343" s="33" t="s">
        <v>6498</v>
      </c>
      <c r="B343" s="40" t="s">
        <v>7765</v>
      </c>
      <c r="C343" s="47">
        <v>40520</v>
      </c>
      <c r="D343" s="47" t="s">
        <v>8465</v>
      </c>
      <c r="E343" s="40" t="s">
        <v>3116</v>
      </c>
      <c r="F343" s="40" t="s">
        <v>6507</v>
      </c>
      <c r="G343" s="42" t="s">
        <v>6498</v>
      </c>
      <c r="H343" s="65" t="s">
        <v>64</v>
      </c>
      <c r="J343" s="43"/>
      <c r="K343" s="61">
        <v>0.7</v>
      </c>
      <c r="L343" s="40">
        <v>342</v>
      </c>
      <c r="M343" s="44"/>
      <c r="N343" s="45"/>
      <c r="O343" s="18">
        <v>0</v>
      </c>
      <c r="P343" s="18">
        <v>0</v>
      </c>
      <c r="Q343" s="61">
        <v>0.70750000000000002</v>
      </c>
      <c r="R343" s="46"/>
    </row>
    <row r="344" spans="1:18">
      <c r="A344" s="33" t="s">
        <v>6499</v>
      </c>
      <c r="B344" s="40" t="s">
        <v>7765</v>
      </c>
      <c r="C344" s="47">
        <v>40520</v>
      </c>
      <c r="D344" s="47" t="s">
        <v>8465</v>
      </c>
      <c r="E344" s="40" t="s">
        <v>3116</v>
      </c>
      <c r="F344" s="40" t="s">
        <v>6508</v>
      </c>
      <c r="G344" s="42"/>
      <c r="H344" s="65" t="s">
        <v>150</v>
      </c>
      <c r="J344" s="43"/>
      <c r="K344" s="61">
        <v>0.7</v>
      </c>
      <c r="L344" s="40">
        <v>343</v>
      </c>
      <c r="M344" s="44"/>
      <c r="N344" s="45"/>
      <c r="O344" s="18">
        <v>0</v>
      </c>
      <c r="P344" s="18">
        <v>0</v>
      </c>
      <c r="Q344" s="61">
        <v>0.67669999999999997</v>
      </c>
      <c r="R344" s="46"/>
    </row>
    <row r="345" spans="1:18">
      <c r="A345" s="33" t="s">
        <v>6404</v>
      </c>
      <c r="B345" s="40" t="s">
        <v>7765</v>
      </c>
      <c r="C345" s="47">
        <v>40522</v>
      </c>
      <c r="D345" s="47" t="s">
        <v>8465</v>
      </c>
      <c r="E345" s="40" t="s">
        <v>6468</v>
      </c>
      <c r="F345" s="40" t="s">
        <v>6468</v>
      </c>
      <c r="G345" s="42"/>
      <c r="H345" s="65" t="s">
        <v>459</v>
      </c>
      <c r="J345" s="43"/>
      <c r="K345" s="61">
        <v>0.7</v>
      </c>
      <c r="L345" s="40">
        <v>344</v>
      </c>
      <c r="M345" s="44"/>
      <c r="N345" s="45"/>
      <c r="O345" s="18">
        <v>0</v>
      </c>
      <c r="P345" s="18">
        <v>0</v>
      </c>
      <c r="Q345" s="61">
        <v>0.8</v>
      </c>
      <c r="R345" s="46"/>
    </row>
    <row r="346" spans="1:18" ht="25.5">
      <c r="A346" s="33" t="s">
        <v>6405</v>
      </c>
      <c r="B346" s="40" t="s">
        <v>7765</v>
      </c>
      <c r="C346" s="47">
        <v>40528</v>
      </c>
      <c r="D346" s="47" t="s">
        <v>8465</v>
      </c>
      <c r="E346" s="40" t="s">
        <v>6438</v>
      </c>
      <c r="F346" s="40" t="s">
        <v>6438</v>
      </c>
      <c r="G346" s="42" t="s">
        <v>6438</v>
      </c>
      <c r="H346" s="65" t="s">
        <v>21</v>
      </c>
      <c r="J346" s="43"/>
      <c r="K346" s="61">
        <v>0.8</v>
      </c>
      <c r="L346" s="40">
        <v>345</v>
      </c>
      <c r="M346" s="44"/>
      <c r="N346" s="45"/>
      <c r="O346" s="18">
        <v>0</v>
      </c>
      <c r="P346" s="18">
        <v>0</v>
      </c>
      <c r="Q346" s="61">
        <v>0.85</v>
      </c>
      <c r="R346" s="46"/>
    </row>
    <row r="347" spans="1:18">
      <c r="A347" s="33" t="s">
        <v>6406</v>
      </c>
      <c r="B347" s="40" t="s">
        <v>7765</v>
      </c>
      <c r="C347" s="47">
        <v>40519</v>
      </c>
      <c r="D347" s="47" t="s">
        <v>8465</v>
      </c>
      <c r="E347" s="40" t="s">
        <v>6455</v>
      </c>
      <c r="F347" s="40" t="s">
        <v>6455</v>
      </c>
      <c r="G347" s="42" t="s">
        <v>6389</v>
      </c>
      <c r="H347" s="65" t="s">
        <v>21</v>
      </c>
      <c r="J347" s="43"/>
      <c r="K347" s="61">
        <v>0.7</v>
      </c>
      <c r="L347" s="40">
        <v>346</v>
      </c>
      <c r="M347" s="44"/>
      <c r="N347" s="45"/>
      <c r="O347" s="18">
        <v>0</v>
      </c>
      <c r="P347" s="18">
        <v>0</v>
      </c>
      <c r="Q347" s="61">
        <v>0.86670000000000003</v>
      </c>
      <c r="R347" s="46"/>
    </row>
    <row r="348" spans="1:18" ht="25.5">
      <c r="A348" s="33" t="s">
        <v>6407</v>
      </c>
      <c r="B348" s="40" t="s">
        <v>7765</v>
      </c>
      <c r="C348" s="47">
        <v>40367</v>
      </c>
      <c r="D348" s="47" t="s">
        <v>8465</v>
      </c>
      <c r="E348" s="40" t="s">
        <v>6469</v>
      </c>
      <c r="F348" s="40" t="s">
        <v>6469</v>
      </c>
      <c r="G348" s="42" t="s">
        <v>6470</v>
      </c>
      <c r="H348" s="65" t="s">
        <v>149</v>
      </c>
      <c r="J348" s="43"/>
      <c r="K348" s="61">
        <v>0.7</v>
      </c>
      <c r="L348" s="40">
        <v>347</v>
      </c>
      <c r="M348" s="44"/>
      <c r="N348" s="45"/>
      <c r="O348" s="18">
        <v>0</v>
      </c>
      <c r="P348" s="18">
        <v>0</v>
      </c>
      <c r="Q348" s="61">
        <v>0.66249999999999998</v>
      </c>
      <c r="R348" s="46"/>
    </row>
    <row r="349" spans="1:18">
      <c r="A349" s="33" t="s">
        <v>6408</v>
      </c>
      <c r="B349" s="40" t="s">
        <v>7765</v>
      </c>
      <c r="C349" s="47">
        <v>40494</v>
      </c>
      <c r="D349" s="47" t="s">
        <v>8465</v>
      </c>
      <c r="E349" s="40" t="s">
        <v>6471</v>
      </c>
      <c r="F349" s="40" t="s">
        <v>6471</v>
      </c>
      <c r="G349" s="42"/>
      <c r="H349" s="65" t="s">
        <v>255</v>
      </c>
      <c r="J349" s="43"/>
      <c r="K349" s="61">
        <v>0.7</v>
      </c>
      <c r="L349" s="40">
        <v>348</v>
      </c>
      <c r="M349" s="44"/>
      <c r="N349" s="45"/>
      <c r="O349" s="18">
        <v>0</v>
      </c>
      <c r="P349" s="18">
        <v>0</v>
      </c>
      <c r="Q349" s="61"/>
      <c r="R349" s="46"/>
    </row>
    <row r="350" spans="1:18">
      <c r="A350" s="33" t="s">
        <v>3363</v>
      </c>
      <c r="B350" s="40" t="s">
        <v>7800</v>
      </c>
      <c r="C350" s="47">
        <v>39913</v>
      </c>
      <c r="D350" s="47" t="s">
        <v>8465</v>
      </c>
      <c r="E350" s="40" t="s">
        <v>3364</v>
      </c>
      <c r="F350" s="40" t="s">
        <v>3364</v>
      </c>
      <c r="G350" s="42"/>
      <c r="H350" s="65" t="s">
        <v>27</v>
      </c>
      <c r="J350" s="43"/>
      <c r="K350" s="61">
        <v>0.8</v>
      </c>
      <c r="L350" s="40">
        <v>349</v>
      </c>
      <c r="M350" s="44"/>
      <c r="N350" s="45"/>
      <c r="O350" s="18">
        <v>0</v>
      </c>
      <c r="P350" s="18">
        <v>0</v>
      </c>
      <c r="Q350" s="61">
        <v>0.90500000000000003</v>
      </c>
      <c r="R350" s="46"/>
    </row>
    <row r="351" spans="1:18">
      <c r="A351" s="33" t="s">
        <v>6409</v>
      </c>
      <c r="B351" s="40" t="s">
        <v>7765</v>
      </c>
      <c r="C351" s="47">
        <v>40482</v>
      </c>
      <c r="D351" s="47" t="s">
        <v>8465</v>
      </c>
      <c r="E351" s="40" t="s">
        <v>6472</v>
      </c>
      <c r="F351" s="40" t="s">
        <v>6472</v>
      </c>
      <c r="G351" s="42"/>
      <c r="H351" s="65" t="s">
        <v>64</v>
      </c>
      <c r="J351" s="43"/>
      <c r="K351" s="61">
        <v>0.7</v>
      </c>
      <c r="L351" s="40">
        <v>350</v>
      </c>
      <c r="M351" s="44"/>
      <c r="N351" s="45"/>
      <c r="O351" s="18">
        <v>0</v>
      </c>
      <c r="P351" s="18">
        <v>0</v>
      </c>
      <c r="Q351" s="61"/>
      <c r="R351" s="46"/>
    </row>
    <row r="352" spans="1:18">
      <c r="A352" s="33" t="s">
        <v>5644</v>
      </c>
      <c r="B352" s="40" t="s">
        <v>7800</v>
      </c>
      <c r="C352" s="47">
        <v>40309</v>
      </c>
      <c r="D352" s="47" t="s">
        <v>8465</v>
      </c>
      <c r="E352" s="40" t="s">
        <v>4364</v>
      </c>
      <c r="F352" s="40" t="s">
        <v>4364</v>
      </c>
      <c r="G352" s="42"/>
      <c r="H352" s="65" t="s">
        <v>2138</v>
      </c>
      <c r="J352" s="43"/>
      <c r="K352" s="61">
        <v>0.7</v>
      </c>
      <c r="L352" s="40">
        <v>351</v>
      </c>
      <c r="M352" s="44"/>
      <c r="N352" s="45"/>
      <c r="O352" s="18">
        <v>0</v>
      </c>
      <c r="P352" s="18">
        <v>0</v>
      </c>
      <c r="Q352" s="61"/>
      <c r="R352" s="46"/>
    </row>
    <row r="353" spans="1:18">
      <c r="A353" s="33" t="s">
        <v>5645</v>
      </c>
      <c r="B353" s="40" t="s">
        <v>7800</v>
      </c>
      <c r="C353" s="47">
        <v>40241</v>
      </c>
      <c r="D353" s="47" t="s">
        <v>8465</v>
      </c>
      <c r="E353" s="40" t="s">
        <v>5681</v>
      </c>
      <c r="F353" s="40" t="s">
        <v>5681</v>
      </c>
      <c r="G353" s="42" t="s">
        <v>5682</v>
      </c>
      <c r="H353" s="65" t="s">
        <v>1057</v>
      </c>
      <c r="J353" s="43"/>
      <c r="K353" s="61">
        <v>0.9</v>
      </c>
      <c r="L353" s="40">
        <v>352</v>
      </c>
      <c r="M353" s="44"/>
      <c r="N353" s="45"/>
      <c r="O353" s="18">
        <v>0</v>
      </c>
      <c r="P353" s="18">
        <v>0</v>
      </c>
      <c r="Q353" s="61"/>
      <c r="R353" s="46"/>
    </row>
    <row r="354" spans="1:18">
      <c r="A354" s="33" t="s">
        <v>6410</v>
      </c>
      <c r="B354" s="40" t="s">
        <v>7765</v>
      </c>
      <c r="C354" s="47">
        <v>40526</v>
      </c>
      <c r="D354" s="47" t="s">
        <v>8465</v>
      </c>
      <c r="E354" s="40" t="s">
        <v>6447</v>
      </c>
      <c r="F354" s="40" t="s">
        <v>6447</v>
      </c>
      <c r="G354" s="42" t="s">
        <v>6381</v>
      </c>
      <c r="H354" s="65" t="s">
        <v>75</v>
      </c>
      <c r="J354" s="43"/>
      <c r="K354" s="61">
        <v>0.9</v>
      </c>
      <c r="L354" s="40">
        <v>353</v>
      </c>
      <c r="M354" s="44"/>
      <c r="N354" s="45"/>
      <c r="O354" s="18">
        <v>0</v>
      </c>
      <c r="P354" s="18">
        <v>0</v>
      </c>
      <c r="Q354" s="61">
        <v>0.9</v>
      </c>
      <c r="R354" s="46"/>
    </row>
    <row r="355" spans="1:18">
      <c r="A355" s="33" t="s">
        <v>5646</v>
      </c>
      <c r="B355" s="40" t="s">
        <v>7800</v>
      </c>
      <c r="C355" s="47">
        <v>38296</v>
      </c>
      <c r="D355" s="47" t="s">
        <v>8465</v>
      </c>
      <c r="E355" s="40" t="s">
        <v>3288</v>
      </c>
      <c r="F355" s="40" t="s">
        <v>3288</v>
      </c>
      <c r="G355" s="42" t="s">
        <v>3289</v>
      </c>
      <c r="H355" s="65" t="s">
        <v>78</v>
      </c>
      <c r="J355" s="43"/>
      <c r="K355" s="61">
        <v>0.5</v>
      </c>
      <c r="L355" s="40">
        <v>354</v>
      </c>
      <c r="M355" s="44"/>
      <c r="N355" s="45"/>
      <c r="O355" s="18">
        <v>0</v>
      </c>
      <c r="P355" s="18">
        <v>0</v>
      </c>
      <c r="Q355" s="61">
        <v>0.82</v>
      </c>
      <c r="R355" s="46"/>
    </row>
    <row r="356" spans="1:18">
      <c r="A356" s="33" t="s">
        <v>2518</v>
      </c>
      <c r="B356" s="40" t="s">
        <v>7751</v>
      </c>
      <c r="C356" s="41">
        <v>34486</v>
      </c>
      <c r="D356" s="47" t="s">
        <v>8465</v>
      </c>
      <c r="E356" s="40" t="s">
        <v>455</v>
      </c>
      <c r="F356" s="40" t="s">
        <v>455</v>
      </c>
      <c r="G356" s="42" t="s">
        <v>2516</v>
      </c>
      <c r="H356" s="65" t="s">
        <v>153</v>
      </c>
      <c r="J356" s="43"/>
      <c r="K356" s="61">
        <v>0.8</v>
      </c>
      <c r="L356" s="40">
        <v>355</v>
      </c>
      <c r="M356" s="44"/>
      <c r="N356" s="45"/>
      <c r="O356" s="18">
        <v>0</v>
      </c>
      <c r="P356" s="18">
        <v>1</v>
      </c>
      <c r="Q356" s="61">
        <v>0.82799999999999996</v>
      </c>
      <c r="R356" s="46"/>
    </row>
    <row r="357" spans="1:18">
      <c r="A357" s="33" t="s">
        <v>2845</v>
      </c>
      <c r="B357" s="40" t="s">
        <v>9974</v>
      </c>
      <c r="C357" s="49">
        <v>33239</v>
      </c>
      <c r="D357" s="47" t="s">
        <v>8465</v>
      </c>
      <c r="E357" s="40" t="s">
        <v>66</v>
      </c>
      <c r="F357" s="40" t="s">
        <v>66</v>
      </c>
      <c r="G357" s="42"/>
      <c r="H357" s="65" t="s">
        <v>21</v>
      </c>
      <c r="J357" s="43"/>
      <c r="K357" s="61">
        <v>0.6</v>
      </c>
      <c r="L357" s="40">
        <v>356</v>
      </c>
      <c r="M357" s="44"/>
      <c r="N357" s="45"/>
      <c r="O357" s="18">
        <v>0</v>
      </c>
      <c r="P357" s="18">
        <v>1</v>
      </c>
      <c r="Q357" s="61"/>
      <c r="R357" s="46"/>
    </row>
    <row r="358" spans="1:18" ht="25.5">
      <c r="A358" s="33" t="s">
        <v>6411</v>
      </c>
      <c r="B358" s="40" t="s">
        <v>7765</v>
      </c>
      <c r="C358" s="47">
        <v>40531</v>
      </c>
      <c r="D358" s="47" t="s">
        <v>8465</v>
      </c>
      <c r="E358" s="40" t="s">
        <v>6469</v>
      </c>
      <c r="F358" s="40" t="s">
        <v>6469</v>
      </c>
      <c r="G358" s="42" t="s">
        <v>6470</v>
      </c>
      <c r="H358" s="65" t="s">
        <v>149</v>
      </c>
      <c r="J358" s="43"/>
      <c r="K358" s="61">
        <v>0.7</v>
      </c>
      <c r="L358" s="40">
        <v>357</v>
      </c>
      <c r="M358" s="44"/>
      <c r="N358" s="45"/>
      <c r="O358" s="18">
        <v>0</v>
      </c>
      <c r="P358" s="18">
        <v>0</v>
      </c>
      <c r="Q358" s="61">
        <v>0.71</v>
      </c>
      <c r="R358" s="46"/>
    </row>
    <row r="359" spans="1:18">
      <c r="A359" s="33" t="s">
        <v>6412</v>
      </c>
      <c r="B359" s="40" t="s">
        <v>7765</v>
      </c>
      <c r="C359" s="47">
        <v>40528</v>
      </c>
      <c r="D359" s="47" t="s">
        <v>8465</v>
      </c>
      <c r="E359" s="40" t="s">
        <v>6473</v>
      </c>
      <c r="F359" s="40" t="s">
        <v>6473</v>
      </c>
      <c r="G359" s="42" t="s">
        <v>6427</v>
      </c>
      <c r="H359" s="65" t="s">
        <v>255</v>
      </c>
      <c r="J359" s="43"/>
      <c r="K359" s="61">
        <v>0.8</v>
      </c>
      <c r="L359" s="40">
        <v>358</v>
      </c>
      <c r="M359" s="44"/>
      <c r="N359" s="45"/>
      <c r="O359" s="18">
        <v>0</v>
      </c>
      <c r="P359" s="18">
        <v>0</v>
      </c>
      <c r="Q359" s="61">
        <v>0.8</v>
      </c>
      <c r="R359" s="46"/>
    </row>
    <row r="360" spans="1:18">
      <c r="A360" s="33" t="s">
        <v>6413</v>
      </c>
      <c r="B360" s="40" t="s">
        <v>7765</v>
      </c>
      <c r="C360" s="47">
        <v>40521</v>
      </c>
      <c r="D360" s="47" t="s">
        <v>8465</v>
      </c>
      <c r="E360" s="40" t="s">
        <v>6455</v>
      </c>
      <c r="F360" s="40" t="s">
        <v>6455</v>
      </c>
      <c r="G360" s="42"/>
      <c r="H360" s="65" t="s">
        <v>21</v>
      </c>
      <c r="J360" s="43"/>
      <c r="K360" s="61">
        <v>0.8</v>
      </c>
      <c r="L360" s="40">
        <v>359</v>
      </c>
      <c r="M360" s="44"/>
      <c r="N360" s="45"/>
      <c r="O360" s="18">
        <v>0</v>
      </c>
      <c r="P360" s="18">
        <v>0</v>
      </c>
      <c r="Q360" s="61">
        <v>0.86</v>
      </c>
      <c r="R360" s="46"/>
    </row>
    <row r="361" spans="1:18">
      <c r="A361" s="33" t="s">
        <v>6414</v>
      </c>
      <c r="B361" s="40" t="s">
        <v>7765</v>
      </c>
      <c r="C361" s="47">
        <v>40313</v>
      </c>
      <c r="D361" s="47" t="s">
        <v>8465</v>
      </c>
      <c r="E361" s="40" t="s">
        <v>6474</v>
      </c>
      <c r="F361" s="40" t="s">
        <v>6474</v>
      </c>
      <c r="G361" s="42" t="s">
        <v>6414</v>
      </c>
      <c r="H361" s="65" t="s">
        <v>9963</v>
      </c>
      <c r="J361" s="43"/>
      <c r="K361" s="61">
        <v>0.8</v>
      </c>
      <c r="L361" s="40">
        <v>360</v>
      </c>
      <c r="M361" s="44"/>
      <c r="N361" s="45"/>
      <c r="O361" s="18">
        <v>0</v>
      </c>
      <c r="P361" s="18">
        <v>0</v>
      </c>
      <c r="Q361" s="61">
        <v>0.8</v>
      </c>
      <c r="R361" s="46"/>
    </row>
    <row r="362" spans="1:18">
      <c r="A362" s="33" t="s">
        <v>3131</v>
      </c>
      <c r="B362" s="40" t="s">
        <v>7765</v>
      </c>
      <c r="C362" s="47">
        <v>40316</v>
      </c>
      <c r="D362" s="47" t="s">
        <v>8465</v>
      </c>
      <c r="E362" s="40" t="s">
        <v>3116</v>
      </c>
      <c r="F362" s="40" t="s">
        <v>3130</v>
      </c>
      <c r="G362" s="42" t="s">
        <v>3131</v>
      </c>
      <c r="H362" s="65" t="s">
        <v>1168</v>
      </c>
      <c r="J362" s="43"/>
      <c r="K362" s="61">
        <v>0.8</v>
      </c>
      <c r="L362" s="40">
        <v>361</v>
      </c>
      <c r="M362" s="44"/>
      <c r="N362" s="45"/>
      <c r="O362" s="18">
        <v>0</v>
      </c>
      <c r="P362" s="18">
        <v>0</v>
      </c>
      <c r="Q362" s="61">
        <v>0.83750000000000002</v>
      </c>
      <c r="R362" s="46"/>
    </row>
    <row r="363" spans="1:18">
      <c r="A363" s="33" t="s">
        <v>972</v>
      </c>
      <c r="B363" s="40" t="s">
        <v>7741</v>
      </c>
      <c r="C363" s="47">
        <v>40468</v>
      </c>
      <c r="D363" s="47" t="s">
        <v>8465</v>
      </c>
      <c r="E363" s="40" t="s">
        <v>86</v>
      </c>
      <c r="F363" s="40" t="s">
        <v>30</v>
      </c>
      <c r="G363" s="42" t="s">
        <v>223</v>
      </c>
      <c r="H363" s="65" t="s">
        <v>64</v>
      </c>
      <c r="J363" s="43"/>
      <c r="K363" s="61">
        <v>0.9</v>
      </c>
      <c r="L363" s="40">
        <v>362</v>
      </c>
      <c r="M363" s="44"/>
      <c r="N363" s="45"/>
      <c r="O363" s="18">
        <v>0</v>
      </c>
      <c r="P363" s="18">
        <v>0</v>
      </c>
      <c r="Q363" s="61">
        <v>0.88670000000000004</v>
      </c>
      <c r="R363" s="46"/>
    </row>
    <row r="364" spans="1:18">
      <c r="A364" s="33" t="s">
        <v>3180</v>
      </c>
      <c r="B364" s="40" t="s">
        <v>7800</v>
      </c>
      <c r="C364" s="47">
        <v>39905</v>
      </c>
      <c r="D364" s="47" t="s">
        <v>8465</v>
      </c>
      <c r="E364" s="40" t="s">
        <v>3181</v>
      </c>
      <c r="F364" s="40" t="s">
        <v>3181</v>
      </c>
      <c r="G364" s="42"/>
      <c r="H364" s="65" t="s">
        <v>64</v>
      </c>
      <c r="J364" s="43"/>
      <c r="K364" s="61">
        <v>0.8</v>
      </c>
      <c r="L364" s="40">
        <v>363</v>
      </c>
      <c r="M364" s="44"/>
      <c r="N364" s="45">
        <f>4+(6/60)</f>
        <v>4.0999999999999996</v>
      </c>
      <c r="O364" s="18">
        <v>0</v>
      </c>
      <c r="P364" s="18">
        <v>0</v>
      </c>
      <c r="Q364" s="61">
        <v>0.71499999999999997</v>
      </c>
      <c r="R364" s="46"/>
    </row>
    <row r="365" spans="1:18">
      <c r="A365" s="33" t="s">
        <v>2804</v>
      </c>
      <c r="B365" s="40" t="s">
        <v>7781</v>
      </c>
      <c r="C365" s="47">
        <v>38718</v>
      </c>
      <c r="D365" s="47" t="s">
        <v>8465</v>
      </c>
      <c r="E365" s="40" t="s">
        <v>1625</v>
      </c>
      <c r="F365" s="40" t="s">
        <v>2815</v>
      </c>
      <c r="G365" s="42" t="s">
        <v>2804</v>
      </c>
      <c r="H365" s="65" t="s">
        <v>67</v>
      </c>
      <c r="J365" s="43"/>
      <c r="K365" s="61">
        <v>0.7</v>
      </c>
      <c r="L365" s="40">
        <v>364</v>
      </c>
      <c r="M365" s="44"/>
      <c r="N365" s="45"/>
      <c r="O365" s="18">
        <v>0</v>
      </c>
      <c r="P365" s="18">
        <v>0</v>
      </c>
      <c r="Q365" s="61"/>
      <c r="R365" s="46"/>
    </row>
    <row r="366" spans="1:18">
      <c r="A366" s="33" t="s">
        <v>4911</v>
      </c>
      <c r="B366" s="40" t="s">
        <v>7800</v>
      </c>
      <c r="C366" s="47">
        <v>38694</v>
      </c>
      <c r="D366" s="47" t="s">
        <v>8465</v>
      </c>
      <c r="E366" s="40" t="s">
        <v>1625</v>
      </c>
      <c r="F366" s="40" t="s">
        <v>2815</v>
      </c>
      <c r="G366" s="42" t="s">
        <v>2804</v>
      </c>
      <c r="H366" s="65" t="s">
        <v>67</v>
      </c>
      <c r="J366" s="43"/>
      <c r="K366" s="61">
        <v>0.8</v>
      </c>
      <c r="L366" s="40">
        <v>365</v>
      </c>
      <c r="M366" s="44"/>
      <c r="N366" s="45"/>
      <c r="O366" s="18">
        <v>0</v>
      </c>
      <c r="P366" s="18">
        <v>0</v>
      </c>
      <c r="Q366" s="61">
        <v>0.85</v>
      </c>
      <c r="R366" s="46"/>
    </row>
    <row r="367" spans="1:18">
      <c r="A367" s="33" t="s">
        <v>1758</v>
      </c>
      <c r="B367" s="40" t="s">
        <v>7745</v>
      </c>
      <c r="C367" s="41">
        <v>32964</v>
      </c>
      <c r="D367" s="47" t="s">
        <v>8465</v>
      </c>
      <c r="E367" s="40" t="s">
        <v>244</v>
      </c>
      <c r="F367" s="40" t="s">
        <v>72</v>
      </c>
      <c r="G367" s="42" t="s">
        <v>123</v>
      </c>
      <c r="H367" s="65" t="s">
        <v>21</v>
      </c>
      <c r="J367" s="43"/>
      <c r="K367" s="61">
        <v>0.7</v>
      </c>
      <c r="L367" s="40">
        <v>366</v>
      </c>
      <c r="M367" s="44"/>
      <c r="N367" s="45"/>
      <c r="O367" s="18">
        <v>0</v>
      </c>
      <c r="P367" s="18">
        <v>1</v>
      </c>
      <c r="Q367" s="61">
        <v>0.8</v>
      </c>
      <c r="R367" s="46"/>
    </row>
    <row r="368" spans="1:18" ht="25.5">
      <c r="A368" s="33" t="s">
        <v>1759</v>
      </c>
      <c r="B368" s="40" t="s">
        <v>7745</v>
      </c>
      <c r="C368" s="41">
        <v>33604</v>
      </c>
      <c r="D368" s="47" t="s">
        <v>8465</v>
      </c>
      <c r="E368" s="40" t="s">
        <v>72</v>
      </c>
      <c r="F368" s="40" t="s">
        <v>72</v>
      </c>
      <c r="G368" s="42" t="s">
        <v>123</v>
      </c>
      <c r="H368" s="65" t="s">
        <v>21</v>
      </c>
      <c r="J368" s="43"/>
      <c r="K368" s="61">
        <v>0.6</v>
      </c>
      <c r="L368" s="40">
        <v>367</v>
      </c>
      <c r="M368" s="44"/>
      <c r="N368" s="45"/>
      <c r="O368" s="18">
        <v>0</v>
      </c>
      <c r="P368" s="18">
        <v>1</v>
      </c>
      <c r="Q368" s="61">
        <v>0.67500000000000004</v>
      </c>
      <c r="R368" s="46"/>
    </row>
    <row r="369" spans="1:18">
      <c r="A369" s="33" t="s">
        <v>599</v>
      </c>
      <c r="B369" s="40" t="s">
        <v>7736</v>
      </c>
      <c r="C369" s="49">
        <v>34700</v>
      </c>
      <c r="D369" s="47" t="s">
        <v>8465</v>
      </c>
      <c r="E369" s="40" t="s">
        <v>76</v>
      </c>
      <c r="F369" s="40" t="s">
        <v>76</v>
      </c>
      <c r="G369" s="42" t="s">
        <v>139</v>
      </c>
      <c r="H369" s="65" t="s">
        <v>56</v>
      </c>
      <c r="J369" s="43"/>
      <c r="K369" s="61">
        <v>0.7</v>
      </c>
      <c r="L369" s="40">
        <v>368</v>
      </c>
      <c r="M369" s="44"/>
      <c r="N369" s="45"/>
      <c r="O369" s="18">
        <v>0</v>
      </c>
      <c r="P369" s="18">
        <v>1</v>
      </c>
      <c r="Q369" s="61">
        <v>0.85</v>
      </c>
      <c r="R369" s="46"/>
    </row>
    <row r="370" spans="1:18" ht="25.5">
      <c r="A370" s="33" t="s">
        <v>2117</v>
      </c>
      <c r="B370" s="40" t="s">
        <v>7748</v>
      </c>
      <c r="C370" s="47">
        <v>40049</v>
      </c>
      <c r="D370" s="47" t="s">
        <v>8465</v>
      </c>
      <c r="E370" s="40" t="s">
        <v>86</v>
      </c>
      <c r="F370" s="40" t="s">
        <v>2129</v>
      </c>
      <c r="G370" s="42" t="s">
        <v>2130</v>
      </c>
      <c r="H370" s="65" t="s">
        <v>78</v>
      </c>
      <c r="J370" s="43"/>
      <c r="K370" s="61">
        <v>0.8</v>
      </c>
      <c r="L370" s="40">
        <v>369</v>
      </c>
      <c r="M370" s="44"/>
      <c r="N370" s="45"/>
      <c r="O370" s="18">
        <v>0</v>
      </c>
      <c r="P370" s="18">
        <v>0</v>
      </c>
      <c r="Q370" s="61">
        <v>0.85409999999999997</v>
      </c>
      <c r="R370" s="46"/>
    </row>
    <row r="371" spans="1:18">
      <c r="A371" s="33" t="s">
        <v>334</v>
      </c>
      <c r="B371" s="40" t="s">
        <v>6317</v>
      </c>
      <c r="C371" s="49">
        <v>36526</v>
      </c>
      <c r="D371" s="47" t="s">
        <v>8463</v>
      </c>
      <c r="E371" s="40" t="s">
        <v>9975</v>
      </c>
      <c r="F371" s="40" t="s">
        <v>9975</v>
      </c>
      <c r="G371" s="42" t="s">
        <v>334</v>
      </c>
      <c r="H371" s="65" t="s">
        <v>21</v>
      </c>
      <c r="J371" s="43"/>
      <c r="K371" s="61">
        <v>0.6</v>
      </c>
      <c r="L371" s="40">
        <v>370</v>
      </c>
      <c r="M371" s="44"/>
      <c r="N371" s="45"/>
      <c r="O371" s="18">
        <v>0</v>
      </c>
      <c r="P371" s="18">
        <v>1</v>
      </c>
      <c r="Q371" s="61"/>
      <c r="R371" s="46"/>
    </row>
    <row r="372" spans="1:18">
      <c r="A372" s="33" t="s">
        <v>335</v>
      </c>
      <c r="B372" s="40" t="s">
        <v>6317</v>
      </c>
      <c r="C372" s="49">
        <v>36892</v>
      </c>
      <c r="D372" s="47" t="s">
        <v>8463</v>
      </c>
      <c r="E372" s="40" t="s">
        <v>9975</v>
      </c>
      <c r="F372" s="40" t="s">
        <v>9975</v>
      </c>
      <c r="G372" s="42" t="s">
        <v>334</v>
      </c>
      <c r="H372" s="65" t="s">
        <v>21</v>
      </c>
      <c r="J372" s="43"/>
      <c r="K372" s="61">
        <v>0.6</v>
      </c>
      <c r="L372" s="40">
        <v>371</v>
      </c>
      <c r="M372" s="44"/>
      <c r="N372" s="45"/>
      <c r="O372" s="18">
        <v>0</v>
      </c>
      <c r="P372" s="18">
        <v>1</v>
      </c>
      <c r="Q372" s="61"/>
      <c r="R372" s="46"/>
    </row>
    <row r="373" spans="1:18">
      <c r="A373" s="33" t="s">
        <v>331</v>
      </c>
      <c r="B373" s="40" t="s">
        <v>6317</v>
      </c>
      <c r="C373" s="49">
        <v>34335</v>
      </c>
      <c r="D373" s="47" t="s">
        <v>8465</v>
      </c>
      <c r="E373" s="40" t="s">
        <v>473</v>
      </c>
      <c r="F373" s="40" t="s">
        <v>473</v>
      </c>
      <c r="G373" s="42" t="s">
        <v>331</v>
      </c>
      <c r="H373" s="65" t="s">
        <v>21</v>
      </c>
      <c r="J373" s="43"/>
      <c r="K373" s="61">
        <v>0.7</v>
      </c>
      <c r="L373" s="40">
        <v>372</v>
      </c>
      <c r="M373" s="44"/>
      <c r="N373" s="45"/>
      <c r="O373" s="18">
        <v>0</v>
      </c>
      <c r="P373" s="18">
        <v>1</v>
      </c>
      <c r="Q373" s="61"/>
      <c r="R373" s="46"/>
    </row>
    <row r="374" spans="1:18">
      <c r="A374" s="33" t="s">
        <v>6415</v>
      </c>
      <c r="B374" s="40" t="s">
        <v>7765</v>
      </c>
      <c r="C374" s="47">
        <v>40553</v>
      </c>
      <c r="D374" s="47" t="s">
        <v>8465</v>
      </c>
      <c r="E374" s="40" t="s">
        <v>6475</v>
      </c>
      <c r="F374" s="40" t="s">
        <v>6475</v>
      </c>
      <c r="G374" s="42"/>
      <c r="H374" s="65" t="s">
        <v>1142</v>
      </c>
      <c r="J374" s="43"/>
      <c r="K374" s="61">
        <v>0.5</v>
      </c>
      <c r="L374" s="40">
        <v>373</v>
      </c>
      <c r="M374" s="44"/>
      <c r="N374" s="45"/>
      <c r="O374" s="18">
        <v>0</v>
      </c>
      <c r="P374" s="18">
        <v>0</v>
      </c>
      <c r="Q374" s="61"/>
      <c r="R374" s="46"/>
    </row>
    <row r="375" spans="1:18">
      <c r="A375" s="33" t="s">
        <v>6416</v>
      </c>
      <c r="B375" s="40" t="s">
        <v>7765</v>
      </c>
      <c r="C375" s="47">
        <v>40299</v>
      </c>
      <c r="D375" s="47" t="s">
        <v>8465</v>
      </c>
      <c r="E375" s="40" t="s">
        <v>6476</v>
      </c>
      <c r="F375" s="40" t="s">
        <v>6476</v>
      </c>
      <c r="G375" s="42" t="s">
        <v>6477</v>
      </c>
      <c r="H375" s="65" t="s">
        <v>1061</v>
      </c>
      <c r="J375" s="43"/>
      <c r="K375" s="61">
        <v>0.7</v>
      </c>
      <c r="L375" s="40">
        <v>374</v>
      </c>
      <c r="M375" s="44"/>
      <c r="N375" s="45"/>
      <c r="O375" s="18">
        <v>0</v>
      </c>
      <c r="P375" s="18">
        <v>0</v>
      </c>
      <c r="Q375" s="61"/>
      <c r="R375" s="46"/>
    </row>
    <row r="376" spans="1:18">
      <c r="A376" s="33" t="s">
        <v>6417</v>
      </c>
      <c r="B376" s="40" t="s">
        <v>7765</v>
      </c>
      <c r="C376" s="47">
        <v>40538</v>
      </c>
      <c r="D376" s="47" t="s">
        <v>8465</v>
      </c>
      <c r="E376" s="40" t="s">
        <v>4834</v>
      </c>
      <c r="F376" s="40" t="s">
        <v>4834</v>
      </c>
      <c r="G376" s="42"/>
      <c r="H376" s="65" t="s">
        <v>21</v>
      </c>
      <c r="J376" s="43"/>
      <c r="K376" s="61">
        <v>0.8</v>
      </c>
      <c r="L376" s="40">
        <v>375</v>
      </c>
      <c r="M376" s="44"/>
      <c r="N376" s="45"/>
      <c r="O376" s="18">
        <v>0</v>
      </c>
      <c r="P376" s="18">
        <v>0</v>
      </c>
      <c r="Q376" s="61"/>
      <c r="R376" s="46"/>
    </row>
    <row r="377" spans="1:18">
      <c r="A377" s="33" t="s">
        <v>332</v>
      </c>
      <c r="B377" s="40" t="s">
        <v>6317</v>
      </c>
      <c r="C377" s="49">
        <v>34335</v>
      </c>
      <c r="D377" s="47" t="s">
        <v>8465</v>
      </c>
      <c r="E377" s="40" t="s">
        <v>54</v>
      </c>
      <c r="F377" s="40" t="s">
        <v>54</v>
      </c>
      <c r="G377" s="42" t="s">
        <v>556</v>
      </c>
      <c r="H377" s="65" t="s">
        <v>21</v>
      </c>
      <c r="J377" s="43"/>
      <c r="K377" s="61">
        <v>0.7</v>
      </c>
      <c r="L377" s="40">
        <v>376</v>
      </c>
      <c r="M377" s="44"/>
      <c r="N377" s="45"/>
      <c r="O377" s="18">
        <v>0</v>
      </c>
      <c r="P377" s="18">
        <v>1</v>
      </c>
      <c r="Q377" s="61"/>
      <c r="R377" s="46"/>
    </row>
    <row r="378" spans="1:18" ht="25.5">
      <c r="A378" s="33" t="s">
        <v>6920</v>
      </c>
      <c r="B378" s="40" t="s">
        <v>7800</v>
      </c>
      <c r="C378" s="41">
        <v>29556</v>
      </c>
      <c r="D378" s="47" t="s">
        <v>8465</v>
      </c>
      <c r="E378" s="40" t="s">
        <v>166</v>
      </c>
      <c r="F378" s="40" t="s">
        <v>166</v>
      </c>
      <c r="G378" s="42" t="s">
        <v>6921</v>
      </c>
      <c r="H378" s="65" t="s">
        <v>2826</v>
      </c>
      <c r="J378" s="43"/>
      <c r="K378" s="61">
        <v>0.7</v>
      </c>
      <c r="L378" s="40">
        <v>377</v>
      </c>
      <c r="M378" s="44"/>
      <c r="N378" s="45"/>
      <c r="O378" s="18">
        <v>0</v>
      </c>
      <c r="P378" s="18">
        <v>1</v>
      </c>
      <c r="Q378" s="61">
        <v>1</v>
      </c>
      <c r="R378" s="46"/>
    </row>
    <row r="379" spans="1:18" ht="25.5">
      <c r="A379" s="33" t="s">
        <v>3262</v>
      </c>
      <c r="B379" s="40" t="s">
        <v>7765</v>
      </c>
      <c r="C379" s="47">
        <v>40050</v>
      </c>
      <c r="D379" s="47" t="s">
        <v>8465</v>
      </c>
      <c r="E379" s="40" t="s">
        <v>1870</v>
      </c>
      <c r="F379" s="40" t="s">
        <v>3263</v>
      </c>
      <c r="G379" s="42" t="s">
        <v>207</v>
      </c>
      <c r="H379" s="65" t="s">
        <v>80</v>
      </c>
      <c r="J379" s="43"/>
      <c r="K379" s="61">
        <v>0.9</v>
      </c>
      <c r="L379" s="40">
        <v>378</v>
      </c>
      <c r="M379" s="44"/>
      <c r="N379" s="45"/>
      <c r="O379" s="18">
        <v>0</v>
      </c>
      <c r="P379" s="18">
        <v>0</v>
      </c>
      <c r="Q379" s="61">
        <v>0.9234</v>
      </c>
      <c r="R379" s="46"/>
    </row>
    <row r="380" spans="1:18" ht="25.5">
      <c r="A380" s="33" t="s">
        <v>6418</v>
      </c>
      <c r="B380" s="40" t="s">
        <v>7765</v>
      </c>
      <c r="C380" s="47">
        <v>40503</v>
      </c>
      <c r="D380" s="47" t="s">
        <v>8465</v>
      </c>
      <c r="E380" s="40" t="s">
        <v>6478</v>
      </c>
      <c r="F380" s="40" t="s">
        <v>6478</v>
      </c>
      <c r="G380" s="42"/>
      <c r="H380" s="65" t="s">
        <v>150</v>
      </c>
      <c r="J380" s="43"/>
      <c r="K380" s="61">
        <v>0.5</v>
      </c>
      <c r="L380" s="40">
        <v>379</v>
      </c>
      <c r="M380" s="44"/>
      <c r="N380" s="45"/>
      <c r="O380" s="18">
        <v>0</v>
      </c>
      <c r="P380" s="18">
        <v>0</v>
      </c>
      <c r="Q380" s="61"/>
      <c r="R380" s="46"/>
    </row>
    <row r="381" spans="1:18" ht="25.5">
      <c r="A381" s="33" t="s">
        <v>6419</v>
      </c>
      <c r="B381" s="40" t="s">
        <v>7765</v>
      </c>
      <c r="C381" s="47">
        <v>40517</v>
      </c>
      <c r="D381" s="47" t="s">
        <v>8465</v>
      </c>
      <c r="E381" s="40" t="s">
        <v>9976</v>
      </c>
      <c r="F381" s="40" t="s">
        <v>9976</v>
      </c>
      <c r="G381" s="42"/>
      <c r="H381" s="65" t="s">
        <v>64</v>
      </c>
      <c r="J381" s="43"/>
      <c r="K381" s="61">
        <v>0.7</v>
      </c>
      <c r="L381" s="40">
        <v>380</v>
      </c>
      <c r="M381" s="44"/>
      <c r="N381" s="45"/>
      <c r="O381" s="18">
        <v>0</v>
      </c>
      <c r="P381" s="18">
        <v>0</v>
      </c>
      <c r="Q381" s="61"/>
      <c r="R381" s="46"/>
    </row>
    <row r="382" spans="1:18">
      <c r="A382" s="33" t="s">
        <v>6420</v>
      </c>
      <c r="B382" s="40" t="s">
        <v>7765</v>
      </c>
      <c r="C382" s="47">
        <v>40542</v>
      </c>
      <c r="D382" s="47" t="s">
        <v>8465</v>
      </c>
      <c r="E382" s="40" t="s">
        <v>6479</v>
      </c>
      <c r="F382" s="40" t="s">
        <v>6479</v>
      </c>
      <c r="G382" s="42"/>
      <c r="H382" s="65" t="s">
        <v>21</v>
      </c>
      <c r="J382" s="43"/>
      <c r="K382" s="61">
        <v>0.8</v>
      </c>
      <c r="L382" s="40">
        <v>381</v>
      </c>
      <c r="M382" s="44"/>
      <c r="N382" s="45"/>
      <c r="O382" s="18">
        <v>0</v>
      </c>
      <c r="P382" s="18">
        <v>0</v>
      </c>
      <c r="Q382" s="61"/>
      <c r="R382" s="46"/>
    </row>
    <row r="383" spans="1:18">
      <c r="A383" s="33" t="s">
        <v>6421</v>
      </c>
      <c r="B383" s="40" t="s">
        <v>7765</v>
      </c>
      <c r="C383" s="47">
        <v>40104</v>
      </c>
      <c r="D383" s="47" t="s">
        <v>8465</v>
      </c>
      <c r="E383" s="40" t="s">
        <v>6480</v>
      </c>
      <c r="F383" s="40" t="s">
        <v>6480</v>
      </c>
      <c r="G383" s="42"/>
      <c r="H383" s="65" t="s">
        <v>9963</v>
      </c>
      <c r="J383" s="43"/>
      <c r="K383" s="61">
        <v>0.6</v>
      </c>
      <c r="L383" s="40">
        <v>382</v>
      </c>
      <c r="M383" s="44"/>
      <c r="N383" s="45"/>
      <c r="O383" s="18">
        <v>0</v>
      </c>
      <c r="P383" s="18">
        <v>0</v>
      </c>
      <c r="Q383" s="61"/>
      <c r="R383" s="46"/>
    </row>
    <row r="384" spans="1:18">
      <c r="A384" s="33" t="s">
        <v>6422</v>
      </c>
      <c r="B384" s="40" t="s">
        <v>7765</v>
      </c>
      <c r="C384" s="47">
        <v>40500</v>
      </c>
      <c r="D384" s="47" t="s">
        <v>8465</v>
      </c>
      <c r="E384" s="40" t="s">
        <v>6461</v>
      </c>
      <c r="F384" s="40" t="s">
        <v>6461</v>
      </c>
      <c r="G384" s="42" t="s">
        <v>6462</v>
      </c>
      <c r="H384" s="65" t="s">
        <v>78</v>
      </c>
      <c r="J384" s="43"/>
      <c r="K384" s="61">
        <v>0.6</v>
      </c>
      <c r="L384" s="40">
        <v>383</v>
      </c>
      <c r="M384" s="44"/>
      <c r="N384" s="45"/>
      <c r="O384" s="18">
        <v>0</v>
      </c>
      <c r="P384" s="18">
        <v>0</v>
      </c>
      <c r="Q384" s="61"/>
      <c r="R384" s="46"/>
    </row>
    <row r="385" spans="1:18">
      <c r="A385" s="33" t="s">
        <v>333</v>
      </c>
      <c r="B385" s="40" t="s">
        <v>6317</v>
      </c>
      <c r="C385" s="49">
        <v>33604</v>
      </c>
      <c r="D385" s="47" t="s">
        <v>8465</v>
      </c>
      <c r="E385" s="40" t="s">
        <v>76</v>
      </c>
      <c r="F385" s="40" t="s">
        <v>480</v>
      </c>
      <c r="G385" s="42"/>
      <c r="H385" s="65" t="s">
        <v>21</v>
      </c>
      <c r="J385" s="43"/>
      <c r="K385" s="61">
        <v>0.5</v>
      </c>
      <c r="L385" s="40">
        <v>384</v>
      </c>
      <c r="M385" s="44"/>
      <c r="N385" s="45"/>
      <c r="O385" s="18">
        <v>0</v>
      </c>
      <c r="P385" s="18">
        <v>1</v>
      </c>
      <c r="Q385" s="61"/>
      <c r="R385" s="46"/>
    </row>
    <row r="386" spans="1:18">
      <c r="A386" s="33" t="s">
        <v>224</v>
      </c>
      <c r="B386" s="40" t="s">
        <v>7742</v>
      </c>
      <c r="C386" s="47">
        <v>39125</v>
      </c>
      <c r="D386" s="47" t="s">
        <v>8465</v>
      </c>
      <c r="E386" s="40" t="s">
        <v>86</v>
      </c>
      <c r="F386" s="40" t="s">
        <v>30</v>
      </c>
      <c r="G386" s="42" t="s">
        <v>223</v>
      </c>
      <c r="H386" s="65" t="s">
        <v>64</v>
      </c>
      <c r="J386" s="43"/>
      <c r="K386" s="61">
        <v>0.8</v>
      </c>
      <c r="L386" s="40">
        <v>385</v>
      </c>
      <c r="M386" s="44"/>
      <c r="N386" s="45"/>
      <c r="O386" s="18">
        <v>0</v>
      </c>
      <c r="P386" s="18">
        <v>0</v>
      </c>
      <c r="Q386" s="61"/>
      <c r="R386" s="46"/>
    </row>
    <row r="387" spans="1:18">
      <c r="A387" s="33" t="s">
        <v>1760</v>
      </c>
      <c r="B387" s="40" t="s">
        <v>7745</v>
      </c>
      <c r="C387" s="47">
        <v>35865</v>
      </c>
      <c r="D387" s="47" t="s">
        <v>8465</v>
      </c>
      <c r="E387" s="40" t="s">
        <v>72</v>
      </c>
      <c r="F387" s="40" t="s">
        <v>72</v>
      </c>
      <c r="G387" s="42" t="s">
        <v>113</v>
      </c>
      <c r="H387" s="65" t="s">
        <v>56</v>
      </c>
      <c r="J387" s="43"/>
      <c r="K387" s="61">
        <v>0.6</v>
      </c>
      <c r="L387" s="40">
        <v>386</v>
      </c>
      <c r="M387" s="44"/>
      <c r="N387" s="45"/>
      <c r="O387" s="18">
        <v>0</v>
      </c>
      <c r="P387" s="18">
        <v>1</v>
      </c>
      <c r="Q387" s="61">
        <v>0.52880000000000005</v>
      </c>
      <c r="R387" s="46"/>
    </row>
    <row r="388" spans="1:18">
      <c r="A388" s="33" t="s">
        <v>1761</v>
      </c>
      <c r="B388" s="40" t="s">
        <v>7745</v>
      </c>
      <c r="C388" s="41">
        <v>33270</v>
      </c>
      <c r="D388" s="47" t="s">
        <v>8465</v>
      </c>
      <c r="E388" s="40" t="s">
        <v>244</v>
      </c>
      <c r="F388" s="40" t="s">
        <v>72</v>
      </c>
      <c r="G388" s="42" t="s">
        <v>97</v>
      </c>
      <c r="H388" s="65" t="s">
        <v>147</v>
      </c>
      <c r="J388" s="43"/>
      <c r="K388" s="61">
        <v>0.7</v>
      </c>
      <c r="L388" s="40">
        <v>387</v>
      </c>
      <c r="M388" s="44"/>
      <c r="N388" s="45"/>
      <c r="O388" s="18">
        <v>0</v>
      </c>
      <c r="P388" s="18">
        <v>1</v>
      </c>
      <c r="Q388" s="61"/>
      <c r="R388" s="46"/>
    </row>
    <row r="389" spans="1:18">
      <c r="A389" s="33" t="s">
        <v>6423</v>
      </c>
      <c r="B389" s="40" t="s">
        <v>7765</v>
      </c>
      <c r="C389" s="47">
        <v>40235</v>
      </c>
      <c r="D389" s="47" t="s">
        <v>8465</v>
      </c>
      <c r="E389" s="40" t="s">
        <v>5556</v>
      </c>
      <c r="F389" s="40" t="s">
        <v>5556</v>
      </c>
      <c r="G389" s="42"/>
      <c r="H389" s="65" t="s">
        <v>150</v>
      </c>
      <c r="J389" s="43"/>
      <c r="K389" s="61">
        <v>0.7</v>
      </c>
      <c r="L389" s="40">
        <v>388</v>
      </c>
      <c r="M389" s="44"/>
      <c r="N389" s="45"/>
      <c r="O389" s="18">
        <v>0</v>
      </c>
      <c r="P389" s="18">
        <v>0</v>
      </c>
      <c r="Q389" s="61">
        <v>0.84</v>
      </c>
      <c r="R389" s="46"/>
    </row>
    <row r="390" spans="1:18">
      <c r="A390" s="33" t="s">
        <v>1762</v>
      </c>
      <c r="B390" s="40" t="s">
        <v>7745</v>
      </c>
      <c r="C390" s="47">
        <v>33585</v>
      </c>
      <c r="D390" s="47" t="s">
        <v>8463</v>
      </c>
      <c r="E390" s="40" t="s">
        <v>54</v>
      </c>
      <c r="F390" s="40" t="s">
        <v>54</v>
      </c>
      <c r="G390" s="42" t="s">
        <v>330</v>
      </c>
      <c r="H390" s="65" t="s">
        <v>21</v>
      </c>
      <c r="J390" s="43"/>
      <c r="K390" s="61">
        <v>0.6</v>
      </c>
      <c r="L390" s="40">
        <v>389</v>
      </c>
      <c r="M390" s="44"/>
      <c r="N390" s="45"/>
      <c r="O390" s="18">
        <v>0</v>
      </c>
      <c r="P390" s="18">
        <v>1</v>
      </c>
      <c r="Q390" s="61"/>
      <c r="R390" s="46"/>
    </row>
    <row r="391" spans="1:18" ht="38.25">
      <c r="A391" s="33" t="s">
        <v>1763</v>
      </c>
      <c r="B391" s="40" t="s">
        <v>7745</v>
      </c>
      <c r="C391" s="47">
        <v>33573</v>
      </c>
      <c r="D391" s="47" t="s">
        <v>8465</v>
      </c>
      <c r="E391" s="40" t="s">
        <v>72</v>
      </c>
      <c r="F391" s="40" t="s">
        <v>72</v>
      </c>
      <c r="G391" s="42" t="s">
        <v>215</v>
      </c>
      <c r="H391" s="65" t="s">
        <v>153</v>
      </c>
      <c r="J391" s="43"/>
      <c r="K391" s="61">
        <v>0.6</v>
      </c>
      <c r="L391" s="40">
        <v>390</v>
      </c>
      <c r="M391" s="44"/>
      <c r="N391" s="45"/>
      <c r="O391" s="18">
        <v>0</v>
      </c>
      <c r="P391" s="18">
        <v>1</v>
      </c>
      <c r="Q391" s="61">
        <v>0.64749999999999996</v>
      </c>
      <c r="R391" s="46"/>
    </row>
    <row r="392" spans="1:18" ht="25.5">
      <c r="A392" s="33" t="s">
        <v>1824</v>
      </c>
      <c r="B392" s="40" t="s">
        <v>7746</v>
      </c>
      <c r="C392" s="47">
        <v>36280</v>
      </c>
      <c r="D392" s="47" t="s">
        <v>8465</v>
      </c>
      <c r="E392" s="40" t="s">
        <v>86</v>
      </c>
      <c r="F392" s="40" t="s">
        <v>87</v>
      </c>
      <c r="G392" s="42" t="s">
        <v>137</v>
      </c>
      <c r="H392" s="65" t="s">
        <v>64</v>
      </c>
      <c r="J392" s="43"/>
      <c r="K392" s="61">
        <v>0.9</v>
      </c>
      <c r="L392" s="40">
        <v>391</v>
      </c>
      <c r="M392" s="44"/>
      <c r="N392" s="45"/>
      <c r="O392" s="18">
        <v>0</v>
      </c>
      <c r="P392" s="18">
        <v>1</v>
      </c>
      <c r="Q392" s="61">
        <v>0.92630000000000001</v>
      </c>
      <c r="R392" s="46"/>
    </row>
    <row r="393" spans="1:18">
      <c r="A393" s="33" t="s">
        <v>1764</v>
      </c>
      <c r="B393" s="40" t="s">
        <v>7745</v>
      </c>
      <c r="C393" s="41">
        <v>34608</v>
      </c>
      <c r="D393" s="47" t="s">
        <v>8465</v>
      </c>
      <c r="E393" s="40" t="s">
        <v>72</v>
      </c>
      <c r="F393" s="40" t="s">
        <v>1322</v>
      </c>
      <c r="G393" s="42" t="s">
        <v>97</v>
      </c>
      <c r="H393" s="65" t="s">
        <v>147</v>
      </c>
      <c r="J393" s="43"/>
      <c r="K393" s="61">
        <v>0.7</v>
      </c>
      <c r="L393" s="40">
        <v>392</v>
      </c>
      <c r="M393" s="44"/>
      <c r="N393" s="45"/>
      <c r="O393" s="18">
        <v>0</v>
      </c>
      <c r="P393" s="18">
        <v>1</v>
      </c>
      <c r="Q393" s="61">
        <v>0.71750000000000003</v>
      </c>
      <c r="R393" s="46"/>
    </row>
    <row r="394" spans="1:18">
      <c r="A394" s="33" t="s">
        <v>1765</v>
      </c>
      <c r="B394" s="40" t="s">
        <v>7745</v>
      </c>
      <c r="C394" s="41">
        <v>33573</v>
      </c>
      <c r="D394" s="47" t="s">
        <v>8465</v>
      </c>
      <c r="E394" s="40" t="s">
        <v>76</v>
      </c>
      <c r="F394" s="40" t="s">
        <v>76</v>
      </c>
      <c r="G394" s="42" t="s">
        <v>139</v>
      </c>
      <c r="H394" s="65" t="s">
        <v>56</v>
      </c>
      <c r="J394" s="43"/>
      <c r="K394" s="61">
        <v>0.7</v>
      </c>
      <c r="L394" s="40">
        <v>393</v>
      </c>
      <c r="M394" s="44"/>
      <c r="N394" s="45"/>
      <c r="O394" s="18">
        <v>0</v>
      </c>
      <c r="P394" s="18">
        <v>1</v>
      </c>
      <c r="Q394" s="61">
        <v>0.58750000000000002</v>
      </c>
      <c r="R394" s="46"/>
    </row>
    <row r="395" spans="1:18" ht="25.5">
      <c r="A395" s="33" t="s">
        <v>1766</v>
      </c>
      <c r="B395" s="40" t="s">
        <v>7745</v>
      </c>
      <c r="C395" s="47">
        <v>33910</v>
      </c>
      <c r="D395" s="47" t="s">
        <v>8465</v>
      </c>
      <c r="E395" s="40" t="s">
        <v>86</v>
      </c>
      <c r="F395" s="40" t="s">
        <v>142</v>
      </c>
      <c r="G395" s="42" t="s">
        <v>137</v>
      </c>
      <c r="H395" s="65" t="s">
        <v>64</v>
      </c>
      <c r="J395" s="43"/>
      <c r="K395" s="61">
        <v>0.7</v>
      </c>
      <c r="L395" s="40">
        <v>394</v>
      </c>
      <c r="M395" s="44"/>
      <c r="N395" s="45"/>
      <c r="O395" s="18">
        <v>0</v>
      </c>
      <c r="P395" s="18">
        <v>1</v>
      </c>
      <c r="Q395" s="61">
        <v>0.79559999999999997</v>
      </c>
      <c r="R395" s="46"/>
    </row>
    <row r="396" spans="1:18">
      <c r="A396" s="33" t="s">
        <v>1767</v>
      </c>
      <c r="B396" s="40" t="s">
        <v>7745</v>
      </c>
      <c r="C396" s="47">
        <v>33817</v>
      </c>
      <c r="D396" s="47" t="s">
        <v>8465</v>
      </c>
      <c r="E396" s="40" t="s">
        <v>86</v>
      </c>
      <c r="F396" s="40" t="s">
        <v>30</v>
      </c>
      <c r="G396" s="42" t="s">
        <v>223</v>
      </c>
      <c r="H396" s="65" t="s">
        <v>64</v>
      </c>
      <c r="J396" s="43"/>
      <c r="K396" s="61">
        <v>0.8</v>
      </c>
      <c r="L396" s="40">
        <v>395</v>
      </c>
      <c r="M396" s="44"/>
      <c r="N396" s="45"/>
      <c r="O396" s="18">
        <v>0</v>
      </c>
      <c r="P396" s="18">
        <v>1</v>
      </c>
      <c r="Q396" s="61">
        <v>0.62219999999999998</v>
      </c>
      <c r="R396" s="46"/>
    </row>
    <row r="397" spans="1:18">
      <c r="A397" s="33" t="s">
        <v>1768</v>
      </c>
      <c r="B397" s="40" t="s">
        <v>7745</v>
      </c>
      <c r="C397" s="47">
        <v>34820</v>
      </c>
      <c r="D397" s="47" t="s">
        <v>8465</v>
      </c>
      <c r="E397" s="40" t="s">
        <v>86</v>
      </c>
      <c r="F397" s="40" t="s">
        <v>30</v>
      </c>
      <c r="G397" s="42" t="s">
        <v>223</v>
      </c>
      <c r="H397" s="65" t="s">
        <v>64</v>
      </c>
      <c r="J397" s="43"/>
      <c r="K397" s="61">
        <v>0.8</v>
      </c>
      <c r="L397" s="40">
        <v>396</v>
      </c>
      <c r="M397" s="44"/>
      <c r="N397" s="45"/>
      <c r="O397" s="18">
        <v>0</v>
      </c>
      <c r="P397" s="18">
        <v>1</v>
      </c>
      <c r="Q397" s="61">
        <v>0.81699999999999995</v>
      </c>
      <c r="R397" s="46"/>
    </row>
    <row r="398" spans="1:18">
      <c r="A398" s="33" t="s">
        <v>1769</v>
      </c>
      <c r="B398" s="40" t="s">
        <v>7745</v>
      </c>
      <c r="C398" s="41">
        <v>34029</v>
      </c>
      <c r="D398" s="47" t="s">
        <v>8465</v>
      </c>
      <c r="E398" s="40" t="s">
        <v>72</v>
      </c>
      <c r="F398" s="40" t="s">
        <v>72</v>
      </c>
      <c r="G398" s="42" t="s">
        <v>113</v>
      </c>
      <c r="H398" s="65" t="s">
        <v>56</v>
      </c>
      <c r="J398" s="43"/>
      <c r="K398" s="61">
        <v>0.7</v>
      </c>
      <c r="L398" s="40">
        <v>397</v>
      </c>
      <c r="M398" s="44"/>
      <c r="N398" s="45"/>
      <c r="O398" s="18">
        <v>0</v>
      </c>
      <c r="P398" s="18">
        <v>1</v>
      </c>
      <c r="Q398" s="61">
        <v>0.79830000000000001</v>
      </c>
      <c r="R398" s="46"/>
    </row>
    <row r="399" spans="1:18">
      <c r="A399" s="33" t="s">
        <v>126</v>
      </c>
      <c r="B399" s="40" t="s">
        <v>7734</v>
      </c>
      <c r="C399" s="47">
        <v>33066</v>
      </c>
      <c r="D399" s="47" t="s">
        <v>8465</v>
      </c>
      <c r="E399" s="40" t="s">
        <v>161</v>
      </c>
      <c r="F399" s="40" t="s">
        <v>161</v>
      </c>
      <c r="G399" s="42" t="s">
        <v>126</v>
      </c>
      <c r="H399" s="65" t="s">
        <v>149</v>
      </c>
      <c r="J399" s="43"/>
      <c r="K399" s="61">
        <v>0.8</v>
      </c>
      <c r="L399" s="40">
        <v>398</v>
      </c>
      <c r="M399" s="44"/>
      <c r="N399" s="45"/>
      <c r="O399" s="18">
        <v>0</v>
      </c>
      <c r="P399" s="18">
        <v>1</v>
      </c>
      <c r="Q399" s="61"/>
      <c r="R399" s="46"/>
    </row>
    <row r="400" spans="1:18" ht="25.5">
      <c r="A400" s="33" t="s">
        <v>1770</v>
      </c>
      <c r="B400" s="40" t="s">
        <v>7745</v>
      </c>
      <c r="C400" s="41">
        <v>33451</v>
      </c>
      <c r="D400" s="47" t="s">
        <v>8465</v>
      </c>
      <c r="E400" s="40" t="s">
        <v>72</v>
      </c>
      <c r="F400" s="40" t="s">
        <v>72</v>
      </c>
      <c r="G400" s="42" t="s">
        <v>113</v>
      </c>
      <c r="H400" s="65" t="s">
        <v>56</v>
      </c>
      <c r="J400" s="43"/>
      <c r="K400" s="61">
        <v>0.6</v>
      </c>
      <c r="L400" s="40">
        <v>399</v>
      </c>
      <c r="M400" s="44"/>
      <c r="N400" s="45"/>
      <c r="O400" s="18">
        <v>0</v>
      </c>
      <c r="P400" s="18">
        <v>1</v>
      </c>
      <c r="Q400" s="61">
        <v>0.83499999999999996</v>
      </c>
      <c r="R400" s="46"/>
    </row>
    <row r="401" spans="1:18" ht="25.5">
      <c r="A401" s="33" t="s">
        <v>1925</v>
      </c>
      <c r="B401" s="40" t="s">
        <v>7747</v>
      </c>
      <c r="C401" s="47">
        <v>38924</v>
      </c>
      <c r="D401" s="47" t="s">
        <v>8465</v>
      </c>
      <c r="E401" s="40" t="s">
        <v>228</v>
      </c>
      <c r="F401" s="40" t="s">
        <v>1897</v>
      </c>
      <c r="G401" s="42" t="s">
        <v>1898</v>
      </c>
      <c r="H401" s="65" t="s">
        <v>171</v>
      </c>
      <c r="J401" s="43"/>
      <c r="K401" s="61">
        <v>0.8</v>
      </c>
      <c r="L401" s="40">
        <v>400</v>
      </c>
      <c r="M401" s="44"/>
      <c r="N401" s="45"/>
      <c r="O401" s="18">
        <v>0</v>
      </c>
      <c r="P401" s="18">
        <v>1</v>
      </c>
      <c r="Q401" s="61">
        <v>0.76429999999999998</v>
      </c>
      <c r="R401" s="46"/>
    </row>
    <row r="402" spans="1:18">
      <c r="A402" s="33" t="s">
        <v>1926</v>
      </c>
      <c r="B402" s="40" t="s">
        <v>7747</v>
      </c>
      <c r="C402" s="47">
        <v>37207</v>
      </c>
      <c r="D402" s="47" t="s">
        <v>8465</v>
      </c>
      <c r="E402" s="40" t="s">
        <v>72</v>
      </c>
      <c r="F402" s="40" t="s">
        <v>1899</v>
      </c>
      <c r="G402" s="42" t="s">
        <v>123</v>
      </c>
      <c r="H402" s="65" t="s">
        <v>21</v>
      </c>
      <c r="J402" s="43"/>
      <c r="K402" s="61">
        <v>0.6</v>
      </c>
      <c r="L402" s="40">
        <v>401</v>
      </c>
      <c r="M402" s="44"/>
      <c r="N402" s="45"/>
      <c r="O402" s="18">
        <v>0</v>
      </c>
      <c r="P402" s="18">
        <v>1</v>
      </c>
      <c r="Q402" s="61">
        <v>0.76570000000000005</v>
      </c>
      <c r="R402" s="46"/>
    </row>
    <row r="403" spans="1:18">
      <c r="A403" s="33" t="s">
        <v>127</v>
      </c>
      <c r="B403" s="40" t="s">
        <v>7734</v>
      </c>
      <c r="C403" s="41">
        <v>33390</v>
      </c>
      <c r="D403" s="47" t="s">
        <v>8465</v>
      </c>
      <c r="E403" s="40" t="s">
        <v>152</v>
      </c>
      <c r="F403" s="40" t="s">
        <v>163</v>
      </c>
      <c r="G403" s="42" t="s">
        <v>127</v>
      </c>
      <c r="H403" s="65" t="s">
        <v>153</v>
      </c>
      <c r="J403" s="43"/>
      <c r="K403" s="61">
        <v>0.6</v>
      </c>
      <c r="L403" s="40">
        <v>402</v>
      </c>
      <c r="M403" s="44"/>
      <c r="N403" s="45"/>
      <c r="O403" s="18">
        <v>0</v>
      </c>
      <c r="P403" s="18">
        <v>1</v>
      </c>
      <c r="Q403" s="61"/>
      <c r="R403" s="46"/>
    </row>
    <row r="404" spans="1:18">
      <c r="A404" s="33" t="s">
        <v>2519</v>
      </c>
      <c r="B404" s="40" t="s">
        <v>7751</v>
      </c>
      <c r="C404" s="47">
        <v>34410</v>
      </c>
      <c r="D404" s="47" t="s">
        <v>8465</v>
      </c>
      <c r="E404" s="40" t="s">
        <v>72</v>
      </c>
      <c r="F404" s="40" t="s">
        <v>72</v>
      </c>
      <c r="G404" s="42" t="s">
        <v>113</v>
      </c>
      <c r="H404" s="65" t="s">
        <v>56</v>
      </c>
      <c r="J404" s="43"/>
      <c r="K404" s="61">
        <v>0.8</v>
      </c>
      <c r="L404" s="40">
        <v>403</v>
      </c>
      <c r="M404" s="44"/>
      <c r="N404" s="45"/>
      <c r="O404" s="18">
        <v>0</v>
      </c>
      <c r="P404" s="18">
        <v>1</v>
      </c>
      <c r="Q404" s="61">
        <v>0.83499999999999996</v>
      </c>
      <c r="R404" s="46"/>
    </row>
    <row r="405" spans="1:18">
      <c r="A405" s="33" t="s">
        <v>1825</v>
      </c>
      <c r="B405" s="40" t="s">
        <v>7746</v>
      </c>
      <c r="C405" s="47">
        <v>36742</v>
      </c>
      <c r="D405" s="47" t="s">
        <v>8463</v>
      </c>
      <c r="E405" s="40" t="s">
        <v>1828</v>
      </c>
      <c r="F405" s="40" t="s">
        <v>1200</v>
      </c>
      <c r="G405" s="42" t="s">
        <v>1829</v>
      </c>
      <c r="H405" s="65" t="s">
        <v>21</v>
      </c>
      <c r="J405" s="43"/>
      <c r="K405" s="61">
        <v>0.7</v>
      </c>
      <c r="L405" s="40">
        <v>404</v>
      </c>
      <c r="M405" s="44"/>
      <c r="N405" s="45"/>
      <c r="O405" s="18">
        <v>0</v>
      </c>
      <c r="P405" s="18">
        <v>1</v>
      </c>
      <c r="Q405" s="61"/>
      <c r="R405" s="46"/>
    </row>
    <row r="406" spans="1:18" ht="25.5">
      <c r="A406" s="33" t="s">
        <v>128</v>
      </c>
      <c r="B406" s="40" t="s">
        <v>7734</v>
      </c>
      <c r="C406" s="47">
        <v>32478</v>
      </c>
      <c r="D406" s="47" t="s">
        <v>8465</v>
      </c>
      <c r="E406" s="40" t="s">
        <v>72</v>
      </c>
      <c r="F406" s="40" t="s">
        <v>72</v>
      </c>
      <c r="G406" s="42" t="s">
        <v>113</v>
      </c>
      <c r="H406" s="65" t="s">
        <v>80</v>
      </c>
      <c r="J406" s="43"/>
      <c r="K406" s="61">
        <v>0.6</v>
      </c>
      <c r="L406" s="40">
        <v>405</v>
      </c>
      <c r="M406" s="44"/>
      <c r="N406" s="45"/>
      <c r="O406" s="18">
        <v>0</v>
      </c>
      <c r="P406" s="18">
        <v>1</v>
      </c>
      <c r="Q406" s="61"/>
      <c r="R406" s="46"/>
    </row>
    <row r="407" spans="1:18" ht="25.5">
      <c r="A407" s="33" t="s">
        <v>129</v>
      </c>
      <c r="B407" s="40" t="s">
        <v>7734</v>
      </c>
      <c r="C407" s="47">
        <v>33117</v>
      </c>
      <c r="D407" s="47" t="s">
        <v>8465</v>
      </c>
      <c r="E407" s="40" t="s">
        <v>72</v>
      </c>
      <c r="F407" s="40" t="s">
        <v>72</v>
      </c>
      <c r="G407" s="42" t="s">
        <v>113</v>
      </c>
      <c r="H407" s="65" t="s">
        <v>56</v>
      </c>
      <c r="J407" s="43"/>
      <c r="K407" s="61">
        <v>0.8</v>
      </c>
      <c r="L407" s="40">
        <v>406</v>
      </c>
      <c r="M407" s="44"/>
      <c r="N407" s="45"/>
      <c r="O407" s="18">
        <v>0</v>
      </c>
      <c r="P407" s="18">
        <v>1</v>
      </c>
      <c r="Q407" s="61"/>
      <c r="R407" s="46"/>
    </row>
    <row r="408" spans="1:18">
      <c r="A408" s="33" t="s">
        <v>130</v>
      </c>
      <c r="B408" s="40" t="s">
        <v>7734</v>
      </c>
      <c r="C408" s="41">
        <v>33086</v>
      </c>
      <c r="D408" s="47" t="s">
        <v>8465</v>
      </c>
      <c r="E408" s="40" t="s">
        <v>86</v>
      </c>
      <c r="F408" s="40" t="s">
        <v>164</v>
      </c>
      <c r="G408" s="42" t="s">
        <v>140</v>
      </c>
      <c r="H408" s="65" t="s">
        <v>149</v>
      </c>
      <c r="J408" s="43"/>
      <c r="K408" s="61">
        <v>0.7</v>
      </c>
      <c r="L408" s="40">
        <v>407</v>
      </c>
      <c r="M408" s="44"/>
      <c r="N408" s="45"/>
      <c r="O408" s="18">
        <v>0</v>
      </c>
      <c r="P408" s="18">
        <v>1</v>
      </c>
      <c r="Q408" s="61"/>
      <c r="R408" s="46"/>
    </row>
    <row r="409" spans="1:18">
      <c r="A409" s="33" t="s">
        <v>111</v>
      </c>
      <c r="B409" s="40" t="s">
        <v>7745</v>
      </c>
      <c r="C409" s="41">
        <v>33086</v>
      </c>
      <c r="D409" s="47" t="s">
        <v>8465</v>
      </c>
      <c r="E409" s="40" t="s">
        <v>152</v>
      </c>
      <c r="F409" s="40" t="s">
        <v>155</v>
      </c>
      <c r="G409" s="42" t="s">
        <v>111</v>
      </c>
      <c r="H409" s="65" t="s">
        <v>153</v>
      </c>
      <c r="J409" s="43"/>
      <c r="K409" s="61">
        <v>0.6</v>
      </c>
      <c r="L409" s="40">
        <v>408</v>
      </c>
      <c r="M409" s="44"/>
      <c r="N409" s="45"/>
      <c r="O409" s="18">
        <v>0</v>
      </c>
      <c r="P409" s="18">
        <v>1</v>
      </c>
      <c r="Q409" s="61">
        <v>0.56499999999999995</v>
      </c>
      <c r="R409" s="46"/>
    </row>
    <row r="410" spans="1:18">
      <c r="A410" s="33" t="s">
        <v>131</v>
      </c>
      <c r="B410" s="40" t="s">
        <v>7734</v>
      </c>
      <c r="C410" s="41">
        <v>33909</v>
      </c>
      <c r="D410" s="47" t="s">
        <v>8465</v>
      </c>
      <c r="E410" s="40" t="s">
        <v>54</v>
      </c>
      <c r="F410" s="40" t="s">
        <v>165</v>
      </c>
      <c r="G410" s="42"/>
      <c r="H410" s="65" t="s">
        <v>56</v>
      </c>
      <c r="J410" s="43"/>
      <c r="K410" s="61">
        <v>0.7</v>
      </c>
      <c r="L410" s="40">
        <v>409</v>
      </c>
      <c r="M410" s="44"/>
      <c r="N410" s="45"/>
      <c r="O410" s="18">
        <v>0</v>
      </c>
      <c r="P410" s="18">
        <v>1</v>
      </c>
      <c r="Q410" s="61"/>
      <c r="R410" s="46"/>
    </row>
    <row r="411" spans="1:18" ht="25.5">
      <c r="A411" s="33" t="s">
        <v>1927</v>
      </c>
      <c r="B411" s="40" t="s">
        <v>7747</v>
      </c>
      <c r="C411" s="47">
        <v>37563</v>
      </c>
      <c r="D411" s="47" t="s">
        <v>8465</v>
      </c>
      <c r="E411" s="40" t="s">
        <v>72</v>
      </c>
      <c r="F411" s="40" t="s">
        <v>72</v>
      </c>
      <c r="G411" s="42" t="s">
        <v>97</v>
      </c>
      <c r="H411" s="65" t="s">
        <v>147</v>
      </c>
      <c r="J411" s="43"/>
      <c r="K411" s="61">
        <v>0.8</v>
      </c>
      <c r="L411" s="40">
        <v>410</v>
      </c>
      <c r="M411" s="44"/>
      <c r="N411" s="45"/>
      <c r="O411" s="18">
        <v>0</v>
      </c>
      <c r="P411" s="18">
        <v>1</v>
      </c>
      <c r="Q411" s="61">
        <v>0.64090000000000003</v>
      </c>
      <c r="R411" s="46"/>
    </row>
    <row r="412" spans="1:18">
      <c r="A412" s="33" t="s">
        <v>1771</v>
      </c>
      <c r="B412" s="40" t="s">
        <v>7745</v>
      </c>
      <c r="C412" s="41">
        <v>33573</v>
      </c>
      <c r="D412" s="47" t="s">
        <v>8465</v>
      </c>
      <c r="E412" s="40" t="s">
        <v>9972</v>
      </c>
      <c r="F412" s="40" t="s">
        <v>155</v>
      </c>
      <c r="G412" s="42" t="s">
        <v>111</v>
      </c>
      <c r="H412" s="65" t="s">
        <v>153</v>
      </c>
      <c r="J412" s="43"/>
      <c r="K412" s="61">
        <v>0.6</v>
      </c>
      <c r="L412" s="40">
        <v>411</v>
      </c>
      <c r="M412" s="44"/>
      <c r="N412" s="45"/>
      <c r="O412" s="18">
        <v>0</v>
      </c>
      <c r="P412" s="18">
        <v>1</v>
      </c>
      <c r="Q412" s="61">
        <v>0.49170000000000003</v>
      </c>
      <c r="R412" s="46"/>
    </row>
    <row r="413" spans="1:18">
      <c r="A413" s="33" t="s">
        <v>2904</v>
      </c>
      <c r="B413" s="40" t="s">
        <v>7757</v>
      </c>
      <c r="C413" s="47">
        <v>36753</v>
      </c>
      <c r="D413" s="47" t="s">
        <v>8465</v>
      </c>
      <c r="E413" s="40" t="s">
        <v>161</v>
      </c>
      <c r="F413" s="40" t="s">
        <v>161</v>
      </c>
      <c r="G413" s="42" t="s">
        <v>1251</v>
      </c>
      <c r="H413" s="65" t="s">
        <v>149</v>
      </c>
      <c r="J413" s="43"/>
      <c r="K413" s="61">
        <v>0.9</v>
      </c>
      <c r="L413" s="40">
        <v>412</v>
      </c>
      <c r="M413" s="44"/>
      <c r="N413" s="45"/>
      <c r="O413" s="18">
        <v>0</v>
      </c>
      <c r="P413" s="18">
        <v>1</v>
      </c>
      <c r="Q413" s="61">
        <v>0.92179999999999995</v>
      </c>
      <c r="R413" s="46"/>
    </row>
    <row r="414" spans="1:18">
      <c r="A414" s="33" t="s">
        <v>1928</v>
      </c>
      <c r="B414" s="40" t="s">
        <v>7747</v>
      </c>
      <c r="C414" s="47">
        <v>37040</v>
      </c>
      <c r="D414" s="47" t="s">
        <v>8465</v>
      </c>
      <c r="E414" s="40" t="s">
        <v>1900</v>
      </c>
      <c r="F414" s="40" t="s">
        <v>1901</v>
      </c>
      <c r="G414" s="42" t="s">
        <v>1902</v>
      </c>
      <c r="H414" s="65" t="s">
        <v>1170</v>
      </c>
      <c r="J414" s="43"/>
      <c r="K414" s="61">
        <v>0.5</v>
      </c>
      <c r="L414" s="40">
        <v>413</v>
      </c>
      <c r="M414" s="44"/>
      <c r="N414" s="45"/>
      <c r="O414" s="18">
        <v>0</v>
      </c>
      <c r="P414" s="18">
        <v>1</v>
      </c>
      <c r="Q414" s="61">
        <v>0.56359999999999999</v>
      </c>
      <c r="R414" s="46"/>
    </row>
    <row r="415" spans="1:18">
      <c r="A415" s="33" t="s">
        <v>1826</v>
      </c>
      <c r="B415" s="40" t="s">
        <v>7746</v>
      </c>
      <c r="C415" s="47">
        <v>36901</v>
      </c>
      <c r="D415" s="47" t="s">
        <v>8465</v>
      </c>
      <c r="E415" s="40" t="s">
        <v>73</v>
      </c>
      <c r="F415" s="40" t="s">
        <v>73</v>
      </c>
      <c r="G415" s="42" t="s">
        <v>601</v>
      </c>
      <c r="H415" s="65" t="s">
        <v>56</v>
      </c>
      <c r="J415" s="43"/>
      <c r="K415" s="61">
        <v>0.7</v>
      </c>
      <c r="L415" s="40">
        <v>414</v>
      </c>
      <c r="M415" s="44"/>
      <c r="N415" s="45"/>
      <c r="O415" s="18">
        <v>0</v>
      </c>
      <c r="P415" s="18">
        <v>1</v>
      </c>
      <c r="Q415" s="61">
        <v>0.77080000000000004</v>
      </c>
      <c r="R415" s="46"/>
    </row>
    <row r="416" spans="1:18" ht="25.5">
      <c r="A416" s="33" t="s">
        <v>1929</v>
      </c>
      <c r="B416" s="40" t="s">
        <v>7747</v>
      </c>
      <c r="C416" s="47">
        <v>37315</v>
      </c>
      <c r="D416" s="47" t="s">
        <v>8463</v>
      </c>
      <c r="E416" s="40" t="s">
        <v>72</v>
      </c>
      <c r="F416" s="40" t="s">
        <v>72</v>
      </c>
      <c r="G416" s="42" t="s">
        <v>1242</v>
      </c>
      <c r="H416" s="65" t="s">
        <v>64</v>
      </c>
      <c r="J416" s="43"/>
      <c r="K416" s="61">
        <v>0.7</v>
      </c>
      <c r="L416" s="40">
        <v>415</v>
      </c>
      <c r="M416" s="44"/>
      <c r="N416" s="45"/>
      <c r="O416" s="18">
        <v>0</v>
      </c>
      <c r="P416" s="18">
        <v>1</v>
      </c>
      <c r="Q416" s="61">
        <v>0.65</v>
      </c>
      <c r="R416" s="46"/>
    </row>
    <row r="417" spans="1:18">
      <c r="A417" s="33" t="s">
        <v>600</v>
      </c>
      <c r="B417" s="40" t="s">
        <v>7736</v>
      </c>
      <c r="C417" s="47">
        <v>34608</v>
      </c>
      <c r="D417" s="47" t="s">
        <v>8465</v>
      </c>
      <c r="E417" s="40" t="s">
        <v>257</v>
      </c>
      <c r="F417" s="40" t="s">
        <v>1252</v>
      </c>
      <c r="G417" s="42"/>
      <c r="H417" s="65" t="s">
        <v>149</v>
      </c>
      <c r="J417" s="43"/>
      <c r="K417" s="61">
        <v>0.7</v>
      </c>
      <c r="L417" s="40">
        <v>416</v>
      </c>
      <c r="M417" s="44"/>
      <c r="N417" s="45"/>
      <c r="O417" s="18">
        <v>0</v>
      </c>
      <c r="P417" s="18">
        <v>1</v>
      </c>
      <c r="Q417" s="61">
        <v>0.66749999999999998</v>
      </c>
      <c r="R417" s="46"/>
    </row>
    <row r="418" spans="1:18">
      <c r="A418" s="33" t="s">
        <v>601</v>
      </c>
      <c r="B418" s="40" t="s">
        <v>7736</v>
      </c>
      <c r="C418" s="41">
        <v>34335</v>
      </c>
      <c r="D418" s="47" t="s">
        <v>8465</v>
      </c>
      <c r="E418" s="40" t="s">
        <v>73</v>
      </c>
      <c r="F418" s="40" t="s">
        <v>73</v>
      </c>
      <c r="G418" s="42" t="s">
        <v>601</v>
      </c>
      <c r="H418" s="65" t="s">
        <v>56</v>
      </c>
      <c r="J418" s="43"/>
      <c r="K418" s="61">
        <v>0.8</v>
      </c>
      <c r="L418" s="40">
        <v>417</v>
      </c>
      <c r="M418" s="44"/>
      <c r="N418" s="45"/>
      <c r="O418" s="18">
        <v>0</v>
      </c>
      <c r="P418" s="18">
        <v>1</v>
      </c>
      <c r="Q418" s="61">
        <v>0.88500000000000001</v>
      </c>
      <c r="R418" s="46"/>
    </row>
    <row r="419" spans="1:18">
      <c r="A419" s="33" t="s">
        <v>1827</v>
      </c>
      <c r="B419" s="40" t="s">
        <v>7746</v>
      </c>
      <c r="C419" s="41">
        <v>36312</v>
      </c>
      <c r="D419" s="47" t="s">
        <v>8465</v>
      </c>
      <c r="E419" s="40" t="s">
        <v>86</v>
      </c>
      <c r="F419" s="40" t="s">
        <v>1258</v>
      </c>
      <c r="G419" s="42" t="s">
        <v>404</v>
      </c>
      <c r="H419" s="65" t="s">
        <v>21</v>
      </c>
      <c r="J419" s="43"/>
      <c r="K419" s="61">
        <v>0.8</v>
      </c>
      <c r="L419" s="40">
        <v>418</v>
      </c>
      <c r="M419" s="44"/>
      <c r="N419" s="45"/>
      <c r="O419" s="18">
        <v>0</v>
      </c>
      <c r="P419" s="18">
        <v>1</v>
      </c>
      <c r="Q419" s="61">
        <v>0.75600000000000001</v>
      </c>
      <c r="R419" s="46"/>
    </row>
    <row r="420" spans="1:18" ht="25.5">
      <c r="A420" s="33" t="s">
        <v>602</v>
      </c>
      <c r="B420" s="40" t="s">
        <v>7736</v>
      </c>
      <c r="C420" s="41">
        <v>33909</v>
      </c>
      <c r="D420" s="47" t="s">
        <v>8465</v>
      </c>
      <c r="E420" s="40" t="s">
        <v>144</v>
      </c>
      <c r="F420" s="40" t="s">
        <v>1258</v>
      </c>
      <c r="G420" s="42" t="s">
        <v>448</v>
      </c>
      <c r="H420" s="65" t="s">
        <v>147</v>
      </c>
      <c r="J420" s="43"/>
      <c r="K420" s="61">
        <v>0.5</v>
      </c>
      <c r="L420" s="40">
        <v>419</v>
      </c>
      <c r="M420" s="44"/>
      <c r="N420" s="45"/>
      <c r="O420" s="18">
        <v>0</v>
      </c>
      <c r="P420" s="18">
        <v>1</v>
      </c>
      <c r="Q420" s="61">
        <v>0.60250000000000004</v>
      </c>
      <c r="R420" s="46"/>
    </row>
    <row r="421" spans="1:18" ht="38.25">
      <c r="A421" s="33" t="s">
        <v>8676</v>
      </c>
      <c r="B421" s="40" t="s">
        <v>7800</v>
      </c>
      <c r="C421" s="47">
        <v>36469</v>
      </c>
      <c r="D421" s="47" t="s">
        <v>8465</v>
      </c>
      <c r="E421" s="40" t="s">
        <v>5683</v>
      </c>
      <c r="F421" s="40" t="s">
        <v>5683</v>
      </c>
      <c r="G421" s="42" t="s">
        <v>5684</v>
      </c>
      <c r="H421" s="65" t="s">
        <v>67</v>
      </c>
      <c r="J421" s="43"/>
      <c r="K421" s="61">
        <v>0.7</v>
      </c>
      <c r="L421" s="40">
        <v>420</v>
      </c>
      <c r="M421" s="44"/>
      <c r="N421" s="45"/>
      <c r="O421" s="18">
        <v>0</v>
      </c>
      <c r="P421" s="18">
        <v>0</v>
      </c>
      <c r="Q421" s="61"/>
      <c r="R421" s="46"/>
    </row>
    <row r="422" spans="1:18">
      <c r="A422" s="33" t="s">
        <v>603</v>
      </c>
      <c r="B422" s="40" t="s">
        <v>7736</v>
      </c>
      <c r="C422" s="47">
        <v>35020</v>
      </c>
      <c r="D422" s="47" t="s">
        <v>8463</v>
      </c>
      <c r="E422" s="40" t="s">
        <v>1259</v>
      </c>
      <c r="F422" s="40" t="s">
        <v>1260</v>
      </c>
      <c r="G422" s="42"/>
      <c r="H422" s="65" t="s">
        <v>21</v>
      </c>
      <c r="J422" s="43"/>
      <c r="K422" s="61">
        <v>0.9</v>
      </c>
      <c r="L422" s="40">
        <v>421</v>
      </c>
      <c r="M422" s="44"/>
      <c r="N422" s="45"/>
      <c r="O422" s="18">
        <v>0</v>
      </c>
      <c r="P422" s="18">
        <v>1</v>
      </c>
      <c r="Q422" s="61"/>
      <c r="R422" s="46"/>
    </row>
    <row r="423" spans="1:18" ht="38.25">
      <c r="A423" s="33" t="s">
        <v>604</v>
      </c>
      <c r="B423" s="40" t="s">
        <v>7736</v>
      </c>
      <c r="C423" s="49">
        <v>33970</v>
      </c>
      <c r="D423" s="47" t="s">
        <v>8465</v>
      </c>
      <c r="E423" s="40" t="s">
        <v>1261</v>
      </c>
      <c r="F423" s="40" t="s">
        <v>1262</v>
      </c>
      <c r="G423" s="42" t="s">
        <v>298</v>
      </c>
      <c r="H423" s="65" t="s">
        <v>21</v>
      </c>
      <c r="J423" s="43"/>
      <c r="K423" s="61">
        <v>0.7</v>
      </c>
      <c r="L423" s="40">
        <v>422</v>
      </c>
      <c r="M423" s="44"/>
      <c r="N423" s="45"/>
      <c r="O423" s="18">
        <v>0</v>
      </c>
      <c r="P423" s="18">
        <v>1</v>
      </c>
      <c r="Q423" s="61">
        <v>0.9</v>
      </c>
      <c r="R423" s="46"/>
    </row>
    <row r="424" spans="1:18">
      <c r="A424" s="33" t="s">
        <v>605</v>
      </c>
      <c r="B424" s="40" t="s">
        <v>7736</v>
      </c>
      <c r="C424" s="41">
        <v>34943</v>
      </c>
      <c r="D424" s="47" t="s">
        <v>8465</v>
      </c>
      <c r="E424" s="40" t="s">
        <v>72</v>
      </c>
      <c r="F424" s="40" t="s">
        <v>72</v>
      </c>
      <c r="G424" s="42" t="s">
        <v>113</v>
      </c>
      <c r="H424" s="65" t="s">
        <v>56</v>
      </c>
      <c r="J424" s="43"/>
      <c r="K424" s="61">
        <v>0.8</v>
      </c>
      <c r="L424" s="40">
        <v>423</v>
      </c>
      <c r="M424" s="44"/>
      <c r="N424" s="45"/>
      <c r="O424" s="18">
        <v>0</v>
      </c>
      <c r="P424" s="18">
        <v>1</v>
      </c>
      <c r="Q424" s="61">
        <v>0.71</v>
      </c>
      <c r="R424" s="46"/>
    </row>
    <row r="425" spans="1:18">
      <c r="A425" s="33" t="s">
        <v>606</v>
      </c>
      <c r="B425" s="40" t="s">
        <v>7736</v>
      </c>
      <c r="C425" s="41">
        <v>34090</v>
      </c>
      <c r="D425" s="47" t="s">
        <v>8465</v>
      </c>
      <c r="E425" s="40" t="s">
        <v>57</v>
      </c>
      <c r="F425" s="40" t="s">
        <v>254</v>
      </c>
      <c r="G425" s="42" t="s">
        <v>606</v>
      </c>
      <c r="H425" s="65" t="s">
        <v>149</v>
      </c>
      <c r="J425" s="43"/>
      <c r="K425" s="61">
        <v>0.8</v>
      </c>
      <c r="L425" s="40">
        <v>424</v>
      </c>
      <c r="M425" s="44"/>
      <c r="N425" s="45"/>
      <c r="O425" s="18">
        <v>0</v>
      </c>
      <c r="P425" s="18">
        <v>1</v>
      </c>
      <c r="Q425" s="61">
        <v>0.69569999999999999</v>
      </c>
      <c r="R425" s="46"/>
    </row>
    <row r="426" spans="1:18">
      <c r="A426" s="33" t="s">
        <v>6424</v>
      </c>
      <c r="B426" s="40" t="s">
        <v>7765</v>
      </c>
      <c r="C426" s="47">
        <v>40585</v>
      </c>
      <c r="D426" s="47" t="s">
        <v>8465</v>
      </c>
      <c r="E426" s="40" t="s">
        <v>6454</v>
      </c>
      <c r="F426" s="40" t="s">
        <v>6454</v>
      </c>
      <c r="G426" s="42"/>
      <c r="H426" s="65" t="s">
        <v>6481</v>
      </c>
      <c r="J426" s="43"/>
      <c r="K426" s="61">
        <v>0.6</v>
      </c>
      <c r="L426" s="40">
        <v>425</v>
      </c>
      <c r="M426" s="44"/>
      <c r="N426" s="45"/>
      <c r="O426" s="18">
        <v>0</v>
      </c>
      <c r="P426" s="18">
        <v>0</v>
      </c>
      <c r="Q426" s="61"/>
      <c r="R426" s="46"/>
    </row>
    <row r="427" spans="1:18">
      <c r="A427" s="33" t="s">
        <v>607</v>
      </c>
      <c r="B427" s="40" t="s">
        <v>7736</v>
      </c>
      <c r="C427" s="41">
        <v>34700</v>
      </c>
      <c r="D427" s="47" t="s">
        <v>8465</v>
      </c>
      <c r="E427" s="40" t="s">
        <v>73</v>
      </c>
      <c r="F427" s="40" t="s">
        <v>73</v>
      </c>
      <c r="G427" s="42" t="s">
        <v>601</v>
      </c>
      <c r="H427" s="65" t="s">
        <v>56</v>
      </c>
      <c r="J427" s="43"/>
      <c r="K427" s="61">
        <v>0.7</v>
      </c>
      <c r="L427" s="40">
        <v>426</v>
      </c>
      <c r="M427" s="44"/>
      <c r="N427" s="45"/>
      <c r="O427" s="18">
        <v>0</v>
      </c>
      <c r="P427" s="18">
        <v>1</v>
      </c>
      <c r="Q427" s="61">
        <v>0.82</v>
      </c>
      <c r="R427" s="46"/>
    </row>
    <row r="428" spans="1:18" ht="38.25">
      <c r="A428" s="33" t="s">
        <v>608</v>
      </c>
      <c r="B428" s="40" t="s">
        <v>7736</v>
      </c>
      <c r="C428" s="41">
        <v>34578</v>
      </c>
      <c r="D428" s="47" t="s">
        <v>8465</v>
      </c>
      <c r="E428" s="40" t="s">
        <v>1263</v>
      </c>
      <c r="F428" s="40" t="s">
        <v>82</v>
      </c>
      <c r="G428" s="42" t="s">
        <v>1264</v>
      </c>
      <c r="H428" s="65" t="s">
        <v>153</v>
      </c>
      <c r="J428" s="43"/>
      <c r="K428" s="61">
        <v>0.6</v>
      </c>
      <c r="L428" s="40">
        <v>427</v>
      </c>
      <c r="M428" s="44"/>
      <c r="N428" s="45"/>
      <c r="O428" s="18">
        <v>0</v>
      </c>
      <c r="P428" s="18">
        <v>1</v>
      </c>
      <c r="Q428" s="61">
        <v>0.6633</v>
      </c>
      <c r="R428" s="46"/>
    </row>
    <row r="429" spans="1:18">
      <c r="A429" s="33" t="s">
        <v>609</v>
      </c>
      <c r="B429" s="40" t="s">
        <v>7736</v>
      </c>
      <c r="C429" s="41">
        <v>33848</v>
      </c>
      <c r="D429" s="47" t="s">
        <v>8465</v>
      </c>
      <c r="E429" s="40" t="s">
        <v>72</v>
      </c>
      <c r="F429" s="40" t="s">
        <v>72</v>
      </c>
      <c r="G429" s="42"/>
      <c r="H429" s="65" t="s">
        <v>21</v>
      </c>
      <c r="J429" s="43"/>
      <c r="K429" s="61">
        <v>0.7</v>
      </c>
      <c r="L429" s="40">
        <v>428</v>
      </c>
      <c r="M429" s="44"/>
      <c r="N429" s="45"/>
      <c r="O429" s="18">
        <v>0</v>
      </c>
      <c r="P429" s="18">
        <v>1</v>
      </c>
      <c r="Q429" s="61">
        <v>0.81140000000000001</v>
      </c>
      <c r="R429" s="46"/>
    </row>
    <row r="430" spans="1:18">
      <c r="A430" s="33" t="s">
        <v>610</v>
      </c>
      <c r="B430" s="40" t="s">
        <v>7736</v>
      </c>
      <c r="C430" s="41">
        <v>33543</v>
      </c>
      <c r="D430" s="47" t="s">
        <v>8465</v>
      </c>
      <c r="E430" s="40" t="s">
        <v>54</v>
      </c>
      <c r="F430" s="40" t="s">
        <v>54</v>
      </c>
      <c r="G430" s="42" t="s">
        <v>330</v>
      </c>
      <c r="H430" s="65" t="s">
        <v>21</v>
      </c>
      <c r="J430" s="43"/>
      <c r="K430" s="61">
        <v>0.7</v>
      </c>
      <c r="L430" s="40">
        <v>429</v>
      </c>
      <c r="M430" s="44"/>
      <c r="N430" s="45"/>
      <c r="O430" s="18">
        <v>0</v>
      </c>
      <c r="P430" s="18">
        <v>1</v>
      </c>
      <c r="Q430" s="61">
        <v>0.57750000000000001</v>
      </c>
      <c r="R430" s="46"/>
    </row>
    <row r="431" spans="1:18">
      <c r="A431" s="33" t="s">
        <v>5647</v>
      </c>
      <c r="B431" s="40" t="s">
        <v>7800</v>
      </c>
      <c r="C431" s="49">
        <v>35065</v>
      </c>
      <c r="D431" s="47" t="s">
        <v>8465</v>
      </c>
      <c r="E431" s="40" t="s">
        <v>5685</v>
      </c>
      <c r="F431" s="40" t="s">
        <v>5686</v>
      </c>
      <c r="G431" s="42" t="s">
        <v>5687</v>
      </c>
      <c r="H431" s="65" t="s">
        <v>1334</v>
      </c>
      <c r="J431" s="43"/>
      <c r="K431" s="61">
        <v>0.8</v>
      </c>
      <c r="L431" s="40">
        <v>430</v>
      </c>
      <c r="M431" s="44"/>
      <c r="N431" s="45"/>
      <c r="O431" s="18">
        <v>0</v>
      </c>
      <c r="P431" s="18">
        <v>0</v>
      </c>
      <c r="Q431" s="61"/>
      <c r="R431" s="46"/>
    </row>
    <row r="432" spans="1:18" ht="25.5">
      <c r="A432" s="33" t="s">
        <v>1930</v>
      </c>
      <c r="B432" s="40" t="s">
        <v>7747</v>
      </c>
      <c r="C432" s="47">
        <v>37312</v>
      </c>
      <c r="D432" s="47" t="s">
        <v>8465</v>
      </c>
      <c r="E432" s="40" t="s">
        <v>1903</v>
      </c>
      <c r="F432" s="40" t="s">
        <v>1511</v>
      </c>
      <c r="G432" s="42" t="s">
        <v>1576</v>
      </c>
      <c r="H432" s="65" t="s">
        <v>64</v>
      </c>
      <c r="J432" s="43"/>
      <c r="K432" s="61">
        <v>0.7</v>
      </c>
      <c r="L432" s="40">
        <v>431</v>
      </c>
      <c r="M432" s="44"/>
      <c r="N432" s="45"/>
      <c r="O432" s="18">
        <v>0</v>
      </c>
      <c r="P432" s="18">
        <v>1</v>
      </c>
      <c r="Q432" s="61">
        <v>0.78169999999999995</v>
      </c>
      <c r="R432" s="46"/>
    </row>
    <row r="433" spans="1:18">
      <c r="A433" s="33" t="s">
        <v>6425</v>
      </c>
      <c r="B433" s="40" t="s">
        <v>7765</v>
      </c>
      <c r="C433" s="47">
        <v>40358</v>
      </c>
      <c r="D433" s="47" t="s">
        <v>8465</v>
      </c>
      <c r="E433" s="40" t="s">
        <v>6482</v>
      </c>
      <c r="F433" s="40" t="s">
        <v>6482</v>
      </c>
      <c r="G433" s="42"/>
      <c r="H433" s="65" t="s">
        <v>21</v>
      </c>
      <c r="J433" s="43"/>
      <c r="K433" s="61">
        <v>0.5</v>
      </c>
      <c r="L433" s="40">
        <v>432</v>
      </c>
      <c r="M433" s="44"/>
      <c r="N433" s="45"/>
      <c r="O433" s="18">
        <v>0</v>
      </c>
      <c r="P433" s="18">
        <v>0</v>
      </c>
      <c r="Q433" s="61"/>
      <c r="R433" s="46"/>
    </row>
    <row r="434" spans="1:18">
      <c r="A434" s="33" t="s">
        <v>1772</v>
      </c>
      <c r="B434" s="40" t="s">
        <v>7745</v>
      </c>
      <c r="C434" s="47">
        <v>36068</v>
      </c>
      <c r="D434" s="47" t="s">
        <v>8465</v>
      </c>
      <c r="E434" s="40" t="s">
        <v>86</v>
      </c>
      <c r="F434" s="40" t="s">
        <v>1354</v>
      </c>
      <c r="G434" s="42" t="s">
        <v>1470</v>
      </c>
      <c r="H434" s="65" t="s">
        <v>149</v>
      </c>
      <c r="J434" s="43"/>
      <c r="K434" s="61">
        <v>0.8</v>
      </c>
      <c r="L434" s="40">
        <v>433</v>
      </c>
      <c r="M434" s="44"/>
      <c r="N434" s="45"/>
      <c r="O434" s="18">
        <v>0</v>
      </c>
      <c r="P434" s="18">
        <v>1</v>
      </c>
      <c r="Q434" s="61">
        <v>0.87860000000000005</v>
      </c>
      <c r="R434" s="46"/>
    </row>
    <row r="435" spans="1:18">
      <c r="A435" s="33" t="s">
        <v>2805</v>
      </c>
      <c r="B435" s="40" t="s">
        <v>7781</v>
      </c>
      <c r="C435" s="47">
        <v>40674</v>
      </c>
      <c r="D435" s="47" t="s">
        <v>8465</v>
      </c>
      <c r="E435" s="40" t="s">
        <v>2816</v>
      </c>
      <c r="F435" s="40" t="s">
        <v>2817</v>
      </c>
      <c r="G435" s="42" t="s">
        <v>2805</v>
      </c>
      <c r="H435" s="65" t="s">
        <v>31</v>
      </c>
      <c r="J435" s="43"/>
      <c r="K435" s="61">
        <v>0.7</v>
      </c>
      <c r="L435" s="40">
        <v>434</v>
      </c>
      <c r="M435" s="44"/>
      <c r="N435" s="45"/>
      <c r="O435" s="18">
        <v>0</v>
      </c>
      <c r="P435" s="18">
        <v>0</v>
      </c>
      <c r="Q435" s="61"/>
      <c r="R435" s="46"/>
    </row>
    <row r="436" spans="1:18" ht="25.5">
      <c r="A436" s="33" t="s">
        <v>611</v>
      </c>
      <c r="B436" s="40" t="s">
        <v>7736</v>
      </c>
      <c r="C436" s="47">
        <v>35098</v>
      </c>
      <c r="D436" s="47" t="s">
        <v>8463</v>
      </c>
      <c r="E436" s="40" t="s">
        <v>161</v>
      </c>
      <c r="F436" s="40" t="s">
        <v>161</v>
      </c>
      <c r="G436" s="42" t="s">
        <v>1251</v>
      </c>
      <c r="H436" s="65" t="s">
        <v>1057</v>
      </c>
      <c r="J436" s="43"/>
      <c r="K436" s="61">
        <v>0.9</v>
      </c>
      <c r="L436" s="40">
        <v>435</v>
      </c>
      <c r="M436" s="44"/>
      <c r="N436" s="45"/>
      <c r="O436" s="18">
        <v>0</v>
      </c>
      <c r="P436" s="18">
        <v>1</v>
      </c>
      <c r="Q436" s="61"/>
      <c r="R436" s="46"/>
    </row>
    <row r="437" spans="1:18">
      <c r="A437" s="33" t="s">
        <v>132</v>
      </c>
      <c r="B437" s="40" t="s">
        <v>7734</v>
      </c>
      <c r="C437" s="41">
        <v>33390</v>
      </c>
      <c r="D437" s="47" t="s">
        <v>8465</v>
      </c>
      <c r="E437" s="40" t="s">
        <v>166</v>
      </c>
      <c r="F437" s="40" t="s">
        <v>1245</v>
      </c>
      <c r="G437" s="42"/>
      <c r="H437" s="65" t="s">
        <v>67</v>
      </c>
      <c r="J437" s="43"/>
      <c r="K437" s="61">
        <v>0.8</v>
      </c>
      <c r="L437" s="40">
        <v>436</v>
      </c>
      <c r="M437" s="44"/>
      <c r="N437" s="45"/>
      <c r="O437" s="18">
        <v>0</v>
      </c>
      <c r="P437" s="18">
        <v>1</v>
      </c>
      <c r="Q437" s="61"/>
      <c r="R437" s="46"/>
    </row>
    <row r="438" spans="1:18">
      <c r="A438" s="33" t="s">
        <v>133</v>
      </c>
      <c r="B438" s="40" t="s">
        <v>7734</v>
      </c>
      <c r="C438" s="47">
        <v>33877</v>
      </c>
      <c r="D438" s="47" t="s">
        <v>8465</v>
      </c>
      <c r="E438" s="40" t="s">
        <v>72</v>
      </c>
      <c r="F438" s="40" t="s">
        <v>72</v>
      </c>
      <c r="G438" s="42" t="s">
        <v>97</v>
      </c>
      <c r="H438" s="65" t="s">
        <v>147</v>
      </c>
      <c r="J438" s="43"/>
      <c r="K438" s="61">
        <v>0.5</v>
      </c>
      <c r="L438" s="40">
        <v>437</v>
      </c>
      <c r="M438" s="44"/>
      <c r="N438" s="45"/>
      <c r="O438" s="18">
        <v>0</v>
      </c>
      <c r="P438" s="18">
        <v>1</v>
      </c>
      <c r="Q438" s="61"/>
      <c r="R438" s="46"/>
    </row>
    <row r="439" spans="1:18" ht="25.5">
      <c r="A439" s="33" t="s">
        <v>3423</v>
      </c>
      <c r="B439" s="40" t="s">
        <v>7765</v>
      </c>
      <c r="C439" s="47">
        <v>40456</v>
      </c>
      <c r="D439" s="47" t="s">
        <v>8465</v>
      </c>
      <c r="E439" s="40" t="s">
        <v>72</v>
      </c>
      <c r="F439" s="40" t="s">
        <v>2456</v>
      </c>
      <c r="G439" s="42" t="s">
        <v>113</v>
      </c>
      <c r="H439" s="65" t="s">
        <v>1059</v>
      </c>
      <c r="J439" s="43"/>
      <c r="K439" s="61">
        <v>0.8</v>
      </c>
      <c r="L439" s="40">
        <v>438</v>
      </c>
      <c r="M439" s="44"/>
      <c r="N439" s="45"/>
      <c r="O439" s="18">
        <v>0</v>
      </c>
      <c r="P439" s="18">
        <v>0</v>
      </c>
      <c r="Q439" s="61">
        <v>0.81840000000000002</v>
      </c>
      <c r="R439" s="46"/>
    </row>
    <row r="440" spans="1:18" ht="38.25">
      <c r="A440" s="33" t="s">
        <v>5648</v>
      </c>
      <c r="B440" s="40" t="s">
        <v>7800</v>
      </c>
      <c r="C440" s="47">
        <v>40637</v>
      </c>
      <c r="D440" s="47" t="s">
        <v>8465</v>
      </c>
      <c r="E440" s="40" t="s">
        <v>5681</v>
      </c>
      <c r="F440" s="40" t="s">
        <v>5681</v>
      </c>
      <c r="G440" s="42" t="s">
        <v>5682</v>
      </c>
      <c r="H440" s="65" t="s">
        <v>1057</v>
      </c>
      <c r="J440" s="43"/>
      <c r="K440" s="61">
        <v>0.6</v>
      </c>
      <c r="L440" s="40">
        <v>439</v>
      </c>
      <c r="M440" s="44"/>
      <c r="N440" s="45"/>
      <c r="O440" s="18">
        <v>0</v>
      </c>
      <c r="P440" s="18">
        <v>0</v>
      </c>
      <c r="Q440" s="61"/>
      <c r="R440" s="46"/>
    </row>
    <row r="441" spans="1:18">
      <c r="A441" s="33" t="s">
        <v>2806</v>
      </c>
      <c r="B441" s="40" t="s">
        <v>7781</v>
      </c>
      <c r="C441" s="47">
        <v>40519</v>
      </c>
      <c r="D441" s="47" t="s">
        <v>8465</v>
      </c>
      <c r="E441" s="40" t="s">
        <v>2818</v>
      </c>
      <c r="F441" s="40" t="s">
        <v>2818</v>
      </c>
      <c r="G441" s="42"/>
      <c r="H441" s="65" t="s">
        <v>9963</v>
      </c>
      <c r="J441" s="43"/>
      <c r="K441" s="61">
        <v>0.7</v>
      </c>
      <c r="L441" s="40">
        <v>440</v>
      </c>
      <c r="M441" s="44"/>
      <c r="N441" s="45"/>
      <c r="O441" s="18">
        <v>0</v>
      </c>
      <c r="P441" s="18">
        <v>0</v>
      </c>
      <c r="Q441" s="61"/>
      <c r="R441" s="46"/>
    </row>
    <row r="442" spans="1:18">
      <c r="A442" s="33" t="s">
        <v>973</v>
      </c>
      <c r="B442" s="40" t="s">
        <v>7741</v>
      </c>
      <c r="C442" s="47">
        <v>40421</v>
      </c>
      <c r="D442" s="47" t="s">
        <v>8465</v>
      </c>
      <c r="E442" s="40" t="s">
        <v>86</v>
      </c>
      <c r="F442" s="40" t="s">
        <v>1136</v>
      </c>
      <c r="G442" s="42" t="s">
        <v>109</v>
      </c>
      <c r="H442" s="65" t="s">
        <v>151</v>
      </c>
      <c r="J442" s="43"/>
      <c r="K442" s="61">
        <v>0.7</v>
      </c>
      <c r="L442" s="40">
        <v>441</v>
      </c>
      <c r="M442" s="44"/>
      <c r="N442" s="45"/>
      <c r="O442" s="18">
        <v>0</v>
      </c>
      <c r="P442" s="18">
        <v>0</v>
      </c>
      <c r="Q442" s="61">
        <v>0.78549999999999998</v>
      </c>
      <c r="R442" s="46"/>
    </row>
    <row r="443" spans="1:18">
      <c r="A443" s="33" t="s">
        <v>920</v>
      </c>
      <c r="B443" s="40" t="s">
        <v>7740</v>
      </c>
      <c r="C443" s="47">
        <v>38363</v>
      </c>
      <c r="D443" s="47" t="s">
        <v>8465</v>
      </c>
      <c r="E443" s="40" t="s">
        <v>73</v>
      </c>
      <c r="F443" s="40" t="s">
        <v>73</v>
      </c>
      <c r="G443" s="42" t="s">
        <v>943</v>
      </c>
      <c r="H443" s="65" t="s">
        <v>1168</v>
      </c>
      <c r="J443" s="43"/>
      <c r="K443" s="61">
        <v>1</v>
      </c>
      <c r="L443" s="40">
        <v>442</v>
      </c>
      <c r="M443" s="44"/>
      <c r="N443" s="45"/>
      <c r="O443" s="18">
        <v>0</v>
      </c>
      <c r="P443" s="18">
        <v>0</v>
      </c>
      <c r="Q443" s="61">
        <v>0.95830000000000004</v>
      </c>
      <c r="R443" s="46"/>
    </row>
    <row r="444" spans="1:18">
      <c r="A444" s="33" t="s">
        <v>6356</v>
      </c>
      <c r="B444" s="40" t="s">
        <v>7765</v>
      </c>
      <c r="C444" s="47">
        <v>39028</v>
      </c>
      <c r="D444" s="47" t="s">
        <v>8465</v>
      </c>
      <c r="E444" s="40" t="s">
        <v>1273</v>
      </c>
      <c r="F444" s="40" t="s">
        <v>1508</v>
      </c>
      <c r="G444" s="42" t="s">
        <v>3401</v>
      </c>
      <c r="H444" s="65" t="s">
        <v>1050</v>
      </c>
      <c r="J444" s="43"/>
      <c r="K444" s="61">
        <v>0.6</v>
      </c>
      <c r="L444" s="40">
        <v>443</v>
      </c>
      <c r="M444" s="44"/>
      <c r="N444" s="45"/>
      <c r="O444" s="18">
        <v>0</v>
      </c>
      <c r="P444" s="18">
        <v>0</v>
      </c>
      <c r="Q444" s="61">
        <v>0.8236</v>
      </c>
      <c r="R444" s="46"/>
    </row>
    <row r="445" spans="1:18">
      <c r="A445" s="33" t="s">
        <v>295</v>
      </c>
      <c r="B445" s="40" t="s">
        <v>7736</v>
      </c>
      <c r="C445" s="47">
        <v>33565</v>
      </c>
      <c r="D445" s="47" t="s">
        <v>8465</v>
      </c>
      <c r="E445" s="40" t="s">
        <v>161</v>
      </c>
      <c r="F445" s="40" t="s">
        <v>161</v>
      </c>
      <c r="G445" s="42" t="s">
        <v>126</v>
      </c>
      <c r="H445" s="65" t="s">
        <v>149</v>
      </c>
      <c r="J445" s="43"/>
      <c r="K445" s="61">
        <v>0.8</v>
      </c>
      <c r="L445" s="40">
        <v>444</v>
      </c>
      <c r="M445" s="44"/>
      <c r="N445" s="45"/>
      <c r="O445" s="18">
        <v>0</v>
      </c>
      <c r="P445" s="18">
        <v>1</v>
      </c>
      <c r="Q445" s="61">
        <v>0.87039999999999995</v>
      </c>
      <c r="R445" s="46"/>
    </row>
    <row r="446" spans="1:18">
      <c r="A446" s="33" t="s">
        <v>880</v>
      </c>
      <c r="B446" s="40" t="s">
        <v>7742</v>
      </c>
      <c r="C446" s="47">
        <v>39279</v>
      </c>
      <c r="D446" s="47" t="s">
        <v>8465</v>
      </c>
      <c r="E446" s="40" t="s">
        <v>86</v>
      </c>
      <c r="F446" s="40" t="s">
        <v>1069</v>
      </c>
      <c r="G446" s="42" t="s">
        <v>880</v>
      </c>
      <c r="H446" s="65" t="s">
        <v>149</v>
      </c>
      <c r="J446" s="43"/>
      <c r="K446" s="61">
        <v>0.8</v>
      </c>
      <c r="L446" s="40">
        <v>445</v>
      </c>
      <c r="M446" s="44"/>
      <c r="N446" s="45"/>
      <c r="O446" s="18">
        <v>0</v>
      </c>
      <c r="P446" s="18">
        <v>0</v>
      </c>
      <c r="Q446" s="61"/>
      <c r="R446" s="46"/>
    </row>
    <row r="447" spans="1:18" ht="25.5">
      <c r="A447" s="33" t="s">
        <v>4519</v>
      </c>
      <c r="B447" s="40" t="s">
        <v>7800</v>
      </c>
      <c r="C447" s="47">
        <v>40359</v>
      </c>
      <c r="D447" s="47" t="s">
        <v>8465</v>
      </c>
      <c r="E447" s="40" t="s">
        <v>3246</v>
      </c>
      <c r="F447" s="40" t="s">
        <v>3246</v>
      </c>
      <c r="G447" s="42" t="s">
        <v>4520</v>
      </c>
      <c r="H447" s="65" t="s">
        <v>78</v>
      </c>
      <c r="J447" s="43"/>
      <c r="K447" s="61">
        <v>0.8</v>
      </c>
      <c r="L447" s="40">
        <v>446</v>
      </c>
      <c r="M447" s="44"/>
      <c r="N447" s="45">
        <f>2+(24/60)</f>
        <v>2.4</v>
      </c>
      <c r="O447" s="18">
        <v>0</v>
      </c>
      <c r="P447" s="18">
        <v>0</v>
      </c>
      <c r="Q447" s="61">
        <v>0.72840000000000005</v>
      </c>
      <c r="R447" s="46"/>
    </row>
    <row r="448" spans="1:18" ht="38.25">
      <c r="A448" s="33" t="s">
        <v>5649</v>
      </c>
      <c r="B448" s="40" t="s">
        <v>7800</v>
      </c>
      <c r="C448" s="47">
        <v>40329</v>
      </c>
      <c r="D448" s="47" t="s">
        <v>8465</v>
      </c>
      <c r="E448" s="40" t="s">
        <v>5688</v>
      </c>
      <c r="F448" s="40" t="s">
        <v>5688</v>
      </c>
      <c r="G448" s="42"/>
      <c r="H448" s="65" t="s">
        <v>1057</v>
      </c>
      <c r="J448" s="43"/>
      <c r="K448" s="61">
        <v>0.6</v>
      </c>
      <c r="L448" s="40">
        <v>447</v>
      </c>
      <c r="M448" s="44"/>
      <c r="N448" s="45"/>
      <c r="O448" s="18">
        <v>0</v>
      </c>
      <c r="P448" s="18">
        <v>0</v>
      </c>
      <c r="Q448" s="61"/>
      <c r="R448" s="46"/>
    </row>
    <row r="449" spans="1:18">
      <c r="A449" s="33" t="s">
        <v>5650</v>
      </c>
      <c r="B449" s="40" t="s">
        <v>7800</v>
      </c>
      <c r="C449" s="47">
        <v>40238</v>
      </c>
      <c r="D449" s="47" t="s">
        <v>8465</v>
      </c>
      <c r="E449" s="40" t="s">
        <v>5688</v>
      </c>
      <c r="F449" s="40" t="s">
        <v>5688</v>
      </c>
      <c r="G449" s="42"/>
      <c r="H449" s="65" t="s">
        <v>1057</v>
      </c>
      <c r="J449" s="43"/>
      <c r="K449" s="61">
        <v>0.7</v>
      </c>
      <c r="L449" s="40">
        <v>448</v>
      </c>
      <c r="M449" s="44"/>
      <c r="N449" s="45"/>
      <c r="O449" s="18">
        <v>0</v>
      </c>
      <c r="P449" s="18">
        <v>0</v>
      </c>
      <c r="Q449" s="61"/>
      <c r="R449" s="46"/>
    </row>
    <row r="450" spans="1:18" ht="25.5">
      <c r="A450" s="33" t="s">
        <v>5651</v>
      </c>
      <c r="B450" s="40" t="s">
        <v>7800</v>
      </c>
      <c r="C450" s="47">
        <v>40412</v>
      </c>
      <c r="D450" s="47" t="s">
        <v>8465</v>
      </c>
      <c r="E450" s="40" t="s">
        <v>5688</v>
      </c>
      <c r="F450" s="40" t="s">
        <v>5688</v>
      </c>
      <c r="G450" s="42"/>
      <c r="H450" s="65" t="s">
        <v>1057</v>
      </c>
      <c r="J450" s="43"/>
      <c r="K450" s="61">
        <v>0.7</v>
      </c>
      <c r="L450" s="40">
        <v>449</v>
      </c>
      <c r="M450" s="44"/>
      <c r="N450" s="45"/>
      <c r="O450" s="18">
        <v>0</v>
      </c>
      <c r="P450" s="18">
        <v>0</v>
      </c>
      <c r="Q450" s="61"/>
      <c r="R450" s="46"/>
    </row>
    <row r="451" spans="1:18">
      <c r="A451" s="33" t="s">
        <v>4733</v>
      </c>
      <c r="B451" s="40" t="s">
        <v>7765</v>
      </c>
      <c r="C451" s="47">
        <v>40652</v>
      </c>
      <c r="D451" s="47" t="s">
        <v>8465</v>
      </c>
      <c r="E451" s="40" t="s">
        <v>5706</v>
      </c>
      <c r="F451" s="40" t="s">
        <v>5706</v>
      </c>
      <c r="G451" s="42" t="s">
        <v>4732</v>
      </c>
      <c r="H451" s="65" t="s">
        <v>27</v>
      </c>
      <c r="J451" s="43"/>
      <c r="K451" s="61">
        <v>1</v>
      </c>
      <c r="L451" s="40">
        <v>450</v>
      </c>
      <c r="M451" s="44"/>
      <c r="N451" s="45"/>
      <c r="O451" s="18">
        <v>0</v>
      </c>
      <c r="P451" s="18">
        <v>0</v>
      </c>
      <c r="Q451" s="61">
        <v>0.94</v>
      </c>
      <c r="R451" s="46"/>
    </row>
    <row r="452" spans="1:18" ht="30">
      <c r="A452" s="33" t="s">
        <v>5652</v>
      </c>
      <c r="B452" s="40" t="s">
        <v>7800</v>
      </c>
      <c r="C452" s="47">
        <v>40709</v>
      </c>
      <c r="D452" s="47" t="s">
        <v>8465</v>
      </c>
      <c r="E452" s="40" t="s">
        <v>5705</v>
      </c>
      <c r="F452" s="40" t="s">
        <v>5705</v>
      </c>
      <c r="G452" s="42"/>
      <c r="H452" s="65" t="s">
        <v>2820</v>
      </c>
      <c r="J452" s="43"/>
      <c r="K452" s="61">
        <v>0.6</v>
      </c>
      <c r="L452" s="40">
        <v>451</v>
      </c>
      <c r="M452" s="44"/>
      <c r="N452" s="45"/>
      <c r="O452" s="18">
        <v>0</v>
      </c>
      <c r="P452" s="18">
        <v>0</v>
      </c>
      <c r="Q452" s="61"/>
      <c r="R452" s="46"/>
    </row>
    <row r="453" spans="1:18">
      <c r="A453" s="33" t="s">
        <v>5653</v>
      </c>
      <c r="B453" s="40" t="s">
        <v>7800</v>
      </c>
      <c r="C453" s="47">
        <v>40742</v>
      </c>
      <c r="D453" s="47" t="s">
        <v>8465</v>
      </c>
      <c r="E453" s="40" t="s">
        <v>4459</v>
      </c>
      <c r="F453" s="40" t="s">
        <v>4459</v>
      </c>
      <c r="G453" s="42"/>
      <c r="H453" s="65" t="s">
        <v>27</v>
      </c>
      <c r="J453" s="43"/>
      <c r="K453" s="61">
        <v>0.8</v>
      </c>
      <c r="L453" s="40">
        <v>452</v>
      </c>
      <c r="M453" s="44"/>
      <c r="N453" s="45"/>
      <c r="O453" s="18">
        <v>0</v>
      </c>
      <c r="P453" s="18">
        <v>0</v>
      </c>
      <c r="Q453" s="61"/>
      <c r="R453" s="46"/>
    </row>
    <row r="454" spans="1:18" ht="25.5">
      <c r="A454" s="33" t="s">
        <v>4412</v>
      </c>
      <c r="B454" s="40" t="s">
        <v>7800</v>
      </c>
      <c r="C454" s="47">
        <v>40217</v>
      </c>
      <c r="D454" s="47" t="s">
        <v>8465</v>
      </c>
      <c r="E454" s="40" t="s">
        <v>5689</v>
      </c>
      <c r="F454" s="40" t="s">
        <v>4411</v>
      </c>
      <c r="G454" s="42" t="s">
        <v>9977</v>
      </c>
      <c r="H454" s="65" t="s">
        <v>27</v>
      </c>
      <c r="J454" s="43"/>
      <c r="K454" s="61">
        <v>0.7</v>
      </c>
      <c r="L454" s="40">
        <v>453</v>
      </c>
      <c r="M454" s="44"/>
      <c r="N454" s="45"/>
      <c r="O454" s="18">
        <v>0</v>
      </c>
      <c r="P454" s="18">
        <v>0</v>
      </c>
      <c r="Q454" s="61">
        <v>0.76829999999999998</v>
      </c>
      <c r="R454" s="46"/>
    </row>
    <row r="455" spans="1:18" ht="38.25">
      <c r="A455" s="33" t="s">
        <v>5654</v>
      </c>
      <c r="B455" s="40" t="s">
        <v>7800</v>
      </c>
      <c r="C455" s="47">
        <v>40519</v>
      </c>
      <c r="D455" s="47" t="s">
        <v>8465</v>
      </c>
      <c r="E455" s="40" t="s">
        <v>5690</v>
      </c>
      <c r="F455" s="40" t="s">
        <v>5690</v>
      </c>
      <c r="G455" s="42"/>
      <c r="H455" s="65" t="s">
        <v>80</v>
      </c>
      <c r="J455" s="43"/>
      <c r="K455" s="61">
        <v>0.8</v>
      </c>
      <c r="L455" s="40">
        <v>454</v>
      </c>
      <c r="M455" s="44"/>
      <c r="N455" s="45"/>
      <c r="O455" s="18">
        <v>0</v>
      </c>
      <c r="P455" s="18">
        <v>0</v>
      </c>
      <c r="Q455" s="61"/>
      <c r="R455" s="46"/>
    </row>
    <row r="456" spans="1:18">
      <c r="A456" s="33" t="s">
        <v>1773</v>
      </c>
      <c r="B456" s="40" t="s">
        <v>7745</v>
      </c>
      <c r="C456" s="41">
        <v>33482</v>
      </c>
      <c r="D456" s="47" t="s">
        <v>8465</v>
      </c>
      <c r="E456" s="40" t="s">
        <v>250</v>
      </c>
      <c r="F456" s="40" t="s">
        <v>250</v>
      </c>
      <c r="G456" s="42"/>
      <c r="H456" s="65" t="s">
        <v>21</v>
      </c>
      <c r="J456" s="43"/>
      <c r="K456" s="61">
        <v>0.7</v>
      </c>
      <c r="L456" s="40">
        <v>455</v>
      </c>
      <c r="M456" s="44"/>
      <c r="N456" s="45"/>
      <c r="O456" s="18">
        <v>0</v>
      </c>
      <c r="P456" s="18">
        <v>1</v>
      </c>
      <c r="Q456" s="61">
        <v>0.43</v>
      </c>
      <c r="R456" s="46"/>
    </row>
    <row r="457" spans="1:18">
      <c r="A457" s="33" t="s">
        <v>1774</v>
      </c>
      <c r="B457" s="40" t="s">
        <v>7745</v>
      </c>
      <c r="C457" s="41">
        <v>33239</v>
      </c>
      <c r="D457" s="47" t="s">
        <v>8465</v>
      </c>
      <c r="E457" s="40" t="s">
        <v>240</v>
      </c>
      <c r="F457" s="40" t="s">
        <v>1779</v>
      </c>
      <c r="G457" s="42" t="s">
        <v>1780</v>
      </c>
      <c r="H457" s="65" t="s">
        <v>21</v>
      </c>
      <c r="J457" s="43"/>
      <c r="K457" s="61">
        <v>0.7</v>
      </c>
      <c r="L457" s="40">
        <v>456</v>
      </c>
      <c r="M457" s="44"/>
      <c r="N457" s="45"/>
      <c r="O457" s="18">
        <v>0</v>
      </c>
      <c r="P457" s="18">
        <v>1</v>
      </c>
      <c r="Q457" s="61">
        <v>0.67500000000000004</v>
      </c>
      <c r="R457" s="46"/>
    </row>
    <row r="458" spans="1:18">
      <c r="A458" s="33" t="s">
        <v>1775</v>
      </c>
      <c r="B458" s="40" t="s">
        <v>7745</v>
      </c>
      <c r="C458" s="47">
        <v>34121</v>
      </c>
      <c r="D458" s="47" t="s">
        <v>8465</v>
      </c>
      <c r="E458" s="40" t="s">
        <v>1781</v>
      </c>
      <c r="F458" s="40" t="s">
        <v>1782</v>
      </c>
      <c r="G458" s="42"/>
      <c r="H458" s="65" t="s">
        <v>21</v>
      </c>
      <c r="J458" s="43"/>
      <c r="K458" s="61">
        <v>0.6</v>
      </c>
      <c r="L458" s="40">
        <v>457</v>
      </c>
      <c r="M458" s="44"/>
      <c r="N458" s="45"/>
      <c r="O458" s="18">
        <v>0</v>
      </c>
      <c r="P458" s="18">
        <v>1</v>
      </c>
      <c r="Q458" s="61">
        <v>0.57999999999999996</v>
      </c>
      <c r="R458" s="46"/>
    </row>
    <row r="459" spans="1:18" ht="25.5">
      <c r="A459" s="33" t="s">
        <v>5655</v>
      </c>
      <c r="B459" s="40" t="s">
        <v>7800</v>
      </c>
      <c r="C459" s="47">
        <v>40087</v>
      </c>
      <c r="D459" s="47" t="s">
        <v>8465</v>
      </c>
      <c r="E459" s="40" t="s">
        <v>5691</v>
      </c>
      <c r="F459" s="40" t="s">
        <v>5691</v>
      </c>
      <c r="G459" s="42" t="s">
        <v>5692</v>
      </c>
      <c r="H459" s="65" t="s">
        <v>64</v>
      </c>
      <c r="J459" s="43"/>
      <c r="K459" s="61">
        <v>0.7</v>
      </c>
      <c r="L459" s="40">
        <v>458</v>
      </c>
      <c r="M459" s="44"/>
      <c r="N459" s="45"/>
      <c r="O459" s="18">
        <v>0</v>
      </c>
      <c r="P459" s="18">
        <v>0</v>
      </c>
      <c r="Q459" s="61"/>
      <c r="R459" s="46"/>
    </row>
    <row r="460" spans="1:18">
      <c r="A460" s="33" t="s">
        <v>6426</v>
      </c>
      <c r="B460" s="40" t="s">
        <v>7765</v>
      </c>
      <c r="C460" s="47">
        <v>40571</v>
      </c>
      <c r="D460" s="47" t="s">
        <v>8465</v>
      </c>
      <c r="E460" s="40" t="s">
        <v>6438</v>
      </c>
      <c r="F460" s="40" t="s">
        <v>6438</v>
      </c>
      <c r="G460" s="42" t="s">
        <v>6438</v>
      </c>
      <c r="H460" s="65" t="s">
        <v>9963</v>
      </c>
      <c r="J460" s="43"/>
      <c r="K460" s="61">
        <v>0.7</v>
      </c>
      <c r="L460" s="40">
        <v>459</v>
      </c>
      <c r="M460" s="44"/>
      <c r="N460" s="45"/>
      <c r="O460" s="18">
        <v>0</v>
      </c>
      <c r="P460" s="18">
        <v>0</v>
      </c>
      <c r="Q460" s="61">
        <v>0.85</v>
      </c>
      <c r="R460" s="46"/>
    </row>
    <row r="461" spans="1:18">
      <c r="A461" s="33" t="s">
        <v>6427</v>
      </c>
      <c r="B461" s="40" t="s">
        <v>7765</v>
      </c>
      <c r="C461" s="47">
        <v>40348</v>
      </c>
      <c r="D461" s="47" t="s">
        <v>8465</v>
      </c>
      <c r="E461" s="40" t="s">
        <v>6473</v>
      </c>
      <c r="F461" s="40" t="s">
        <v>6473</v>
      </c>
      <c r="G461" s="42" t="s">
        <v>6427</v>
      </c>
      <c r="H461" s="65" t="s">
        <v>255</v>
      </c>
      <c r="J461" s="43"/>
      <c r="K461" s="61">
        <v>0.8</v>
      </c>
      <c r="L461" s="40">
        <v>460</v>
      </c>
      <c r="M461" s="44"/>
      <c r="N461" s="45"/>
      <c r="O461" s="18">
        <v>0</v>
      </c>
      <c r="P461" s="18">
        <v>0</v>
      </c>
      <c r="Q461" s="61"/>
      <c r="R461" s="46"/>
    </row>
    <row r="462" spans="1:18">
      <c r="A462" s="33" t="s">
        <v>6428</v>
      </c>
      <c r="B462" s="40" t="s">
        <v>7765</v>
      </c>
      <c r="C462" s="47">
        <v>40624</v>
      </c>
      <c r="D462" s="47" t="s">
        <v>8465</v>
      </c>
      <c r="E462" s="40" t="s">
        <v>5556</v>
      </c>
      <c r="F462" s="40" t="s">
        <v>5556</v>
      </c>
      <c r="G462" s="42"/>
      <c r="H462" s="65" t="s">
        <v>9963</v>
      </c>
      <c r="J462" s="43"/>
      <c r="K462" s="61">
        <v>0.7</v>
      </c>
      <c r="L462" s="40">
        <v>461</v>
      </c>
      <c r="M462" s="44"/>
      <c r="N462" s="45"/>
      <c r="O462" s="18">
        <v>0</v>
      </c>
      <c r="P462" s="18">
        <v>0</v>
      </c>
      <c r="Q462" s="61"/>
      <c r="R462" s="46"/>
    </row>
    <row r="463" spans="1:18">
      <c r="A463" s="33" t="s">
        <v>6429</v>
      </c>
      <c r="B463" s="40" t="s">
        <v>7765</v>
      </c>
      <c r="C463" s="47">
        <v>40488</v>
      </c>
      <c r="D463" s="47" t="s">
        <v>8465</v>
      </c>
      <c r="E463" s="40" t="s">
        <v>6483</v>
      </c>
      <c r="F463" s="40" t="s">
        <v>6483</v>
      </c>
      <c r="G463" s="42"/>
      <c r="H463" s="65" t="s">
        <v>6467</v>
      </c>
      <c r="J463" s="43"/>
      <c r="K463" s="61">
        <v>0.6</v>
      </c>
      <c r="L463" s="40">
        <v>462</v>
      </c>
      <c r="M463" s="44"/>
      <c r="N463" s="45"/>
      <c r="O463" s="18">
        <v>0</v>
      </c>
      <c r="P463" s="18">
        <v>0</v>
      </c>
      <c r="Q463" s="61"/>
      <c r="R463" s="46"/>
    </row>
    <row r="464" spans="1:18">
      <c r="A464" s="33" t="s">
        <v>613</v>
      </c>
      <c r="B464" s="40" t="s">
        <v>7736</v>
      </c>
      <c r="C464" s="41">
        <v>35065</v>
      </c>
      <c r="D464" s="47" t="s">
        <v>8465</v>
      </c>
      <c r="E464" s="40" t="s">
        <v>73</v>
      </c>
      <c r="F464" s="40" t="s">
        <v>73</v>
      </c>
      <c r="G464" s="42" t="s">
        <v>601</v>
      </c>
      <c r="H464" s="65" t="s">
        <v>56</v>
      </c>
      <c r="J464" s="43"/>
      <c r="K464" s="61">
        <v>0.7</v>
      </c>
      <c r="L464" s="40">
        <v>463</v>
      </c>
      <c r="M464" s="44"/>
      <c r="N464" s="45"/>
      <c r="O464" s="18">
        <v>0</v>
      </c>
      <c r="P464" s="18">
        <v>1</v>
      </c>
      <c r="Q464" s="61">
        <v>0.7077</v>
      </c>
      <c r="R464" s="46"/>
    </row>
    <row r="465" spans="1:18">
      <c r="A465" s="33" t="s">
        <v>5656</v>
      </c>
      <c r="B465" s="40" t="s">
        <v>7800</v>
      </c>
      <c r="C465" s="47">
        <v>39174</v>
      </c>
      <c r="D465" s="47" t="s">
        <v>8465</v>
      </c>
      <c r="E465" s="40" t="s">
        <v>5693</v>
      </c>
      <c r="F465" s="40" t="s">
        <v>5693</v>
      </c>
      <c r="G465" s="42"/>
      <c r="H465" s="65" t="s">
        <v>78</v>
      </c>
      <c r="J465" s="43"/>
      <c r="K465" s="61">
        <v>0.6</v>
      </c>
      <c r="L465" s="40">
        <v>464</v>
      </c>
      <c r="M465" s="44"/>
      <c r="N465" s="45"/>
      <c r="O465" s="18">
        <v>0</v>
      </c>
      <c r="P465" s="18">
        <v>0</v>
      </c>
      <c r="Q465" s="61"/>
      <c r="R465" s="46"/>
    </row>
    <row r="466" spans="1:18">
      <c r="A466" s="33" t="s">
        <v>5658</v>
      </c>
      <c r="B466" s="40" t="s">
        <v>7800</v>
      </c>
      <c r="C466" s="47">
        <v>40163</v>
      </c>
      <c r="D466" s="47" t="s">
        <v>8465</v>
      </c>
      <c r="E466" s="40" t="s">
        <v>5694</v>
      </c>
      <c r="F466" s="40" t="s">
        <v>5694</v>
      </c>
      <c r="G466" s="42"/>
      <c r="H466" s="65" t="s">
        <v>21</v>
      </c>
      <c r="J466" s="43"/>
      <c r="K466" s="61">
        <v>0.5</v>
      </c>
      <c r="L466" s="40">
        <v>465</v>
      </c>
      <c r="M466" s="44"/>
      <c r="N466" s="45"/>
      <c r="O466" s="18">
        <v>0</v>
      </c>
      <c r="P466" s="18">
        <v>0</v>
      </c>
      <c r="Q466" s="61"/>
      <c r="R466" s="46"/>
    </row>
    <row r="467" spans="1:18">
      <c r="A467" s="33" t="s">
        <v>6306</v>
      </c>
      <c r="B467" s="40" t="s">
        <v>7765</v>
      </c>
      <c r="C467" s="47">
        <v>40806</v>
      </c>
      <c r="D467" s="47" t="s">
        <v>8465</v>
      </c>
      <c r="E467" s="40" t="s">
        <v>3116</v>
      </c>
      <c r="F467" s="40" t="s">
        <v>6304</v>
      </c>
      <c r="G467" s="42" t="s">
        <v>6303</v>
      </c>
      <c r="H467" s="65" t="s">
        <v>1168</v>
      </c>
      <c r="J467" s="43"/>
      <c r="K467" s="61">
        <v>0.8</v>
      </c>
      <c r="L467" s="40">
        <v>466</v>
      </c>
      <c r="M467" s="44"/>
      <c r="N467" s="45"/>
      <c r="O467" s="18">
        <v>0</v>
      </c>
      <c r="P467" s="18">
        <v>0</v>
      </c>
      <c r="Q467" s="61">
        <v>0.91490000000000005</v>
      </c>
      <c r="R467" s="46"/>
    </row>
    <row r="468" spans="1:18">
      <c r="A468" s="33" t="s">
        <v>4758</v>
      </c>
      <c r="B468" s="40" t="s">
        <v>7800</v>
      </c>
      <c r="C468" s="47">
        <v>40724</v>
      </c>
      <c r="D468" s="47" t="s">
        <v>8465</v>
      </c>
      <c r="E468" s="40" t="s">
        <v>3246</v>
      </c>
      <c r="F468" s="40" t="s">
        <v>3246</v>
      </c>
      <c r="G468" s="42" t="s">
        <v>4520</v>
      </c>
      <c r="H468" s="65" t="s">
        <v>78</v>
      </c>
      <c r="J468" s="43"/>
      <c r="K468" s="61">
        <v>0.8</v>
      </c>
      <c r="L468" s="40">
        <v>467</v>
      </c>
      <c r="M468" s="44"/>
      <c r="N468" s="45"/>
      <c r="O468" s="18">
        <v>0</v>
      </c>
      <c r="P468" s="18">
        <v>0</v>
      </c>
      <c r="Q468" s="61">
        <v>0.67169999999999996</v>
      </c>
      <c r="R468" s="46"/>
    </row>
    <row r="469" spans="1:18">
      <c r="A469" s="33" t="s">
        <v>4205</v>
      </c>
      <c r="B469" s="40" t="s">
        <v>7800</v>
      </c>
      <c r="C469" s="47">
        <v>40337</v>
      </c>
      <c r="D469" s="47" t="s">
        <v>8465</v>
      </c>
      <c r="E469" s="40" t="s">
        <v>4206</v>
      </c>
      <c r="F469" s="40" t="s">
        <v>4206</v>
      </c>
      <c r="G469" s="42"/>
      <c r="H469" s="65" t="s">
        <v>67</v>
      </c>
      <c r="J469" s="43"/>
      <c r="K469" s="61">
        <v>0.7</v>
      </c>
      <c r="L469" s="40">
        <v>468</v>
      </c>
      <c r="M469" s="44"/>
      <c r="N469" s="45"/>
      <c r="O469" s="18">
        <v>0</v>
      </c>
      <c r="P469" s="18">
        <v>0</v>
      </c>
      <c r="Q469" s="61">
        <v>0.76390000000000002</v>
      </c>
      <c r="R469" s="46"/>
    </row>
    <row r="470" spans="1:18" ht="51">
      <c r="A470" s="33" t="s">
        <v>4675</v>
      </c>
      <c r="B470" s="40" t="s">
        <v>7800</v>
      </c>
      <c r="C470" s="47">
        <v>39589</v>
      </c>
      <c r="D470" s="47" t="s">
        <v>8465</v>
      </c>
      <c r="E470" s="40" t="s">
        <v>3612</v>
      </c>
      <c r="F470" s="40" t="s">
        <v>3612</v>
      </c>
      <c r="G470" s="42" t="s">
        <v>4679</v>
      </c>
      <c r="H470" s="65" t="s">
        <v>149</v>
      </c>
      <c r="J470" s="43"/>
      <c r="K470" s="61">
        <v>0.7</v>
      </c>
      <c r="L470" s="40">
        <v>469</v>
      </c>
      <c r="M470" s="44"/>
      <c r="N470" s="45">
        <v>6</v>
      </c>
      <c r="O470" s="18">
        <v>0</v>
      </c>
      <c r="P470" s="18">
        <v>0</v>
      </c>
      <c r="Q470" s="61">
        <v>0.77370000000000005</v>
      </c>
      <c r="R470" s="46"/>
    </row>
    <row r="471" spans="1:18">
      <c r="A471" s="33" t="s">
        <v>3265</v>
      </c>
      <c r="B471" s="40" t="s">
        <v>7765</v>
      </c>
      <c r="C471" s="47">
        <v>40834</v>
      </c>
      <c r="D471" s="47" t="s">
        <v>8465</v>
      </c>
      <c r="E471" s="40" t="s">
        <v>1529</v>
      </c>
      <c r="F471" s="40" t="s">
        <v>3263</v>
      </c>
      <c r="G471" s="42" t="s">
        <v>207</v>
      </c>
      <c r="H471" s="65" t="s">
        <v>80</v>
      </c>
      <c r="J471" s="43"/>
      <c r="K471" s="61">
        <v>0.8</v>
      </c>
      <c r="L471" s="40">
        <v>470</v>
      </c>
      <c r="M471" s="44"/>
      <c r="N471" s="45"/>
      <c r="O471" s="18">
        <v>0</v>
      </c>
      <c r="P471" s="18">
        <v>0</v>
      </c>
      <c r="Q471" s="61">
        <v>0.93879999999999997</v>
      </c>
      <c r="R471" s="46"/>
    </row>
    <row r="472" spans="1:18" ht="25.5">
      <c r="A472" s="33" t="s">
        <v>4795</v>
      </c>
      <c r="B472" s="40" t="s">
        <v>7800</v>
      </c>
      <c r="C472" s="47">
        <v>40701</v>
      </c>
      <c r="D472" s="47" t="s">
        <v>8465</v>
      </c>
      <c r="E472" s="40" t="s">
        <v>1342</v>
      </c>
      <c r="F472" s="40" t="s">
        <v>1655</v>
      </c>
      <c r="G472" s="42" t="s">
        <v>1646</v>
      </c>
      <c r="H472" s="65" t="s">
        <v>1168</v>
      </c>
      <c r="J472" s="43"/>
      <c r="K472" s="61">
        <v>0.7</v>
      </c>
      <c r="L472" s="40">
        <v>471</v>
      </c>
      <c r="M472" s="44"/>
      <c r="N472" s="45"/>
      <c r="O472" s="18">
        <v>0</v>
      </c>
      <c r="P472" s="18">
        <v>0</v>
      </c>
      <c r="Q472" s="61">
        <v>0.75929999999999997</v>
      </c>
      <c r="R472" s="46"/>
    </row>
    <row r="473" spans="1:18">
      <c r="A473" s="33" t="s">
        <v>5659</v>
      </c>
      <c r="B473" s="40" t="s">
        <v>7800</v>
      </c>
      <c r="C473" s="47">
        <v>40617</v>
      </c>
      <c r="D473" s="47" t="s">
        <v>8465</v>
      </c>
      <c r="E473" s="40" t="s">
        <v>1342</v>
      </c>
      <c r="F473" s="40" t="s">
        <v>3564</v>
      </c>
      <c r="G473" s="42" t="s">
        <v>5659</v>
      </c>
      <c r="H473" s="65" t="s">
        <v>1050</v>
      </c>
      <c r="J473" s="43"/>
      <c r="K473" s="61">
        <v>0.7</v>
      </c>
      <c r="L473" s="40">
        <v>472</v>
      </c>
      <c r="M473" s="44"/>
      <c r="N473" s="45"/>
      <c r="O473" s="18">
        <v>0</v>
      </c>
      <c r="P473" s="18">
        <v>0</v>
      </c>
      <c r="Q473" s="61">
        <v>0.68889999999999996</v>
      </c>
      <c r="R473" s="46"/>
    </row>
    <row r="474" spans="1:18">
      <c r="A474" s="33" t="s">
        <v>5660</v>
      </c>
      <c r="B474" s="40" t="s">
        <v>7800</v>
      </c>
      <c r="C474" s="47">
        <v>40865</v>
      </c>
      <c r="D474" s="47" t="s">
        <v>8465</v>
      </c>
      <c r="E474" s="40" t="s">
        <v>8711</v>
      </c>
      <c r="F474" s="40" t="s">
        <v>8711</v>
      </c>
      <c r="G474" s="42" t="s">
        <v>5660</v>
      </c>
      <c r="H474" s="65" t="s">
        <v>9978</v>
      </c>
      <c r="J474" s="43"/>
      <c r="K474" s="61">
        <v>1</v>
      </c>
      <c r="L474" s="40">
        <v>473</v>
      </c>
      <c r="M474" s="44"/>
      <c r="N474" s="45"/>
      <c r="O474" s="18">
        <v>0</v>
      </c>
      <c r="P474" s="18">
        <v>0</v>
      </c>
      <c r="Q474" s="61">
        <v>0.92789999999999995</v>
      </c>
      <c r="R474" s="46"/>
    </row>
    <row r="475" spans="1:18">
      <c r="A475" s="33" t="s">
        <v>4195</v>
      </c>
      <c r="B475" s="40" t="s">
        <v>7800</v>
      </c>
      <c r="C475" s="47">
        <v>40702</v>
      </c>
      <c r="D475" s="47" t="s">
        <v>8465</v>
      </c>
      <c r="E475" s="40" t="s">
        <v>4196</v>
      </c>
      <c r="F475" s="40" t="s">
        <v>4196</v>
      </c>
      <c r="G475" s="42"/>
      <c r="H475" s="65" t="s">
        <v>21</v>
      </c>
      <c r="J475" s="43"/>
      <c r="K475" s="61">
        <v>0.8</v>
      </c>
      <c r="L475" s="40">
        <v>474</v>
      </c>
      <c r="M475" s="44"/>
      <c r="N475" s="45">
        <f>2+(21/60)</f>
        <v>2.35</v>
      </c>
      <c r="O475" s="18">
        <v>0</v>
      </c>
      <c r="P475" s="18">
        <v>0</v>
      </c>
      <c r="Q475" s="61">
        <v>0.81</v>
      </c>
      <c r="R475" s="46"/>
    </row>
    <row r="476" spans="1:18">
      <c r="A476" s="33" t="s">
        <v>3280</v>
      </c>
      <c r="B476" s="40" t="s">
        <v>7800</v>
      </c>
      <c r="C476" s="47">
        <v>40283</v>
      </c>
      <c r="D476" s="47" t="s">
        <v>8465</v>
      </c>
      <c r="E476" s="40" t="s">
        <v>3281</v>
      </c>
      <c r="F476" s="40" t="s">
        <v>3281</v>
      </c>
      <c r="G476" s="42" t="s">
        <v>3280</v>
      </c>
      <c r="H476" s="65" t="s">
        <v>9963</v>
      </c>
      <c r="J476" s="43"/>
      <c r="K476" s="61">
        <v>0.8</v>
      </c>
      <c r="L476" s="40">
        <v>475</v>
      </c>
      <c r="M476" s="44"/>
      <c r="N476" s="45"/>
      <c r="O476" s="18">
        <v>0</v>
      </c>
      <c r="P476" s="18">
        <v>0</v>
      </c>
      <c r="Q476" s="61">
        <v>0.72050000000000003</v>
      </c>
      <c r="R476" s="46"/>
    </row>
    <row r="477" spans="1:18">
      <c r="A477" s="33" t="s">
        <v>614</v>
      </c>
      <c r="B477" s="40" t="s">
        <v>7736</v>
      </c>
      <c r="C477" s="41">
        <v>33909</v>
      </c>
      <c r="D477" s="47" t="s">
        <v>8465</v>
      </c>
      <c r="E477" s="40" t="s">
        <v>1265</v>
      </c>
      <c r="F477" s="40" t="s">
        <v>468</v>
      </c>
      <c r="G477" s="42" t="s">
        <v>1266</v>
      </c>
      <c r="H477" s="65" t="s">
        <v>1267</v>
      </c>
      <c r="J477" s="43"/>
      <c r="K477" s="61">
        <v>0.7</v>
      </c>
      <c r="L477" s="40">
        <v>476</v>
      </c>
      <c r="M477" s="44"/>
      <c r="N477" s="45"/>
      <c r="O477" s="18">
        <v>0</v>
      </c>
      <c r="P477" s="18">
        <v>1</v>
      </c>
      <c r="Q477" s="61">
        <v>0.84199999999999997</v>
      </c>
      <c r="R477" s="46"/>
    </row>
    <row r="478" spans="1:18" ht="51">
      <c r="A478" s="33" t="s">
        <v>3375</v>
      </c>
      <c r="B478" s="40" t="s">
        <v>7800</v>
      </c>
      <c r="C478" s="47">
        <v>40423</v>
      </c>
      <c r="D478" s="47" t="s">
        <v>8465</v>
      </c>
      <c r="E478" s="40" t="s">
        <v>3553</v>
      </c>
      <c r="F478" s="40" t="s">
        <v>3372</v>
      </c>
      <c r="G478" s="42" t="s">
        <v>3373</v>
      </c>
      <c r="H478" s="65" t="s">
        <v>67</v>
      </c>
      <c r="J478" s="43"/>
      <c r="K478" s="61">
        <v>0.7</v>
      </c>
      <c r="L478" s="40">
        <v>477</v>
      </c>
      <c r="M478" s="44"/>
      <c r="N478" s="45">
        <f>6+18/60</f>
        <v>6.3</v>
      </c>
      <c r="O478" s="18">
        <v>0</v>
      </c>
      <c r="P478" s="18">
        <v>0</v>
      </c>
      <c r="Q478" s="61">
        <v>0.6</v>
      </c>
      <c r="R478" s="46"/>
    </row>
    <row r="479" spans="1:18">
      <c r="A479" s="33" t="s">
        <v>3684</v>
      </c>
      <c r="B479" s="40" t="s">
        <v>7800</v>
      </c>
      <c r="C479" s="47">
        <v>40983</v>
      </c>
      <c r="D479" s="47" t="s">
        <v>8465</v>
      </c>
      <c r="E479" s="40" t="s">
        <v>3685</v>
      </c>
      <c r="F479" s="40" t="s">
        <v>3685</v>
      </c>
      <c r="G479" s="42" t="s">
        <v>3684</v>
      </c>
      <c r="H479" s="65" t="s">
        <v>64</v>
      </c>
      <c r="J479" s="43"/>
      <c r="K479" s="61">
        <v>0.8</v>
      </c>
      <c r="L479" s="40">
        <v>478</v>
      </c>
      <c r="M479" s="44"/>
      <c r="N479" s="45"/>
      <c r="O479" s="18">
        <v>0</v>
      </c>
      <c r="P479" s="18">
        <v>0</v>
      </c>
      <c r="Q479" s="61">
        <v>0.69</v>
      </c>
      <c r="R479" s="46"/>
    </row>
    <row r="480" spans="1:18">
      <c r="A480" s="33" t="s">
        <v>2773</v>
      </c>
      <c r="B480" s="40" t="s">
        <v>7756</v>
      </c>
      <c r="C480" s="47">
        <v>34726</v>
      </c>
      <c r="D480" s="47" t="s">
        <v>8465</v>
      </c>
      <c r="E480" s="40" t="s">
        <v>455</v>
      </c>
      <c r="F480" s="40" t="s">
        <v>455</v>
      </c>
      <c r="G480" s="42"/>
      <c r="H480" s="65" t="s">
        <v>80</v>
      </c>
      <c r="J480" s="43"/>
      <c r="K480" s="61">
        <v>0.8</v>
      </c>
      <c r="L480" s="40">
        <v>479</v>
      </c>
      <c r="M480" s="44"/>
      <c r="N480" s="45"/>
      <c r="O480" s="18">
        <v>0</v>
      </c>
      <c r="P480" s="18">
        <v>1</v>
      </c>
      <c r="Q480" s="61"/>
      <c r="R480" s="46"/>
    </row>
    <row r="481" spans="1:18" ht="25.5">
      <c r="A481" s="33" t="s">
        <v>5211</v>
      </c>
      <c r="B481" s="40" t="s">
        <v>7783</v>
      </c>
      <c r="C481" s="47">
        <v>40660</v>
      </c>
      <c r="D481" s="47" t="s">
        <v>8465</v>
      </c>
      <c r="E481" s="40" t="s">
        <v>3507</v>
      </c>
      <c r="F481" s="40" t="s">
        <v>9979</v>
      </c>
      <c r="G481" s="42" t="s">
        <v>9980</v>
      </c>
      <c r="H481" s="65" t="s">
        <v>2820</v>
      </c>
      <c r="J481" s="43"/>
      <c r="K481" s="61">
        <v>0.9</v>
      </c>
      <c r="L481" s="40">
        <v>480</v>
      </c>
      <c r="M481" s="44"/>
      <c r="N481" s="45"/>
      <c r="O481" s="18">
        <v>0</v>
      </c>
      <c r="P481" s="18">
        <v>0</v>
      </c>
      <c r="Q481" s="61">
        <v>0.9133</v>
      </c>
      <c r="R481" s="46"/>
    </row>
    <row r="482" spans="1:18" ht="25.5">
      <c r="A482" s="33" t="s">
        <v>1689</v>
      </c>
      <c r="B482" s="40" t="s">
        <v>7765</v>
      </c>
      <c r="C482" s="47">
        <v>40858</v>
      </c>
      <c r="D482" s="47" t="s">
        <v>8465</v>
      </c>
      <c r="E482" s="40" t="s">
        <v>1690</v>
      </c>
      <c r="F482" s="40" t="s">
        <v>1690</v>
      </c>
      <c r="G482" s="42" t="s">
        <v>1207</v>
      </c>
      <c r="H482" s="65" t="s">
        <v>171</v>
      </c>
      <c r="J482" s="43"/>
      <c r="K482" s="61">
        <v>0.9</v>
      </c>
      <c r="L482" s="40">
        <v>481</v>
      </c>
      <c r="M482" s="44"/>
      <c r="N482" s="45"/>
      <c r="O482" s="18">
        <v>0</v>
      </c>
      <c r="P482" s="18">
        <v>0</v>
      </c>
      <c r="Q482" s="61">
        <v>0.95150000000000001</v>
      </c>
      <c r="R482" s="46"/>
    </row>
    <row r="483" spans="1:18">
      <c r="A483" s="33" t="s">
        <v>615</v>
      </c>
      <c r="B483" s="40" t="s">
        <v>7736</v>
      </c>
      <c r="C483" s="47">
        <v>34264</v>
      </c>
      <c r="D483" s="47" t="s">
        <v>8465</v>
      </c>
      <c r="E483" s="40" t="s">
        <v>1268</v>
      </c>
      <c r="F483" s="40" t="s">
        <v>63</v>
      </c>
      <c r="G483" s="42"/>
      <c r="H483" s="65" t="s">
        <v>56</v>
      </c>
      <c r="J483" s="43"/>
      <c r="K483" s="61">
        <v>0.5</v>
      </c>
      <c r="L483" s="40">
        <v>482</v>
      </c>
      <c r="M483" s="44"/>
      <c r="N483" s="45"/>
      <c r="O483" s="18">
        <v>0</v>
      </c>
      <c r="P483" s="18">
        <v>1</v>
      </c>
      <c r="Q483" s="61"/>
      <c r="R483" s="46"/>
    </row>
    <row r="484" spans="1:18">
      <c r="A484" s="33" t="s">
        <v>5442</v>
      </c>
      <c r="B484" s="40" t="s">
        <v>7800</v>
      </c>
      <c r="C484" s="47">
        <v>40113</v>
      </c>
      <c r="D484" s="47" t="s">
        <v>8465</v>
      </c>
      <c r="E484" s="40" t="s">
        <v>5443</v>
      </c>
      <c r="F484" s="40" t="s">
        <v>5443</v>
      </c>
      <c r="G484" s="42" t="s">
        <v>5442</v>
      </c>
      <c r="H484" s="65" t="s">
        <v>171</v>
      </c>
      <c r="J484" s="43"/>
      <c r="K484" s="61">
        <v>0.8</v>
      </c>
      <c r="L484" s="40">
        <v>483</v>
      </c>
      <c r="M484" s="44"/>
      <c r="N484" s="45">
        <f>14+42/60</f>
        <v>14.7</v>
      </c>
      <c r="O484" s="18">
        <v>0</v>
      </c>
      <c r="P484" s="18">
        <v>0</v>
      </c>
      <c r="Q484" s="61">
        <v>0.84740000000000004</v>
      </c>
      <c r="R484" s="46"/>
    </row>
    <row r="485" spans="1:18">
      <c r="A485" s="33" t="s">
        <v>7289</v>
      </c>
      <c r="B485" s="40" t="s">
        <v>7783</v>
      </c>
      <c r="C485" s="47">
        <v>40484</v>
      </c>
      <c r="D485" s="47" t="s">
        <v>8465</v>
      </c>
      <c r="E485" s="40" t="s">
        <v>231</v>
      </c>
      <c r="F485" s="40" t="s">
        <v>1192</v>
      </c>
      <c r="G485" s="42" t="s">
        <v>7289</v>
      </c>
      <c r="H485" s="65" t="s">
        <v>67</v>
      </c>
      <c r="J485" s="43"/>
      <c r="K485" s="61">
        <v>0.7</v>
      </c>
      <c r="L485" s="40">
        <v>484</v>
      </c>
      <c r="M485" s="44"/>
      <c r="N485" s="45"/>
      <c r="O485" s="18">
        <v>0</v>
      </c>
      <c r="P485" s="18">
        <v>0</v>
      </c>
      <c r="Q485" s="61">
        <v>0.73570000000000002</v>
      </c>
      <c r="R485" s="46"/>
    </row>
    <row r="486" spans="1:18">
      <c r="A486" s="33" t="s">
        <v>7339</v>
      </c>
      <c r="B486" s="40" t="s">
        <v>7783</v>
      </c>
      <c r="C486" s="47">
        <v>40827</v>
      </c>
      <c r="D486" s="47" t="s">
        <v>8465</v>
      </c>
      <c r="E486" s="40" t="s">
        <v>1529</v>
      </c>
      <c r="F486" s="40" t="s">
        <v>2311</v>
      </c>
      <c r="G486" s="42" t="s">
        <v>2212</v>
      </c>
      <c r="H486" s="65" t="s">
        <v>1334</v>
      </c>
      <c r="J486" s="43"/>
      <c r="K486" s="61">
        <v>0.8</v>
      </c>
      <c r="L486" s="40">
        <v>485</v>
      </c>
      <c r="M486" s="44"/>
      <c r="N486" s="45"/>
      <c r="O486" s="18">
        <v>0</v>
      </c>
      <c r="P486" s="18">
        <v>0</v>
      </c>
      <c r="Q486" s="61">
        <v>0.83750000000000002</v>
      </c>
      <c r="R486" s="46"/>
    </row>
    <row r="487" spans="1:18">
      <c r="A487" s="33" t="s">
        <v>4329</v>
      </c>
      <c r="B487" s="40" t="s">
        <v>7800</v>
      </c>
      <c r="C487" s="47">
        <v>40757</v>
      </c>
      <c r="D487" s="47" t="s">
        <v>8465</v>
      </c>
      <c r="E487" s="40" t="s">
        <v>4185</v>
      </c>
      <c r="F487" s="40" t="s">
        <v>4185</v>
      </c>
      <c r="G487" s="42"/>
      <c r="H487" s="65" t="s">
        <v>64</v>
      </c>
      <c r="J487" s="43"/>
      <c r="K487" s="61">
        <v>0.8</v>
      </c>
      <c r="L487" s="40">
        <v>486</v>
      </c>
      <c r="M487" s="44"/>
      <c r="N487" s="45">
        <f>3+12/60</f>
        <v>3.2</v>
      </c>
      <c r="O487" s="18">
        <v>0</v>
      </c>
      <c r="P487" s="18">
        <v>0</v>
      </c>
      <c r="Q487" s="61">
        <v>0.88049999999999995</v>
      </c>
      <c r="R487" s="46"/>
    </row>
    <row r="488" spans="1:18">
      <c r="A488" s="33" t="s">
        <v>7347</v>
      </c>
      <c r="B488" s="40" t="s">
        <v>7783</v>
      </c>
      <c r="C488" s="47">
        <v>40829</v>
      </c>
      <c r="D488" s="47" t="s">
        <v>8465</v>
      </c>
      <c r="E488" s="40" t="s">
        <v>6438</v>
      </c>
      <c r="F488" s="40" t="s">
        <v>6438</v>
      </c>
      <c r="G488" s="42" t="s">
        <v>6438</v>
      </c>
      <c r="H488" s="65" t="s">
        <v>21</v>
      </c>
      <c r="J488" s="43"/>
      <c r="K488" s="61">
        <v>0.8</v>
      </c>
      <c r="L488" s="40">
        <v>487</v>
      </c>
      <c r="M488" s="44"/>
      <c r="N488" s="45"/>
      <c r="O488" s="18">
        <v>0</v>
      </c>
      <c r="P488" s="18">
        <v>0</v>
      </c>
      <c r="Q488" s="61">
        <v>0.86670000000000003</v>
      </c>
      <c r="R488" s="46"/>
    </row>
    <row r="489" spans="1:18">
      <c r="A489" s="33" t="s">
        <v>7303</v>
      </c>
      <c r="B489" s="40" t="s">
        <v>7783</v>
      </c>
      <c r="C489" s="47">
        <v>40269</v>
      </c>
      <c r="D489" s="47" t="s">
        <v>8465</v>
      </c>
      <c r="E489" s="40" t="s">
        <v>1273</v>
      </c>
      <c r="F489" s="40" t="s">
        <v>1052</v>
      </c>
      <c r="G489" s="42" t="s">
        <v>1053</v>
      </c>
      <c r="H489" s="65" t="s">
        <v>9963</v>
      </c>
      <c r="J489" s="43"/>
      <c r="K489" s="61">
        <v>0.7</v>
      </c>
      <c r="L489" s="40">
        <v>488</v>
      </c>
      <c r="M489" s="44"/>
      <c r="N489" s="45"/>
      <c r="O489" s="18">
        <v>0</v>
      </c>
      <c r="P489" s="18">
        <v>0</v>
      </c>
      <c r="Q489" s="61">
        <v>0.78</v>
      </c>
      <c r="R489" s="46"/>
    </row>
    <row r="490" spans="1:18">
      <c r="A490" s="33" t="s">
        <v>3316</v>
      </c>
      <c r="B490" s="40" t="s">
        <v>7783</v>
      </c>
      <c r="C490" s="47">
        <v>40451</v>
      </c>
      <c r="D490" s="47" t="s">
        <v>8465</v>
      </c>
      <c r="E490" s="40" t="s">
        <v>2471</v>
      </c>
      <c r="F490" s="40" t="s">
        <v>2471</v>
      </c>
      <c r="G490" s="42" t="s">
        <v>1653</v>
      </c>
      <c r="H490" s="65" t="s">
        <v>143</v>
      </c>
      <c r="J490" s="43"/>
      <c r="K490" s="61">
        <v>0.7</v>
      </c>
      <c r="L490" s="40">
        <v>489</v>
      </c>
      <c r="M490" s="44"/>
      <c r="N490" s="45"/>
      <c r="O490" s="18">
        <v>0</v>
      </c>
      <c r="P490" s="18">
        <v>0</v>
      </c>
      <c r="Q490" s="61">
        <v>0.72499999999999998</v>
      </c>
      <c r="R490" s="46"/>
    </row>
    <row r="491" spans="1:18">
      <c r="A491" s="33" t="s">
        <v>7362</v>
      </c>
      <c r="B491" s="40" t="s">
        <v>7783</v>
      </c>
      <c r="C491" s="47">
        <v>41081</v>
      </c>
      <c r="D491" s="47" t="s">
        <v>8465</v>
      </c>
      <c r="E491" s="40" t="s">
        <v>9981</v>
      </c>
      <c r="F491" s="40" t="s">
        <v>9982</v>
      </c>
      <c r="G491" s="42"/>
      <c r="H491" s="65" t="s">
        <v>67</v>
      </c>
      <c r="J491" s="43"/>
      <c r="K491" s="61">
        <v>0.7</v>
      </c>
      <c r="L491" s="40">
        <v>490</v>
      </c>
      <c r="M491" s="44"/>
      <c r="N491" s="45"/>
      <c r="O491" s="18">
        <v>0</v>
      </c>
      <c r="P491" s="18">
        <v>0</v>
      </c>
      <c r="Q491" s="61">
        <v>0.78</v>
      </c>
      <c r="R491" s="46"/>
    </row>
    <row r="492" spans="1:18">
      <c r="A492" s="33" t="s">
        <v>4460</v>
      </c>
      <c r="B492" s="40" t="s">
        <v>7783</v>
      </c>
      <c r="C492" s="47">
        <v>40269</v>
      </c>
      <c r="D492" s="47" t="s">
        <v>8465</v>
      </c>
      <c r="E492" s="40" t="s">
        <v>231</v>
      </c>
      <c r="F492" s="40" t="s">
        <v>231</v>
      </c>
      <c r="G492" s="42" t="s">
        <v>4460</v>
      </c>
      <c r="H492" s="65" t="s">
        <v>64</v>
      </c>
      <c r="J492" s="43"/>
      <c r="K492" s="61">
        <v>0.8</v>
      </c>
      <c r="L492" s="40">
        <v>491</v>
      </c>
      <c r="M492" s="44"/>
      <c r="N492" s="45"/>
      <c r="O492" s="18">
        <v>0</v>
      </c>
      <c r="P492" s="18">
        <v>0</v>
      </c>
      <c r="Q492" s="61">
        <v>0.87860000000000005</v>
      </c>
      <c r="R492" s="46"/>
    </row>
    <row r="493" spans="1:18">
      <c r="A493" s="33" t="s">
        <v>4617</v>
      </c>
      <c r="B493" s="40" t="s">
        <v>7783</v>
      </c>
      <c r="C493" s="47">
        <v>41094</v>
      </c>
      <c r="D493" s="47" t="s">
        <v>8465</v>
      </c>
      <c r="E493" s="40" t="s">
        <v>7326</v>
      </c>
      <c r="F493" s="40" t="s">
        <v>4616</v>
      </c>
      <c r="G493" s="42"/>
      <c r="H493" s="65" t="s">
        <v>64</v>
      </c>
      <c r="J493" s="43"/>
      <c r="K493" s="61">
        <v>0.8</v>
      </c>
      <c r="L493" s="40">
        <v>492</v>
      </c>
      <c r="M493" s="44"/>
      <c r="N493" s="45"/>
      <c r="O493" s="18">
        <v>0</v>
      </c>
      <c r="P493" s="18">
        <v>0</v>
      </c>
      <c r="Q493" s="61">
        <v>0.78749999999999998</v>
      </c>
      <c r="R493" s="46"/>
    </row>
    <row r="494" spans="1:18">
      <c r="A494" s="33" t="s">
        <v>3260</v>
      </c>
      <c r="B494" s="40" t="s">
        <v>7800</v>
      </c>
      <c r="C494" s="47">
        <v>40771</v>
      </c>
      <c r="D494" s="47" t="s">
        <v>8465</v>
      </c>
      <c r="E494" s="40" t="s">
        <v>1529</v>
      </c>
      <c r="F494" s="40" t="s">
        <v>3261</v>
      </c>
      <c r="G494" s="42"/>
      <c r="H494" s="65" t="s">
        <v>1059</v>
      </c>
      <c r="J494" s="43"/>
      <c r="K494" s="61">
        <v>0.9</v>
      </c>
      <c r="L494" s="40">
        <v>493</v>
      </c>
      <c r="M494" s="44"/>
      <c r="N494" s="45">
        <f>4+48/60</f>
        <v>4.8</v>
      </c>
      <c r="O494" s="18">
        <v>0</v>
      </c>
      <c r="P494" s="18">
        <v>0</v>
      </c>
      <c r="Q494" s="61">
        <v>0.90359999999999996</v>
      </c>
      <c r="R494" s="46"/>
    </row>
    <row r="495" spans="1:18">
      <c r="A495" s="33" t="s">
        <v>5097</v>
      </c>
      <c r="B495" s="40" t="s">
        <v>7800</v>
      </c>
      <c r="C495" s="47">
        <v>41073</v>
      </c>
      <c r="D495" s="47" t="s">
        <v>8465</v>
      </c>
      <c r="E495" s="40" t="s">
        <v>9970</v>
      </c>
      <c r="F495" s="40" t="s">
        <v>9970</v>
      </c>
      <c r="G495" s="42"/>
      <c r="H495" s="65" t="s">
        <v>78</v>
      </c>
      <c r="J495" s="43"/>
      <c r="K495" s="61">
        <v>0.8</v>
      </c>
      <c r="L495" s="40">
        <v>494</v>
      </c>
      <c r="M495" s="44"/>
      <c r="N495" s="45">
        <f>1+12/60</f>
        <v>1.2</v>
      </c>
      <c r="O495" s="18">
        <v>0</v>
      </c>
      <c r="P495" s="18">
        <v>0</v>
      </c>
      <c r="Q495" s="61">
        <v>0.73670000000000002</v>
      </c>
      <c r="R495" s="46"/>
    </row>
    <row r="496" spans="1:18">
      <c r="A496" s="33" t="s">
        <v>5464</v>
      </c>
      <c r="B496" s="40" t="s">
        <v>7800</v>
      </c>
      <c r="C496" s="47">
        <v>40763</v>
      </c>
      <c r="D496" s="47" t="s">
        <v>8465</v>
      </c>
      <c r="E496" s="40" t="s">
        <v>5465</v>
      </c>
      <c r="F496" s="40" t="s">
        <v>5465</v>
      </c>
      <c r="G496" s="42"/>
      <c r="H496" s="65" t="s">
        <v>2820</v>
      </c>
      <c r="J496" s="43"/>
      <c r="K496" s="61">
        <v>0.4</v>
      </c>
      <c r="L496" s="40">
        <v>495</v>
      </c>
      <c r="M496" s="44"/>
      <c r="N496" s="45">
        <f>18/60</f>
        <v>0.3</v>
      </c>
      <c r="O496" s="18">
        <v>0</v>
      </c>
      <c r="P496" s="18">
        <v>0</v>
      </c>
      <c r="Q496" s="61">
        <v>0.65</v>
      </c>
      <c r="R496" s="46"/>
    </row>
    <row r="497" spans="1:18">
      <c r="A497" s="33" t="s">
        <v>3604</v>
      </c>
      <c r="B497" s="40" t="s">
        <v>7800</v>
      </c>
      <c r="C497" s="47">
        <v>40953</v>
      </c>
      <c r="D497" s="47" t="s">
        <v>8465</v>
      </c>
      <c r="E497" s="40" t="s">
        <v>3172</v>
      </c>
      <c r="F497" s="40" t="s">
        <v>3172</v>
      </c>
      <c r="G497" s="42"/>
      <c r="H497" s="65" t="s">
        <v>2820</v>
      </c>
      <c r="J497" s="43"/>
      <c r="K497" s="61">
        <v>0.4</v>
      </c>
      <c r="L497" s="40">
        <v>496</v>
      </c>
      <c r="M497" s="44"/>
      <c r="N497" s="45">
        <f>1+18/60</f>
        <v>1.3</v>
      </c>
      <c r="O497" s="18">
        <v>0</v>
      </c>
      <c r="P497" s="18">
        <v>0</v>
      </c>
      <c r="Q497" s="61">
        <v>0.71289999999999998</v>
      </c>
      <c r="R497" s="46"/>
    </row>
    <row r="498" spans="1:18">
      <c r="A498" s="33" t="s">
        <v>5469</v>
      </c>
      <c r="B498" s="40" t="s">
        <v>7800</v>
      </c>
      <c r="C498" s="47">
        <v>39997</v>
      </c>
      <c r="D498" s="47" t="s">
        <v>8465</v>
      </c>
      <c r="E498" s="40" t="s">
        <v>9983</v>
      </c>
      <c r="F498" s="40" t="s">
        <v>4544</v>
      </c>
      <c r="G498" s="42" t="s">
        <v>5469</v>
      </c>
      <c r="H498" s="65" t="s">
        <v>27</v>
      </c>
      <c r="J498" s="43"/>
      <c r="K498" s="61">
        <v>0.8</v>
      </c>
      <c r="L498" s="40">
        <v>497</v>
      </c>
      <c r="M498" s="44"/>
      <c r="N498" s="45">
        <f>4+36/60</f>
        <v>4.5999999999999996</v>
      </c>
      <c r="O498" s="18">
        <v>0</v>
      </c>
      <c r="P498" s="18">
        <v>0</v>
      </c>
      <c r="Q498" s="61">
        <v>0.8075</v>
      </c>
      <c r="R498" s="46"/>
    </row>
    <row r="499" spans="1:18">
      <c r="A499" s="33" t="s">
        <v>3731</v>
      </c>
      <c r="B499" s="40" t="s">
        <v>7800</v>
      </c>
      <c r="C499" s="47">
        <v>40835</v>
      </c>
      <c r="D499" s="47" t="s">
        <v>8465</v>
      </c>
      <c r="E499" s="40" t="s">
        <v>9984</v>
      </c>
      <c r="F499" s="40" t="s">
        <v>3732</v>
      </c>
      <c r="G499" s="42" t="s">
        <v>3731</v>
      </c>
      <c r="H499" s="65" t="s">
        <v>1169</v>
      </c>
      <c r="J499" s="43"/>
      <c r="K499" s="61">
        <v>0.9</v>
      </c>
      <c r="L499" s="40">
        <v>498</v>
      </c>
      <c r="M499" s="44"/>
      <c r="N499" s="45"/>
      <c r="O499" s="18">
        <v>0</v>
      </c>
      <c r="P499" s="18">
        <v>0</v>
      </c>
      <c r="Q499" s="61">
        <v>0.82669999999999999</v>
      </c>
      <c r="R499" s="46"/>
    </row>
    <row r="500" spans="1:18">
      <c r="A500" s="33" t="s">
        <v>7282</v>
      </c>
      <c r="B500" s="40" t="s">
        <v>7783</v>
      </c>
      <c r="C500" s="47">
        <v>41088</v>
      </c>
      <c r="D500" s="47" t="s">
        <v>8465</v>
      </c>
      <c r="E500" s="40" t="s">
        <v>7283</v>
      </c>
      <c r="F500" s="40" t="s">
        <v>7283</v>
      </c>
      <c r="G500" s="42"/>
      <c r="H500" s="65" t="s">
        <v>1050</v>
      </c>
      <c r="J500" s="43"/>
      <c r="K500" s="61">
        <v>0.5</v>
      </c>
      <c r="L500" s="40">
        <v>499</v>
      </c>
      <c r="M500" s="44"/>
      <c r="N500" s="45"/>
      <c r="O500" s="18">
        <v>0</v>
      </c>
      <c r="P500" s="18">
        <v>0</v>
      </c>
      <c r="Q500" s="61">
        <v>0.66669999999999996</v>
      </c>
      <c r="R500" s="46"/>
    </row>
    <row r="501" spans="1:18">
      <c r="A501" s="33" t="s">
        <v>3321</v>
      </c>
      <c r="B501" s="40" t="s">
        <v>7800</v>
      </c>
      <c r="C501" s="47">
        <v>40602</v>
      </c>
      <c r="D501" s="47" t="s">
        <v>8465</v>
      </c>
      <c r="E501" s="40" t="s">
        <v>1519</v>
      </c>
      <c r="F501" s="40" t="s">
        <v>2471</v>
      </c>
      <c r="G501" s="42" t="s">
        <v>1653</v>
      </c>
      <c r="H501" s="65" t="s">
        <v>1089</v>
      </c>
      <c r="J501" s="43"/>
      <c r="K501" s="61">
        <v>0.8</v>
      </c>
      <c r="L501" s="40">
        <v>500</v>
      </c>
      <c r="M501" s="44"/>
      <c r="N501" s="45">
        <f>11+12/60</f>
        <v>11.2</v>
      </c>
      <c r="O501" s="18">
        <v>0</v>
      </c>
      <c r="P501" s="18">
        <v>0</v>
      </c>
      <c r="Q501" s="61">
        <v>0.7</v>
      </c>
      <c r="R501" s="46"/>
    </row>
    <row r="502" spans="1:18">
      <c r="A502" s="33" t="s">
        <v>7294</v>
      </c>
      <c r="B502" s="40" t="s">
        <v>7783</v>
      </c>
      <c r="C502" s="47">
        <v>40093</v>
      </c>
      <c r="D502" s="47" t="s">
        <v>8465</v>
      </c>
      <c r="E502" s="40" t="s">
        <v>7295</v>
      </c>
      <c r="F502" s="40" t="s">
        <v>7295</v>
      </c>
      <c r="G502" s="42" t="s">
        <v>7294</v>
      </c>
      <c r="H502" s="65" t="s">
        <v>31</v>
      </c>
      <c r="J502" s="43"/>
      <c r="K502" s="61">
        <v>0.7</v>
      </c>
      <c r="L502" s="40">
        <v>501</v>
      </c>
      <c r="M502" s="44"/>
      <c r="N502" s="45"/>
      <c r="O502" s="18">
        <v>0</v>
      </c>
      <c r="P502" s="18">
        <v>0</v>
      </c>
      <c r="Q502" s="61">
        <v>0.875</v>
      </c>
      <c r="R502" s="46"/>
    </row>
    <row r="503" spans="1:18" ht="51">
      <c r="A503" s="33" t="s">
        <v>9985</v>
      </c>
      <c r="B503" s="40" t="s">
        <v>7800</v>
      </c>
      <c r="C503" s="47">
        <v>40001</v>
      </c>
      <c r="D503" s="47" t="s">
        <v>8465</v>
      </c>
      <c r="E503" s="40" t="s">
        <v>1284</v>
      </c>
      <c r="F503" s="40" t="s">
        <v>3246</v>
      </c>
      <c r="G503" s="42" t="s">
        <v>4472</v>
      </c>
      <c r="H503" s="65" t="s">
        <v>67</v>
      </c>
      <c r="J503" s="43" t="s">
        <v>5243</v>
      </c>
      <c r="K503" s="61">
        <v>0.7</v>
      </c>
      <c r="L503" s="40">
        <v>502</v>
      </c>
      <c r="M503" s="44"/>
      <c r="N503" s="45">
        <f>2+36/60</f>
        <v>2.6</v>
      </c>
      <c r="O503" s="18">
        <v>0</v>
      </c>
      <c r="P503" s="18">
        <v>0</v>
      </c>
      <c r="Q503" s="61">
        <v>0.80469999999999997</v>
      </c>
      <c r="R503" s="46"/>
    </row>
    <row r="504" spans="1:18">
      <c r="A504" s="33" t="s">
        <v>5661</v>
      </c>
      <c r="B504" s="40" t="s">
        <v>7800</v>
      </c>
      <c r="C504" s="47">
        <v>40886</v>
      </c>
      <c r="D504" s="47" t="s">
        <v>8465</v>
      </c>
      <c r="E504" s="40" t="s">
        <v>5696</v>
      </c>
      <c r="F504" s="40" t="s">
        <v>5696</v>
      </c>
      <c r="G504" s="42"/>
      <c r="H504" s="65" t="s">
        <v>31</v>
      </c>
      <c r="J504" s="43"/>
      <c r="K504" s="61">
        <v>0.7</v>
      </c>
      <c r="L504" s="40">
        <v>503</v>
      </c>
      <c r="M504" s="44"/>
      <c r="N504" s="45"/>
      <c r="O504" s="18">
        <v>0</v>
      </c>
      <c r="P504" s="18">
        <v>0</v>
      </c>
      <c r="Q504" s="61">
        <v>0.8</v>
      </c>
      <c r="R504" s="46"/>
    </row>
    <row r="505" spans="1:18">
      <c r="A505" s="33" t="s">
        <v>7310</v>
      </c>
      <c r="B505" s="40" t="s">
        <v>7783</v>
      </c>
      <c r="C505" s="47">
        <v>40521</v>
      </c>
      <c r="D505" s="47" t="s">
        <v>8465</v>
      </c>
      <c r="E505" s="40" t="s">
        <v>6304</v>
      </c>
      <c r="F505" s="40" t="s">
        <v>6331</v>
      </c>
      <c r="G505" s="42" t="s">
        <v>7310</v>
      </c>
      <c r="H505" s="65" t="s">
        <v>80</v>
      </c>
      <c r="J505" s="43"/>
      <c r="K505" s="61">
        <v>0.7</v>
      </c>
      <c r="L505" s="40">
        <v>504</v>
      </c>
      <c r="M505" s="44"/>
      <c r="N505" s="45"/>
      <c r="O505" s="18">
        <v>0</v>
      </c>
      <c r="P505" s="18">
        <v>0</v>
      </c>
      <c r="Q505" s="61">
        <v>0.91500000000000004</v>
      </c>
      <c r="R505" s="46"/>
    </row>
    <row r="506" spans="1:18">
      <c r="A506" s="33" t="s">
        <v>7351</v>
      </c>
      <c r="B506" s="40" t="s">
        <v>7783</v>
      </c>
      <c r="C506" s="47">
        <v>41081</v>
      </c>
      <c r="D506" s="47" t="s">
        <v>8465</v>
      </c>
      <c r="E506" s="40" t="s">
        <v>2816</v>
      </c>
      <c r="F506" s="40" t="s">
        <v>7352</v>
      </c>
      <c r="G506" s="42"/>
      <c r="H506" s="65" t="s">
        <v>67</v>
      </c>
      <c r="J506" s="43"/>
      <c r="K506" s="61">
        <v>0.6</v>
      </c>
      <c r="L506" s="40">
        <v>505</v>
      </c>
      <c r="M506" s="44"/>
      <c r="N506" s="45"/>
      <c r="O506" s="18">
        <v>0</v>
      </c>
      <c r="P506" s="18">
        <v>0</v>
      </c>
      <c r="Q506" s="61">
        <v>0.63570000000000004</v>
      </c>
      <c r="R506" s="46"/>
    </row>
    <row r="507" spans="1:18">
      <c r="A507" s="33" t="s">
        <v>4683</v>
      </c>
      <c r="B507" s="40" t="s">
        <v>7800</v>
      </c>
      <c r="C507" s="47">
        <v>39171</v>
      </c>
      <c r="D507" s="47" t="s">
        <v>8465</v>
      </c>
      <c r="E507" s="40" t="s">
        <v>3453</v>
      </c>
      <c r="F507" s="40" t="s">
        <v>3171</v>
      </c>
      <c r="G507" s="42" t="s">
        <v>4682</v>
      </c>
      <c r="H507" s="65" t="s">
        <v>1061</v>
      </c>
      <c r="J507" s="43"/>
      <c r="K507" s="61">
        <v>0.8</v>
      </c>
      <c r="L507" s="40">
        <v>506</v>
      </c>
      <c r="M507" s="44"/>
      <c r="N507" s="45">
        <f>3+42/60</f>
        <v>3.7</v>
      </c>
      <c r="O507" s="18">
        <v>0</v>
      </c>
      <c r="P507" s="18">
        <v>0</v>
      </c>
      <c r="Q507" s="61">
        <v>0.73740000000000006</v>
      </c>
      <c r="R507" s="46"/>
    </row>
    <row r="508" spans="1:18">
      <c r="A508" s="33" t="s">
        <v>7287</v>
      </c>
      <c r="B508" s="40" t="s">
        <v>7783</v>
      </c>
      <c r="C508" s="47">
        <v>40217</v>
      </c>
      <c r="D508" s="47" t="s">
        <v>8465</v>
      </c>
      <c r="E508" s="40" t="s">
        <v>1889</v>
      </c>
      <c r="F508" s="40" t="s">
        <v>1889</v>
      </c>
      <c r="G508" s="42" t="s">
        <v>1890</v>
      </c>
      <c r="H508" s="65" t="s">
        <v>171</v>
      </c>
      <c r="J508" s="43"/>
      <c r="K508" s="61">
        <v>0.8</v>
      </c>
      <c r="L508" s="40">
        <v>507</v>
      </c>
      <c r="M508" s="44"/>
      <c r="N508" s="45"/>
      <c r="O508" s="18">
        <v>0</v>
      </c>
      <c r="P508" s="18">
        <v>0</v>
      </c>
      <c r="Q508" s="61">
        <v>0.79</v>
      </c>
      <c r="R508" s="46"/>
    </row>
    <row r="509" spans="1:18" ht="25.5">
      <c r="A509" s="33" t="s">
        <v>4681</v>
      </c>
      <c r="B509" s="40" t="s">
        <v>7800</v>
      </c>
      <c r="C509" s="47">
        <v>39490</v>
      </c>
      <c r="D509" s="47" t="s">
        <v>8465</v>
      </c>
      <c r="E509" s="40" t="s">
        <v>3453</v>
      </c>
      <c r="F509" s="40" t="s">
        <v>3171</v>
      </c>
      <c r="G509" s="42" t="s">
        <v>4682</v>
      </c>
      <c r="H509" s="65" t="s">
        <v>1061</v>
      </c>
      <c r="J509" s="43"/>
      <c r="K509" s="61">
        <v>0.9</v>
      </c>
      <c r="L509" s="40">
        <v>508</v>
      </c>
      <c r="M509" s="44"/>
      <c r="N509" s="45">
        <f>3+54/60</f>
        <v>3.9</v>
      </c>
      <c r="O509" s="18">
        <v>0</v>
      </c>
      <c r="P509" s="18">
        <v>0</v>
      </c>
      <c r="Q509" s="61">
        <v>0.78900000000000003</v>
      </c>
      <c r="R509" s="46"/>
    </row>
    <row r="510" spans="1:18">
      <c r="A510" s="33" t="s">
        <v>4684</v>
      </c>
      <c r="B510" s="40" t="s">
        <v>7800</v>
      </c>
      <c r="C510" s="47">
        <v>39687</v>
      </c>
      <c r="D510" s="47" t="s">
        <v>8465</v>
      </c>
      <c r="E510" s="40" t="s">
        <v>3453</v>
      </c>
      <c r="F510" s="40" t="s">
        <v>3171</v>
      </c>
      <c r="G510" s="42" t="s">
        <v>4682</v>
      </c>
      <c r="H510" s="65" t="s">
        <v>1061</v>
      </c>
      <c r="J510" s="43"/>
      <c r="K510" s="61">
        <v>0.6</v>
      </c>
      <c r="L510" s="40">
        <v>509</v>
      </c>
      <c r="M510" s="44"/>
      <c r="N510" s="45">
        <f>3+24/60</f>
        <v>3.4</v>
      </c>
      <c r="O510" s="18">
        <v>0</v>
      </c>
      <c r="P510" s="18">
        <v>0</v>
      </c>
      <c r="Q510" s="61">
        <v>0.62570000000000003</v>
      </c>
      <c r="R510" s="46"/>
    </row>
    <row r="511" spans="1:18" ht="25.5">
      <c r="A511" s="33" t="s">
        <v>2118</v>
      </c>
      <c r="B511" s="40" t="s">
        <v>7748</v>
      </c>
      <c r="C511" s="47">
        <v>40070</v>
      </c>
      <c r="D511" s="47" t="s">
        <v>8465</v>
      </c>
      <c r="E511" s="40" t="s">
        <v>86</v>
      </c>
      <c r="F511" s="40" t="s">
        <v>1892</v>
      </c>
      <c r="G511" s="42" t="s">
        <v>1893</v>
      </c>
      <c r="H511" s="65" t="s">
        <v>149</v>
      </c>
      <c r="J511" s="43"/>
      <c r="K511" s="61">
        <v>0.7</v>
      </c>
      <c r="L511" s="40">
        <v>510</v>
      </c>
      <c r="M511" s="44"/>
      <c r="N511" s="45"/>
      <c r="O511" s="18">
        <v>0</v>
      </c>
      <c r="P511" s="18">
        <v>0</v>
      </c>
      <c r="Q511" s="61">
        <v>0.91010000000000002</v>
      </c>
      <c r="R511" s="46"/>
    </row>
    <row r="512" spans="1:18">
      <c r="A512" s="33" t="s">
        <v>6325</v>
      </c>
      <c r="B512" s="40" t="s">
        <v>7765</v>
      </c>
      <c r="C512" s="47">
        <v>40548</v>
      </c>
      <c r="D512" s="47" t="s">
        <v>8465</v>
      </c>
      <c r="E512" s="40" t="s">
        <v>3116</v>
      </c>
      <c r="F512" s="40" t="s">
        <v>9986</v>
      </c>
      <c r="G512" s="42"/>
      <c r="H512" s="65" t="s">
        <v>78</v>
      </c>
      <c r="J512" s="43"/>
      <c r="K512" s="61">
        <v>0.8</v>
      </c>
      <c r="L512" s="40">
        <v>511</v>
      </c>
      <c r="M512" s="44"/>
      <c r="N512" s="45"/>
      <c r="O512" s="18">
        <v>0</v>
      </c>
      <c r="P512" s="18">
        <v>0</v>
      </c>
      <c r="Q512" s="61">
        <v>0.81799999999999995</v>
      </c>
      <c r="R512" s="46"/>
    </row>
    <row r="513" spans="1:18">
      <c r="A513" s="33" t="s">
        <v>3749</v>
      </c>
      <c r="B513" s="40" t="s">
        <v>7765</v>
      </c>
      <c r="C513" s="47">
        <v>41136</v>
      </c>
      <c r="D513" s="47" t="s">
        <v>8465</v>
      </c>
      <c r="E513" s="40" t="s">
        <v>3116</v>
      </c>
      <c r="F513" s="40" t="s">
        <v>3750</v>
      </c>
      <c r="G513" s="42"/>
      <c r="H513" s="65" t="s">
        <v>171</v>
      </c>
      <c r="J513" s="43"/>
      <c r="K513" s="61">
        <v>0.9</v>
      </c>
      <c r="L513" s="40">
        <v>512</v>
      </c>
      <c r="M513" s="44"/>
      <c r="N513" s="45"/>
      <c r="O513" s="18">
        <v>0</v>
      </c>
      <c r="P513" s="18">
        <v>0</v>
      </c>
      <c r="Q513" s="61">
        <v>0.84089999999999998</v>
      </c>
      <c r="R513" s="46"/>
    </row>
    <row r="514" spans="1:18">
      <c r="A514" s="33" t="s">
        <v>5470</v>
      </c>
      <c r="B514" s="40" t="s">
        <v>7800</v>
      </c>
      <c r="C514" s="47">
        <v>40884</v>
      </c>
      <c r="D514" s="47" t="s">
        <v>8465</v>
      </c>
      <c r="E514" s="40" t="s">
        <v>228</v>
      </c>
      <c r="F514" s="40" t="s">
        <v>4544</v>
      </c>
      <c r="G514" s="42" t="s">
        <v>5469</v>
      </c>
      <c r="H514" s="65" t="s">
        <v>27</v>
      </c>
      <c r="J514" s="43"/>
      <c r="K514" s="61">
        <v>0.8</v>
      </c>
      <c r="L514" s="40">
        <v>513</v>
      </c>
      <c r="M514" s="44"/>
      <c r="N514" s="45">
        <f>9+18/60</f>
        <v>9.3000000000000007</v>
      </c>
      <c r="O514" s="18">
        <v>0</v>
      </c>
      <c r="P514" s="18">
        <v>0</v>
      </c>
      <c r="Q514" s="61">
        <v>0.85129999999999995</v>
      </c>
      <c r="R514" s="46"/>
    </row>
    <row r="515" spans="1:18" ht="25.5">
      <c r="A515" s="33" t="s">
        <v>616</v>
      </c>
      <c r="B515" s="40" t="s">
        <v>7736</v>
      </c>
      <c r="C515" s="47">
        <v>34548</v>
      </c>
      <c r="D515" s="47" t="s">
        <v>8465</v>
      </c>
      <c r="E515" s="40" t="s">
        <v>70</v>
      </c>
      <c r="F515" s="40" t="s">
        <v>144</v>
      </c>
      <c r="G515" s="42" t="s">
        <v>404</v>
      </c>
      <c r="H515" s="65" t="s">
        <v>21</v>
      </c>
      <c r="J515" s="43"/>
      <c r="K515" s="61">
        <v>0.8</v>
      </c>
      <c r="L515" s="40">
        <v>514</v>
      </c>
      <c r="M515" s="44"/>
      <c r="N515" s="45"/>
      <c r="O515" s="18">
        <v>0</v>
      </c>
      <c r="P515" s="18">
        <v>1</v>
      </c>
      <c r="Q515" s="61">
        <v>0.8175</v>
      </c>
      <c r="R515" s="46"/>
    </row>
    <row r="516" spans="1:18">
      <c r="A516" s="33" t="s">
        <v>3427</v>
      </c>
      <c r="B516" s="40" t="s">
        <v>7800</v>
      </c>
      <c r="C516" s="47">
        <v>40854</v>
      </c>
      <c r="D516" s="47" t="s">
        <v>8465</v>
      </c>
      <c r="E516" s="40" t="s">
        <v>1578</v>
      </c>
      <c r="F516" s="40" t="s">
        <v>4696</v>
      </c>
      <c r="G516" s="42" t="s">
        <v>3428</v>
      </c>
      <c r="H516" s="65" t="s">
        <v>151</v>
      </c>
      <c r="J516" s="43"/>
      <c r="K516" s="61">
        <v>0.9</v>
      </c>
      <c r="L516" s="40">
        <v>515</v>
      </c>
      <c r="M516" s="44"/>
      <c r="N516" s="45">
        <f>10+12/60</f>
        <v>10.199999999999999</v>
      </c>
      <c r="O516" s="18">
        <v>0</v>
      </c>
      <c r="P516" s="18">
        <v>0</v>
      </c>
      <c r="Q516" s="61">
        <v>0.89</v>
      </c>
      <c r="R516" s="46"/>
    </row>
    <row r="517" spans="1:18">
      <c r="A517" s="33" t="s">
        <v>1544</v>
      </c>
      <c r="B517" s="40" t="s">
        <v>7765</v>
      </c>
      <c r="C517" s="47">
        <v>39735</v>
      </c>
      <c r="D517" s="47" t="s">
        <v>8465</v>
      </c>
      <c r="E517" s="40" t="s">
        <v>231</v>
      </c>
      <c r="F517" s="40" t="s">
        <v>1543</v>
      </c>
      <c r="G517" s="42" t="s">
        <v>1544</v>
      </c>
      <c r="H517" s="65" t="s">
        <v>1061</v>
      </c>
      <c r="J517" s="43"/>
      <c r="K517" s="61">
        <v>0.8</v>
      </c>
      <c r="L517" s="40">
        <v>516</v>
      </c>
      <c r="M517" s="44"/>
      <c r="N517" s="45"/>
      <c r="O517" s="18">
        <v>0</v>
      </c>
      <c r="P517" s="18">
        <v>0</v>
      </c>
      <c r="Q517" s="61">
        <v>0.89070000000000005</v>
      </c>
      <c r="R517" s="46"/>
    </row>
    <row r="518" spans="1:18">
      <c r="A518" s="33" t="s">
        <v>1544</v>
      </c>
      <c r="B518" s="40" t="s">
        <v>7783</v>
      </c>
      <c r="C518" s="47">
        <v>40568</v>
      </c>
      <c r="D518" s="47" t="s">
        <v>8465</v>
      </c>
      <c r="E518" s="40" t="s">
        <v>231</v>
      </c>
      <c r="F518" s="40" t="s">
        <v>7281</v>
      </c>
      <c r="G518" s="42" t="s">
        <v>1544</v>
      </c>
      <c r="H518" s="65" t="s">
        <v>1061</v>
      </c>
      <c r="J518" s="43"/>
      <c r="K518" s="61">
        <v>0.7</v>
      </c>
      <c r="L518" s="40">
        <v>517</v>
      </c>
      <c r="M518" s="44"/>
      <c r="N518" s="45"/>
      <c r="O518" s="18">
        <v>0</v>
      </c>
      <c r="P518" s="18">
        <v>0</v>
      </c>
      <c r="Q518" s="61">
        <v>0.91669999999999996</v>
      </c>
      <c r="R518" s="46"/>
    </row>
    <row r="519" spans="1:18">
      <c r="A519" s="33" t="s">
        <v>7331</v>
      </c>
      <c r="B519" s="40" t="s">
        <v>7783</v>
      </c>
      <c r="C519" s="47">
        <v>41066</v>
      </c>
      <c r="D519" s="47" t="s">
        <v>8465</v>
      </c>
      <c r="E519" s="40" t="s">
        <v>7332</v>
      </c>
      <c r="F519" s="40" t="s">
        <v>7333</v>
      </c>
      <c r="G519" s="42"/>
      <c r="H519" s="65" t="s">
        <v>147</v>
      </c>
      <c r="J519" s="43"/>
      <c r="K519" s="61">
        <v>0.7</v>
      </c>
      <c r="L519" s="40">
        <v>518</v>
      </c>
      <c r="M519" s="44"/>
      <c r="N519" s="45"/>
      <c r="O519" s="18">
        <v>0</v>
      </c>
      <c r="P519" s="18">
        <v>0</v>
      </c>
      <c r="Q519" s="61">
        <v>0.79</v>
      </c>
      <c r="R519" s="46"/>
    </row>
    <row r="520" spans="1:18">
      <c r="A520" s="33" t="s">
        <v>5524</v>
      </c>
      <c r="B520" s="40" t="s">
        <v>7783</v>
      </c>
      <c r="C520" s="47">
        <v>40969</v>
      </c>
      <c r="D520" s="47" t="s">
        <v>8465</v>
      </c>
      <c r="E520" s="40" t="s">
        <v>5093</v>
      </c>
      <c r="F520" s="40" t="s">
        <v>5093</v>
      </c>
      <c r="G520" s="42"/>
      <c r="H520" s="65" t="s">
        <v>151</v>
      </c>
      <c r="J520" s="43"/>
      <c r="K520" s="61">
        <v>0.9</v>
      </c>
      <c r="L520" s="40">
        <v>519</v>
      </c>
      <c r="M520" s="44"/>
      <c r="N520" s="45"/>
      <c r="O520" s="18">
        <v>0</v>
      </c>
      <c r="P520" s="18">
        <v>0</v>
      </c>
      <c r="Q520" s="61">
        <v>0.83</v>
      </c>
      <c r="R520" s="46"/>
    </row>
    <row r="521" spans="1:18">
      <c r="A521" s="33" t="s">
        <v>3177</v>
      </c>
      <c r="B521" s="40" t="s">
        <v>7800</v>
      </c>
      <c r="C521" s="47">
        <v>40940</v>
      </c>
      <c r="D521" s="47" t="s">
        <v>8465</v>
      </c>
      <c r="E521" s="40" t="s">
        <v>5681</v>
      </c>
      <c r="F521" s="40" t="s">
        <v>5681</v>
      </c>
      <c r="G521" s="42" t="s">
        <v>5682</v>
      </c>
      <c r="H521" s="65" t="s">
        <v>1057</v>
      </c>
      <c r="J521" s="43"/>
      <c r="K521" s="61">
        <v>0.7</v>
      </c>
      <c r="L521" s="40">
        <v>520</v>
      </c>
      <c r="M521" s="44"/>
      <c r="N521" s="45">
        <v>2.5</v>
      </c>
      <c r="O521" s="18">
        <v>0</v>
      </c>
      <c r="P521" s="18">
        <v>0</v>
      </c>
      <c r="Q521" s="61">
        <v>0.68859999999999999</v>
      </c>
      <c r="R521" s="46"/>
    </row>
    <row r="522" spans="1:18" ht="30">
      <c r="A522" s="33" t="s">
        <v>9987</v>
      </c>
      <c r="B522" s="40" t="s">
        <v>7800</v>
      </c>
      <c r="C522" s="47">
        <v>41152</v>
      </c>
      <c r="D522" s="47" t="s">
        <v>8465</v>
      </c>
      <c r="E522" s="40" t="s">
        <v>1693</v>
      </c>
      <c r="F522" s="40" t="s">
        <v>1693</v>
      </c>
      <c r="G522" s="42"/>
      <c r="H522" s="65" t="s">
        <v>2820</v>
      </c>
      <c r="J522" s="43" t="s">
        <v>5276</v>
      </c>
      <c r="K522" s="61">
        <v>0.3</v>
      </c>
      <c r="L522" s="40">
        <v>521</v>
      </c>
      <c r="M522" s="44"/>
      <c r="N522" s="45"/>
      <c r="O522" s="18">
        <v>0</v>
      </c>
      <c r="P522" s="18">
        <v>0</v>
      </c>
      <c r="Q522" s="61"/>
      <c r="R522" s="46"/>
    </row>
    <row r="523" spans="1:18">
      <c r="A523" s="33" t="s">
        <v>4069</v>
      </c>
      <c r="B523" s="40" t="s">
        <v>7800</v>
      </c>
      <c r="C523" s="47">
        <v>36118</v>
      </c>
      <c r="D523" s="47" t="s">
        <v>8465</v>
      </c>
      <c r="E523" s="40" t="s">
        <v>1496</v>
      </c>
      <c r="F523" s="40" t="s">
        <v>5706</v>
      </c>
      <c r="G523" s="42" t="s">
        <v>4069</v>
      </c>
      <c r="H523" s="65" t="s">
        <v>1050</v>
      </c>
      <c r="J523" s="43"/>
      <c r="K523" s="61">
        <v>0.8</v>
      </c>
      <c r="L523" s="40">
        <v>522</v>
      </c>
      <c r="M523" s="44">
        <v>41169</v>
      </c>
      <c r="N523" s="45">
        <f>15+18/60</f>
        <v>15.3</v>
      </c>
      <c r="O523" s="18">
        <v>0</v>
      </c>
      <c r="P523" s="18">
        <v>0</v>
      </c>
      <c r="Q523" s="61">
        <v>0.94020000000000004</v>
      </c>
      <c r="R523" s="46"/>
    </row>
    <row r="524" spans="1:18">
      <c r="A524" s="33" t="s">
        <v>4977</v>
      </c>
      <c r="B524" s="40" t="s">
        <v>7800</v>
      </c>
      <c r="C524" s="47">
        <v>40252</v>
      </c>
      <c r="D524" s="47" t="s">
        <v>8465</v>
      </c>
      <c r="E524" s="40" t="s">
        <v>9988</v>
      </c>
      <c r="F524" s="40" t="s">
        <v>9988</v>
      </c>
      <c r="G524" s="42"/>
      <c r="H524" s="65" t="s">
        <v>31</v>
      </c>
      <c r="J524" s="43"/>
      <c r="K524" s="61">
        <v>0.9</v>
      </c>
      <c r="L524" s="40">
        <v>523</v>
      </c>
      <c r="M524" s="44"/>
      <c r="N524" s="45">
        <f>2+24/60</f>
        <v>2.4</v>
      </c>
      <c r="O524" s="18">
        <v>0</v>
      </c>
      <c r="P524" s="18">
        <v>0</v>
      </c>
      <c r="Q524" s="61">
        <v>0.8508</v>
      </c>
      <c r="R524" s="46"/>
    </row>
    <row r="525" spans="1:18">
      <c r="A525" s="33" t="s">
        <v>4860</v>
      </c>
      <c r="B525" s="40" t="s">
        <v>7800</v>
      </c>
      <c r="C525" s="47">
        <v>40862</v>
      </c>
      <c r="D525" s="47" t="s">
        <v>8465</v>
      </c>
      <c r="E525" s="40" t="s">
        <v>4861</v>
      </c>
      <c r="F525" s="40" t="s">
        <v>4861</v>
      </c>
      <c r="G525" s="42" t="s">
        <v>4860</v>
      </c>
      <c r="H525" s="65" t="s">
        <v>56</v>
      </c>
      <c r="J525" s="43"/>
      <c r="K525" s="61">
        <v>0.8</v>
      </c>
      <c r="L525" s="40">
        <v>524</v>
      </c>
      <c r="M525" s="44"/>
      <c r="N525" s="45">
        <f>4+24/60</f>
        <v>4.4000000000000004</v>
      </c>
      <c r="O525" s="18">
        <v>0</v>
      </c>
      <c r="P525" s="18">
        <v>0</v>
      </c>
      <c r="Q525" s="61">
        <v>0.77600000000000002</v>
      </c>
      <c r="R525" s="46"/>
    </row>
    <row r="526" spans="1:18">
      <c r="A526" s="33" t="s">
        <v>3347</v>
      </c>
      <c r="B526" s="40" t="s">
        <v>7800</v>
      </c>
      <c r="C526" s="47">
        <v>40774</v>
      </c>
      <c r="D526" s="47" t="s">
        <v>8465</v>
      </c>
      <c r="E526" s="40" t="s">
        <v>3348</v>
      </c>
      <c r="F526" s="40" t="s">
        <v>3348</v>
      </c>
      <c r="G526" s="42" t="s">
        <v>3347</v>
      </c>
      <c r="H526" s="65" t="s">
        <v>27</v>
      </c>
      <c r="J526" s="43"/>
      <c r="K526" s="61">
        <v>0.8</v>
      </c>
      <c r="L526" s="40">
        <v>525</v>
      </c>
      <c r="M526" s="44"/>
      <c r="N526" s="45">
        <f>4+13/60</f>
        <v>4.2166666666666668</v>
      </c>
      <c r="O526" s="18">
        <v>0</v>
      </c>
      <c r="P526" s="18">
        <v>0</v>
      </c>
      <c r="Q526" s="61">
        <v>0.75</v>
      </c>
      <c r="R526" s="46"/>
    </row>
    <row r="527" spans="1:18" ht="25.5">
      <c r="A527" s="33" t="s">
        <v>921</v>
      </c>
      <c r="B527" s="40" t="s">
        <v>7740</v>
      </c>
      <c r="C527" s="47">
        <v>37430</v>
      </c>
      <c r="D527" s="47" t="s">
        <v>8465</v>
      </c>
      <c r="E527" s="40" t="s">
        <v>86</v>
      </c>
      <c r="F527" s="40" t="s">
        <v>1489</v>
      </c>
      <c r="G527" s="42"/>
      <c r="H527" s="65" t="s">
        <v>1061</v>
      </c>
      <c r="J527" s="43"/>
      <c r="K527" s="61">
        <v>0.6</v>
      </c>
      <c r="L527" s="40">
        <v>526</v>
      </c>
      <c r="M527" s="44"/>
      <c r="N527" s="45"/>
      <c r="O527" s="18">
        <v>0</v>
      </c>
      <c r="P527" s="18">
        <v>1</v>
      </c>
      <c r="Q527" s="61">
        <v>0.90580000000000005</v>
      </c>
      <c r="R527" s="46"/>
    </row>
    <row r="528" spans="1:18" ht="25.5">
      <c r="A528" s="33" t="s">
        <v>5225</v>
      </c>
      <c r="B528" s="40" t="s">
        <v>7800</v>
      </c>
      <c r="C528" s="47">
        <v>39972</v>
      </c>
      <c r="D528" s="47" t="s">
        <v>8465</v>
      </c>
      <c r="E528" s="40" t="s">
        <v>5223</v>
      </c>
      <c r="F528" s="40" t="s">
        <v>5223</v>
      </c>
      <c r="G528" s="42" t="s">
        <v>5224</v>
      </c>
      <c r="H528" s="65" t="s">
        <v>61</v>
      </c>
      <c r="J528" s="43"/>
      <c r="K528" s="61">
        <v>0.6</v>
      </c>
      <c r="L528" s="40">
        <v>527</v>
      </c>
      <c r="M528" s="44"/>
      <c r="N528" s="45">
        <f>5+12/60</f>
        <v>5.2</v>
      </c>
      <c r="O528" s="18">
        <v>0</v>
      </c>
      <c r="P528" s="18">
        <v>0</v>
      </c>
      <c r="Q528" s="61">
        <v>0.8</v>
      </c>
      <c r="R528" s="46"/>
    </row>
    <row r="529" spans="1:18" ht="25.5">
      <c r="A529" s="33" t="s">
        <v>4471</v>
      </c>
      <c r="B529" s="40" t="s">
        <v>7800</v>
      </c>
      <c r="C529" s="47">
        <v>40366</v>
      </c>
      <c r="D529" s="47" t="s">
        <v>8465</v>
      </c>
      <c r="E529" s="40" t="s">
        <v>1284</v>
      </c>
      <c r="F529" s="40" t="s">
        <v>1284</v>
      </c>
      <c r="G529" s="42" t="s">
        <v>4472</v>
      </c>
      <c r="H529" s="65" t="s">
        <v>67</v>
      </c>
      <c r="J529" s="43"/>
      <c r="K529" s="61">
        <v>0.7</v>
      </c>
      <c r="L529" s="40">
        <v>528</v>
      </c>
      <c r="M529" s="44"/>
      <c r="N529" s="45">
        <f>6+12/60</f>
        <v>6.2</v>
      </c>
      <c r="O529" s="18">
        <v>0</v>
      </c>
      <c r="P529" s="18">
        <v>0</v>
      </c>
      <c r="Q529" s="61">
        <v>0.87580000000000002</v>
      </c>
      <c r="R529" s="46"/>
    </row>
    <row r="530" spans="1:18">
      <c r="A530" s="33" t="s">
        <v>3812</v>
      </c>
      <c r="B530" s="40" t="s">
        <v>7800</v>
      </c>
      <c r="C530" s="47">
        <v>40849</v>
      </c>
      <c r="D530" s="47" t="s">
        <v>8465</v>
      </c>
      <c r="E530" s="40" t="s">
        <v>6447</v>
      </c>
      <c r="F530" s="40" t="s">
        <v>6447</v>
      </c>
      <c r="G530" s="42" t="s">
        <v>3812</v>
      </c>
      <c r="H530" s="65" t="s">
        <v>27</v>
      </c>
      <c r="J530" s="43"/>
      <c r="K530" s="61">
        <v>0.8</v>
      </c>
      <c r="L530" s="40">
        <v>529</v>
      </c>
      <c r="M530" s="44"/>
      <c r="N530" s="45"/>
      <c r="O530" s="18">
        <v>0</v>
      </c>
      <c r="P530" s="18">
        <v>0</v>
      </c>
      <c r="Q530" s="61">
        <v>0.8</v>
      </c>
      <c r="R530" s="46"/>
    </row>
    <row r="531" spans="1:18">
      <c r="A531" s="33" t="s">
        <v>5636</v>
      </c>
      <c r="B531" s="40" t="s">
        <v>7800</v>
      </c>
      <c r="C531" s="47">
        <v>39445</v>
      </c>
      <c r="D531" s="47" t="s">
        <v>8465</v>
      </c>
      <c r="E531" s="40" t="s">
        <v>9989</v>
      </c>
      <c r="F531" s="40" t="s">
        <v>9989</v>
      </c>
      <c r="G531" s="42" t="s">
        <v>5636</v>
      </c>
      <c r="H531" s="65" t="s">
        <v>2138</v>
      </c>
      <c r="J531" s="43"/>
      <c r="K531" s="61">
        <v>0.7</v>
      </c>
      <c r="L531" s="40">
        <v>530</v>
      </c>
      <c r="M531" s="44"/>
      <c r="N531" s="45">
        <f>3+18/60</f>
        <v>3.3</v>
      </c>
      <c r="O531" s="18">
        <v>0</v>
      </c>
      <c r="P531" s="18">
        <v>0</v>
      </c>
      <c r="Q531" s="61"/>
      <c r="R531" s="46"/>
    </row>
    <row r="532" spans="1:18">
      <c r="A532" s="33" t="s">
        <v>5444</v>
      </c>
      <c r="B532" s="40" t="s">
        <v>7800</v>
      </c>
      <c r="C532" s="47">
        <v>41172</v>
      </c>
      <c r="D532" s="47" t="s">
        <v>8465</v>
      </c>
      <c r="E532" s="40" t="s">
        <v>5443</v>
      </c>
      <c r="F532" s="40" t="s">
        <v>5443</v>
      </c>
      <c r="G532" s="42" t="s">
        <v>5442</v>
      </c>
      <c r="H532" s="65" t="s">
        <v>171</v>
      </c>
      <c r="J532" s="43"/>
      <c r="K532" s="61">
        <v>0.9</v>
      </c>
      <c r="L532" s="40">
        <v>531</v>
      </c>
      <c r="M532" s="44"/>
      <c r="N532" s="45">
        <f>37.5</f>
        <v>37.5</v>
      </c>
      <c r="O532" s="18">
        <v>0</v>
      </c>
      <c r="P532" s="18">
        <v>0</v>
      </c>
      <c r="Q532" s="61">
        <v>0.88580000000000003</v>
      </c>
      <c r="R532" s="46"/>
    </row>
    <row r="533" spans="1:18">
      <c r="A533" s="33" t="s">
        <v>3594</v>
      </c>
      <c r="B533" s="40" t="s">
        <v>7800</v>
      </c>
      <c r="C533" s="47">
        <v>40568</v>
      </c>
      <c r="D533" s="47" t="s">
        <v>8465</v>
      </c>
      <c r="E533" s="40" t="s">
        <v>231</v>
      </c>
      <c r="F533" s="40" t="s">
        <v>1543</v>
      </c>
      <c r="G533" s="42" t="s">
        <v>1544</v>
      </c>
      <c r="H533" s="65" t="s">
        <v>1061</v>
      </c>
      <c r="J533" s="43"/>
      <c r="K533" s="61">
        <v>0.9</v>
      </c>
      <c r="L533" s="40">
        <v>532</v>
      </c>
      <c r="M533" s="44"/>
      <c r="N533" s="45">
        <f>10+18/60</f>
        <v>10.3</v>
      </c>
      <c r="O533" s="18">
        <v>0</v>
      </c>
      <c r="P533" s="18">
        <v>0</v>
      </c>
      <c r="Q533" s="61">
        <v>0.86670000000000003</v>
      </c>
      <c r="R533" s="46"/>
    </row>
    <row r="534" spans="1:18">
      <c r="A534" s="33" t="s">
        <v>4397</v>
      </c>
      <c r="B534" s="40" t="s">
        <v>7765</v>
      </c>
      <c r="C534" s="47">
        <v>41159</v>
      </c>
      <c r="D534" s="47" t="s">
        <v>8465</v>
      </c>
      <c r="E534" s="40" t="s">
        <v>3116</v>
      </c>
      <c r="F534" s="40" t="s">
        <v>3521</v>
      </c>
      <c r="G534" s="42"/>
      <c r="H534" s="65" t="s">
        <v>245</v>
      </c>
      <c r="J534" s="43"/>
      <c r="K534" s="61">
        <v>0.9</v>
      </c>
      <c r="L534" s="40">
        <v>533</v>
      </c>
      <c r="M534" s="44"/>
      <c r="N534" s="45"/>
      <c r="O534" s="18">
        <v>0</v>
      </c>
      <c r="P534" s="18">
        <v>0</v>
      </c>
      <c r="Q534" s="61">
        <v>0.90429999999999999</v>
      </c>
      <c r="R534" s="46"/>
    </row>
    <row r="535" spans="1:18">
      <c r="A535" s="33" t="s">
        <v>3149</v>
      </c>
      <c r="B535" s="40" t="s">
        <v>7800</v>
      </c>
      <c r="C535" s="47">
        <v>40378</v>
      </c>
      <c r="D535" s="47" t="s">
        <v>8465</v>
      </c>
      <c r="E535" s="40" t="s">
        <v>5706</v>
      </c>
      <c r="F535" s="40" t="s">
        <v>5706</v>
      </c>
      <c r="G535" s="42"/>
      <c r="H535" s="65" t="s">
        <v>2138</v>
      </c>
      <c r="J535" s="43"/>
      <c r="K535" s="61">
        <v>0.8</v>
      </c>
      <c r="L535" s="40">
        <v>534</v>
      </c>
      <c r="M535" s="44"/>
      <c r="N535" s="45">
        <f>5+6/60</f>
        <v>5.0999999999999996</v>
      </c>
      <c r="O535" s="18">
        <v>0</v>
      </c>
      <c r="P535" s="18">
        <v>0</v>
      </c>
      <c r="Q535" s="61">
        <v>0.78800000000000003</v>
      </c>
      <c r="R535" s="46"/>
    </row>
    <row r="536" spans="1:18">
      <c r="A536" s="33" t="s">
        <v>7286</v>
      </c>
      <c r="B536" s="40" t="s">
        <v>7783</v>
      </c>
      <c r="C536" s="47">
        <v>41198</v>
      </c>
      <c r="D536" s="47" t="s">
        <v>8465</v>
      </c>
      <c r="E536" s="40" t="s">
        <v>2824</v>
      </c>
      <c r="F536" s="40" t="s">
        <v>2824</v>
      </c>
      <c r="G536" s="42"/>
      <c r="H536" s="65" t="s">
        <v>2820</v>
      </c>
      <c r="J536" s="43"/>
      <c r="K536" s="61">
        <v>0.6</v>
      </c>
      <c r="L536" s="40">
        <v>535</v>
      </c>
      <c r="M536" s="44"/>
      <c r="N536" s="45"/>
      <c r="O536" s="18">
        <v>0</v>
      </c>
      <c r="P536" s="18">
        <v>0</v>
      </c>
      <c r="Q536" s="61">
        <v>0.7</v>
      </c>
      <c r="R536" s="46"/>
    </row>
    <row r="537" spans="1:18" ht="25.5">
      <c r="A537" s="33" t="s">
        <v>3174</v>
      </c>
      <c r="B537" s="40" t="s">
        <v>7800</v>
      </c>
      <c r="C537" s="47">
        <v>40429</v>
      </c>
      <c r="D537" s="47" t="s">
        <v>8465</v>
      </c>
      <c r="E537" s="40" t="s">
        <v>3171</v>
      </c>
      <c r="F537" s="40" t="s">
        <v>3171</v>
      </c>
      <c r="G537" s="42" t="s">
        <v>3173</v>
      </c>
      <c r="H537" s="65" t="s">
        <v>1061</v>
      </c>
      <c r="J537" s="43"/>
      <c r="K537" s="61">
        <v>0.9</v>
      </c>
      <c r="L537" s="40">
        <v>536</v>
      </c>
      <c r="M537" s="44"/>
      <c r="N537" s="45">
        <f>6+48/60</f>
        <v>6.8</v>
      </c>
      <c r="O537" s="18">
        <v>0</v>
      </c>
      <c r="P537" s="18">
        <v>0</v>
      </c>
      <c r="Q537" s="61">
        <v>0.8609</v>
      </c>
      <c r="R537" s="46"/>
    </row>
    <row r="538" spans="1:18">
      <c r="A538" s="33" t="s">
        <v>4130</v>
      </c>
      <c r="B538" s="40" t="s">
        <v>7800</v>
      </c>
      <c r="C538" s="47">
        <v>41061</v>
      </c>
      <c r="D538" s="47" t="s">
        <v>8465</v>
      </c>
      <c r="E538" s="40" t="s">
        <v>4131</v>
      </c>
      <c r="F538" s="40" t="s">
        <v>4131</v>
      </c>
      <c r="G538" s="42"/>
      <c r="H538" s="65" t="s">
        <v>1061</v>
      </c>
      <c r="J538" s="43"/>
      <c r="K538" s="61">
        <v>0.6</v>
      </c>
      <c r="L538" s="40">
        <v>537</v>
      </c>
      <c r="M538" s="44"/>
      <c r="N538" s="45">
        <f>1+18/60</f>
        <v>1.3</v>
      </c>
      <c r="O538" s="18">
        <v>0</v>
      </c>
      <c r="P538" s="18">
        <v>0</v>
      </c>
      <c r="Q538" s="61">
        <v>0.69169999999999998</v>
      </c>
      <c r="R538" s="46"/>
    </row>
    <row r="539" spans="1:18" ht="30">
      <c r="A539" s="33" t="s">
        <v>9990</v>
      </c>
      <c r="B539" s="40" t="s">
        <v>7800</v>
      </c>
      <c r="C539" s="47">
        <v>39022</v>
      </c>
      <c r="D539" s="47" t="s">
        <v>8465</v>
      </c>
      <c r="E539" s="40" t="s">
        <v>3246</v>
      </c>
      <c r="F539" s="40" t="s">
        <v>3246</v>
      </c>
      <c r="G539" s="42" t="s">
        <v>4908</v>
      </c>
      <c r="H539" s="65" t="s">
        <v>67</v>
      </c>
      <c r="J539" s="43" t="s">
        <v>4909</v>
      </c>
      <c r="K539" s="61">
        <v>0.8</v>
      </c>
      <c r="L539" s="40">
        <v>538</v>
      </c>
      <c r="M539" s="44"/>
      <c r="N539" s="45">
        <f>2+12/60</f>
        <v>2.2000000000000002</v>
      </c>
      <c r="O539" s="18">
        <v>0</v>
      </c>
      <c r="P539" s="18">
        <v>0</v>
      </c>
      <c r="Q539" s="61">
        <v>0.81200000000000006</v>
      </c>
      <c r="R539" s="46"/>
    </row>
    <row r="540" spans="1:18" ht="25.5">
      <c r="A540" s="33" t="s">
        <v>7359</v>
      </c>
      <c r="B540" s="40" t="s">
        <v>7783</v>
      </c>
      <c r="C540" s="47">
        <v>41180</v>
      </c>
      <c r="D540" s="47" t="s">
        <v>8465</v>
      </c>
      <c r="E540" s="40" t="s">
        <v>7360</v>
      </c>
      <c r="F540" s="40" t="s">
        <v>7360</v>
      </c>
      <c r="G540" s="42"/>
      <c r="H540" s="65" t="s">
        <v>27</v>
      </c>
      <c r="J540" s="43"/>
      <c r="K540" s="61">
        <v>0.8</v>
      </c>
      <c r="L540" s="40">
        <v>539</v>
      </c>
      <c r="M540" s="44"/>
      <c r="N540" s="45"/>
      <c r="O540" s="18">
        <v>0</v>
      </c>
      <c r="P540" s="18">
        <v>0</v>
      </c>
      <c r="Q540" s="61">
        <v>0.875</v>
      </c>
      <c r="R540" s="46"/>
    </row>
    <row r="541" spans="1:18" ht="25.5">
      <c r="A541" s="33" t="s">
        <v>7320</v>
      </c>
      <c r="B541" s="40" t="s">
        <v>7783</v>
      </c>
      <c r="C541" s="47">
        <v>41200</v>
      </c>
      <c r="D541" s="47" t="s">
        <v>8465</v>
      </c>
      <c r="E541" s="40" t="s">
        <v>7318</v>
      </c>
      <c r="F541" s="40" t="s">
        <v>7318</v>
      </c>
      <c r="G541" s="42" t="s">
        <v>7319</v>
      </c>
      <c r="H541" s="65" t="s">
        <v>64</v>
      </c>
      <c r="J541" s="43"/>
      <c r="K541" s="61">
        <v>0.7</v>
      </c>
      <c r="L541" s="40">
        <v>540</v>
      </c>
      <c r="M541" s="44"/>
      <c r="N541" s="45"/>
      <c r="O541" s="18">
        <v>0</v>
      </c>
      <c r="P541" s="18">
        <v>0</v>
      </c>
      <c r="Q541" s="61">
        <v>0.7</v>
      </c>
      <c r="R541" s="46"/>
    </row>
    <row r="542" spans="1:18">
      <c r="A542" s="33" t="s">
        <v>7319</v>
      </c>
      <c r="B542" s="40" t="s">
        <v>7783</v>
      </c>
      <c r="C542" s="47">
        <v>41143</v>
      </c>
      <c r="D542" s="47" t="s">
        <v>8465</v>
      </c>
      <c r="E542" s="40" t="s">
        <v>7318</v>
      </c>
      <c r="F542" s="40" t="s">
        <v>7318</v>
      </c>
      <c r="G542" s="42" t="s">
        <v>7319</v>
      </c>
      <c r="H542" s="65" t="s">
        <v>64</v>
      </c>
      <c r="J542" s="43"/>
      <c r="K542" s="61">
        <v>0.8</v>
      </c>
      <c r="L542" s="40">
        <v>541</v>
      </c>
      <c r="M542" s="44"/>
      <c r="N542" s="45"/>
      <c r="O542" s="18">
        <v>0</v>
      </c>
      <c r="P542" s="18">
        <v>0</v>
      </c>
      <c r="Q542" s="61">
        <v>0.88570000000000004</v>
      </c>
      <c r="R542" s="46"/>
    </row>
    <row r="543" spans="1:18" ht="25.5">
      <c r="A543" s="33" t="s">
        <v>4102</v>
      </c>
      <c r="B543" s="40" t="s">
        <v>7800</v>
      </c>
      <c r="C543" s="47">
        <v>41185</v>
      </c>
      <c r="D543" s="47" t="s">
        <v>8465</v>
      </c>
      <c r="E543" s="40" t="s">
        <v>455</v>
      </c>
      <c r="F543" s="40" t="s">
        <v>2137</v>
      </c>
      <c r="G543" s="42"/>
      <c r="H543" s="65" t="s">
        <v>56</v>
      </c>
      <c r="J543" s="43"/>
      <c r="K543" s="61">
        <v>0.8</v>
      </c>
      <c r="L543" s="40">
        <v>542</v>
      </c>
      <c r="M543" s="44"/>
      <c r="N543" s="45">
        <f>9.1</f>
        <v>9.1</v>
      </c>
      <c r="O543" s="18">
        <v>0</v>
      </c>
      <c r="P543" s="18">
        <v>0</v>
      </c>
      <c r="Q543" s="61">
        <v>0.69</v>
      </c>
      <c r="R543" s="46"/>
    </row>
    <row r="544" spans="1:18">
      <c r="A544" s="33" t="s">
        <v>7316</v>
      </c>
      <c r="B544" s="40" t="s">
        <v>7783</v>
      </c>
      <c r="C544" s="47">
        <v>40764</v>
      </c>
      <c r="D544" s="47" t="s">
        <v>8465</v>
      </c>
      <c r="E544" s="40" t="s">
        <v>7279</v>
      </c>
      <c r="F544" s="40" t="s">
        <v>7279</v>
      </c>
      <c r="G544" s="42"/>
      <c r="H544" s="65" t="s">
        <v>1334</v>
      </c>
      <c r="J544" s="43"/>
      <c r="K544" s="61">
        <v>0.9</v>
      </c>
      <c r="L544" s="40">
        <v>543</v>
      </c>
      <c r="M544" s="44"/>
      <c r="N544" s="45"/>
      <c r="O544" s="18">
        <v>0</v>
      </c>
      <c r="P544" s="18">
        <v>0</v>
      </c>
      <c r="Q544" s="61">
        <v>0.8</v>
      </c>
      <c r="R544" s="46"/>
    </row>
    <row r="545" spans="1:18">
      <c r="A545" s="33" t="s">
        <v>3897</v>
      </c>
      <c r="B545" s="40" t="s">
        <v>7800</v>
      </c>
      <c r="C545" s="47">
        <v>40848</v>
      </c>
      <c r="D545" s="47" t="s">
        <v>8465</v>
      </c>
      <c r="E545" s="40" t="s">
        <v>3061</v>
      </c>
      <c r="F545" s="40" t="s">
        <v>3061</v>
      </c>
      <c r="G545" s="42" t="s">
        <v>3897</v>
      </c>
      <c r="H545" s="65" t="s">
        <v>2820</v>
      </c>
      <c r="J545" s="43"/>
      <c r="K545" s="61">
        <v>0.9</v>
      </c>
      <c r="L545" s="40">
        <v>544</v>
      </c>
      <c r="M545" s="44"/>
      <c r="N545" s="45">
        <f>3+48/60</f>
        <v>3.8</v>
      </c>
      <c r="O545" s="18">
        <v>0</v>
      </c>
      <c r="P545" s="18">
        <v>0</v>
      </c>
      <c r="Q545" s="61">
        <v>0.82589999999999997</v>
      </c>
      <c r="R545" s="46"/>
    </row>
    <row r="546" spans="1:18">
      <c r="A546" s="33" t="s">
        <v>7329</v>
      </c>
      <c r="B546" s="40" t="s">
        <v>7783</v>
      </c>
      <c r="C546" s="47">
        <v>41192</v>
      </c>
      <c r="D546" s="47" t="s">
        <v>8465</v>
      </c>
      <c r="E546" s="40" t="s">
        <v>7330</v>
      </c>
      <c r="F546" s="40" t="s">
        <v>7330</v>
      </c>
      <c r="G546" s="42"/>
      <c r="H546" s="65" t="s">
        <v>1089</v>
      </c>
      <c r="J546" s="43"/>
      <c r="K546" s="61">
        <v>0.8</v>
      </c>
      <c r="L546" s="40">
        <v>545</v>
      </c>
      <c r="M546" s="44"/>
      <c r="N546" s="45"/>
      <c r="O546" s="18">
        <v>0</v>
      </c>
      <c r="P546" s="18">
        <v>0</v>
      </c>
      <c r="Q546" s="61">
        <v>0.83169999999999999</v>
      </c>
      <c r="R546" s="46"/>
    </row>
    <row r="547" spans="1:18" ht="25.5">
      <c r="A547" s="33" t="s">
        <v>4340</v>
      </c>
      <c r="B547" s="40" t="s">
        <v>7800</v>
      </c>
      <c r="C547" s="47">
        <v>41022</v>
      </c>
      <c r="D547" s="47" t="s">
        <v>8465</v>
      </c>
      <c r="E547" s="40" t="s">
        <v>4341</v>
      </c>
      <c r="F547" s="40" t="s">
        <v>4341</v>
      </c>
      <c r="G547" s="42"/>
      <c r="H547" s="65" t="s">
        <v>1061</v>
      </c>
      <c r="J547" s="43"/>
      <c r="K547" s="61">
        <v>0.7</v>
      </c>
      <c r="L547" s="40">
        <v>546</v>
      </c>
      <c r="M547" s="44"/>
      <c r="N547" s="45">
        <f>7+18/60</f>
        <v>7.3</v>
      </c>
      <c r="O547" s="18">
        <v>0</v>
      </c>
      <c r="P547" s="18">
        <v>0</v>
      </c>
      <c r="Q547" s="61">
        <v>0.80620000000000003</v>
      </c>
      <c r="R547" s="46"/>
    </row>
    <row r="548" spans="1:18">
      <c r="A548" s="33" t="s">
        <v>3832</v>
      </c>
      <c r="B548" s="40" t="s">
        <v>7800</v>
      </c>
      <c r="C548" s="47">
        <v>39811</v>
      </c>
      <c r="D548" s="47" t="s">
        <v>8465</v>
      </c>
      <c r="E548" s="40" t="s">
        <v>3833</v>
      </c>
      <c r="F548" s="40" t="s">
        <v>3833</v>
      </c>
      <c r="G548" s="42"/>
      <c r="H548" s="65" t="s">
        <v>2820</v>
      </c>
      <c r="J548" s="43"/>
      <c r="K548" s="61">
        <v>0.6</v>
      </c>
      <c r="L548" s="40">
        <v>547</v>
      </c>
      <c r="M548" s="44"/>
      <c r="N548" s="45">
        <f>1+36/60</f>
        <v>1.6</v>
      </c>
      <c r="O548" s="18">
        <v>0</v>
      </c>
      <c r="P548" s="18">
        <v>0</v>
      </c>
      <c r="Q548" s="61">
        <v>0.79</v>
      </c>
      <c r="R548" s="46"/>
    </row>
    <row r="549" spans="1:18" ht="25.5">
      <c r="A549" s="33" t="s">
        <v>898</v>
      </c>
      <c r="B549" s="40" t="s">
        <v>7739</v>
      </c>
      <c r="C549" s="47">
        <v>36825</v>
      </c>
      <c r="D549" s="47" t="s">
        <v>8465</v>
      </c>
      <c r="E549" s="40" t="s">
        <v>86</v>
      </c>
      <c r="F549" s="40" t="s">
        <v>87</v>
      </c>
      <c r="G549" s="42" t="s">
        <v>85</v>
      </c>
      <c r="H549" s="65" t="s">
        <v>80</v>
      </c>
      <c r="J549" s="43"/>
      <c r="K549" s="61">
        <v>0.8</v>
      </c>
      <c r="L549" s="40">
        <v>548</v>
      </c>
      <c r="M549" s="44"/>
      <c r="N549" s="45"/>
      <c r="O549" s="18">
        <v>0</v>
      </c>
      <c r="P549" s="18">
        <v>1</v>
      </c>
      <c r="Q549" s="61">
        <v>0.91949999999999998</v>
      </c>
      <c r="R549" s="46"/>
    </row>
    <row r="550" spans="1:18">
      <c r="A550" s="33" t="s">
        <v>899</v>
      </c>
      <c r="B550" s="40" t="s">
        <v>7739</v>
      </c>
      <c r="C550" s="47">
        <v>36955</v>
      </c>
      <c r="D550" s="47" t="s">
        <v>8465</v>
      </c>
      <c r="E550" s="40" t="s">
        <v>163</v>
      </c>
      <c r="F550" s="40" t="s">
        <v>163</v>
      </c>
      <c r="G550" s="42" t="s">
        <v>1483</v>
      </c>
      <c r="H550" s="65" t="s">
        <v>1040</v>
      </c>
      <c r="J550" s="43"/>
      <c r="K550" s="61">
        <v>0.7</v>
      </c>
      <c r="L550" s="40">
        <v>549</v>
      </c>
      <c r="M550" s="44"/>
      <c r="N550" s="45"/>
      <c r="O550" s="18">
        <v>0</v>
      </c>
      <c r="P550" s="18">
        <v>1</v>
      </c>
      <c r="Q550" s="61">
        <v>0.89280000000000004</v>
      </c>
      <c r="R550" s="46"/>
    </row>
    <row r="551" spans="1:18">
      <c r="A551" s="33" t="s">
        <v>7337</v>
      </c>
      <c r="B551" s="40" t="s">
        <v>7783</v>
      </c>
      <c r="C551" s="47">
        <v>41172</v>
      </c>
      <c r="D551" s="47" t="s">
        <v>8465</v>
      </c>
      <c r="E551" s="40" t="s">
        <v>1047</v>
      </c>
      <c r="F551" s="40" t="s">
        <v>1047</v>
      </c>
      <c r="G551" s="42" t="s">
        <v>1477</v>
      </c>
      <c r="H551" s="65" t="s">
        <v>1089</v>
      </c>
      <c r="J551" s="43"/>
      <c r="K551" s="61">
        <v>0.9</v>
      </c>
      <c r="L551" s="40">
        <v>550</v>
      </c>
      <c r="M551" s="44"/>
      <c r="N551" s="45"/>
      <c r="O551" s="18">
        <v>0</v>
      </c>
      <c r="P551" s="18">
        <v>0</v>
      </c>
      <c r="Q551" s="61">
        <v>0.86799999999999999</v>
      </c>
      <c r="R551" s="46"/>
    </row>
    <row r="552" spans="1:18">
      <c r="A552" s="33" t="s">
        <v>7291</v>
      </c>
      <c r="B552" s="40" t="s">
        <v>7783</v>
      </c>
      <c r="C552" s="47">
        <v>41227</v>
      </c>
      <c r="D552" s="47" t="s">
        <v>8465</v>
      </c>
      <c r="E552" s="40" t="s">
        <v>7292</v>
      </c>
      <c r="F552" s="40" t="s">
        <v>7292</v>
      </c>
      <c r="G552" s="42"/>
      <c r="H552" s="65" t="s">
        <v>78</v>
      </c>
      <c r="J552" s="43"/>
      <c r="K552" s="61">
        <v>0.7</v>
      </c>
      <c r="L552" s="40">
        <v>551</v>
      </c>
      <c r="M552" s="44"/>
      <c r="N552" s="45"/>
      <c r="O552" s="18">
        <v>0</v>
      </c>
      <c r="P552" s="18">
        <v>0</v>
      </c>
      <c r="Q552" s="61">
        <v>0.81430000000000002</v>
      </c>
      <c r="R552" s="46"/>
    </row>
    <row r="553" spans="1:18" ht="25.5">
      <c r="A553" s="33" t="s">
        <v>1776</v>
      </c>
      <c r="B553" s="40" t="s">
        <v>7745</v>
      </c>
      <c r="C553" s="47">
        <v>34406</v>
      </c>
      <c r="D553" s="47" t="s">
        <v>8465</v>
      </c>
      <c r="E553" s="40" t="s">
        <v>86</v>
      </c>
      <c r="F553" s="40" t="s">
        <v>142</v>
      </c>
      <c r="G553" s="42" t="s">
        <v>1155</v>
      </c>
      <c r="H553" s="65" t="s">
        <v>64</v>
      </c>
      <c r="J553" s="43"/>
      <c r="K553" s="61">
        <v>0.8</v>
      </c>
      <c r="L553" s="40">
        <v>552</v>
      </c>
      <c r="M553" s="44"/>
      <c r="N553" s="45"/>
      <c r="O553" s="18">
        <v>0</v>
      </c>
      <c r="P553" s="18">
        <v>1</v>
      </c>
      <c r="Q553" s="61">
        <v>0.83109999999999995</v>
      </c>
      <c r="R553" s="46"/>
    </row>
    <row r="554" spans="1:18" ht="25.5">
      <c r="A554" s="33" t="s">
        <v>1904</v>
      </c>
      <c r="B554" s="40" t="s">
        <v>7747</v>
      </c>
      <c r="C554" s="47">
        <v>37195</v>
      </c>
      <c r="D554" s="47" t="s">
        <v>8465</v>
      </c>
      <c r="E554" s="40" t="s">
        <v>73</v>
      </c>
      <c r="F554" s="40" t="s">
        <v>73</v>
      </c>
      <c r="G554" s="42" t="s">
        <v>1904</v>
      </c>
      <c r="H554" s="65" t="s">
        <v>75</v>
      </c>
      <c r="J554" s="43"/>
      <c r="K554" s="61">
        <v>0.8</v>
      </c>
      <c r="L554" s="40">
        <v>553</v>
      </c>
      <c r="M554" s="44"/>
      <c r="N554" s="45"/>
      <c r="O554" s="18">
        <v>0</v>
      </c>
      <c r="P554" s="18">
        <v>1</v>
      </c>
      <c r="Q554" s="61">
        <v>0.79530000000000001</v>
      </c>
      <c r="R554" s="46"/>
    </row>
    <row r="555" spans="1:18">
      <c r="A555" s="33" t="s">
        <v>2807</v>
      </c>
      <c r="B555" s="40" t="s">
        <v>7781</v>
      </c>
      <c r="C555" s="47">
        <v>41207</v>
      </c>
      <c r="D555" s="47" t="s">
        <v>8465</v>
      </c>
      <c r="E555" s="40" t="s">
        <v>2819</v>
      </c>
      <c r="F555" s="40" t="s">
        <v>2819</v>
      </c>
      <c r="G555" s="42"/>
      <c r="H555" s="65" t="s">
        <v>2820</v>
      </c>
      <c r="J555" s="43"/>
      <c r="K555" s="61">
        <v>0.7</v>
      </c>
      <c r="L555" s="40">
        <v>554</v>
      </c>
      <c r="M555" s="44"/>
      <c r="N555" s="45"/>
      <c r="O555" s="18">
        <v>0</v>
      </c>
      <c r="P555" s="18">
        <v>0</v>
      </c>
      <c r="Q555" s="61"/>
      <c r="R555" s="46"/>
    </row>
    <row r="556" spans="1:18" ht="38.25">
      <c r="A556" s="33" t="s">
        <v>9991</v>
      </c>
      <c r="B556" s="40" t="s">
        <v>7800</v>
      </c>
      <c r="C556" s="47">
        <v>40045</v>
      </c>
      <c r="D556" s="47" t="s">
        <v>8465</v>
      </c>
      <c r="E556" s="40" t="s">
        <v>3246</v>
      </c>
      <c r="F556" s="40" t="s">
        <v>3246</v>
      </c>
      <c r="G556" s="42" t="s">
        <v>4472</v>
      </c>
      <c r="H556" s="65" t="s">
        <v>67</v>
      </c>
      <c r="J556" s="43" t="s">
        <v>5243</v>
      </c>
      <c r="K556" s="61">
        <v>0.7</v>
      </c>
      <c r="L556" s="40">
        <v>555</v>
      </c>
      <c r="M556" s="44"/>
      <c r="N556" s="45">
        <f>2+48/60</f>
        <v>2.8</v>
      </c>
      <c r="O556" s="18">
        <v>0</v>
      </c>
      <c r="P556" s="18">
        <v>0</v>
      </c>
      <c r="Q556" s="61">
        <v>0.79379999999999995</v>
      </c>
      <c r="R556" s="46"/>
    </row>
    <row r="557" spans="1:18">
      <c r="A557" s="33" t="s">
        <v>7293</v>
      </c>
      <c r="B557" s="40" t="s">
        <v>7783</v>
      </c>
      <c r="C557" s="47">
        <v>40970</v>
      </c>
      <c r="D557" s="47" t="s">
        <v>8465</v>
      </c>
      <c r="E557" s="40" t="s">
        <v>7279</v>
      </c>
      <c r="F557" s="40" t="s">
        <v>7279</v>
      </c>
      <c r="G557" s="42"/>
      <c r="H557" s="65" t="s">
        <v>1334</v>
      </c>
      <c r="J557" s="43"/>
      <c r="K557" s="61">
        <v>0.9</v>
      </c>
      <c r="L557" s="40">
        <v>556</v>
      </c>
      <c r="M557" s="44"/>
      <c r="N557" s="45"/>
      <c r="O557" s="18">
        <v>0</v>
      </c>
      <c r="P557" s="18">
        <v>0</v>
      </c>
      <c r="Q557" s="61">
        <v>0.85</v>
      </c>
      <c r="R557" s="46"/>
    </row>
    <row r="558" spans="1:18">
      <c r="A558" s="33" t="s">
        <v>7304</v>
      </c>
      <c r="B558" s="40" t="s">
        <v>7783</v>
      </c>
      <c r="C558" s="47">
        <v>40794</v>
      </c>
      <c r="D558" s="47" t="s">
        <v>8465</v>
      </c>
      <c r="E558" s="40" t="s">
        <v>7279</v>
      </c>
      <c r="F558" s="40" t="s">
        <v>7279</v>
      </c>
      <c r="G558" s="42"/>
      <c r="H558" s="65" t="s">
        <v>1334</v>
      </c>
      <c r="J558" s="43"/>
      <c r="K558" s="61">
        <v>0.8</v>
      </c>
      <c r="L558" s="40">
        <v>557</v>
      </c>
      <c r="M558" s="44"/>
      <c r="N558" s="45"/>
      <c r="O558" s="18">
        <v>0</v>
      </c>
      <c r="P558" s="18">
        <v>0</v>
      </c>
      <c r="Q558" s="61">
        <v>0.75</v>
      </c>
      <c r="R558" s="46"/>
    </row>
    <row r="559" spans="1:18">
      <c r="A559" s="33" t="s">
        <v>3357</v>
      </c>
      <c r="B559" s="40" t="s">
        <v>7765</v>
      </c>
      <c r="C559" s="47">
        <v>41170</v>
      </c>
      <c r="D559" s="47" t="s">
        <v>8465</v>
      </c>
      <c r="E559" s="40" t="s">
        <v>3310</v>
      </c>
      <c r="F559" s="40" t="s">
        <v>3154</v>
      </c>
      <c r="G559" s="42" t="s">
        <v>3356</v>
      </c>
      <c r="H559" s="65" t="s">
        <v>1050</v>
      </c>
      <c r="J559" s="43"/>
      <c r="K559" s="61">
        <v>0.9</v>
      </c>
      <c r="L559" s="40">
        <v>558</v>
      </c>
      <c r="M559" s="44"/>
      <c r="N559" s="45"/>
      <c r="O559" s="18">
        <v>0</v>
      </c>
      <c r="P559" s="18">
        <v>0</v>
      </c>
      <c r="Q559" s="61">
        <v>0.89290000000000003</v>
      </c>
      <c r="R559" s="46"/>
    </row>
    <row r="560" spans="1:18">
      <c r="A560" s="33" t="s">
        <v>5662</v>
      </c>
      <c r="B560" s="40" t="s">
        <v>7800</v>
      </c>
      <c r="C560" s="47">
        <v>39947</v>
      </c>
      <c r="D560" s="47" t="s">
        <v>8465</v>
      </c>
      <c r="E560" s="40" t="s">
        <v>4798</v>
      </c>
      <c r="F560" s="40" t="s">
        <v>4798</v>
      </c>
      <c r="G560" s="42"/>
      <c r="H560" s="65" t="s">
        <v>1050</v>
      </c>
      <c r="J560" s="43"/>
      <c r="K560" s="61">
        <v>0.8</v>
      </c>
      <c r="L560" s="40">
        <v>559</v>
      </c>
      <c r="M560" s="44"/>
      <c r="N560" s="45"/>
      <c r="O560" s="18">
        <v>0</v>
      </c>
      <c r="P560" s="18">
        <v>0</v>
      </c>
      <c r="Q560" s="61">
        <v>0.73919999999999997</v>
      </c>
      <c r="R560" s="46"/>
    </row>
    <row r="561" spans="1:18">
      <c r="A561" s="33" t="s">
        <v>2808</v>
      </c>
      <c r="B561" s="40" t="s">
        <v>7781</v>
      </c>
      <c r="C561" s="47">
        <v>40977</v>
      </c>
      <c r="D561" s="47" t="s">
        <v>8465</v>
      </c>
      <c r="E561" s="40" t="s">
        <v>2821</v>
      </c>
      <c r="F561" s="40" t="s">
        <v>2821</v>
      </c>
      <c r="G561" s="42"/>
      <c r="H561" s="65" t="s">
        <v>2820</v>
      </c>
      <c r="J561" s="43"/>
      <c r="K561" s="61">
        <v>0.7</v>
      </c>
      <c r="L561" s="40">
        <v>560</v>
      </c>
      <c r="M561" s="44"/>
      <c r="N561" s="45"/>
      <c r="O561" s="18">
        <v>0</v>
      </c>
      <c r="P561" s="18">
        <v>0</v>
      </c>
      <c r="Q561" s="61"/>
      <c r="R561" s="46"/>
    </row>
    <row r="562" spans="1:18">
      <c r="A562" s="33" t="s">
        <v>5970</v>
      </c>
      <c r="B562" s="40" t="s">
        <v>7765</v>
      </c>
      <c r="C562" s="47">
        <v>40974</v>
      </c>
      <c r="D562" s="47" t="s">
        <v>8465</v>
      </c>
      <c r="E562" s="40" t="s">
        <v>231</v>
      </c>
      <c r="F562" s="40" t="s">
        <v>1161</v>
      </c>
      <c r="G562" s="42" t="s">
        <v>1162</v>
      </c>
      <c r="H562" s="65" t="s">
        <v>171</v>
      </c>
      <c r="J562" s="43"/>
      <c r="K562" s="61">
        <v>0.9</v>
      </c>
      <c r="L562" s="40">
        <v>561</v>
      </c>
      <c r="M562" s="44"/>
      <c r="N562" s="45"/>
      <c r="O562" s="18">
        <v>0</v>
      </c>
      <c r="P562" s="18">
        <v>0</v>
      </c>
      <c r="Q562" s="61">
        <v>0.92169999999999996</v>
      </c>
      <c r="R562" s="46"/>
    </row>
    <row r="563" spans="1:18">
      <c r="A563" s="33" t="s">
        <v>4134</v>
      </c>
      <c r="B563" s="40" t="s">
        <v>7800</v>
      </c>
      <c r="C563" s="47">
        <v>41205</v>
      </c>
      <c r="D563" s="47" t="s">
        <v>8465</v>
      </c>
      <c r="E563" s="40" t="s">
        <v>3063</v>
      </c>
      <c r="F563" s="40" t="s">
        <v>4135</v>
      </c>
      <c r="G563" s="42" t="s">
        <v>4134</v>
      </c>
      <c r="H563" s="65" t="s">
        <v>153</v>
      </c>
      <c r="J563" s="43"/>
      <c r="K563" s="61">
        <v>0.9</v>
      </c>
      <c r="L563" s="40">
        <v>562</v>
      </c>
      <c r="M563" s="44"/>
      <c r="N563" s="45">
        <f>7+39/60</f>
        <v>7.65</v>
      </c>
      <c r="O563" s="18">
        <v>0</v>
      </c>
      <c r="P563" s="18">
        <v>0</v>
      </c>
      <c r="Q563" s="61">
        <v>0.85329999999999995</v>
      </c>
      <c r="R563" s="46"/>
    </row>
    <row r="564" spans="1:18" ht="25.5">
      <c r="A564" s="33" t="s">
        <v>617</v>
      </c>
      <c r="B564" s="40" t="s">
        <v>7736</v>
      </c>
      <c r="C564" s="47">
        <v>35308</v>
      </c>
      <c r="D564" s="47" t="s">
        <v>8465</v>
      </c>
      <c r="E564" s="40" t="s">
        <v>66</v>
      </c>
      <c r="F564" s="40" t="s">
        <v>1269</v>
      </c>
      <c r="G564" s="42" t="s">
        <v>1270</v>
      </c>
      <c r="H564" s="65" t="s">
        <v>149</v>
      </c>
      <c r="J564" s="43"/>
      <c r="K564" s="61">
        <v>0.8</v>
      </c>
      <c r="L564" s="40">
        <v>563</v>
      </c>
      <c r="M564" s="44"/>
      <c r="N564" s="45"/>
      <c r="O564" s="18">
        <v>0</v>
      </c>
      <c r="P564" s="18">
        <v>1</v>
      </c>
      <c r="Q564" s="61">
        <v>0.8</v>
      </c>
      <c r="R564" s="46"/>
    </row>
    <row r="565" spans="1:18" ht="25.5">
      <c r="A565" s="33" t="s">
        <v>974</v>
      </c>
      <c r="B565" s="40" t="s">
        <v>7741</v>
      </c>
      <c r="C565" s="47">
        <v>40867</v>
      </c>
      <c r="D565" s="47" t="s">
        <v>8465</v>
      </c>
      <c r="E565" s="40" t="s">
        <v>86</v>
      </c>
      <c r="F565" s="40" t="s">
        <v>87</v>
      </c>
      <c r="G565" s="42" t="s">
        <v>85</v>
      </c>
      <c r="H565" s="65" t="s">
        <v>80</v>
      </c>
      <c r="J565" s="43"/>
      <c r="K565" s="61">
        <v>0.8</v>
      </c>
      <c r="L565" s="40">
        <v>564</v>
      </c>
      <c r="M565" s="44"/>
      <c r="N565" s="45"/>
      <c r="O565" s="18">
        <v>0</v>
      </c>
      <c r="P565" s="18">
        <v>0</v>
      </c>
      <c r="Q565" s="61">
        <v>0.9325</v>
      </c>
      <c r="R565" s="46"/>
    </row>
    <row r="566" spans="1:18" ht="25.5">
      <c r="A566" s="33" t="s">
        <v>6984</v>
      </c>
      <c r="B566" s="40" t="s">
        <v>7800</v>
      </c>
      <c r="C566" s="47">
        <v>40386</v>
      </c>
      <c r="D566" s="47" t="s">
        <v>8465</v>
      </c>
      <c r="E566" s="40" t="s">
        <v>1296</v>
      </c>
      <c r="F566" s="40" t="s">
        <v>1296</v>
      </c>
      <c r="G566" s="42" t="s">
        <v>6599</v>
      </c>
      <c r="H566" s="65" t="s">
        <v>1143</v>
      </c>
      <c r="J566" s="43"/>
      <c r="K566" s="61">
        <v>1</v>
      </c>
      <c r="L566" s="40">
        <v>565</v>
      </c>
      <c r="M566" s="44"/>
      <c r="N566" s="45"/>
      <c r="O566" s="18">
        <v>0</v>
      </c>
      <c r="P566" s="18">
        <v>0</v>
      </c>
      <c r="Q566" s="61">
        <v>0.9244</v>
      </c>
      <c r="R566" s="46"/>
    </row>
    <row r="567" spans="1:18">
      <c r="A567" s="33" t="s">
        <v>618</v>
      </c>
      <c r="B567" s="40" t="s">
        <v>7736</v>
      </c>
      <c r="C567" s="47">
        <v>33848</v>
      </c>
      <c r="D567" s="47" t="s">
        <v>8465</v>
      </c>
      <c r="E567" s="40" t="s">
        <v>86</v>
      </c>
      <c r="F567" s="40" t="s">
        <v>87</v>
      </c>
      <c r="G567" s="42" t="s">
        <v>1135</v>
      </c>
      <c r="H567" s="65" t="s">
        <v>150</v>
      </c>
      <c r="J567" s="43"/>
      <c r="K567" s="61">
        <v>0.7</v>
      </c>
      <c r="L567" s="40">
        <v>566</v>
      </c>
      <c r="M567" s="44"/>
      <c r="N567" s="45"/>
      <c r="O567" s="18">
        <v>0</v>
      </c>
      <c r="P567" s="18">
        <v>1</v>
      </c>
      <c r="Q567" s="61">
        <v>0.93600000000000005</v>
      </c>
      <c r="R567" s="46"/>
    </row>
    <row r="568" spans="1:18">
      <c r="A568" s="33" t="s">
        <v>5388</v>
      </c>
      <c r="B568" s="40" t="s">
        <v>7800</v>
      </c>
      <c r="C568" s="47">
        <v>41234</v>
      </c>
      <c r="D568" s="47" t="s">
        <v>8465</v>
      </c>
      <c r="E568" s="40" t="s">
        <v>3246</v>
      </c>
      <c r="F568" s="40" t="s">
        <v>3246</v>
      </c>
      <c r="G568" s="42" t="s">
        <v>5388</v>
      </c>
      <c r="H568" s="65" t="s">
        <v>67</v>
      </c>
      <c r="J568" s="43"/>
      <c r="K568" s="61">
        <v>1</v>
      </c>
      <c r="L568" s="40">
        <v>567</v>
      </c>
      <c r="M568" s="44"/>
      <c r="N568" s="45">
        <v>12</v>
      </c>
      <c r="O568" s="18">
        <v>0</v>
      </c>
      <c r="P568" s="18">
        <v>0</v>
      </c>
      <c r="Q568" s="61">
        <v>0.93200000000000005</v>
      </c>
      <c r="R568" s="46"/>
    </row>
    <row r="569" spans="1:18">
      <c r="A569" s="33" t="s">
        <v>134</v>
      </c>
      <c r="B569" s="40" t="s">
        <v>7734</v>
      </c>
      <c r="C569" s="41">
        <v>33208</v>
      </c>
      <c r="D569" s="47" t="s">
        <v>8465</v>
      </c>
      <c r="E569" s="40" t="s">
        <v>86</v>
      </c>
      <c r="F569" s="40" t="s">
        <v>1338</v>
      </c>
      <c r="G569" s="42" t="s">
        <v>134</v>
      </c>
      <c r="H569" s="65" t="s">
        <v>80</v>
      </c>
      <c r="J569" s="43"/>
      <c r="K569" s="61">
        <v>0.7</v>
      </c>
      <c r="L569" s="40">
        <v>568</v>
      </c>
      <c r="M569" s="44"/>
      <c r="N569" s="45"/>
      <c r="O569" s="18">
        <v>0</v>
      </c>
      <c r="P569" s="18">
        <v>1</v>
      </c>
      <c r="Q569" s="61"/>
      <c r="R569" s="46"/>
    </row>
    <row r="570" spans="1:18">
      <c r="A570" s="33" t="s">
        <v>3054</v>
      </c>
      <c r="B570" s="40" t="s">
        <v>7800</v>
      </c>
      <c r="C570" s="47">
        <v>41009</v>
      </c>
      <c r="D570" s="47" t="s">
        <v>8465</v>
      </c>
      <c r="E570" s="40" t="s">
        <v>9992</v>
      </c>
      <c r="F570" s="40" t="s">
        <v>9992</v>
      </c>
      <c r="G570" s="42" t="s">
        <v>3056</v>
      </c>
      <c r="H570" s="65" t="s">
        <v>1050</v>
      </c>
      <c r="J570" s="43"/>
      <c r="K570" s="61">
        <v>0.7</v>
      </c>
      <c r="L570" s="40">
        <v>569</v>
      </c>
      <c r="M570" s="44"/>
      <c r="N570" s="45"/>
      <c r="O570" s="18">
        <v>0</v>
      </c>
      <c r="P570" s="18">
        <v>0</v>
      </c>
      <c r="Q570" s="61"/>
      <c r="R570" s="46"/>
    </row>
    <row r="571" spans="1:18" ht="25.5">
      <c r="A571" s="33" t="s">
        <v>2179</v>
      </c>
      <c r="B571" s="40" t="s">
        <v>7783</v>
      </c>
      <c r="C571" s="47">
        <v>40195</v>
      </c>
      <c r="D571" s="47" t="s">
        <v>8465</v>
      </c>
      <c r="E571" s="40" t="s">
        <v>1618</v>
      </c>
      <c r="F571" s="40" t="s">
        <v>2305</v>
      </c>
      <c r="G571" s="42" t="s">
        <v>2306</v>
      </c>
      <c r="H571" s="65" t="s">
        <v>80</v>
      </c>
      <c r="J571" s="43"/>
      <c r="K571" s="61">
        <v>0.7</v>
      </c>
      <c r="L571" s="40">
        <v>570</v>
      </c>
      <c r="M571" s="44"/>
      <c r="N571" s="45"/>
      <c r="O571" s="18">
        <v>0</v>
      </c>
      <c r="P571" s="18">
        <v>0</v>
      </c>
      <c r="Q571" s="61">
        <v>0.95620000000000005</v>
      </c>
      <c r="R571" s="46"/>
    </row>
    <row r="572" spans="1:18">
      <c r="A572" s="33" t="s">
        <v>7315</v>
      </c>
      <c r="B572" s="40" t="s">
        <v>7783</v>
      </c>
      <c r="C572" s="47">
        <v>40974</v>
      </c>
      <c r="D572" s="47" t="s">
        <v>8465</v>
      </c>
      <c r="E572" s="40" t="s">
        <v>231</v>
      </c>
      <c r="F572" s="40" t="s">
        <v>7281</v>
      </c>
      <c r="G572" s="42" t="s">
        <v>1162</v>
      </c>
      <c r="H572" s="65" t="s">
        <v>1168</v>
      </c>
      <c r="J572" s="43"/>
      <c r="K572" s="61">
        <v>0.8</v>
      </c>
      <c r="L572" s="40">
        <v>571</v>
      </c>
      <c r="M572" s="44"/>
      <c r="N572" s="45"/>
      <c r="O572" s="18">
        <v>0</v>
      </c>
      <c r="P572" s="18">
        <v>0</v>
      </c>
      <c r="Q572" s="61">
        <v>0.68889999999999996</v>
      </c>
      <c r="R572" s="46"/>
    </row>
    <row r="573" spans="1:18">
      <c r="A573" s="33" t="s">
        <v>7302</v>
      </c>
      <c r="B573" s="40" t="s">
        <v>7783</v>
      </c>
      <c r="C573" s="47">
        <v>40460</v>
      </c>
      <c r="D573" s="47" t="s">
        <v>8465</v>
      </c>
      <c r="E573" s="40" t="s">
        <v>7279</v>
      </c>
      <c r="F573" s="40" t="s">
        <v>7279</v>
      </c>
      <c r="G573" s="42" t="s">
        <v>7302</v>
      </c>
      <c r="H573" s="65" t="s">
        <v>1334</v>
      </c>
      <c r="J573" s="43"/>
      <c r="K573" s="61">
        <v>0.9</v>
      </c>
      <c r="L573" s="40">
        <v>572</v>
      </c>
      <c r="M573" s="44"/>
      <c r="N573" s="45"/>
      <c r="O573" s="18">
        <v>0</v>
      </c>
      <c r="P573" s="18">
        <v>0</v>
      </c>
      <c r="Q573" s="61">
        <v>0.9</v>
      </c>
      <c r="R573" s="46"/>
    </row>
    <row r="574" spans="1:18">
      <c r="A574" s="33" t="s">
        <v>7358</v>
      </c>
      <c r="B574" s="40" t="s">
        <v>7783</v>
      </c>
      <c r="C574" s="47">
        <v>40892</v>
      </c>
      <c r="D574" s="47" t="s">
        <v>8465</v>
      </c>
      <c r="E574" s="40" t="s">
        <v>7279</v>
      </c>
      <c r="F574" s="40" t="s">
        <v>7279</v>
      </c>
      <c r="G574" s="42"/>
      <c r="H574" s="65" t="s">
        <v>1334</v>
      </c>
      <c r="J574" s="43"/>
      <c r="K574" s="61">
        <v>0.6</v>
      </c>
      <c r="L574" s="40">
        <v>573</v>
      </c>
      <c r="M574" s="44"/>
      <c r="N574" s="45"/>
      <c r="O574" s="18">
        <v>0</v>
      </c>
      <c r="P574" s="18">
        <v>0</v>
      </c>
      <c r="Q574" s="61">
        <v>0.7</v>
      </c>
      <c r="R574" s="46"/>
    </row>
    <row r="575" spans="1:18">
      <c r="A575" s="33" t="s">
        <v>3200</v>
      </c>
      <c r="B575" s="40" t="s">
        <v>7765</v>
      </c>
      <c r="C575" s="47">
        <v>41305</v>
      </c>
      <c r="D575" s="47" t="s">
        <v>8465</v>
      </c>
      <c r="E575" s="40" t="s">
        <v>3201</v>
      </c>
      <c r="F575" s="40" t="s">
        <v>3201</v>
      </c>
      <c r="G575" s="42" t="s">
        <v>3200</v>
      </c>
      <c r="H575" s="65" t="s">
        <v>1334</v>
      </c>
      <c r="J575" s="43"/>
      <c r="K575" s="61">
        <v>0.8</v>
      </c>
      <c r="L575" s="40">
        <v>574</v>
      </c>
      <c r="M575" s="44"/>
      <c r="N575" s="45"/>
      <c r="O575" s="18">
        <v>0</v>
      </c>
      <c r="P575" s="18">
        <v>0</v>
      </c>
      <c r="Q575" s="61">
        <v>0.84</v>
      </c>
      <c r="R575" s="46"/>
    </row>
    <row r="576" spans="1:18" ht="25.5">
      <c r="A576" s="33" t="s">
        <v>5679</v>
      </c>
      <c r="B576" s="40" t="s">
        <v>7800</v>
      </c>
      <c r="C576" s="47">
        <v>40624</v>
      </c>
      <c r="D576" s="47" t="s">
        <v>8465</v>
      </c>
      <c r="E576" s="40" t="s">
        <v>1047</v>
      </c>
      <c r="F576" s="40" t="s">
        <v>1048</v>
      </c>
      <c r="G576" s="42" t="s">
        <v>1563</v>
      </c>
      <c r="H576" s="65" t="s">
        <v>80</v>
      </c>
      <c r="J576" s="43"/>
      <c r="K576" s="61">
        <v>0.8</v>
      </c>
      <c r="L576" s="40">
        <v>575</v>
      </c>
      <c r="M576" s="44"/>
      <c r="N576" s="45"/>
      <c r="O576" s="18">
        <v>0</v>
      </c>
      <c r="P576" s="18">
        <v>0</v>
      </c>
      <c r="Q576" s="61">
        <v>0.87639999999999996</v>
      </c>
      <c r="R576" s="46"/>
    </row>
    <row r="577" spans="1:18" ht="25.5">
      <c r="A577" s="33" t="s">
        <v>6982</v>
      </c>
      <c r="B577" s="40" t="s">
        <v>7800</v>
      </c>
      <c r="C577" s="47">
        <v>41317</v>
      </c>
      <c r="D577" s="47" t="s">
        <v>8465</v>
      </c>
      <c r="E577" s="40" t="s">
        <v>1296</v>
      </c>
      <c r="F577" s="40" t="s">
        <v>1296</v>
      </c>
      <c r="G577" s="42" t="s">
        <v>6599</v>
      </c>
      <c r="H577" s="65" t="s">
        <v>1143</v>
      </c>
      <c r="J577" s="43"/>
      <c r="K577" s="61">
        <v>0.9</v>
      </c>
      <c r="L577" s="40">
        <v>576</v>
      </c>
      <c r="M577" s="44"/>
      <c r="N577" s="45"/>
      <c r="O577" s="18">
        <v>0</v>
      </c>
      <c r="P577" s="18">
        <v>0</v>
      </c>
      <c r="Q577" s="61">
        <v>0.8639</v>
      </c>
      <c r="R577" s="46"/>
    </row>
    <row r="578" spans="1:18">
      <c r="A578" s="33" t="s">
        <v>5056</v>
      </c>
      <c r="B578" s="40" t="s">
        <v>7800</v>
      </c>
      <c r="C578" s="47">
        <v>40711</v>
      </c>
      <c r="D578" s="47" t="s">
        <v>8465</v>
      </c>
      <c r="E578" s="40" t="s">
        <v>5057</v>
      </c>
      <c r="F578" s="40" t="s">
        <v>5057</v>
      </c>
      <c r="G578" s="42" t="s">
        <v>5058</v>
      </c>
      <c r="H578" s="65" t="s">
        <v>1334</v>
      </c>
      <c r="J578" s="43"/>
      <c r="K578" s="61">
        <v>0.8</v>
      </c>
      <c r="L578" s="40">
        <v>577</v>
      </c>
      <c r="M578" s="44"/>
      <c r="N578" s="45">
        <f>3+24/60</f>
        <v>3.4</v>
      </c>
      <c r="O578" s="18">
        <v>0</v>
      </c>
      <c r="P578" s="18">
        <v>0</v>
      </c>
      <c r="Q578" s="61">
        <v>0.73399999999999999</v>
      </c>
      <c r="R578" s="46"/>
    </row>
    <row r="579" spans="1:18">
      <c r="A579" s="33" t="s">
        <v>3757</v>
      </c>
      <c r="B579" s="40" t="s">
        <v>7800</v>
      </c>
      <c r="C579" s="47">
        <v>41039</v>
      </c>
      <c r="D579" s="47" t="s">
        <v>8465</v>
      </c>
      <c r="E579" s="40" t="s">
        <v>3758</v>
      </c>
      <c r="F579" s="40" t="s">
        <v>9993</v>
      </c>
      <c r="G579" s="42"/>
      <c r="H579" s="65" t="s">
        <v>31</v>
      </c>
      <c r="J579" s="43"/>
      <c r="K579" s="61">
        <v>0.7</v>
      </c>
      <c r="L579" s="40">
        <v>578</v>
      </c>
      <c r="M579" s="44"/>
      <c r="N579" s="45">
        <f>1+54/60</f>
        <v>1.9</v>
      </c>
      <c r="O579" s="18">
        <v>0</v>
      </c>
      <c r="P579" s="18">
        <v>0</v>
      </c>
      <c r="Q579" s="61"/>
      <c r="R579" s="46"/>
    </row>
    <row r="580" spans="1:18">
      <c r="A580" s="33" t="s">
        <v>7338</v>
      </c>
      <c r="B580" s="40" t="s">
        <v>7783</v>
      </c>
      <c r="C580" s="47">
        <v>41319</v>
      </c>
      <c r="D580" s="47" t="s">
        <v>8465</v>
      </c>
      <c r="E580" s="40" t="s">
        <v>4364</v>
      </c>
      <c r="F580" s="40" t="s">
        <v>4364</v>
      </c>
      <c r="G580" s="42"/>
      <c r="H580" s="65" t="s">
        <v>1334</v>
      </c>
      <c r="J580" s="43"/>
      <c r="K580" s="61">
        <v>0.9</v>
      </c>
      <c r="L580" s="40">
        <v>579</v>
      </c>
      <c r="M580" s="44"/>
      <c r="N580" s="45"/>
      <c r="O580" s="18">
        <v>0</v>
      </c>
      <c r="P580" s="18">
        <v>0</v>
      </c>
      <c r="Q580" s="61">
        <v>0.90569999999999995</v>
      </c>
      <c r="R580" s="46"/>
    </row>
    <row r="581" spans="1:18">
      <c r="A581" s="33" t="s">
        <v>4368</v>
      </c>
      <c r="B581" s="40" t="s">
        <v>7800</v>
      </c>
      <c r="C581" s="47">
        <v>40673</v>
      </c>
      <c r="D581" s="47" t="s">
        <v>8465</v>
      </c>
      <c r="E581" s="40" t="s">
        <v>4369</v>
      </c>
      <c r="F581" s="40" t="s">
        <v>4369</v>
      </c>
      <c r="G581" s="42"/>
      <c r="H581" s="65" t="s">
        <v>67</v>
      </c>
      <c r="J581" s="43"/>
      <c r="K581" s="61">
        <v>0.5</v>
      </c>
      <c r="L581" s="40">
        <v>580</v>
      </c>
      <c r="M581" s="44"/>
      <c r="N581" s="45">
        <v>0.5</v>
      </c>
      <c r="O581" s="18">
        <v>0</v>
      </c>
      <c r="P581" s="18">
        <v>0</v>
      </c>
      <c r="Q581" s="61"/>
      <c r="R581" s="46"/>
    </row>
    <row r="582" spans="1:18">
      <c r="A582" s="33" t="s">
        <v>4736</v>
      </c>
      <c r="B582" s="40" t="s">
        <v>7800</v>
      </c>
      <c r="C582" s="47">
        <v>37724</v>
      </c>
      <c r="D582" s="47" t="s">
        <v>8465</v>
      </c>
      <c r="E582" s="40" t="s">
        <v>9994</v>
      </c>
      <c r="F582" s="40" t="s">
        <v>4737</v>
      </c>
      <c r="G582" s="42" t="s">
        <v>4738</v>
      </c>
      <c r="H582" s="65" t="s">
        <v>1050</v>
      </c>
      <c r="J582" s="43"/>
      <c r="K582" s="61">
        <v>0.3</v>
      </c>
      <c r="L582" s="40">
        <v>581</v>
      </c>
      <c r="M582" s="44"/>
      <c r="N582" s="45"/>
      <c r="O582" s="18">
        <v>0</v>
      </c>
      <c r="P582" s="18">
        <v>0</v>
      </c>
      <c r="Q582" s="61">
        <v>0.5988</v>
      </c>
      <c r="R582" s="46"/>
    </row>
    <row r="583" spans="1:18" ht="38.25">
      <c r="A583" s="33" t="s">
        <v>7305</v>
      </c>
      <c r="B583" s="40" t="s">
        <v>7783</v>
      </c>
      <c r="C583" s="47">
        <v>41207</v>
      </c>
      <c r="D583" s="47" t="s">
        <v>8465</v>
      </c>
      <c r="E583" s="40" t="s">
        <v>2816</v>
      </c>
      <c r="F583" s="40" t="s">
        <v>7306</v>
      </c>
      <c r="G583" s="42" t="s">
        <v>7307</v>
      </c>
      <c r="H583" s="65" t="s">
        <v>56</v>
      </c>
      <c r="J583" s="43"/>
      <c r="K583" s="61">
        <v>0.5</v>
      </c>
      <c r="L583" s="40">
        <v>582</v>
      </c>
      <c r="M583" s="44"/>
      <c r="N583" s="45"/>
      <c r="O583" s="18">
        <v>0</v>
      </c>
      <c r="P583" s="18">
        <v>0</v>
      </c>
      <c r="Q583" s="61">
        <v>0.67300000000000004</v>
      </c>
      <c r="R583" s="46"/>
    </row>
    <row r="584" spans="1:18">
      <c r="A584" s="33" t="s">
        <v>3182</v>
      </c>
      <c r="B584" s="40" t="s">
        <v>7800</v>
      </c>
      <c r="C584" s="47">
        <v>41309</v>
      </c>
      <c r="D584" s="47" t="s">
        <v>8465</v>
      </c>
      <c r="E584" s="40" t="s">
        <v>3156</v>
      </c>
      <c r="F584" s="40" t="s">
        <v>3156</v>
      </c>
      <c r="G584" s="42"/>
      <c r="H584" s="65" t="s">
        <v>80</v>
      </c>
      <c r="J584" s="43"/>
      <c r="K584" s="61">
        <v>0.9</v>
      </c>
      <c r="L584" s="40">
        <v>583</v>
      </c>
      <c r="M584" s="44"/>
      <c r="N584" s="45">
        <f>5+13/60+ 5/(60*60)</f>
        <v>5.2180555555555559</v>
      </c>
      <c r="O584" s="18">
        <v>0</v>
      </c>
      <c r="P584" s="18">
        <v>0</v>
      </c>
      <c r="Q584" s="61">
        <v>0.74880000000000002</v>
      </c>
      <c r="R584" s="46"/>
    </row>
    <row r="585" spans="1:18">
      <c r="A585" s="33" t="s">
        <v>5150</v>
      </c>
      <c r="B585" s="40" t="s">
        <v>7800</v>
      </c>
      <c r="C585" s="47">
        <v>40927</v>
      </c>
      <c r="D585" s="47" t="s">
        <v>8465</v>
      </c>
      <c r="E585" s="40" t="s">
        <v>2816</v>
      </c>
      <c r="F585" s="40" t="s">
        <v>5151</v>
      </c>
      <c r="G585" s="42"/>
      <c r="H585" s="65" t="s">
        <v>64</v>
      </c>
      <c r="J585" s="43"/>
      <c r="K585" s="61">
        <v>0.6</v>
      </c>
      <c r="L585" s="40">
        <v>584</v>
      </c>
      <c r="M585" s="44"/>
      <c r="N585" s="45">
        <f>1+12/60</f>
        <v>1.2</v>
      </c>
      <c r="O585" s="18">
        <v>0</v>
      </c>
      <c r="P585" s="18">
        <v>0</v>
      </c>
      <c r="Q585" s="61">
        <v>0.81499999999999995</v>
      </c>
      <c r="R585" s="46"/>
    </row>
    <row r="586" spans="1:18" ht="25.5">
      <c r="A586" s="33" t="s">
        <v>2380</v>
      </c>
      <c r="B586" s="40" t="s">
        <v>7749</v>
      </c>
      <c r="C586" s="47">
        <v>41357</v>
      </c>
      <c r="D586" s="47" t="s">
        <v>8465</v>
      </c>
      <c r="E586" s="40" t="s">
        <v>86</v>
      </c>
      <c r="F586" s="40" t="s">
        <v>1535</v>
      </c>
      <c r="G586" s="42" t="s">
        <v>908</v>
      </c>
      <c r="H586" s="65" t="s">
        <v>80</v>
      </c>
      <c r="J586" s="43"/>
      <c r="K586" s="61">
        <v>0.9</v>
      </c>
      <c r="L586" s="40">
        <v>585</v>
      </c>
      <c r="M586" s="44"/>
      <c r="N586" s="45"/>
      <c r="O586" s="18">
        <v>0</v>
      </c>
      <c r="P586" s="18">
        <v>0</v>
      </c>
      <c r="Q586" s="61">
        <v>0.85860000000000003</v>
      </c>
      <c r="R586" s="46"/>
    </row>
    <row r="587" spans="1:18" ht="25.5">
      <c r="A587" s="33" t="s">
        <v>6328</v>
      </c>
      <c r="B587" s="40" t="s">
        <v>7765</v>
      </c>
      <c r="C587" s="47">
        <v>40855</v>
      </c>
      <c r="D587" s="47" t="s">
        <v>8465</v>
      </c>
      <c r="E587" s="40" t="s">
        <v>72</v>
      </c>
      <c r="F587" s="40" t="s">
        <v>1940</v>
      </c>
      <c r="G587" s="42" t="s">
        <v>220</v>
      </c>
      <c r="H587" s="65" t="s">
        <v>245</v>
      </c>
      <c r="J587" s="43"/>
      <c r="K587" s="61">
        <v>0.9</v>
      </c>
      <c r="L587" s="40">
        <v>586</v>
      </c>
      <c r="M587" s="44"/>
      <c r="N587" s="45"/>
      <c r="O587" s="18">
        <v>0</v>
      </c>
      <c r="P587" s="18">
        <v>0</v>
      </c>
      <c r="Q587" s="61"/>
      <c r="R587" s="46"/>
    </row>
    <row r="588" spans="1:18">
      <c r="A588" s="33" t="s">
        <v>2437</v>
      </c>
      <c r="B588" s="40" t="s">
        <v>7749</v>
      </c>
      <c r="C588" s="47">
        <v>40899</v>
      </c>
      <c r="D588" s="47" t="s">
        <v>8465</v>
      </c>
      <c r="E588" s="40" t="s">
        <v>1084</v>
      </c>
      <c r="F588" s="40" t="s">
        <v>1084</v>
      </c>
      <c r="G588" s="42" t="s">
        <v>9995</v>
      </c>
      <c r="H588" s="65" t="s">
        <v>27</v>
      </c>
      <c r="J588" s="43"/>
      <c r="K588" s="61">
        <v>0.8</v>
      </c>
      <c r="L588" s="40">
        <v>587</v>
      </c>
      <c r="M588" s="44"/>
      <c r="N588" s="45">
        <f>3+25/60</f>
        <v>3.4166666666666665</v>
      </c>
      <c r="O588" s="18">
        <v>0</v>
      </c>
      <c r="P588" s="18">
        <v>0</v>
      </c>
      <c r="Q588" s="61">
        <v>0.8</v>
      </c>
      <c r="R588" s="46"/>
    </row>
    <row r="589" spans="1:18">
      <c r="A589" s="33" t="s">
        <v>2905</v>
      </c>
      <c r="B589" s="40" t="s">
        <v>7757</v>
      </c>
      <c r="C589" s="47">
        <v>35680</v>
      </c>
      <c r="D589" s="47" t="s">
        <v>8465</v>
      </c>
      <c r="E589" s="40" t="s">
        <v>161</v>
      </c>
      <c r="F589" s="40" t="s">
        <v>161</v>
      </c>
      <c r="G589" s="42" t="s">
        <v>126</v>
      </c>
      <c r="H589" s="65" t="s">
        <v>149</v>
      </c>
      <c r="J589" s="43"/>
      <c r="K589" s="61">
        <v>0.9</v>
      </c>
      <c r="L589" s="40">
        <v>588</v>
      </c>
      <c r="M589" s="44"/>
      <c r="N589" s="45"/>
      <c r="O589" s="18">
        <v>0</v>
      </c>
      <c r="P589" s="18">
        <v>1</v>
      </c>
      <c r="Q589" s="61">
        <v>0.92349999999999999</v>
      </c>
      <c r="R589" s="46"/>
    </row>
    <row r="590" spans="1:18">
      <c r="A590" s="33" t="s">
        <v>4583</v>
      </c>
      <c r="B590" s="40" t="s">
        <v>7800</v>
      </c>
      <c r="C590" s="47">
        <v>40998</v>
      </c>
      <c r="D590" s="47" t="s">
        <v>8465</v>
      </c>
      <c r="E590" s="40" t="s">
        <v>4584</v>
      </c>
      <c r="F590" s="40" t="s">
        <v>4584</v>
      </c>
      <c r="G590" s="42"/>
      <c r="H590" s="65" t="s">
        <v>27</v>
      </c>
      <c r="J590" s="43"/>
      <c r="K590" s="61">
        <v>0.7</v>
      </c>
      <c r="L590" s="40">
        <v>589</v>
      </c>
      <c r="M590" s="44"/>
      <c r="N590" s="45">
        <f>4+37/60</f>
        <v>4.6166666666666671</v>
      </c>
      <c r="O590" s="18">
        <v>0</v>
      </c>
      <c r="P590" s="18">
        <v>0</v>
      </c>
      <c r="Q590" s="61">
        <v>0.75</v>
      </c>
      <c r="R590" s="46"/>
    </row>
    <row r="591" spans="1:18">
      <c r="A591" s="33" t="s">
        <v>5405</v>
      </c>
      <c r="B591" s="40" t="s">
        <v>7800</v>
      </c>
      <c r="C591" s="47">
        <v>41108</v>
      </c>
      <c r="D591" s="47" t="s">
        <v>8465</v>
      </c>
      <c r="E591" s="40" t="s">
        <v>3915</v>
      </c>
      <c r="F591" s="40" t="s">
        <v>3915</v>
      </c>
      <c r="G591" s="42" t="s">
        <v>5664</v>
      </c>
      <c r="H591" s="65" t="s">
        <v>2820</v>
      </c>
      <c r="J591" s="43"/>
      <c r="K591" s="61">
        <v>0.7</v>
      </c>
      <c r="L591" s="40">
        <v>590</v>
      </c>
      <c r="M591" s="44"/>
      <c r="N591" s="45">
        <f>15/60</f>
        <v>0.25</v>
      </c>
      <c r="O591" s="18">
        <v>0</v>
      </c>
      <c r="P591" s="18">
        <v>0</v>
      </c>
      <c r="Q591" s="61">
        <v>0.87860000000000005</v>
      </c>
      <c r="R591" s="46"/>
    </row>
    <row r="592" spans="1:18">
      <c r="A592" s="33" t="s">
        <v>5664</v>
      </c>
      <c r="B592" s="40" t="s">
        <v>7800</v>
      </c>
      <c r="C592" s="41">
        <v>39661</v>
      </c>
      <c r="D592" s="47" t="s">
        <v>8465</v>
      </c>
      <c r="E592" s="40" t="s">
        <v>3915</v>
      </c>
      <c r="F592" s="40" t="s">
        <v>3915</v>
      </c>
      <c r="G592" s="42" t="s">
        <v>5664</v>
      </c>
      <c r="H592" s="65" t="s">
        <v>2820</v>
      </c>
      <c r="J592" s="43"/>
      <c r="K592" s="61">
        <v>0.7</v>
      </c>
      <c r="L592" s="40">
        <v>591</v>
      </c>
      <c r="M592" s="44"/>
      <c r="N592" s="45">
        <f>16/60</f>
        <v>0.26666666666666666</v>
      </c>
      <c r="O592" s="18">
        <v>0</v>
      </c>
      <c r="P592" s="18">
        <v>0</v>
      </c>
      <c r="Q592" s="61"/>
      <c r="R592" s="46"/>
    </row>
    <row r="593" spans="1:18" ht="38.25">
      <c r="A593" s="33" t="s">
        <v>922</v>
      </c>
      <c r="B593" s="40" t="s">
        <v>7740</v>
      </c>
      <c r="C593" s="47">
        <v>38145</v>
      </c>
      <c r="D593" s="47" t="s">
        <v>8465</v>
      </c>
      <c r="E593" s="40" t="s">
        <v>86</v>
      </c>
      <c r="F593" s="40" t="s">
        <v>87</v>
      </c>
      <c r="G593" s="42" t="s">
        <v>85</v>
      </c>
      <c r="H593" s="65" t="s">
        <v>80</v>
      </c>
      <c r="J593" s="43"/>
      <c r="K593" s="61">
        <v>0.7</v>
      </c>
      <c r="L593" s="40">
        <v>592</v>
      </c>
      <c r="M593" s="44"/>
      <c r="N593" s="45"/>
      <c r="O593" s="18">
        <v>0</v>
      </c>
      <c r="P593" s="18">
        <v>1</v>
      </c>
      <c r="Q593" s="61">
        <v>0.84509999999999996</v>
      </c>
      <c r="R593" s="46"/>
    </row>
    <row r="594" spans="1:18">
      <c r="A594" s="33" t="s">
        <v>7276</v>
      </c>
      <c r="B594" s="40" t="s">
        <v>7783</v>
      </c>
      <c r="C594" s="47">
        <v>40740</v>
      </c>
      <c r="D594" s="47" t="s">
        <v>8465</v>
      </c>
      <c r="E594" s="40" t="s">
        <v>7277</v>
      </c>
      <c r="F594" s="40" t="s">
        <v>7277</v>
      </c>
      <c r="G594" s="42"/>
      <c r="H594" s="65" t="s">
        <v>64</v>
      </c>
      <c r="J594" s="43"/>
      <c r="K594" s="61">
        <v>0.5</v>
      </c>
      <c r="L594" s="40">
        <v>593</v>
      </c>
      <c r="M594" s="44"/>
      <c r="N594" s="45"/>
      <c r="O594" s="18">
        <v>0</v>
      </c>
      <c r="P594" s="18">
        <v>0</v>
      </c>
      <c r="Q594" s="61">
        <v>0.8</v>
      </c>
      <c r="R594" s="46"/>
    </row>
    <row r="595" spans="1:18">
      <c r="A595" s="33" t="s">
        <v>5665</v>
      </c>
      <c r="B595" s="40" t="s">
        <v>7800</v>
      </c>
      <c r="C595" s="47">
        <v>41338</v>
      </c>
      <c r="D595" s="47" t="s">
        <v>8465</v>
      </c>
      <c r="E595" s="40" t="s">
        <v>5697</v>
      </c>
      <c r="F595" s="40" t="s">
        <v>5697</v>
      </c>
      <c r="G595" s="42"/>
      <c r="H595" s="65" t="s">
        <v>2820</v>
      </c>
      <c r="J595" s="43"/>
      <c r="K595" s="61">
        <v>0.6</v>
      </c>
      <c r="L595" s="40">
        <v>594</v>
      </c>
      <c r="M595" s="44"/>
      <c r="N595" s="45"/>
      <c r="O595" s="18">
        <v>0</v>
      </c>
      <c r="P595" s="18">
        <v>0</v>
      </c>
      <c r="Q595" s="61">
        <v>0.8</v>
      </c>
      <c r="R595" s="46"/>
    </row>
    <row r="596" spans="1:18">
      <c r="A596" s="33" t="s">
        <v>3139</v>
      </c>
      <c r="B596" s="40" t="s">
        <v>7783</v>
      </c>
      <c r="C596" s="47">
        <v>41109</v>
      </c>
      <c r="D596" s="47" t="s">
        <v>8465</v>
      </c>
      <c r="E596" s="40" t="s">
        <v>9996</v>
      </c>
      <c r="F596" s="40" t="s">
        <v>9996</v>
      </c>
      <c r="G596" s="42" t="s">
        <v>3139</v>
      </c>
      <c r="H596" s="65" t="s">
        <v>80</v>
      </c>
      <c r="J596" s="43"/>
      <c r="K596" s="61">
        <v>0.6</v>
      </c>
      <c r="L596" s="40">
        <v>595</v>
      </c>
      <c r="M596" s="44"/>
      <c r="N596" s="45"/>
      <c r="O596" s="18">
        <v>0</v>
      </c>
      <c r="P596" s="18">
        <v>0</v>
      </c>
      <c r="Q596" s="61">
        <v>0.85709999999999997</v>
      </c>
      <c r="R596" s="46"/>
    </row>
    <row r="597" spans="1:18">
      <c r="A597" s="33" t="s">
        <v>6357</v>
      </c>
      <c r="B597" s="40" t="s">
        <v>7765</v>
      </c>
      <c r="C597" s="47">
        <v>41135</v>
      </c>
      <c r="D597" s="47" t="s">
        <v>8465</v>
      </c>
      <c r="E597" s="40" t="s">
        <v>1342</v>
      </c>
      <c r="F597" s="40" t="s">
        <v>6353</v>
      </c>
      <c r="G597" s="42" t="s">
        <v>1585</v>
      </c>
      <c r="H597" s="65" t="s">
        <v>80</v>
      </c>
      <c r="J597" s="43"/>
      <c r="K597" s="61">
        <v>0.8</v>
      </c>
      <c r="L597" s="40">
        <v>596</v>
      </c>
      <c r="M597" s="44"/>
      <c r="N597" s="45"/>
      <c r="O597" s="18">
        <v>0</v>
      </c>
      <c r="P597" s="18">
        <v>0</v>
      </c>
      <c r="Q597" s="61">
        <v>0.83389999999999997</v>
      </c>
      <c r="R597" s="46"/>
    </row>
    <row r="598" spans="1:18" ht="25.5">
      <c r="A598" s="33" t="s">
        <v>1931</v>
      </c>
      <c r="B598" s="40" t="s">
        <v>7747</v>
      </c>
      <c r="C598" s="47">
        <v>38278</v>
      </c>
      <c r="D598" s="47" t="s">
        <v>8465</v>
      </c>
      <c r="E598" s="40" t="s">
        <v>86</v>
      </c>
      <c r="F598" s="40" t="s">
        <v>1905</v>
      </c>
      <c r="G598" s="42" t="s">
        <v>223</v>
      </c>
      <c r="H598" s="65" t="s">
        <v>64</v>
      </c>
      <c r="J598" s="43"/>
      <c r="K598" s="61">
        <v>0.8</v>
      </c>
      <c r="L598" s="40">
        <v>597</v>
      </c>
      <c r="M598" s="44"/>
      <c r="N598" s="45"/>
      <c r="O598" s="18">
        <v>0</v>
      </c>
      <c r="P598" s="18">
        <v>1</v>
      </c>
      <c r="Q598" s="61">
        <v>0.77539999999999998</v>
      </c>
      <c r="R598" s="46"/>
    </row>
    <row r="599" spans="1:18" ht="25.5">
      <c r="A599" s="33" t="s">
        <v>2416</v>
      </c>
      <c r="B599" s="40" t="s">
        <v>7749</v>
      </c>
      <c r="C599" s="47">
        <v>40713</v>
      </c>
      <c r="D599" s="47" t="s">
        <v>8465</v>
      </c>
      <c r="E599" s="40" t="s">
        <v>86</v>
      </c>
      <c r="F599" s="40" t="s">
        <v>2453</v>
      </c>
      <c r="G599" s="42" t="s">
        <v>85</v>
      </c>
      <c r="H599" s="65" t="s">
        <v>80</v>
      </c>
      <c r="J599" s="43"/>
      <c r="K599" s="61">
        <v>1</v>
      </c>
      <c r="L599" s="40">
        <v>598</v>
      </c>
      <c r="M599" s="44"/>
      <c r="N599" s="45">
        <f>21+42/60</f>
        <v>21.7</v>
      </c>
      <c r="O599" s="18">
        <v>0</v>
      </c>
      <c r="P599" s="18">
        <v>0</v>
      </c>
      <c r="Q599" s="61">
        <v>0.93959999999999999</v>
      </c>
      <c r="R599" s="46"/>
    </row>
    <row r="600" spans="1:18" ht="25.5">
      <c r="A600" s="33" t="s">
        <v>1932</v>
      </c>
      <c r="B600" s="40" t="s">
        <v>7747</v>
      </c>
      <c r="C600" s="47">
        <v>37592</v>
      </c>
      <c r="D600" s="47" t="s">
        <v>8465</v>
      </c>
      <c r="E600" s="40" t="s">
        <v>86</v>
      </c>
      <c r="F600" s="40" t="s">
        <v>30</v>
      </c>
      <c r="G600" s="42" t="s">
        <v>223</v>
      </c>
      <c r="H600" s="65" t="s">
        <v>64</v>
      </c>
      <c r="J600" s="43"/>
      <c r="K600" s="61">
        <v>0.7</v>
      </c>
      <c r="L600" s="40">
        <v>599</v>
      </c>
      <c r="M600" s="44"/>
      <c r="N600" s="45"/>
      <c r="O600" s="18">
        <v>0</v>
      </c>
      <c r="P600" s="18">
        <v>1</v>
      </c>
      <c r="Q600" s="61">
        <v>0.80449999999999999</v>
      </c>
      <c r="R600" s="46"/>
    </row>
    <row r="601" spans="1:18">
      <c r="A601" s="33" t="s">
        <v>2428</v>
      </c>
      <c r="B601" s="40" t="s">
        <v>7749</v>
      </c>
      <c r="C601" s="47">
        <v>41256</v>
      </c>
      <c r="D601" s="47" t="s">
        <v>8465</v>
      </c>
      <c r="E601" s="40" t="s">
        <v>2129</v>
      </c>
      <c r="F601" s="40" t="s">
        <v>2472</v>
      </c>
      <c r="G601" s="42" t="s">
        <v>2469</v>
      </c>
      <c r="H601" s="65" t="s">
        <v>149</v>
      </c>
      <c r="J601" s="43"/>
      <c r="K601" s="61">
        <v>0.8</v>
      </c>
      <c r="L601" s="40">
        <v>600</v>
      </c>
      <c r="M601" s="44"/>
      <c r="N601" s="45">
        <f>7+5/60</f>
        <v>7.083333333333333</v>
      </c>
      <c r="O601" s="18">
        <v>0</v>
      </c>
      <c r="P601" s="18">
        <v>0</v>
      </c>
      <c r="Q601" s="61">
        <v>0.75319999999999998</v>
      </c>
      <c r="R601" s="46"/>
    </row>
    <row r="602" spans="1:18" ht="25.5">
      <c r="A602" s="33" t="s">
        <v>2402</v>
      </c>
      <c r="B602" s="40" t="s">
        <v>7749</v>
      </c>
      <c r="C602" s="47">
        <v>40946</v>
      </c>
      <c r="D602" s="47" t="s">
        <v>8465</v>
      </c>
      <c r="E602" s="40" t="s">
        <v>73</v>
      </c>
      <c r="F602" s="40" t="s">
        <v>73</v>
      </c>
      <c r="G602" s="42" t="s">
        <v>943</v>
      </c>
      <c r="H602" s="65" t="s">
        <v>1168</v>
      </c>
      <c r="J602" s="43"/>
      <c r="K602" s="61">
        <v>0.8</v>
      </c>
      <c r="L602" s="40">
        <v>601</v>
      </c>
      <c r="M602" s="44"/>
      <c r="N602" s="45">
        <f>9+11/60</f>
        <v>9.1833333333333336</v>
      </c>
      <c r="O602" s="18">
        <v>0</v>
      </c>
      <c r="P602" s="18">
        <v>0</v>
      </c>
      <c r="Q602" s="61">
        <v>0.83499999999999996</v>
      </c>
      <c r="R602" s="46"/>
    </row>
    <row r="603" spans="1:18">
      <c r="A603" s="33" t="s">
        <v>2809</v>
      </c>
      <c r="B603" s="40" t="s">
        <v>7781</v>
      </c>
      <c r="C603" s="47">
        <v>41384</v>
      </c>
      <c r="D603" s="47" t="s">
        <v>8465</v>
      </c>
      <c r="E603" s="40" t="s">
        <v>2822</v>
      </c>
      <c r="F603" s="40" t="s">
        <v>2822</v>
      </c>
      <c r="G603" s="42"/>
      <c r="H603" s="65" t="s">
        <v>78</v>
      </c>
      <c r="J603" s="43"/>
      <c r="K603" s="61">
        <v>0.7</v>
      </c>
      <c r="L603" s="40">
        <v>602</v>
      </c>
      <c r="M603" s="44"/>
      <c r="N603" s="45"/>
      <c r="O603" s="18">
        <v>0</v>
      </c>
      <c r="P603" s="18">
        <v>0</v>
      </c>
      <c r="Q603" s="61"/>
      <c r="R603" s="46"/>
    </row>
    <row r="604" spans="1:18">
      <c r="A604" s="33" t="s">
        <v>2119</v>
      </c>
      <c r="B604" s="40" t="s">
        <v>7748</v>
      </c>
      <c r="C604" s="47">
        <v>38530</v>
      </c>
      <c r="D604" s="47" t="s">
        <v>8465</v>
      </c>
      <c r="E604" s="40" t="s">
        <v>157</v>
      </c>
      <c r="F604" s="40" t="s">
        <v>2139</v>
      </c>
      <c r="G604" s="42" t="s">
        <v>2119</v>
      </c>
      <c r="H604" s="65" t="s">
        <v>78</v>
      </c>
      <c r="J604" s="43"/>
      <c r="K604" s="61">
        <v>0.7</v>
      </c>
      <c r="L604" s="40">
        <v>603</v>
      </c>
      <c r="M604" s="44"/>
      <c r="N604" s="45">
        <f>27/60</f>
        <v>0.45</v>
      </c>
      <c r="O604" s="18">
        <v>0</v>
      </c>
      <c r="P604" s="18">
        <v>0</v>
      </c>
      <c r="Q604" s="61">
        <v>0.87839999999999996</v>
      </c>
      <c r="R604" s="46"/>
    </row>
    <row r="605" spans="1:18" ht="38.25">
      <c r="A605" s="33" t="s">
        <v>9997</v>
      </c>
      <c r="B605" s="40" t="s">
        <v>7800</v>
      </c>
      <c r="C605" s="47">
        <v>40085</v>
      </c>
      <c r="D605" s="47" t="s">
        <v>8465</v>
      </c>
      <c r="E605" s="40" t="s">
        <v>3246</v>
      </c>
      <c r="F605" s="40" t="s">
        <v>3246</v>
      </c>
      <c r="G605" s="42" t="s">
        <v>4472</v>
      </c>
      <c r="H605" s="65" t="s">
        <v>67</v>
      </c>
      <c r="J605" s="43" t="s">
        <v>5243</v>
      </c>
      <c r="K605" s="61">
        <v>0.8</v>
      </c>
      <c r="L605" s="40">
        <v>604</v>
      </c>
      <c r="M605" s="44"/>
      <c r="N605" s="45">
        <f>2+54/60</f>
        <v>2.9</v>
      </c>
      <c r="O605" s="18">
        <v>0</v>
      </c>
      <c r="P605" s="18">
        <v>0</v>
      </c>
      <c r="Q605" s="61">
        <v>0.83899999999999997</v>
      </c>
      <c r="R605" s="46"/>
    </row>
    <row r="606" spans="1:18">
      <c r="A606" s="33" t="s">
        <v>2906</v>
      </c>
      <c r="B606" s="40" t="s">
        <v>7757</v>
      </c>
      <c r="C606" s="47">
        <v>36088</v>
      </c>
      <c r="D606" s="47" t="s">
        <v>8465</v>
      </c>
      <c r="E606" s="40" t="s">
        <v>161</v>
      </c>
      <c r="F606" s="40" t="s">
        <v>161</v>
      </c>
      <c r="G606" s="42" t="s">
        <v>1146</v>
      </c>
      <c r="H606" s="65" t="s">
        <v>149</v>
      </c>
      <c r="J606" s="43"/>
      <c r="K606" s="61">
        <v>0.8</v>
      </c>
      <c r="L606" s="40">
        <v>605</v>
      </c>
      <c r="M606" s="44"/>
      <c r="N606" s="45"/>
      <c r="O606" s="18">
        <v>0</v>
      </c>
      <c r="P606" s="18">
        <v>1</v>
      </c>
      <c r="Q606" s="61">
        <v>0.90990000000000004</v>
      </c>
      <c r="R606" s="46"/>
    </row>
    <row r="607" spans="1:18" ht="51">
      <c r="A607" s="33" t="s">
        <v>9998</v>
      </c>
      <c r="B607" s="40" t="s">
        <v>7800</v>
      </c>
      <c r="C607" s="47">
        <v>40116</v>
      </c>
      <c r="D607" s="47" t="s">
        <v>8465</v>
      </c>
      <c r="E607" s="40" t="s">
        <v>3246</v>
      </c>
      <c r="F607" s="40" t="s">
        <v>3246</v>
      </c>
      <c r="G607" s="42" t="s">
        <v>4472</v>
      </c>
      <c r="H607" s="65" t="s">
        <v>67</v>
      </c>
      <c r="J607" s="43" t="s">
        <v>5243</v>
      </c>
      <c r="K607" s="61">
        <v>0.8</v>
      </c>
      <c r="L607" s="40">
        <v>606</v>
      </c>
      <c r="M607" s="44"/>
      <c r="N607" s="45">
        <f>2+48/60</f>
        <v>2.8</v>
      </c>
      <c r="O607" s="18">
        <v>0</v>
      </c>
      <c r="P607" s="18">
        <v>0</v>
      </c>
      <c r="Q607" s="61">
        <v>0.8246</v>
      </c>
      <c r="R607" s="46"/>
    </row>
    <row r="608" spans="1:18" ht="38.25">
      <c r="A608" s="33" t="s">
        <v>9999</v>
      </c>
      <c r="B608" s="40" t="s">
        <v>7800</v>
      </c>
      <c r="C608" s="47">
        <v>40155</v>
      </c>
      <c r="D608" s="47" t="s">
        <v>8465</v>
      </c>
      <c r="E608" s="40" t="s">
        <v>3246</v>
      </c>
      <c r="F608" s="40" t="s">
        <v>3246</v>
      </c>
      <c r="G608" s="42" t="s">
        <v>4472</v>
      </c>
      <c r="H608" s="65" t="s">
        <v>67</v>
      </c>
      <c r="J608" s="43" t="s">
        <v>5243</v>
      </c>
      <c r="K608" s="61">
        <v>0.7</v>
      </c>
      <c r="L608" s="40">
        <v>607</v>
      </c>
      <c r="M608" s="44"/>
      <c r="N608" s="45">
        <f>2+42/60</f>
        <v>2.7</v>
      </c>
      <c r="O608" s="18">
        <v>0</v>
      </c>
      <c r="P608" s="18">
        <v>0</v>
      </c>
      <c r="Q608" s="61">
        <v>0.82450000000000001</v>
      </c>
      <c r="R608" s="46"/>
    </row>
    <row r="609" spans="1:18">
      <c r="A609" s="33" t="s">
        <v>6358</v>
      </c>
      <c r="B609" s="40" t="s">
        <v>7765</v>
      </c>
      <c r="C609" s="47">
        <v>41212</v>
      </c>
      <c r="D609" s="47" t="s">
        <v>8465</v>
      </c>
      <c r="E609" s="40" t="s">
        <v>1047</v>
      </c>
      <c r="F609" s="40" t="s">
        <v>1048</v>
      </c>
      <c r="G609" s="42" t="s">
        <v>1563</v>
      </c>
      <c r="H609" s="65" t="s">
        <v>80</v>
      </c>
      <c r="J609" s="43"/>
      <c r="K609" s="61">
        <v>0.8</v>
      </c>
      <c r="L609" s="40">
        <v>608</v>
      </c>
      <c r="M609" s="44"/>
      <c r="N609" s="45"/>
      <c r="O609" s="18">
        <v>0</v>
      </c>
      <c r="P609" s="18">
        <v>0</v>
      </c>
      <c r="Q609" s="61">
        <v>0.84919999999999995</v>
      </c>
      <c r="R609" s="46"/>
    </row>
    <row r="610" spans="1:18" ht="25.5">
      <c r="A610" s="33" t="s">
        <v>5666</v>
      </c>
      <c r="B610" s="40" t="s">
        <v>7800</v>
      </c>
      <c r="C610" s="47">
        <v>39469</v>
      </c>
      <c r="D610" s="47" t="s">
        <v>8465</v>
      </c>
      <c r="E610" s="40" t="s">
        <v>5698</v>
      </c>
      <c r="F610" s="40" t="s">
        <v>5698</v>
      </c>
      <c r="G610" s="42" t="s">
        <v>5699</v>
      </c>
      <c r="H610" s="65" t="s">
        <v>149</v>
      </c>
      <c r="J610" s="43"/>
      <c r="K610" s="61">
        <v>0.9</v>
      </c>
      <c r="L610" s="40">
        <v>609</v>
      </c>
      <c r="M610" s="44"/>
      <c r="N610" s="45">
        <f>4+5/60+37/3600</f>
        <v>4.0936111111111106</v>
      </c>
      <c r="O610" s="18">
        <v>0</v>
      </c>
      <c r="P610" s="18">
        <v>0</v>
      </c>
      <c r="Q610" s="61"/>
      <c r="R610" s="46"/>
    </row>
    <row r="611" spans="1:18">
      <c r="A611" s="33" t="s">
        <v>1933</v>
      </c>
      <c r="B611" s="40" t="s">
        <v>7747</v>
      </c>
      <c r="C611" s="47">
        <v>38323</v>
      </c>
      <c r="D611" s="47" t="s">
        <v>8465</v>
      </c>
      <c r="E611" s="40" t="s">
        <v>170</v>
      </c>
      <c r="F611" s="40" t="s">
        <v>474</v>
      </c>
      <c r="G611" s="42" t="s">
        <v>450</v>
      </c>
      <c r="H611" s="65" t="s">
        <v>147</v>
      </c>
      <c r="J611" s="43"/>
      <c r="K611" s="61">
        <v>0.7</v>
      </c>
      <c r="L611" s="40">
        <v>610</v>
      </c>
      <c r="M611" s="44"/>
      <c r="N611" s="45"/>
      <c r="O611" s="18">
        <v>0</v>
      </c>
      <c r="P611" s="18">
        <v>1</v>
      </c>
      <c r="Q611" s="61">
        <v>0.78610000000000002</v>
      </c>
      <c r="R611" s="46"/>
    </row>
    <row r="612" spans="1:18">
      <c r="A612" s="33" t="s">
        <v>1067</v>
      </c>
      <c r="B612" s="40" t="s">
        <v>7742</v>
      </c>
      <c r="C612" s="47">
        <v>39713</v>
      </c>
      <c r="D612" s="47" t="s">
        <v>8465</v>
      </c>
      <c r="E612" s="40" t="s">
        <v>73</v>
      </c>
      <c r="F612" s="40" t="s">
        <v>1070</v>
      </c>
      <c r="G612" s="42" t="s">
        <v>89</v>
      </c>
      <c r="H612" s="65" t="s">
        <v>56</v>
      </c>
      <c r="J612" s="43"/>
      <c r="K612" s="61">
        <v>0.8</v>
      </c>
      <c r="L612" s="40">
        <v>611</v>
      </c>
      <c r="M612" s="44"/>
      <c r="N612" s="45"/>
      <c r="O612" s="18">
        <v>0</v>
      </c>
      <c r="P612" s="18">
        <v>0</v>
      </c>
      <c r="Q612" s="61">
        <v>0.84040000000000004</v>
      </c>
      <c r="R612" s="46"/>
    </row>
    <row r="613" spans="1:18">
      <c r="A613" s="33" t="s">
        <v>102</v>
      </c>
      <c r="B613" s="40" t="s">
        <v>7749</v>
      </c>
      <c r="C613" s="47">
        <v>41312</v>
      </c>
      <c r="D613" s="47" t="s">
        <v>8465</v>
      </c>
      <c r="E613" s="40" t="s">
        <v>73</v>
      </c>
      <c r="F613" s="40" t="s">
        <v>73</v>
      </c>
      <c r="G613" s="42" t="s">
        <v>89</v>
      </c>
      <c r="H613" s="65" t="s">
        <v>56</v>
      </c>
      <c r="J613" s="43"/>
      <c r="K613" s="61">
        <v>0.9</v>
      </c>
      <c r="L613" s="40">
        <v>612</v>
      </c>
      <c r="M613" s="44"/>
      <c r="N613" s="45">
        <f>3+25/60</f>
        <v>3.4166666666666665</v>
      </c>
      <c r="O613" s="18">
        <v>0</v>
      </c>
      <c r="P613" s="18">
        <v>0</v>
      </c>
      <c r="Q613" s="61"/>
      <c r="R613" s="46"/>
    </row>
    <row r="614" spans="1:18">
      <c r="A614" s="33" t="s">
        <v>4688</v>
      </c>
      <c r="B614" s="40" t="s">
        <v>7800</v>
      </c>
      <c r="C614" s="47">
        <v>41213</v>
      </c>
      <c r="D614" s="47" t="s">
        <v>8465</v>
      </c>
      <c r="E614" s="40" t="s">
        <v>2298</v>
      </c>
      <c r="F614" s="40" t="s">
        <v>4689</v>
      </c>
      <c r="G614" s="42"/>
      <c r="H614" s="65" t="s">
        <v>27</v>
      </c>
      <c r="J614" s="43"/>
      <c r="K614" s="61">
        <v>0.6</v>
      </c>
      <c r="L614" s="40">
        <v>613</v>
      </c>
      <c r="M614" s="44"/>
      <c r="N614" s="45">
        <f>8+24/60</f>
        <v>8.4</v>
      </c>
      <c r="O614" s="18">
        <v>0</v>
      </c>
      <c r="P614" s="18">
        <v>0</v>
      </c>
      <c r="Q614" s="61">
        <v>0.63290000000000002</v>
      </c>
      <c r="R614" s="46"/>
    </row>
    <row r="615" spans="1:18">
      <c r="A615" s="33" t="s">
        <v>1857</v>
      </c>
      <c r="B615" s="40" t="s">
        <v>7757</v>
      </c>
      <c r="C615" s="47">
        <v>36089</v>
      </c>
      <c r="D615" s="47" t="s">
        <v>8465</v>
      </c>
      <c r="E615" s="40" t="s">
        <v>72</v>
      </c>
      <c r="F615" s="40" t="s">
        <v>72</v>
      </c>
      <c r="G615" s="42" t="s">
        <v>220</v>
      </c>
      <c r="H615" s="65" t="s">
        <v>245</v>
      </c>
      <c r="J615" s="43"/>
      <c r="K615" s="61">
        <v>0.8</v>
      </c>
      <c r="L615" s="40">
        <v>614</v>
      </c>
      <c r="M615" s="44"/>
      <c r="N615" s="45"/>
      <c r="O615" s="18">
        <v>0</v>
      </c>
      <c r="P615" s="18">
        <v>1</v>
      </c>
      <c r="Q615" s="61">
        <v>0.93240000000000001</v>
      </c>
      <c r="R615" s="46"/>
    </row>
    <row r="616" spans="1:18">
      <c r="A616" s="33" t="s">
        <v>4335</v>
      </c>
      <c r="B616" s="40" t="s">
        <v>7800</v>
      </c>
      <c r="C616" s="47">
        <v>41232</v>
      </c>
      <c r="D616" s="47" t="s">
        <v>8465</v>
      </c>
      <c r="E616" s="40" t="s">
        <v>4143</v>
      </c>
      <c r="F616" s="40" t="s">
        <v>4143</v>
      </c>
      <c r="G616" s="42"/>
      <c r="H616" s="65" t="s">
        <v>2820</v>
      </c>
      <c r="J616" s="43"/>
      <c r="K616" s="61">
        <v>0.8</v>
      </c>
      <c r="L616" s="40">
        <v>615</v>
      </c>
      <c r="M616" s="44"/>
      <c r="N616" s="45">
        <f>58/60</f>
        <v>0.96666666666666667</v>
      </c>
      <c r="O616" s="18">
        <v>0</v>
      </c>
      <c r="P616" s="18">
        <v>0</v>
      </c>
      <c r="Q616" s="61">
        <v>0.67269999999999996</v>
      </c>
      <c r="R616" s="46"/>
    </row>
    <row r="617" spans="1:18">
      <c r="A617" s="33" t="s">
        <v>4751</v>
      </c>
      <c r="B617" s="40" t="s">
        <v>7800</v>
      </c>
      <c r="C617" s="47">
        <v>41304</v>
      </c>
      <c r="D617" s="47" t="s">
        <v>8465</v>
      </c>
      <c r="E617" s="40" t="s">
        <v>4752</v>
      </c>
      <c r="F617" s="40" t="s">
        <v>10000</v>
      </c>
      <c r="G617" s="42"/>
      <c r="H617" s="65" t="s">
        <v>2820</v>
      </c>
      <c r="J617" s="43"/>
      <c r="K617" s="61">
        <v>0.8</v>
      </c>
      <c r="L617" s="40">
        <v>616</v>
      </c>
      <c r="M617" s="44"/>
      <c r="N617" s="45">
        <f>1+1/60</f>
        <v>1.0166666666666666</v>
      </c>
      <c r="O617" s="18">
        <v>0</v>
      </c>
      <c r="P617" s="18">
        <v>0</v>
      </c>
      <c r="Q617" s="61">
        <v>0.77459999999999996</v>
      </c>
      <c r="R617" s="46"/>
    </row>
    <row r="618" spans="1:18">
      <c r="A618" s="33" t="s">
        <v>3274</v>
      </c>
      <c r="B618" s="40" t="s">
        <v>7765</v>
      </c>
      <c r="C618" s="47">
        <v>41367</v>
      </c>
      <c r="D618" s="47" t="s">
        <v>8465</v>
      </c>
      <c r="E618" s="40" t="s">
        <v>3116</v>
      </c>
      <c r="F618" s="40" t="s">
        <v>3275</v>
      </c>
      <c r="G618" s="42"/>
      <c r="H618" s="65" t="s">
        <v>56</v>
      </c>
      <c r="J618" s="43"/>
      <c r="K618" s="61">
        <v>0.8</v>
      </c>
      <c r="L618" s="40">
        <v>617</v>
      </c>
      <c r="M618" s="44"/>
      <c r="N618" s="45"/>
      <c r="O618" s="18">
        <v>0</v>
      </c>
      <c r="P618" s="18">
        <v>0</v>
      </c>
      <c r="Q618" s="61">
        <v>0.85089999999999999</v>
      </c>
      <c r="R618" s="46"/>
    </row>
    <row r="619" spans="1:18" ht="51">
      <c r="A619" s="33" t="s">
        <v>10001</v>
      </c>
      <c r="B619" s="40" t="s">
        <v>7800</v>
      </c>
      <c r="C619" s="47">
        <v>39671</v>
      </c>
      <c r="D619" s="47" t="s">
        <v>8465</v>
      </c>
      <c r="E619" s="40" t="s">
        <v>3246</v>
      </c>
      <c r="F619" s="40" t="s">
        <v>3246</v>
      </c>
      <c r="G619" s="42" t="s">
        <v>10002</v>
      </c>
      <c r="H619" s="65" t="s">
        <v>67</v>
      </c>
      <c r="J619" s="43" t="s">
        <v>5165</v>
      </c>
      <c r="K619" s="61">
        <v>0.7</v>
      </c>
      <c r="L619" s="40">
        <v>618</v>
      </c>
      <c r="M619" s="44"/>
      <c r="N619" s="45">
        <v>2</v>
      </c>
      <c r="O619" s="18">
        <v>0</v>
      </c>
      <c r="P619" s="18">
        <v>0</v>
      </c>
      <c r="Q619" s="61">
        <v>0.73329999999999995</v>
      </c>
      <c r="R619" s="46"/>
    </row>
    <row r="620" spans="1:18" ht="25.5">
      <c r="A620" s="33" t="s">
        <v>3616</v>
      </c>
      <c r="B620" s="40" t="s">
        <v>7800</v>
      </c>
      <c r="C620" s="47">
        <v>40927</v>
      </c>
      <c r="D620" s="47" t="s">
        <v>8465</v>
      </c>
      <c r="E620" s="40" t="s">
        <v>3617</v>
      </c>
      <c r="F620" s="40" t="s">
        <v>3617</v>
      </c>
      <c r="G620" s="42"/>
      <c r="H620" s="65" t="s">
        <v>75</v>
      </c>
      <c r="J620" s="43"/>
      <c r="K620" s="61">
        <v>0.8</v>
      </c>
      <c r="L620" s="40">
        <v>619</v>
      </c>
      <c r="M620" s="44"/>
      <c r="N620" s="45">
        <f>14+3/60</f>
        <v>14.05</v>
      </c>
      <c r="O620" s="18">
        <v>0</v>
      </c>
      <c r="P620" s="18">
        <v>0</v>
      </c>
      <c r="Q620" s="61">
        <v>0.875</v>
      </c>
      <c r="R620" s="46"/>
    </row>
    <row r="621" spans="1:18" ht="25.5">
      <c r="A621" s="33" t="s">
        <v>6359</v>
      </c>
      <c r="B621" s="40" t="s">
        <v>7765</v>
      </c>
      <c r="C621" s="47">
        <v>41226</v>
      </c>
      <c r="D621" s="47" t="s">
        <v>8465</v>
      </c>
      <c r="E621" s="40" t="s">
        <v>1273</v>
      </c>
      <c r="F621" s="40" t="s">
        <v>1508</v>
      </c>
      <c r="G621" s="42" t="s">
        <v>3401</v>
      </c>
      <c r="H621" s="65" t="s">
        <v>1050</v>
      </c>
      <c r="J621" s="43"/>
      <c r="K621" s="61">
        <v>0.7</v>
      </c>
      <c r="L621" s="40">
        <v>620</v>
      </c>
      <c r="M621" s="44"/>
      <c r="N621" s="45"/>
      <c r="O621" s="18">
        <v>0</v>
      </c>
      <c r="P621" s="18">
        <v>0</v>
      </c>
      <c r="Q621" s="61">
        <v>0.85529999999999995</v>
      </c>
      <c r="R621" s="46"/>
    </row>
    <row r="622" spans="1:18">
      <c r="A622" s="33" t="s">
        <v>5407</v>
      </c>
      <c r="B622" s="40" t="s">
        <v>7800</v>
      </c>
      <c r="C622" s="47">
        <v>41114</v>
      </c>
      <c r="D622" s="47" t="s">
        <v>8465</v>
      </c>
      <c r="E622" s="40" t="s">
        <v>10003</v>
      </c>
      <c r="F622" s="40" t="s">
        <v>10003</v>
      </c>
      <c r="G622" s="42"/>
      <c r="H622" s="65" t="s">
        <v>27</v>
      </c>
      <c r="J622" s="43"/>
      <c r="K622" s="61">
        <v>0.8</v>
      </c>
      <c r="L622" s="40">
        <v>621</v>
      </c>
      <c r="M622" s="44"/>
      <c r="N622" s="45">
        <v>2</v>
      </c>
      <c r="O622" s="18">
        <v>0</v>
      </c>
      <c r="P622" s="18">
        <v>0</v>
      </c>
      <c r="Q622" s="61">
        <v>0.76919999999999999</v>
      </c>
      <c r="R622" s="46"/>
    </row>
    <row r="623" spans="1:18" ht="25.5">
      <c r="A623" s="33" t="s">
        <v>2485</v>
      </c>
      <c r="B623" s="40" t="s">
        <v>7749</v>
      </c>
      <c r="C623" s="47">
        <v>41434</v>
      </c>
      <c r="D623" s="47" t="s">
        <v>8465</v>
      </c>
      <c r="E623" s="40" t="s">
        <v>86</v>
      </c>
      <c r="F623" s="40" t="s">
        <v>87</v>
      </c>
      <c r="G623" s="42" t="s">
        <v>901</v>
      </c>
      <c r="H623" s="65" t="s">
        <v>1334</v>
      </c>
      <c r="J623" s="43"/>
      <c r="K623" s="61">
        <v>0.9</v>
      </c>
      <c r="L623" s="40">
        <v>622</v>
      </c>
      <c r="M623" s="44"/>
      <c r="N623" s="45"/>
      <c r="O623" s="18">
        <v>0</v>
      </c>
      <c r="P623" s="18">
        <v>0</v>
      </c>
      <c r="Q623" s="61">
        <v>0.86929999999999996</v>
      </c>
      <c r="R623" s="46"/>
    </row>
    <row r="624" spans="1:18">
      <c r="A624" s="33" t="s">
        <v>5039</v>
      </c>
      <c r="B624" s="40" t="s">
        <v>7765</v>
      </c>
      <c r="C624" s="47">
        <v>41135</v>
      </c>
      <c r="D624" s="47" t="s">
        <v>8465</v>
      </c>
      <c r="E624" s="40" t="s">
        <v>1082</v>
      </c>
      <c r="F624" s="40" t="s">
        <v>5040</v>
      </c>
      <c r="G624" s="42" t="s">
        <v>5039</v>
      </c>
      <c r="H624" s="65" t="s">
        <v>1168</v>
      </c>
      <c r="J624" s="43"/>
      <c r="K624" s="61">
        <v>0.9</v>
      </c>
      <c r="L624" s="40">
        <v>623</v>
      </c>
      <c r="M624" s="44"/>
      <c r="N624" s="45"/>
      <c r="O624" s="18">
        <v>0</v>
      </c>
      <c r="P624" s="18">
        <v>0</v>
      </c>
      <c r="Q624" s="61">
        <v>0.81610000000000005</v>
      </c>
      <c r="R624" s="46"/>
    </row>
    <row r="625" spans="1:18">
      <c r="A625" s="33" t="s">
        <v>6430</v>
      </c>
      <c r="B625" s="40" t="s">
        <v>7765</v>
      </c>
      <c r="C625" s="47">
        <v>41324</v>
      </c>
      <c r="D625" s="47" t="s">
        <v>8465</v>
      </c>
      <c r="E625" s="40" t="s">
        <v>6484</v>
      </c>
      <c r="F625" s="40" t="s">
        <v>6484</v>
      </c>
      <c r="G625" s="42"/>
      <c r="H625" s="65" t="s">
        <v>56</v>
      </c>
      <c r="J625" s="43"/>
      <c r="K625" s="61">
        <v>0.7</v>
      </c>
      <c r="L625" s="40">
        <v>624</v>
      </c>
      <c r="M625" s="44"/>
      <c r="N625" s="45"/>
      <c r="O625" s="18">
        <v>0</v>
      </c>
      <c r="P625" s="18">
        <v>0</v>
      </c>
      <c r="Q625" s="61">
        <v>0.8</v>
      </c>
      <c r="R625" s="46"/>
    </row>
    <row r="626" spans="1:18">
      <c r="A626" s="33" t="s">
        <v>2520</v>
      </c>
      <c r="B626" s="40" t="s">
        <v>7751</v>
      </c>
      <c r="C626" s="47">
        <v>34773</v>
      </c>
      <c r="D626" s="47" t="s">
        <v>8465</v>
      </c>
      <c r="E626" s="40" t="s">
        <v>455</v>
      </c>
      <c r="F626" s="40" t="s">
        <v>1944</v>
      </c>
      <c r="G626" s="42" t="s">
        <v>2521</v>
      </c>
      <c r="H626" s="65" t="s">
        <v>80</v>
      </c>
      <c r="J626" s="43"/>
      <c r="K626" s="61">
        <v>0.6</v>
      </c>
      <c r="L626" s="40">
        <v>625</v>
      </c>
      <c r="M626" s="44"/>
      <c r="N626" s="45"/>
      <c r="O626" s="18">
        <v>0</v>
      </c>
      <c r="P626" s="18">
        <v>1</v>
      </c>
      <c r="Q626" s="61">
        <v>0.78</v>
      </c>
      <c r="R626" s="46"/>
    </row>
    <row r="627" spans="1:18">
      <c r="A627" s="33" t="s">
        <v>4415</v>
      </c>
      <c r="B627" s="40" t="s">
        <v>7800</v>
      </c>
      <c r="C627" s="47">
        <v>41085</v>
      </c>
      <c r="D627" s="47" t="s">
        <v>8465</v>
      </c>
      <c r="E627" s="40" t="s">
        <v>10004</v>
      </c>
      <c r="F627" s="40" t="s">
        <v>10004</v>
      </c>
      <c r="G627" s="42"/>
      <c r="H627" s="65" t="s">
        <v>1142</v>
      </c>
      <c r="J627" s="43"/>
      <c r="K627" s="61">
        <v>0.8</v>
      </c>
      <c r="L627" s="40">
        <v>626</v>
      </c>
      <c r="M627" s="44"/>
      <c r="N627" s="45">
        <f>56/60</f>
        <v>0.93333333333333335</v>
      </c>
      <c r="O627" s="18">
        <v>0</v>
      </c>
      <c r="P627" s="18">
        <v>0</v>
      </c>
      <c r="Q627" s="61">
        <v>0.78669999999999995</v>
      </c>
      <c r="R627" s="46"/>
    </row>
    <row r="628" spans="1:18">
      <c r="A628" s="33" t="s">
        <v>2810</v>
      </c>
      <c r="B628" s="40" t="s">
        <v>7781</v>
      </c>
      <c r="C628" s="47">
        <v>40383</v>
      </c>
      <c r="D628" s="47" t="s">
        <v>8465</v>
      </c>
      <c r="E628" s="40" t="s">
        <v>2823</v>
      </c>
      <c r="F628" s="40" t="s">
        <v>2823</v>
      </c>
      <c r="G628" s="42"/>
      <c r="H628" s="65" t="s">
        <v>64</v>
      </c>
      <c r="J628" s="43"/>
      <c r="K628" s="61">
        <v>0.8</v>
      </c>
      <c r="L628" s="40">
        <v>627</v>
      </c>
      <c r="M628" s="44"/>
      <c r="N628" s="45"/>
      <c r="O628" s="18">
        <v>0</v>
      </c>
      <c r="P628" s="18">
        <v>0</v>
      </c>
      <c r="Q628" s="61"/>
      <c r="R628" s="46"/>
    </row>
    <row r="629" spans="1:18">
      <c r="A629" s="33" t="s">
        <v>4541</v>
      </c>
      <c r="B629" s="40" t="s">
        <v>7783</v>
      </c>
      <c r="C629" s="47">
        <v>41087</v>
      </c>
      <c r="D629" s="47" t="s">
        <v>8465</v>
      </c>
      <c r="E629" s="40" t="s">
        <v>4542</v>
      </c>
      <c r="F629" s="40" t="s">
        <v>4542</v>
      </c>
      <c r="G629" s="42"/>
      <c r="H629" s="65" t="s">
        <v>27</v>
      </c>
      <c r="J629" s="43"/>
      <c r="K629" s="61">
        <v>0.7</v>
      </c>
      <c r="L629" s="40">
        <v>628</v>
      </c>
      <c r="M629" s="44"/>
      <c r="N629" s="45"/>
      <c r="O629" s="18">
        <v>0</v>
      </c>
      <c r="P629" s="18">
        <v>0</v>
      </c>
      <c r="Q629" s="61">
        <v>0.85709999999999997</v>
      </c>
      <c r="R629" s="46"/>
    </row>
    <row r="630" spans="1:18">
      <c r="A630" s="33" t="s">
        <v>2438</v>
      </c>
      <c r="B630" s="40" t="s">
        <v>7749</v>
      </c>
      <c r="C630" s="47">
        <v>41438</v>
      </c>
      <c r="D630" s="47" t="s">
        <v>8465</v>
      </c>
      <c r="E630" s="40" t="s">
        <v>1084</v>
      </c>
      <c r="F630" s="40" t="s">
        <v>1084</v>
      </c>
      <c r="G630" s="42" t="s">
        <v>9995</v>
      </c>
      <c r="H630" s="65" t="s">
        <v>27</v>
      </c>
      <c r="J630" s="43"/>
      <c r="K630" s="61">
        <v>0.8</v>
      </c>
      <c r="L630" s="40">
        <v>629</v>
      </c>
      <c r="M630" s="44">
        <v>41484</v>
      </c>
      <c r="N630" s="45">
        <f>1+59/60</f>
        <v>1.9833333333333334</v>
      </c>
      <c r="O630" s="18">
        <v>0</v>
      </c>
      <c r="P630" s="18">
        <v>0</v>
      </c>
      <c r="Q630" s="61">
        <v>0.72360000000000002</v>
      </c>
      <c r="R630" s="46"/>
    </row>
    <row r="631" spans="1:18">
      <c r="A631" s="33" t="s">
        <v>7328</v>
      </c>
      <c r="B631" s="40" t="s">
        <v>7783</v>
      </c>
      <c r="C631" s="47">
        <v>40913</v>
      </c>
      <c r="D631" s="47" t="s">
        <v>8465</v>
      </c>
      <c r="E631" s="40" t="s">
        <v>7279</v>
      </c>
      <c r="F631" s="40" t="s">
        <v>7279</v>
      </c>
      <c r="G631" s="42"/>
      <c r="H631" s="65" t="s">
        <v>1334</v>
      </c>
      <c r="J631" s="43"/>
      <c r="K631" s="61">
        <v>0.7</v>
      </c>
      <c r="L631" s="40">
        <v>630</v>
      </c>
      <c r="M631" s="44">
        <v>41485</v>
      </c>
      <c r="N631" s="45"/>
      <c r="O631" s="18">
        <v>0</v>
      </c>
      <c r="P631" s="18">
        <v>0</v>
      </c>
      <c r="Q631" s="61">
        <v>0.75</v>
      </c>
      <c r="R631" s="46"/>
    </row>
    <row r="632" spans="1:18">
      <c r="A632" s="33" t="s">
        <v>1581</v>
      </c>
      <c r="B632" s="40" t="s">
        <v>7765</v>
      </c>
      <c r="C632" s="47">
        <v>40820</v>
      </c>
      <c r="D632" s="47" t="s">
        <v>8465</v>
      </c>
      <c r="E632" s="40" t="s">
        <v>1509</v>
      </c>
      <c r="F632" s="40" t="s">
        <v>1580</v>
      </c>
      <c r="G632" s="42" t="s">
        <v>3566</v>
      </c>
      <c r="H632" s="65" t="s">
        <v>171</v>
      </c>
      <c r="J632" s="43"/>
      <c r="K632" s="61">
        <v>1</v>
      </c>
      <c r="L632" s="40">
        <v>631</v>
      </c>
      <c r="M632" s="44">
        <v>41487</v>
      </c>
      <c r="N632" s="45">
        <v>53</v>
      </c>
      <c r="O632" s="18">
        <v>0</v>
      </c>
      <c r="P632" s="18">
        <v>0</v>
      </c>
      <c r="Q632" s="61">
        <v>0.88229999999999997</v>
      </c>
      <c r="R632" s="46"/>
    </row>
    <row r="633" spans="1:18" ht="25.5">
      <c r="A633" s="33" t="s">
        <v>1821</v>
      </c>
      <c r="B633" s="40" t="s">
        <v>7749</v>
      </c>
      <c r="C633" s="47">
        <v>41424</v>
      </c>
      <c r="D633" s="47" t="s">
        <v>8465</v>
      </c>
      <c r="E633" s="40" t="s">
        <v>86</v>
      </c>
      <c r="F633" s="40" t="s">
        <v>73</v>
      </c>
      <c r="G633" s="42" t="s">
        <v>85</v>
      </c>
      <c r="H633" s="65" t="s">
        <v>80</v>
      </c>
      <c r="J633" s="43"/>
      <c r="K633" s="61">
        <v>0.9</v>
      </c>
      <c r="L633" s="40">
        <v>632</v>
      </c>
      <c r="M633" s="44">
        <v>41488</v>
      </c>
      <c r="N633" s="45">
        <f>16+42/60</f>
        <v>16.7</v>
      </c>
      <c r="O633" s="18">
        <v>0</v>
      </c>
      <c r="P633" s="18">
        <v>0</v>
      </c>
      <c r="Q633" s="61"/>
      <c r="R633" s="46"/>
    </row>
    <row r="634" spans="1:18">
      <c r="A634" s="33" t="s">
        <v>900</v>
      </c>
      <c r="B634" s="40" t="s">
        <v>7739</v>
      </c>
      <c r="C634" s="47">
        <v>35334</v>
      </c>
      <c r="D634" s="47" t="s">
        <v>8465</v>
      </c>
      <c r="E634" s="40" t="s">
        <v>86</v>
      </c>
      <c r="F634" s="40" t="s">
        <v>87</v>
      </c>
      <c r="G634" s="42" t="s">
        <v>137</v>
      </c>
      <c r="H634" s="65" t="s">
        <v>1040</v>
      </c>
      <c r="J634" s="43"/>
      <c r="K634" s="61">
        <v>0.9</v>
      </c>
      <c r="L634" s="40">
        <v>633</v>
      </c>
      <c r="M634" s="44">
        <v>41496</v>
      </c>
      <c r="N634" s="45"/>
      <c r="O634" s="18">
        <v>0</v>
      </c>
      <c r="P634" s="18">
        <v>1</v>
      </c>
      <c r="Q634" s="61">
        <v>0.96409999999999996</v>
      </c>
      <c r="R634" s="46"/>
    </row>
    <row r="635" spans="1:18">
      <c r="A635" s="33" t="s">
        <v>3344</v>
      </c>
      <c r="B635" s="40" t="s">
        <v>7800</v>
      </c>
      <c r="C635" s="47">
        <v>41255</v>
      </c>
      <c r="D635" s="47" t="s">
        <v>8465</v>
      </c>
      <c r="E635" s="40" t="s">
        <v>10005</v>
      </c>
      <c r="F635" s="40" t="s">
        <v>10005</v>
      </c>
      <c r="G635" s="42" t="s">
        <v>3344</v>
      </c>
      <c r="H635" s="65" t="s">
        <v>147</v>
      </c>
      <c r="J635" s="43"/>
      <c r="K635" s="61">
        <v>0.8</v>
      </c>
      <c r="L635" s="40">
        <v>634</v>
      </c>
      <c r="M635" s="44">
        <v>41496</v>
      </c>
      <c r="N635" s="45">
        <f>2+6/60</f>
        <v>2.1</v>
      </c>
      <c r="O635" s="18">
        <v>0</v>
      </c>
      <c r="P635" s="18">
        <v>0</v>
      </c>
      <c r="Q635" s="61">
        <v>0.76500000000000001</v>
      </c>
      <c r="R635" s="46"/>
    </row>
    <row r="636" spans="1:18">
      <c r="A636" s="33" t="s">
        <v>3231</v>
      </c>
      <c r="B636" s="40" t="s">
        <v>7800</v>
      </c>
      <c r="C636" s="47">
        <v>40968</v>
      </c>
      <c r="D636" s="47" t="s">
        <v>8465</v>
      </c>
      <c r="E636" s="40" t="s">
        <v>9970</v>
      </c>
      <c r="F636" s="40" t="s">
        <v>9970</v>
      </c>
      <c r="G636" s="42" t="s">
        <v>3231</v>
      </c>
      <c r="H636" s="65" t="s">
        <v>1220</v>
      </c>
      <c r="J636" s="43"/>
      <c r="K636" s="61">
        <v>0.7</v>
      </c>
      <c r="L636" s="40">
        <v>635</v>
      </c>
      <c r="M636" s="44">
        <v>41497</v>
      </c>
      <c r="N636" s="45">
        <f>2.5</f>
        <v>2.5</v>
      </c>
      <c r="O636" s="18">
        <v>0</v>
      </c>
      <c r="P636" s="18">
        <v>0</v>
      </c>
      <c r="Q636" s="61"/>
      <c r="R636" s="46"/>
    </row>
    <row r="637" spans="1:18">
      <c r="A637" s="33" t="s">
        <v>5667</v>
      </c>
      <c r="B637" s="40" t="s">
        <v>7800</v>
      </c>
      <c r="C637" s="47">
        <v>40695</v>
      </c>
      <c r="D637" s="47" t="s">
        <v>8465</v>
      </c>
      <c r="E637" s="40" t="s">
        <v>5700</v>
      </c>
      <c r="F637" s="40" t="s">
        <v>5700</v>
      </c>
      <c r="G637" s="42"/>
      <c r="H637" s="65" t="s">
        <v>64</v>
      </c>
      <c r="J637" s="43"/>
      <c r="K637" s="61">
        <v>0.6</v>
      </c>
      <c r="L637" s="40">
        <v>636</v>
      </c>
      <c r="M637" s="44">
        <v>41497</v>
      </c>
      <c r="N637" s="45"/>
      <c r="O637" s="18">
        <v>0</v>
      </c>
      <c r="P637" s="18">
        <v>0</v>
      </c>
      <c r="Q637" s="61"/>
      <c r="R637" s="46"/>
    </row>
    <row r="638" spans="1:18">
      <c r="A638" s="33" t="s">
        <v>5668</v>
      </c>
      <c r="B638" s="40" t="s">
        <v>7800</v>
      </c>
      <c r="C638" s="47">
        <v>40301</v>
      </c>
      <c r="D638" s="47" t="s">
        <v>8465</v>
      </c>
      <c r="E638" s="40" t="s">
        <v>5701</v>
      </c>
      <c r="F638" s="40" t="s">
        <v>5701</v>
      </c>
      <c r="G638" s="42" t="s">
        <v>5702</v>
      </c>
      <c r="H638" s="65" t="s">
        <v>151</v>
      </c>
      <c r="J638" s="43"/>
      <c r="K638" s="61">
        <v>0.8</v>
      </c>
      <c r="L638" s="40">
        <v>637</v>
      </c>
      <c r="M638" s="44">
        <v>41498</v>
      </c>
      <c r="N638" s="45">
        <f>1+17/60+59/3600</f>
        <v>1.299722222222222</v>
      </c>
      <c r="O638" s="18">
        <v>0</v>
      </c>
      <c r="P638" s="18">
        <v>0</v>
      </c>
      <c r="Q638" s="61"/>
      <c r="R638" s="46"/>
    </row>
    <row r="639" spans="1:18">
      <c r="A639" s="33" t="s">
        <v>5669</v>
      </c>
      <c r="B639" s="40" t="s">
        <v>7800</v>
      </c>
      <c r="C639" s="47">
        <v>40966</v>
      </c>
      <c r="D639" s="47" t="s">
        <v>8465</v>
      </c>
      <c r="E639" s="40" t="s">
        <v>5703</v>
      </c>
      <c r="F639" s="40" t="s">
        <v>5703</v>
      </c>
      <c r="G639" s="42"/>
      <c r="H639" s="65" t="s">
        <v>1061</v>
      </c>
      <c r="J639" s="43"/>
      <c r="K639" s="61">
        <v>0.7</v>
      </c>
      <c r="L639" s="40">
        <v>638</v>
      </c>
      <c r="M639" s="44">
        <v>41498</v>
      </c>
      <c r="N639" s="45"/>
      <c r="O639" s="18">
        <v>0</v>
      </c>
      <c r="P639" s="18">
        <v>0</v>
      </c>
      <c r="Q639" s="61"/>
      <c r="R639" s="46"/>
    </row>
    <row r="640" spans="1:18">
      <c r="A640" s="33" t="s">
        <v>1149</v>
      </c>
      <c r="B640" s="40" t="s">
        <v>7749</v>
      </c>
      <c r="C640" s="47">
        <v>40885</v>
      </c>
      <c r="D640" s="47" t="s">
        <v>8465</v>
      </c>
      <c r="E640" s="40" t="s">
        <v>86</v>
      </c>
      <c r="F640" s="40" t="s">
        <v>1069</v>
      </c>
      <c r="G640" s="42" t="s">
        <v>1149</v>
      </c>
      <c r="H640" s="65" t="s">
        <v>78</v>
      </c>
      <c r="J640" s="43"/>
      <c r="K640" s="61">
        <v>0.8</v>
      </c>
      <c r="L640" s="40">
        <v>639</v>
      </c>
      <c r="M640" s="44">
        <v>41500</v>
      </c>
      <c r="N640" s="45">
        <f>12+38/60</f>
        <v>12.633333333333333</v>
      </c>
      <c r="O640" s="18">
        <v>0</v>
      </c>
      <c r="P640" s="18">
        <v>0</v>
      </c>
      <c r="Q640" s="61">
        <v>0.91500000000000004</v>
      </c>
      <c r="R640" s="46"/>
    </row>
    <row r="641" spans="1:18">
      <c r="A641" s="33" t="s">
        <v>104</v>
      </c>
      <c r="B641" s="40" t="s">
        <v>7749</v>
      </c>
      <c r="C641" s="47">
        <v>41389</v>
      </c>
      <c r="D641" s="47" t="s">
        <v>8465</v>
      </c>
      <c r="E641" s="40" t="s">
        <v>73</v>
      </c>
      <c r="F641" s="40" t="s">
        <v>73</v>
      </c>
      <c r="G641" s="42" t="s">
        <v>89</v>
      </c>
      <c r="H641" s="65" t="s">
        <v>56</v>
      </c>
      <c r="J641" s="43"/>
      <c r="K641" s="61">
        <v>0.8</v>
      </c>
      <c r="L641" s="40">
        <v>640</v>
      </c>
      <c r="M641" s="44">
        <v>41501</v>
      </c>
      <c r="N641" s="45">
        <f>5+54/60</f>
        <v>5.9</v>
      </c>
      <c r="O641" s="18">
        <v>0</v>
      </c>
      <c r="P641" s="18">
        <v>0</v>
      </c>
      <c r="Q641" s="61"/>
      <c r="R641" s="46"/>
    </row>
    <row r="642" spans="1:18" ht="25.5">
      <c r="A642" s="33" t="s">
        <v>2144</v>
      </c>
      <c r="B642" s="40" t="s">
        <v>7757</v>
      </c>
      <c r="C642" s="47">
        <v>36615</v>
      </c>
      <c r="D642" s="47" t="s">
        <v>8465</v>
      </c>
      <c r="E642" s="40" t="s">
        <v>228</v>
      </c>
      <c r="F642" s="40" t="s">
        <v>2285</v>
      </c>
      <c r="G642" s="42" t="s">
        <v>2907</v>
      </c>
      <c r="H642" s="65" t="s">
        <v>75</v>
      </c>
      <c r="J642" s="43"/>
      <c r="K642" s="61">
        <v>0.6</v>
      </c>
      <c r="L642" s="40">
        <v>641</v>
      </c>
      <c r="M642" s="44">
        <v>41502</v>
      </c>
      <c r="N642" s="45">
        <f>7+18/60+11/3600</f>
        <v>7.303055555555555</v>
      </c>
      <c r="O642" s="18">
        <v>0</v>
      </c>
      <c r="P642" s="18">
        <v>1</v>
      </c>
      <c r="Q642" s="61">
        <v>0.68200000000000005</v>
      </c>
      <c r="R642" s="46"/>
    </row>
    <row r="643" spans="1:18" ht="25.5">
      <c r="A643" s="33" t="s">
        <v>2442</v>
      </c>
      <c r="B643" s="40" t="s">
        <v>7749</v>
      </c>
      <c r="C643" s="47">
        <v>40941</v>
      </c>
      <c r="D643" s="47" t="s">
        <v>8465</v>
      </c>
      <c r="E643" s="40" t="s">
        <v>86</v>
      </c>
      <c r="F643" s="40" t="s">
        <v>2479</v>
      </c>
      <c r="G643" s="42"/>
      <c r="H643" s="65" t="s">
        <v>1059</v>
      </c>
      <c r="J643" s="43"/>
      <c r="K643" s="61">
        <v>0.7</v>
      </c>
      <c r="L643" s="40">
        <v>642</v>
      </c>
      <c r="M643" s="44">
        <v>41503</v>
      </c>
      <c r="N643" s="45">
        <f>3+23/60</f>
        <v>3.3833333333333333</v>
      </c>
      <c r="O643" s="18">
        <v>0</v>
      </c>
      <c r="P643" s="18">
        <v>0</v>
      </c>
      <c r="Q643" s="61">
        <v>0.70940000000000003</v>
      </c>
      <c r="R643" s="46"/>
    </row>
    <row r="644" spans="1:18">
      <c r="A644" s="33" t="s">
        <v>4974</v>
      </c>
      <c r="B644" s="40" t="s">
        <v>7800</v>
      </c>
      <c r="C644" s="47">
        <v>40477</v>
      </c>
      <c r="D644" s="47" t="s">
        <v>8465</v>
      </c>
      <c r="E644" s="40" t="s">
        <v>3521</v>
      </c>
      <c r="F644" s="40" t="s">
        <v>3521</v>
      </c>
      <c r="G644" s="42" t="s">
        <v>4974</v>
      </c>
      <c r="H644" s="65" t="s">
        <v>153</v>
      </c>
      <c r="J644" s="43"/>
      <c r="K644" s="61">
        <v>0.6</v>
      </c>
      <c r="L644" s="40">
        <v>643</v>
      </c>
      <c r="M644" s="44">
        <v>41504</v>
      </c>
      <c r="N644" s="45">
        <f>2+15/60+19/3600</f>
        <v>2.2552777777777777</v>
      </c>
      <c r="O644" s="18">
        <v>0</v>
      </c>
      <c r="P644" s="18">
        <v>0</v>
      </c>
      <c r="Q644" s="61">
        <v>0.68110000000000004</v>
      </c>
      <c r="R644" s="46"/>
    </row>
    <row r="645" spans="1:18" ht="25.5">
      <c r="A645" s="33" t="s">
        <v>4098</v>
      </c>
      <c r="B645" s="40" t="s">
        <v>7800</v>
      </c>
      <c r="C645" s="47">
        <v>40808</v>
      </c>
      <c r="D645" s="47" t="s">
        <v>8465</v>
      </c>
      <c r="E645" s="40" t="s">
        <v>3246</v>
      </c>
      <c r="F645" s="40" t="s">
        <v>3246</v>
      </c>
      <c r="G645" s="42"/>
      <c r="H645" s="65" t="s">
        <v>67</v>
      </c>
      <c r="J645" s="43"/>
      <c r="K645" s="61">
        <v>0.5</v>
      </c>
      <c r="L645" s="40">
        <v>644</v>
      </c>
      <c r="M645" s="44">
        <v>41507</v>
      </c>
      <c r="N645" s="45">
        <f>4+59/60</f>
        <v>4.9833333333333334</v>
      </c>
      <c r="O645" s="18">
        <v>0</v>
      </c>
      <c r="P645" s="18">
        <v>0</v>
      </c>
      <c r="Q645" s="61">
        <v>0.75039999999999996</v>
      </c>
      <c r="R645" s="46"/>
    </row>
    <row r="646" spans="1:18">
      <c r="A646" s="33" t="s">
        <v>135</v>
      </c>
      <c r="B646" s="40" t="s">
        <v>7734</v>
      </c>
      <c r="C646" s="47">
        <v>33593</v>
      </c>
      <c r="D646" s="47" t="s">
        <v>8463</v>
      </c>
      <c r="E646" s="40" t="s">
        <v>157</v>
      </c>
      <c r="F646" s="40" t="s">
        <v>66</v>
      </c>
      <c r="G646" s="42" t="s">
        <v>8119</v>
      </c>
      <c r="H646" s="65" t="s">
        <v>56</v>
      </c>
      <c r="J646" s="43"/>
      <c r="K646" s="61">
        <v>0.6</v>
      </c>
      <c r="L646" s="40">
        <v>645</v>
      </c>
      <c r="M646" s="44">
        <v>41507</v>
      </c>
      <c r="N646" s="45"/>
      <c r="O646" s="18">
        <v>0</v>
      </c>
      <c r="P646" s="18">
        <v>1</v>
      </c>
      <c r="Q646" s="61"/>
      <c r="R646" s="46"/>
    </row>
    <row r="647" spans="1:18">
      <c r="A647" s="33" t="s">
        <v>2811</v>
      </c>
      <c r="B647" s="40" t="s">
        <v>7781</v>
      </c>
      <c r="C647" s="47">
        <v>41507</v>
      </c>
      <c r="D647" s="47" t="s">
        <v>8465</v>
      </c>
      <c r="E647" s="40" t="s">
        <v>3272</v>
      </c>
      <c r="F647" s="40" t="s">
        <v>2823</v>
      </c>
      <c r="G647" s="42"/>
      <c r="H647" s="65" t="s">
        <v>31</v>
      </c>
      <c r="J647" s="43"/>
      <c r="K647" s="61">
        <v>0.8</v>
      </c>
      <c r="L647" s="40">
        <v>646</v>
      </c>
      <c r="M647" s="44">
        <v>41508</v>
      </c>
      <c r="N647" s="45">
        <f>44/60</f>
        <v>0.73333333333333328</v>
      </c>
      <c r="O647" s="18">
        <v>0</v>
      </c>
      <c r="P647" s="18">
        <v>0</v>
      </c>
      <c r="Q647" s="61"/>
      <c r="R647" s="46"/>
    </row>
    <row r="648" spans="1:18" ht="30">
      <c r="A648" s="33" t="s">
        <v>4082</v>
      </c>
      <c r="B648" s="40" t="s">
        <v>7800</v>
      </c>
      <c r="C648" s="47">
        <v>41498</v>
      </c>
      <c r="D648" s="47" t="s">
        <v>8465</v>
      </c>
      <c r="E648" s="40" t="s">
        <v>4083</v>
      </c>
      <c r="F648" s="40" t="s">
        <v>10006</v>
      </c>
      <c r="G648" s="42"/>
      <c r="H648" s="65" t="s">
        <v>171</v>
      </c>
      <c r="J648" s="43"/>
      <c r="K648" s="61">
        <v>0.7</v>
      </c>
      <c r="L648" s="40">
        <v>647</v>
      </c>
      <c r="M648" s="44">
        <v>41508</v>
      </c>
      <c r="N648" s="45">
        <f>6+6/60</f>
        <v>6.1</v>
      </c>
      <c r="O648" s="18">
        <v>0</v>
      </c>
      <c r="P648" s="18">
        <v>0</v>
      </c>
      <c r="Q648" s="61">
        <v>0.71750000000000003</v>
      </c>
      <c r="R648" s="46"/>
    </row>
    <row r="649" spans="1:18">
      <c r="A649" s="33" t="s">
        <v>4975</v>
      </c>
      <c r="B649" s="40" t="s">
        <v>7800</v>
      </c>
      <c r="C649" s="47">
        <v>40946</v>
      </c>
      <c r="D649" s="47" t="s">
        <v>8465</v>
      </c>
      <c r="E649" s="40" t="s">
        <v>3521</v>
      </c>
      <c r="F649" s="40" t="s">
        <v>3521</v>
      </c>
      <c r="G649" s="42" t="s">
        <v>4974</v>
      </c>
      <c r="H649" s="65" t="s">
        <v>153</v>
      </c>
      <c r="J649" s="43"/>
      <c r="K649" s="61">
        <v>0.7</v>
      </c>
      <c r="L649" s="40">
        <v>648</v>
      </c>
      <c r="M649" s="44">
        <v>41510</v>
      </c>
      <c r="N649" s="45">
        <f>3+16/60</f>
        <v>3.2666666666666666</v>
      </c>
      <c r="O649" s="18">
        <v>0</v>
      </c>
      <c r="P649" s="18">
        <v>0</v>
      </c>
      <c r="Q649" s="61">
        <v>0.71899999999999997</v>
      </c>
      <c r="R649" s="46"/>
    </row>
    <row r="650" spans="1:18" ht="38.25">
      <c r="A650" s="33" t="s">
        <v>2486</v>
      </c>
      <c r="B650" s="40" t="s">
        <v>7749</v>
      </c>
      <c r="C650" s="47">
        <v>41338</v>
      </c>
      <c r="D650" s="47" t="s">
        <v>8465</v>
      </c>
      <c r="E650" s="40" t="s">
        <v>72</v>
      </c>
      <c r="F650" s="40" t="s">
        <v>2456</v>
      </c>
      <c r="G650" s="42" t="s">
        <v>113</v>
      </c>
      <c r="H650" s="65" t="s">
        <v>80</v>
      </c>
      <c r="J650" s="43"/>
      <c r="K650" s="61">
        <v>0.7</v>
      </c>
      <c r="L650" s="40">
        <v>649</v>
      </c>
      <c r="M650" s="44">
        <v>41522</v>
      </c>
      <c r="N650" s="45">
        <f>8+40/60</f>
        <v>8.6666666666666661</v>
      </c>
      <c r="O650" s="18">
        <v>0</v>
      </c>
      <c r="P650" s="18">
        <v>0</v>
      </c>
      <c r="Q650" s="61">
        <v>0.71809999999999996</v>
      </c>
      <c r="R650" s="46"/>
    </row>
    <row r="651" spans="1:18">
      <c r="A651" s="33" t="s">
        <v>2812</v>
      </c>
      <c r="B651" s="40" t="s">
        <v>7781</v>
      </c>
      <c r="C651" s="47">
        <v>41536</v>
      </c>
      <c r="D651" s="47" t="s">
        <v>8465</v>
      </c>
      <c r="E651" s="40" t="s">
        <v>2824</v>
      </c>
      <c r="F651" s="40" t="s">
        <v>2824</v>
      </c>
      <c r="G651" s="42"/>
      <c r="H651" s="65" t="s">
        <v>78</v>
      </c>
      <c r="J651" s="43"/>
      <c r="K651" s="61">
        <v>0.8</v>
      </c>
      <c r="L651" s="40">
        <v>650</v>
      </c>
      <c r="M651" s="44">
        <v>41545</v>
      </c>
      <c r="N651" s="45"/>
      <c r="O651" s="18">
        <v>0</v>
      </c>
      <c r="P651" s="18">
        <v>0</v>
      </c>
      <c r="Q651" s="61"/>
      <c r="R651" s="46"/>
    </row>
    <row r="652" spans="1:18" ht="25.5">
      <c r="A652" s="33" t="s">
        <v>5670</v>
      </c>
      <c r="B652" s="40" t="s">
        <v>7800</v>
      </c>
      <c r="C652" s="47">
        <v>41264</v>
      </c>
      <c r="D652" s="47" t="s">
        <v>8465</v>
      </c>
      <c r="E652" s="40" t="s">
        <v>5704</v>
      </c>
      <c r="F652" s="40" t="s">
        <v>5704</v>
      </c>
      <c r="G652" s="42"/>
      <c r="H652" s="65" t="s">
        <v>2820</v>
      </c>
      <c r="J652" s="43"/>
      <c r="K652" s="61">
        <v>0.7</v>
      </c>
      <c r="L652" s="40">
        <v>651</v>
      </c>
      <c r="M652" s="44">
        <v>41549</v>
      </c>
      <c r="N652" s="45">
        <v>0.16666666666666666</v>
      </c>
      <c r="O652" s="18">
        <v>0</v>
      </c>
      <c r="P652" s="18">
        <v>0</v>
      </c>
      <c r="Q652" s="61"/>
      <c r="R652" s="46"/>
    </row>
    <row r="653" spans="1:18">
      <c r="A653" s="33" t="s">
        <v>7296</v>
      </c>
      <c r="B653" s="40" t="s">
        <v>7783</v>
      </c>
      <c r="C653" s="47">
        <v>40970</v>
      </c>
      <c r="D653" s="47" t="s">
        <v>8465</v>
      </c>
      <c r="E653" s="40" t="s">
        <v>7279</v>
      </c>
      <c r="F653" s="40" t="s">
        <v>7279</v>
      </c>
      <c r="G653" s="42"/>
      <c r="H653" s="65" t="s">
        <v>1334</v>
      </c>
      <c r="J653" s="43"/>
      <c r="K653" s="61">
        <v>0.8</v>
      </c>
      <c r="L653" s="40">
        <v>652</v>
      </c>
      <c r="M653" s="44">
        <v>41550</v>
      </c>
      <c r="N653" s="45"/>
      <c r="O653" s="18">
        <v>0</v>
      </c>
      <c r="P653" s="18">
        <v>0</v>
      </c>
      <c r="Q653" s="61">
        <v>0.92500000000000004</v>
      </c>
      <c r="R653" s="46"/>
    </row>
    <row r="654" spans="1:18">
      <c r="A654" s="33" t="s">
        <v>6431</v>
      </c>
      <c r="B654" s="40" t="s">
        <v>7765</v>
      </c>
      <c r="C654" s="47">
        <v>41165</v>
      </c>
      <c r="D654" s="47" t="s">
        <v>8465</v>
      </c>
      <c r="E654" s="40" t="s">
        <v>6485</v>
      </c>
      <c r="F654" s="40" t="s">
        <v>6485</v>
      </c>
      <c r="G654" s="42"/>
      <c r="H654" s="65" t="s">
        <v>31</v>
      </c>
      <c r="J654" s="43"/>
      <c r="K654" s="61">
        <v>0.8</v>
      </c>
      <c r="L654" s="40">
        <v>653</v>
      </c>
      <c r="M654" s="44">
        <v>41552</v>
      </c>
      <c r="N654" s="45"/>
      <c r="O654" s="18">
        <v>0</v>
      </c>
      <c r="P654" s="18">
        <v>0</v>
      </c>
      <c r="Q654" s="61">
        <v>0.9</v>
      </c>
      <c r="R654" s="46"/>
    </row>
    <row r="655" spans="1:18">
      <c r="A655" s="33" t="s">
        <v>1777</v>
      </c>
      <c r="B655" s="40" t="s">
        <v>7745</v>
      </c>
      <c r="C655" s="41">
        <v>34060</v>
      </c>
      <c r="D655" s="47" t="s">
        <v>8465</v>
      </c>
      <c r="E655" s="40" t="s">
        <v>158</v>
      </c>
      <c r="F655" s="40" t="s">
        <v>158</v>
      </c>
      <c r="G655" s="42"/>
      <c r="H655" s="65" t="s">
        <v>149</v>
      </c>
      <c r="J655" s="43"/>
      <c r="K655" s="61">
        <v>0.7</v>
      </c>
      <c r="L655" s="40">
        <v>654</v>
      </c>
      <c r="M655" s="44">
        <v>41567</v>
      </c>
      <c r="N655" s="45"/>
      <c r="O655" s="18">
        <v>0</v>
      </c>
      <c r="P655" s="18">
        <v>1</v>
      </c>
      <c r="Q655" s="61">
        <v>0.70250000000000001</v>
      </c>
      <c r="R655" s="46"/>
    </row>
    <row r="656" spans="1:18">
      <c r="A656" s="33" t="s">
        <v>7353</v>
      </c>
      <c r="B656" s="40" t="s">
        <v>7783</v>
      </c>
      <c r="C656" s="47">
        <v>41164</v>
      </c>
      <c r="D656" s="47" t="s">
        <v>8465</v>
      </c>
      <c r="E656" s="40" t="s">
        <v>7354</v>
      </c>
      <c r="F656" s="40" t="s">
        <v>7354</v>
      </c>
      <c r="G656" s="42" t="s">
        <v>7353</v>
      </c>
      <c r="H656" s="65" t="s">
        <v>67</v>
      </c>
      <c r="J656" s="43"/>
      <c r="K656" s="61">
        <v>0.9</v>
      </c>
      <c r="L656" s="40">
        <v>655</v>
      </c>
      <c r="M656" s="44">
        <v>41573</v>
      </c>
      <c r="N656" s="45"/>
      <c r="O656" s="18">
        <v>0</v>
      </c>
      <c r="P656" s="18">
        <v>0</v>
      </c>
      <c r="Q656" s="61">
        <v>0.88749999999999996</v>
      </c>
      <c r="R656" s="46"/>
    </row>
    <row r="657" spans="1:18">
      <c r="A657" s="33" t="s">
        <v>7857</v>
      </c>
      <c r="B657" s="40" t="s">
        <v>7800</v>
      </c>
      <c r="C657" s="47">
        <v>41565</v>
      </c>
      <c r="D657" s="47" t="s">
        <v>8465</v>
      </c>
      <c r="E657" s="40" t="s">
        <v>7858</v>
      </c>
      <c r="F657" s="40" t="s">
        <v>7858</v>
      </c>
      <c r="G657" s="42"/>
      <c r="H657" s="65" t="s">
        <v>2820</v>
      </c>
      <c r="J657" s="43"/>
      <c r="K657" s="61">
        <v>0.7</v>
      </c>
      <c r="L657" s="40">
        <v>656</v>
      </c>
      <c r="M657" s="44">
        <v>41579</v>
      </c>
      <c r="N657" s="45"/>
      <c r="O657" s="18">
        <v>0</v>
      </c>
      <c r="P657" s="18">
        <v>0</v>
      </c>
      <c r="Q657" s="61"/>
      <c r="R657" s="46"/>
    </row>
    <row r="658" spans="1:18">
      <c r="A658" s="33" t="s">
        <v>7852</v>
      </c>
      <c r="B658" s="40" t="s">
        <v>7800</v>
      </c>
      <c r="C658" s="41">
        <v>39814</v>
      </c>
      <c r="D658" s="47" t="s">
        <v>8465</v>
      </c>
      <c r="E658" s="40" t="s">
        <v>7853</v>
      </c>
      <c r="F658" s="40" t="s">
        <v>7853</v>
      </c>
      <c r="G658" s="42"/>
      <c r="H658" s="65" t="s">
        <v>56</v>
      </c>
      <c r="J658" s="43"/>
      <c r="K658" s="61">
        <v>0.8</v>
      </c>
      <c r="L658" s="40">
        <v>657</v>
      </c>
      <c r="M658" s="44">
        <v>41579</v>
      </c>
      <c r="N658" s="45"/>
      <c r="O658" s="18">
        <v>0</v>
      </c>
      <c r="P658" s="18">
        <v>0</v>
      </c>
      <c r="Q658" s="61"/>
      <c r="R658" s="46"/>
    </row>
    <row r="659" spans="1:18">
      <c r="A659" s="33" t="s">
        <v>5604</v>
      </c>
      <c r="B659" s="40" t="s">
        <v>7783</v>
      </c>
      <c r="C659" s="47">
        <v>41326</v>
      </c>
      <c r="D659" s="47" t="s">
        <v>8465</v>
      </c>
      <c r="E659" s="40" t="s">
        <v>5605</v>
      </c>
      <c r="F659" s="40" t="s">
        <v>5605</v>
      </c>
      <c r="G659" s="42"/>
      <c r="H659" s="65" t="s">
        <v>67</v>
      </c>
      <c r="J659" s="43"/>
      <c r="K659" s="61">
        <v>0.9</v>
      </c>
      <c r="L659" s="40">
        <v>658</v>
      </c>
      <c r="M659" s="44">
        <v>41579</v>
      </c>
      <c r="N659" s="45"/>
      <c r="O659" s="18">
        <v>0</v>
      </c>
      <c r="P659" s="18">
        <v>0</v>
      </c>
      <c r="Q659" s="61">
        <v>0.87380000000000002</v>
      </c>
      <c r="R659" s="46"/>
    </row>
    <row r="660" spans="1:18">
      <c r="A660" s="33" t="s">
        <v>7334</v>
      </c>
      <c r="B660" s="40" t="s">
        <v>7783</v>
      </c>
      <c r="C660" s="47">
        <v>41207</v>
      </c>
      <c r="D660" s="47" t="s">
        <v>8465</v>
      </c>
      <c r="E660" s="40" t="s">
        <v>7335</v>
      </c>
      <c r="F660" s="40" t="s">
        <v>7335</v>
      </c>
      <c r="G660" s="42"/>
      <c r="H660" s="65" t="s">
        <v>1089</v>
      </c>
      <c r="J660" s="43"/>
      <c r="K660" s="61">
        <v>0.8</v>
      </c>
      <c r="L660" s="40">
        <v>659</v>
      </c>
      <c r="M660" s="44">
        <v>41580</v>
      </c>
      <c r="N660" s="45">
        <f>2+22/60+12/3600</f>
        <v>2.37</v>
      </c>
      <c r="O660" s="18">
        <v>0</v>
      </c>
      <c r="P660" s="18">
        <v>0</v>
      </c>
      <c r="Q660" s="61">
        <v>0.91800000000000004</v>
      </c>
      <c r="R660" s="46"/>
    </row>
    <row r="661" spans="1:18">
      <c r="A661" s="33" t="s">
        <v>7323</v>
      </c>
      <c r="B661" s="40" t="s">
        <v>7783</v>
      </c>
      <c r="C661" s="47">
        <v>41335</v>
      </c>
      <c r="D661" s="47" t="s">
        <v>8465</v>
      </c>
      <c r="E661" s="40" t="s">
        <v>7324</v>
      </c>
      <c r="F661" s="40" t="s">
        <v>7324</v>
      </c>
      <c r="G661" s="42"/>
      <c r="H661" s="65" t="s">
        <v>149</v>
      </c>
      <c r="J661" s="43"/>
      <c r="K661" s="61">
        <v>0.6</v>
      </c>
      <c r="L661" s="40">
        <v>660</v>
      </c>
      <c r="M661" s="44">
        <v>41585</v>
      </c>
      <c r="N661" s="45"/>
      <c r="O661" s="18">
        <v>0</v>
      </c>
      <c r="P661" s="18">
        <v>0</v>
      </c>
      <c r="Q661" s="61">
        <v>0.75670000000000004</v>
      </c>
      <c r="R661" s="46"/>
    </row>
    <row r="662" spans="1:18">
      <c r="A662" s="33" t="s">
        <v>7313</v>
      </c>
      <c r="B662" s="40" t="s">
        <v>7783</v>
      </c>
      <c r="C662" s="47">
        <v>41123</v>
      </c>
      <c r="D662" s="47" t="s">
        <v>8465</v>
      </c>
      <c r="E662" s="40" t="s">
        <v>7314</v>
      </c>
      <c r="F662" s="40" t="s">
        <v>7314</v>
      </c>
      <c r="G662" s="42"/>
      <c r="H662" s="65" t="s">
        <v>64</v>
      </c>
      <c r="J662" s="43"/>
      <c r="K662" s="61">
        <v>0.7</v>
      </c>
      <c r="L662" s="40">
        <v>661</v>
      </c>
      <c r="M662" s="44">
        <v>41585</v>
      </c>
      <c r="N662" s="45"/>
      <c r="O662" s="18">
        <v>0</v>
      </c>
      <c r="P662" s="18">
        <v>0</v>
      </c>
      <c r="Q662" s="61">
        <v>0.78</v>
      </c>
      <c r="R662" s="46"/>
    </row>
    <row r="663" spans="1:18">
      <c r="A663" s="33" t="s">
        <v>3781</v>
      </c>
      <c r="B663" s="40" t="s">
        <v>7800</v>
      </c>
      <c r="C663" s="47">
        <v>41509</v>
      </c>
      <c r="D663" s="47" t="s">
        <v>8465</v>
      </c>
      <c r="E663" s="40" t="s">
        <v>3782</v>
      </c>
      <c r="F663" s="40" t="s">
        <v>3782</v>
      </c>
      <c r="G663" s="42" t="s">
        <v>3781</v>
      </c>
      <c r="H663" s="65" t="s">
        <v>64</v>
      </c>
      <c r="J663" s="43"/>
      <c r="K663" s="61">
        <v>0.8</v>
      </c>
      <c r="L663" s="40">
        <v>662</v>
      </c>
      <c r="M663" s="44">
        <v>41587</v>
      </c>
      <c r="N663" s="45">
        <f>2+56/60</f>
        <v>2.9333333333333336</v>
      </c>
      <c r="O663" s="18">
        <v>0</v>
      </c>
      <c r="P663" s="18">
        <v>0</v>
      </c>
      <c r="Q663" s="61">
        <v>0.83330000000000004</v>
      </c>
      <c r="R663" s="46"/>
    </row>
    <row r="664" spans="1:18">
      <c r="A664" s="33" t="s">
        <v>7859</v>
      </c>
      <c r="B664" s="40" t="s">
        <v>7800</v>
      </c>
      <c r="C664" s="47">
        <v>40335</v>
      </c>
      <c r="D664" s="47" t="s">
        <v>8465</v>
      </c>
      <c r="E664" s="40" t="s">
        <v>7860</v>
      </c>
      <c r="F664" s="40" t="s">
        <v>7860</v>
      </c>
      <c r="G664" s="42" t="s">
        <v>7861</v>
      </c>
      <c r="H664" s="65" t="s">
        <v>1057</v>
      </c>
      <c r="J664" s="43"/>
      <c r="K664" s="61">
        <v>0.7</v>
      </c>
      <c r="L664" s="40">
        <v>663</v>
      </c>
      <c r="M664" s="44">
        <v>41589</v>
      </c>
      <c r="N664" s="45"/>
      <c r="O664" s="18">
        <v>0</v>
      </c>
      <c r="P664" s="18">
        <v>0</v>
      </c>
      <c r="Q664" s="61"/>
      <c r="R664" s="46"/>
    </row>
    <row r="665" spans="1:18">
      <c r="A665" s="33" t="s">
        <v>7851</v>
      </c>
      <c r="B665" s="40" t="s">
        <v>7800</v>
      </c>
      <c r="C665" s="49">
        <v>40179</v>
      </c>
      <c r="D665" s="47" t="s">
        <v>8465</v>
      </c>
      <c r="E665" s="40" t="s">
        <v>7187</v>
      </c>
      <c r="F665" s="40" t="s">
        <v>7187</v>
      </c>
      <c r="G665" s="42"/>
      <c r="H665" s="65" t="s">
        <v>78</v>
      </c>
      <c r="J665" s="43"/>
      <c r="K665" s="61">
        <v>0.5</v>
      </c>
      <c r="L665" s="40">
        <v>664</v>
      </c>
      <c r="M665" s="44">
        <v>41593</v>
      </c>
      <c r="N665" s="45"/>
      <c r="O665" s="18">
        <v>0</v>
      </c>
      <c r="P665" s="18">
        <v>0</v>
      </c>
      <c r="Q665" s="61"/>
      <c r="R665" s="46"/>
    </row>
    <row r="666" spans="1:18">
      <c r="A666" s="33" t="s">
        <v>3188</v>
      </c>
      <c r="B666" s="40" t="s">
        <v>7800</v>
      </c>
      <c r="C666" s="47">
        <v>41305</v>
      </c>
      <c r="D666" s="47" t="s">
        <v>8465</v>
      </c>
      <c r="E666" s="40" t="s">
        <v>3190</v>
      </c>
      <c r="F666" s="40" t="s">
        <v>3190</v>
      </c>
      <c r="G666" s="42"/>
      <c r="H666" s="65" t="s">
        <v>27</v>
      </c>
      <c r="J666" s="43"/>
      <c r="K666" s="61">
        <v>0.9</v>
      </c>
      <c r="L666" s="40">
        <v>665</v>
      </c>
      <c r="M666" s="44">
        <v>41598</v>
      </c>
      <c r="N666" s="45">
        <f>5+26/60</f>
        <v>5.4333333333333336</v>
      </c>
      <c r="O666" s="18">
        <v>0</v>
      </c>
      <c r="P666" s="18">
        <v>0</v>
      </c>
      <c r="Q666" s="61">
        <v>0.83699999999999997</v>
      </c>
      <c r="R666" s="46"/>
    </row>
    <row r="667" spans="1:18" ht="25.5">
      <c r="A667" s="33" t="s">
        <v>4935</v>
      </c>
      <c r="B667" s="40" t="s">
        <v>7800</v>
      </c>
      <c r="C667" s="47">
        <v>41232</v>
      </c>
      <c r="D667" s="47" t="s">
        <v>8465</v>
      </c>
      <c r="E667" s="40" t="s">
        <v>1529</v>
      </c>
      <c r="F667" s="40" t="s">
        <v>2311</v>
      </c>
      <c r="G667" s="42" t="s">
        <v>2212</v>
      </c>
      <c r="H667" s="65" t="s">
        <v>27</v>
      </c>
      <c r="J667" s="43"/>
      <c r="K667" s="61">
        <v>0.8</v>
      </c>
      <c r="L667" s="40">
        <v>666</v>
      </c>
      <c r="M667" s="44">
        <v>41600</v>
      </c>
      <c r="N667" s="45">
        <f>4+27/60</f>
        <v>4.45</v>
      </c>
      <c r="O667" s="18">
        <v>0</v>
      </c>
      <c r="P667" s="18">
        <v>0</v>
      </c>
      <c r="Q667" s="61">
        <v>0.8</v>
      </c>
      <c r="R667" s="46"/>
    </row>
    <row r="668" spans="1:18">
      <c r="A668" s="33" t="s">
        <v>6319</v>
      </c>
      <c r="B668" s="40" t="s">
        <v>7765</v>
      </c>
      <c r="C668" s="47">
        <v>40477</v>
      </c>
      <c r="D668" s="47" t="s">
        <v>8465</v>
      </c>
      <c r="E668" s="40" t="s">
        <v>3116</v>
      </c>
      <c r="F668" s="40" t="s">
        <v>3856</v>
      </c>
      <c r="G668" s="42" t="s">
        <v>3857</v>
      </c>
      <c r="H668" s="65" t="s">
        <v>171</v>
      </c>
      <c r="J668" s="43"/>
      <c r="K668" s="61">
        <v>0.6</v>
      </c>
      <c r="L668" s="40">
        <v>667</v>
      </c>
      <c r="M668" s="44">
        <v>41608</v>
      </c>
      <c r="N668" s="45">
        <f>23+22/60</f>
        <v>23.366666666666667</v>
      </c>
      <c r="O668" s="18">
        <v>0</v>
      </c>
      <c r="P668" s="18">
        <v>0</v>
      </c>
      <c r="Q668" s="61">
        <v>0.80230000000000001</v>
      </c>
      <c r="R668" s="46"/>
    </row>
    <row r="669" spans="1:18">
      <c r="A669" s="33" t="s">
        <v>6360</v>
      </c>
      <c r="B669" s="40" t="s">
        <v>7765</v>
      </c>
      <c r="C669" s="47">
        <v>40316</v>
      </c>
      <c r="D669" s="47" t="s">
        <v>8465</v>
      </c>
      <c r="E669" s="40" t="s">
        <v>1618</v>
      </c>
      <c r="F669" s="40" t="s">
        <v>5883</v>
      </c>
      <c r="G669" s="42" t="s">
        <v>5884</v>
      </c>
      <c r="H669" s="65" t="s">
        <v>1168</v>
      </c>
      <c r="J669" s="43"/>
      <c r="K669" s="61">
        <v>0.9</v>
      </c>
      <c r="L669" s="40">
        <v>668</v>
      </c>
      <c r="M669" s="44">
        <v>41612</v>
      </c>
      <c r="N669" s="45">
        <f>11+57/60+7/3600</f>
        <v>11.951944444444443</v>
      </c>
      <c r="O669" s="18">
        <v>0</v>
      </c>
      <c r="P669" s="18">
        <v>0</v>
      </c>
      <c r="Q669" s="61">
        <v>0.94120000000000004</v>
      </c>
      <c r="R669" s="46"/>
    </row>
    <row r="670" spans="1:18">
      <c r="A670" s="33" t="s">
        <v>3383</v>
      </c>
      <c r="B670" s="40" t="s">
        <v>7765</v>
      </c>
      <c r="C670" s="47">
        <v>40596</v>
      </c>
      <c r="D670" s="47" t="s">
        <v>8465</v>
      </c>
      <c r="E670" s="40" t="s">
        <v>231</v>
      </c>
      <c r="F670" s="40" t="s">
        <v>3384</v>
      </c>
      <c r="G670" s="42"/>
      <c r="H670" s="65" t="s">
        <v>1050</v>
      </c>
      <c r="J670" s="43"/>
      <c r="K670" s="61">
        <v>0.8</v>
      </c>
      <c r="L670" s="40">
        <v>669</v>
      </c>
      <c r="M670" s="44">
        <v>41613</v>
      </c>
      <c r="N670" s="45"/>
      <c r="O670" s="18">
        <v>0</v>
      </c>
      <c r="P670" s="18">
        <v>0</v>
      </c>
      <c r="Q670" s="61">
        <v>0.84550000000000003</v>
      </c>
      <c r="R670" s="46"/>
    </row>
    <row r="671" spans="1:18">
      <c r="A671" s="33" t="s">
        <v>6333</v>
      </c>
      <c r="B671" s="40" t="s">
        <v>7765</v>
      </c>
      <c r="C671" s="47">
        <v>41296</v>
      </c>
      <c r="D671" s="47" t="s">
        <v>8465</v>
      </c>
      <c r="E671" s="40" t="s">
        <v>455</v>
      </c>
      <c r="F671" s="40" t="s">
        <v>3370</v>
      </c>
      <c r="G671" s="42"/>
      <c r="H671" s="65" t="s">
        <v>67</v>
      </c>
      <c r="J671" s="43"/>
      <c r="K671" s="61">
        <v>0.7</v>
      </c>
      <c r="L671" s="40">
        <v>670</v>
      </c>
      <c r="M671" s="44">
        <v>41614</v>
      </c>
      <c r="N671" s="45"/>
      <c r="O671" s="18">
        <v>0</v>
      </c>
      <c r="P671" s="18">
        <v>0</v>
      </c>
      <c r="Q671" s="61">
        <v>0.72589999999999999</v>
      </c>
      <c r="R671" s="46"/>
    </row>
    <row r="672" spans="1:18" ht="25.5">
      <c r="A672" s="33" t="s">
        <v>4435</v>
      </c>
      <c r="B672" s="40" t="s">
        <v>7765</v>
      </c>
      <c r="C672" s="47">
        <v>41324</v>
      </c>
      <c r="D672" s="47" t="s">
        <v>8465</v>
      </c>
      <c r="E672" s="40" t="s">
        <v>72</v>
      </c>
      <c r="F672" s="40" t="s">
        <v>1058</v>
      </c>
      <c r="G672" s="42" t="s">
        <v>220</v>
      </c>
      <c r="H672" s="65" t="s">
        <v>1059</v>
      </c>
      <c r="J672" s="43"/>
      <c r="K672" s="61">
        <v>0.8</v>
      </c>
      <c r="L672" s="40">
        <v>671</v>
      </c>
      <c r="M672" s="44">
        <v>41623</v>
      </c>
      <c r="N672" s="45">
        <f>6+18/60+1/3600</f>
        <v>6.3002777777777776</v>
      </c>
      <c r="O672" s="18">
        <v>0</v>
      </c>
      <c r="P672" s="18">
        <v>0</v>
      </c>
      <c r="Q672" s="61">
        <v>0.8256</v>
      </c>
      <c r="R672" s="46"/>
    </row>
    <row r="673" spans="1:18">
      <c r="A673" s="33" t="s">
        <v>6303</v>
      </c>
      <c r="B673" s="40" t="s">
        <v>7765</v>
      </c>
      <c r="C673" s="47">
        <v>39028</v>
      </c>
      <c r="D673" s="47" t="s">
        <v>8465</v>
      </c>
      <c r="E673" s="40" t="s">
        <v>3116</v>
      </c>
      <c r="F673" s="40" t="s">
        <v>6304</v>
      </c>
      <c r="G673" s="42" t="s">
        <v>6303</v>
      </c>
      <c r="H673" s="65" t="s">
        <v>1168</v>
      </c>
      <c r="J673" s="43"/>
      <c r="K673" s="61">
        <v>0.8</v>
      </c>
      <c r="L673" s="40">
        <v>672</v>
      </c>
      <c r="M673" s="44">
        <v>41623</v>
      </c>
      <c r="N673" s="45"/>
      <c r="O673" s="18">
        <v>0</v>
      </c>
      <c r="P673" s="18">
        <v>0</v>
      </c>
      <c r="Q673" s="61">
        <v>0.93969999999999998</v>
      </c>
      <c r="R673" s="46"/>
    </row>
    <row r="674" spans="1:18">
      <c r="A674" s="33" t="s">
        <v>6323</v>
      </c>
      <c r="B674" s="40" t="s">
        <v>7765</v>
      </c>
      <c r="C674" s="47">
        <v>39350</v>
      </c>
      <c r="D674" s="47" t="s">
        <v>8465</v>
      </c>
      <c r="E674" s="40" t="s">
        <v>3116</v>
      </c>
      <c r="F674" s="40" t="s">
        <v>6342</v>
      </c>
      <c r="G674" s="42" t="s">
        <v>4079</v>
      </c>
      <c r="H674" s="65" t="s">
        <v>1050</v>
      </c>
      <c r="J674" s="43"/>
      <c r="K674" s="61">
        <v>0.8</v>
      </c>
      <c r="L674" s="40">
        <v>673</v>
      </c>
      <c r="M674" s="44">
        <v>41624</v>
      </c>
      <c r="N674" s="45"/>
      <c r="O674" s="18">
        <v>0</v>
      </c>
      <c r="P674" s="18">
        <v>0</v>
      </c>
      <c r="Q674" s="61">
        <v>0.93530000000000002</v>
      </c>
      <c r="R674" s="46"/>
    </row>
    <row r="675" spans="1:18">
      <c r="A675" s="33" t="s">
        <v>7317</v>
      </c>
      <c r="B675" s="40" t="s">
        <v>7783</v>
      </c>
      <c r="C675" s="47">
        <v>41494</v>
      </c>
      <c r="D675" s="47" t="s">
        <v>8465</v>
      </c>
      <c r="E675" s="40" t="s">
        <v>7318</v>
      </c>
      <c r="F675" s="40" t="s">
        <v>7318</v>
      </c>
      <c r="G675" s="42" t="s">
        <v>7319</v>
      </c>
      <c r="H675" s="65" t="s">
        <v>64</v>
      </c>
      <c r="J675" s="43"/>
      <c r="K675" s="61">
        <v>0.8</v>
      </c>
      <c r="L675" s="40">
        <v>674</v>
      </c>
      <c r="M675" s="44">
        <v>41624</v>
      </c>
      <c r="N675" s="45">
        <f>42/60+27/3600</f>
        <v>0.70749999999999991</v>
      </c>
      <c r="O675" s="18">
        <v>0</v>
      </c>
      <c r="P675" s="18">
        <v>0</v>
      </c>
      <c r="Q675" s="61">
        <v>0.87729999999999997</v>
      </c>
      <c r="R675" s="46"/>
    </row>
    <row r="676" spans="1:18">
      <c r="A676" s="33" t="s">
        <v>6433</v>
      </c>
      <c r="B676" s="40" t="s">
        <v>7765</v>
      </c>
      <c r="C676" s="47">
        <v>40745</v>
      </c>
      <c r="D676" s="47" t="s">
        <v>8465</v>
      </c>
      <c r="E676" s="40" t="s">
        <v>6486</v>
      </c>
      <c r="F676" s="40" t="s">
        <v>6486</v>
      </c>
      <c r="G676" s="42"/>
      <c r="H676" s="65" t="s">
        <v>64</v>
      </c>
      <c r="J676" s="43"/>
      <c r="K676" s="61">
        <v>0.6</v>
      </c>
      <c r="L676" s="40">
        <v>675</v>
      </c>
      <c r="M676" s="44">
        <v>41626</v>
      </c>
      <c r="N676" s="45">
        <f>56/60+48/3600</f>
        <v>0.94666666666666666</v>
      </c>
      <c r="O676" s="18">
        <v>0</v>
      </c>
      <c r="P676" s="18">
        <v>0</v>
      </c>
      <c r="Q676" s="61">
        <v>0.85</v>
      </c>
      <c r="R676" s="46"/>
    </row>
    <row r="677" spans="1:18">
      <c r="A677" s="33" t="s">
        <v>6361</v>
      </c>
      <c r="B677" s="40" t="s">
        <v>7765</v>
      </c>
      <c r="C677" s="47">
        <v>40435</v>
      </c>
      <c r="D677" s="47" t="s">
        <v>8465</v>
      </c>
      <c r="E677" s="40" t="s">
        <v>3116</v>
      </c>
      <c r="F677" s="40" t="s">
        <v>6342</v>
      </c>
      <c r="G677" s="42" t="s">
        <v>4079</v>
      </c>
      <c r="H677" s="65" t="s">
        <v>1050</v>
      </c>
      <c r="J677" s="43"/>
      <c r="K677" s="61">
        <v>0.9</v>
      </c>
      <c r="L677" s="40">
        <v>676</v>
      </c>
      <c r="M677" s="44">
        <v>41627</v>
      </c>
      <c r="N677" s="45"/>
      <c r="O677" s="18">
        <v>0</v>
      </c>
      <c r="P677" s="18">
        <v>0</v>
      </c>
      <c r="Q677" s="61">
        <v>0.91790000000000005</v>
      </c>
      <c r="R677" s="46"/>
    </row>
    <row r="678" spans="1:18" ht="25.5">
      <c r="A678" s="33" t="s">
        <v>2487</v>
      </c>
      <c r="B678" s="40" t="s">
        <v>7749</v>
      </c>
      <c r="C678" s="47">
        <v>41418</v>
      </c>
      <c r="D678" s="47" t="s">
        <v>8465</v>
      </c>
      <c r="E678" s="40" t="s">
        <v>86</v>
      </c>
      <c r="F678" s="40" t="s">
        <v>1517</v>
      </c>
      <c r="G678" s="42" t="s">
        <v>1254</v>
      </c>
      <c r="H678" s="65" t="s">
        <v>64</v>
      </c>
      <c r="J678" s="43"/>
      <c r="K678" s="61">
        <v>0.9</v>
      </c>
      <c r="L678" s="40">
        <v>677</v>
      </c>
      <c r="M678" s="44">
        <v>41632</v>
      </c>
      <c r="N678" s="45">
        <f>10+4/60</f>
        <v>10.066666666666666</v>
      </c>
      <c r="O678" s="18">
        <v>0</v>
      </c>
      <c r="P678" s="18">
        <v>0</v>
      </c>
      <c r="Q678" s="61">
        <v>0.83509999999999995</v>
      </c>
      <c r="R678" s="46"/>
    </row>
    <row r="679" spans="1:18">
      <c r="A679" s="33" t="s">
        <v>2488</v>
      </c>
      <c r="B679" s="40" t="s">
        <v>7749</v>
      </c>
      <c r="C679" s="47">
        <v>40991</v>
      </c>
      <c r="D679" s="47" t="s">
        <v>8465</v>
      </c>
      <c r="E679" s="40" t="s">
        <v>86</v>
      </c>
      <c r="F679" s="40" t="s">
        <v>2490</v>
      </c>
      <c r="G679" s="42" t="s">
        <v>110</v>
      </c>
      <c r="H679" s="65" t="s">
        <v>1170</v>
      </c>
      <c r="J679" s="43"/>
      <c r="K679" s="61">
        <v>0.8</v>
      </c>
      <c r="L679" s="40">
        <v>678</v>
      </c>
      <c r="M679" s="44">
        <v>41634</v>
      </c>
      <c r="N679" s="45">
        <f>7+1/60+28/3600</f>
        <v>7.0244444444444447</v>
      </c>
      <c r="O679" s="18">
        <v>0</v>
      </c>
      <c r="P679" s="18">
        <v>0</v>
      </c>
      <c r="Q679" s="61">
        <v>0.84570000000000001</v>
      </c>
      <c r="R679" s="46"/>
    </row>
    <row r="680" spans="1:18">
      <c r="A680" s="33" t="s">
        <v>2813</v>
      </c>
      <c r="B680" s="40" t="s">
        <v>7781</v>
      </c>
      <c r="C680" s="47">
        <v>41435</v>
      </c>
      <c r="D680" s="47" t="s">
        <v>8465</v>
      </c>
      <c r="E680" s="40" t="s">
        <v>2825</v>
      </c>
      <c r="F680" s="40" t="s">
        <v>2825</v>
      </c>
      <c r="G680" s="42"/>
      <c r="H680" s="65" t="s">
        <v>2826</v>
      </c>
      <c r="J680" s="43"/>
      <c r="K680" s="61">
        <v>0.8</v>
      </c>
      <c r="L680" s="40">
        <v>679</v>
      </c>
      <c r="M680" s="44">
        <v>41638</v>
      </c>
      <c r="N680" s="45"/>
      <c r="O680" s="18">
        <v>0</v>
      </c>
      <c r="P680" s="18">
        <v>0</v>
      </c>
      <c r="Q680" s="61"/>
      <c r="R680" s="46"/>
    </row>
    <row r="681" spans="1:18" ht="25.5">
      <c r="A681" s="33" t="s">
        <v>2489</v>
      </c>
      <c r="B681" s="40" t="s">
        <v>7749</v>
      </c>
      <c r="C681" s="47">
        <v>41309</v>
      </c>
      <c r="D681" s="47" t="s">
        <v>8465</v>
      </c>
      <c r="E681" s="40" t="s">
        <v>86</v>
      </c>
      <c r="F681" s="40" t="s">
        <v>1069</v>
      </c>
      <c r="G681" s="42" t="s">
        <v>305</v>
      </c>
      <c r="H681" s="65" t="s">
        <v>75</v>
      </c>
      <c r="J681" s="43"/>
      <c r="K681" s="61">
        <v>1</v>
      </c>
      <c r="L681" s="40">
        <v>680</v>
      </c>
      <c r="M681" s="44">
        <v>41642</v>
      </c>
      <c r="N681" s="45">
        <f>24+25/60</f>
        <v>24.416666666666668</v>
      </c>
      <c r="O681" s="18">
        <v>0</v>
      </c>
      <c r="P681" s="18">
        <v>0</v>
      </c>
      <c r="Q681" s="61">
        <v>0.92520000000000002</v>
      </c>
      <c r="R681" s="46"/>
    </row>
    <row r="682" spans="1:18">
      <c r="A682" s="33" t="s">
        <v>1871</v>
      </c>
      <c r="B682" s="40" t="s">
        <v>7757</v>
      </c>
      <c r="C682" s="47">
        <v>36433</v>
      </c>
      <c r="D682" s="47" t="s">
        <v>8465</v>
      </c>
      <c r="E682" s="40" t="s">
        <v>2908</v>
      </c>
      <c r="F682" s="40" t="s">
        <v>1512</v>
      </c>
      <c r="G682" s="42" t="s">
        <v>1871</v>
      </c>
      <c r="H682" s="65" t="s">
        <v>149</v>
      </c>
      <c r="J682" s="43"/>
      <c r="K682" s="61">
        <v>0.8</v>
      </c>
      <c r="L682" s="40">
        <v>681</v>
      </c>
      <c r="M682" s="44">
        <v>41648</v>
      </c>
      <c r="N682" s="45">
        <f>35+26/60+29/3600</f>
        <v>35.441388888888888</v>
      </c>
      <c r="O682" s="18">
        <v>0</v>
      </c>
      <c r="P682" s="18">
        <v>1</v>
      </c>
      <c r="Q682" s="61">
        <v>0.85870000000000002</v>
      </c>
      <c r="R682" s="46"/>
    </row>
    <row r="683" spans="1:18">
      <c r="A683" s="33" t="s">
        <v>4192</v>
      </c>
      <c r="B683" s="40" t="s">
        <v>7800</v>
      </c>
      <c r="C683" s="47">
        <v>41478</v>
      </c>
      <c r="D683" s="47" t="s">
        <v>8465</v>
      </c>
      <c r="E683" s="40" t="s">
        <v>3410</v>
      </c>
      <c r="F683" s="40" t="s">
        <v>3410</v>
      </c>
      <c r="G683" s="42" t="s">
        <v>4192</v>
      </c>
      <c r="H683" s="65" t="s">
        <v>80</v>
      </c>
      <c r="J683" s="43"/>
      <c r="K683" s="61">
        <v>0.8</v>
      </c>
      <c r="L683" s="40">
        <v>682</v>
      </c>
      <c r="M683" s="44">
        <v>41649</v>
      </c>
      <c r="N683" s="45">
        <f>2+9/60+57/3600</f>
        <v>2.1658333333333331</v>
      </c>
      <c r="O683" s="18">
        <v>0</v>
      </c>
      <c r="P683" s="18">
        <v>0</v>
      </c>
      <c r="Q683" s="61">
        <v>0.65</v>
      </c>
      <c r="R683" s="46"/>
    </row>
    <row r="684" spans="1:18">
      <c r="A684" s="33" t="s">
        <v>7340</v>
      </c>
      <c r="B684" s="40" t="s">
        <v>7783</v>
      </c>
      <c r="C684" s="47">
        <v>41206</v>
      </c>
      <c r="D684" s="47" t="s">
        <v>8465</v>
      </c>
      <c r="E684" s="40" t="s">
        <v>7341</v>
      </c>
      <c r="F684" s="40" t="s">
        <v>7341</v>
      </c>
      <c r="G684" s="42"/>
      <c r="H684" s="65" t="s">
        <v>31</v>
      </c>
      <c r="J684" s="43"/>
      <c r="K684" s="61">
        <v>0.7</v>
      </c>
      <c r="L684" s="40">
        <v>683</v>
      </c>
      <c r="M684" s="44">
        <v>41651</v>
      </c>
      <c r="N684" s="45"/>
      <c r="O684" s="18">
        <v>0</v>
      </c>
      <c r="P684" s="18">
        <v>0</v>
      </c>
      <c r="Q684" s="61">
        <v>0.76670000000000005</v>
      </c>
      <c r="R684" s="46"/>
    </row>
    <row r="685" spans="1:18" ht="25.5">
      <c r="A685" s="33" t="s">
        <v>3392</v>
      </c>
      <c r="B685" s="40" t="s">
        <v>7800</v>
      </c>
      <c r="C685" s="44">
        <v>39849</v>
      </c>
      <c r="D685" s="47" t="s">
        <v>8465</v>
      </c>
      <c r="E685" s="40" t="s">
        <v>231</v>
      </c>
      <c r="F685" s="40" t="s">
        <v>3393</v>
      </c>
      <c r="G685" s="42" t="s">
        <v>3394</v>
      </c>
      <c r="H685" s="65" t="s">
        <v>150</v>
      </c>
      <c r="J685" s="43"/>
      <c r="K685" s="61">
        <v>1</v>
      </c>
      <c r="L685" s="40">
        <v>684</v>
      </c>
      <c r="M685" s="44">
        <v>41672</v>
      </c>
      <c r="N685" s="45">
        <f>18+18/60+24/3600</f>
        <v>18.306666666666668</v>
      </c>
      <c r="O685" s="18">
        <v>0</v>
      </c>
      <c r="P685" s="18">
        <v>0</v>
      </c>
      <c r="Q685" s="61">
        <v>0.88090000000000002</v>
      </c>
      <c r="R685" s="46"/>
    </row>
    <row r="686" spans="1:18" ht="25.5">
      <c r="A686" s="33" t="s">
        <v>2245</v>
      </c>
      <c r="B686" s="40" t="s">
        <v>7783</v>
      </c>
      <c r="C686" s="44">
        <v>40941</v>
      </c>
      <c r="D686" s="47" t="s">
        <v>8465</v>
      </c>
      <c r="E686" s="40" t="s">
        <v>73</v>
      </c>
      <c r="F686" s="40" t="s">
        <v>73</v>
      </c>
      <c r="G686" s="42"/>
      <c r="H686" s="65" t="s">
        <v>67</v>
      </c>
      <c r="J686" s="43"/>
      <c r="K686" s="61">
        <v>0.9</v>
      </c>
      <c r="L686" s="40">
        <v>685</v>
      </c>
      <c r="M686" s="44">
        <v>41675</v>
      </c>
      <c r="N686" s="45"/>
      <c r="O686" s="18">
        <v>0</v>
      </c>
      <c r="P686" s="18">
        <v>0</v>
      </c>
      <c r="Q686" s="61">
        <v>0.84950000000000003</v>
      </c>
      <c r="R686" s="46"/>
    </row>
    <row r="687" spans="1:18" ht="38.25">
      <c r="A687" s="33" t="s">
        <v>2445</v>
      </c>
      <c r="B687" s="40" t="s">
        <v>7749</v>
      </c>
      <c r="C687" s="44">
        <v>40814</v>
      </c>
      <c r="D687" s="47" t="s">
        <v>8465</v>
      </c>
      <c r="E687" s="40" t="s">
        <v>86</v>
      </c>
      <c r="F687" s="40" t="s">
        <v>2453</v>
      </c>
      <c r="G687" s="42" t="s">
        <v>85</v>
      </c>
      <c r="H687" s="65" t="s">
        <v>80</v>
      </c>
      <c r="J687" s="43"/>
      <c r="K687" s="61">
        <v>0.8</v>
      </c>
      <c r="L687" s="40">
        <v>686</v>
      </c>
      <c r="M687" s="44">
        <v>41679</v>
      </c>
      <c r="N687" s="45"/>
      <c r="O687" s="18">
        <v>0</v>
      </c>
      <c r="P687" s="18">
        <v>0</v>
      </c>
      <c r="Q687" s="61">
        <v>0.85399999999999998</v>
      </c>
      <c r="R687" s="46"/>
    </row>
    <row r="688" spans="1:18">
      <c r="A688" s="33" t="s">
        <v>51</v>
      </c>
      <c r="B688" s="40" t="s">
        <v>7734</v>
      </c>
      <c r="C688" s="50">
        <v>32448</v>
      </c>
      <c r="D688" s="47" t="s">
        <v>8465</v>
      </c>
      <c r="E688" s="40" t="s">
        <v>54</v>
      </c>
      <c r="F688" s="40" t="s">
        <v>54</v>
      </c>
      <c r="G688" s="42" t="s">
        <v>51</v>
      </c>
      <c r="H688" s="65" t="s">
        <v>31</v>
      </c>
      <c r="J688" s="43"/>
      <c r="K688" s="61">
        <v>0.8</v>
      </c>
      <c r="L688" s="40">
        <v>687</v>
      </c>
      <c r="M688" s="44">
        <v>41682</v>
      </c>
      <c r="N688" s="45"/>
      <c r="O688" s="18">
        <v>0</v>
      </c>
      <c r="P688" s="18">
        <v>1</v>
      </c>
      <c r="Q688" s="61"/>
      <c r="R688" s="46"/>
    </row>
    <row r="689" spans="1:18">
      <c r="A689" s="33" t="s">
        <v>3869</v>
      </c>
      <c r="B689" s="40" t="s">
        <v>7800</v>
      </c>
      <c r="C689" s="44">
        <v>41247</v>
      </c>
      <c r="D689" s="47" t="s">
        <v>8465</v>
      </c>
      <c r="E689" s="40" t="s">
        <v>1047</v>
      </c>
      <c r="F689" s="40" t="s">
        <v>1048</v>
      </c>
      <c r="G689" s="42" t="s">
        <v>1049</v>
      </c>
      <c r="H689" s="65" t="s">
        <v>1050</v>
      </c>
      <c r="J689" s="43"/>
      <c r="K689" s="61">
        <v>0.9</v>
      </c>
      <c r="L689" s="40">
        <v>688</v>
      </c>
      <c r="M689" s="44">
        <v>41683</v>
      </c>
      <c r="N689" s="45">
        <f>(21+(19/60))</f>
        <v>21.316666666666666</v>
      </c>
      <c r="O689" s="18">
        <v>0</v>
      </c>
      <c r="P689" s="18">
        <v>0</v>
      </c>
      <c r="Q689" s="61">
        <v>0.88119999999999998</v>
      </c>
      <c r="R689" s="46"/>
    </row>
    <row r="690" spans="1:18" ht="25.5">
      <c r="A690" s="33" t="s">
        <v>6986</v>
      </c>
      <c r="B690" s="40" t="s">
        <v>7800</v>
      </c>
      <c r="C690" s="44">
        <v>41576</v>
      </c>
      <c r="D690" s="47" t="s">
        <v>8465</v>
      </c>
      <c r="E690" s="40" t="s">
        <v>1047</v>
      </c>
      <c r="F690" s="40" t="s">
        <v>1048</v>
      </c>
      <c r="G690" s="42" t="s">
        <v>1563</v>
      </c>
      <c r="H690" s="65" t="s">
        <v>80</v>
      </c>
      <c r="J690" s="43"/>
      <c r="K690" s="61">
        <v>0.9</v>
      </c>
      <c r="L690" s="40">
        <v>689</v>
      </c>
      <c r="M690" s="44">
        <v>41703</v>
      </c>
      <c r="N690" s="45"/>
      <c r="O690" s="18">
        <v>0</v>
      </c>
      <c r="P690" s="18">
        <v>0</v>
      </c>
      <c r="Q690" s="61">
        <v>0.8286</v>
      </c>
      <c r="R690" s="46"/>
    </row>
    <row r="691" spans="1:18">
      <c r="A691" s="33" t="s">
        <v>6550</v>
      </c>
      <c r="B691" s="40" t="s">
        <v>7800</v>
      </c>
      <c r="C691" s="44">
        <v>41352</v>
      </c>
      <c r="D691" s="47" t="s">
        <v>8465</v>
      </c>
      <c r="E691" s="40" t="s">
        <v>231</v>
      </c>
      <c r="F691" s="40" t="s">
        <v>3523</v>
      </c>
      <c r="G691" s="42" t="s">
        <v>3522</v>
      </c>
      <c r="H691" s="65" t="s">
        <v>1050</v>
      </c>
      <c r="J691" s="43"/>
      <c r="K691" s="61">
        <v>0.7</v>
      </c>
      <c r="L691" s="40">
        <v>690</v>
      </c>
      <c r="M691" s="44">
        <v>41706</v>
      </c>
      <c r="N691" s="45"/>
      <c r="O691" s="18">
        <v>0</v>
      </c>
      <c r="P691" s="18">
        <v>0</v>
      </c>
      <c r="Q691" s="61">
        <v>0.73499999999999999</v>
      </c>
      <c r="R691" s="46"/>
    </row>
    <row r="692" spans="1:18">
      <c r="A692" s="33" t="s">
        <v>6558</v>
      </c>
      <c r="B692" s="40" t="s">
        <v>7800</v>
      </c>
      <c r="C692" s="44">
        <v>41709</v>
      </c>
      <c r="D692" s="47" t="s">
        <v>8465</v>
      </c>
      <c r="E692" s="40" t="s">
        <v>231</v>
      </c>
      <c r="F692" s="40" t="s">
        <v>6559</v>
      </c>
      <c r="G692" s="42" t="s">
        <v>6558</v>
      </c>
      <c r="H692" s="65" t="s">
        <v>1050</v>
      </c>
      <c r="J692" s="43"/>
      <c r="K692" s="61">
        <v>0.8</v>
      </c>
      <c r="L692" s="40">
        <v>691</v>
      </c>
      <c r="M692" s="44">
        <v>41709</v>
      </c>
      <c r="N692" s="45"/>
      <c r="O692" s="18">
        <v>0</v>
      </c>
      <c r="P692" s="18">
        <v>0</v>
      </c>
      <c r="Q692" s="61"/>
      <c r="R692" s="46"/>
    </row>
    <row r="693" spans="1:18" ht="25.5">
      <c r="A693" s="33" t="s">
        <v>3870</v>
      </c>
      <c r="B693" s="40" t="s">
        <v>7800</v>
      </c>
      <c r="C693" s="44">
        <v>41395</v>
      </c>
      <c r="D693" s="47" t="s">
        <v>8465</v>
      </c>
      <c r="E693" s="40" t="s">
        <v>1047</v>
      </c>
      <c r="F693" s="40" t="s">
        <v>1048</v>
      </c>
      <c r="G693" s="42" t="s">
        <v>1049</v>
      </c>
      <c r="H693" s="65" t="s">
        <v>1050</v>
      </c>
      <c r="J693" s="43"/>
      <c r="K693" s="61">
        <v>0.8</v>
      </c>
      <c r="L693" s="40">
        <v>692</v>
      </c>
      <c r="M693" s="44">
        <v>41710</v>
      </c>
      <c r="N693" s="45"/>
      <c r="O693" s="18">
        <v>0</v>
      </c>
      <c r="P693" s="18">
        <v>0</v>
      </c>
      <c r="Q693" s="61">
        <v>0.83809999999999996</v>
      </c>
      <c r="R693" s="46"/>
    </row>
    <row r="694" spans="1:18" ht="25.5">
      <c r="A694" s="33" t="s">
        <v>5064</v>
      </c>
      <c r="B694" s="40" t="s">
        <v>7800</v>
      </c>
      <c r="C694" s="44">
        <v>41305</v>
      </c>
      <c r="D694" s="47" t="s">
        <v>8465</v>
      </c>
      <c r="E694" s="40" t="s">
        <v>455</v>
      </c>
      <c r="F694" s="40" t="s">
        <v>1687</v>
      </c>
      <c r="G694" s="42" t="s">
        <v>1233</v>
      </c>
      <c r="H694" s="65" t="s">
        <v>150</v>
      </c>
      <c r="J694" s="43"/>
      <c r="K694" s="61">
        <v>0.9</v>
      </c>
      <c r="L694" s="40">
        <v>693</v>
      </c>
      <c r="M694" s="44">
        <v>41711</v>
      </c>
      <c r="N694" s="45">
        <f>(5+(1/6))</f>
        <v>5.166666666666667</v>
      </c>
      <c r="O694" s="18">
        <v>0</v>
      </c>
      <c r="P694" s="18">
        <v>0</v>
      </c>
      <c r="Q694" s="61">
        <v>0.85</v>
      </c>
      <c r="R694" s="46"/>
    </row>
    <row r="695" spans="1:18">
      <c r="A695" s="33" t="s">
        <v>4510</v>
      </c>
      <c r="B695" s="40" t="s">
        <v>7800</v>
      </c>
      <c r="C695" s="44">
        <v>41486</v>
      </c>
      <c r="D695" s="47" t="s">
        <v>8465</v>
      </c>
      <c r="E695" s="40" t="s">
        <v>10007</v>
      </c>
      <c r="F695" s="40" t="s">
        <v>10007</v>
      </c>
      <c r="G695" s="42"/>
      <c r="H695" s="65" t="s">
        <v>9963</v>
      </c>
      <c r="J695" s="43"/>
      <c r="K695" s="61">
        <v>0.5</v>
      </c>
      <c r="L695" s="40">
        <v>694</v>
      </c>
      <c r="M695" s="44">
        <v>41711</v>
      </c>
      <c r="N695" s="45">
        <f>(3+(9/60))</f>
        <v>3.15</v>
      </c>
      <c r="O695" s="18">
        <v>0</v>
      </c>
      <c r="P695" s="18">
        <v>0</v>
      </c>
      <c r="Q695" s="61">
        <v>0.65</v>
      </c>
      <c r="R695" s="46"/>
    </row>
    <row r="696" spans="1:18" ht="25.5">
      <c r="A696" s="33" t="s">
        <v>3380</v>
      </c>
      <c r="B696" s="40" t="s">
        <v>7800</v>
      </c>
      <c r="C696" s="44">
        <v>41520</v>
      </c>
      <c r="D696" s="47" t="s">
        <v>8465</v>
      </c>
      <c r="E696" s="40" t="s">
        <v>1571</v>
      </c>
      <c r="F696" s="40" t="s">
        <v>3381</v>
      </c>
      <c r="G696" s="42"/>
      <c r="H696" s="65" t="s">
        <v>67</v>
      </c>
      <c r="J696" s="43"/>
      <c r="K696" s="61">
        <v>0.9</v>
      </c>
      <c r="L696" s="40">
        <v>695</v>
      </c>
      <c r="M696" s="44">
        <v>41711</v>
      </c>
      <c r="N696" s="45"/>
      <c r="O696" s="18">
        <v>0</v>
      </c>
      <c r="P696" s="18">
        <v>0</v>
      </c>
      <c r="Q696" s="61">
        <v>0.9083</v>
      </c>
      <c r="R696" s="46"/>
    </row>
    <row r="697" spans="1:18">
      <c r="A697" s="33" t="s">
        <v>4806</v>
      </c>
      <c r="B697" s="40" t="s">
        <v>7800</v>
      </c>
      <c r="C697" s="44">
        <v>40842</v>
      </c>
      <c r="D697" s="47" t="s">
        <v>8465</v>
      </c>
      <c r="E697" s="40" t="s">
        <v>455</v>
      </c>
      <c r="F697" s="40" t="s">
        <v>4216</v>
      </c>
      <c r="G697" s="42"/>
      <c r="H697" s="65" t="s">
        <v>9963</v>
      </c>
      <c r="J697" s="43"/>
      <c r="K697" s="61">
        <v>0.8</v>
      </c>
      <c r="L697" s="40">
        <v>696</v>
      </c>
      <c r="M697" s="44">
        <v>41712</v>
      </c>
      <c r="N697" s="45">
        <f>(3+(48/60))</f>
        <v>3.8</v>
      </c>
      <c r="O697" s="18">
        <v>0</v>
      </c>
      <c r="P697" s="18">
        <v>0</v>
      </c>
      <c r="Q697" s="61">
        <v>0.76500000000000001</v>
      </c>
      <c r="R697" s="46"/>
    </row>
    <row r="698" spans="1:18" ht="25.5">
      <c r="A698" s="33" t="s">
        <v>5378</v>
      </c>
      <c r="B698" s="40" t="s">
        <v>7800</v>
      </c>
      <c r="C698" s="44">
        <v>41576</v>
      </c>
      <c r="D698" s="47" t="s">
        <v>8465</v>
      </c>
      <c r="E698" s="40" t="s">
        <v>455</v>
      </c>
      <c r="F698" s="40" t="s">
        <v>10008</v>
      </c>
      <c r="G698" s="42" t="s">
        <v>1524</v>
      </c>
      <c r="H698" s="65" t="s">
        <v>1170</v>
      </c>
      <c r="J698" s="43"/>
      <c r="K698" s="61">
        <v>0.8</v>
      </c>
      <c r="L698" s="40">
        <v>697</v>
      </c>
      <c r="M698" s="44">
        <v>41714</v>
      </c>
      <c r="N698" s="45">
        <f xml:space="preserve"> (4+(1/60))</f>
        <v>4.0166666666666666</v>
      </c>
      <c r="O698" s="18">
        <v>0</v>
      </c>
      <c r="P698" s="18">
        <v>0</v>
      </c>
      <c r="Q698" s="61">
        <v>0.73499999999999999</v>
      </c>
      <c r="R698" s="46"/>
    </row>
    <row r="699" spans="1:18">
      <c r="A699" s="33" t="s">
        <v>7356</v>
      </c>
      <c r="B699" s="40" t="s">
        <v>7783</v>
      </c>
      <c r="C699" s="44">
        <v>41620</v>
      </c>
      <c r="D699" s="47" t="s">
        <v>8465</v>
      </c>
      <c r="E699" s="40" t="s">
        <v>7354</v>
      </c>
      <c r="F699" s="40" t="s">
        <v>7354</v>
      </c>
      <c r="G699" s="42" t="s">
        <v>7353</v>
      </c>
      <c r="H699" s="65" t="s">
        <v>67</v>
      </c>
      <c r="J699" s="43"/>
      <c r="K699" s="61">
        <v>0.8</v>
      </c>
      <c r="L699" s="40">
        <v>698</v>
      </c>
      <c r="M699" s="44">
        <v>41715</v>
      </c>
      <c r="N699" s="45"/>
      <c r="O699" s="18">
        <v>0</v>
      </c>
      <c r="P699" s="18">
        <v>0</v>
      </c>
      <c r="Q699" s="61">
        <v>0.8972</v>
      </c>
      <c r="R699" s="46"/>
    </row>
    <row r="700" spans="1:18" ht="51">
      <c r="A700" s="33" t="s">
        <v>3320</v>
      </c>
      <c r="B700" s="40" t="s">
        <v>7800</v>
      </c>
      <c r="C700" s="44">
        <v>41331</v>
      </c>
      <c r="D700" s="47" t="s">
        <v>8465</v>
      </c>
      <c r="E700" s="40" t="s">
        <v>2471</v>
      </c>
      <c r="F700" s="40" t="s">
        <v>2471</v>
      </c>
      <c r="G700" s="42" t="s">
        <v>1653</v>
      </c>
      <c r="H700" s="65" t="s">
        <v>1089</v>
      </c>
      <c r="J700" s="43"/>
      <c r="K700" s="61">
        <v>0.8</v>
      </c>
      <c r="L700" s="40">
        <v>699</v>
      </c>
      <c r="M700" s="44">
        <v>41716</v>
      </c>
      <c r="N700" s="45">
        <f>(4+(19/60))</f>
        <v>4.3166666666666664</v>
      </c>
      <c r="O700" s="18">
        <v>0</v>
      </c>
      <c r="P700" s="18">
        <v>0</v>
      </c>
      <c r="Q700" s="61">
        <v>0.85</v>
      </c>
      <c r="R700" s="46"/>
    </row>
    <row r="701" spans="1:18">
      <c r="A701" s="33" t="s">
        <v>5086</v>
      </c>
      <c r="B701" s="40" t="s">
        <v>7800</v>
      </c>
      <c r="C701" s="44">
        <v>41086</v>
      </c>
      <c r="D701" s="47" t="s">
        <v>8465</v>
      </c>
      <c r="E701" s="40" t="s">
        <v>3310</v>
      </c>
      <c r="F701" s="40" t="s">
        <v>10009</v>
      </c>
      <c r="G701" s="42" t="s">
        <v>5714</v>
      </c>
      <c r="H701" s="65" t="s">
        <v>1168</v>
      </c>
      <c r="J701" s="43"/>
      <c r="K701" s="61">
        <v>0.8</v>
      </c>
      <c r="L701" s="40">
        <v>700</v>
      </c>
      <c r="M701" s="44">
        <v>41718</v>
      </c>
      <c r="N701" s="45">
        <f>(5+(45/60))</f>
        <v>5.75</v>
      </c>
      <c r="O701" s="18">
        <v>0</v>
      </c>
      <c r="P701" s="18">
        <v>0</v>
      </c>
      <c r="Q701" s="61">
        <v>0.76500000000000001</v>
      </c>
      <c r="R701" s="46"/>
    </row>
    <row r="702" spans="1:18">
      <c r="A702" s="33" t="s">
        <v>4658</v>
      </c>
      <c r="B702" s="40" t="s">
        <v>7800</v>
      </c>
      <c r="C702" s="44">
        <v>41494</v>
      </c>
      <c r="D702" s="47" t="s">
        <v>8465</v>
      </c>
      <c r="E702" s="40" t="s">
        <v>9772</v>
      </c>
      <c r="F702" s="40" t="s">
        <v>9772</v>
      </c>
      <c r="G702" s="42"/>
      <c r="H702" s="65" t="s">
        <v>2820</v>
      </c>
      <c r="J702" s="43"/>
      <c r="K702" s="61">
        <v>0.8</v>
      </c>
      <c r="L702" s="40">
        <v>701</v>
      </c>
      <c r="M702" s="44">
        <v>41719</v>
      </c>
      <c r="N702" s="45"/>
      <c r="O702" s="18">
        <v>0</v>
      </c>
      <c r="P702" s="18">
        <v>0</v>
      </c>
      <c r="Q702" s="61">
        <v>0.81950000000000001</v>
      </c>
      <c r="R702" s="46"/>
    </row>
    <row r="703" spans="1:18">
      <c r="A703" s="33" t="s">
        <v>5370</v>
      </c>
      <c r="B703" s="40" t="s">
        <v>7800</v>
      </c>
      <c r="C703" s="44">
        <v>41424</v>
      </c>
      <c r="D703" s="47" t="s">
        <v>8465</v>
      </c>
      <c r="E703" s="40" t="s">
        <v>5371</v>
      </c>
      <c r="F703" s="40" t="s">
        <v>5371</v>
      </c>
      <c r="G703" s="42"/>
      <c r="H703" s="65" t="s">
        <v>27</v>
      </c>
      <c r="J703" s="43"/>
      <c r="K703" s="61">
        <v>0.9</v>
      </c>
      <c r="L703" s="40">
        <v>702</v>
      </c>
      <c r="M703" s="44">
        <v>41723</v>
      </c>
      <c r="N703" s="45">
        <f>(3+(15/60))</f>
        <v>3.25</v>
      </c>
      <c r="O703" s="18">
        <v>0</v>
      </c>
      <c r="P703" s="18">
        <v>0</v>
      </c>
      <c r="Q703" s="61">
        <v>0.88780000000000003</v>
      </c>
      <c r="R703" s="46"/>
    </row>
    <row r="704" spans="1:18">
      <c r="A704" s="33" t="s">
        <v>1853</v>
      </c>
      <c r="B704" s="40" t="s">
        <v>7800</v>
      </c>
      <c r="C704" s="44">
        <v>41338</v>
      </c>
      <c r="D704" s="47" t="s">
        <v>8465</v>
      </c>
      <c r="E704" s="40" t="s">
        <v>1082</v>
      </c>
      <c r="F704" s="40" t="s">
        <v>1198</v>
      </c>
      <c r="G704" s="42" t="s">
        <v>1853</v>
      </c>
      <c r="H704" s="65" t="s">
        <v>80</v>
      </c>
      <c r="J704" s="43"/>
      <c r="K704" s="61">
        <v>0.8</v>
      </c>
      <c r="L704" s="40">
        <v>703</v>
      </c>
      <c r="M704" s="44">
        <v>41730</v>
      </c>
      <c r="N704" s="45">
        <f>8+(47/60)</f>
        <v>8.7833333333333332</v>
      </c>
      <c r="O704" s="18">
        <v>0</v>
      </c>
      <c r="P704" s="18">
        <v>0</v>
      </c>
      <c r="Q704" s="61">
        <v>0.8669</v>
      </c>
      <c r="R704" s="46"/>
    </row>
    <row r="705" spans="1:18" ht="25.5">
      <c r="A705" s="33" t="s">
        <v>3570</v>
      </c>
      <c r="B705" s="40" t="s">
        <v>7800</v>
      </c>
      <c r="C705" s="44">
        <v>41145</v>
      </c>
      <c r="D705" s="47" t="s">
        <v>8465</v>
      </c>
      <c r="E705" s="40" t="s">
        <v>1580</v>
      </c>
      <c r="F705" s="40" t="s">
        <v>1580</v>
      </c>
      <c r="G705" s="42" t="s">
        <v>3566</v>
      </c>
      <c r="H705" s="65" t="s">
        <v>171</v>
      </c>
      <c r="J705" s="43"/>
      <c r="K705" s="61">
        <v>1</v>
      </c>
      <c r="L705" s="40">
        <v>704</v>
      </c>
      <c r="M705" s="44">
        <v>41735</v>
      </c>
      <c r="N705" s="45">
        <f>23+(54/60)</f>
        <v>23.9</v>
      </c>
      <c r="O705" s="18">
        <v>0</v>
      </c>
      <c r="P705" s="18">
        <v>0</v>
      </c>
      <c r="Q705" s="61">
        <v>0.84540000000000004</v>
      </c>
      <c r="R705" s="46"/>
    </row>
    <row r="706" spans="1:18">
      <c r="A706" s="33" t="s">
        <v>136</v>
      </c>
      <c r="B706" s="40" t="s">
        <v>7734</v>
      </c>
      <c r="C706" s="50">
        <v>33025</v>
      </c>
      <c r="D706" s="47" t="s">
        <v>8465</v>
      </c>
      <c r="E706" s="40" t="s">
        <v>170</v>
      </c>
      <c r="F706" s="40" t="s">
        <v>170</v>
      </c>
      <c r="G706" s="42" t="s">
        <v>136</v>
      </c>
      <c r="H706" s="65" t="s">
        <v>171</v>
      </c>
      <c r="J706" s="43"/>
      <c r="K706" s="61">
        <v>0.7</v>
      </c>
      <c r="L706" s="40">
        <v>705</v>
      </c>
      <c r="M706" s="44">
        <v>41744</v>
      </c>
      <c r="N706" s="45"/>
      <c r="O706" s="18">
        <v>0</v>
      </c>
      <c r="P706" s="18">
        <v>1</v>
      </c>
      <c r="Q706" s="61"/>
      <c r="R706" s="46"/>
    </row>
    <row r="707" spans="1:18">
      <c r="A707" s="33" t="s">
        <v>3357</v>
      </c>
      <c r="B707" s="40" t="s">
        <v>7800</v>
      </c>
      <c r="C707" s="44">
        <v>41170</v>
      </c>
      <c r="D707" s="47" t="s">
        <v>8465</v>
      </c>
      <c r="E707" s="40" t="s">
        <v>3310</v>
      </c>
      <c r="F707" s="40" t="s">
        <v>3154</v>
      </c>
      <c r="G707" s="42" t="s">
        <v>3356</v>
      </c>
      <c r="H707" s="65" t="s">
        <v>1050</v>
      </c>
      <c r="J707" s="43"/>
      <c r="K707" s="61">
        <v>1</v>
      </c>
      <c r="L707" s="40">
        <v>706</v>
      </c>
      <c r="M707" s="44">
        <v>41744</v>
      </c>
      <c r="N707" s="45">
        <v>51.67</v>
      </c>
      <c r="O707" s="18">
        <v>0</v>
      </c>
      <c r="P707" s="18">
        <v>0</v>
      </c>
      <c r="Q707" s="61">
        <v>0.90100000000000002</v>
      </c>
      <c r="R707" s="46"/>
    </row>
    <row r="708" spans="1:18" ht="25.5">
      <c r="A708" s="33" t="s">
        <v>3528</v>
      </c>
      <c r="B708" s="40" t="s">
        <v>7800</v>
      </c>
      <c r="C708" s="44">
        <v>40707</v>
      </c>
      <c r="D708" s="47" t="s">
        <v>8465</v>
      </c>
      <c r="E708" s="40" t="s">
        <v>3366</v>
      </c>
      <c r="F708" s="40" t="s">
        <v>3366</v>
      </c>
      <c r="G708" s="42"/>
      <c r="H708" s="65" t="s">
        <v>149</v>
      </c>
      <c r="J708" s="43"/>
      <c r="K708" s="61">
        <v>0.7</v>
      </c>
      <c r="L708" s="40">
        <v>707</v>
      </c>
      <c r="M708" s="44">
        <v>41748</v>
      </c>
      <c r="N708" s="45">
        <f>5+25/60</f>
        <v>5.416666666666667</v>
      </c>
      <c r="O708" s="18">
        <v>0</v>
      </c>
      <c r="P708" s="18">
        <v>0</v>
      </c>
      <c r="Q708" s="61">
        <v>0.78249999999999997</v>
      </c>
      <c r="R708" s="46"/>
    </row>
    <row r="709" spans="1:18">
      <c r="A709" s="33" t="s">
        <v>3309</v>
      </c>
      <c r="B709" s="40" t="s">
        <v>7800</v>
      </c>
      <c r="C709" s="44">
        <v>39315</v>
      </c>
      <c r="D709" s="47" t="s">
        <v>8465</v>
      </c>
      <c r="E709" s="40" t="s">
        <v>3310</v>
      </c>
      <c r="F709" s="40" t="s">
        <v>3311</v>
      </c>
      <c r="G709" s="42" t="s">
        <v>3309</v>
      </c>
      <c r="H709" s="65" t="s">
        <v>1050</v>
      </c>
      <c r="J709" s="43"/>
      <c r="K709" s="61">
        <v>0.9</v>
      </c>
      <c r="L709" s="40">
        <v>708</v>
      </c>
      <c r="M709" s="44">
        <v>41749</v>
      </c>
      <c r="N709" s="45">
        <f>14+(1/60)</f>
        <v>14.016666666666667</v>
      </c>
      <c r="O709" s="18">
        <v>0</v>
      </c>
      <c r="P709" s="18">
        <v>0</v>
      </c>
      <c r="Q709" s="61">
        <v>0.94579999999999997</v>
      </c>
      <c r="R709" s="46"/>
    </row>
    <row r="710" spans="1:18">
      <c r="A710" s="33" t="s">
        <v>975</v>
      </c>
      <c r="B710" s="40" t="s">
        <v>7741</v>
      </c>
      <c r="C710" s="44">
        <v>41035</v>
      </c>
      <c r="D710" s="47" t="s">
        <v>8465</v>
      </c>
      <c r="E710" s="40" t="s">
        <v>86</v>
      </c>
      <c r="F710" s="40" t="s">
        <v>1145</v>
      </c>
      <c r="G710" s="42" t="s">
        <v>1146</v>
      </c>
      <c r="H710" s="65" t="s">
        <v>149</v>
      </c>
      <c r="J710" s="43"/>
      <c r="K710" s="61">
        <v>0.9</v>
      </c>
      <c r="L710" s="40">
        <v>709</v>
      </c>
      <c r="M710" s="44">
        <v>41767</v>
      </c>
      <c r="N710" s="45">
        <f>54+(27/30)</f>
        <v>54.9</v>
      </c>
      <c r="O710" s="18">
        <v>0</v>
      </c>
      <c r="P710" s="18">
        <v>1</v>
      </c>
      <c r="Q710" s="61">
        <v>0.91739999999999999</v>
      </c>
      <c r="R710" s="46"/>
    </row>
    <row r="711" spans="1:18">
      <c r="A711" s="33" t="s">
        <v>3565</v>
      </c>
      <c r="B711" s="40" t="s">
        <v>7800</v>
      </c>
      <c r="C711" s="44">
        <v>41753</v>
      </c>
      <c r="D711" s="47" t="s">
        <v>8465</v>
      </c>
      <c r="E711" s="40" t="s">
        <v>1509</v>
      </c>
      <c r="F711" s="40" t="s">
        <v>1580</v>
      </c>
      <c r="G711" s="42" t="s">
        <v>3566</v>
      </c>
      <c r="H711" s="65" t="s">
        <v>171</v>
      </c>
      <c r="J711" s="43"/>
      <c r="K711" s="61">
        <v>1</v>
      </c>
      <c r="L711" s="40">
        <v>710</v>
      </c>
      <c r="M711" s="44">
        <v>41774</v>
      </c>
      <c r="N711" s="45">
        <f>(30+43/60+15/3600)</f>
        <v>30.720833333333331</v>
      </c>
      <c r="O711" s="18">
        <v>0</v>
      </c>
      <c r="P711" s="18">
        <v>0</v>
      </c>
      <c r="Q711" s="61">
        <v>0.90759999999999996</v>
      </c>
      <c r="R711" s="46"/>
    </row>
    <row r="712" spans="1:18">
      <c r="A712" s="33" t="s">
        <v>4005</v>
      </c>
      <c r="B712" s="40" t="s">
        <v>7800</v>
      </c>
      <c r="C712" s="44">
        <v>41501</v>
      </c>
      <c r="D712" s="47" t="s">
        <v>8465</v>
      </c>
      <c r="E712" s="40" t="s">
        <v>10010</v>
      </c>
      <c r="F712" s="40" t="s">
        <v>10010</v>
      </c>
      <c r="G712" s="42"/>
      <c r="H712" s="65" t="s">
        <v>67</v>
      </c>
      <c r="J712" s="43"/>
      <c r="K712" s="61">
        <v>0.8</v>
      </c>
      <c r="L712" s="40">
        <v>711</v>
      </c>
      <c r="M712" s="44">
        <v>41774</v>
      </c>
      <c r="N712" s="45">
        <f>77/60</f>
        <v>1.2833333333333334</v>
      </c>
      <c r="O712" s="18">
        <v>0</v>
      </c>
      <c r="P712" s="18">
        <v>0</v>
      </c>
      <c r="Q712" s="61">
        <v>0.87629999999999997</v>
      </c>
      <c r="R712" s="46"/>
    </row>
    <row r="713" spans="1:18">
      <c r="A713" s="33" t="s">
        <v>6980</v>
      </c>
      <c r="B713" s="40" t="s">
        <v>7800</v>
      </c>
      <c r="C713" s="44">
        <v>41044</v>
      </c>
      <c r="D713" s="47" t="s">
        <v>8465</v>
      </c>
      <c r="E713" s="40" t="s">
        <v>1296</v>
      </c>
      <c r="F713" s="40" t="s">
        <v>1296</v>
      </c>
      <c r="G713" s="42" t="s">
        <v>1589</v>
      </c>
      <c r="H713" s="65" t="s">
        <v>171</v>
      </c>
      <c r="J713" s="43"/>
      <c r="K713" s="61">
        <v>0.8</v>
      </c>
      <c r="L713" s="40">
        <v>712</v>
      </c>
      <c r="M713" s="44">
        <v>41782</v>
      </c>
      <c r="N713" s="45"/>
      <c r="O713" s="18">
        <v>0</v>
      </c>
      <c r="P713" s="18">
        <v>0</v>
      </c>
      <c r="Q713" s="62">
        <v>0.87639999999999996</v>
      </c>
      <c r="R713" s="46"/>
    </row>
    <row r="714" spans="1:18">
      <c r="A714" s="33" t="s">
        <v>2120</v>
      </c>
      <c r="B714" s="40" t="s">
        <v>7748</v>
      </c>
      <c r="C714" s="44">
        <v>40596</v>
      </c>
      <c r="D714" s="47" t="s">
        <v>8465</v>
      </c>
      <c r="E714" s="40" t="s">
        <v>228</v>
      </c>
      <c r="F714" s="40" t="s">
        <v>228</v>
      </c>
      <c r="G714" s="42"/>
      <c r="H714" s="65" t="s">
        <v>149</v>
      </c>
      <c r="J714" s="43"/>
      <c r="K714" s="61">
        <v>0.8</v>
      </c>
      <c r="L714" s="40">
        <v>713</v>
      </c>
      <c r="M714" s="44">
        <v>41789</v>
      </c>
      <c r="N714" s="45">
        <f>34+(24/60)</f>
        <v>34.4</v>
      </c>
      <c r="O714" s="18">
        <v>0</v>
      </c>
      <c r="P714" s="18">
        <v>0</v>
      </c>
      <c r="Q714" s="61">
        <v>0.85199999999999998</v>
      </c>
      <c r="R714" s="46"/>
    </row>
    <row r="715" spans="1:18" ht="25.5">
      <c r="A715" s="33" t="s">
        <v>3407</v>
      </c>
      <c r="B715" s="40" t="s">
        <v>7800</v>
      </c>
      <c r="C715" s="44">
        <v>41416</v>
      </c>
      <c r="D715" s="47" t="s">
        <v>8465</v>
      </c>
      <c r="E715" s="40" t="s">
        <v>1047</v>
      </c>
      <c r="F715" s="40" t="s">
        <v>3405</v>
      </c>
      <c r="G715" s="42" t="s">
        <v>3404</v>
      </c>
      <c r="H715" s="65" t="s">
        <v>1050</v>
      </c>
      <c r="J715" s="43"/>
      <c r="K715" s="61">
        <v>0.8</v>
      </c>
      <c r="L715" s="40">
        <v>714</v>
      </c>
      <c r="M715" s="44">
        <v>41803</v>
      </c>
      <c r="N715" s="45">
        <f>4+3/60</f>
        <v>4.05</v>
      </c>
      <c r="O715" s="18">
        <v>0</v>
      </c>
      <c r="P715" s="18">
        <v>0</v>
      </c>
      <c r="Q715" s="61">
        <v>0.78180000000000005</v>
      </c>
      <c r="R715" s="46"/>
    </row>
    <row r="716" spans="1:18">
      <c r="A716" s="33" t="s">
        <v>5039</v>
      </c>
      <c r="B716" s="40" t="s">
        <v>7800</v>
      </c>
      <c r="C716" s="44">
        <v>41134</v>
      </c>
      <c r="D716" s="47" t="s">
        <v>8465</v>
      </c>
      <c r="E716" s="51" t="s">
        <v>1082</v>
      </c>
      <c r="F716" s="51" t="s">
        <v>5040</v>
      </c>
      <c r="G716" s="52" t="s">
        <v>5039</v>
      </c>
      <c r="H716" s="66" t="s">
        <v>80</v>
      </c>
      <c r="J716" s="43"/>
      <c r="K716" s="61">
        <v>0.9</v>
      </c>
      <c r="L716" s="40">
        <v>715</v>
      </c>
      <c r="M716" s="44">
        <v>41808</v>
      </c>
      <c r="N716" s="45">
        <f>26+55/60</f>
        <v>26.916666666666668</v>
      </c>
      <c r="O716" s="18">
        <v>0</v>
      </c>
      <c r="P716" s="18">
        <v>0</v>
      </c>
      <c r="Q716" s="61">
        <v>0.8407</v>
      </c>
      <c r="R716" s="46"/>
    </row>
    <row r="717" spans="1:18">
      <c r="A717" s="33" t="s">
        <v>4055</v>
      </c>
      <c r="B717" s="40" t="s">
        <v>7800</v>
      </c>
      <c r="C717" s="44">
        <v>41428</v>
      </c>
      <c r="D717" s="47" t="s">
        <v>8465</v>
      </c>
      <c r="E717" s="51" t="s">
        <v>4056</v>
      </c>
      <c r="F717" s="51" t="s">
        <v>4056</v>
      </c>
      <c r="G717" s="52"/>
      <c r="H717" s="66" t="s">
        <v>56</v>
      </c>
      <c r="J717" s="43"/>
      <c r="K717" s="61">
        <v>0.8</v>
      </c>
      <c r="L717" s="40">
        <v>716</v>
      </c>
      <c r="M717" s="44">
        <v>41809</v>
      </c>
      <c r="N717" s="45">
        <f>2+3/60</f>
        <v>2.0499999999999998</v>
      </c>
      <c r="O717" s="18">
        <v>0</v>
      </c>
      <c r="P717" s="18">
        <v>0</v>
      </c>
      <c r="Q717" s="61">
        <v>0.87029999999999996</v>
      </c>
      <c r="R717" s="46"/>
    </row>
    <row r="718" spans="1:18" ht="25.5">
      <c r="A718" s="33" t="s">
        <v>2414</v>
      </c>
      <c r="B718" s="40" t="s">
        <v>7749</v>
      </c>
      <c r="C718" s="44">
        <v>41600</v>
      </c>
      <c r="D718" s="47" t="s">
        <v>8465</v>
      </c>
      <c r="E718" s="40" t="s">
        <v>86</v>
      </c>
      <c r="F718" s="40" t="s">
        <v>87</v>
      </c>
      <c r="G718" s="42" t="s">
        <v>85</v>
      </c>
      <c r="H718" s="65" t="s">
        <v>80</v>
      </c>
      <c r="J718" s="43"/>
      <c r="K718" s="61">
        <v>0.9</v>
      </c>
      <c r="L718" s="40">
        <v>717</v>
      </c>
      <c r="M718" s="44">
        <v>41814</v>
      </c>
      <c r="N718" s="45">
        <f>12+18/60</f>
        <v>12.3</v>
      </c>
      <c r="O718" s="18">
        <v>0</v>
      </c>
      <c r="P718" s="18">
        <v>0</v>
      </c>
      <c r="Q718" s="61">
        <v>0.91110000000000002</v>
      </c>
      <c r="R718" s="46"/>
    </row>
    <row r="719" spans="1:18">
      <c r="A719" s="33" t="s">
        <v>3524</v>
      </c>
      <c r="B719" s="40" t="s">
        <v>7800</v>
      </c>
      <c r="C719" s="44">
        <v>40624</v>
      </c>
      <c r="D719" s="47" t="s">
        <v>8465</v>
      </c>
      <c r="E719" s="40" t="s">
        <v>231</v>
      </c>
      <c r="F719" s="40" t="s">
        <v>3523</v>
      </c>
      <c r="G719" s="42" t="s">
        <v>3522</v>
      </c>
      <c r="H719" s="65" t="s">
        <v>1050</v>
      </c>
      <c r="J719" s="43"/>
      <c r="K719" s="61">
        <v>0.7</v>
      </c>
      <c r="L719" s="40">
        <v>718</v>
      </c>
      <c r="M719" s="44">
        <v>41818</v>
      </c>
      <c r="N719" s="45">
        <f>8+7/60</f>
        <v>8.1166666666666671</v>
      </c>
      <c r="O719" s="18">
        <v>0</v>
      </c>
      <c r="P719" s="18">
        <v>0</v>
      </c>
      <c r="Q719" s="62">
        <v>0.85680000000000001</v>
      </c>
      <c r="R719" s="46"/>
    </row>
    <row r="720" spans="1:18">
      <c r="A720" s="33" t="s">
        <v>1110</v>
      </c>
      <c r="B720" s="40" t="s">
        <v>7743</v>
      </c>
      <c r="C720" s="44">
        <v>41789</v>
      </c>
      <c r="D720" s="47" t="s">
        <v>8465</v>
      </c>
      <c r="E720" s="40" t="s">
        <v>86</v>
      </c>
      <c r="F720" s="40" t="s">
        <v>87</v>
      </c>
      <c r="G720" s="42" t="s">
        <v>1135</v>
      </c>
      <c r="H720" s="65" t="s">
        <v>150</v>
      </c>
      <c r="J720" s="43"/>
      <c r="K720" s="61">
        <v>0.9</v>
      </c>
      <c r="L720" s="40">
        <v>719</v>
      </c>
      <c r="M720" s="44">
        <v>41820</v>
      </c>
      <c r="N720" s="45">
        <f>20+52/60</f>
        <v>20.866666666666667</v>
      </c>
      <c r="O720" s="18">
        <v>0</v>
      </c>
      <c r="P720" s="18">
        <v>0</v>
      </c>
      <c r="Q720" s="62">
        <v>0.88490000000000002</v>
      </c>
      <c r="R720" s="46"/>
    </row>
    <row r="721" spans="1:18">
      <c r="A721" s="33" t="s">
        <v>4903</v>
      </c>
      <c r="B721" s="40" t="s">
        <v>7800</v>
      </c>
      <c r="C721" s="44">
        <v>40862</v>
      </c>
      <c r="D721" s="47" t="s">
        <v>8465</v>
      </c>
      <c r="E721" s="40" t="s">
        <v>1342</v>
      </c>
      <c r="F721" s="40" t="s">
        <v>1655</v>
      </c>
      <c r="G721" s="42" t="s">
        <v>1656</v>
      </c>
      <c r="H721" s="65" t="s">
        <v>1168</v>
      </c>
      <c r="J721" s="43"/>
      <c r="K721" s="61">
        <v>0.9</v>
      </c>
      <c r="L721" s="40">
        <v>720</v>
      </c>
      <c r="M721" s="44">
        <v>41824</v>
      </c>
      <c r="N721" s="45">
        <f>19+4/60</f>
        <v>19.066666666666666</v>
      </c>
      <c r="O721" s="18">
        <v>0</v>
      </c>
      <c r="P721" s="18">
        <v>0</v>
      </c>
      <c r="Q721" s="61">
        <v>0.86439999999999995</v>
      </c>
      <c r="R721" s="46"/>
    </row>
    <row r="722" spans="1:18">
      <c r="A722" s="33" t="s">
        <v>3312</v>
      </c>
      <c r="B722" s="40" t="s">
        <v>7800</v>
      </c>
      <c r="C722" s="44">
        <v>40218</v>
      </c>
      <c r="D722" s="47" t="s">
        <v>8465</v>
      </c>
      <c r="E722" s="40" t="s">
        <v>3310</v>
      </c>
      <c r="F722" s="40" t="s">
        <v>3313</v>
      </c>
      <c r="G722" s="42" t="s">
        <v>3309</v>
      </c>
      <c r="H722" s="65" t="s">
        <v>1050</v>
      </c>
      <c r="J722" s="43"/>
      <c r="K722" s="61">
        <v>0.8</v>
      </c>
      <c r="L722" s="40">
        <v>721</v>
      </c>
      <c r="M722" s="44">
        <v>41827</v>
      </c>
      <c r="N722" s="45">
        <f>9+4/60</f>
        <v>9.0666666666666664</v>
      </c>
      <c r="O722" s="18">
        <v>0</v>
      </c>
      <c r="P722" s="18">
        <v>0</v>
      </c>
      <c r="Q722" s="61">
        <v>0.87749999999999995</v>
      </c>
      <c r="R722" s="46"/>
    </row>
    <row r="723" spans="1:18">
      <c r="A723" s="33" t="s">
        <v>7321</v>
      </c>
      <c r="B723" s="40" t="s">
        <v>7783</v>
      </c>
      <c r="C723" s="44">
        <v>41731</v>
      </c>
      <c r="D723" s="47" t="s">
        <v>8465</v>
      </c>
      <c r="E723" s="40" t="s">
        <v>8573</v>
      </c>
      <c r="F723" s="40" t="s">
        <v>8573</v>
      </c>
      <c r="G723" s="42" t="s">
        <v>7321</v>
      </c>
      <c r="H723" s="65" t="s">
        <v>78</v>
      </c>
      <c r="J723" s="43"/>
      <c r="K723" s="61">
        <v>0.9</v>
      </c>
      <c r="L723" s="40">
        <v>722</v>
      </c>
      <c r="M723" s="44">
        <v>41829</v>
      </c>
      <c r="N723" s="45"/>
      <c r="O723" s="18">
        <v>0</v>
      </c>
      <c r="P723" s="18">
        <v>0</v>
      </c>
      <c r="Q723" s="62">
        <v>0.90059999999999996</v>
      </c>
      <c r="R723" s="46"/>
    </row>
    <row r="724" spans="1:18">
      <c r="A724" s="33" t="s">
        <v>3314</v>
      </c>
      <c r="B724" s="40" t="s">
        <v>7800</v>
      </c>
      <c r="C724" s="44">
        <v>41359</v>
      </c>
      <c r="D724" s="47" t="s">
        <v>8465</v>
      </c>
      <c r="E724" s="40" t="s">
        <v>3310</v>
      </c>
      <c r="F724" s="40" t="s">
        <v>3315</v>
      </c>
      <c r="G724" s="42" t="s">
        <v>3309</v>
      </c>
      <c r="H724" s="65" t="s">
        <v>1050</v>
      </c>
      <c r="J724" s="43"/>
      <c r="K724" s="61">
        <v>0.9</v>
      </c>
      <c r="L724" s="40">
        <v>723</v>
      </c>
      <c r="M724" s="44">
        <v>41831</v>
      </c>
      <c r="N724" s="45">
        <f>10+8/60</f>
        <v>10.133333333333333</v>
      </c>
      <c r="O724" s="18">
        <v>0</v>
      </c>
      <c r="P724" s="18">
        <v>0</v>
      </c>
      <c r="Q724" s="61">
        <v>0.92620000000000002</v>
      </c>
      <c r="R724" s="46"/>
    </row>
    <row r="725" spans="1:18" ht="25.5">
      <c r="A725" s="33" t="s">
        <v>1111</v>
      </c>
      <c r="B725" s="40" t="s">
        <v>7743</v>
      </c>
      <c r="C725" s="44">
        <v>41537</v>
      </c>
      <c r="D725" s="47" t="s">
        <v>8465</v>
      </c>
      <c r="E725" s="51" t="s">
        <v>86</v>
      </c>
      <c r="F725" s="51" t="s">
        <v>87</v>
      </c>
      <c r="G725" s="52" t="s">
        <v>85</v>
      </c>
      <c r="H725" s="66" t="s">
        <v>80</v>
      </c>
      <c r="J725" s="43"/>
      <c r="K725" s="61">
        <v>0.9</v>
      </c>
      <c r="L725" s="40">
        <v>724</v>
      </c>
      <c r="M725" s="44">
        <v>41836</v>
      </c>
      <c r="N725" s="45">
        <f>22+50/60</f>
        <v>22.833333333333332</v>
      </c>
      <c r="O725" s="18">
        <v>0</v>
      </c>
      <c r="P725" s="18">
        <v>0</v>
      </c>
      <c r="Q725" s="62">
        <v>0.91080000000000005</v>
      </c>
      <c r="R725" s="46"/>
    </row>
    <row r="726" spans="1:18" ht="25.5">
      <c r="A726" s="33" t="s">
        <v>5616</v>
      </c>
      <c r="B726" s="40" t="s">
        <v>7800</v>
      </c>
      <c r="C726" s="44">
        <v>40987</v>
      </c>
      <c r="D726" s="47" t="s">
        <v>8465</v>
      </c>
      <c r="E726" s="40" t="s">
        <v>1534</v>
      </c>
      <c r="F726" s="40" t="s">
        <v>1245</v>
      </c>
      <c r="G726" s="42" t="s">
        <v>304</v>
      </c>
      <c r="H726" s="65" t="s">
        <v>80</v>
      </c>
      <c r="J726" s="43"/>
      <c r="K726" s="61">
        <v>0.9</v>
      </c>
      <c r="L726" s="40">
        <v>725</v>
      </c>
      <c r="M726" s="44">
        <v>41852</v>
      </c>
      <c r="N726" s="45">
        <f>15+27/60</f>
        <v>15.45</v>
      </c>
      <c r="O726" s="18">
        <v>0</v>
      </c>
      <c r="P726" s="18">
        <v>0</v>
      </c>
      <c r="Q726" s="61">
        <v>0.77749999999999997</v>
      </c>
      <c r="R726" s="46"/>
    </row>
    <row r="727" spans="1:18" ht="25.5">
      <c r="A727" s="33" t="s">
        <v>3783</v>
      </c>
      <c r="B727" s="40" t="s">
        <v>7800</v>
      </c>
      <c r="C727" s="44">
        <v>41796</v>
      </c>
      <c r="D727" s="47" t="s">
        <v>8465</v>
      </c>
      <c r="E727" s="40" t="s">
        <v>3784</v>
      </c>
      <c r="F727" s="40" t="s">
        <v>3782</v>
      </c>
      <c r="G727" s="42" t="s">
        <v>3781</v>
      </c>
      <c r="H727" s="65" t="s">
        <v>56</v>
      </c>
      <c r="J727" s="43"/>
      <c r="K727" s="61">
        <v>0.8</v>
      </c>
      <c r="L727" s="40">
        <v>726</v>
      </c>
      <c r="M727" s="44">
        <v>41852</v>
      </c>
      <c r="N727" s="45">
        <f>53/60</f>
        <v>0.8833333333333333</v>
      </c>
      <c r="O727" s="18">
        <v>0</v>
      </c>
      <c r="P727" s="18">
        <v>0</v>
      </c>
      <c r="Q727" s="61">
        <v>0.6</v>
      </c>
      <c r="R727" s="46"/>
    </row>
    <row r="728" spans="1:18">
      <c r="A728" s="33" t="s">
        <v>2410</v>
      </c>
      <c r="B728" s="40" t="s">
        <v>7749</v>
      </c>
      <c r="C728" s="44">
        <v>40860</v>
      </c>
      <c r="D728" s="47" t="s">
        <v>8465</v>
      </c>
      <c r="E728" s="40" t="s">
        <v>86</v>
      </c>
      <c r="F728" s="40" t="s">
        <v>87</v>
      </c>
      <c r="G728" s="42" t="s">
        <v>137</v>
      </c>
      <c r="H728" s="65" t="s">
        <v>1040</v>
      </c>
      <c r="J728" s="43"/>
      <c r="K728" s="61">
        <v>0.9</v>
      </c>
      <c r="L728" s="40">
        <v>727</v>
      </c>
      <c r="M728" s="44">
        <v>41855</v>
      </c>
      <c r="N728" s="45">
        <f>6+50/60</f>
        <v>6.833333333333333</v>
      </c>
      <c r="O728" s="18">
        <v>0</v>
      </c>
      <c r="P728" s="18">
        <v>0</v>
      </c>
      <c r="Q728" s="61">
        <v>0.90090000000000003</v>
      </c>
      <c r="R728" s="46"/>
    </row>
    <row r="729" spans="1:18" ht="25.5">
      <c r="A729" s="33" t="s">
        <v>3170</v>
      </c>
      <c r="B729" s="40" t="s">
        <v>7800</v>
      </c>
      <c r="C729" s="44">
        <v>41527</v>
      </c>
      <c r="D729" s="47" t="s">
        <v>8465</v>
      </c>
      <c r="E729" s="40" t="s">
        <v>3171</v>
      </c>
      <c r="F729" s="40" t="s">
        <v>3172</v>
      </c>
      <c r="G729" s="42" t="s">
        <v>3173</v>
      </c>
      <c r="H729" s="65" t="s">
        <v>1061</v>
      </c>
      <c r="J729" s="43"/>
      <c r="K729" s="61">
        <v>0.6</v>
      </c>
      <c r="L729" s="40">
        <v>728</v>
      </c>
      <c r="M729" s="44">
        <v>41857</v>
      </c>
      <c r="N729" s="45">
        <f>3+37/60</f>
        <v>3.6166666666666667</v>
      </c>
      <c r="O729" s="18">
        <v>0</v>
      </c>
      <c r="P729" s="18">
        <v>0</v>
      </c>
      <c r="Q729" s="61">
        <v>0.72529999999999994</v>
      </c>
      <c r="R729" s="46"/>
    </row>
    <row r="730" spans="1:18" ht="25.5">
      <c r="A730" s="33" t="s">
        <v>3129</v>
      </c>
      <c r="B730" s="40" t="s">
        <v>7800</v>
      </c>
      <c r="C730" s="44">
        <v>41051</v>
      </c>
      <c r="D730" s="47" t="s">
        <v>8465</v>
      </c>
      <c r="E730" s="40" t="s">
        <v>3130</v>
      </c>
      <c r="F730" s="40" t="s">
        <v>3130</v>
      </c>
      <c r="G730" s="42" t="s">
        <v>3131</v>
      </c>
      <c r="H730" s="65" t="s">
        <v>1168</v>
      </c>
      <c r="J730" s="43"/>
      <c r="K730" s="61">
        <v>0.7</v>
      </c>
      <c r="L730" s="40">
        <v>729</v>
      </c>
      <c r="M730" s="44">
        <v>41858</v>
      </c>
      <c r="N730" s="45">
        <f>3+20/60</f>
        <v>3.3333333333333335</v>
      </c>
      <c r="O730" s="18">
        <v>0</v>
      </c>
      <c r="P730" s="18">
        <v>0</v>
      </c>
      <c r="Q730" s="61">
        <v>0.73370000000000002</v>
      </c>
      <c r="R730" s="46"/>
    </row>
    <row r="731" spans="1:18" ht="25.5">
      <c r="A731" s="33" t="s">
        <v>4571</v>
      </c>
      <c r="B731" s="40" t="s">
        <v>7800</v>
      </c>
      <c r="C731" s="44">
        <v>41669</v>
      </c>
      <c r="D731" s="47" t="s">
        <v>8465</v>
      </c>
      <c r="E731" s="40" t="s">
        <v>4572</v>
      </c>
      <c r="F731" s="40" t="s">
        <v>4572</v>
      </c>
      <c r="G731" s="42" t="s">
        <v>10011</v>
      </c>
      <c r="H731" s="65" t="s">
        <v>2820</v>
      </c>
      <c r="J731" s="43"/>
      <c r="K731" s="61">
        <v>0.7</v>
      </c>
      <c r="L731" s="40">
        <v>730</v>
      </c>
      <c r="M731" s="44">
        <v>41859</v>
      </c>
      <c r="N731" s="45">
        <f>2+4/60</f>
        <v>2.0666666666666669</v>
      </c>
      <c r="O731" s="18">
        <v>0</v>
      </c>
      <c r="P731" s="18">
        <v>0</v>
      </c>
      <c r="Q731" s="61">
        <v>0.70920000000000005</v>
      </c>
      <c r="R731" s="46"/>
    </row>
    <row r="732" spans="1:18">
      <c r="A732" s="33" t="s">
        <v>5671</v>
      </c>
      <c r="B732" s="40" t="s">
        <v>7800</v>
      </c>
      <c r="C732" s="44">
        <v>41856</v>
      </c>
      <c r="D732" s="47" t="s">
        <v>8465</v>
      </c>
      <c r="E732" s="40" t="s">
        <v>3063</v>
      </c>
      <c r="F732" s="40" t="s">
        <v>3368</v>
      </c>
      <c r="G732" s="42" t="s">
        <v>3367</v>
      </c>
      <c r="H732" s="65" t="s">
        <v>143</v>
      </c>
      <c r="J732" s="43"/>
      <c r="K732" s="61">
        <v>0.8</v>
      </c>
      <c r="L732" s="40">
        <v>731</v>
      </c>
      <c r="M732" s="44">
        <v>41859</v>
      </c>
      <c r="N732" s="45">
        <f>65/60</f>
        <v>1.0833333333333333</v>
      </c>
      <c r="O732" s="18">
        <v>0</v>
      </c>
      <c r="P732" s="18">
        <v>0</v>
      </c>
      <c r="Q732" s="61"/>
      <c r="R732" s="46"/>
    </row>
    <row r="733" spans="1:18" ht="25.5">
      <c r="A733" s="33" t="s">
        <v>4314</v>
      </c>
      <c r="B733" s="40" t="s">
        <v>7800</v>
      </c>
      <c r="C733" s="44">
        <v>41226</v>
      </c>
      <c r="D733" s="47" t="s">
        <v>8465</v>
      </c>
      <c r="E733" s="51" t="s">
        <v>1529</v>
      </c>
      <c r="F733" s="51" t="s">
        <v>10012</v>
      </c>
      <c r="G733" s="52" t="s">
        <v>4305</v>
      </c>
      <c r="H733" s="66" t="s">
        <v>80</v>
      </c>
      <c r="J733" s="43"/>
      <c r="K733" s="61">
        <v>0.7</v>
      </c>
      <c r="L733" s="40">
        <v>732</v>
      </c>
      <c r="M733" s="44">
        <v>41863</v>
      </c>
      <c r="N733" s="45">
        <f>8+6/60</f>
        <v>8.1</v>
      </c>
      <c r="O733" s="18">
        <v>0</v>
      </c>
      <c r="P733" s="18">
        <v>0</v>
      </c>
      <c r="Q733" s="61">
        <v>0.8367</v>
      </c>
      <c r="R733" s="46"/>
    </row>
    <row r="734" spans="1:18">
      <c r="A734" s="33" t="s">
        <v>4900</v>
      </c>
      <c r="B734" s="40" t="s">
        <v>7800</v>
      </c>
      <c r="C734" s="44">
        <v>41506</v>
      </c>
      <c r="D734" s="47" t="s">
        <v>8465</v>
      </c>
      <c r="E734" s="51" t="s">
        <v>1163</v>
      </c>
      <c r="F734" s="51" t="s">
        <v>1655</v>
      </c>
      <c r="G734" s="42" t="s">
        <v>1656</v>
      </c>
      <c r="H734" s="65" t="s">
        <v>1168</v>
      </c>
      <c r="J734" s="43"/>
      <c r="K734" s="61">
        <v>0.8</v>
      </c>
      <c r="L734" s="40">
        <v>733</v>
      </c>
      <c r="M734" s="44">
        <v>41864</v>
      </c>
      <c r="N734" s="45">
        <f>19+8/60</f>
        <v>19.133333333333333</v>
      </c>
      <c r="O734" s="18">
        <v>0</v>
      </c>
      <c r="P734" s="18">
        <v>0</v>
      </c>
      <c r="Q734" s="61">
        <v>0.88759999999999994</v>
      </c>
      <c r="R734" s="46"/>
    </row>
    <row r="735" spans="1:18">
      <c r="A735" s="33" t="s">
        <v>4796</v>
      </c>
      <c r="B735" s="40" t="s">
        <v>7800</v>
      </c>
      <c r="C735" s="44">
        <v>40071</v>
      </c>
      <c r="D735" s="47" t="s">
        <v>8465</v>
      </c>
      <c r="E735" s="40" t="s">
        <v>1342</v>
      </c>
      <c r="F735" s="40" t="s">
        <v>1655</v>
      </c>
      <c r="G735" s="42" t="s">
        <v>1646</v>
      </c>
      <c r="H735" s="65" t="s">
        <v>1168</v>
      </c>
      <c r="J735" s="43"/>
      <c r="K735" s="61">
        <v>0.8</v>
      </c>
      <c r="L735" s="40">
        <v>734</v>
      </c>
      <c r="M735" s="44">
        <v>41865</v>
      </c>
      <c r="N735" s="45">
        <f>8+3/60+37/3600</f>
        <v>8.0602777777777792</v>
      </c>
      <c r="O735" s="18">
        <v>0</v>
      </c>
      <c r="P735" s="18">
        <v>0</v>
      </c>
      <c r="Q735" s="61">
        <v>0.82450000000000001</v>
      </c>
      <c r="R735" s="46"/>
    </row>
    <row r="736" spans="1:18">
      <c r="A736" s="33" t="s">
        <v>3699</v>
      </c>
      <c r="B736" s="40" t="s">
        <v>7800</v>
      </c>
      <c r="C736" s="44">
        <v>41676</v>
      </c>
      <c r="D736" s="47" t="s">
        <v>8465</v>
      </c>
      <c r="E736" s="51" t="s">
        <v>1551</v>
      </c>
      <c r="F736" s="51" t="s">
        <v>1084</v>
      </c>
      <c r="G736" s="42" t="s">
        <v>111</v>
      </c>
      <c r="H736" s="65" t="s">
        <v>153</v>
      </c>
      <c r="J736" s="43"/>
      <c r="K736" s="61">
        <v>0.8</v>
      </c>
      <c r="L736" s="40">
        <v>735</v>
      </c>
      <c r="M736" s="44">
        <v>41866</v>
      </c>
      <c r="N736" s="45">
        <f>5+16/60</f>
        <v>5.2666666666666666</v>
      </c>
      <c r="O736" s="18">
        <v>0</v>
      </c>
      <c r="P736" s="18">
        <v>0</v>
      </c>
      <c r="Q736" s="61">
        <v>0.85</v>
      </c>
      <c r="R736" s="46"/>
    </row>
    <row r="737" spans="1:18">
      <c r="A737" s="33" t="s">
        <v>2121</v>
      </c>
      <c r="B737" s="40" t="s">
        <v>7748</v>
      </c>
      <c r="C737" s="44">
        <v>40624</v>
      </c>
      <c r="D737" s="47" t="s">
        <v>8465</v>
      </c>
      <c r="E737" s="40" t="s">
        <v>1551</v>
      </c>
      <c r="F737" s="40" t="s">
        <v>2140</v>
      </c>
      <c r="G737" s="42"/>
      <c r="H737" s="65" t="s">
        <v>151</v>
      </c>
      <c r="J737" s="43"/>
      <c r="K737" s="61">
        <v>0.8</v>
      </c>
      <c r="L737" s="40">
        <v>736</v>
      </c>
      <c r="M737" s="44">
        <v>41875</v>
      </c>
      <c r="N737" s="45">
        <f>7+32/60</f>
        <v>7.5333333333333332</v>
      </c>
      <c r="O737" s="18">
        <v>0</v>
      </c>
      <c r="P737" s="18">
        <v>0</v>
      </c>
      <c r="Q737" s="61">
        <v>0.80620000000000003</v>
      </c>
      <c r="R737" s="46"/>
    </row>
    <row r="738" spans="1:18">
      <c r="A738" s="33" t="s">
        <v>4626</v>
      </c>
      <c r="B738" s="40" t="s">
        <v>7800</v>
      </c>
      <c r="C738" s="44">
        <v>41521</v>
      </c>
      <c r="D738" s="47" t="s">
        <v>8465</v>
      </c>
      <c r="E738" s="40" t="s">
        <v>4627</v>
      </c>
      <c r="F738" s="40" t="s">
        <v>4627</v>
      </c>
      <c r="G738" s="42" t="s">
        <v>4626</v>
      </c>
      <c r="H738" s="65" t="s">
        <v>1061</v>
      </c>
      <c r="J738" s="43"/>
      <c r="K738" s="61">
        <v>0.8</v>
      </c>
      <c r="L738" s="40">
        <v>737</v>
      </c>
      <c r="M738" s="44">
        <v>41876</v>
      </c>
      <c r="N738" s="45">
        <f>4+23/60</f>
        <v>4.3833333333333337</v>
      </c>
      <c r="O738" s="18">
        <v>0</v>
      </c>
      <c r="P738" s="18">
        <v>0</v>
      </c>
      <c r="Q738" s="61">
        <v>0.79949999999999999</v>
      </c>
      <c r="R738" s="46"/>
    </row>
    <row r="739" spans="1:18">
      <c r="A739" s="33" t="s">
        <v>5672</v>
      </c>
      <c r="B739" s="40" t="s">
        <v>7800</v>
      </c>
      <c r="C739" s="44">
        <v>41315</v>
      </c>
      <c r="D739" s="47" t="s">
        <v>8465</v>
      </c>
      <c r="E739" s="40" t="s">
        <v>1559</v>
      </c>
      <c r="F739" s="40" t="s">
        <v>1559</v>
      </c>
      <c r="G739" s="42"/>
      <c r="H739" s="65" t="s">
        <v>2820</v>
      </c>
      <c r="J739" s="43"/>
      <c r="K739" s="61">
        <v>0.6</v>
      </c>
      <c r="L739" s="40">
        <v>738</v>
      </c>
      <c r="M739" s="44">
        <v>41877</v>
      </c>
      <c r="N739" s="45">
        <f>7/60</f>
        <v>0.11666666666666667</v>
      </c>
      <c r="O739" s="18">
        <v>0</v>
      </c>
      <c r="P739" s="18">
        <v>0</v>
      </c>
      <c r="Q739" s="61"/>
      <c r="R739" s="46"/>
    </row>
    <row r="740" spans="1:18" ht="25.5">
      <c r="A740" s="33" t="s">
        <v>6981</v>
      </c>
      <c r="B740" s="40" t="s">
        <v>7800</v>
      </c>
      <c r="C740" s="44">
        <v>41723</v>
      </c>
      <c r="D740" s="47" t="s">
        <v>8465</v>
      </c>
      <c r="E740" s="40" t="s">
        <v>1296</v>
      </c>
      <c r="F740" s="40" t="s">
        <v>1296</v>
      </c>
      <c r="G740" s="42" t="s">
        <v>1589</v>
      </c>
      <c r="H740" s="65" t="s">
        <v>171</v>
      </c>
      <c r="J740" s="43"/>
      <c r="K740" s="61">
        <v>0.8</v>
      </c>
      <c r="L740" s="40">
        <v>739</v>
      </c>
      <c r="M740" s="44">
        <v>41882</v>
      </c>
      <c r="N740" s="45"/>
      <c r="O740" s="18">
        <v>0</v>
      </c>
      <c r="P740" s="18">
        <v>0</v>
      </c>
      <c r="Q740" s="61">
        <v>0.87219999999999998</v>
      </c>
      <c r="R740" s="46"/>
    </row>
    <row r="741" spans="1:18">
      <c r="A741" s="33" t="s">
        <v>2395</v>
      </c>
      <c r="B741" s="40" t="s">
        <v>7749</v>
      </c>
      <c r="C741" s="44">
        <v>41559</v>
      </c>
      <c r="D741" s="47" t="s">
        <v>8465</v>
      </c>
      <c r="E741" s="40" t="s">
        <v>86</v>
      </c>
      <c r="F741" s="40" t="s">
        <v>1354</v>
      </c>
      <c r="G741" s="42" t="s">
        <v>1470</v>
      </c>
      <c r="H741" s="65" t="s">
        <v>149</v>
      </c>
      <c r="J741" s="43"/>
      <c r="K741" s="61">
        <v>0.9</v>
      </c>
      <c r="L741" s="40">
        <v>740</v>
      </c>
      <c r="M741" s="44"/>
      <c r="N741" s="45">
        <f>33+14/60</f>
        <v>33.233333333333334</v>
      </c>
      <c r="O741" s="18">
        <v>0</v>
      </c>
      <c r="P741" s="18">
        <v>0</v>
      </c>
      <c r="Q741" s="61">
        <v>0.87260000000000004</v>
      </c>
      <c r="R741" s="46"/>
    </row>
    <row r="742" spans="1:18" ht="25.5">
      <c r="A742" s="33" t="s">
        <v>5390</v>
      </c>
      <c r="B742" s="40" t="s">
        <v>7800</v>
      </c>
      <c r="C742" s="44">
        <v>41877</v>
      </c>
      <c r="D742" s="47" t="s">
        <v>8465</v>
      </c>
      <c r="E742" s="40" t="s">
        <v>3246</v>
      </c>
      <c r="F742" s="40" t="s">
        <v>3246</v>
      </c>
      <c r="G742" s="42" t="s">
        <v>5388</v>
      </c>
      <c r="H742" s="65" t="s">
        <v>67</v>
      </c>
      <c r="J742" s="43"/>
      <c r="K742" s="61">
        <v>0.8</v>
      </c>
      <c r="L742" s="40">
        <v>741</v>
      </c>
      <c r="M742" s="44">
        <v>41904</v>
      </c>
      <c r="N742" s="45">
        <f>9+20/60</f>
        <v>9.3333333333333339</v>
      </c>
      <c r="O742" s="18">
        <v>0</v>
      </c>
      <c r="P742" s="18">
        <v>0</v>
      </c>
      <c r="Q742" s="61">
        <v>0.79600000000000004</v>
      </c>
      <c r="R742" s="46"/>
    </row>
    <row r="743" spans="1:18" ht="25.5">
      <c r="A743" s="33" t="s">
        <v>3800</v>
      </c>
      <c r="B743" s="40" t="s">
        <v>7800</v>
      </c>
      <c r="C743" s="44">
        <v>41572</v>
      </c>
      <c r="D743" s="47" t="s">
        <v>8465</v>
      </c>
      <c r="E743" s="40" t="s">
        <v>1509</v>
      </c>
      <c r="F743" s="40" t="s">
        <v>3687</v>
      </c>
      <c r="G743" s="42"/>
      <c r="H743" s="65" t="s">
        <v>80</v>
      </c>
      <c r="J743" s="43"/>
      <c r="K743" s="61">
        <v>0.8</v>
      </c>
      <c r="L743" s="40">
        <v>742</v>
      </c>
      <c r="M743" s="44">
        <v>41922</v>
      </c>
      <c r="N743" s="45">
        <f>7+23/60</f>
        <v>7.3833333333333337</v>
      </c>
      <c r="O743" s="18">
        <v>0</v>
      </c>
      <c r="P743" s="18">
        <v>0</v>
      </c>
      <c r="Q743" s="61">
        <v>0.625</v>
      </c>
      <c r="R743" s="46"/>
    </row>
    <row r="744" spans="1:18" ht="38.25">
      <c r="A744" s="33" t="s">
        <v>5317</v>
      </c>
      <c r="B744" s="40" t="s">
        <v>7800</v>
      </c>
      <c r="C744" s="44">
        <v>41416</v>
      </c>
      <c r="D744" s="47" t="s">
        <v>8465</v>
      </c>
      <c r="E744" s="40" t="s">
        <v>10013</v>
      </c>
      <c r="F744" s="40" t="s">
        <v>10013</v>
      </c>
      <c r="G744" s="42" t="s">
        <v>5317</v>
      </c>
      <c r="H744" s="65" t="s">
        <v>171</v>
      </c>
      <c r="J744" s="43"/>
      <c r="K744" s="61">
        <v>0.8</v>
      </c>
      <c r="L744" s="40">
        <v>743</v>
      </c>
      <c r="M744" s="44">
        <v>41924</v>
      </c>
      <c r="N744" s="45">
        <f>12+34/60</f>
        <v>12.566666666666666</v>
      </c>
      <c r="O744" s="18">
        <v>0</v>
      </c>
      <c r="P744" s="18">
        <v>0</v>
      </c>
      <c r="Q744" s="61">
        <v>0.74119999999999997</v>
      </c>
      <c r="R744" s="46"/>
    </row>
    <row r="745" spans="1:18">
      <c r="A745" s="33" t="s">
        <v>3674</v>
      </c>
      <c r="B745" s="40" t="s">
        <v>7800</v>
      </c>
      <c r="C745" s="44">
        <v>41191</v>
      </c>
      <c r="D745" s="47" t="s">
        <v>8465</v>
      </c>
      <c r="E745" s="40" t="s">
        <v>1690</v>
      </c>
      <c r="F745" s="40" t="s">
        <v>3218</v>
      </c>
      <c r="G745" s="42" t="s">
        <v>3674</v>
      </c>
      <c r="H745" s="65" t="s">
        <v>245</v>
      </c>
      <c r="J745" s="43"/>
      <c r="K745" s="61">
        <v>0.8</v>
      </c>
      <c r="L745" s="40">
        <v>744</v>
      </c>
      <c r="M745" s="44">
        <v>41930</v>
      </c>
      <c r="N745" s="45">
        <f>9+15/60</f>
        <v>9.25</v>
      </c>
      <c r="O745" s="18">
        <v>0</v>
      </c>
      <c r="P745" s="18">
        <v>0</v>
      </c>
      <c r="Q745" s="61">
        <v>0.90569999999999995</v>
      </c>
      <c r="R745" s="46"/>
    </row>
    <row r="746" spans="1:18">
      <c r="A746" s="33" t="s">
        <v>1112</v>
      </c>
      <c r="B746" s="40" t="s">
        <v>7743</v>
      </c>
      <c r="C746" s="44">
        <v>41600</v>
      </c>
      <c r="D746" s="47" t="s">
        <v>8465</v>
      </c>
      <c r="E746" s="40" t="s">
        <v>86</v>
      </c>
      <c r="F746" s="40" t="s">
        <v>87</v>
      </c>
      <c r="G746" s="42" t="s">
        <v>137</v>
      </c>
      <c r="H746" s="65" t="s">
        <v>1040</v>
      </c>
      <c r="J746" s="43"/>
      <c r="K746" s="61">
        <v>0.9</v>
      </c>
      <c r="L746" s="40">
        <v>745</v>
      </c>
      <c r="M746" s="44">
        <v>41936</v>
      </c>
      <c r="N746" s="45">
        <f>13+3/60</f>
        <v>13.05</v>
      </c>
      <c r="O746" s="18">
        <v>0</v>
      </c>
      <c r="P746" s="18">
        <v>0</v>
      </c>
      <c r="Q746" s="61">
        <v>0.92769999999999997</v>
      </c>
      <c r="R746" s="46"/>
    </row>
    <row r="747" spans="1:18" ht="25.5">
      <c r="A747" s="33" t="s">
        <v>3358</v>
      </c>
      <c r="B747" s="40" t="s">
        <v>7800</v>
      </c>
      <c r="C747" s="44">
        <v>41926</v>
      </c>
      <c r="D747" s="47" t="s">
        <v>8465</v>
      </c>
      <c r="E747" s="40" t="s">
        <v>3310</v>
      </c>
      <c r="F747" s="40" t="s">
        <v>3359</v>
      </c>
      <c r="G747" s="42" t="s">
        <v>3356</v>
      </c>
      <c r="H747" s="65" t="s">
        <v>1050</v>
      </c>
      <c r="J747" s="43"/>
      <c r="K747" s="61">
        <v>0.8</v>
      </c>
      <c r="L747" s="40">
        <v>746</v>
      </c>
      <c r="M747" s="44">
        <v>41939</v>
      </c>
      <c r="N747" s="45">
        <f>18+2/60</f>
        <v>18.033333333333335</v>
      </c>
      <c r="O747" s="18">
        <v>0</v>
      </c>
      <c r="P747" s="18">
        <v>0</v>
      </c>
      <c r="Q747" s="61">
        <v>0.74870000000000003</v>
      </c>
      <c r="R747" s="46"/>
    </row>
    <row r="748" spans="1:18">
      <c r="A748" s="33" t="s">
        <v>5663</v>
      </c>
      <c r="B748" s="40" t="s">
        <v>7800</v>
      </c>
      <c r="C748" s="44">
        <v>40679</v>
      </c>
      <c r="D748" s="47" t="s">
        <v>8465</v>
      </c>
      <c r="E748" s="40" t="s">
        <v>5707</v>
      </c>
      <c r="F748" s="40" t="s">
        <v>5707</v>
      </c>
      <c r="G748" s="42" t="s">
        <v>5663</v>
      </c>
      <c r="H748" s="65" t="s">
        <v>9978</v>
      </c>
      <c r="J748" s="43"/>
      <c r="K748" s="61">
        <v>0.8</v>
      </c>
      <c r="L748" s="40">
        <v>747</v>
      </c>
      <c r="M748" s="44">
        <v>41958</v>
      </c>
      <c r="N748" s="45"/>
      <c r="O748" s="18">
        <v>0</v>
      </c>
      <c r="P748" s="18">
        <v>0</v>
      </c>
      <c r="Q748" s="61">
        <v>0.84140000000000004</v>
      </c>
      <c r="R748" s="46"/>
    </row>
    <row r="749" spans="1:18">
      <c r="A749" s="33" t="s">
        <v>2814</v>
      </c>
      <c r="B749" s="40" t="s">
        <v>7781</v>
      </c>
      <c r="C749" s="44">
        <v>41571</v>
      </c>
      <c r="D749" s="47" t="s">
        <v>8465</v>
      </c>
      <c r="E749" s="40" t="s">
        <v>2827</v>
      </c>
      <c r="F749" s="40" t="s">
        <v>2827</v>
      </c>
      <c r="G749" s="42" t="s">
        <v>2828</v>
      </c>
      <c r="H749" s="65" t="s">
        <v>1334</v>
      </c>
      <c r="J749" s="43"/>
      <c r="K749" s="61">
        <v>0.8</v>
      </c>
      <c r="L749" s="40">
        <v>748</v>
      </c>
      <c r="M749" s="44">
        <v>41963</v>
      </c>
      <c r="N749" s="45"/>
      <c r="O749" s="18">
        <v>0</v>
      </c>
      <c r="P749" s="18">
        <v>0</v>
      </c>
      <c r="Q749" s="61"/>
      <c r="R749" s="46"/>
    </row>
    <row r="750" spans="1:18" ht="25.5">
      <c r="A750" s="33" t="s">
        <v>2122</v>
      </c>
      <c r="B750" s="40" t="s">
        <v>7748</v>
      </c>
      <c r="C750" s="44">
        <v>40154</v>
      </c>
      <c r="D750" s="47" t="s">
        <v>8465</v>
      </c>
      <c r="E750" s="40" t="s">
        <v>86</v>
      </c>
      <c r="F750" s="40" t="s">
        <v>87</v>
      </c>
      <c r="G750" s="42" t="s">
        <v>85</v>
      </c>
      <c r="H750" s="65" t="s">
        <v>80</v>
      </c>
      <c r="J750" s="43"/>
      <c r="K750" s="61">
        <v>0.7</v>
      </c>
      <c r="L750" s="40">
        <v>749</v>
      </c>
      <c r="M750" s="44">
        <v>41970</v>
      </c>
      <c r="N750" s="45"/>
      <c r="O750" s="18">
        <v>0</v>
      </c>
      <c r="P750" s="18">
        <v>0</v>
      </c>
      <c r="Q750" s="61">
        <v>0.87050000000000005</v>
      </c>
      <c r="R750" s="46"/>
    </row>
    <row r="751" spans="1:18">
      <c r="A751" s="33" t="s">
        <v>4811</v>
      </c>
      <c r="B751" s="40" t="s">
        <v>7800</v>
      </c>
      <c r="C751" s="44">
        <v>40074</v>
      </c>
      <c r="D751" s="47" t="s">
        <v>8465</v>
      </c>
      <c r="E751" s="40" t="s">
        <v>73</v>
      </c>
      <c r="F751" s="40" t="s">
        <v>73</v>
      </c>
      <c r="G751" s="42" t="s">
        <v>943</v>
      </c>
      <c r="H751" s="65" t="s">
        <v>1168</v>
      </c>
      <c r="J751" s="43"/>
      <c r="K751" s="61">
        <v>0.8</v>
      </c>
      <c r="L751" s="40">
        <v>750</v>
      </c>
      <c r="M751" s="44">
        <v>41974</v>
      </c>
      <c r="N751" s="45">
        <f>10 + 40/60</f>
        <v>10.666666666666666</v>
      </c>
      <c r="O751" s="18">
        <v>0</v>
      </c>
      <c r="P751" s="18">
        <v>0</v>
      </c>
      <c r="Q751" s="61">
        <v>0.8629</v>
      </c>
      <c r="R751" s="46"/>
    </row>
    <row r="752" spans="1:18">
      <c r="A752" s="33" t="s">
        <v>5365</v>
      </c>
      <c r="B752" s="40" t="s">
        <v>7800</v>
      </c>
      <c r="C752" s="44">
        <v>41564</v>
      </c>
      <c r="D752" s="47" t="s">
        <v>8465</v>
      </c>
      <c r="E752" s="51" t="s">
        <v>5366</v>
      </c>
      <c r="F752" s="51" t="s">
        <v>5366</v>
      </c>
      <c r="G752" s="42"/>
      <c r="H752" s="65" t="s">
        <v>2820</v>
      </c>
      <c r="J752" s="43"/>
      <c r="K752" s="61">
        <v>0.8</v>
      </c>
      <c r="L752" s="40">
        <v>751</v>
      </c>
      <c r="M752" s="44">
        <v>41979</v>
      </c>
      <c r="N752" s="45">
        <f>2 +40/60</f>
        <v>2.6666666666666665</v>
      </c>
      <c r="O752" s="18">
        <v>0</v>
      </c>
      <c r="P752" s="18">
        <v>0</v>
      </c>
      <c r="Q752" s="61">
        <v>0.90249999999999997</v>
      </c>
      <c r="R752" s="46"/>
    </row>
    <row r="753" spans="1:18">
      <c r="A753" s="33" t="s">
        <v>6556</v>
      </c>
      <c r="B753" s="40" t="s">
        <v>7800</v>
      </c>
      <c r="C753" s="44">
        <v>40960</v>
      </c>
      <c r="D753" s="47" t="s">
        <v>8465</v>
      </c>
      <c r="E753" s="40" t="s">
        <v>231</v>
      </c>
      <c r="F753" s="40" t="s">
        <v>3381</v>
      </c>
      <c r="G753" s="42" t="s">
        <v>6556</v>
      </c>
      <c r="H753" s="65" t="s">
        <v>1050</v>
      </c>
      <c r="J753" s="43"/>
      <c r="K753" s="61">
        <v>0.8</v>
      </c>
      <c r="L753" s="40">
        <v>752</v>
      </c>
      <c r="M753" s="44">
        <v>41979</v>
      </c>
      <c r="N753" s="45">
        <v>6</v>
      </c>
      <c r="O753" s="18">
        <v>0</v>
      </c>
      <c r="P753" s="18">
        <v>0</v>
      </c>
      <c r="Q753" s="61">
        <v>0.68</v>
      </c>
      <c r="R753" s="46"/>
    </row>
    <row r="754" spans="1:18">
      <c r="A754" s="33" t="s">
        <v>5463</v>
      </c>
      <c r="B754" s="40" t="s">
        <v>7800</v>
      </c>
      <c r="C754" s="44">
        <v>41779</v>
      </c>
      <c r="D754" s="47" t="s">
        <v>8465</v>
      </c>
      <c r="E754" s="40" t="s">
        <v>3261</v>
      </c>
      <c r="F754" s="40" t="s">
        <v>3261</v>
      </c>
      <c r="G754" s="42"/>
      <c r="H754" s="65" t="s">
        <v>171</v>
      </c>
      <c r="J754" s="43"/>
      <c r="K754" s="61">
        <v>0.9</v>
      </c>
      <c r="L754" s="40">
        <v>753</v>
      </c>
      <c r="M754" s="44">
        <v>41983</v>
      </c>
      <c r="N754" s="45">
        <f>4+18/60</f>
        <v>4.3</v>
      </c>
      <c r="O754" s="18">
        <v>0</v>
      </c>
      <c r="P754" s="18">
        <v>0</v>
      </c>
      <c r="Q754" s="61">
        <v>0.83919999999999995</v>
      </c>
      <c r="R754" s="46"/>
    </row>
    <row r="755" spans="1:18">
      <c r="A755" s="33" t="s">
        <v>4812</v>
      </c>
      <c r="B755" s="40" t="s">
        <v>7800</v>
      </c>
      <c r="C755" s="44">
        <v>41355</v>
      </c>
      <c r="D755" s="47" t="s">
        <v>8465</v>
      </c>
      <c r="E755" s="40" t="s">
        <v>73</v>
      </c>
      <c r="F755" s="40" t="s">
        <v>73</v>
      </c>
      <c r="G755" s="42" t="s">
        <v>943</v>
      </c>
      <c r="H755" s="65" t="s">
        <v>1168</v>
      </c>
      <c r="J755" s="43"/>
      <c r="K755" s="61">
        <v>0.8</v>
      </c>
      <c r="L755" s="40">
        <v>754</v>
      </c>
      <c r="M755" s="44">
        <v>41986</v>
      </c>
      <c r="N755" s="45">
        <f>23+21/60</f>
        <v>23.35</v>
      </c>
      <c r="O755" s="18">
        <v>0</v>
      </c>
      <c r="P755" s="18">
        <v>0</v>
      </c>
      <c r="Q755" s="61">
        <v>0.69669999999999999</v>
      </c>
      <c r="R755" s="46"/>
    </row>
    <row r="756" spans="1:18" ht="25.5">
      <c r="A756" s="33" t="s">
        <v>2123</v>
      </c>
      <c r="B756" s="40" t="s">
        <v>7748</v>
      </c>
      <c r="C756" s="44">
        <v>40433</v>
      </c>
      <c r="D756" s="47" t="s">
        <v>8465</v>
      </c>
      <c r="E756" s="40" t="s">
        <v>86</v>
      </c>
      <c r="F756" s="40" t="s">
        <v>2129</v>
      </c>
      <c r="G756" s="42" t="s">
        <v>2130</v>
      </c>
      <c r="H756" s="65" t="s">
        <v>78</v>
      </c>
      <c r="J756" s="43"/>
      <c r="K756" s="61">
        <v>0.7</v>
      </c>
      <c r="L756" s="40">
        <v>755</v>
      </c>
      <c r="M756" s="44">
        <v>41991</v>
      </c>
      <c r="N756" s="45">
        <f>14 + 47/60</f>
        <v>14.783333333333333</v>
      </c>
      <c r="O756" s="18">
        <v>0</v>
      </c>
      <c r="P756" s="18">
        <v>0</v>
      </c>
      <c r="Q756" s="61">
        <v>0.87270000000000003</v>
      </c>
      <c r="R756" s="46"/>
    </row>
    <row r="757" spans="1:18" ht="25.5">
      <c r="A757" s="33" t="s">
        <v>4444</v>
      </c>
      <c r="B757" s="40" t="s">
        <v>7800</v>
      </c>
      <c r="C757" s="44">
        <v>41912</v>
      </c>
      <c r="D757" s="47" t="s">
        <v>8465</v>
      </c>
      <c r="E757" s="40" t="s">
        <v>1529</v>
      </c>
      <c r="F757" s="40" t="s">
        <v>3487</v>
      </c>
      <c r="G757" s="42" t="s">
        <v>10014</v>
      </c>
      <c r="H757" s="65" t="s">
        <v>80</v>
      </c>
      <c r="J757" s="43"/>
      <c r="K757" s="61">
        <v>0.9</v>
      </c>
      <c r="L757" s="40">
        <v>756</v>
      </c>
      <c r="M757" s="44">
        <v>42002</v>
      </c>
      <c r="N757" s="45">
        <f>22+10/60</f>
        <v>22.166666666666668</v>
      </c>
      <c r="O757" s="18">
        <v>0</v>
      </c>
      <c r="P757" s="18">
        <v>0</v>
      </c>
      <c r="Q757" s="61">
        <v>0.86670000000000003</v>
      </c>
      <c r="R757" s="46"/>
    </row>
    <row r="758" spans="1:18">
      <c r="A758" s="33" t="s">
        <v>4988</v>
      </c>
      <c r="B758" s="40" t="s">
        <v>7800</v>
      </c>
      <c r="C758" s="44">
        <v>41816</v>
      </c>
      <c r="D758" s="47" t="s">
        <v>8465</v>
      </c>
      <c r="E758" s="40" t="s">
        <v>4989</v>
      </c>
      <c r="F758" s="40" t="s">
        <v>4989</v>
      </c>
      <c r="G758" s="42" t="s">
        <v>4988</v>
      </c>
      <c r="H758" s="65" t="s">
        <v>56</v>
      </c>
      <c r="J758" s="43"/>
      <c r="K758" s="61">
        <v>0.9</v>
      </c>
      <c r="L758" s="40">
        <v>757</v>
      </c>
      <c r="M758" s="44">
        <v>42008</v>
      </c>
      <c r="N758" s="45">
        <f>5+43/60+52/3600</f>
        <v>5.7311111111111108</v>
      </c>
      <c r="O758" s="18">
        <v>0</v>
      </c>
      <c r="P758" s="18">
        <v>0</v>
      </c>
      <c r="Q758" s="61">
        <v>0.87560000000000004</v>
      </c>
      <c r="R758" s="46"/>
    </row>
    <row r="759" spans="1:18">
      <c r="A759" s="33" t="s">
        <v>2446</v>
      </c>
      <c r="B759" s="40" t="s">
        <v>7749</v>
      </c>
      <c r="C759" s="44">
        <v>41410</v>
      </c>
      <c r="D759" s="47" t="s">
        <v>8465</v>
      </c>
      <c r="E759" s="40" t="s">
        <v>2129</v>
      </c>
      <c r="F759" s="40" t="s">
        <v>2129</v>
      </c>
      <c r="G759" s="42"/>
      <c r="H759" s="65" t="s">
        <v>67</v>
      </c>
      <c r="J759" s="43"/>
      <c r="K759" s="61">
        <v>0.5</v>
      </c>
      <c r="L759" s="40">
        <v>758</v>
      </c>
      <c r="M759" s="44">
        <v>42009</v>
      </c>
      <c r="N759" s="45">
        <f>1+51/60</f>
        <v>1.85</v>
      </c>
      <c r="O759" s="18">
        <v>0</v>
      </c>
      <c r="P759" s="18">
        <v>0</v>
      </c>
      <c r="Q759" s="61">
        <v>0.57499999999999996</v>
      </c>
      <c r="R759" s="46"/>
    </row>
    <row r="760" spans="1:18" ht="25.5">
      <c r="A760" s="33" t="s">
        <v>5571</v>
      </c>
      <c r="B760" s="40" t="s">
        <v>7800</v>
      </c>
      <c r="C760" s="44">
        <v>41779</v>
      </c>
      <c r="D760" s="47" t="s">
        <v>8465</v>
      </c>
      <c r="E760" s="40" t="s">
        <v>1690</v>
      </c>
      <c r="F760" s="40" t="s">
        <v>1723</v>
      </c>
      <c r="G760" s="42" t="s">
        <v>1724</v>
      </c>
      <c r="H760" s="65" t="s">
        <v>1050</v>
      </c>
      <c r="J760" s="43"/>
      <c r="K760" s="61">
        <v>0.8</v>
      </c>
      <c r="L760" s="40">
        <v>759</v>
      </c>
      <c r="M760" s="44">
        <v>42021</v>
      </c>
      <c r="N760" s="45">
        <f>8 + 43/60</f>
        <v>8.7166666666666668</v>
      </c>
      <c r="O760" s="18">
        <v>0</v>
      </c>
      <c r="P760" s="18">
        <v>0</v>
      </c>
      <c r="Q760" s="61">
        <v>0.8367</v>
      </c>
      <c r="R760" s="46"/>
    </row>
    <row r="761" spans="1:18" ht="25.5">
      <c r="A761" s="33" t="s">
        <v>5716</v>
      </c>
      <c r="B761" s="40" t="s">
        <v>7758</v>
      </c>
      <c r="C761" s="44">
        <v>39791</v>
      </c>
      <c r="D761" s="47" t="s">
        <v>8465</v>
      </c>
      <c r="E761" s="40" t="s">
        <v>228</v>
      </c>
      <c r="F761" s="40" t="s">
        <v>228</v>
      </c>
      <c r="G761" s="42" t="s">
        <v>1171</v>
      </c>
      <c r="H761" s="65" t="s">
        <v>149</v>
      </c>
      <c r="J761" s="43"/>
      <c r="K761" s="61">
        <v>0.9</v>
      </c>
      <c r="L761" s="40">
        <v>760</v>
      </c>
      <c r="M761" s="44">
        <v>42049</v>
      </c>
      <c r="N761" s="45">
        <f xml:space="preserve"> 72 + 6/60</f>
        <v>72.099999999999994</v>
      </c>
      <c r="O761" s="18">
        <v>0</v>
      </c>
      <c r="P761" s="18">
        <v>1</v>
      </c>
      <c r="Q761" s="61">
        <v>0.92279999999999995</v>
      </c>
      <c r="R761" s="46"/>
    </row>
    <row r="762" spans="1:18" ht="25.5">
      <c r="A762" s="33" t="s">
        <v>2391</v>
      </c>
      <c r="B762" s="40" t="s">
        <v>7749</v>
      </c>
      <c r="C762" s="44">
        <v>41964</v>
      </c>
      <c r="D762" s="47" t="s">
        <v>8465</v>
      </c>
      <c r="E762" s="40" t="s">
        <v>86</v>
      </c>
      <c r="F762" s="40" t="s">
        <v>1354</v>
      </c>
      <c r="G762" s="42" t="s">
        <v>1470</v>
      </c>
      <c r="H762" s="65" t="s">
        <v>149</v>
      </c>
      <c r="J762" s="43"/>
      <c r="K762" s="61">
        <v>0.8</v>
      </c>
      <c r="L762" s="40">
        <v>761</v>
      </c>
      <c r="M762" s="44">
        <v>42051</v>
      </c>
      <c r="N762" s="45">
        <f>51</f>
        <v>51</v>
      </c>
      <c r="O762" s="18">
        <v>0</v>
      </c>
      <c r="P762" s="18">
        <v>0</v>
      </c>
      <c r="Q762" s="61">
        <v>0.83020000000000005</v>
      </c>
      <c r="R762" s="46"/>
    </row>
    <row r="763" spans="1:18">
      <c r="A763" s="33" t="s">
        <v>3060</v>
      </c>
      <c r="B763" s="40" t="s">
        <v>7800</v>
      </c>
      <c r="C763" s="44">
        <v>41950</v>
      </c>
      <c r="D763" s="47" t="s">
        <v>8465</v>
      </c>
      <c r="E763" s="40" t="s">
        <v>3061</v>
      </c>
      <c r="F763" s="40" t="s">
        <v>3061</v>
      </c>
      <c r="G763" s="42"/>
      <c r="H763" s="65" t="s">
        <v>2820</v>
      </c>
      <c r="J763" s="43"/>
      <c r="K763" s="61">
        <v>0.7</v>
      </c>
      <c r="L763" s="40">
        <v>762</v>
      </c>
      <c r="M763" s="44">
        <v>42051</v>
      </c>
      <c r="N763" s="45">
        <f>72/60</f>
        <v>1.2</v>
      </c>
      <c r="O763" s="18">
        <v>0</v>
      </c>
      <c r="P763" s="18">
        <v>0</v>
      </c>
      <c r="Q763" s="61">
        <v>0.68669999999999998</v>
      </c>
      <c r="R763" s="46"/>
    </row>
    <row r="764" spans="1:18">
      <c r="A764" s="33" t="s">
        <v>3686</v>
      </c>
      <c r="B764" s="40" t="s">
        <v>7800</v>
      </c>
      <c r="C764" s="44">
        <v>41289</v>
      </c>
      <c r="D764" s="47" t="s">
        <v>8465</v>
      </c>
      <c r="E764" s="40" t="s">
        <v>73</v>
      </c>
      <c r="F764" s="40" t="s">
        <v>3687</v>
      </c>
      <c r="G764" s="42" t="s">
        <v>3655</v>
      </c>
      <c r="H764" s="65" t="s">
        <v>1059</v>
      </c>
      <c r="J764" s="43"/>
      <c r="K764" s="61">
        <v>0.8</v>
      </c>
      <c r="L764" s="40">
        <v>763</v>
      </c>
      <c r="M764" s="44">
        <v>42097</v>
      </c>
      <c r="N764" s="45">
        <f>6 + 40/60</f>
        <v>6.666666666666667</v>
      </c>
      <c r="O764" s="18">
        <v>0</v>
      </c>
      <c r="P764" s="18">
        <v>0</v>
      </c>
      <c r="Q764" s="61">
        <v>0.85099999999999998</v>
      </c>
      <c r="R764" s="46"/>
    </row>
    <row r="765" spans="1:18" ht="25.5">
      <c r="A765" s="33" t="s">
        <v>2415</v>
      </c>
      <c r="B765" s="40" t="s">
        <v>7749</v>
      </c>
      <c r="C765" s="44">
        <v>42048</v>
      </c>
      <c r="D765" s="47" t="s">
        <v>8465</v>
      </c>
      <c r="E765" s="40" t="s">
        <v>86</v>
      </c>
      <c r="F765" s="51" t="s">
        <v>1137</v>
      </c>
      <c r="G765" s="42" t="s">
        <v>85</v>
      </c>
      <c r="H765" s="65" t="s">
        <v>80</v>
      </c>
      <c r="J765" s="43"/>
      <c r="K765" s="61">
        <v>0.8</v>
      </c>
      <c r="L765" s="40">
        <v>764</v>
      </c>
      <c r="M765" s="44">
        <v>42098</v>
      </c>
      <c r="N765" s="45">
        <f>27 + 30/60</f>
        <v>27.5</v>
      </c>
      <c r="O765" s="18">
        <v>0</v>
      </c>
      <c r="P765" s="18">
        <v>0</v>
      </c>
      <c r="Q765" s="61">
        <v>0.90380000000000005</v>
      </c>
      <c r="R765" s="46"/>
    </row>
    <row r="766" spans="1:18" ht="25.5">
      <c r="A766" s="33" t="s">
        <v>4902</v>
      </c>
      <c r="B766" s="40" t="s">
        <v>7800</v>
      </c>
      <c r="C766" s="44">
        <v>42024</v>
      </c>
      <c r="D766" s="47" t="s">
        <v>8465</v>
      </c>
      <c r="E766" s="40" t="s">
        <v>1163</v>
      </c>
      <c r="F766" s="40" t="s">
        <v>1655</v>
      </c>
      <c r="G766" s="42" t="s">
        <v>1656</v>
      </c>
      <c r="H766" s="65" t="s">
        <v>1168</v>
      </c>
      <c r="J766" s="43"/>
      <c r="K766" s="61">
        <v>0.6</v>
      </c>
      <c r="L766" s="40">
        <v>765</v>
      </c>
      <c r="M766" s="44">
        <v>42100</v>
      </c>
      <c r="N766" s="45">
        <f>3+48/60</f>
        <v>3.8</v>
      </c>
      <c r="O766" s="18">
        <v>0</v>
      </c>
      <c r="P766" s="18">
        <v>0</v>
      </c>
      <c r="Q766" s="61">
        <v>0.69</v>
      </c>
      <c r="R766" s="46"/>
    </row>
    <row r="767" spans="1:18">
      <c r="A767" s="33" t="s">
        <v>6988</v>
      </c>
      <c r="B767" s="40" t="s">
        <v>7800</v>
      </c>
      <c r="C767" s="44">
        <v>41961</v>
      </c>
      <c r="D767" s="47" t="s">
        <v>8465</v>
      </c>
      <c r="E767" s="40" t="s">
        <v>1047</v>
      </c>
      <c r="F767" s="40" t="s">
        <v>1048</v>
      </c>
      <c r="G767" s="42" t="s">
        <v>1049</v>
      </c>
      <c r="H767" s="65" t="s">
        <v>1050</v>
      </c>
      <c r="J767" s="43"/>
      <c r="K767" s="61">
        <v>0.9</v>
      </c>
      <c r="L767" s="40">
        <v>766</v>
      </c>
      <c r="M767" s="44">
        <v>42134</v>
      </c>
      <c r="N767" s="45">
        <f>19 + 46/60</f>
        <v>19.766666666666666</v>
      </c>
      <c r="O767" s="18">
        <v>0</v>
      </c>
      <c r="P767" s="18">
        <v>0</v>
      </c>
      <c r="Q767" s="61">
        <v>0.81</v>
      </c>
      <c r="R767" s="46"/>
    </row>
    <row r="768" spans="1:18" ht="25.5">
      <c r="A768" s="33" t="s">
        <v>4436</v>
      </c>
      <c r="B768" s="40" t="s">
        <v>7800</v>
      </c>
      <c r="C768" s="44">
        <v>41991</v>
      </c>
      <c r="D768" s="47" t="s">
        <v>8465</v>
      </c>
      <c r="E768" s="40" t="s">
        <v>72</v>
      </c>
      <c r="F768" s="40" t="s">
        <v>1940</v>
      </c>
      <c r="G768" s="42" t="s">
        <v>220</v>
      </c>
      <c r="H768" s="65" t="s">
        <v>245</v>
      </c>
      <c r="J768" s="43"/>
      <c r="K768" s="61">
        <v>0.8</v>
      </c>
      <c r="L768" s="40">
        <v>767</v>
      </c>
      <c r="M768" s="44">
        <v>42134</v>
      </c>
      <c r="N768" s="45">
        <f>57/60 + 35/3600</f>
        <v>0.95972222222222214</v>
      </c>
      <c r="O768" s="18">
        <v>0</v>
      </c>
      <c r="P768" s="18">
        <v>0</v>
      </c>
      <c r="Q768" s="61">
        <v>0.82</v>
      </c>
      <c r="R768" s="46"/>
    </row>
    <row r="769" spans="1:18" ht="25.5">
      <c r="A769" s="33" t="s">
        <v>3977</v>
      </c>
      <c r="B769" s="40" t="s">
        <v>7800</v>
      </c>
      <c r="C769" s="44">
        <v>41968</v>
      </c>
      <c r="D769" s="47" t="s">
        <v>8465</v>
      </c>
      <c r="E769" s="40" t="s">
        <v>1496</v>
      </c>
      <c r="F769" s="40" t="s">
        <v>3979</v>
      </c>
      <c r="G769" s="42" t="s">
        <v>1053</v>
      </c>
      <c r="H769" s="65" t="s">
        <v>9963</v>
      </c>
      <c r="J769" s="43"/>
      <c r="K769" s="61">
        <v>0.8</v>
      </c>
      <c r="L769" s="40">
        <v>768</v>
      </c>
      <c r="M769" s="44">
        <v>42135</v>
      </c>
      <c r="N769" s="45">
        <f>6+38/60</f>
        <v>6.6333333333333329</v>
      </c>
      <c r="O769" s="18">
        <v>0</v>
      </c>
      <c r="P769" s="18">
        <v>0</v>
      </c>
      <c r="Q769" s="61">
        <v>0.82330000000000003</v>
      </c>
      <c r="R769" s="46"/>
    </row>
    <row r="770" spans="1:18">
      <c r="A770" s="33" t="s">
        <v>7363</v>
      </c>
      <c r="B770" s="40" t="s">
        <v>7783</v>
      </c>
      <c r="C770" s="44">
        <v>42159</v>
      </c>
      <c r="D770" s="47" t="s">
        <v>8465</v>
      </c>
      <c r="E770" s="40" t="s">
        <v>10015</v>
      </c>
      <c r="F770" s="40" t="s">
        <v>10015</v>
      </c>
      <c r="G770" s="42">
        <v>10000000</v>
      </c>
      <c r="H770" s="65" t="s">
        <v>31</v>
      </c>
      <c r="J770" s="43"/>
      <c r="K770" s="61">
        <v>0.8</v>
      </c>
      <c r="L770" s="40">
        <v>769</v>
      </c>
      <c r="M770" s="44">
        <v>42182</v>
      </c>
      <c r="N770" s="45">
        <f>8+2/60+20/3600</f>
        <v>8.0388888888888896</v>
      </c>
      <c r="O770" s="18">
        <v>0</v>
      </c>
      <c r="P770" s="18">
        <v>0</v>
      </c>
      <c r="Q770" s="61">
        <v>0.9</v>
      </c>
      <c r="R770" s="46"/>
    </row>
    <row r="771" spans="1:18">
      <c r="A771" s="33" t="s">
        <v>1113</v>
      </c>
      <c r="B771" s="40" t="s">
        <v>7743</v>
      </c>
      <c r="C771" s="44">
        <v>41908</v>
      </c>
      <c r="D771" s="47" t="s">
        <v>8465</v>
      </c>
      <c r="E771" s="40" t="s">
        <v>86</v>
      </c>
      <c r="F771" s="40" t="s">
        <v>1136</v>
      </c>
      <c r="G771" s="42" t="s">
        <v>85</v>
      </c>
      <c r="H771" s="65" t="s">
        <v>1059</v>
      </c>
      <c r="J771" s="43"/>
      <c r="K771" s="61">
        <v>0.8</v>
      </c>
      <c r="L771" s="40">
        <v>770</v>
      </c>
      <c r="M771" s="44">
        <v>42182</v>
      </c>
      <c r="N771" s="45">
        <f>8+57/60</f>
        <v>8.9499999999999993</v>
      </c>
      <c r="O771" s="18">
        <v>0</v>
      </c>
      <c r="P771" s="18">
        <v>0</v>
      </c>
      <c r="Q771" s="61">
        <v>0.77329999999999999</v>
      </c>
      <c r="R771" s="46"/>
    </row>
    <row r="772" spans="1:18">
      <c r="A772" s="33" t="s">
        <v>2436</v>
      </c>
      <c r="B772" s="40" t="s">
        <v>7749</v>
      </c>
      <c r="C772" s="44">
        <v>41880</v>
      </c>
      <c r="D772" s="47" t="s">
        <v>8465</v>
      </c>
      <c r="E772" s="40" t="s">
        <v>1070</v>
      </c>
      <c r="F772" s="40" t="s">
        <v>1070</v>
      </c>
      <c r="G772" s="42" t="s">
        <v>2477</v>
      </c>
      <c r="H772" s="65" t="s">
        <v>56</v>
      </c>
      <c r="J772" s="43"/>
      <c r="K772" s="61">
        <v>0.7</v>
      </c>
      <c r="L772" s="40">
        <v>771</v>
      </c>
      <c r="M772" s="44">
        <v>42190</v>
      </c>
      <c r="N772" s="45">
        <f>29/60</f>
        <v>0.48333333333333334</v>
      </c>
      <c r="O772" s="18">
        <v>0</v>
      </c>
      <c r="P772" s="18">
        <v>0</v>
      </c>
      <c r="Q772" s="61">
        <v>0.66110000000000002</v>
      </c>
      <c r="R772" s="46"/>
    </row>
    <row r="773" spans="1:18">
      <c r="A773" s="33">
        <v>10000000</v>
      </c>
      <c r="B773" s="40" t="s">
        <v>7783</v>
      </c>
      <c r="C773" s="44">
        <v>41150</v>
      </c>
      <c r="D773" s="47" t="s">
        <v>8465</v>
      </c>
      <c r="E773" s="40" t="s">
        <v>10015</v>
      </c>
      <c r="F773" s="40" t="s">
        <v>10015</v>
      </c>
      <c r="G773" s="53">
        <v>10000000</v>
      </c>
      <c r="H773" s="65" t="s">
        <v>31</v>
      </c>
      <c r="J773" s="43"/>
      <c r="K773" s="61">
        <v>0.8</v>
      </c>
      <c r="L773" s="40">
        <v>772</v>
      </c>
      <c r="M773" s="44"/>
      <c r="N773" s="45"/>
      <c r="O773" s="18">
        <v>0</v>
      </c>
      <c r="P773" s="18">
        <v>0</v>
      </c>
      <c r="Q773" s="61">
        <v>0.7389</v>
      </c>
      <c r="R773" s="46"/>
    </row>
    <row r="774" spans="1:18" ht="25.5">
      <c r="A774" s="33" t="s">
        <v>1114</v>
      </c>
      <c r="B774" s="40" t="s">
        <v>7743</v>
      </c>
      <c r="C774" s="44">
        <v>41978</v>
      </c>
      <c r="D774" s="47" t="s">
        <v>8465</v>
      </c>
      <c r="E774" s="40" t="s">
        <v>86</v>
      </c>
      <c r="F774" s="40" t="s">
        <v>1137</v>
      </c>
      <c r="G774" s="42" t="s">
        <v>137</v>
      </c>
      <c r="H774" s="65" t="s">
        <v>31</v>
      </c>
      <c r="J774" s="43"/>
      <c r="K774" s="61">
        <v>0.8</v>
      </c>
      <c r="L774" s="40">
        <v>773</v>
      </c>
      <c r="M774" s="44">
        <v>42191</v>
      </c>
      <c r="N774" s="45">
        <f>8+35/60</f>
        <v>8.5833333333333339</v>
      </c>
      <c r="O774" s="18">
        <v>0</v>
      </c>
      <c r="P774" s="18">
        <v>0</v>
      </c>
      <c r="Q774" s="61">
        <v>0.81010000000000004</v>
      </c>
      <c r="R774" s="46"/>
    </row>
    <row r="775" spans="1:18" ht="25.5">
      <c r="A775" s="33" t="s">
        <v>2124</v>
      </c>
      <c r="B775" s="40" t="s">
        <v>7748</v>
      </c>
      <c r="C775" s="44">
        <v>40498</v>
      </c>
      <c r="D775" s="47" t="s">
        <v>8465</v>
      </c>
      <c r="E775" s="40" t="s">
        <v>1519</v>
      </c>
      <c r="F775" s="40" t="s">
        <v>164</v>
      </c>
      <c r="G775" s="42" t="s">
        <v>2141</v>
      </c>
      <c r="H775" s="65" t="s">
        <v>1057</v>
      </c>
      <c r="J775" s="43"/>
      <c r="K775" s="61">
        <v>0.8</v>
      </c>
      <c r="L775" s="40">
        <v>774</v>
      </c>
      <c r="M775" s="44">
        <v>42195</v>
      </c>
      <c r="N775" s="45">
        <f>17 +32/60</f>
        <v>17.533333333333335</v>
      </c>
      <c r="O775" s="18">
        <v>0</v>
      </c>
      <c r="P775" s="18">
        <v>0</v>
      </c>
      <c r="Q775" s="61">
        <v>0.83209999999999995</v>
      </c>
      <c r="R775" s="46"/>
    </row>
    <row r="776" spans="1:18" ht="25.5">
      <c r="A776" s="33" t="s">
        <v>2426</v>
      </c>
      <c r="B776" s="40" t="s">
        <v>7749</v>
      </c>
      <c r="C776" s="44">
        <v>41473</v>
      </c>
      <c r="D776" s="47" t="s">
        <v>8465</v>
      </c>
      <c r="E776" s="40" t="s">
        <v>2129</v>
      </c>
      <c r="F776" s="40" t="s">
        <v>2129</v>
      </c>
      <c r="G776" s="42"/>
      <c r="H776" s="65" t="s">
        <v>67</v>
      </c>
      <c r="J776" s="43"/>
      <c r="K776" s="61">
        <v>0.8</v>
      </c>
      <c r="L776" s="40">
        <v>775</v>
      </c>
      <c r="M776" s="44">
        <v>42197</v>
      </c>
      <c r="N776" s="45">
        <f>2+40/60</f>
        <v>2.6666666666666665</v>
      </c>
      <c r="O776" s="18">
        <v>0</v>
      </c>
      <c r="P776" s="18">
        <v>0</v>
      </c>
      <c r="Q776" s="61">
        <v>0.74260000000000004</v>
      </c>
      <c r="R776" s="46"/>
    </row>
    <row r="777" spans="1:18">
      <c r="A777" s="33" t="s">
        <v>4622</v>
      </c>
      <c r="B777" s="40" t="s">
        <v>7800</v>
      </c>
      <c r="C777" s="44">
        <v>41780</v>
      </c>
      <c r="D777" s="47" t="s">
        <v>8465</v>
      </c>
      <c r="E777" s="40" t="s">
        <v>10016</v>
      </c>
      <c r="F777" s="40" t="s">
        <v>10017</v>
      </c>
      <c r="G777" s="42"/>
      <c r="H777" s="65" t="s">
        <v>151</v>
      </c>
      <c r="J777" s="43"/>
      <c r="K777" s="61">
        <v>0.8</v>
      </c>
      <c r="L777" s="40">
        <v>776</v>
      </c>
      <c r="M777" s="44">
        <v>42198</v>
      </c>
      <c r="N777" s="45">
        <f>1+46/3600</f>
        <v>1.0127777777777778</v>
      </c>
      <c r="O777" s="18">
        <v>0</v>
      </c>
      <c r="P777" s="18">
        <v>0</v>
      </c>
      <c r="Q777" s="61">
        <v>0.9</v>
      </c>
      <c r="R777" s="46"/>
    </row>
    <row r="778" spans="1:18" ht="25.5">
      <c r="A778" s="33" t="s">
        <v>2444</v>
      </c>
      <c r="B778" s="40" t="s">
        <v>7749</v>
      </c>
      <c r="C778" s="44">
        <v>41928</v>
      </c>
      <c r="D778" s="47" t="s">
        <v>8465</v>
      </c>
      <c r="E778" s="40" t="s">
        <v>10018</v>
      </c>
      <c r="F778" s="40" t="s">
        <v>2483</v>
      </c>
      <c r="G778" s="42"/>
      <c r="H778" s="65" t="s">
        <v>56</v>
      </c>
      <c r="J778" s="43"/>
      <c r="K778" s="61">
        <v>0.6</v>
      </c>
      <c r="L778" s="40">
        <v>777</v>
      </c>
      <c r="M778" s="44">
        <v>42198</v>
      </c>
      <c r="N778" s="45">
        <f>1+43/60+15/3600</f>
        <v>1.7208333333333334</v>
      </c>
      <c r="O778" s="18">
        <v>0</v>
      </c>
      <c r="P778" s="18">
        <v>0</v>
      </c>
      <c r="Q778" s="61">
        <v>0.77500000000000002</v>
      </c>
      <c r="R778" s="46"/>
    </row>
    <row r="779" spans="1:18">
      <c r="A779" s="33" t="s">
        <v>3440</v>
      </c>
      <c r="B779" s="40" t="s">
        <v>7800</v>
      </c>
      <c r="C779" s="44">
        <v>41759</v>
      </c>
      <c r="D779" s="47" t="s">
        <v>8465</v>
      </c>
      <c r="E779" s="40" t="s">
        <v>1047</v>
      </c>
      <c r="F779" s="40" t="s">
        <v>1048</v>
      </c>
      <c r="G779" s="42"/>
      <c r="H779" s="65" t="s">
        <v>171</v>
      </c>
      <c r="J779" s="43"/>
      <c r="K779" s="61">
        <v>0.8</v>
      </c>
      <c r="L779" s="40">
        <v>778</v>
      </c>
      <c r="M779" s="44">
        <v>42218</v>
      </c>
      <c r="N779" s="45">
        <f>11+41/60</f>
        <v>11.683333333333334</v>
      </c>
      <c r="O779" s="18">
        <v>0</v>
      </c>
      <c r="P779" s="18">
        <v>0</v>
      </c>
      <c r="Q779" s="61">
        <v>0.76290000000000002</v>
      </c>
      <c r="R779" s="46"/>
    </row>
    <row r="780" spans="1:18" ht="25.5">
      <c r="A780" s="33" t="s">
        <v>4608</v>
      </c>
      <c r="B780" s="40" t="s">
        <v>7800</v>
      </c>
      <c r="C780" s="44">
        <v>42074</v>
      </c>
      <c r="D780" s="47" t="s">
        <v>8465</v>
      </c>
      <c r="E780" s="40" t="s">
        <v>3116</v>
      </c>
      <c r="F780" s="40" t="s">
        <v>4609</v>
      </c>
      <c r="G780" s="42" t="s">
        <v>8500</v>
      </c>
      <c r="H780" s="65" t="s">
        <v>151</v>
      </c>
      <c r="J780" s="43"/>
      <c r="K780" s="61">
        <v>0.9</v>
      </c>
      <c r="L780" s="40">
        <v>779</v>
      </c>
      <c r="M780" s="44">
        <v>42242</v>
      </c>
      <c r="N780" s="45">
        <f>6+14/60+46/3600</f>
        <v>6.2461111111111114</v>
      </c>
      <c r="O780" s="18">
        <v>0</v>
      </c>
      <c r="P780" s="18">
        <v>0</v>
      </c>
      <c r="Q780" s="61">
        <v>0.89200000000000002</v>
      </c>
      <c r="R780" s="46"/>
    </row>
    <row r="781" spans="1:18" ht="25.5">
      <c r="A781" s="33" t="s">
        <v>5572</v>
      </c>
      <c r="B781" s="40" t="s">
        <v>7800</v>
      </c>
      <c r="C781" s="44">
        <v>42129</v>
      </c>
      <c r="D781" s="47" t="s">
        <v>8465</v>
      </c>
      <c r="E781" s="40" t="s">
        <v>1690</v>
      </c>
      <c r="F781" s="40" t="s">
        <v>1723</v>
      </c>
      <c r="G781" s="42" t="s">
        <v>1724</v>
      </c>
      <c r="H781" s="65" t="s">
        <v>1050</v>
      </c>
      <c r="J781" s="43"/>
      <c r="K781" s="61">
        <v>0.8</v>
      </c>
      <c r="L781" s="40">
        <v>780</v>
      </c>
      <c r="M781" s="44">
        <v>42245</v>
      </c>
      <c r="N781" s="45">
        <f>4+23/60+36/3600</f>
        <v>4.3933333333333335</v>
      </c>
      <c r="O781" s="18">
        <v>0</v>
      </c>
      <c r="P781" s="18">
        <v>0</v>
      </c>
      <c r="Q781" s="61">
        <v>0.78</v>
      </c>
      <c r="R781" s="46"/>
    </row>
    <row r="782" spans="1:18">
      <c r="A782" s="33" t="s">
        <v>5396</v>
      </c>
      <c r="B782" s="40" t="s">
        <v>7800</v>
      </c>
      <c r="C782" s="44">
        <v>41828</v>
      </c>
      <c r="D782" s="47" t="s">
        <v>8465</v>
      </c>
      <c r="E782" s="40" t="s">
        <v>3246</v>
      </c>
      <c r="F782" s="40" t="s">
        <v>3246</v>
      </c>
      <c r="G782" s="42" t="s">
        <v>8240</v>
      </c>
      <c r="H782" s="65" t="s">
        <v>67</v>
      </c>
      <c r="J782" s="43"/>
      <c r="K782" s="61">
        <v>0.8</v>
      </c>
      <c r="L782" s="40">
        <v>781</v>
      </c>
      <c r="M782" s="44">
        <v>42249</v>
      </c>
      <c r="N782" s="45">
        <f>8+38/60</f>
        <v>8.6333333333333329</v>
      </c>
      <c r="O782" s="18">
        <v>0</v>
      </c>
      <c r="P782" s="18">
        <v>0</v>
      </c>
      <c r="Q782" s="61">
        <v>0.79669999999999996</v>
      </c>
      <c r="R782" s="46"/>
    </row>
    <row r="783" spans="1:18" ht="25.5">
      <c r="A783" s="33" t="s">
        <v>3504</v>
      </c>
      <c r="B783" s="40" t="s">
        <v>7800</v>
      </c>
      <c r="C783" s="44">
        <v>41796</v>
      </c>
      <c r="D783" s="47" t="s">
        <v>8465</v>
      </c>
      <c r="E783" s="40" t="s">
        <v>3467</v>
      </c>
      <c r="F783" s="40" t="s">
        <v>10019</v>
      </c>
      <c r="G783" s="42"/>
      <c r="H783" s="65" t="s">
        <v>21</v>
      </c>
      <c r="J783" s="43"/>
      <c r="K783" s="61">
        <v>0.8</v>
      </c>
      <c r="L783" s="40">
        <v>782</v>
      </c>
      <c r="M783" s="44">
        <v>42253</v>
      </c>
      <c r="N783" s="45">
        <f>49/60+47/3600</f>
        <v>0.82972222222222225</v>
      </c>
      <c r="O783" s="18">
        <v>0</v>
      </c>
      <c r="P783" s="18">
        <v>0</v>
      </c>
      <c r="Q783" s="61"/>
      <c r="R783" s="46"/>
    </row>
    <row r="784" spans="1:18">
      <c r="A784" s="33" t="s">
        <v>4270</v>
      </c>
      <c r="B784" s="40" t="s">
        <v>7800</v>
      </c>
      <c r="C784" s="44">
        <v>41348</v>
      </c>
      <c r="D784" s="47" t="s">
        <v>8465</v>
      </c>
      <c r="E784" s="40" t="s">
        <v>3136</v>
      </c>
      <c r="F784" s="40" t="s">
        <v>8506</v>
      </c>
      <c r="G784" s="42" t="s">
        <v>4270</v>
      </c>
      <c r="H784" s="65" t="s">
        <v>151</v>
      </c>
      <c r="J784" s="43"/>
      <c r="K784" s="61">
        <v>0.9</v>
      </c>
      <c r="L784" s="40">
        <v>783</v>
      </c>
      <c r="M784" s="44">
        <v>42294</v>
      </c>
      <c r="N784" s="45">
        <f>17+54/60+39/3600</f>
        <v>17.910833333333333</v>
      </c>
      <c r="O784" s="18">
        <v>0</v>
      </c>
      <c r="P784" s="18">
        <v>0</v>
      </c>
      <c r="Q784" s="61">
        <v>0.7</v>
      </c>
      <c r="R784" s="46"/>
    </row>
    <row r="785" spans="1:18" ht="25.5">
      <c r="A785" s="33" t="s">
        <v>5239</v>
      </c>
      <c r="B785" s="40" t="s">
        <v>7800</v>
      </c>
      <c r="C785" s="44">
        <v>42297</v>
      </c>
      <c r="D785" s="47" t="s">
        <v>8465</v>
      </c>
      <c r="E785" s="40" t="s">
        <v>3246</v>
      </c>
      <c r="F785" s="40" t="s">
        <v>3246</v>
      </c>
      <c r="G785" s="42" t="s">
        <v>3356</v>
      </c>
      <c r="H785" s="65" t="s">
        <v>67</v>
      </c>
      <c r="J785" s="43"/>
      <c r="K785" s="61">
        <v>0.9</v>
      </c>
      <c r="L785" s="40">
        <v>784</v>
      </c>
      <c r="M785" s="44">
        <v>42297</v>
      </c>
      <c r="N785" s="45">
        <f>10+35/60</f>
        <v>10.583333333333334</v>
      </c>
      <c r="O785" s="18">
        <v>0</v>
      </c>
      <c r="P785" s="18">
        <v>0</v>
      </c>
      <c r="Q785" s="61">
        <v>0.84819999999999995</v>
      </c>
      <c r="R785" s="46"/>
    </row>
    <row r="786" spans="1:18" ht="25.5">
      <c r="A786" s="33" t="s">
        <v>5383</v>
      </c>
      <c r="B786" s="40" t="s">
        <v>7800</v>
      </c>
      <c r="C786" s="44">
        <v>41908</v>
      </c>
      <c r="D786" s="47" t="s">
        <v>8465</v>
      </c>
      <c r="E786" s="40" t="s">
        <v>5384</v>
      </c>
      <c r="F786" s="40" t="s">
        <v>5384</v>
      </c>
      <c r="G786" s="42"/>
      <c r="H786" s="65" t="s">
        <v>67</v>
      </c>
      <c r="J786" s="43"/>
      <c r="K786" s="61">
        <v>0.8</v>
      </c>
      <c r="L786" s="40">
        <v>785</v>
      </c>
      <c r="M786" s="44">
        <v>42298</v>
      </c>
      <c r="N786" s="45">
        <f>2+58/60</f>
        <v>2.9666666666666668</v>
      </c>
      <c r="O786" s="18">
        <v>0</v>
      </c>
      <c r="P786" s="18">
        <v>0</v>
      </c>
      <c r="Q786" s="61">
        <v>0.81269999999999998</v>
      </c>
      <c r="R786" s="46"/>
    </row>
    <row r="787" spans="1:18">
      <c r="A787" s="33" t="s">
        <v>4320</v>
      </c>
      <c r="B787" s="40" t="s">
        <v>7800</v>
      </c>
      <c r="C787" s="44">
        <v>42297</v>
      </c>
      <c r="D787" s="47" t="s">
        <v>8465</v>
      </c>
      <c r="E787" s="40" t="s">
        <v>1082</v>
      </c>
      <c r="F787" s="40" t="s">
        <v>4321</v>
      </c>
      <c r="G787" s="42" t="s">
        <v>4320</v>
      </c>
      <c r="H787" s="65" t="s">
        <v>67</v>
      </c>
      <c r="J787" s="43"/>
      <c r="K787" s="61">
        <v>0.9</v>
      </c>
      <c r="L787" s="40">
        <v>786</v>
      </c>
      <c r="M787" s="44">
        <v>42301</v>
      </c>
      <c r="N787" s="45">
        <f>14+46/60 - (2+15/60)</f>
        <v>12.516666666666667</v>
      </c>
      <c r="O787" s="18">
        <v>0</v>
      </c>
      <c r="P787" s="18">
        <v>0</v>
      </c>
      <c r="Q787" s="61">
        <v>0.79479999999999995</v>
      </c>
      <c r="R787" s="46"/>
    </row>
    <row r="788" spans="1:18">
      <c r="A788" s="33" t="s">
        <v>5953</v>
      </c>
      <c r="B788" s="40" t="s">
        <v>7759</v>
      </c>
      <c r="C788" s="44">
        <v>39959</v>
      </c>
      <c r="D788" s="47" t="s">
        <v>8465</v>
      </c>
      <c r="E788" s="40" t="s">
        <v>2908</v>
      </c>
      <c r="F788" s="40" t="s">
        <v>5954</v>
      </c>
      <c r="G788" s="42" t="s">
        <v>5953</v>
      </c>
      <c r="H788" s="65" t="s">
        <v>80</v>
      </c>
      <c r="J788" s="43"/>
      <c r="K788" s="61">
        <v>0.9</v>
      </c>
      <c r="L788" s="40">
        <v>787</v>
      </c>
      <c r="M788" s="44">
        <v>42305</v>
      </c>
      <c r="N788" s="45"/>
      <c r="O788" s="18">
        <v>0</v>
      </c>
      <c r="P788" s="18">
        <v>0</v>
      </c>
      <c r="Q788" s="61">
        <v>0.86170000000000002</v>
      </c>
      <c r="R788" s="46"/>
    </row>
    <row r="789" spans="1:18">
      <c r="A789" s="33" t="s">
        <v>4325</v>
      </c>
      <c r="B789" s="40" t="s">
        <v>7800</v>
      </c>
      <c r="C789" s="44">
        <v>41768</v>
      </c>
      <c r="D789" s="47" t="s">
        <v>8465</v>
      </c>
      <c r="E789" s="40" t="s">
        <v>4326</v>
      </c>
      <c r="F789" s="40" t="s">
        <v>4326</v>
      </c>
      <c r="G789" s="42" t="s">
        <v>10020</v>
      </c>
      <c r="H789" s="65" t="s">
        <v>67</v>
      </c>
      <c r="J789" s="43"/>
      <c r="K789" s="61">
        <v>0.7</v>
      </c>
      <c r="L789" s="40">
        <v>788</v>
      </c>
      <c r="M789" s="44">
        <v>42346</v>
      </c>
      <c r="N789" s="45">
        <f>3+36/60</f>
        <v>3.6</v>
      </c>
      <c r="O789" s="18">
        <v>0</v>
      </c>
      <c r="P789" s="18">
        <v>0</v>
      </c>
      <c r="Q789" s="61">
        <v>0.3</v>
      </c>
      <c r="R789" s="46"/>
    </row>
    <row r="790" spans="1:18">
      <c r="A790" s="33" t="s">
        <v>4107</v>
      </c>
      <c r="B790" s="40" t="s">
        <v>7800</v>
      </c>
      <c r="C790" s="44">
        <v>42179</v>
      </c>
      <c r="D790" s="47" t="s">
        <v>8465</v>
      </c>
      <c r="E790" s="40" t="s">
        <v>4108</v>
      </c>
      <c r="F790" s="40" t="s">
        <v>4108</v>
      </c>
      <c r="G790" s="42"/>
      <c r="H790" s="65" t="s">
        <v>2820</v>
      </c>
      <c r="J790" s="43"/>
      <c r="K790" s="61">
        <v>0.8</v>
      </c>
      <c r="L790" s="40">
        <v>789</v>
      </c>
      <c r="M790" s="44">
        <v>42346</v>
      </c>
      <c r="N790" s="45">
        <f>2+38/60</f>
        <v>2.6333333333333333</v>
      </c>
      <c r="O790" s="18">
        <v>0</v>
      </c>
      <c r="P790" s="18">
        <v>0</v>
      </c>
      <c r="Q790" s="61">
        <v>0.86260000000000003</v>
      </c>
      <c r="R790" s="46"/>
    </row>
    <row r="791" spans="1:18">
      <c r="A791" s="33" t="s">
        <v>5210</v>
      </c>
      <c r="B791" s="40" t="s">
        <v>7800</v>
      </c>
      <c r="C791" s="44">
        <v>41876</v>
      </c>
      <c r="D791" s="47" t="s">
        <v>8465</v>
      </c>
      <c r="E791" s="40" t="s">
        <v>3507</v>
      </c>
      <c r="F791" s="40" t="s">
        <v>3507</v>
      </c>
      <c r="G791" s="42" t="s">
        <v>10021</v>
      </c>
      <c r="H791" s="65" t="s">
        <v>56</v>
      </c>
      <c r="J791" s="43"/>
      <c r="K791" s="61">
        <v>0.8</v>
      </c>
      <c r="L791" s="40">
        <v>790</v>
      </c>
      <c r="M791" s="44">
        <v>42350</v>
      </c>
      <c r="N791" s="45">
        <f>8+54/60</f>
        <v>8.9</v>
      </c>
      <c r="O791" s="18">
        <v>0</v>
      </c>
      <c r="P791" s="18">
        <v>0</v>
      </c>
      <c r="Q791" s="61">
        <v>0.9</v>
      </c>
      <c r="R791" s="46"/>
    </row>
    <row r="792" spans="1:18">
      <c r="A792" s="33" t="s">
        <v>7355</v>
      </c>
      <c r="B792" s="40" t="s">
        <v>7783</v>
      </c>
      <c r="C792" s="44">
        <v>42312</v>
      </c>
      <c r="D792" s="47" t="s">
        <v>8465</v>
      </c>
      <c r="E792" s="40" t="s">
        <v>7354</v>
      </c>
      <c r="F792" s="40" t="s">
        <v>7354</v>
      </c>
      <c r="G792" s="42" t="s">
        <v>7353</v>
      </c>
      <c r="H792" s="65" t="s">
        <v>78</v>
      </c>
      <c r="J792" s="43"/>
      <c r="K792" s="61">
        <v>0.8</v>
      </c>
      <c r="L792" s="40">
        <v>791</v>
      </c>
      <c r="M792" s="44">
        <v>42360</v>
      </c>
      <c r="N792" s="45">
        <f>3+52/60+18/3600</f>
        <v>3.8716666666666666</v>
      </c>
      <c r="O792" s="18">
        <v>0</v>
      </c>
      <c r="P792" s="18">
        <v>0</v>
      </c>
      <c r="Q792" s="61">
        <v>0.9</v>
      </c>
      <c r="R792" s="46"/>
    </row>
    <row r="793" spans="1:18" ht="30">
      <c r="A793" s="33" t="s">
        <v>4720</v>
      </c>
      <c r="B793" s="40" t="s">
        <v>7800</v>
      </c>
      <c r="C793" s="44">
        <v>42068</v>
      </c>
      <c r="D793" s="47" t="s">
        <v>8465</v>
      </c>
      <c r="E793" s="40" t="s">
        <v>4722</v>
      </c>
      <c r="F793" s="40" t="s">
        <v>10022</v>
      </c>
      <c r="G793" s="42"/>
      <c r="H793" s="65" t="s">
        <v>2820</v>
      </c>
      <c r="J793" s="43"/>
      <c r="K793" s="61">
        <v>0.5</v>
      </c>
      <c r="L793" s="40">
        <v>792</v>
      </c>
      <c r="M793" s="44">
        <v>42365</v>
      </c>
      <c r="N793" s="45">
        <f>13/60</f>
        <v>0.21666666666666667</v>
      </c>
      <c r="O793" s="18">
        <v>0</v>
      </c>
      <c r="P793" s="18">
        <v>0</v>
      </c>
      <c r="Q793" s="61">
        <v>0.7</v>
      </c>
      <c r="R793" s="46"/>
    </row>
    <row r="794" spans="1:18" ht="25.5">
      <c r="A794" s="33" t="s">
        <v>7856</v>
      </c>
      <c r="B794" s="54" t="s">
        <v>7800</v>
      </c>
      <c r="C794" s="55">
        <v>42143</v>
      </c>
      <c r="D794" s="47" t="s">
        <v>8465</v>
      </c>
      <c r="E794" s="40" t="s">
        <v>3536</v>
      </c>
      <c r="F794" s="40" t="s">
        <v>10023</v>
      </c>
      <c r="G794" s="56" t="s">
        <v>5392</v>
      </c>
      <c r="H794" s="67" t="s">
        <v>171</v>
      </c>
      <c r="J794" s="43"/>
      <c r="K794" s="63">
        <v>1</v>
      </c>
      <c r="L794" s="40">
        <v>793</v>
      </c>
      <c r="M794" s="55">
        <v>42370</v>
      </c>
      <c r="N794" s="57">
        <f>(24*8)+9+24/60+8/3600</f>
        <v>201.40222222222224</v>
      </c>
      <c r="O794" s="18">
        <v>0</v>
      </c>
      <c r="P794" s="18">
        <v>0</v>
      </c>
      <c r="Q794" s="63">
        <v>0.92210000000000003</v>
      </c>
      <c r="R794" s="46"/>
    </row>
    <row r="795" spans="1:18" ht="25.5">
      <c r="A795" s="33" t="s">
        <v>4717</v>
      </c>
      <c r="B795" s="54" t="s">
        <v>7800</v>
      </c>
      <c r="C795" s="55">
        <v>42089</v>
      </c>
      <c r="D795" s="47" t="s">
        <v>8465</v>
      </c>
      <c r="E795" s="40" t="s">
        <v>9981</v>
      </c>
      <c r="F795" s="40" t="s">
        <v>4719</v>
      </c>
      <c r="G795" s="56"/>
      <c r="H795" s="67" t="s">
        <v>2820</v>
      </c>
      <c r="J795" s="43"/>
      <c r="K795" s="63">
        <v>0.8</v>
      </c>
      <c r="L795" s="40">
        <v>794</v>
      </c>
      <c r="M795" s="55">
        <v>42370</v>
      </c>
      <c r="N795" s="57">
        <f>52/60</f>
        <v>0.8666666666666667</v>
      </c>
      <c r="O795" s="18">
        <v>0</v>
      </c>
      <c r="P795" s="18">
        <v>0</v>
      </c>
      <c r="Q795" s="63">
        <v>0.84499999999999997</v>
      </c>
      <c r="R795" s="46"/>
    </row>
    <row r="796" spans="1:18">
      <c r="A796" s="33" t="s">
        <v>7308</v>
      </c>
      <c r="B796" s="54" t="s">
        <v>7783</v>
      </c>
      <c r="C796" s="55">
        <v>41746</v>
      </c>
      <c r="D796" s="47" t="s">
        <v>8465</v>
      </c>
      <c r="E796" s="40" t="s">
        <v>1082</v>
      </c>
      <c r="F796" s="40" t="s">
        <v>10024</v>
      </c>
      <c r="G796" s="56" t="s">
        <v>4117</v>
      </c>
      <c r="H796" s="67" t="s">
        <v>78</v>
      </c>
      <c r="J796" s="43"/>
      <c r="K796" s="63">
        <v>0.8</v>
      </c>
      <c r="L796" s="40">
        <v>795</v>
      </c>
      <c r="M796" s="55">
        <v>42372</v>
      </c>
      <c r="N796" s="57"/>
      <c r="O796" s="18">
        <v>0</v>
      </c>
      <c r="P796" s="18">
        <v>0</v>
      </c>
      <c r="Q796" s="63">
        <v>0.81369999999999998</v>
      </c>
      <c r="R796" s="46"/>
    </row>
    <row r="797" spans="1:18">
      <c r="A797" s="33" t="s">
        <v>10025</v>
      </c>
      <c r="B797" s="54" t="s">
        <v>7800</v>
      </c>
      <c r="C797" s="55">
        <v>42108</v>
      </c>
      <c r="D797" s="47" t="s">
        <v>8465</v>
      </c>
      <c r="E797" s="40" t="s">
        <v>1618</v>
      </c>
      <c r="F797" s="40" t="s">
        <v>4019</v>
      </c>
      <c r="G797" s="56" t="s">
        <v>2306</v>
      </c>
      <c r="H797" s="67" t="s">
        <v>1168</v>
      </c>
      <c r="J797" s="43"/>
      <c r="K797" s="63">
        <v>0.9</v>
      </c>
      <c r="L797" s="40">
        <v>796</v>
      </c>
      <c r="M797" s="55">
        <v>42428</v>
      </c>
      <c r="N797" s="57">
        <f>29+11/60</f>
        <v>29.183333333333334</v>
      </c>
      <c r="O797" s="18">
        <v>0</v>
      </c>
      <c r="P797" s="18">
        <v>0</v>
      </c>
      <c r="Q797" s="63">
        <v>0.95069999999999999</v>
      </c>
      <c r="R797" s="46"/>
    </row>
    <row r="798" spans="1:18">
      <c r="A798" s="33" t="s">
        <v>2630</v>
      </c>
      <c r="B798" s="54" t="s">
        <v>7800</v>
      </c>
      <c r="C798" s="55">
        <v>41688</v>
      </c>
      <c r="D798" s="47" t="s">
        <v>8465</v>
      </c>
      <c r="E798" s="40" t="s">
        <v>73</v>
      </c>
      <c r="F798" s="40" t="s">
        <v>5158</v>
      </c>
      <c r="G798" s="56" t="s">
        <v>2630</v>
      </c>
      <c r="H798" s="67" t="s">
        <v>56</v>
      </c>
      <c r="J798" s="43"/>
      <c r="K798" s="63">
        <v>0.8</v>
      </c>
      <c r="L798" s="40">
        <v>797</v>
      </c>
      <c r="M798" s="55">
        <v>42492</v>
      </c>
      <c r="N798" s="57">
        <f>6+57/60</f>
        <v>6.95</v>
      </c>
      <c r="O798" s="18">
        <v>0</v>
      </c>
      <c r="P798" s="18">
        <v>0</v>
      </c>
      <c r="Q798" s="63">
        <v>0.752</v>
      </c>
      <c r="R798" s="46"/>
    </row>
    <row r="799" spans="1:18">
      <c r="A799" s="33" t="s">
        <v>3569</v>
      </c>
      <c r="B799" s="54" t="s">
        <v>7800</v>
      </c>
      <c r="C799" s="55">
        <v>42472</v>
      </c>
      <c r="D799" s="47" t="s">
        <v>8465</v>
      </c>
      <c r="E799" s="40" t="s">
        <v>1604</v>
      </c>
      <c r="F799" s="40" t="s">
        <v>1580</v>
      </c>
      <c r="G799" s="56" t="s">
        <v>3566</v>
      </c>
      <c r="H799" s="67" t="s">
        <v>171</v>
      </c>
      <c r="J799" s="43"/>
      <c r="K799" s="63">
        <v>1</v>
      </c>
      <c r="L799" s="40">
        <v>798</v>
      </c>
      <c r="M799" s="55">
        <v>42495</v>
      </c>
      <c r="N799" s="57">
        <f>27+58/60+49/3600</f>
        <v>27.980277777777776</v>
      </c>
      <c r="O799" s="18">
        <v>0</v>
      </c>
      <c r="P799" s="18">
        <v>0</v>
      </c>
      <c r="Q799" s="63">
        <v>0.8891</v>
      </c>
      <c r="R799" s="46"/>
    </row>
    <row r="800" spans="1:18" ht="25.5">
      <c r="A800" s="33" t="s">
        <v>3403</v>
      </c>
      <c r="B800" s="54" t="s">
        <v>7800</v>
      </c>
      <c r="C800" s="55">
        <v>39763</v>
      </c>
      <c r="D800" s="47" t="s">
        <v>8465</v>
      </c>
      <c r="E800" s="40" t="s">
        <v>1273</v>
      </c>
      <c r="F800" s="40" t="s">
        <v>1508</v>
      </c>
      <c r="G800" s="56" t="s">
        <v>3401</v>
      </c>
      <c r="H800" s="67" t="s">
        <v>1050</v>
      </c>
      <c r="J800" s="43"/>
      <c r="K800" s="63">
        <v>0.7</v>
      </c>
      <c r="L800" s="40">
        <v>799</v>
      </c>
      <c r="M800" s="55">
        <v>42497</v>
      </c>
      <c r="N800" s="57">
        <f>6+5/60</f>
        <v>6.083333333333333</v>
      </c>
      <c r="O800" s="18">
        <v>0</v>
      </c>
      <c r="P800" s="18">
        <v>0</v>
      </c>
      <c r="Q800" s="63">
        <v>0.84650000000000003</v>
      </c>
      <c r="R800" s="46"/>
    </row>
    <row r="801" spans="1:18">
      <c r="A801" s="33" t="s">
        <v>1711</v>
      </c>
      <c r="B801" s="54" t="s">
        <v>7800</v>
      </c>
      <c r="C801" s="55">
        <v>42262</v>
      </c>
      <c r="D801" s="47" t="s">
        <v>8465</v>
      </c>
      <c r="E801" s="40" t="s">
        <v>1712</v>
      </c>
      <c r="F801" s="40" t="s">
        <v>1712</v>
      </c>
      <c r="G801" s="56"/>
      <c r="H801" s="67" t="s">
        <v>149</v>
      </c>
      <c r="J801" s="43"/>
      <c r="K801" s="63">
        <v>0.9</v>
      </c>
      <c r="L801" s="40">
        <v>800</v>
      </c>
      <c r="M801" s="55">
        <v>42499</v>
      </c>
      <c r="N801" s="57">
        <f>328/60+42/3600</f>
        <v>5.4783333333333335</v>
      </c>
      <c r="O801" s="18">
        <v>0</v>
      </c>
      <c r="P801" s="18">
        <v>0</v>
      </c>
      <c r="Q801" s="63">
        <v>0.93620000000000003</v>
      </c>
      <c r="R801" s="46"/>
    </row>
    <row r="802" spans="1:18" ht="25.5">
      <c r="A802" s="33" t="s">
        <v>3267</v>
      </c>
      <c r="B802" s="54" t="s">
        <v>7800</v>
      </c>
      <c r="C802" s="55">
        <v>41572</v>
      </c>
      <c r="D802" s="47" t="s">
        <v>8465</v>
      </c>
      <c r="E802" s="40" t="s">
        <v>1529</v>
      </c>
      <c r="F802" s="40" t="s">
        <v>10026</v>
      </c>
      <c r="G802" s="56" t="s">
        <v>207</v>
      </c>
      <c r="H802" s="67" t="s">
        <v>80</v>
      </c>
      <c r="J802" s="43"/>
      <c r="K802" s="63">
        <v>0.8</v>
      </c>
      <c r="L802" s="40">
        <v>801</v>
      </c>
      <c r="M802" s="55">
        <v>42501</v>
      </c>
      <c r="N802" s="57">
        <v>10.42</v>
      </c>
      <c r="O802" s="18">
        <v>0</v>
      </c>
      <c r="P802" s="18">
        <v>0</v>
      </c>
      <c r="Q802" s="63">
        <v>0.73570000000000002</v>
      </c>
      <c r="R802" s="46"/>
    </row>
    <row r="803" spans="1:18" ht="25.5">
      <c r="A803" s="33" t="s">
        <v>1115</v>
      </c>
      <c r="B803" s="54" t="s">
        <v>7743</v>
      </c>
      <c r="C803" s="55">
        <v>42433</v>
      </c>
      <c r="D803" s="47" t="s">
        <v>8465</v>
      </c>
      <c r="E803" s="40" t="s">
        <v>86</v>
      </c>
      <c r="F803" s="40" t="s">
        <v>1138</v>
      </c>
      <c r="G803" s="56" t="s">
        <v>85</v>
      </c>
      <c r="H803" s="67" t="s">
        <v>80</v>
      </c>
      <c r="J803" s="43"/>
      <c r="K803" s="63">
        <v>0.9</v>
      </c>
      <c r="L803" s="40">
        <v>802</v>
      </c>
      <c r="M803" s="55">
        <v>42539</v>
      </c>
      <c r="N803" s="57">
        <f>36+31/60</f>
        <v>36.516666666666666</v>
      </c>
      <c r="O803" s="18">
        <v>0</v>
      </c>
      <c r="P803" s="18">
        <v>0</v>
      </c>
      <c r="Q803" s="63">
        <v>0.85980000000000001</v>
      </c>
      <c r="R803" s="46"/>
    </row>
    <row r="804" spans="1:18" ht="25.5">
      <c r="A804" s="33" t="s">
        <v>2417</v>
      </c>
      <c r="B804" s="54" t="s">
        <v>7749</v>
      </c>
      <c r="C804" s="55">
        <v>42300</v>
      </c>
      <c r="D804" s="47" t="s">
        <v>8465</v>
      </c>
      <c r="E804" s="40" t="s">
        <v>86</v>
      </c>
      <c r="F804" s="40" t="s">
        <v>1138</v>
      </c>
      <c r="G804" s="56" t="s">
        <v>85</v>
      </c>
      <c r="H804" s="67" t="s">
        <v>80</v>
      </c>
      <c r="J804" s="43"/>
      <c r="K804" s="63">
        <v>0.7</v>
      </c>
      <c r="L804" s="40">
        <v>803</v>
      </c>
      <c r="M804" s="55">
        <v>42666</v>
      </c>
      <c r="N804" s="57">
        <f>13+8/60</f>
        <v>13.133333333333333</v>
      </c>
      <c r="O804" s="18">
        <v>0</v>
      </c>
      <c r="P804" s="18">
        <v>0</v>
      </c>
      <c r="Q804" s="63">
        <v>0.72189999999999999</v>
      </c>
      <c r="R804" s="46"/>
    </row>
    <row r="805" spans="1:18">
      <c r="A805" s="33" t="s">
        <v>6560</v>
      </c>
      <c r="B805" s="54" t="s">
        <v>7800</v>
      </c>
      <c r="C805" s="55">
        <v>42671</v>
      </c>
      <c r="D805" s="47" t="s">
        <v>8465</v>
      </c>
      <c r="E805" s="40" t="s">
        <v>231</v>
      </c>
      <c r="F805" s="40" t="s">
        <v>6559</v>
      </c>
      <c r="G805" s="56" t="s">
        <v>6558</v>
      </c>
      <c r="H805" s="67" t="s">
        <v>1050</v>
      </c>
      <c r="J805" s="43"/>
      <c r="K805" s="63">
        <v>0.9</v>
      </c>
      <c r="L805" s="40">
        <v>804</v>
      </c>
      <c r="M805" s="55"/>
      <c r="N805" s="57"/>
      <c r="O805" s="18">
        <v>0</v>
      </c>
      <c r="P805" s="18">
        <v>0</v>
      </c>
      <c r="Q805" s="63">
        <v>0.89080000000000004</v>
      </c>
      <c r="R805" s="46"/>
    </row>
    <row r="806" spans="1:18" ht="25.5">
      <c r="A806" s="33" t="s">
        <v>1694</v>
      </c>
      <c r="B806" s="54" t="s">
        <v>7744</v>
      </c>
      <c r="C806" s="55">
        <v>42797</v>
      </c>
      <c r="D806" s="47" t="s">
        <v>8465</v>
      </c>
      <c r="E806" s="40" t="s">
        <v>86</v>
      </c>
      <c r="F806" s="40" t="s">
        <v>1138</v>
      </c>
      <c r="G806" s="56" t="s">
        <v>85</v>
      </c>
      <c r="H806" s="67" t="s">
        <v>80</v>
      </c>
      <c r="J806" s="43"/>
      <c r="K806" s="63">
        <v>1</v>
      </c>
      <c r="L806" s="40">
        <v>805</v>
      </c>
      <c r="M806" s="55">
        <v>42833</v>
      </c>
      <c r="N806" s="57"/>
      <c r="O806" s="18">
        <v>0</v>
      </c>
      <c r="P806" s="18">
        <v>0</v>
      </c>
      <c r="Q806" s="63">
        <v>0.97260000000000002</v>
      </c>
      <c r="R806" s="46"/>
    </row>
    <row r="807" spans="1:18">
      <c r="A807" s="33" t="s">
        <v>1890</v>
      </c>
      <c r="B807" s="54" t="s">
        <v>7800</v>
      </c>
      <c r="C807" s="55">
        <v>42503</v>
      </c>
      <c r="D807" s="47" t="s">
        <v>8465</v>
      </c>
      <c r="E807" s="40" t="s">
        <v>1690</v>
      </c>
      <c r="F807" s="40" t="s">
        <v>1889</v>
      </c>
      <c r="G807" s="56" t="s">
        <v>1890</v>
      </c>
      <c r="H807" s="67" t="s">
        <v>1050</v>
      </c>
      <c r="J807" s="43"/>
      <c r="K807" s="63">
        <v>0.8</v>
      </c>
      <c r="L807" s="40">
        <v>806</v>
      </c>
      <c r="M807" s="55">
        <v>42922</v>
      </c>
      <c r="N807" s="57">
        <f>8+48/60</f>
        <v>8.8000000000000007</v>
      </c>
      <c r="O807" s="18">
        <v>0</v>
      </c>
      <c r="P807" s="18">
        <v>0</v>
      </c>
      <c r="Q807" s="63">
        <v>0.8538</v>
      </c>
      <c r="R807" s="46"/>
    </row>
    <row r="808" spans="1:18">
      <c r="A808" s="33" t="s">
        <v>4726</v>
      </c>
      <c r="B808" s="54" t="s">
        <v>7800</v>
      </c>
      <c r="C808" s="55">
        <v>42373</v>
      </c>
      <c r="D808" s="47" t="s">
        <v>8465</v>
      </c>
      <c r="E808" s="40" t="s">
        <v>4727</v>
      </c>
      <c r="F808" s="40" t="s">
        <v>4727</v>
      </c>
      <c r="G808" s="56"/>
      <c r="H808" s="67" t="s">
        <v>2820</v>
      </c>
      <c r="J808" s="43"/>
      <c r="K808" s="63">
        <v>0.7</v>
      </c>
      <c r="L808" s="40">
        <v>807</v>
      </c>
      <c r="M808" s="55">
        <v>42923</v>
      </c>
      <c r="N808" s="57">
        <f>108/60</f>
        <v>1.8</v>
      </c>
      <c r="O808" s="18">
        <v>0</v>
      </c>
      <c r="P808" s="18">
        <v>0</v>
      </c>
      <c r="Q808" s="63">
        <v>0.86</v>
      </c>
      <c r="R808" s="46"/>
    </row>
    <row r="809" spans="1:18">
      <c r="A809" s="33" t="s">
        <v>1735</v>
      </c>
      <c r="B809" s="55" t="s">
        <v>7744</v>
      </c>
      <c r="C809" s="55">
        <v>42852</v>
      </c>
      <c r="D809" s="47" t="s">
        <v>8465</v>
      </c>
      <c r="E809" s="40" t="s">
        <v>1736</v>
      </c>
      <c r="F809" s="40" t="s">
        <v>1737</v>
      </c>
      <c r="G809" s="56"/>
      <c r="H809" s="67" t="s">
        <v>80</v>
      </c>
      <c r="J809" s="43"/>
      <c r="K809" s="63">
        <v>0.6</v>
      </c>
      <c r="L809" s="40">
        <v>808</v>
      </c>
      <c r="M809" s="55">
        <v>42939</v>
      </c>
      <c r="N809" s="57">
        <f>(1+5/60+34/3600)</f>
        <v>1.0927777777777776</v>
      </c>
      <c r="O809" s="18">
        <v>0</v>
      </c>
      <c r="P809" s="18">
        <v>0</v>
      </c>
      <c r="Q809" s="63">
        <v>0.68889999999999996</v>
      </c>
      <c r="R809" s="46"/>
    </row>
    <row r="810" spans="1:18">
      <c r="A810" s="33" t="s">
        <v>6979</v>
      </c>
      <c r="B810" s="54" t="s">
        <v>7800</v>
      </c>
      <c r="C810" s="55">
        <v>43032</v>
      </c>
      <c r="D810" s="47" t="s">
        <v>8465</v>
      </c>
      <c r="E810" s="40" t="s">
        <v>1273</v>
      </c>
      <c r="F810" s="40" t="s">
        <v>6114</v>
      </c>
      <c r="G810" s="56" t="s">
        <v>6113</v>
      </c>
      <c r="H810" s="67" t="s">
        <v>1050</v>
      </c>
      <c r="J810" s="43"/>
      <c r="K810" s="63">
        <v>0.7</v>
      </c>
      <c r="L810" s="40">
        <v>809</v>
      </c>
      <c r="M810" s="55"/>
      <c r="N810" s="57"/>
      <c r="O810" s="18">
        <v>0</v>
      </c>
      <c r="P810" s="18">
        <v>0</v>
      </c>
      <c r="Q810" s="63">
        <v>0.83630000000000004</v>
      </c>
      <c r="R810" s="46"/>
    </row>
    <row r="811" spans="1:18">
      <c r="A811" s="33" t="s">
        <v>1677</v>
      </c>
      <c r="B811" s="54" t="s">
        <v>7744</v>
      </c>
      <c r="C811" s="55">
        <v>43035</v>
      </c>
      <c r="D811" s="47" t="s">
        <v>8465</v>
      </c>
      <c r="E811" s="40" t="s">
        <v>86</v>
      </c>
      <c r="F811" s="40" t="s">
        <v>1138</v>
      </c>
      <c r="G811" s="56" t="s">
        <v>137</v>
      </c>
      <c r="H811" s="67" t="s">
        <v>1040</v>
      </c>
      <c r="J811" s="43"/>
      <c r="K811" s="63">
        <v>0.9</v>
      </c>
      <c r="L811" s="40">
        <v>810</v>
      </c>
      <c r="M811" s="55">
        <v>43037</v>
      </c>
      <c r="N811" s="57"/>
      <c r="O811" s="18">
        <v>0</v>
      </c>
      <c r="P811" s="18">
        <v>0</v>
      </c>
      <c r="Q811" s="63">
        <v>0.97419999999999995</v>
      </c>
      <c r="R811" s="46"/>
    </row>
    <row r="812" spans="1:18">
      <c r="A812" s="33" t="s">
        <v>3675</v>
      </c>
      <c r="B812" s="54" t="s">
        <v>7800</v>
      </c>
      <c r="C812" s="55">
        <v>42685</v>
      </c>
      <c r="D812" s="47" t="s">
        <v>8465</v>
      </c>
      <c r="E812" s="40" t="s">
        <v>1690</v>
      </c>
      <c r="F812" s="40" t="s">
        <v>3218</v>
      </c>
      <c r="G812" s="56" t="s">
        <v>3674</v>
      </c>
      <c r="H812" s="67" t="s">
        <v>245</v>
      </c>
      <c r="J812" s="43"/>
      <c r="K812" s="63">
        <v>0.8</v>
      </c>
      <c r="L812" s="40">
        <v>811</v>
      </c>
      <c r="M812" s="55">
        <v>43158</v>
      </c>
      <c r="N812" s="57">
        <f>10+35/60</f>
        <v>10.583333333333334</v>
      </c>
      <c r="O812" s="18">
        <v>0</v>
      </c>
      <c r="P812" s="18">
        <v>0</v>
      </c>
      <c r="Q812" s="63">
        <v>0.84240000000000004</v>
      </c>
      <c r="R812" s="46"/>
    </row>
    <row r="813" spans="1:18" ht="25.5">
      <c r="A813" s="33" t="s">
        <v>6167</v>
      </c>
      <c r="B813" s="54" t="s">
        <v>7760</v>
      </c>
      <c r="C813" s="55">
        <v>41849</v>
      </c>
      <c r="D813" s="47" t="s">
        <v>8465</v>
      </c>
      <c r="E813" s="40" t="s">
        <v>2908</v>
      </c>
      <c r="F813" s="40" t="s">
        <v>2646</v>
      </c>
      <c r="G813" s="56" t="s">
        <v>6064</v>
      </c>
      <c r="H813" s="67" t="s">
        <v>1168</v>
      </c>
      <c r="J813" s="43"/>
      <c r="K813" s="63">
        <v>0.9</v>
      </c>
      <c r="L813" s="40">
        <v>812</v>
      </c>
      <c r="M813" s="55">
        <v>43184</v>
      </c>
      <c r="N813" s="57">
        <v>15</v>
      </c>
      <c r="O813" s="18">
        <v>0</v>
      </c>
      <c r="P813" s="18">
        <v>0</v>
      </c>
      <c r="Q813" s="63">
        <v>0.95699999999999996</v>
      </c>
      <c r="R813" s="46"/>
    </row>
    <row r="814" spans="1:18">
      <c r="A814" s="33" t="s">
        <v>1596</v>
      </c>
      <c r="B814" s="54" t="s">
        <v>7744</v>
      </c>
      <c r="C814" s="55">
        <v>43028</v>
      </c>
      <c r="D814" s="47" t="s">
        <v>8465</v>
      </c>
      <c r="E814" s="40" t="s">
        <v>86</v>
      </c>
      <c r="F814" s="40" t="s">
        <v>1136</v>
      </c>
      <c r="G814" s="56" t="s">
        <v>305</v>
      </c>
      <c r="H814" s="67" t="s">
        <v>1059</v>
      </c>
      <c r="J814" s="43"/>
      <c r="K814" s="63">
        <v>0.7</v>
      </c>
      <c r="L814" s="40">
        <v>813</v>
      </c>
      <c r="M814" s="55">
        <v>43186</v>
      </c>
      <c r="N814" s="57">
        <f>8+27/60</f>
        <v>8.4499999999999993</v>
      </c>
      <c r="O814" s="18">
        <v>0</v>
      </c>
      <c r="P814" s="18">
        <v>0</v>
      </c>
      <c r="Q814" s="63">
        <v>0.74270000000000003</v>
      </c>
      <c r="R814" s="46"/>
    </row>
    <row r="815" spans="1:18">
      <c r="A815" s="33" t="s">
        <v>1616</v>
      </c>
      <c r="B815" s="54" t="s">
        <v>7744</v>
      </c>
      <c r="C815" s="55">
        <v>43175</v>
      </c>
      <c r="D815" s="47" t="s">
        <v>8465</v>
      </c>
      <c r="E815" s="40" t="s">
        <v>86</v>
      </c>
      <c r="F815" s="40" t="s">
        <v>30</v>
      </c>
      <c r="G815" s="56" t="s">
        <v>223</v>
      </c>
      <c r="H815" s="67" t="s">
        <v>64</v>
      </c>
      <c r="J815" s="43"/>
      <c r="K815" s="63">
        <v>0.7</v>
      </c>
      <c r="L815" s="40">
        <v>814</v>
      </c>
      <c r="M815" s="55">
        <v>43191</v>
      </c>
      <c r="N815" s="57"/>
      <c r="O815" s="18">
        <v>0</v>
      </c>
      <c r="P815" s="18">
        <v>0</v>
      </c>
      <c r="Q815" s="63">
        <v>0.73250000000000004</v>
      </c>
      <c r="R815" s="46"/>
    </row>
    <row r="816" spans="1:18">
      <c r="A816" s="33" t="s">
        <v>6101</v>
      </c>
      <c r="B816" s="54" t="s">
        <v>7760</v>
      </c>
      <c r="C816" s="55">
        <v>42087</v>
      </c>
      <c r="D816" s="47" t="s">
        <v>8465</v>
      </c>
      <c r="E816" s="40" t="s">
        <v>2908</v>
      </c>
      <c r="F816" s="40" t="s">
        <v>1580</v>
      </c>
      <c r="G816" s="56" t="s">
        <v>3566</v>
      </c>
      <c r="H816" s="67" t="s">
        <v>171</v>
      </c>
      <c r="J816" s="43"/>
      <c r="K816" s="63">
        <v>0.9</v>
      </c>
      <c r="L816" s="40">
        <v>815</v>
      </c>
      <c r="M816" s="55">
        <v>43207</v>
      </c>
      <c r="N816" s="57">
        <v>29</v>
      </c>
      <c r="O816" s="18">
        <v>0</v>
      </c>
      <c r="P816" s="18">
        <v>0</v>
      </c>
      <c r="Q816" s="63">
        <v>0.90659999999999996</v>
      </c>
      <c r="R816" s="46"/>
    </row>
    <row r="817" spans="1:18" ht="25.5">
      <c r="A817" s="33" t="s">
        <v>4843</v>
      </c>
      <c r="B817" s="54" t="s">
        <v>7800</v>
      </c>
      <c r="C817" s="55">
        <v>42397</v>
      </c>
      <c r="D817" s="47" t="s">
        <v>8465</v>
      </c>
      <c r="E817" s="40" t="s">
        <v>1082</v>
      </c>
      <c r="F817" s="40" t="s">
        <v>1198</v>
      </c>
      <c r="G817" s="56" t="s">
        <v>1853</v>
      </c>
      <c r="H817" s="65" t="s">
        <v>80</v>
      </c>
      <c r="J817" s="43"/>
      <c r="K817" s="63">
        <v>0.8</v>
      </c>
      <c r="L817" s="40">
        <v>816</v>
      </c>
      <c r="M817" s="55">
        <v>43209</v>
      </c>
      <c r="N817" s="57">
        <f>11</f>
        <v>11</v>
      </c>
      <c r="O817" s="18">
        <v>0</v>
      </c>
      <c r="P817" s="18">
        <v>0</v>
      </c>
      <c r="Q817" s="63">
        <v>0.85860000000000003</v>
      </c>
      <c r="R817" s="46"/>
    </row>
    <row r="818" spans="1:18">
      <c r="A818" s="33" t="s">
        <v>6432</v>
      </c>
      <c r="B818" s="40" t="s">
        <v>7765</v>
      </c>
      <c r="C818" s="47">
        <v>40569</v>
      </c>
      <c r="D818" s="47" t="s">
        <v>8465</v>
      </c>
      <c r="E818" s="40" t="s">
        <v>6475</v>
      </c>
      <c r="F818" s="40" t="s">
        <v>6475</v>
      </c>
      <c r="G818" s="42"/>
      <c r="H818" s="65" t="s">
        <v>149</v>
      </c>
      <c r="J818" s="43"/>
      <c r="K818" s="61">
        <v>0.6</v>
      </c>
      <c r="L818" s="40">
        <v>817</v>
      </c>
      <c r="M818" s="44">
        <v>41553</v>
      </c>
      <c r="N818" s="45"/>
      <c r="O818" s="18">
        <v>0</v>
      </c>
      <c r="P818" s="18">
        <v>0</v>
      </c>
      <c r="Q818" s="61">
        <v>0.64</v>
      </c>
      <c r="R818" s="46"/>
    </row>
    <row r="819" spans="1:18" ht="25.5">
      <c r="A819" s="33" t="s">
        <v>4103</v>
      </c>
      <c r="B819" s="54" t="s">
        <v>7800</v>
      </c>
      <c r="C819" s="55">
        <v>42955</v>
      </c>
      <c r="D819" s="47" t="s">
        <v>8465</v>
      </c>
      <c r="E819" s="40" t="s">
        <v>3687</v>
      </c>
      <c r="F819" s="40" t="s">
        <v>3687</v>
      </c>
      <c r="G819" s="56"/>
      <c r="H819" s="67" t="s">
        <v>80</v>
      </c>
      <c r="J819" s="43"/>
      <c r="K819" s="63">
        <v>0.8</v>
      </c>
      <c r="L819" s="40">
        <v>818</v>
      </c>
      <c r="M819" s="55">
        <v>43274</v>
      </c>
      <c r="N819" s="57">
        <f>7+15/60</f>
        <v>7.25</v>
      </c>
      <c r="O819" s="18">
        <v>0</v>
      </c>
      <c r="P819" s="18">
        <v>0</v>
      </c>
      <c r="Q819" s="63">
        <v>0.82250000000000001</v>
      </c>
      <c r="R819" s="46"/>
    </row>
    <row r="820" spans="1:18">
      <c r="A820" s="33" t="s">
        <v>1716</v>
      </c>
      <c r="B820" s="54" t="s">
        <v>7800</v>
      </c>
      <c r="C820" s="55">
        <v>42209</v>
      </c>
      <c r="D820" s="47" t="s">
        <v>8465</v>
      </c>
      <c r="E820" s="40" t="s">
        <v>5513</v>
      </c>
      <c r="F820" s="40" t="s">
        <v>1715</v>
      </c>
      <c r="G820" s="56"/>
      <c r="H820" s="67" t="s">
        <v>171</v>
      </c>
      <c r="J820" s="43"/>
      <c r="K820" s="63">
        <v>0.7</v>
      </c>
      <c r="L820" s="40">
        <v>819</v>
      </c>
      <c r="M820" s="55">
        <v>43282</v>
      </c>
      <c r="N820" s="57">
        <f>6+45/60</f>
        <v>6.75</v>
      </c>
      <c r="O820" s="18">
        <v>0</v>
      </c>
      <c r="P820" s="18">
        <v>0</v>
      </c>
      <c r="Q820" s="63">
        <v>0.74909999999999999</v>
      </c>
      <c r="R820" s="46"/>
    </row>
    <row r="821" spans="1:18" ht="38.25">
      <c r="A821" s="33" t="s">
        <v>5319</v>
      </c>
      <c r="B821" s="54" t="s">
        <v>7800</v>
      </c>
      <c r="C821" s="55">
        <v>41781</v>
      </c>
      <c r="D821" s="47" t="s">
        <v>8465</v>
      </c>
      <c r="E821" s="40" t="s">
        <v>10013</v>
      </c>
      <c r="F821" s="40" t="s">
        <v>10013</v>
      </c>
      <c r="G821" s="42" t="s">
        <v>5317</v>
      </c>
      <c r="H821" s="67" t="s">
        <v>171</v>
      </c>
      <c r="J821" s="43"/>
      <c r="K821" s="63">
        <v>0.7</v>
      </c>
      <c r="L821" s="40">
        <v>820</v>
      </c>
      <c r="M821" s="55">
        <v>43286</v>
      </c>
      <c r="N821" s="57">
        <f>11+16/60</f>
        <v>11.266666666666667</v>
      </c>
      <c r="O821" s="18">
        <v>0</v>
      </c>
      <c r="P821" s="18">
        <v>0</v>
      </c>
      <c r="Q821" s="63">
        <v>0.79890000000000005</v>
      </c>
      <c r="R821" s="46"/>
    </row>
    <row r="822" spans="1:18" ht="38.25">
      <c r="A822" s="33" t="s">
        <v>5320</v>
      </c>
      <c r="B822" s="54" t="s">
        <v>7800</v>
      </c>
      <c r="C822" s="55">
        <v>42146</v>
      </c>
      <c r="D822" s="47" t="s">
        <v>8465</v>
      </c>
      <c r="E822" s="40" t="s">
        <v>10013</v>
      </c>
      <c r="F822" s="40" t="s">
        <v>10013</v>
      </c>
      <c r="G822" s="42" t="s">
        <v>5317</v>
      </c>
      <c r="H822" s="67" t="s">
        <v>171</v>
      </c>
      <c r="J822" s="43"/>
      <c r="K822" s="63">
        <v>0.7</v>
      </c>
      <c r="L822" s="40">
        <v>821</v>
      </c>
      <c r="M822" s="55">
        <v>43288</v>
      </c>
      <c r="N822" s="57">
        <f>5+27/60</f>
        <v>5.45</v>
      </c>
      <c r="O822" s="18">
        <v>0</v>
      </c>
      <c r="P822" s="18">
        <v>0</v>
      </c>
      <c r="Q822" s="63">
        <v>0.65600000000000003</v>
      </c>
      <c r="R822" s="46"/>
    </row>
    <row r="823" spans="1:18" ht="25.5">
      <c r="A823" s="33" t="s">
        <v>3052</v>
      </c>
      <c r="B823" s="54" t="s">
        <v>7800</v>
      </c>
      <c r="C823" s="55">
        <v>42283</v>
      </c>
      <c r="D823" s="47" t="s">
        <v>8465</v>
      </c>
      <c r="E823" s="40" t="s">
        <v>3053</v>
      </c>
      <c r="F823" s="40" t="s">
        <v>3053</v>
      </c>
      <c r="G823" s="56"/>
      <c r="H823" s="67" t="s">
        <v>67</v>
      </c>
      <c r="J823" s="43"/>
      <c r="K823" s="63">
        <v>0.7</v>
      </c>
      <c r="L823" s="40">
        <v>822</v>
      </c>
      <c r="M823" s="55">
        <v>43299</v>
      </c>
      <c r="N823" s="57">
        <f>9+2/60</f>
        <v>9.0333333333333332</v>
      </c>
      <c r="O823" s="18">
        <v>0</v>
      </c>
      <c r="P823" s="18">
        <v>0</v>
      </c>
      <c r="Q823" s="63">
        <v>0.8</v>
      </c>
      <c r="R823" s="46"/>
    </row>
    <row r="824" spans="1:18">
      <c r="A824" s="33" t="s">
        <v>4037</v>
      </c>
      <c r="B824" s="54" t="s">
        <v>7800</v>
      </c>
      <c r="C824" s="55">
        <v>42425</v>
      </c>
      <c r="D824" s="47" t="s">
        <v>8465</v>
      </c>
      <c r="E824" s="40" t="s">
        <v>4038</v>
      </c>
      <c r="F824" s="40" t="s">
        <v>4038</v>
      </c>
      <c r="G824" s="56"/>
      <c r="H824" s="67" t="s">
        <v>171</v>
      </c>
      <c r="J824" s="43"/>
      <c r="K824" s="63">
        <v>0.6</v>
      </c>
      <c r="L824" s="40">
        <v>823</v>
      </c>
      <c r="M824" s="55">
        <v>43313</v>
      </c>
      <c r="N824" s="57">
        <f>13+41/60</f>
        <v>13.683333333333334</v>
      </c>
      <c r="O824" s="18">
        <v>0</v>
      </c>
      <c r="P824" s="18">
        <v>0</v>
      </c>
      <c r="Q824" s="63">
        <v>0.82640000000000002</v>
      </c>
      <c r="R824" s="46"/>
    </row>
    <row r="825" spans="1:18">
      <c r="A825" s="33" t="s">
        <v>4741</v>
      </c>
      <c r="B825" s="54" t="s">
        <v>7800</v>
      </c>
      <c r="C825" s="55">
        <v>42860</v>
      </c>
      <c r="D825" s="47" t="s">
        <v>8465</v>
      </c>
      <c r="E825" s="40" t="s">
        <v>1690</v>
      </c>
      <c r="F825" s="40" t="s">
        <v>3218</v>
      </c>
      <c r="G825" s="56" t="s">
        <v>4741</v>
      </c>
      <c r="H825" s="67" t="s">
        <v>1050</v>
      </c>
      <c r="J825" s="43"/>
      <c r="K825" s="63">
        <v>0.9</v>
      </c>
      <c r="L825" s="40">
        <v>824</v>
      </c>
      <c r="M825" s="55">
        <v>43316</v>
      </c>
      <c r="N825" s="57">
        <f>23+44/60</f>
        <v>23.733333333333334</v>
      </c>
      <c r="O825" s="18">
        <v>0</v>
      </c>
      <c r="P825" s="18">
        <v>0</v>
      </c>
      <c r="Q825" s="63">
        <v>0.7984</v>
      </c>
      <c r="R825" s="46"/>
    </row>
    <row r="826" spans="1:18">
      <c r="A826" s="33" t="s">
        <v>4184</v>
      </c>
      <c r="B826" s="54" t="s">
        <v>7800</v>
      </c>
      <c r="C826" s="55">
        <v>42558</v>
      </c>
      <c r="D826" s="47" t="s">
        <v>8465</v>
      </c>
      <c r="E826" s="40" t="s">
        <v>4185</v>
      </c>
      <c r="F826" s="40" t="s">
        <v>4185</v>
      </c>
      <c r="G826" s="56"/>
      <c r="H826" s="67" t="s">
        <v>27</v>
      </c>
      <c r="J826" s="43"/>
      <c r="K826" s="63">
        <v>0.8</v>
      </c>
      <c r="L826" s="40">
        <v>825</v>
      </c>
      <c r="M826" s="55">
        <v>43317</v>
      </c>
      <c r="N826" s="57">
        <f>3+13/60</f>
        <v>3.2166666666666668</v>
      </c>
      <c r="O826" s="18">
        <v>0</v>
      </c>
      <c r="P826" s="18">
        <v>0</v>
      </c>
      <c r="Q826" s="63">
        <v>0.83860000000000001</v>
      </c>
      <c r="R826" s="46"/>
    </row>
    <row r="827" spans="1:18">
      <c r="A827" s="33" t="s">
        <v>1637</v>
      </c>
      <c r="B827" s="54" t="s">
        <v>7744</v>
      </c>
      <c r="C827" s="55">
        <v>43294</v>
      </c>
      <c r="D827" s="47" t="s">
        <v>8465</v>
      </c>
      <c r="E827" s="40" t="s">
        <v>1082</v>
      </c>
      <c r="F827" s="40" t="s">
        <v>1082</v>
      </c>
      <c r="G827" s="56" t="s">
        <v>1637</v>
      </c>
      <c r="H827" s="67" t="s">
        <v>149</v>
      </c>
      <c r="J827" s="43"/>
      <c r="K827" s="63">
        <v>0.7</v>
      </c>
      <c r="L827" s="40">
        <v>826</v>
      </c>
      <c r="M827" s="55">
        <v>43336</v>
      </c>
      <c r="N827" s="57">
        <f>57+6/60</f>
        <v>57.1</v>
      </c>
      <c r="O827" s="18">
        <v>0</v>
      </c>
      <c r="P827" s="18">
        <v>0</v>
      </c>
      <c r="Q827" s="63">
        <v>0.82930000000000004</v>
      </c>
      <c r="R827" s="46"/>
    </row>
    <row r="828" spans="1:18">
      <c r="A828" s="33" t="s">
        <v>2393</v>
      </c>
      <c r="B828" s="54" t="s">
        <v>7749</v>
      </c>
      <c r="C828" s="55">
        <v>42692</v>
      </c>
      <c r="D828" s="47" t="s">
        <v>8465</v>
      </c>
      <c r="E828" s="40" t="s">
        <v>86</v>
      </c>
      <c r="F828" s="40" t="s">
        <v>1354</v>
      </c>
      <c r="G828" s="56" t="s">
        <v>1470</v>
      </c>
      <c r="H828" s="67" t="s">
        <v>149</v>
      </c>
      <c r="J828" s="43"/>
      <c r="K828" s="63">
        <v>0.7</v>
      </c>
      <c r="L828" s="40">
        <v>827</v>
      </c>
      <c r="M828" s="55">
        <v>43341</v>
      </c>
      <c r="N828" s="57">
        <f>18+30/60</f>
        <v>18.5</v>
      </c>
      <c r="O828" s="18">
        <v>0</v>
      </c>
      <c r="P828" s="18">
        <v>0</v>
      </c>
      <c r="Q828" s="63">
        <v>0.87939999999999996</v>
      </c>
      <c r="R828" s="46"/>
    </row>
    <row r="829" spans="1:18">
      <c r="A829" s="33" t="s">
        <v>4537</v>
      </c>
      <c r="B829" s="54" t="s">
        <v>7800</v>
      </c>
      <c r="C829" s="55">
        <v>42811</v>
      </c>
      <c r="D829" s="47" t="s">
        <v>8465</v>
      </c>
      <c r="E829" s="40" t="s">
        <v>1082</v>
      </c>
      <c r="F829" s="40" t="s">
        <v>1058</v>
      </c>
      <c r="G829" s="56" t="s">
        <v>5980</v>
      </c>
      <c r="H829" s="67" t="s">
        <v>1059</v>
      </c>
      <c r="J829" s="43"/>
      <c r="K829" s="63">
        <v>0.9</v>
      </c>
      <c r="L829" s="40">
        <v>828</v>
      </c>
      <c r="M829" s="55">
        <v>43347</v>
      </c>
      <c r="N829" s="57">
        <f>18+39/60+42/3600</f>
        <v>18.661666666666665</v>
      </c>
      <c r="O829" s="18">
        <v>0</v>
      </c>
      <c r="P829" s="18">
        <v>0</v>
      </c>
      <c r="Q829" s="63">
        <v>0.86799999999999999</v>
      </c>
      <c r="R829" s="46"/>
    </row>
    <row r="830" spans="1:18">
      <c r="A830" s="33" t="s">
        <v>5673</v>
      </c>
      <c r="B830" s="54" t="s">
        <v>7800</v>
      </c>
      <c r="C830" s="55">
        <v>42586</v>
      </c>
      <c r="D830" s="47" t="s">
        <v>8465</v>
      </c>
      <c r="E830" s="40" t="s">
        <v>5708</v>
      </c>
      <c r="F830" s="40" t="s">
        <v>5708</v>
      </c>
      <c r="G830" s="56"/>
      <c r="H830" s="67" t="s">
        <v>151</v>
      </c>
      <c r="J830" s="43"/>
      <c r="K830" s="63">
        <v>0.7</v>
      </c>
      <c r="L830" s="40">
        <v>829</v>
      </c>
      <c r="M830" s="55">
        <v>43348</v>
      </c>
      <c r="N830" s="57">
        <f>21/60</f>
        <v>0.35</v>
      </c>
      <c r="O830" s="18">
        <v>0</v>
      </c>
      <c r="P830" s="18">
        <v>0</v>
      </c>
      <c r="Q830" s="63"/>
      <c r="R830" s="46"/>
    </row>
    <row r="831" spans="1:18" ht="25.5">
      <c r="A831" s="33" t="s">
        <v>4222</v>
      </c>
      <c r="B831" s="54" t="s">
        <v>7800</v>
      </c>
      <c r="C831" s="55">
        <v>39399</v>
      </c>
      <c r="D831" s="47" t="s">
        <v>8465</v>
      </c>
      <c r="E831" s="40" t="s">
        <v>1870</v>
      </c>
      <c r="F831" s="40" t="s">
        <v>4118</v>
      </c>
      <c r="G831" s="56" t="s">
        <v>4221</v>
      </c>
      <c r="H831" s="67" t="s">
        <v>1168</v>
      </c>
      <c r="J831" s="43"/>
      <c r="K831" s="63">
        <v>0.6</v>
      </c>
      <c r="L831" s="40">
        <v>830</v>
      </c>
      <c r="M831" s="55">
        <v>43351</v>
      </c>
      <c r="N831" s="57">
        <f>4+21/60</f>
        <v>4.3499999999999996</v>
      </c>
      <c r="O831" s="18">
        <v>0</v>
      </c>
      <c r="P831" s="18">
        <v>0</v>
      </c>
      <c r="Q831" s="63">
        <v>0.67569999999999997</v>
      </c>
      <c r="R831" s="46"/>
    </row>
    <row r="832" spans="1:18">
      <c r="A832" s="33" t="s">
        <v>3200</v>
      </c>
      <c r="B832" s="54" t="s">
        <v>7800</v>
      </c>
      <c r="C832" s="55">
        <v>41781</v>
      </c>
      <c r="D832" s="47" t="s">
        <v>8465</v>
      </c>
      <c r="E832" s="40" t="s">
        <v>3201</v>
      </c>
      <c r="F832" s="40" t="s">
        <v>3201</v>
      </c>
      <c r="G832" s="56" t="s">
        <v>3200</v>
      </c>
      <c r="H832" s="67" t="s">
        <v>1334</v>
      </c>
      <c r="J832" s="43"/>
      <c r="K832" s="63">
        <v>0.5</v>
      </c>
      <c r="L832" s="40">
        <v>831</v>
      </c>
      <c r="M832" s="55">
        <v>43355</v>
      </c>
      <c r="N832" s="57">
        <f>4+14/60</f>
        <v>4.2333333333333334</v>
      </c>
      <c r="O832" s="18">
        <v>0</v>
      </c>
      <c r="P832" s="18">
        <v>0</v>
      </c>
      <c r="Q832" s="63"/>
      <c r="R832" s="46"/>
    </row>
    <row r="833" spans="1:18" ht="25.5">
      <c r="A833" s="33" t="s">
        <v>6521</v>
      </c>
      <c r="B833" s="54" t="s">
        <v>7766</v>
      </c>
      <c r="C833" s="55">
        <v>42241</v>
      </c>
      <c r="D833" s="47" t="s">
        <v>8465</v>
      </c>
      <c r="E833" s="40" t="s">
        <v>3116</v>
      </c>
      <c r="F833" s="40" t="s">
        <v>6304</v>
      </c>
      <c r="G833" s="56" t="s">
        <v>6303</v>
      </c>
      <c r="H833" s="67" t="s">
        <v>1168</v>
      </c>
      <c r="J833" s="43"/>
      <c r="K833" s="63">
        <v>0.8</v>
      </c>
      <c r="L833" s="40">
        <v>832</v>
      </c>
      <c r="M833" s="55">
        <v>43376</v>
      </c>
      <c r="N833" s="57"/>
      <c r="O833" s="18">
        <v>0</v>
      </c>
      <c r="P833" s="18">
        <v>0</v>
      </c>
      <c r="Q833" s="63">
        <v>0.83940000000000003</v>
      </c>
      <c r="R833" s="46"/>
    </row>
    <row r="834" spans="1:18" ht="25.5">
      <c r="A834" s="33" t="s">
        <v>6307</v>
      </c>
      <c r="B834" s="54" t="s">
        <v>7765</v>
      </c>
      <c r="C834" s="55">
        <v>41352</v>
      </c>
      <c r="D834" s="47" t="s">
        <v>8465</v>
      </c>
      <c r="E834" s="40" t="s">
        <v>3116</v>
      </c>
      <c r="F834" s="40" t="s">
        <v>3384</v>
      </c>
      <c r="G834" s="56" t="s">
        <v>6303</v>
      </c>
      <c r="H834" s="67" t="s">
        <v>1168</v>
      </c>
      <c r="J834" s="43"/>
      <c r="K834" s="63">
        <v>0.7</v>
      </c>
      <c r="L834" s="40">
        <v>833</v>
      </c>
      <c r="M834" s="55">
        <v>43394</v>
      </c>
      <c r="N834" s="57"/>
      <c r="O834" s="18">
        <v>0</v>
      </c>
      <c r="P834" s="18">
        <v>0</v>
      </c>
      <c r="Q834" s="63">
        <v>0.77380000000000004</v>
      </c>
      <c r="R834" s="46"/>
    </row>
    <row r="835" spans="1:18" ht="25.5">
      <c r="A835" s="33" t="s">
        <v>1588</v>
      </c>
      <c r="B835" s="54" t="s">
        <v>7744</v>
      </c>
      <c r="C835" s="55">
        <v>43406</v>
      </c>
      <c r="D835" s="47" t="s">
        <v>8465</v>
      </c>
      <c r="E835" s="40" t="s">
        <v>1296</v>
      </c>
      <c r="F835" s="40" t="s">
        <v>1296</v>
      </c>
      <c r="G835" s="56" t="s">
        <v>1589</v>
      </c>
      <c r="H835" s="67" t="s">
        <v>171</v>
      </c>
      <c r="J835" s="43"/>
      <c r="K835" s="63">
        <v>0.8</v>
      </c>
      <c r="L835" s="40">
        <v>834</v>
      </c>
      <c r="M835" s="55"/>
      <c r="N835" s="57"/>
      <c r="O835" s="18">
        <v>0</v>
      </c>
      <c r="P835" s="18">
        <v>0</v>
      </c>
      <c r="Q835" s="63">
        <v>0.88380000000000003</v>
      </c>
      <c r="R835" s="46"/>
    </row>
    <row r="836" spans="1:18">
      <c r="A836" s="33" t="s">
        <v>4811</v>
      </c>
      <c r="B836" s="54" t="s">
        <v>7766</v>
      </c>
      <c r="C836" s="55">
        <v>42549</v>
      </c>
      <c r="D836" s="47" t="s">
        <v>8465</v>
      </c>
      <c r="E836" s="40" t="s">
        <v>73</v>
      </c>
      <c r="F836" s="40" t="s">
        <v>73</v>
      </c>
      <c r="G836" s="56" t="s">
        <v>943</v>
      </c>
      <c r="H836" s="65" t="s">
        <v>1168</v>
      </c>
      <c r="J836" s="43"/>
      <c r="K836" s="63">
        <v>0.7</v>
      </c>
      <c r="L836" s="40">
        <v>835</v>
      </c>
      <c r="M836" s="55">
        <v>43443</v>
      </c>
      <c r="N836" s="57">
        <f>7+25/60</f>
        <v>7.416666666666667</v>
      </c>
      <c r="O836" s="18">
        <v>0</v>
      </c>
      <c r="P836" s="18">
        <v>0</v>
      </c>
      <c r="Q836" s="63">
        <v>0.8</v>
      </c>
      <c r="R836" s="46"/>
    </row>
    <row r="837" spans="1:18">
      <c r="A837" s="33" t="s">
        <v>5016</v>
      </c>
      <c r="B837" s="54" t="s">
        <v>7800</v>
      </c>
      <c r="C837" s="55">
        <v>40358</v>
      </c>
      <c r="D837" s="47" t="s">
        <v>8465</v>
      </c>
      <c r="E837" s="40" t="s">
        <v>1273</v>
      </c>
      <c r="F837" s="40" t="s">
        <v>5017</v>
      </c>
      <c r="G837" s="56"/>
      <c r="H837" s="67" t="s">
        <v>1050</v>
      </c>
      <c r="J837" s="43"/>
      <c r="K837" s="63">
        <v>0.7</v>
      </c>
      <c r="L837" s="40">
        <v>836</v>
      </c>
      <c r="M837" s="55">
        <v>43445</v>
      </c>
      <c r="N837" s="57">
        <f>7+47/60</f>
        <v>7.7833333333333332</v>
      </c>
      <c r="O837" s="18">
        <v>0</v>
      </c>
      <c r="P837" s="18">
        <v>0</v>
      </c>
      <c r="Q837" s="63">
        <v>0.7762</v>
      </c>
      <c r="R837" s="46"/>
    </row>
    <row r="838" spans="1:18" ht="25.5">
      <c r="A838" s="33" t="s">
        <v>4958</v>
      </c>
      <c r="B838" s="54" t="s">
        <v>7800</v>
      </c>
      <c r="C838" s="55">
        <v>43357</v>
      </c>
      <c r="D838" s="47" t="s">
        <v>8465</v>
      </c>
      <c r="E838" s="40" t="s">
        <v>1082</v>
      </c>
      <c r="F838" s="40" t="s">
        <v>3647</v>
      </c>
      <c r="G838" s="56" t="s">
        <v>1853</v>
      </c>
      <c r="H838" s="67" t="s">
        <v>80</v>
      </c>
      <c r="J838" s="43"/>
      <c r="K838" s="63">
        <v>0.8</v>
      </c>
      <c r="L838" s="40">
        <v>837</v>
      </c>
      <c r="M838" s="55">
        <v>43450</v>
      </c>
      <c r="N838" s="57">
        <f>10+27/60</f>
        <v>10.45</v>
      </c>
      <c r="O838" s="18">
        <v>0</v>
      </c>
      <c r="P838" s="18">
        <v>0</v>
      </c>
      <c r="Q838" s="63">
        <v>0.78169999999999995</v>
      </c>
      <c r="R838" s="46"/>
    </row>
    <row r="839" spans="1:18">
      <c r="A839" s="33" t="s">
        <v>5103</v>
      </c>
      <c r="B839" s="54" t="s">
        <v>7800</v>
      </c>
      <c r="C839" s="55">
        <v>43161</v>
      </c>
      <c r="D839" s="47" t="s">
        <v>8465</v>
      </c>
      <c r="E839" s="40" t="s">
        <v>5104</v>
      </c>
      <c r="F839" s="40" t="s">
        <v>5104</v>
      </c>
      <c r="G839" s="56"/>
      <c r="H839" s="67" t="s">
        <v>64</v>
      </c>
      <c r="J839" s="43"/>
      <c r="K839" s="63">
        <v>0.6</v>
      </c>
      <c r="L839" s="40">
        <v>838</v>
      </c>
      <c r="M839" s="55">
        <v>43450</v>
      </c>
      <c r="N839" s="57">
        <f>35/60</f>
        <v>0.58333333333333337</v>
      </c>
      <c r="O839" s="18">
        <v>0</v>
      </c>
      <c r="P839" s="18">
        <v>0</v>
      </c>
      <c r="Q839" s="63">
        <v>0.84630000000000005</v>
      </c>
      <c r="R839" s="46"/>
    </row>
    <row r="840" spans="1:18" ht="25.5">
      <c r="A840" s="33" t="s">
        <v>1626</v>
      </c>
      <c r="B840" s="54" t="s">
        <v>7744</v>
      </c>
      <c r="C840" s="55">
        <v>42976</v>
      </c>
      <c r="D840" s="47" t="s">
        <v>8465</v>
      </c>
      <c r="E840" s="40" t="s">
        <v>1047</v>
      </c>
      <c r="F840" s="40" t="s">
        <v>1539</v>
      </c>
      <c r="G840" s="56" t="s">
        <v>137</v>
      </c>
      <c r="H840" s="67" t="s">
        <v>75</v>
      </c>
      <c r="J840" s="43"/>
      <c r="K840" s="63">
        <v>0.7</v>
      </c>
      <c r="L840" s="40">
        <v>839</v>
      </c>
      <c r="M840" s="55">
        <v>43458</v>
      </c>
      <c r="N840" s="57"/>
      <c r="O840" s="18">
        <v>0</v>
      </c>
      <c r="P840" s="18">
        <v>0</v>
      </c>
      <c r="Q840" s="63"/>
      <c r="R840" s="46"/>
    </row>
    <row r="841" spans="1:18">
      <c r="A841" s="33" t="s">
        <v>4762</v>
      </c>
      <c r="B841" s="54" t="s">
        <v>7800</v>
      </c>
      <c r="C841" s="55">
        <v>42941</v>
      </c>
      <c r="D841" s="47" t="s">
        <v>8465</v>
      </c>
      <c r="E841" s="40" t="s">
        <v>3261</v>
      </c>
      <c r="F841" s="40" t="s">
        <v>3261</v>
      </c>
      <c r="G841" s="56"/>
      <c r="H841" s="67" t="s">
        <v>171</v>
      </c>
      <c r="J841" s="43"/>
      <c r="K841" s="63">
        <v>0.8</v>
      </c>
      <c r="L841" s="40">
        <v>840</v>
      </c>
      <c r="M841" s="55">
        <v>43470</v>
      </c>
      <c r="N841" s="57">
        <f>12+10/60</f>
        <v>12.166666666666666</v>
      </c>
      <c r="O841" s="18">
        <v>0</v>
      </c>
      <c r="P841" s="18">
        <v>0</v>
      </c>
      <c r="Q841" s="63">
        <v>0.79390000000000005</v>
      </c>
      <c r="R841" s="46"/>
    </row>
    <row r="842" spans="1:18">
      <c r="A842" s="33" t="s">
        <v>7299</v>
      </c>
      <c r="B842" s="54" t="s">
        <v>7783</v>
      </c>
      <c r="C842" s="55">
        <v>43145</v>
      </c>
      <c r="D842" s="47" t="s">
        <v>8465</v>
      </c>
      <c r="E842" s="40" t="s">
        <v>7300</v>
      </c>
      <c r="F842" s="40" t="s">
        <v>7301</v>
      </c>
      <c r="G842" s="56"/>
      <c r="H842" s="67" t="s">
        <v>1057</v>
      </c>
      <c r="J842" s="43"/>
      <c r="K842" s="63">
        <v>0.8</v>
      </c>
      <c r="L842" s="40">
        <v>841</v>
      </c>
      <c r="M842" s="55">
        <v>43473</v>
      </c>
      <c r="N842" s="57"/>
      <c r="O842" s="18">
        <v>0</v>
      </c>
      <c r="P842" s="18">
        <v>0</v>
      </c>
      <c r="Q842" s="63">
        <v>0.83</v>
      </c>
      <c r="R842" s="46"/>
    </row>
    <row r="843" spans="1:18" ht="38.25">
      <c r="A843" s="33" t="s">
        <v>2383</v>
      </c>
      <c r="B843" s="54" t="s">
        <v>7749</v>
      </c>
      <c r="C843" s="55">
        <v>43014</v>
      </c>
      <c r="D843" s="47" t="s">
        <v>8465</v>
      </c>
      <c r="E843" s="40" t="s">
        <v>86</v>
      </c>
      <c r="F843" s="40" t="s">
        <v>1892</v>
      </c>
      <c r="G843" s="56" t="s">
        <v>1893</v>
      </c>
      <c r="H843" s="67" t="s">
        <v>149</v>
      </c>
      <c r="J843" s="43"/>
      <c r="K843" s="63">
        <v>0.8</v>
      </c>
      <c r="L843" s="40">
        <v>842</v>
      </c>
      <c r="M843" s="55">
        <v>43476</v>
      </c>
      <c r="N843" s="57">
        <f>16+18/60</f>
        <v>16.3</v>
      </c>
      <c r="O843" s="18">
        <v>0</v>
      </c>
      <c r="P843" s="18">
        <v>0</v>
      </c>
      <c r="Q843" s="63">
        <v>0.81630000000000003</v>
      </c>
      <c r="R843" s="46"/>
    </row>
    <row r="844" spans="1:18" ht="25.5">
      <c r="A844" s="33" t="s">
        <v>2389</v>
      </c>
      <c r="B844" s="54" t="s">
        <v>7749</v>
      </c>
      <c r="C844" s="55">
        <v>41224</v>
      </c>
      <c r="D844" s="47" t="s">
        <v>8465</v>
      </c>
      <c r="E844" s="40" t="s">
        <v>86</v>
      </c>
      <c r="F844" s="40" t="s">
        <v>1069</v>
      </c>
      <c r="G844" s="56" t="s">
        <v>880</v>
      </c>
      <c r="H844" s="67" t="s">
        <v>149</v>
      </c>
      <c r="J844" s="43"/>
      <c r="K844" s="63">
        <v>0.5</v>
      </c>
      <c r="L844" s="40">
        <v>843</v>
      </c>
      <c r="M844" s="55">
        <v>43484</v>
      </c>
      <c r="N844" s="57">
        <f>13+35/60</f>
        <v>13.583333333333334</v>
      </c>
      <c r="O844" s="18">
        <v>0</v>
      </c>
      <c r="P844" s="18">
        <v>0</v>
      </c>
      <c r="Q844" s="63">
        <v>0.75970000000000004</v>
      </c>
      <c r="R844" s="46"/>
    </row>
    <row r="845" spans="1:18">
      <c r="A845" s="33" t="s">
        <v>1264</v>
      </c>
      <c r="B845" s="54" t="s">
        <v>7760</v>
      </c>
      <c r="C845" s="55">
        <v>43350</v>
      </c>
      <c r="D845" s="47" t="s">
        <v>8465</v>
      </c>
      <c r="E845" s="40" t="s">
        <v>6107</v>
      </c>
      <c r="F845" s="40" t="s">
        <v>3039</v>
      </c>
      <c r="G845" s="56" t="s">
        <v>1264</v>
      </c>
      <c r="H845" s="67" t="s">
        <v>80</v>
      </c>
      <c r="J845" s="43"/>
      <c r="K845" s="63">
        <v>0.9</v>
      </c>
      <c r="L845" s="40">
        <v>844</v>
      </c>
      <c r="M845" s="55">
        <v>43485</v>
      </c>
      <c r="N845" s="57">
        <v>11</v>
      </c>
      <c r="O845" s="18">
        <v>0</v>
      </c>
      <c r="P845" s="18">
        <v>0</v>
      </c>
      <c r="Q845" s="63">
        <v>0.89400000000000002</v>
      </c>
      <c r="R845" s="46"/>
    </row>
    <row r="846" spans="1:18">
      <c r="A846" s="33" t="s">
        <v>6519</v>
      </c>
      <c r="B846" s="54" t="s">
        <v>7766</v>
      </c>
      <c r="C846" s="55">
        <v>42654</v>
      </c>
      <c r="D846" s="47" t="s">
        <v>8465</v>
      </c>
      <c r="E846" s="40" t="s">
        <v>3116</v>
      </c>
      <c r="F846" s="40" t="s">
        <v>6520</v>
      </c>
      <c r="G846" s="56" t="s">
        <v>6303</v>
      </c>
      <c r="H846" s="67" t="s">
        <v>1168</v>
      </c>
      <c r="J846" s="43"/>
      <c r="K846" s="63">
        <v>0.7</v>
      </c>
      <c r="L846" s="40">
        <v>845</v>
      </c>
      <c r="M846" s="55">
        <v>43496</v>
      </c>
      <c r="N846" s="57">
        <f>6+56/60</f>
        <v>6.9333333333333336</v>
      </c>
      <c r="O846" s="18">
        <v>0</v>
      </c>
      <c r="P846" s="18">
        <v>0</v>
      </c>
      <c r="Q846" s="63">
        <v>0.85319999999999996</v>
      </c>
      <c r="R846" s="46"/>
    </row>
    <row r="847" spans="1:18">
      <c r="A847" s="33" t="s">
        <v>4812</v>
      </c>
      <c r="B847" s="54" t="s">
        <v>7766</v>
      </c>
      <c r="C847" s="55">
        <v>42458</v>
      </c>
      <c r="D847" s="47" t="s">
        <v>8465</v>
      </c>
      <c r="E847" s="40" t="s">
        <v>73</v>
      </c>
      <c r="F847" s="40" t="s">
        <v>73</v>
      </c>
      <c r="G847" s="56" t="s">
        <v>943</v>
      </c>
      <c r="H847" s="67" t="s">
        <v>1168</v>
      </c>
      <c r="J847" s="43"/>
      <c r="K847" s="63">
        <v>0.5</v>
      </c>
      <c r="L847" s="40">
        <v>846</v>
      </c>
      <c r="M847" s="55">
        <v>43498</v>
      </c>
      <c r="N847" s="57">
        <f>18+31/60+26/3600</f>
        <v>18.523888888888887</v>
      </c>
      <c r="O847" s="18">
        <v>0</v>
      </c>
      <c r="P847" s="18">
        <v>0</v>
      </c>
      <c r="Q847" s="63">
        <v>0.63329999999999997</v>
      </c>
      <c r="R847" s="46"/>
    </row>
    <row r="848" spans="1:18">
      <c r="A848" s="33" t="s">
        <v>6007</v>
      </c>
      <c r="B848" s="54" t="s">
        <v>7759</v>
      </c>
      <c r="C848" s="55">
        <v>39035</v>
      </c>
      <c r="D848" s="47" t="s">
        <v>8465</v>
      </c>
      <c r="E848" s="40" t="s">
        <v>2908</v>
      </c>
      <c r="F848" s="40" t="s">
        <v>3039</v>
      </c>
      <c r="G848" s="56" t="s">
        <v>6005</v>
      </c>
      <c r="H848" s="67" t="s">
        <v>1050</v>
      </c>
      <c r="J848" s="43"/>
      <c r="K848" s="63">
        <v>0.7</v>
      </c>
      <c r="L848" s="40">
        <v>847</v>
      </c>
      <c r="M848" s="55">
        <v>43523</v>
      </c>
      <c r="N848" s="57"/>
      <c r="O848" s="18">
        <v>0</v>
      </c>
      <c r="P848" s="18">
        <v>0</v>
      </c>
      <c r="Q848" s="63">
        <v>0.86699999999999999</v>
      </c>
      <c r="R848" s="46"/>
    </row>
    <row r="849" spans="1:18">
      <c r="A849" s="33" t="s">
        <v>5921</v>
      </c>
      <c r="B849" s="54" t="s">
        <v>7765</v>
      </c>
      <c r="C849" s="55">
        <v>39513</v>
      </c>
      <c r="D849" s="47" t="s">
        <v>8465</v>
      </c>
      <c r="E849" s="40" t="s">
        <v>231</v>
      </c>
      <c r="F849" s="40" t="s">
        <v>5920</v>
      </c>
      <c r="G849" s="56" t="s">
        <v>5921</v>
      </c>
      <c r="H849" s="67" t="s">
        <v>1168</v>
      </c>
      <c r="J849" s="43"/>
      <c r="K849" s="63">
        <v>0.6</v>
      </c>
      <c r="L849" s="40">
        <v>848</v>
      </c>
      <c r="M849" s="55">
        <v>43533</v>
      </c>
      <c r="N849" s="57"/>
      <c r="O849" s="18">
        <v>0</v>
      </c>
      <c r="P849" s="18">
        <v>0</v>
      </c>
      <c r="Q849" s="63">
        <v>0.74560000000000004</v>
      </c>
      <c r="R849" s="46"/>
    </row>
    <row r="850" spans="1:18">
      <c r="A850" s="33" t="s">
        <v>883</v>
      </c>
      <c r="B850" s="54" t="s">
        <v>7760</v>
      </c>
      <c r="C850" s="55">
        <v>43490</v>
      </c>
      <c r="D850" s="47" t="s">
        <v>8465</v>
      </c>
      <c r="E850" s="40" t="s">
        <v>73</v>
      </c>
      <c r="F850" s="40" t="s">
        <v>6157</v>
      </c>
      <c r="G850" s="56" t="s">
        <v>943</v>
      </c>
      <c r="H850" s="67" t="s">
        <v>1061</v>
      </c>
      <c r="J850" s="43"/>
      <c r="K850" s="63">
        <v>0.8</v>
      </c>
      <c r="L850" s="40">
        <v>849</v>
      </c>
      <c r="M850" s="55">
        <v>43558</v>
      </c>
      <c r="N850" s="57">
        <f>5+38/60+12/3600+6+26/60+12/3600</f>
        <v>12.073333333333334</v>
      </c>
      <c r="O850" s="18">
        <v>0</v>
      </c>
      <c r="P850" s="18">
        <v>0</v>
      </c>
      <c r="Q850" s="63">
        <v>0.92390000000000005</v>
      </c>
      <c r="R850" s="46"/>
    </row>
    <row r="851" spans="1:18" ht="25.5">
      <c r="A851" s="33" t="s">
        <v>1641</v>
      </c>
      <c r="B851" s="54" t="s">
        <v>7744</v>
      </c>
      <c r="C851" s="55">
        <v>43420</v>
      </c>
      <c r="D851" s="47" t="s">
        <v>8465</v>
      </c>
      <c r="E851" s="40" t="s">
        <v>86</v>
      </c>
      <c r="F851" s="40" t="s">
        <v>1354</v>
      </c>
      <c r="G851" s="56" t="s">
        <v>1470</v>
      </c>
      <c r="H851" s="67" t="s">
        <v>149</v>
      </c>
      <c r="J851" s="43"/>
      <c r="K851" s="63">
        <v>0.8</v>
      </c>
      <c r="L851" s="40">
        <v>850</v>
      </c>
      <c r="M851" s="55">
        <v>43575</v>
      </c>
      <c r="N851" s="57">
        <f>19+59/60</f>
        <v>19.983333333333334</v>
      </c>
      <c r="O851" s="18">
        <v>0</v>
      </c>
      <c r="P851" s="18">
        <v>0</v>
      </c>
      <c r="Q851" s="63">
        <v>0.77490000000000003</v>
      </c>
      <c r="R851" s="46"/>
    </row>
    <row r="852" spans="1:18" ht="25.5">
      <c r="A852" s="33" t="s">
        <v>1722</v>
      </c>
      <c r="B852" s="55" t="s">
        <v>7744</v>
      </c>
      <c r="C852" s="55">
        <v>43280</v>
      </c>
      <c r="D852" s="47" t="s">
        <v>8465</v>
      </c>
      <c r="E852" s="40" t="s">
        <v>1690</v>
      </c>
      <c r="F852" s="40" t="s">
        <v>1723</v>
      </c>
      <c r="G852" s="56" t="s">
        <v>1724</v>
      </c>
      <c r="H852" s="67" t="s">
        <v>1050</v>
      </c>
      <c r="J852" s="43"/>
      <c r="K852" s="63">
        <v>0.8</v>
      </c>
      <c r="L852" s="40">
        <v>851</v>
      </c>
      <c r="M852" s="55">
        <v>43580</v>
      </c>
      <c r="N852" s="57"/>
      <c r="O852" s="18">
        <v>0</v>
      </c>
      <c r="P852" s="18">
        <v>0</v>
      </c>
      <c r="Q852" s="63">
        <v>0.78300000000000003</v>
      </c>
      <c r="R852" s="46"/>
    </row>
    <row r="853" spans="1:18" ht="25.5">
      <c r="A853" s="33" t="s">
        <v>1689</v>
      </c>
      <c r="B853" s="54" t="s">
        <v>7744</v>
      </c>
      <c r="C853" s="55">
        <v>43056</v>
      </c>
      <c r="D853" s="47" t="s">
        <v>8465</v>
      </c>
      <c r="E853" s="40" t="s">
        <v>1690</v>
      </c>
      <c r="F853" s="40" t="s">
        <v>1691</v>
      </c>
      <c r="G853" s="56" t="s">
        <v>1207</v>
      </c>
      <c r="H853" s="65" t="s">
        <v>171</v>
      </c>
      <c r="J853" s="43"/>
      <c r="K853" s="63">
        <v>0.8</v>
      </c>
      <c r="L853" s="40">
        <v>852</v>
      </c>
      <c r="M853" s="55">
        <v>43597</v>
      </c>
      <c r="N853" s="57">
        <f>22+36/60+7/3600</f>
        <v>22.601944444444445</v>
      </c>
      <c r="O853" s="18">
        <v>0</v>
      </c>
      <c r="P853" s="18">
        <v>0</v>
      </c>
      <c r="Q853" s="63">
        <v>0.85270000000000001</v>
      </c>
      <c r="R853" s="46"/>
    </row>
    <row r="854" spans="1:18">
      <c r="A854" s="33" t="s">
        <v>1729</v>
      </c>
      <c r="B854" s="54" t="s">
        <v>7744</v>
      </c>
      <c r="C854" s="55">
        <v>43553</v>
      </c>
      <c r="D854" s="47" t="s">
        <v>8465</v>
      </c>
      <c r="E854" s="40" t="s">
        <v>86</v>
      </c>
      <c r="F854" s="40" t="s">
        <v>1172</v>
      </c>
      <c r="G854" s="56" t="s">
        <v>1173</v>
      </c>
      <c r="H854" s="67" t="s">
        <v>64</v>
      </c>
      <c r="J854" s="43"/>
      <c r="K854" s="63">
        <v>0.8</v>
      </c>
      <c r="L854" s="40">
        <v>853</v>
      </c>
      <c r="M854" s="55">
        <v>43600</v>
      </c>
      <c r="N854" s="57"/>
      <c r="O854" s="18">
        <v>0</v>
      </c>
      <c r="P854" s="18">
        <v>0</v>
      </c>
      <c r="Q854" s="63">
        <v>0.79920000000000002</v>
      </c>
      <c r="R854" s="46"/>
    </row>
    <row r="855" spans="1:18">
      <c r="A855" s="33" t="s">
        <v>7357</v>
      </c>
      <c r="B855" s="54" t="s">
        <v>7783</v>
      </c>
      <c r="C855" s="55">
        <v>43125</v>
      </c>
      <c r="D855" s="47" t="s">
        <v>8465</v>
      </c>
      <c r="E855" s="40" t="s">
        <v>7354</v>
      </c>
      <c r="F855" s="40" t="s">
        <v>7354</v>
      </c>
      <c r="G855" s="56" t="s">
        <v>7353</v>
      </c>
      <c r="H855" s="67" t="s">
        <v>78</v>
      </c>
      <c r="J855" s="43"/>
      <c r="K855" s="63">
        <v>0.8</v>
      </c>
      <c r="L855" s="40">
        <v>854</v>
      </c>
      <c r="M855" s="55">
        <v>43601</v>
      </c>
      <c r="N855" s="57">
        <f>3+43/60</f>
        <v>3.7166666666666668</v>
      </c>
      <c r="O855" s="18">
        <v>0</v>
      </c>
      <c r="P855" s="18">
        <v>0</v>
      </c>
      <c r="Q855" s="63">
        <v>0.87080000000000002</v>
      </c>
      <c r="R855" s="46"/>
    </row>
    <row r="856" spans="1:18">
      <c r="A856" s="33" t="s">
        <v>3046</v>
      </c>
      <c r="B856" s="54" t="s">
        <v>7800</v>
      </c>
      <c r="C856" s="55">
        <v>42962</v>
      </c>
      <c r="D856" s="47" t="s">
        <v>8465</v>
      </c>
      <c r="E856" s="40" t="s">
        <v>3047</v>
      </c>
      <c r="F856" s="40" t="s">
        <v>3048</v>
      </c>
      <c r="G856" s="56"/>
      <c r="H856" s="67" t="s">
        <v>1061</v>
      </c>
      <c r="J856" s="43"/>
      <c r="K856" s="63">
        <v>0.7</v>
      </c>
      <c r="L856" s="40">
        <v>855</v>
      </c>
      <c r="M856" s="55">
        <v>43607</v>
      </c>
      <c r="N856" s="57">
        <f>5+25/60</f>
        <v>5.416666666666667</v>
      </c>
      <c r="O856" s="18">
        <v>0</v>
      </c>
      <c r="P856" s="18">
        <v>0</v>
      </c>
      <c r="Q856" s="63">
        <v>0.82740000000000002</v>
      </c>
      <c r="R856" s="46"/>
    </row>
    <row r="857" spans="1:18">
      <c r="A857" s="33" t="s">
        <v>3871</v>
      </c>
      <c r="B857" s="54" t="s">
        <v>7800</v>
      </c>
      <c r="C857" s="55">
        <v>43186</v>
      </c>
      <c r="D857" s="47" t="s">
        <v>8465</v>
      </c>
      <c r="E857" s="40" t="s">
        <v>1047</v>
      </c>
      <c r="F857" s="40" t="s">
        <v>1048</v>
      </c>
      <c r="G857" s="56" t="s">
        <v>1049</v>
      </c>
      <c r="H857" s="67" t="s">
        <v>1050</v>
      </c>
      <c r="J857" s="43"/>
      <c r="K857" s="63">
        <v>0.8</v>
      </c>
      <c r="L857" s="40">
        <v>856</v>
      </c>
      <c r="M857" s="55">
        <v>43638</v>
      </c>
      <c r="N857" s="57">
        <f>19+25/60</f>
        <v>19.416666666666668</v>
      </c>
      <c r="O857" s="18">
        <v>0</v>
      </c>
      <c r="P857" s="18">
        <v>0</v>
      </c>
      <c r="Q857" s="63">
        <v>0.84440000000000004</v>
      </c>
      <c r="R857" s="46"/>
    </row>
    <row r="858" spans="1:18">
      <c r="A858" s="33" t="s">
        <v>6989</v>
      </c>
      <c r="B858" s="54" t="s">
        <v>7800</v>
      </c>
      <c r="C858" s="55">
        <v>43511</v>
      </c>
      <c r="D858" s="47" t="s">
        <v>8465</v>
      </c>
      <c r="E858" s="40" t="s">
        <v>1047</v>
      </c>
      <c r="F858" s="40" t="s">
        <v>1048</v>
      </c>
      <c r="G858" s="56" t="s">
        <v>1049</v>
      </c>
      <c r="H858" s="67" t="s">
        <v>1050</v>
      </c>
      <c r="J858" s="43"/>
      <c r="K858" s="63">
        <v>0.7</v>
      </c>
      <c r="L858" s="40">
        <v>857</v>
      </c>
      <c r="M858" s="55">
        <v>43643</v>
      </c>
      <c r="N858" s="57">
        <f>7+40/60</f>
        <v>7.666666666666667</v>
      </c>
      <c r="O858" s="18">
        <v>0</v>
      </c>
      <c r="P858" s="18">
        <v>0</v>
      </c>
      <c r="Q858" s="63">
        <v>0.78120000000000001</v>
      </c>
      <c r="R858" s="46"/>
    </row>
    <row r="859" spans="1:18" ht="25.5">
      <c r="A859" s="33" t="s">
        <v>4814</v>
      </c>
      <c r="B859" s="54" t="s">
        <v>7766</v>
      </c>
      <c r="C859" s="55">
        <v>42083</v>
      </c>
      <c r="D859" s="47" t="s">
        <v>8465</v>
      </c>
      <c r="E859" s="40" t="s">
        <v>73</v>
      </c>
      <c r="F859" s="40" t="s">
        <v>73</v>
      </c>
      <c r="G859" s="56" t="s">
        <v>943</v>
      </c>
      <c r="H859" s="67" t="s">
        <v>1168</v>
      </c>
      <c r="J859" s="43"/>
      <c r="K859" s="63">
        <v>0.8</v>
      </c>
      <c r="L859" s="40">
        <v>858</v>
      </c>
      <c r="M859" s="55">
        <v>43653</v>
      </c>
      <c r="N859" s="57">
        <f>5+51/60+47/3600</f>
        <v>5.8630555555555555</v>
      </c>
      <c r="O859" s="18">
        <v>0</v>
      </c>
      <c r="P859" s="18">
        <v>0</v>
      </c>
      <c r="Q859" s="63">
        <v>0.75219999999999998</v>
      </c>
      <c r="R859" s="46"/>
    </row>
    <row r="860" spans="1:18" ht="51">
      <c r="A860" s="33" t="s">
        <v>4677</v>
      </c>
      <c r="B860" s="40" t="s">
        <v>7800</v>
      </c>
      <c r="C860" s="47">
        <v>39750</v>
      </c>
      <c r="D860" s="47" t="s">
        <v>8465</v>
      </c>
      <c r="E860" s="40" t="s">
        <v>3612</v>
      </c>
      <c r="F860" s="40" t="s">
        <v>3612</v>
      </c>
      <c r="G860" s="42" t="s">
        <v>4679</v>
      </c>
      <c r="H860" s="65" t="s">
        <v>149</v>
      </c>
      <c r="J860" s="43"/>
      <c r="K860" s="61">
        <v>0.7</v>
      </c>
      <c r="L860" s="40">
        <v>859</v>
      </c>
      <c r="M860" s="44">
        <v>41552</v>
      </c>
      <c r="N860" s="45">
        <f>5+49/60</f>
        <v>5.8166666666666664</v>
      </c>
      <c r="O860" s="18">
        <v>0</v>
      </c>
      <c r="P860" s="18">
        <v>0</v>
      </c>
      <c r="Q860" s="61">
        <v>0.81289999999999996</v>
      </c>
      <c r="R860" s="46"/>
    </row>
    <row r="861" spans="1:18" ht="25.5">
      <c r="A861" s="33" t="s">
        <v>5919</v>
      </c>
      <c r="B861" s="54" t="s">
        <v>7759</v>
      </c>
      <c r="C861" s="55">
        <v>40190</v>
      </c>
      <c r="D861" s="47" t="s">
        <v>8465</v>
      </c>
      <c r="E861" s="40" t="s">
        <v>231</v>
      </c>
      <c r="F861" s="40" t="s">
        <v>5920</v>
      </c>
      <c r="G861" s="56" t="s">
        <v>5921</v>
      </c>
      <c r="H861" s="67" t="s">
        <v>1168</v>
      </c>
      <c r="J861" s="43"/>
      <c r="K861" s="63">
        <v>0.5</v>
      </c>
      <c r="L861" s="40">
        <v>860</v>
      </c>
      <c r="M861" s="55">
        <v>43653</v>
      </c>
      <c r="N861" s="57">
        <f>4+36/60+8/3600</f>
        <v>4.6022222222222222</v>
      </c>
      <c r="O861" s="18">
        <v>0</v>
      </c>
      <c r="P861" s="18">
        <v>0</v>
      </c>
      <c r="Q861" s="63">
        <v>0.72389999999999999</v>
      </c>
      <c r="R861" s="46"/>
    </row>
    <row r="862" spans="1:18">
      <c r="A862" s="33" t="s">
        <v>3872</v>
      </c>
      <c r="B862" s="54" t="s">
        <v>7800</v>
      </c>
      <c r="C862" s="55">
        <v>42430</v>
      </c>
      <c r="D862" s="47" t="s">
        <v>8465</v>
      </c>
      <c r="E862" s="40" t="s">
        <v>1047</v>
      </c>
      <c r="F862" s="40" t="s">
        <v>1048</v>
      </c>
      <c r="G862" s="56" t="s">
        <v>1049</v>
      </c>
      <c r="H862" s="67" t="s">
        <v>1050</v>
      </c>
      <c r="J862" s="43"/>
      <c r="K862" s="63">
        <v>0.6</v>
      </c>
      <c r="L862" s="40">
        <v>861</v>
      </c>
      <c r="M862" s="55">
        <v>43654</v>
      </c>
      <c r="N862" s="57">
        <f>6+9/60</f>
        <v>6.15</v>
      </c>
      <c r="O862" s="18">
        <v>0</v>
      </c>
      <c r="P862" s="18">
        <v>0</v>
      </c>
      <c r="Q862" s="63">
        <v>0.71619999999999995</v>
      </c>
      <c r="R862" s="46"/>
    </row>
    <row r="863" spans="1:18" ht="25.5">
      <c r="A863" s="33" t="s">
        <v>3226</v>
      </c>
      <c r="B863" s="54" t="s">
        <v>7800</v>
      </c>
      <c r="C863" s="55">
        <v>40876</v>
      </c>
      <c r="D863" s="47" t="s">
        <v>8465</v>
      </c>
      <c r="E863" s="40" t="s">
        <v>1047</v>
      </c>
      <c r="F863" s="40" t="s">
        <v>1048</v>
      </c>
      <c r="G863" s="56" t="s">
        <v>1563</v>
      </c>
      <c r="H863" s="67" t="s">
        <v>80</v>
      </c>
      <c r="J863" s="43"/>
      <c r="K863" s="63">
        <v>0.7</v>
      </c>
      <c r="L863" s="40">
        <v>862</v>
      </c>
      <c r="M863" s="55">
        <v>43666</v>
      </c>
      <c r="N863" s="57">
        <f>10+33/60</f>
        <v>10.55</v>
      </c>
      <c r="O863" s="18">
        <v>0</v>
      </c>
      <c r="P863" s="18">
        <v>0</v>
      </c>
      <c r="Q863" s="63">
        <v>0.74670000000000003</v>
      </c>
      <c r="R863" s="46"/>
    </row>
    <row r="864" spans="1:18" ht="25.5">
      <c r="A864" s="33" t="s">
        <v>6987</v>
      </c>
      <c r="B864" s="54" t="s">
        <v>7800</v>
      </c>
      <c r="C864" s="55">
        <v>41654</v>
      </c>
      <c r="D864" s="47" t="s">
        <v>8465</v>
      </c>
      <c r="E864" s="40" t="s">
        <v>1047</v>
      </c>
      <c r="F864" s="40" t="s">
        <v>2473</v>
      </c>
      <c r="G864" s="56" t="s">
        <v>1563</v>
      </c>
      <c r="H864" s="67" t="s">
        <v>80</v>
      </c>
      <c r="J864" s="43"/>
      <c r="K864" s="63">
        <v>0.5</v>
      </c>
      <c r="L864" s="40">
        <v>863</v>
      </c>
      <c r="M864" s="55">
        <v>43667</v>
      </c>
      <c r="N864" s="57">
        <f>5+11/60+17/3600</f>
        <v>5.1880555555555556</v>
      </c>
      <c r="O864" s="18">
        <v>0</v>
      </c>
      <c r="P864" s="18">
        <v>0</v>
      </c>
      <c r="Q864" s="63">
        <v>0.65600000000000003</v>
      </c>
      <c r="R864" s="46"/>
    </row>
    <row r="865" spans="1:18" ht="25.5">
      <c r="A865" s="33" t="s">
        <v>5922</v>
      </c>
      <c r="B865" s="54" t="s">
        <v>7759</v>
      </c>
      <c r="C865" s="55">
        <v>41359</v>
      </c>
      <c r="D865" s="47" t="s">
        <v>8465</v>
      </c>
      <c r="E865" s="40" t="s">
        <v>231</v>
      </c>
      <c r="F865" s="40" t="s">
        <v>5920</v>
      </c>
      <c r="G865" s="56" t="s">
        <v>5921</v>
      </c>
      <c r="H865" s="67" t="s">
        <v>1168</v>
      </c>
      <c r="J865" s="43"/>
      <c r="K865" s="63">
        <v>0.6</v>
      </c>
      <c r="L865" s="40">
        <v>864</v>
      </c>
      <c r="M865" s="55">
        <v>43667</v>
      </c>
      <c r="N865" s="57"/>
      <c r="O865" s="18">
        <v>0</v>
      </c>
      <c r="P865" s="18">
        <v>0</v>
      </c>
      <c r="Q865" s="63">
        <v>0.5625</v>
      </c>
      <c r="R865" s="46"/>
    </row>
    <row r="866" spans="1:18" ht="25.5">
      <c r="A866" s="33" t="s">
        <v>3225</v>
      </c>
      <c r="B866" s="54" t="s">
        <v>7800</v>
      </c>
      <c r="C866" s="55">
        <v>41695</v>
      </c>
      <c r="D866" s="47" t="s">
        <v>8465</v>
      </c>
      <c r="E866" s="40" t="s">
        <v>1047</v>
      </c>
      <c r="F866" s="40" t="s">
        <v>1048</v>
      </c>
      <c r="G866" s="56" t="s">
        <v>1563</v>
      </c>
      <c r="H866" s="67" t="s">
        <v>80</v>
      </c>
      <c r="J866" s="43"/>
      <c r="K866" s="63">
        <v>0.7</v>
      </c>
      <c r="L866" s="40">
        <v>865</v>
      </c>
      <c r="M866" s="55">
        <v>43668</v>
      </c>
      <c r="N866" s="57">
        <f>4+15/60</f>
        <v>4.25</v>
      </c>
      <c r="O866" s="18">
        <v>0</v>
      </c>
      <c r="P866" s="18">
        <v>0</v>
      </c>
      <c r="Q866" s="63">
        <v>0.69330000000000003</v>
      </c>
      <c r="R866" s="46"/>
    </row>
    <row r="867" spans="1:18" ht="25.5">
      <c r="A867" s="33" t="s">
        <v>2125</v>
      </c>
      <c r="B867" s="54" t="s">
        <v>7748</v>
      </c>
      <c r="C867" s="55">
        <v>39483</v>
      </c>
      <c r="D867" s="47" t="s">
        <v>8465</v>
      </c>
      <c r="E867" s="40" t="s">
        <v>1047</v>
      </c>
      <c r="F867" s="40" t="s">
        <v>2142</v>
      </c>
      <c r="G867" s="56" t="s">
        <v>1563</v>
      </c>
      <c r="H867" s="67" t="s">
        <v>80</v>
      </c>
      <c r="J867" s="43"/>
      <c r="K867" s="63">
        <v>0.3</v>
      </c>
      <c r="L867" s="40">
        <v>866</v>
      </c>
      <c r="M867" s="55">
        <v>43676</v>
      </c>
      <c r="N867" s="57"/>
      <c r="O867" s="18">
        <v>0</v>
      </c>
      <c r="P867" s="18">
        <v>0</v>
      </c>
      <c r="Q867" s="63">
        <v>0.57999999999999996</v>
      </c>
      <c r="R867" s="46"/>
    </row>
    <row r="868" spans="1:18">
      <c r="A868" s="33" t="s">
        <v>3222</v>
      </c>
      <c r="B868" s="54" t="s">
        <v>7800</v>
      </c>
      <c r="C868" s="55">
        <v>42073</v>
      </c>
      <c r="D868" s="47" t="s">
        <v>8465</v>
      </c>
      <c r="E868" s="40" t="s">
        <v>1047</v>
      </c>
      <c r="F868" s="40" t="s">
        <v>2473</v>
      </c>
      <c r="G868" s="56" t="s">
        <v>1563</v>
      </c>
      <c r="H868" s="67" t="s">
        <v>80</v>
      </c>
      <c r="J868" s="43"/>
      <c r="K868" s="63">
        <v>0.7</v>
      </c>
      <c r="L868" s="40">
        <v>867</v>
      </c>
      <c r="M868" s="55">
        <v>43677</v>
      </c>
      <c r="N868" s="57">
        <f>8+36/60</f>
        <v>8.6</v>
      </c>
      <c r="O868" s="18">
        <v>0</v>
      </c>
      <c r="P868" s="18">
        <v>0</v>
      </c>
      <c r="Q868" s="63">
        <v>0.69750000000000001</v>
      </c>
      <c r="R868" s="46"/>
    </row>
    <row r="869" spans="1:18" ht="25.5">
      <c r="A869" s="33" t="s">
        <v>2126</v>
      </c>
      <c r="B869" s="54" t="s">
        <v>7748</v>
      </c>
      <c r="C869" s="55">
        <v>40134</v>
      </c>
      <c r="D869" s="47" t="s">
        <v>8465</v>
      </c>
      <c r="E869" s="40" t="s">
        <v>1047</v>
      </c>
      <c r="F869" s="40" t="s">
        <v>2143</v>
      </c>
      <c r="G869" s="56" t="s">
        <v>1563</v>
      </c>
      <c r="H869" s="67" t="s">
        <v>80</v>
      </c>
      <c r="J869" s="43"/>
      <c r="K869" s="63">
        <v>0.5</v>
      </c>
      <c r="L869" s="40">
        <v>868</v>
      </c>
      <c r="M869" s="55">
        <v>43678</v>
      </c>
      <c r="N869" s="57"/>
      <c r="O869" s="18">
        <v>0</v>
      </c>
      <c r="P869" s="18">
        <v>0</v>
      </c>
      <c r="Q869" s="63">
        <v>0.71450000000000002</v>
      </c>
      <c r="R869" s="46"/>
    </row>
    <row r="870" spans="1:18" ht="25.5">
      <c r="A870" s="33" t="s">
        <v>7274</v>
      </c>
      <c r="B870" s="54" t="s">
        <v>7783</v>
      </c>
      <c r="C870" s="55">
        <v>42425</v>
      </c>
      <c r="D870" s="47" t="s">
        <v>8465</v>
      </c>
      <c r="E870" s="40" t="s">
        <v>1047</v>
      </c>
      <c r="F870" s="40" t="s">
        <v>7275</v>
      </c>
      <c r="G870" s="56" t="s">
        <v>1563</v>
      </c>
      <c r="H870" s="67" t="s">
        <v>171</v>
      </c>
      <c r="J870" s="43"/>
      <c r="K870" s="63">
        <v>0.4</v>
      </c>
      <c r="L870" s="40">
        <v>869</v>
      </c>
      <c r="M870" s="55">
        <v>43678</v>
      </c>
      <c r="N870" s="57"/>
      <c r="O870" s="18">
        <v>0</v>
      </c>
      <c r="P870" s="18">
        <v>0</v>
      </c>
      <c r="Q870" s="63">
        <v>0.74</v>
      </c>
      <c r="R870" s="46"/>
    </row>
    <row r="871" spans="1:18">
      <c r="A871" s="33" t="s">
        <v>3224</v>
      </c>
      <c r="B871" s="54" t="s">
        <v>7800</v>
      </c>
      <c r="C871" s="55">
        <v>41954</v>
      </c>
      <c r="D871" s="47" t="s">
        <v>8465</v>
      </c>
      <c r="E871" s="40" t="s">
        <v>1047</v>
      </c>
      <c r="F871" s="40" t="s">
        <v>1048</v>
      </c>
      <c r="G871" s="56" t="s">
        <v>1563</v>
      </c>
      <c r="H871" s="67" t="s">
        <v>80</v>
      </c>
      <c r="J871" s="43"/>
      <c r="K871" s="63">
        <v>0.8</v>
      </c>
      <c r="L871" s="40">
        <v>870</v>
      </c>
      <c r="M871" s="55">
        <v>43682</v>
      </c>
      <c r="N871" s="57">
        <f>15+26/60</f>
        <v>15.433333333333334</v>
      </c>
      <c r="O871" s="18">
        <v>0</v>
      </c>
      <c r="P871" s="18">
        <v>0</v>
      </c>
      <c r="Q871" s="63">
        <v>0.73329999999999995</v>
      </c>
      <c r="R871" s="46"/>
    </row>
    <row r="872" spans="1:18" ht="25.5">
      <c r="A872" s="33" t="s">
        <v>6985</v>
      </c>
      <c r="B872" s="54" t="s">
        <v>7800</v>
      </c>
      <c r="C872" s="55">
        <v>42115</v>
      </c>
      <c r="D872" s="47" t="s">
        <v>8465</v>
      </c>
      <c r="E872" s="40" t="s">
        <v>1047</v>
      </c>
      <c r="F872" s="40" t="s">
        <v>1552</v>
      </c>
      <c r="G872" s="56" t="s">
        <v>1563</v>
      </c>
      <c r="H872" s="67" t="s">
        <v>245</v>
      </c>
      <c r="J872" s="43"/>
      <c r="K872" s="63">
        <v>0.5</v>
      </c>
      <c r="L872" s="40">
        <v>871</v>
      </c>
      <c r="M872" s="55">
        <v>43693</v>
      </c>
      <c r="N872" s="57"/>
      <c r="O872" s="18">
        <v>0</v>
      </c>
      <c r="P872" s="18">
        <v>0</v>
      </c>
      <c r="Q872" s="63">
        <v>0.69710000000000005</v>
      </c>
      <c r="R872" s="46"/>
    </row>
    <row r="873" spans="1:18" ht="25.5">
      <c r="A873" s="33" t="s">
        <v>3223</v>
      </c>
      <c r="B873" s="54" t="s">
        <v>7800</v>
      </c>
      <c r="C873" s="55">
        <v>42270</v>
      </c>
      <c r="D873" s="47" t="s">
        <v>8465</v>
      </c>
      <c r="E873" s="40" t="s">
        <v>1047</v>
      </c>
      <c r="F873" s="40" t="s">
        <v>1538</v>
      </c>
      <c r="G873" s="56" t="s">
        <v>1563</v>
      </c>
      <c r="H873" s="67" t="s">
        <v>245</v>
      </c>
      <c r="J873" s="43"/>
      <c r="K873" s="63">
        <v>0.65</v>
      </c>
      <c r="L873" s="40">
        <v>872</v>
      </c>
      <c r="M873" s="55">
        <v>43703</v>
      </c>
      <c r="N873" s="57">
        <f>16+8/60</f>
        <v>16.133333333333333</v>
      </c>
      <c r="O873" s="18">
        <v>0</v>
      </c>
      <c r="P873" s="18">
        <v>0</v>
      </c>
      <c r="Q873" s="63">
        <v>0.70199999999999996</v>
      </c>
      <c r="R873" s="46"/>
    </row>
    <row r="874" spans="1:18" ht="25.5">
      <c r="A874" s="33" t="s">
        <v>6210</v>
      </c>
      <c r="B874" s="54" t="s">
        <v>7762</v>
      </c>
      <c r="C874" s="55">
        <v>40134</v>
      </c>
      <c r="D874" s="47" t="s">
        <v>8465</v>
      </c>
      <c r="E874" s="40" t="s">
        <v>1047</v>
      </c>
      <c r="F874" s="40" t="s">
        <v>1048</v>
      </c>
      <c r="G874" s="56" t="s">
        <v>1563</v>
      </c>
      <c r="H874" s="67" t="s">
        <v>80</v>
      </c>
      <c r="J874" s="43"/>
      <c r="K874" s="63">
        <v>0.5</v>
      </c>
      <c r="L874" s="40">
        <v>873</v>
      </c>
      <c r="M874" s="55">
        <v>43706</v>
      </c>
      <c r="N874" s="57"/>
      <c r="O874" s="18">
        <v>0</v>
      </c>
      <c r="P874" s="18">
        <v>0</v>
      </c>
      <c r="Q874" s="63">
        <v>0.63629999999999998</v>
      </c>
      <c r="R874" s="46"/>
    </row>
    <row r="875" spans="1:18" ht="25.5">
      <c r="A875" s="33" t="s">
        <v>3219</v>
      </c>
      <c r="B875" s="54" t="s">
        <v>7800</v>
      </c>
      <c r="C875" s="55">
        <v>42381</v>
      </c>
      <c r="D875" s="47" t="s">
        <v>8465</v>
      </c>
      <c r="E875" s="40" t="s">
        <v>1047</v>
      </c>
      <c r="F875" s="40" t="s">
        <v>1552</v>
      </c>
      <c r="G875" s="56" t="s">
        <v>1563</v>
      </c>
      <c r="H875" s="67" t="s">
        <v>80</v>
      </c>
      <c r="J875" s="43"/>
      <c r="K875" s="63">
        <v>0.5</v>
      </c>
      <c r="L875" s="40">
        <v>874</v>
      </c>
      <c r="M875" s="55">
        <v>43717</v>
      </c>
      <c r="N875" s="57">
        <f>4+15/60</f>
        <v>4.25</v>
      </c>
      <c r="O875" s="18">
        <v>0</v>
      </c>
      <c r="P875" s="18">
        <v>0</v>
      </c>
      <c r="Q875" s="63">
        <v>0.65</v>
      </c>
      <c r="R875" s="46"/>
    </row>
    <row r="876" spans="1:18" ht="25.5">
      <c r="A876" s="33" t="s">
        <v>3220</v>
      </c>
      <c r="B876" s="54" t="s">
        <v>7800</v>
      </c>
      <c r="C876" s="55">
        <v>42409</v>
      </c>
      <c r="D876" s="47" t="s">
        <v>8465</v>
      </c>
      <c r="E876" s="40" t="s">
        <v>1047</v>
      </c>
      <c r="F876" s="40" t="s">
        <v>1552</v>
      </c>
      <c r="G876" s="56" t="s">
        <v>1563</v>
      </c>
      <c r="H876" s="67" t="s">
        <v>80</v>
      </c>
      <c r="J876" s="43"/>
      <c r="K876" s="63">
        <v>0.4</v>
      </c>
      <c r="L876" s="40">
        <v>875</v>
      </c>
      <c r="M876" s="55">
        <v>43722</v>
      </c>
      <c r="N876" s="57">
        <f>6+8/60</f>
        <v>6.1333333333333337</v>
      </c>
      <c r="O876" s="18">
        <v>0</v>
      </c>
      <c r="P876" s="18">
        <v>0</v>
      </c>
      <c r="Q876" s="63">
        <v>0.45</v>
      </c>
      <c r="R876" s="46"/>
    </row>
    <row r="877" spans="1:18" ht="25.5">
      <c r="A877" s="33" t="s">
        <v>3221</v>
      </c>
      <c r="B877" s="54" t="s">
        <v>7800</v>
      </c>
      <c r="C877" s="55">
        <v>43035</v>
      </c>
      <c r="D877" s="47" t="s">
        <v>8465</v>
      </c>
      <c r="E877" s="40" t="s">
        <v>1047</v>
      </c>
      <c r="F877" s="40" t="s">
        <v>1048</v>
      </c>
      <c r="G877" s="56" t="s">
        <v>1563</v>
      </c>
      <c r="H877" s="67" t="s">
        <v>171</v>
      </c>
      <c r="J877" s="43"/>
      <c r="K877" s="63">
        <v>0.85</v>
      </c>
      <c r="L877" s="40">
        <v>876</v>
      </c>
      <c r="M877" s="55">
        <v>43740</v>
      </c>
      <c r="N877" s="57">
        <v>24.29</v>
      </c>
      <c r="O877" s="18">
        <v>0</v>
      </c>
      <c r="P877" s="18">
        <v>0</v>
      </c>
      <c r="Q877" s="63">
        <v>0.82</v>
      </c>
      <c r="R877" s="46"/>
    </row>
    <row r="878" spans="1:18" ht="25.5">
      <c r="A878" s="33" t="s">
        <v>1820</v>
      </c>
      <c r="B878" s="54" t="s">
        <v>7744</v>
      </c>
      <c r="C878" s="55">
        <v>43728</v>
      </c>
      <c r="D878" s="47" t="s">
        <v>8465</v>
      </c>
      <c r="E878" s="40" t="s">
        <v>86</v>
      </c>
      <c r="F878" s="40" t="s">
        <v>1138</v>
      </c>
      <c r="G878" s="56" t="s">
        <v>85</v>
      </c>
      <c r="H878" s="67" t="s">
        <v>80</v>
      </c>
      <c r="J878" s="43"/>
      <c r="K878" s="63">
        <v>0.9</v>
      </c>
      <c r="L878" s="40">
        <v>877</v>
      </c>
      <c r="M878" s="55">
        <v>43742</v>
      </c>
      <c r="N878" s="57"/>
      <c r="O878" s="18">
        <v>0</v>
      </c>
      <c r="P878" s="18">
        <v>0</v>
      </c>
      <c r="Q878" s="63">
        <v>0.88</v>
      </c>
      <c r="R878" s="46"/>
    </row>
    <row r="879" spans="1:18" ht="25.5">
      <c r="A879" s="33" t="s">
        <v>4813</v>
      </c>
      <c r="B879" s="54" t="s">
        <v>7800</v>
      </c>
      <c r="C879" s="55">
        <v>42759</v>
      </c>
      <c r="D879" s="47" t="s">
        <v>8465</v>
      </c>
      <c r="E879" s="40" t="s">
        <v>73</v>
      </c>
      <c r="F879" s="40" t="s">
        <v>73</v>
      </c>
      <c r="G879" s="56" t="s">
        <v>943</v>
      </c>
      <c r="H879" s="67" t="s">
        <v>1061</v>
      </c>
      <c r="J879" s="43"/>
      <c r="K879" s="63">
        <v>0.85</v>
      </c>
      <c r="L879" s="40">
        <v>878</v>
      </c>
      <c r="M879" s="55">
        <v>43743</v>
      </c>
      <c r="N879" s="57">
        <v>7.62</v>
      </c>
      <c r="O879" s="18">
        <v>0</v>
      </c>
      <c r="P879" s="18">
        <v>0</v>
      </c>
      <c r="Q879" s="63">
        <v>0.81</v>
      </c>
      <c r="R879" s="46"/>
    </row>
    <row r="880" spans="1:18">
      <c r="A880" s="33" t="s">
        <v>4303</v>
      </c>
      <c r="B880" s="54" t="s">
        <v>7800</v>
      </c>
      <c r="C880" s="55">
        <v>42167</v>
      </c>
      <c r="D880" s="47" t="s">
        <v>8465</v>
      </c>
      <c r="E880" s="40" t="s">
        <v>1529</v>
      </c>
      <c r="F880" s="40" t="s">
        <v>4304</v>
      </c>
      <c r="G880" s="56" t="s">
        <v>4305</v>
      </c>
      <c r="H880" s="67" t="s">
        <v>80</v>
      </c>
      <c r="J880" s="43"/>
      <c r="K880" s="63">
        <v>0.6</v>
      </c>
      <c r="L880" s="40">
        <v>879</v>
      </c>
      <c r="M880" s="55">
        <v>43758</v>
      </c>
      <c r="N880" s="57">
        <v>8.9700000000000006</v>
      </c>
      <c r="O880" s="18">
        <v>0</v>
      </c>
      <c r="P880" s="18">
        <v>0</v>
      </c>
      <c r="Q880" s="63">
        <v>0.76</v>
      </c>
      <c r="R880" s="46"/>
    </row>
    <row r="881" spans="1:18">
      <c r="A881" s="33" t="s">
        <v>7322</v>
      </c>
      <c r="B881" s="54" t="s">
        <v>7783</v>
      </c>
      <c r="C881" s="55">
        <v>42891</v>
      </c>
      <c r="D881" s="47" t="s">
        <v>8465</v>
      </c>
      <c r="E881" s="40" t="s">
        <v>8573</v>
      </c>
      <c r="F881" s="40" t="s">
        <v>8573</v>
      </c>
      <c r="G881" s="56" t="s">
        <v>7321</v>
      </c>
      <c r="H881" s="67" t="s">
        <v>78</v>
      </c>
      <c r="J881" s="43"/>
      <c r="K881" s="63">
        <v>0.8</v>
      </c>
      <c r="L881" s="40">
        <v>880</v>
      </c>
      <c r="M881" s="55">
        <v>43766</v>
      </c>
      <c r="N881" s="57"/>
      <c r="O881" s="18">
        <v>0</v>
      </c>
      <c r="P881" s="18">
        <v>0</v>
      </c>
      <c r="Q881" s="63">
        <v>0.82</v>
      </c>
      <c r="R881" s="46"/>
    </row>
    <row r="882" spans="1:18" ht="25.5">
      <c r="A882" s="33" t="s">
        <v>1645</v>
      </c>
      <c r="B882" s="54" t="s">
        <v>7744</v>
      </c>
      <c r="C882" s="55">
        <v>43648</v>
      </c>
      <c r="D882" s="47" t="s">
        <v>8465</v>
      </c>
      <c r="E882" s="40" t="s">
        <v>1583</v>
      </c>
      <c r="F882" s="40" t="s">
        <v>1584</v>
      </c>
      <c r="G882" s="56" t="s">
        <v>1646</v>
      </c>
      <c r="H882" s="67" t="s">
        <v>1168</v>
      </c>
      <c r="J882" s="43"/>
      <c r="K882" s="63">
        <v>0.75</v>
      </c>
      <c r="L882" s="40">
        <v>881</v>
      </c>
      <c r="M882" s="55">
        <v>43779</v>
      </c>
      <c r="N882" s="57"/>
      <c r="O882" s="18">
        <v>0</v>
      </c>
      <c r="P882" s="18">
        <v>0</v>
      </c>
      <c r="Q882" s="63">
        <v>0.7</v>
      </c>
      <c r="R882" s="46"/>
    </row>
    <row r="883" spans="1:18" ht="25.5">
      <c r="A883" s="33" t="s">
        <v>6097</v>
      </c>
      <c r="B883" s="54" t="s">
        <v>7760</v>
      </c>
      <c r="C883" s="55">
        <v>43378</v>
      </c>
      <c r="D883" s="47" t="s">
        <v>8465</v>
      </c>
      <c r="E883" s="40" t="s">
        <v>1047</v>
      </c>
      <c r="F883" s="40" t="s">
        <v>1538</v>
      </c>
      <c r="G883" s="56" t="s">
        <v>1563</v>
      </c>
      <c r="H883" s="67" t="s">
        <v>171</v>
      </c>
      <c r="J883" s="43"/>
      <c r="K883" s="63">
        <v>0.85</v>
      </c>
      <c r="L883" s="40">
        <v>882</v>
      </c>
      <c r="M883" s="55">
        <v>43786</v>
      </c>
      <c r="N883" s="57">
        <v>37.33</v>
      </c>
      <c r="O883" s="18">
        <v>0</v>
      </c>
      <c r="P883" s="18">
        <v>0</v>
      </c>
      <c r="Q883" s="63">
        <v>0.84</v>
      </c>
      <c r="R883" s="46"/>
    </row>
    <row r="884" spans="1:18" ht="25.5">
      <c r="A884" s="33" t="s">
        <v>2382</v>
      </c>
      <c r="B884" s="54" t="s">
        <v>7749</v>
      </c>
      <c r="C884" s="55">
        <v>41497</v>
      </c>
      <c r="D884" s="47" t="s">
        <v>8465</v>
      </c>
      <c r="E884" s="40" t="s">
        <v>86</v>
      </c>
      <c r="F884" s="40" t="s">
        <v>1892</v>
      </c>
      <c r="G884" s="56" t="s">
        <v>1893</v>
      </c>
      <c r="H884" s="67" t="s">
        <v>149</v>
      </c>
      <c r="J884" s="43"/>
      <c r="K884" s="63">
        <v>0.5</v>
      </c>
      <c r="L884" s="40">
        <v>883</v>
      </c>
      <c r="M884" s="55">
        <v>43795</v>
      </c>
      <c r="N884" s="57">
        <v>39</v>
      </c>
      <c r="O884" s="18">
        <v>0</v>
      </c>
      <c r="P884" s="18">
        <v>0</v>
      </c>
      <c r="Q884" s="63">
        <v>0.81</v>
      </c>
      <c r="R884" s="46"/>
    </row>
    <row r="885" spans="1:18">
      <c r="A885" s="33" t="s">
        <v>7849</v>
      </c>
      <c r="B885" s="54" t="s">
        <v>7800</v>
      </c>
      <c r="C885" s="55">
        <v>43721</v>
      </c>
      <c r="D885" s="47" t="s">
        <v>8465</v>
      </c>
      <c r="E885" s="40" t="s">
        <v>3310</v>
      </c>
      <c r="F885" s="40" t="s">
        <v>3154</v>
      </c>
      <c r="G885" s="56" t="s">
        <v>3356</v>
      </c>
      <c r="H885" s="67" t="s">
        <v>1050</v>
      </c>
      <c r="J885" s="43"/>
      <c r="K885" s="63">
        <v>0.9</v>
      </c>
      <c r="L885" s="40">
        <v>884</v>
      </c>
      <c r="M885" s="55">
        <v>43810</v>
      </c>
      <c r="N885" s="57">
        <v>28</v>
      </c>
      <c r="O885" s="18">
        <v>0</v>
      </c>
      <c r="P885" s="18">
        <v>0</v>
      </c>
      <c r="Q885" s="63">
        <v>0.8</v>
      </c>
      <c r="R885" s="46"/>
    </row>
    <row r="886" spans="1:18" ht="25.5">
      <c r="A886" s="33" t="s">
        <v>8235</v>
      </c>
      <c r="B886" s="54" t="s">
        <v>7800</v>
      </c>
      <c r="C886" s="55">
        <v>43763</v>
      </c>
      <c r="D886" s="47" t="s">
        <v>8465</v>
      </c>
      <c r="E886" s="40" t="s">
        <v>1273</v>
      </c>
      <c r="F886" s="40" t="s">
        <v>3400</v>
      </c>
      <c r="G886" s="56" t="s">
        <v>3401</v>
      </c>
      <c r="H886" s="67" t="s">
        <v>1050</v>
      </c>
      <c r="J886" s="43"/>
      <c r="K886" s="63">
        <v>0.8</v>
      </c>
      <c r="L886" s="40">
        <v>885</v>
      </c>
      <c r="M886" s="55">
        <v>43813</v>
      </c>
      <c r="N886" s="57"/>
      <c r="O886" s="18">
        <v>0</v>
      </c>
      <c r="P886" s="18">
        <v>0</v>
      </c>
      <c r="Q886" s="63">
        <v>0.79</v>
      </c>
      <c r="R886" s="46"/>
    </row>
    <row r="887" spans="1:18">
      <c r="A887" s="33" t="s">
        <v>8098</v>
      </c>
      <c r="B887" s="54" t="s">
        <v>7744</v>
      </c>
      <c r="C887" s="55">
        <v>43769</v>
      </c>
      <c r="D887" s="47" t="s">
        <v>8465</v>
      </c>
      <c r="E887" s="40" t="s">
        <v>86</v>
      </c>
      <c r="F887" s="40" t="s">
        <v>1535</v>
      </c>
      <c r="G887" s="56" t="s">
        <v>908</v>
      </c>
      <c r="H887" s="67" t="s">
        <v>80</v>
      </c>
      <c r="J887" s="43"/>
      <c r="K887" s="63">
        <v>0.8</v>
      </c>
      <c r="L887" s="40">
        <v>886</v>
      </c>
      <c r="M887" s="55">
        <v>43826</v>
      </c>
      <c r="N887" s="57">
        <v>11.35</v>
      </c>
      <c r="O887" s="18">
        <v>0</v>
      </c>
      <c r="P887" s="18">
        <v>0</v>
      </c>
      <c r="Q887" s="63">
        <v>0.85</v>
      </c>
      <c r="R887" s="46"/>
    </row>
    <row r="888" spans="1:18">
      <c r="A888" s="33" t="s">
        <v>581</v>
      </c>
      <c r="B888" s="54" t="s">
        <v>7783</v>
      </c>
      <c r="C888" s="55">
        <v>40885</v>
      </c>
      <c r="D888" s="47" t="s">
        <v>8465</v>
      </c>
      <c r="E888" s="40" t="s">
        <v>1082</v>
      </c>
      <c r="F888" s="40" t="s">
        <v>1082</v>
      </c>
      <c r="G888" s="56" t="s">
        <v>1251</v>
      </c>
      <c r="H888" s="67" t="s">
        <v>149</v>
      </c>
      <c r="J888" s="43"/>
      <c r="K888" s="63">
        <v>0.75</v>
      </c>
      <c r="L888" s="40">
        <v>887</v>
      </c>
      <c r="M888" s="55">
        <v>43826</v>
      </c>
      <c r="N888" s="57">
        <v>14.32</v>
      </c>
      <c r="O888" s="18">
        <v>0</v>
      </c>
      <c r="P888" s="18">
        <v>0</v>
      </c>
      <c r="Q888" s="63">
        <v>0.69</v>
      </c>
      <c r="R888" s="46"/>
    </row>
    <row r="889" spans="1:18" ht="25.5">
      <c r="A889" s="33" t="s">
        <v>4446</v>
      </c>
      <c r="B889" s="54" t="s">
        <v>7800</v>
      </c>
      <c r="C889" s="55">
        <v>43018</v>
      </c>
      <c r="D889" s="47" t="s">
        <v>8465</v>
      </c>
      <c r="E889" s="40" t="s">
        <v>1529</v>
      </c>
      <c r="F889" s="40" t="s">
        <v>3487</v>
      </c>
      <c r="G889" s="56" t="s">
        <v>4445</v>
      </c>
      <c r="H889" s="67" t="s">
        <v>171</v>
      </c>
      <c r="J889" s="43"/>
      <c r="K889" s="63">
        <v>0.75</v>
      </c>
      <c r="L889" s="40">
        <v>888</v>
      </c>
      <c r="M889" s="55">
        <v>43827</v>
      </c>
      <c r="N889" s="57">
        <v>12.48</v>
      </c>
      <c r="O889" s="18">
        <v>0</v>
      </c>
      <c r="P889" s="18">
        <v>0</v>
      </c>
      <c r="Q889" s="63">
        <v>0.78</v>
      </c>
      <c r="R889" s="46"/>
    </row>
    <row r="890" spans="1:18">
      <c r="A890" s="33" t="s">
        <v>7761</v>
      </c>
      <c r="B890" s="54" t="s">
        <v>7800</v>
      </c>
      <c r="C890" s="55">
        <v>43704</v>
      </c>
      <c r="D890" s="47" t="s">
        <v>8465</v>
      </c>
      <c r="E890" s="40" t="s">
        <v>1571</v>
      </c>
      <c r="F890" s="40" t="s">
        <v>3130</v>
      </c>
      <c r="G890" s="56"/>
      <c r="H890" s="67" t="s">
        <v>1168</v>
      </c>
      <c r="J890" s="43"/>
      <c r="K890" s="63">
        <v>0.9</v>
      </c>
      <c r="L890" s="40">
        <v>889</v>
      </c>
      <c r="M890" s="55">
        <v>43829</v>
      </c>
      <c r="N890" s="57">
        <v>10.74</v>
      </c>
      <c r="O890" s="18">
        <v>0</v>
      </c>
      <c r="P890" s="18">
        <v>0</v>
      </c>
      <c r="Q890" s="63">
        <v>0.85</v>
      </c>
      <c r="R890" s="46"/>
    </row>
    <row r="891" spans="1:18">
      <c r="A891" s="33" t="s">
        <v>8279</v>
      </c>
      <c r="B891" s="54" t="s">
        <v>7800</v>
      </c>
      <c r="C891" s="55">
        <v>43707</v>
      </c>
      <c r="D891" s="47" t="s">
        <v>8465</v>
      </c>
      <c r="E891" s="40" t="s">
        <v>8117</v>
      </c>
      <c r="F891" s="40" t="s">
        <v>3048</v>
      </c>
      <c r="G891" s="56" t="s">
        <v>8279</v>
      </c>
      <c r="H891" s="67" t="s">
        <v>1061</v>
      </c>
      <c r="J891" s="43"/>
      <c r="K891" s="63">
        <v>0.6</v>
      </c>
      <c r="L891" s="40">
        <v>890</v>
      </c>
      <c r="M891" s="55">
        <v>43831</v>
      </c>
      <c r="N891" s="57">
        <v>3.97</v>
      </c>
      <c r="O891" s="18">
        <v>0</v>
      </c>
      <c r="P891" s="18">
        <v>0</v>
      </c>
      <c r="Q891" s="63">
        <v>0.69</v>
      </c>
      <c r="R891" s="46"/>
    </row>
    <row r="892" spans="1:18" ht="25.5">
      <c r="A892" s="33" t="s">
        <v>8241</v>
      </c>
      <c r="B892" s="54" t="s">
        <v>7800</v>
      </c>
      <c r="C892" s="55">
        <v>43784</v>
      </c>
      <c r="D892" s="47" t="s">
        <v>8465</v>
      </c>
      <c r="E892" s="40" t="s">
        <v>231</v>
      </c>
      <c r="F892" s="40" t="s">
        <v>6559</v>
      </c>
      <c r="G892" s="56" t="s">
        <v>1481</v>
      </c>
      <c r="H892" s="67" t="s">
        <v>80</v>
      </c>
      <c r="J892" s="43"/>
      <c r="K892" s="63">
        <v>0.8</v>
      </c>
      <c r="L892" s="40">
        <v>891</v>
      </c>
      <c r="M892" s="55">
        <v>43838</v>
      </c>
      <c r="N892" s="57">
        <v>12.41</v>
      </c>
      <c r="O892" s="18">
        <v>0</v>
      </c>
      <c r="P892" s="18">
        <v>0</v>
      </c>
      <c r="Q892" s="63">
        <v>0.81</v>
      </c>
      <c r="R892" s="46"/>
    </row>
    <row r="893" spans="1:18">
      <c r="A893" s="33" t="s">
        <v>8274</v>
      </c>
      <c r="B893" s="54" t="s">
        <v>7800</v>
      </c>
      <c r="C893" s="55">
        <v>43606</v>
      </c>
      <c r="D893" s="47" t="s">
        <v>8465</v>
      </c>
      <c r="E893" s="40" t="s">
        <v>3063</v>
      </c>
      <c r="F893" s="40" t="s">
        <v>7093</v>
      </c>
      <c r="G893" s="56"/>
      <c r="H893" s="67" t="s">
        <v>67</v>
      </c>
      <c r="J893" s="43"/>
      <c r="K893" s="63">
        <v>0.6</v>
      </c>
      <c r="L893" s="40">
        <v>892</v>
      </c>
      <c r="M893" s="55">
        <v>43855</v>
      </c>
      <c r="N893" s="57">
        <v>4.63</v>
      </c>
      <c r="O893" s="18">
        <v>0</v>
      </c>
      <c r="P893" s="18">
        <v>0</v>
      </c>
      <c r="Q893" s="63">
        <v>0.79</v>
      </c>
      <c r="R893" s="46"/>
    </row>
    <row r="894" spans="1:18">
      <c r="A894" s="33" t="s">
        <v>295</v>
      </c>
      <c r="B894" s="54" t="s">
        <v>7762</v>
      </c>
      <c r="C894" s="55">
        <v>39287</v>
      </c>
      <c r="D894" s="47" t="s">
        <v>8465</v>
      </c>
      <c r="E894" s="40" t="s">
        <v>1082</v>
      </c>
      <c r="F894" s="40" t="s">
        <v>58</v>
      </c>
      <c r="G894" s="56" t="s">
        <v>126</v>
      </c>
      <c r="H894" s="67" t="s">
        <v>149</v>
      </c>
      <c r="J894" s="43"/>
      <c r="K894" s="63">
        <v>0.75</v>
      </c>
      <c r="L894" s="40">
        <v>893</v>
      </c>
      <c r="M894" s="55">
        <v>43866</v>
      </c>
      <c r="N894" s="57">
        <v>24.08</v>
      </c>
      <c r="O894" s="18">
        <v>0</v>
      </c>
      <c r="P894" s="18">
        <v>0</v>
      </c>
      <c r="Q894" s="63">
        <v>0.65</v>
      </c>
      <c r="R894" s="46"/>
    </row>
    <row r="895" spans="1:18">
      <c r="A895" s="33" t="s">
        <v>296</v>
      </c>
      <c r="B895" s="54" t="s">
        <v>7748</v>
      </c>
      <c r="C895" s="55">
        <v>39035</v>
      </c>
      <c r="D895" s="47" t="s">
        <v>8465</v>
      </c>
      <c r="E895" s="40" t="s">
        <v>1082</v>
      </c>
      <c r="F895" s="40" t="s">
        <v>1083</v>
      </c>
      <c r="G895" s="56" t="s">
        <v>126</v>
      </c>
      <c r="H895" s="67" t="s">
        <v>149</v>
      </c>
      <c r="J895" s="43"/>
      <c r="K895" s="63">
        <v>0.75</v>
      </c>
      <c r="L895" s="40">
        <v>894</v>
      </c>
      <c r="M895" s="55">
        <v>43883</v>
      </c>
      <c r="N895" s="57">
        <v>29.49</v>
      </c>
      <c r="O895" s="18">
        <v>0</v>
      </c>
      <c r="P895" s="18">
        <v>0</v>
      </c>
      <c r="Q895" s="63">
        <v>0.78</v>
      </c>
      <c r="R895" s="46"/>
    </row>
    <row r="896" spans="1:18" ht="25.5">
      <c r="A896" s="33" t="s">
        <v>2050</v>
      </c>
      <c r="B896" s="54" t="s">
        <v>7747</v>
      </c>
      <c r="C896" s="55">
        <v>39027</v>
      </c>
      <c r="D896" s="47" t="s">
        <v>8465</v>
      </c>
      <c r="E896" s="40" t="s">
        <v>1082</v>
      </c>
      <c r="F896" s="40" t="s">
        <v>58</v>
      </c>
      <c r="G896" s="56" t="s">
        <v>126</v>
      </c>
      <c r="H896" s="67" t="s">
        <v>149</v>
      </c>
      <c r="J896" s="43"/>
      <c r="K896" s="63">
        <v>0.8</v>
      </c>
      <c r="L896" s="40">
        <v>895</v>
      </c>
      <c r="M896" s="55">
        <v>43895</v>
      </c>
      <c r="N896" s="57">
        <v>31.62</v>
      </c>
      <c r="O896" s="18">
        <v>0</v>
      </c>
      <c r="P896" s="18">
        <v>0</v>
      </c>
      <c r="Q896" s="63">
        <v>0.82</v>
      </c>
      <c r="R896" s="46"/>
    </row>
    <row r="897" spans="1:18">
      <c r="A897" s="33" t="s">
        <v>2494</v>
      </c>
      <c r="B897" s="54" t="s">
        <v>7750</v>
      </c>
      <c r="C897" s="58">
        <v>31413</v>
      </c>
      <c r="D897" s="47" t="s">
        <v>8465</v>
      </c>
      <c r="E897" s="40" t="s">
        <v>455</v>
      </c>
      <c r="F897" s="40" t="s">
        <v>455</v>
      </c>
      <c r="G897" s="56" t="s">
        <v>2494</v>
      </c>
      <c r="H897" s="67" t="s">
        <v>21</v>
      </c>
      <c r="J897" s="43"/>
      <c r="K897" s="63">
        <v>0.65</v>
      </c>
      <c r="L897" s="40">
        <v>896</v>
      </c>
      <c r="M897" s="55">
        <v>43895</v>
      </c>
      <c r="N897" s="57">
        <v>0.31</v>
      </c>
      <c r="O897" s="18">
        <v>0</v>
      </c>
      <c r="P897" s="18">
        <v>1</v>
      </c>
      <c r="Q897" s="63"/>
      <c r="R897" s="46"/>
    </row>
    <row r="898" spans="1:18">
      <c r="A898" s="33" t="s">
        <v>4697</v>
      </c>
      <c r="B898" s="54" t="s">
        <v>7800</v>
      </c>
      <c r="C898" s="55">
        <v>42305</v>
      </c>
      <c r="D898" s="47" t="s">
        <v>8465</v>
      </c>
      <c r="E898" s="40" t="s">
        <v>3136</v>
      </c>
      <c r="F898" s="40" t="s">
        <v>4696</v>
      </c>
      <c r="G898" s="56" t="s">
        <v>8472</v>
      </c>
      <c r="H898" s="67" t="s">
        <v>56</v>
      </c>
      <c r="J898" s="43"/>
      <c r="K898" s="63">
        <v>0.7</v>
      </c>
      <c r="L898" s="40">
        <v>897</v>
      </c>
      <c r="M898" s="55">
        <v>43895</v>
      </c>
      <c r="N898" s="57">
        <v>0.13</v>
      </c>
      <c r="O898" s="18">
        <v>0</v>
      </c>
      <c r="P898" s="18">
        <v>0</v>
      </c>
      <c r="Q898" s="63"/>
      <c r="R898" s="46"/>
    </row>
    <row r="899" spans="1:18">
      <c r="A899" s="33" t="s">
        <v>4695</v>
      </c>
      <c r="B899" s="54" t="s">
        <v>7800</v>
      </c>
      <c r="C899" s="55">
        <v>42312</v>
      </c>
      <c r="D899" s="47" t="s">
        <v>8465</v>
      </c>
      <c r="E899" s="40" t="s">
        <v>3136</v>
      </c>
      <c r="F899" s="40" t="s">
        <v>4696</v>
      </c>
      <c r="G899" s="56" t="s">
        <v>8472</v>
      </c>
      <c r="H899" s="67" t="s">
        <v>56</v>
      </c>
      <c r="J899" s="43"/>
      <c r="K899" s="63">
        <v>0.7</v>
      </c>
      <c r="L899" s="40">
        <v>898</v>
      </c>
      <c r="M899" s="55">
        <v>43895</v>
      </c>
      <c r="N899" s="57">
        <v>0.18</v>
      </c>
      <c r="O899" s="18">
        <v>0</v>
      </c>
      <c r="P899" s="18">
        <v>0</v>
      </c>
      <c r="Q899" s="63"/>
      <c r="R899" s="46"/>
    </row>
    <row r="900" spans="1:18" ht="25.5">
      <c r="A900" s="33" t="s">
        <v>478</v>
      </c>
      <c r="B900" s="54" t="s">
        <v>6317</v>
      </c>
      <c r="C900" s="58">
        <v>35551</v>
      </c>
      <c r="D900" s="47" t="s">
        <v>8465</v>
      </c>
      <c r="E900" s="40" t="s">
        <v>228</v>
      </c>
      <c r="F900" s="40" t="s">
        <v>228</v>
      </c>
      <c r="G900" s="56" t="s">
        <v>477</v>
      </c>
      <c r="H900" s="67" t="s">
        <v>459</v>
      </c>
      <c r="J900" s="43"/>
      <c r="K900" s="63">
        <v>0.55000000000000004</v>
      </c>
      <c r="L900" s="40">
        <v>899</v>
      </c>
      <c r="M900" s="55">
        <v>43895</v>
      </c>
      <c r="N900" s="57">
        <v>0.46</v>
      </c>
      <c r="O900" s="18">
        <v>0</v>
      </c>
      <c r="P900" s="18">
        <v>1</v>
      </c>
      <c r="Q900" s="63"/>
      <c r="R900" s="46"/>
    </row>
    <row r="901" spans="1:18">
      <c r="A901" s="33" t="s">
        <v>2752</v>
      </c>
      <c r="B901" s="54" t="s">
        <v>7755</v>
      </c>
      <c r="C901" s="55">
        <v>37027</v>
      </c>
      <c r="D901" s="47" t="s">
        <v>8465</v>
      </c>
      <c r="E901" s="40" t="s">
        <v>73</v>
      </c>
      <c r="F901" s="40" t="s">
        <v>2770</v>
      </c>
      <c r="G901" s="56" t="s">
        <v>313</v>
      </c>
      <c r="H901" s="67" t="s">
        <v>21</v>
      </c>
      <c r="J901" s="43"/>
      <c r="K901" s="63">
        <v>0.6</v>
      </c>
      <c r="L901" s="40">
        <v>900</v>
      </c>
      <c r="M901" s="55">
        <v>43896</v>
      </c>
      <c r="N901" s="57">
        <v>0.39</v>
      </c>
      <c r="O901" s="18">
        <v>0</v>
      </c>
      <c r="P901" s="18">
        <v>1</v>
      </c>
      <c r="Q901" s="63">
        <v>0.64</v>
      </c>
      <c r="R901" s="46"/>
    </row>
    <row r="902" spans="1:18">
      <c r="A902" s="33" t="s">
        <v>7504</v>
      </c>
      <c r="B902" s="54" t="s">
        <v>7783</v>
      </c>
      <c r="C902" s="55">
        <v>41564</v>
      </c>
      <c r="D902" s="47" t="s">
        <v>8465</v>
      </c>
      <c r="E902" s="40" t="s">
        <v>5605</v>
      </c>
      <c r="F902" s="40" t="s">
        <v>5605</v>
      </c>
      <c r="G902" s="56"/>
      <c r="H902" s="67" t="s">
        <v>67</v>
      </c>
      <c r="J902" s="43"/>
      <c r="K902" s="63">
        <v>0.75</v>
      </c>
      <c r="L902" s="40">
        <v>901</v>
      </c>
      <c r="M902" s="55">
        <v>43897</v>
      </c>
      <c r="N902" s="57"/>
      <c r="O902" s="18">
        <v>0</v>
      </c>
      <c r="P902" s="18">
        <v>0</v>
      </c>
      <c r="Q902" s="63">
        <v>0.92</v>
      </c>
      <c r="R902" s="46"/>
    </row>
    <row r="903" spans="1:18">
      <c r="A903" s="33" t="s">
        <v>8171</v>
      </c>
      <c r="B903" s="54" t="s">
        <v>6317</v>
      </c>
      <c r="C903" s="58">
        <v>36586</v>
      </c>
      <c r="D903" s="47" t="s">
        <v>8463</v>
      </c>
      <c r="E903" s="40" t="s">
        <v>54</v>
      </c>
      <c r="F903" s="40" t="s">
        <v>8169</v>
      </c>
      <c r="G903" s="56" t="s">
        <v>1644</v>
      </c>
      <c r="H903" s="67" t="s">
        <v>21</v>
      </c>
      <c r="J903" s="43"/>
      <c r="K903" s="63">
        <v>0.6</v>
      </c>
      <c r="L903" s="40">
        <v>902</v>
      </c>
      <c r="M903" s="55">
        <v>43898</v>
      </c>
      <c r="N903" s="57">
        <v>0.34</v>
      </c>
      <c r="O903" s="18">
        <v>0</v>
      </c>
      <c r="P903" s="18">
        <v>1</v>
      </c>
      <c r="Q903" s="63"/>
      <c r="R903" s="46"/>
    </row>
    <row r="904" spans="1:18" ht="25.5">
      <c r="A904" s="33" t="s">
        <v>8168</v>
      </c>
      <c r="B904" s="54" t="s">
        <v>7755</v>
      </c>
      <c r="C904" s="55">
        <v>38043</v>
      </c>
      <c r="D904" s="47" t="s">
        <v>8463</v>
      </c>
      <c r="E904" s="40" t="s">
        <v>8169</v>
      </c>
      <c r="F904" s="40" t="s">
        <v>8170</v>
      </c>
      <c r="G904" s="56" t="s">
        <v>1644</v>
      </c>
      <c r="H904" s="67" t="s">
        <v>21</v>
      </c>
      <c r="J904" s="43"/>
      <c r="K904" s="63">
        <v>0.7</v>
      </c>
      <c r="L904" s="40">
        <v>903</v>
      </c>
      <c r="M904" s="55">
        <v>43898</v>
      </c>
      <c r="N904" s="57">
        <v>0.35</v>
      </c>
      <c r="O904" s="18">
        <v>0</v>
      </c>
      <c r="P904" s="18">
        <v>1</v>
      </c>
      <c r="Q904" s="63"/>
      <c r="R904" s="46"/>
    </row>
    <row r="905" spans="1:18">
      <c r="A905" s="33" t="s">
        <v>1642</v>
      </c>
      <c r="B905" s="54" t="s">
        <v>7744</v>
      </c>
      <c r="C905" s="55">
        <v>43669</v>
      </c>
      <c r="D905" s="47" t="s">
        <v>8465</v>
      </c>
      <c r="E905" s="40" t="s">
        <v>1643</v>
      </c>
      <c r="F905" s="40" t="s">
        <v>8169</v>
      </c>
      <c r="G905" s="56" t="s">
        <v>1644</v>
      </c>
      <c r="H905" s="67" t="s">
        <v>21</v>
      </c>
      <c r="J905" s="43"/>
      <c r="K905" s="63">
        <v>0.6</v>
      </c>
      <c r="L905" s="40">
        <v>904</v>
      </c>
      <c r="M905" s="55">
        <v>43898</v>
      </c>
      <c r="N905" s="57"/>
      <c r="O905" s="18">
        <v>0</v>
      </c>
      <c r="P905" s="18">
        <v>0</v>
      </c>
      <c r="Q905" s="63">
        <v>0.8</v>
      </c>
      <c r="R905" s="46"/>
    </row>
    <row r="906" spans="1:18">
      <c r="A906" s="33" t="s">
        <v>2539</v>
      </c>
      <c r="B906" s="54" t="s">
        <v>7751</v>
      </c>
      <c r="C906" s="55">
        <v>33508</v>
      </c>
      <c r="D906" s="47" t="s">
        <v>8463</v>
      </c>
      <c r="E906" s="40" t="s">
        <v>54</v>
      </c>
      <c r="F906" s="40" t="s">
        <v>55</v>
      </c>
      <c r="G906" s="56"/>
      <c r="H906" s="67" t="s">
        <v>21</v>
      </c>
      <c r="J906" s="43"/>
      <c r="K906" s="63">
        <v>0.4</v>
      </c>
      <c r="L906" s="40">
        <v>905</v>
      </c>
      <c r="M906" s="55">
        <v>43898</v>
      </c>
      <c r="N906" s="57">
        <v>0.48</v>
      </c>
      <c r="O906" s="18">
        <v>0</v>
      </c>
      <c r="P906" s="18">
        <v>1</v>
      </c>
      <c r="Q906" s="63">
        <v>0.2</v>
      </c>
      <c r="R906" s="46"/>
    </row>
    <row r="907" spans="1:18">
      <c r="A907" s="33" t="s">
        <v>551</v>
      </c>
      <c r="B907" s="54" t="s">
        <v>6317</v>
      </c>
      <c r="C907" s="58">
        <v>33543</v>
      </c>
      <c r="D907" s="47" t="s">
        <v>8465</v>
      </c>
      <c r="E907" s="40" t="s">
        <v>54</v>
      </c>
      <c r="F907" s="40" t="s">
        <v>54</v>
      </c>
      <c r="G907" s="56"/>
      <c r="H907" s="67" t="s">
        <v>153</v>
      </c>
      <c r="J907" s="43"/>
      <c r="K907" s="63">
        <v>0.5</v>
      </c>
      <c r="L907" s="40">
        <v>906</v>
      </c>
      <c r="M907" s="55">
        <v>43902</v>
      </c>
      <c r="N907" s="57">
        <v>0.35</v>
      </c>
      <c r="O907" s="18">
        <v>0</v>
      </c>
      <c r="P907" s="18">
        <v>1</v>
      </c>
      <c r="Q907" s="63"/>
      <c r="R907" s="46"/>
    </row>
    <row r="908" spans="1:18" ht="25.5">
      <c r="A908" s="33" t="s">
        <v>6524</v>
      </c>
      <c r="B908" s="54" t="s">
        <v>7800</v>
      </c>
      <c r="C908" s="55">
        <v>42815</v>
      </c>
      <c r="D908" s="47" t="s">
        <v>8465</v>
      </c>
      <c r="E908" s="40" t="s">
        <v>231</v>
      </c>
      <c r="F908" s="40" t="s">
        <v>1161</v>
      </c>
      <c r="G908" s="56" t="s">
        <v>1162</v>
      </c>
      <c r="H908" s="67" t="s">
        <v>171</v>
      </c>
      <c r="J908" s="43"/>
      <c r="K908" s="63">
        <v>0.55000000000000004</v>
      </c>
      <c r="L908" s="40">
        <v>907</v>
      </c>
      <c r="M908" s="55">
        <v>43909</v>
      </c>
      <c r="N908" s="57">
        <v>10.93</v>
      </c>
      <c r="O908" s="18">
        <v>0</v>
      </c>
      <c r="P908" s="18">
        <v>0</v>
      </c>
      <c r="Q908" s="63">
        <v>0.72</v>
      </c>
      <c r="R908" s="46"/>
    </row>
    <row r="909" spans="1:18">
      <c r="A909" s="33" t="s">
        <v>8361</v>
      </c>
      <c r="B909" s="54" t="s">
        <v>7800</v>
      </c>
      <c r="C909" s="55">
        <v>42880</v>
      </c>
      <c r="D909" s="47" t="s">
        <v>8465</v>
      </c>
      <c r="E909" s="40" t="s">
        <v>7070</v>
      </c>
      <c r="F909" s="40" t="s">
        <v>7070</v>
      </c>
      <c r="G909" s="56" t="s">
        <v>7069</v>
      </c>
      <c r="H909" s="67" t="s">
        <v>1050</v>
      </c>
      <c r="I909" s="18">
        <v>1</v>
      </c>
      <c r="J909" s="43"/>
      <c r="K909" s="63">
        <v>0.8</v>
      </c>
      <c r="L909" s="40">
        <v>908</v>
      </c>
      <c r="M909" s="55">
        <v>43910</v>
      </c>
      <c r="N909" s="57">
        <v>1.88</v>
      </c>
      <c r="O909" s="18">
        <v>0</v>
      </c>
      <c r="P909" s="18">
        <v>0</v>
      </c>
      <c r="Q909" s="63">
        <v>0.83</v>
      </c>
      <c r="R909" s="46"/>
    </row>
    <row r="910" spans="1:18" ht="38.25">
      <c r="A910" s="33" t="s">
        <v>8517</v>
      </c>
      <c r="B910" s="54" t="s">
        <v>7800</v>
      </c>
      <c r="C910" s="55">
        <v>43641</v>
      </c>
      <c r="D910" s="47" t="s">
        <v>8465</v>
      </c>
      <c r="E910" s="40" t="s">
        <v>8518</v>
      </c>
      <c r="F910" s="40" t="s">
        <v>8519</v>
      </c>
      <c r="G910" s="56" t="s">
        <v>1264</v>
      </c>
      <c r="H910" s="67" t="s">
        <v>80</v>
      </c>
      <c r="I910" s="18">
        <v>1</v>
      </c>
      <c r="J910" s="43"/>
      <c r="K910" s="63">
        <v>0.6</v>
      </c>
      <c r="L910" s="40">
        <v>909</v>
      </c>
      <c r="M910" s="55">
        <v>43910</v>
      </c>
      <c r="N910" s="57">
        <v>0.28000000000000003</v>
      </c>
      <c r="O910" s="18">
        <v>0</v>
      </c>
      <c r="P910" s="18">
        <v>0</v>
      </c>
      <c r="Q910" s="63"/>
      <c r="R910" s="46"/>
    </row>
    <row r="911" spans="1:18">
      <c r="A911" s="33" t="s">
        <v>8264</v>
      </c>
      <c r="B911" s="54" t="s">
        <v>7800</v>
      </c>
      <c r="C911" s="55">
        <v>43910</v>
      </c>
      <c r="D911" s="47" t="s">
        <v>8465</v>
      </c>
      <c r="E911" s="40" t="s">
        <v>1690</v>
      </c>
      <c r="F911" s="40" t="s">
        <v>1889</v>
      </c>
      <c r="G911" s="56" t="s">
        <v>1890</v>
      </c>
      <c r="H911" s="67" t="s">
        <v>1050</v>
      </c>
      <c r="J911" s="43"/>
      <c r="K911" s="63">
        <v>0.9</v>
      </c>
      <c r="L911" s="40">
        <v>910</v>
      </c>
      <c r="M911" s="55">
        <v>43911</v>
      </c>
      <c r="N911" s="57"/>
      <c r="O911" s="18">
        <v>0</v>
      </c>
      <c r="P911" s="18">
        <v>0</v>
      </c>
      <c r="Q911" s="63">
        <v>0.89</v>
      </c>
      <c r="R911" s="46"/>
    </row>
    <row r="912" spans="1:18" ht="25.5">
      <c r="A912" s="33" t="s">
        <v>8511</v>
      </c>
      <c r="B912" s="54" t="s">
        <v>7800</v>
      </c>
      <c r="C912" s="55">
        <v>42845</v>
      </c>
      <c r="D912" s="47" t="s">
        <v>8465</v>
      </c>
      <c r="E912" s="40" t="s">
        <v>3272</v>
      </c>
      <c r="F912" s="40" t="s">
        <v>3760</v>
      </c>
      <c r="G912" s="56" t="s">
        <v>8512</v>
      </c>
      <c r="H912" s="67" t="s">
        <v>67</v>
      </c>
      <c r="I912" s="18">
        <v>1</v>
      </c>
      <c r="J912" s="43"/>
      <c r="K912" s="63">
        <v>0.75</v>
      </c>
      <c r="L912" s="40">
        <v>911</v>
      </c>
      <c r="M912" s="55">
        <v>43911</v>
      </c>
      <c r="N912" s="57">
        <v>1.6</v>
      </c>
      <c r="O912" s="18">
        <v>0</v>
      </c>
      <c r="P912" s="18">
        <v>0</v>
      </c>
      <c r="Q912" s="63">
        <v>0.75</v>
      </c>
      <c r="R912" s="46"/>
    </row>
    <row r="913" spans="1:18">
      <c r="A913" s="33" t="s">
        <v>8492</v>
      </c>
      <c r="B913" s="54" t="s">
        <v>7800</v>
      </c>
      <c r="C913" s="55">
        <v>43913</v>
      </c>
      <c r="D913" s="47" t="s">
        <v>8465</v>
      </c>
      <c r="E913" s="40" t="s">
        <v>4070</v>
      </c>
      <c r="F913" s="40" t="s">
        <v>4070</v>
      </c>
      <c r="G913" s="56" t="s">
        <v>4069</v>
      </c>
      <c r="H913" s="67" t="s">
        <v>1050</v>
      </c>
      <c r="I913" s="18">
        <v>1</v>
      </c>
      <c r="J913" s="43"/>
      <c r="K913" s="63">
        <v>0.9</v>
      </c>
      <c r="L913" s="40">
        <v>912</v>
      </c>
      <c r="M913" s="55">
        <v>43923</v>
      </c>
      <c r="N913" s="57">
        <v>9.43</v>
      </c>
      <c r="O913" s="18">
        <v>0</v>
      </c>
      <c r="P913" s="18">
        <v>0</v>
      </c>
      <c r="Q913" s="63">
        <v>0.93</v>
      </c>
      <c r="R913" s="46"/>
    </row>
    <row r="914" spans="1:18">
      <c r="A914" s="33" t="s">
        <v>8244</v>
      </c>
      <c r="B914" s="54" t="s">
        <v>7800</v>
      </c>
      <c r="C914" s="55">
        <v>43924</v>
      </c>
      <c r="D914" s="47" t="s">
        <v>8465</v>
      </c>
      <c r="E914" s="40" t="s">
        <v>73</v>
      </c>
      <c r="F914" s="40" t="s">
        <v>73</v>
      </c>
      <c r="G914" s="56" t="s">
        <v>943</v>
      </c>
      <c r="H914" s="67" t="s">
        <v>1061</v>
      </c>
      <c r="J914" s="43"/>
      <c r="K914" s="63">
        <v>0.8</v>
      </c>
      <c r="L914" s="40">
        <v>913</v>
      </c>
      <c r="M914" s="55">
        <v>43924</v>
      </c>
      <c r="N914" s="57">
        <v>5.68</v>
      </c>
      <c r="O914" s="18">
        <v>0</v>
      </c>
      <c r="P914" s="18">
        <v>0</v>
      </c>
      <c r="Q914" s="63">
        <v>0.76</v>
      </c>
      <c r="R914" s="46"/>
    </row>
    <row r="915" spans="1:18" ht="25.5">
      <c r="A915" s="33" t="s">
        <v>8535</v>
      </c>
      <c r="B915" s="54" t="s">
        <v>7800</v>
      </c>
      <c r="C915" s="55">
        <v>43916</v>
      </c>
      <c r="D915" s="47" t="s">
        <v>8465</v>
      </c>
      <c r="E915" s="40" t="s">
        <v>7354</v>
      </c>
      <c r="F915" s="40" t="s">
        <v>7354</v>
      </c>
      <c r="G915" s="56" t="s">
        <v>7353</v>
      </c>
      <c r="H915" s="67" t="s">
        <v>78</v>
      </c>
      <c r="I915" s="18">
        <v>1</v>
      </c>
      <c r="J915" s="43"/>
      <c r="K915" s="63">
        <v>0.8</v>
      </c>
      <c r="L915" s="40">
        <v>914</v>
      </c>
      <c r="M915" s="55">
        <v>43926</v>
      </c>
      <c r="N915" s="57">
        <v>2.92</v>
      </c>
      <c r="O915" s="18">
        <v>0</v>
      </c>
      <c r="P915" s="18">
        <v>0</v>
      </c>
      <c r="Q915" s="63">
        <v>0.81</v>
      </c>
      <c r="R915" s="46"/>
    </row>
    <row r="916" spans="1:18" ht="25.5">
      <c r="A916" s="33" t="s">
        <v>8499</v>
      </c>
      <c r="B916" s="54" t="s">
        <v>7766</v>
      </c>
      <c r="C916" s="55">
        <v>43901</v>
      </c>
      <c r="D916" s="47" t="s">
        <v>8465</v>
      </c>
      <c r="E916" s="40" t="s">
        <v>6517</v>
      </c>
      <c r="F916" s="40" t="s">
        <v>4609</v>
      </c>
      <c r="G916" s="56" t="s">
        <v>8500</v>
      </c>
      <c r="H916" s="67" t="s">
        <v>151</v>
      </c>
      <c r="J916" s="43"/>
      <c r="K916" s="63">
        <v>0.9</v>
      </c>
      <c r="L916" s="40">
        <v>915</v>
      </c>
      <c r="M916" s="55">
        <v>43928</v>
      </c>
      <c r="N916" s="57">
        <v>9.26</v>
      </c>
      <c r="O916" s="18">
        <v>0</v>
      </c>
      <c r="P916" s="18">
        <v>0</v>
      </c>
      <c r="Q916" s="63">
        <v>0.9</v>
      </c>
      <c r="R916" s="46"/>
    </row>
    <row r="917" spans="1:18">
      <c r="A917" s="33" t="s">
        <v>4230</v>
      </c>
      <c r="B917" s="54" t="s">
        <v>7800</v>
      </c>
      <c r="C917" s="55">
        <v>43858</v>
      </c>
      <c r="D917" s="47" t="s">
        <v>8465</v>
      </c>
      <c r="E917" s="40" t="s">
        <v>4231</v>
      </c>
      <c r="F917" s="40" t="s">
        <v>4231</v>
      </c>
      <c r="G917" s="56"/>
      <c r="H917" s="67" t="s">
        <v>67</v>
      </c>
      <c r="J917" s="43"/>
      <c r="K917" s="63">
        <v>0.9</v>
      </c>
      <c r="L917" s="40">
        <v>916</v>
      </c>
      <c r="M917" s="55">
        <v>43930</v>
      </c>
      <c r="N917" s="57">
        <v>7.32</v>
      </c>
      <c r="O917" s="18">
        <v>0</v>
      </c>
      <c r="P917" s="18">
        <v>0</v>
      </c>
      <c r="Q917" s="63">
        <v>0.86</v>
      </c>
      <c r="R917" s="46"/>
    </row>
    <row r="918" spans="1:18" ht="25.5">
      <c r="A918" s="33" t="s">
        <v>8570</v>
      </c>
      <c r="B918" s="54" t="s">
        <v>7800</v>
      </c>
      <c r="C918" s="55">
        <v>43858</v>
      </c>
      <c r="D918" s="47" t="s">
        <v>8465</v>
      </c>
      <c r="E918" s="40" t="s">
        <v>1571</v>
      </c>
      <c r="F918" s="40" t="s">
        <v>8553</v>
      </c>
      <c r="G918" s="56"/>
      <c r="H918" s="67" t="s">
        <v>151</v>
      </c>
      <c r="J918" s="43"/>
      <c r="K918" s="63">
        <v>0.6</v>
      </c>
      <c r="L918" s="40">
        <v>917</v>
      </c>
      <c r="M918" s="55">
        <v>43931</v>
      </c>
      <c r="N918" s="57">
        <v>3.53</v>
      </c>
      <c r="O918" s="18">
        <v>0</v>
      </c>
      <c r="P918" s="18">
        <v>0</v>
      </c>
      <c r="Q918" s="63">
        <v>0.76</v>
      </c>
      <c r="R918" s="46"/>
    </row>
    <row r="919" spans="1:18">
      <c r="A919" s="33" t="s">
        <v>8571</v>
      </c>
      <c r="B919" s="54" t="s">
        <v>7783</v>
      </c>
      <c r="C919" s="55">
        <v>43720</v>
      </c>
      <c r="D919" s="47" t="s">
        <v>8465</v>
      </c>
      <c r="E919" s="40" t="s">
        <v>8573</v>
      </c>
      <c r="F919" s="40" t="s">
        <v>8573</v>
      </c>
      <c r="G919" s="56"/>
      <c r="H919" s="67" t="s">
        <v>67</v>
      </c>
      <c r="J919" s="43"/>
      <c r="K919" s="63">
        <v>0.8</v>
      </c>
      <c r="L919" s="40">
        <v>918</v>
      </c>
      <c r="M919" s="55">
        <v>43932</v>
      </c>
      <c r="N919" s="57"/>
      <c r="O919" s="18">
        <v>0</v>
      </c>
      <c r="P919" s="18">
        <v>0</v>
      </c>
      <c r="Q919" s="63">
        <v>0.72</v>
      </c>
      <c r="R919" s="46"/>
    </row>
    <row r="920" spans="1:18">
      <c r="A920" s="33" t="s">
        <v>8578</v>
      </c>
      <c r="B920" s="54" t="s">
        <v>7783</v>
      </c>
      <c r="C920" s="55">
        <v>43722</v>
      </c>
      <c r="D920" s="47" t="s">
        <v>8465</v>
      </c>
      <c r="E920" s="40" t="s">
        <v>4063</v>
      </c>
      <c r="F920" s="40" t="s">
        <v>8579</v>
      </c>
      <c r="G920" s="56"/>
      <c r="H920" s="67" t="s">
        <v>67</v>
      </c>
      <c r="J920" s="43"/>
      <c r="K920" s="63">
        <v>0.75</v>
      </c>
      <c r="L920" s="40">
        <v>919</v>
      </c>
      <c r="M920" s="55">
        <v>43934</v>
      </c>
      <c r="N920" s="57"/>
      <c r="O920" s="18">
        <v>0</v>
      </c>
      <c r="P920" s="18">
        <v>0</v>
      </c>
      <c r="Q920" s="63"/>
      <c r="R920" s="46"/>
    </row>
    <row r="921" spans="1:18" ht="25.5">
      <c r="A921" s="33" t="s">
        <v>5569</v>
      </c>
      <c r="B921" s="54" t="s">
        <v>7800</v>
      </c>
      <c r="C921" s="55">
        <v>43874</v>
      </c>
      <c r="D921" s="47" t="s">
        <v>8465</v>
      </c>
      <c r="E921" s="40" t="s">
        <v>5570</v>
      </c>
      <c r="F921" s="40" t="s">
        <v>5570</v>
      </c>
      <c r="G921" s="56"/>
      <c r="H921" s="67" t="s">
        <v>171</v>
      </c>
      <c r="J921" s="43"/>
      <c r="K921" s="63">
        <v>0.65</v>
      </c>
      <c r="L921" s="40">
        <v>920</v>
      </c>
      <c r="M921" s="55">
        <v>43934</v>
      </c>
      <c r="N921" s="57">
        <v>11.22</v>
      </c>
      <c r="O921" s="18">
        <v>0</v>
      </c>
      <c r="P921" s="18">
        <v>0</v>
      </c>
      <c r="Q921" s="63">
        <v>0.6</v>
      </c>
      <c r="R921" s="46"/>
    </row>
    <row r="922" spans="1:18">
      <c r="A922" s="33" t="s">
        <v>3946</v>
      </c>
      <c r="B922" s="54" t="s">
        <v>7800</v>
      </c>
      <c r="C922" s="55">
        <v>42556</v>
      </c>
      <c r="D922" s="47" t="s">
        <v>8465</v>
      </c>
      <c r="E922" s="40" t="s">
        <v>3947</v>
      </c>
      <c r="F922" s="40" t="s">
        <v>3947</v>
      </c>
      <c r="G922" s="56"/>
      <c r="H922" s="67" t="s">
        <v>143</v>
      </c>
      <c r="J922" s="43"/>
      <c r="K922" s="63">
        <v>0.8</v>
      </c>
      <c r="L922" s="40">
        <v>921</v>
      </c>
      <c r="M922" s="55">
        <v>43936</v>
      </c>
      <c r="N922" s="57">
        <v>4.6399999999999997</v>
      </c>
      <c r="O922" s="18">
        <v>0</v>
      </c>
      <c r="P922" s="18">
        <v>0</v>
      </c>
      <c r="Q922" s="63">
        <v>0.78</v>
      </c>
      <c r="R922" s="46"/>
    </row>
    <row r="923" spans="1:18">
      <c r="A923" s="33" t="s">
        <v>8590</v>
      </c>
      <c r="B923" s="54" t="s">
        <v>7783</v>
      </c>
      <c r="C923" s="55">
        <v>43727</v>
      </c>
      <c r="D923" s="47" t="s">
        <v>8465</v>
      </c>
      <c r="E923" s="40" t="s">
        <v>8591</v>
      </c>
      <c r="F923" s="40" t="s">
        <v>8591</v>
      </c>
      <c r="G923" s="56"/>
      <c r="H923" s="67" t="s">
        <v>255</v>
      </c>
      <c r="J923" s="43"/>
      <c r="K923" s="63">
        <v>0.75</v>
      </c>
      <c r="L923" s="40">
        <v>922</v>
      </c>
      <c r="M923" s="55">
        <v>43937</v>
      </c>
      <c r="N923" s="57">
        <v>2.37</v>
      </c>
      <c r="O923" s="18">
        <v>0</v>
      </c>
      <c r="P923" s="18">
        <v>0</v>
      </c>
      <c r="Q923" s="63">
        <v>0.79</v>
      </c>
      <c r="R923" s="46"/>
    </row>
    <row r="924" spans="1:18">
      <c r="A924" s="33" t="s">
        <v>8592</v>
      </c>
      <c r="B924" s="54" t="s">
        <v>7783</v>
      </c>
      <c r="C924" s="55">
        <v>43745</v>
      </c>
      <c r="D924" s="47" t="s">
        <v>8465</v>
      </c>
      <c r="E924" s="40" t="s">
        <v>1625</v>
      </c>
      <c r="F924" s="40" t="s">
        <v>1625</v>
      </c>
      <c r="G924" s="56"/>
      <c r="H924" s="67" t="s">
        <v>67</v>
      </c>
      <c r="J924" s="43"/>
      <c r="K924" s="63">
        <v>0.7</v>
      </c>
      <c r="L924" s="40">
        <v>923</v>
      </c>
      <c r="M924" s="55">
        <v>43937</v>
      </c>
      <c r="N924" s="57"/>
      <c r="O924" s="18">
        <v>0</v>
      </c>
      <c r="P924" s="18">
        <v>0</v>
      </c>
      <c r="Q924" s="63"/>
      <c r="R924" s="46"/>
    </row>
    <row r="925" spans="1:18" ht="30">
      <c r="A925" s="33" t="s">
        <v>10027</v>
      </c>
      <c r="B925" s="54" t="s">
        <v>7766</v>
      </c>
      <c r="C925" s="55">
        <v>41954</v>
      </c>
      <c r="D925" s="47" t="s">
        <v>8465</v>
      </c>
      <c r="E925" s="40" t="s">
        <v>3116</v>
      </c>
      <c r="F925" s="40" t="s">
        <v>4078</v>
      </c>
      <c r="G925" s="56" t="s">
        <v>4079</v>
      </c>
      <c r="H925" s="67" t="s">
        <v>1050</v>
      </c>
      <c r="J925" s="43" t="s">
        <v>6523</v>
      </c>
      <c r="K925" s="63">
        <v>0.7</v>
      </c>
      <c r="L925" s="40">
        <v>924</v>
      </c>
      <c r="M925" s="55">
        <v>43937</v>
      </c>
      <c r="N925" s="57"/>
      <c r="O925" s="18">
        <v>0</v>
      </c>
      <c r="P925" s="18">
        <v>0</v>
      </c>
      <c r="Q925" s="63">
        <v>0.85</v>
      </c>
      <c r="R925" s="46"/>
    </row>
    <row r="926" spans="1:18">
      <c r="A926" s="33" t="s">
        <v>8593</v>
      </c>
      <c r="B926" s="54" t="s">
        <v>7783</v>
      </c>
      <c r="C926" s="55">
        <v>43727</v>
      </c>
      <c r="D926" s="47" t="s">
        <v>8465</v>
      </c>
      <c r="E926" s="40" t="s">
        <v>3642</v>
      </c>
      <c r="F926" s="40" t="s">
        <v>3642</v>
      </c>
      <c r="G926" s="56" t="s">
        <v>3640</v>
      </c>
      <c r="H926" s="67" t="s">
        <v>67</v>
      </c>
      <c r="J926" s="43"/>
      <c r="K926" s="63">
        <v>0.7</v>
      </c>
      <c r="L926" s="40">
        <v>925</v>
      </c>
      <c r="M926" s="55">
        <v>43938</v>
      </c>
      <c r="N926" s="57"/>
      <c r="O926" s="18">
        <v>0</v>
      </c>
      <c r="P926" s="18">
        <v>0</v>
      </c>
      <c r="Q926" s="63">
        <v>0.82</v>
      </c>
      <c r="R926" s="46"/>
    </row>
    <row r="927" spans="1:18" ht="25.5">
      <c r="A927" s="33" t="s">
        <v>8558</v>
      </c>
      <c r="B927" s="54" t="s">
        <v>7760</v>
      </c>
      <c r="C927" s="55">
        <v>43931</v>
      </c>
      <c r="D927" s="47" t="s">
        <v>8465</v>
      </c>
      <c r="E927" s="40" t="s">
        <v>1082</v>
      </c>
      <c r="F927" s="40" t="s">
        <v>8559</v>
      </c>
      <c r="G927" s="56" t="s">
        <v>126</v>
      </c>
      <c r="H927" s="67" t="s">
        <v>171</v>
      </c>
      <c r="J927" s="43"/>
      <c r="K927" s="63">
        <v>0.95</v>
      </c>
      <c r="L927" s="40">
        <v>926</v>
      </c>
      <c r="M927" s="55">
        <v>43940</v>
      </c>
      <c r="N927" s="57">
        <v>30.68</v>
      </c>
      <c r="O927" s="18">
        <v>0</v>
      </c>
      <c r="P927" s="18">
        <v>0</v>
      </c>
      <c r="Q927" s="63">
        <v>0.87</v>
      </c>
      <c r="R927" s="46"/>
    </row>
    <row r="928" spans="1:18">
      <c r="A928" s="33" t="s">
        <v>8353</v>
      </c>
      <c r="B928" s="54" t="s">
        <v>7744</v>
      </c>
      <c r="C928" s="55">
        <v>43875</v>
      </c>
      <c r="D928" s="47" t="s">
        <v>8465</v>
      </c>
      <c r="E928" s="40" t="s">
        <v>1583</v>
      </c>
      <c r="F928" s="40" t="s">
        <v>8354</v>
      </c>
      <c r="G928" s="56" t="s">
        <v>1585</v>
      </c>
      <c r="H928" s="67" t="s">
        <v>171</v>
      </c>
      <c r="J928" s="43"/>
      <c r="K928" s="63">
        <v>0.7</v>
      </c>
      <c r="L928" s="40">
        <v>927</v>
      </c>
      <c r="M928" s="55">
        <v>43942</v>
      </c>
      <c r="N928" s="57">
        <v>10</v>
      </c>
      <c r="O928" s="18">
        <v>0</v>
      </c>
      <c r="P928" s="18">
        <v>0</v>
      </c>
      <c r="Q928" s="63">
        <v>0.75</v>
      </c>
      <c r="R928" s="46"/>
    </row>
    <row r="929" spans="1:18" ht="25.5">
      <c r="A929" s="33" t="s">
        <v>8509</v>
      </c>
      <c r="B929" s="54" t="s">
        <v>7744</v>
      </c>
      <c r="C929" s="55">
        <v>43910</v>
      </c>
      <c r="D929" s="47" t="s">
        <v>8465</v>
      </c>
      <c r="E929" s="40" t="s">
        <v>86</v>
      </c>
      <c r="F929" s="40" t="s">
        <v>1138</v>
      </c>
      <c r="G929" s="56" t="s">
        <v>901</v>
      </c>
      <c r="H929" s="67" t="s">
        <v>1334</v>
      </c>
      <c r="J929" s="43"/>
      <c r="K929" s="63">
        <v>0.9</v>
      </c>
      <c r="L929" s="40">
        <v>928</v>
      </c>
      <c r="M929" s="55">
        <v>43943</v>
      </c>
      <c r="N929" s="57"/>
      <c r="O929" s="18">
        <v>0</v>
      </c>
      <c r="P929" s="18">
        <v>0</v>
      </c>
      <c r="Q929" s="63">
        <v>0.91</v>
      </c>
      <c r="R929" s="46"/>
    </row>
    <row r="930" spans="1:18">
      <c r="A930" s="33" t="s">
        <v>8595</v>
      </c>
      <c r="B930" s="54" t="s">
        <v>7800</v>
      </c>
      <c r="C930" s="55">
        <v>42850</v>
      </c>
      <c r="D930" s="47" t="s">
        <v>8465</v>
      </c>
      <c r="E930" s="40" t="s">
        <v>3797</v>
      </c>
      <c r="F930" s="40" t="s">
        <v>3797</v>
      </c>
      <c r="G930" s="56"/>
      <c r="H930" s="67" t="s">
        <v>67</v>
      </c>
      <c r="I930" s="18">
        <v>1</v>
      </c>
      <c r="J930" s="43"/>
      <c r="K930" s="63">
        <v>0.6</v>
      </c>
      <c r="L930" s="40">
        <v>929</v>
      </c>
      <c r="M930" s="55">
        <v>43943</v>
      </c>
      <c r="N930" s="57"/>
      <c r="O930" s="18">
        <v>0</v>
      </c>
      <c r="P930" s="18">
        <v>0</v>
      </c>
      <c r="Q930" s="63">
        <v>0.77</v>
      </c>
      <c r="R930" s="46"/>
    </row>
    <row r="931" spans="1:18" ht="25.5">
      <c r="A931" s="33" t="s">
        <v>8600</v>
      </c>
      <c r="B931" s="54" t="s">
        <v>7783</v>
      </c>
      <c r="C931" s="55">
        <v>43727</v>
      </c>
      <c r="D931" s="47" t="s">
        <v>8465</v>
      </c>
      <c r="E931" s="40" t="s">
        <v>8601</v>
      </c>
      <c r="F931" s="40" t="s">
        <v>8601</v>
      </c>
      <c r="G931" s="56" t="s">
        <v>8602</v>
      </c>
      <c r="H931" s="67" t="s">
        <v>67</v>
      </c>
      <c r="J931" s="43"/>
      <c r="K931" s="63">
        <v>0.5</v>
      </c>
      <c r="L931" s="40">
        <v>930</v>
      </c>
      <c r="M931" s="55">
        <v>43945</v>
      </c>
      <c r="N931" s="57">
        <v>10.38</v>
      </c>
      <c r="O931" s="18">
        <v>0</v>
      </c>
      <c r="P931" s="18">
        <v>0</v>
      </c>
      <c r="Q931" s="63"/>
      <c r="R931" s="46"/>
    </row>
    <row r="932" spans="1:18">
      <c r="A932" s="33" t="s">
        <v>8594</v>
      </c>
      <c r="B932" s="54" t="s">
        <v>7800</v>
      </c>
      <c r="C932" s="55">
        <v>43945</v>
      </c>
      <c r="D932" s="47" t="s">
        <v>8465</v>
      </c>
      <c r="E932" s="40" t="s">
        <v>3310</v>
      </c>
      <c r="F932" s="40" t="s">
        <v>4993</v>
      </c>
      <c r="G932" s="56" t="s">
        <v>5594</v>
      </c>
      <c r="H932" s="67" t="s">
        <v>3937</v>
      </c>
      <c r="J932" s="43"/>
      <c r="K932" s="63">
        <v>0.8</v>
      </c>
      <c r="L932" s="40">
        <v>931</v>
      </c>
      <c r="M932" s="55">
        <v>43952</v>
      </c>
      <c r="N932" s="57">
        <v>20</v>
      </c>
      <c r="O932" s="18">
        <v>0</v>
      </c>
      <c r="P932" s="18">
        <v>0</v>
      </c>
      <c r="Q932" s="63">
        <v>0.78</v>
      </c>
      <c r="R932" s="46"/>
    </row>
    <row r="933" spans="1:18">
      <c r="A933" s="33" t="s">
        <v>8649</v>
      </c>
      <c r="B933" s="54" t="s">
        <v>7800</v>
      </c>
      <c r="C933" s="55">
        <v>43949</v>
      </c>
      <c r="D933" s="47" t="s">
        <v>8465</v>
      </c>
      <c r="E933" s="40" t="s">
        <v>6517</v>
      </c>
      <c r="F933" s="40" t="s">
        <v>3268</v>
      </c>
      <c r="G933" s="56" t="s">
        <v>6303</v>
      </c>
      <c r="H933" s="67" t="s">
        <v>3937</v>
      </c>
      <c r="J933" s="43"/>
      <c r="K933" s="63">
        <v>0.75</v>
      </c>
      <c r="L933" s="40">
        <v>932</v>
      </c>
      <c r="M933" s="55">
        <v>43958</v>
      </c>
      <c r="N933" s="57">
        <v>24.17</v>
      </c>
      <c r="O933" s="18">
        <v>0</v>
      </c>
      <c r="P933" s="18">
        <v>0</v>
      </c>
      <c r="Q933" s="63">
        <v>0.81</v>
      </c>
      <c r="R933" s="46"/>
    </row>
    <row r="934" spans="1:18">
      <c r="A934" s="33" t="s">
        <v>8507</v>
      </c>
      <c r="B934" s="54" t="s">
        <v>7800</v>
      </c>
      <c r="C934" s="55">
        <v>43753</v>
      </c>
      <c r="D934" s="47" t="s">
        <v>8465</v>
      </c>
      <c r="E934" s="40" t="s">
        <v>8508</v>
      </c>
      <c r="F934" s="40" t="s">
        <v>8508</v>
      </c>
      <c r="G934" s="56"/>
      <c r="H934" s="67" t="s">
        <v>1720</v>
      </c>
      <c r="J934" s="43"/>
      <c r="K934" s="63">
        <v>0.9</v>
      </c>
      <c r="L934" s="40">
        <v>933</v>
      </c>
      <c r="M934" s="55">
        <v>43962</v>
      </c>
      <c r="N934" s="57">
        <v>15.35</v>
      </c>
      <c r="O934" s="18">
        <v>0</v>
      </c>
      <c r="P934" s="18">
        <v>0</v>
      </c>
      <c r="Q934" s="63">
        <v>0.9</v>
      </c>
      <c r="R934" s="46"/>
    </row>
    <row r="935" spans="1:18">
      <c r="A935" s="33" t="s">
        <v>8608</v>
      </c>
      <c r="B935" s="54" t="s">
        <v>7744</v>
      </c>
      <c r="C935" s="55">
        <v>43945</v>
      </c>
      <c r="D935" s="47" t="s">
        <v>8465</v>
      </c>
      <c r="E935" s="40" t="s">
        <v>1082</v>
      </c>
      <c r="F935" s="40" t="s">
        <v>8609</v>
      </c>
      <c r="G935" s="56" t="s">
        <v>1253</v>
      </c>
      <c r="H935" s="67" t="s">
        <v>171</v>
      </c>
      <c r="J935" s="43"/>
      <c r="K935" s="63">
        <v>0.7</v>
      </c>
      <c r="L935" s="40">
        <v>934</v>
      </c>
      <c r="M935" s="55">
        <v>43963</v>
      </c>
      <c r="N935" s="57">
        <v>17.149999999999999</v>
      </c>
      <c r="O935" s="18">
        <v>0</v>
      </c>
      <c r="P935" s="18">
        <v>0</v>
      </c>
      <c r="Q935" s="63">
        <v>0.76</v>
      </c>
      <c r="R935" s="46"/>
    </row>
    <row r="936" spans="1:18">
      <c r="A936" s="33" t="s">
        <v>8495</v>
      </c>
      <c r="B936" s="54" t="s">
        <v>7800</v>
      </c>
      <c r="C936" s="55">
        <v>43671</v>
      </c>
      <c r="D936" s="47" t="s">
        <v>8465</v>
      </c>
      <c r="E936" s="40" t="s">
        <v>1690</v>
      </c>
      <c r="F936" s="40" t="s">
        <v>3218</v>
      </c>
      <c r="G936" s="56" t="s">
        <v>1724</v>
      </c>
      <c r="H936" s="67" t="s">
        <v>1050</v>
      </c>
      <c r="I936" s="18">
        <v>1</v>
      </c>
      <c r="J936" s="43"/>
      <c r="K936" s="63">
        <v>0.5</v>
      </c>
      <c r="L936" s="40">
        <v>935</v>
      </c>
      <c r="M936" s="55">
        <v>43964</v>
      </c>
      <c r="N936" s="57">
        <v>1.63</v>
      </c>
      <c r="O936" s="18">
        <v>0</v>
      </c>
      <c r="P936" s="18">
        <v>0</v>
      </c>
      <c r="Q936" s="63">
        <v>0.54</v>
      </c>
      <c r="R936" s="46"/>
    </row>
    <row r="937" spans="1:18" ht="38.25">
      <c r="A937" s="33" t="s">
        <v>8491</v>
      </c>
      <c r="B937" s="54" t="s">
        <v>7744</v>
      </c>
      <c r="C937" s="55">
        <v>43896</v>
      </c>
      <c r="D937" s="47" t="s">
        <v>8465</v>
      </c>
      <c r="E937" s="40" t="s">
        <v>86</v>
      </c>
      <c r="F937" s="40" t="s">
        <v>2452</v>
      </c>
      <c r="G937" s="56" t="s">
        <v>1984</v>
      </c>
      <c r="H937" s="67" t="s">
        <v>1377</v>
      </c>
      <c r="J937" s="43"/>
      <c r="K937" s="63">
        <v>0.6</v>
      </c>
      <c r="L937" s="40">
        <v>936</v>
      </c>
      <c r="M937" s="55">
        <v>43971</v>
      </c>
      <c r="N937" s="57">
        <v>13.61</v>
      </c>
      <c r="O937" s="18">
        <v>0</v>
      </c>
      <c r="P937" s="18">
        <v>0</v>
      </c>
      <c r="Q937" s="63">
        <v>0.68</v>
      </c>
      <c r="R937" s="46"/>
    </row>
    <row r="938" spans="1:18">
      <c r="A938" s="33" t="s">
        <v>3013</v>
      </c>
      <c r="B938" s="54" t="s">
        <v>7757</v>
      </c>
      <c r="C938" s="55">
        <v>36412</v>
      </c>
      <c r="D938" s="47" t="s">
        <v>8465</v>
      </c>
      <c r="E938" s="40" t="s">
        <v>3045</v>
      </c>
      <c r="F938" s="40" t="s">
        <v>161</v>
      </c>
      <c r="G938" s="56" t="s">
        <v>126</v>
      </c>
      <c r="H938" s="67" t="s">
        <v>149</v>
      </c>
      <c r="J938" s="43"/>
      <c r="K938" s="63">
        <v>0.85</v>
      </c>
      <c r="L938" s="54">
        <v>937</v>
      </c>
      <c r="M938" s="55">
        <v>43974</v>
      </c>
      <c r="N938" s="57">
        <v>40.98</v>
      </c>
      <c r="O938" s="18">
        <v>0</v>
      </c>
      <c r="P938" s="18">
        <v>0</v>
      </c>
      <c r="Q938" s="63">
        <v>0.89</v>
      </c>
      <c r="R938" s="46"/>
    </row>
    <row r="939" spans="1:18">
      <c r="A939" s="33" t="s">
        <v>8554</v>
      </c>
      <c r="B939" s="54" t="s">
        <v>8555</v>
      </c>
      <c r="C939" s="55">
        <v>43788</v>
      </c>
      <c r="D939" s="47" t="s">
        <v>8465</v>
      </c>
      <c r="E939" s="40" t="s">
        <v>3602</v>
      </c>
      <c r="F939" s="40" t="s">
        <v>3602</v>
      </c>
      <c r="G939" s="56"/>
      <c r="H939" s="67" t="s">
        <v>80</v>
      </c>
      <c r="J939" s="43"/>
      <c r="K939" s="63">
        <v>0.7</v>
      </c>
      <c r="L939" s="54">
        <v>938</v>
      </c>
      <c r="M939" s="55">
        <v>43974</v>
      </c>
      <c r="N939" s="57">
        <v>4.1100000000000003</v>
      </c>
      <c r="O939" s="18">
        <v>0</v>
      </c>
      <c r="P939" s="18">
        <v>0</v>
      </c>
      <c r="Q939" s="63">
        <v>0.68</v>
      </c>
      <c r="R939" s="46"/>
    </row>
    <row r="940" spans="1:18">
      <c r="A940" s="33" t="s">
        <v>5874</v>
      </c>
      <c r="B940" s="54" t="s">
        <v>7760</v>
      </c>
      <c r="C940" s="55">
        <v>43949</v>
      </c>
      <c r="D940" s="47" t="s">
        <v>8465</v>
      </c>
      <c r="E940" s="40" t="s">
        <v>455</v>
      </c>
      <c r="F940" s="40" t="s">
        <v>455</v>
      </c>
      <c r="G940" s="56" t="s">
        <v>5874</v>
      </c>
      <c r="H940" s="67" t="s">
        <v>1059</v>
      </c>
      <c r="J940" s="43"/>
      <c r="K940" s="63">
        <v>0.65</v>
      </c>
      <c r="L940" s="54">
        <v>939</v>
      </c>
      <c r="M940" s="55">
        <v>43976</v>
      </c>
      <c r="N940" s="57">
        <v>17</v>
      </c>
      <c r="O940" s="18">
        <v>0</v>
      </c>
      <c r="P940" s="18">
        <v>0</v>
      </c>
      <c r="Q940" s="63">
        <v>0.73</v>
      </c>
      <c r="R940" s="46"/>
    </row>
    <row r="941" spans="1:18">
      <c r="A941" s="33" t="s">
        <v>8710</v>
      </c>
      <c r="B941" s="54" t="s">
        <v>7800</v>
      </c>
      <c r="C941" s="55">
        <v>43977</v>
      </c>
      <c r="D941" s="47" t="s">
        <v>8465</v>
      </c>
      <c r="E941" s="40" t="s">
        <v>6517</v>
      </c>
      <c r="F941" s="40" t="s">
        <v>8711</v>
      </c>
      <c r="G941" s="56" t="s">
        <v>5660</v>
      </c>
      <c r="H941" s="67" t="s">
        <v>171</v>
      </c>
      <c r="J941" s="43"/>
      <c r="K941" s="63">
        <v>0.7</v>
      </c>
      <c r="L941" s="54">
        <v>940</v>
      </c>
      <c r="M941" s="55">
        <v>43977</v>
      </c>
      <c r="N941" s="57">
        <v>4.75</v>
      </c>
      <c r="O941" s="18">
        <v>0</v>
      </c>
      <c r="P941" s="18">
        <v>0</v>
      </c>
      <c r="Q941" s="63">
        <v>0.7</v>
      </c>
      <c r="R941" s="46"/>
    </row>
    <row r="942" spans="1:18" ht="25.5">
      <c r="A942" s="33" t="s">
        <v>8688</v>
      </c>
      <c r="B942" s="54" t="s">
        <v>7800</v>
      </c>
      <c r="C942" s="55">
        <v>43928</v>
      </c>
      <c r="D942" s="47" t="s">
        <v>8465</v>
      </c>
      <c r="E942" s="40" t="s">
        <v>1062</v>
      </c>
      <c r="F942" s="40" t="s">
        <v>8708</v>
      </c>
      <c r="G942" s="56" t="s">
        <v>5803</v>
      </c>
      <c r="H942" s="67" t="s">
        <v>67</v>
      </c>
      <c r="J942" s="43"/>
      <c r="K942" s="63">
        <v>0.5</v>
      </c>
      <c r="L942" s="54">
        <v>941</v>
      </c>
      <c r="M942" s="55">
        <v>43978</v>
      </c>
      <c r="N942" s="57">
        <v>8.77</v>
      </c>
      <c r="O942" s="18">
        <v>0</v>
      </c>
      <c r="P942" s="18">
        <v>0</v>
      </c>
      <c r="Q942" s="63">
        <v>0.57999999999999996</v>
      </c>
      <c r="R942" s="46"/>
    </row>
    <row r="943" spans="1:18" ht="25.5">
      <c r="A943" s="33" t="s">
        <v>8696</v>
      </c>
      <c r="B943" s="54" t="s">
        <v>8555</v>
      </c>
      <c r="C943" s="55">
        <v>43917</v>
      </c>
      <c r="D943" s="47" t="s">
        <v>8465</v>
      </c>
      <c r="E943" s="40" t="s">
        <v>7894</v>
      </c>
      <c r="F943" s="40" t="s">
        <v>8713</v>
      </c>
      <c r="G943" s="56"/>
      <c r="H943" s="67" t="s">
        <v>64</v>
      </c>
      <c r="J943" s="43"/>
      <c r="K943" s="63">
        <v>0.6</v>
      </c>
      <c r="L943" s="54">
        <v>942</v>
      </c>
      <c r="M943" s="55">
        <v>43979</v>
      </c>
      <c r="N943" s="57">
        <v>3.99</v>
      </c>
      <c r="O943" s="18">
        <v>0</v>
      </c>
      <c r="P943" s="18">
        <v>0</v>
      </c>
      <c r="Q943" s="63">
        <v>0.78</v>
      </c>
      <c r="R943" s="46"/>
    </row>
    <row r="944" spans="1:18">
      <c r="A944" s="33" t="s">
        <v>3012</v>
      </c>
      <c r="B944" s="54" t="s">
        <v>7757</v>
      </c>
      <c r="C944" s="55">
        <v>36843</v>
      </c>
      <c r="D944" s="47" t="s">
        <v>8465</v>
      </c>
      <c r="E944" s="40" t="s">
        <v>161</v>
      </c>
      <c r="F944" s="40" t="s">
        <v>161</v>
      </c>
      <c r="G944" s="56" t="s">
        <v>126</v>
      </c>
      <c r="H944" s="67" t="s">
        <v>149</v>
      </c>
      <c r="J944" s="43"/>
      <c r="K944" s="63">
        <v>0.8</v>
      </c>
      <c r="L944" s="54">
        <v>943</v>
      </c>
      <c r="M944" s="55">
        <v>43990</v>
      </c>
      <c r="N944" s="57">
        <v>41.43</v>
      </c>
      <c r="O944" s="18">
        <v>0</v>
      </c>
      <c r="P944" s="18">
        <v>0</v>
      </c>
      <c r="Q944" s="63">
        <v>0.93</v>
      </c>
      <c r="R944" s="46"/>
    </row>
    <row r="945" spans="1:18" ht="25.5">
      <c r="A945" s="33" t="s">
        <v>8728</v>
      </c>
      <c r="B945" s="54" t="s">
        <v>7744</v>
      </c>
      <c r="C945" s="55">
        <v>43980</v>
      </c>
      <c r="D945" s="47" t="s">
        <v>8465</v>
      </c>
      <c r="E945" s="40" t="s">
        <v>86</v>
      </c>
      <c r="F945" s="40" t="s">
        <v>1145</v>
      </c>
      <c r="G945" s="56" t="s">
        <v>1146</v>
      </c>
      <c r="H945" s="67" t="s">
        <v>171</v>
      </c>
      <c r="J945" s="43"/>
      <c r="K945" s="63">
        <v>0.9</v>
      </c>
      <c r="L945" s="54">
        <v>944</v>
      </c>
      <c r="M945" s="55">
        <v>44003</v>
      </c>
      <c r="N945" s="57">
        <v>50.27</v>
      </c>
      <c r="O945" s="18">
        <v>0</v>
      </c>
      <c r="P945" s="18">
        <v>0</v>
      </c>
      <c r="Q945" s="63">
        <v>0.89</v>
      </c>
      <c r="R945" s="46"/>
    </row>
    <row r="946" spans="1:18">
      <c r="A946" s="33" t="s">
        <v>8927</v>
      </c>
      <c r="B946" s="54" t="s">
        <v>7760</v>
      </c>
      <c r="C946" s="55">
        <v>44001</v>
      </c>
      <c r="D946" s="47" t="s">
        <v>8465</v>
      </c>
      <c r="E946" s="40" t="s">
        <v>6107</v>
      </c>
      <c r="F946" s="40" t="s">
        <v>2646</v>
      </c>
      <c r="G946" s="56" t="s">
        <v>6064</v>
      </c>
      <c r="H946" s="67" t="s">
        <v>80</v>
      </c>
      <c r="J946" s="43"/>
      <c r="K946" s="63">
        <v>0.9</v>
      </c>
      <c r="L946" s="54">
        <v>945</v>
      </c>
      <c r="M946" s="55">
        <v>44007</v>
      </c>
      <c r="N946" s="57">
        <v>20.55</v>
      </c>
      <c r="O946" s="18">
        <v>0</v>
      </c>
      <c r="P946" s="18">
        <v>0</v>
      </c>
      <c r="Q946" s="63">
        <v>0.95</v>
      </c>
      <c r="R946" s="46"/>
    </row>
    <row r="947" spans="1:18" ht="25.5">
      <c r="A947" s="33" t="s">
        <v>8707</v>
      </c>
      <c r="B947" s="54" t="s">
        <v>7763</v>
      </c>
      <c r="C947" s="55">
        <v>43977</v>
      </c>
      <c r="D947" s="47" t="s">
        <v>8465</v>
      </c>
      <c r="E947" s="40" t="s">
        <v>1062</v>
      </c>
      <c r="F947" s="40" t="s">
        <v>8708</v>
      </c>
      <c r="G947" s="56" t="s">
        <v>8709</v>
      </c>
      <c r="H947" s="67" t="s">
        <v>1057</v>
      </c>
      <c r="J947" s="43"/>
      <c r="K947" s="63">
        <v>0.7</v>
      </c>
      <c r="L947" s="54">
        <v>946</v>
      </c>
      <c r="M947" s="55">
        <v>44010</v>
      </c>
      <c r="N947" s="57">
        <v>32.04</v>
      </c>
      <c r="O947" s="18">
        <v>0</v>
      </c>
      <c r="P947" s="18">
        <v>0</v>
      </c>
      <c r="Q947" s="63"/>
      <c r="R947" s="46"/>
    </row>
    <row r="948" spans="1:18">
      <c r="A948" s="33" t="s">
        <v>8556</v>
      </c>
      <c r="B948" s="54" t="s">
        <v>7800</v>
      </c>
      <c r="C948" s="55">
        <v>43924</v>
      </c>
      <c r="D948" s="47" t="s">
        <v>8465</v>
      </c>
      <c r="E948" s="40" t="s">
        <v>8557</v>
      </c>
      <c r="F948" s="40" t="s">
        <v>8557</v>
      </c>
      <c r="G948" s="56"/>
      <c r="H948" s="67" t="s">
        <v>1061</v>
      </c>
      <c r="J948" s="43"/>
      <c r="K948" s="63">
        <v>0.5</v>
      </c>
      <c r="L948" s="54">
        <v>947</v>
      </c>
      <c r="M948" s="55">
        <v>44010</v>
      </c>
      <c r="N948" s="57">
        <v>0.35</v>
      </c>
      <c r="O948" s="18">
        <v>0</v>
      </c>
      <c r="P948" s="18">
        <v>0</v>
      </c>
      <c r="Q948" s="63"/>
      <c r="R948" s="46"/>
    </row>
    <row r="949" spans="1:18" ht="38.25">
      <c r="A949" s="33" t="s">
        <v>8792</v>
      </c>
      <c r="B949" s="54" t="s">
        <v>7800</v>
      </c>
      <c r="C949" s="55">
        <v>43951</v>
      </c>
      <c r="D949" s="47" t="s">
        <v>8465</v>
      </c>
      <c r="E949" s="40" t="s">
        <v>1273</v>
      </c>
      <c r="F949" s="40" t="s">
        <v>3400</v>
      </c>
      <c r="G949" s="56" t="s">
        <v>3401</v>
      </c>
      <c r="H949" s="67" t="s">
        <v>1050</v>
      </c>
      <c r="J949" s="43"/>
      <c r="K949" s="63">
        <v>0.75</v>
      </c>
      <c r="L949" s="54">
        <v>948</v>
      </c>
      <c r="M949" s="55">
        <v>44013</v>
      </c>
      <c r="N949" s="57"/>
      <c r="O949" s="18">
        <v>0</v>
      </c>
      <c r="P949" s="18">
        <v>0</v>
      </c>
      <c r="Q949" s="63">
        <v>0.71</v>
      </c>
      <c r="R949" s="46"/>
    </row>
    <row r="950" spans="1:18" ht="25.5">
      <c r="A950" s="33" t="s">
        <v>8206</v>
      </c>
      <c r="B950" s="54" t="s">
        <v>7800</v>
      </c>
      <c r="C950" s="55">
        <v>43671</v>
      </c>
      <c r="D950" s="47" t="s">
        <v>8465</v>
      </c>
      <c r="E950" s="40" t="s">
        <v>1690</v>
      </c>
      <c r="F950" s="40" t="s">
        <v>1723</v>
      </c>
      <c r="G950" s="56" t="s">
        <v>1724</v>
      </c>
      <c r="H950" s="67" t="s">
        <v>1050</v>
      </c>
      <c r="J950" s="43"/>
      <c r="K950" s="63">
        <v>0.5</v>
      </c>
      <c r="L950" s="54">
        <v>949</v>
      </c>
      <c r="M950" s="55">
        <v>44013</v>
      </c>
      <c r="N950" s="57">
        <v>7.2</v>
      </c>
      <c r="O950" s="18">
        <v>0</v>
      </c>
      <c r="P950" s="18">
        <v>0</v>
      </c>
      <c r="Q950" s="63">
        <v>0.65</v>
      </c>
      <c r="R950" s="46"/>
    </row>
    <row r="951" spans="1:18">
      <c r="A951" s="33" t="s">
        <v>7154</v>
      </c>
      <c r="B951" s="54" t="s">
        <v>7800</v>
      </c>
      <c r="C951" s="54" t="s">
        <v>10028</v>
      </c>
      <c r="D951" s="47" t="s">
        <v>8465</v>
      </c>
      <c r="E951" s="40" t="s">
        <v>2821</v>
      </c>
      <c r="F951" s="40" t="s">
        <v>2821</v>
      </c>
      <c r="G951" s="56" t="s">
        <v>7599</v>
      </c>
      <c r="H951" s="67" t="s">
        <v>64</v>
      </c>
      <c r="J951" s="43"/>
      <c r="K951" s="63">
        <v>0.5</v>
      </c>
      <c r="L951" s="54">
        <v>950</v>
      </c>
      <c r="M951" s="55">
        <v>44014</v>
      </c>
      <c r="N951" s="57">
        <v>0.37</v>
      </c>
      <c r="O951" s="18">
        <v>0</v>
      </c>
      <c r="P951" s="18">
        <v>0</v>
      </c>
      <c r="Q951" s="63"/>
      <c r="R951" s="46"/>
    </row>
    <row r="952" spans="1:18">
      <c r="A952" s="33" t="s">
        <v>8633</v>
      </c>
      <c r="B952" s="54" t="s">
        <v>7800</v>
      </c>
      <c r="C952" s="55">
        <v>43714</v>
      </c>
      <c r="D952" s="47" t="s">
        <v>8465</v>
      </c>
      <c r="E952" s="40" t="s">
        <v>8636</v>
      </c>
      <c r="F952" s="40" t="s">
        <v>8636</v>
      </c>
      <c r="G952" s="56"/>
      <c r="H952" s="67" t="s">
        <v>1061</v>
      </c>
      <c r="J952" s="43"/>
      <c r="K952" s="63">
        <v>0.3</v>
      </c>
      <c r="L952" s="54">
        <v>951</v>
      </c>
      <c r="M952" s="55">
        <v>44014</v>
      </c>
      <c r="N952" s="57">
        <v>0.38</v>
      </c>
      <c r="O952" s="18">
        <v>0</v>
      </c>
      <c r="P952" s="18">
        <v>0</v>
      </c>
      <c r="Q952" s="63"/>
      <c r="R952" s="46"/>
    </row>
    <row r="953" spans="1:18">
      <c r="A953" s="33" t="s">
        <v>7142</v>
      </c>
      <c r="B953" s="54" t="s">
        <v>7800</v>
      </c>
      <c r="C953" s="58">
        <v>39387</v>
      </c>
      <c r="D953" s="47" t="s">
        <v>8465</v>
      </c>
      <c r="E953" s="40" t="s">
        <v>7223</v>
      </c>
      <c r="F953" s="40" t="s">
        <v>7223</v>
      </c>
      <c r="G953" s="56"/>
      <c r="H953" s="67" t="s">
        <v>1061</v>
      </c>
      <c r="J953" s="43"/>
      <c r="K953" s="63">
        <v>0.6</v>
      </c>
      <c r="L953" s="54">
        <v>952</v>
      </c>
      <c r="M953" s="55">
        <v>44014</v>
      </c>
      <c r="N953" s="57">
        <v>1.02</v>
      </c>
      <c r="O953" s="18">
        <v>0</v>
      </c>
      <c r="P953" s="18">
        <v>0</v>
      </c>
      <c r="Q953" s="63"/>
      <c r="R953" s="46"/>
    </row>
    <row r="954" spans="1:18">
      <c r="A954" s="33" t="s">
        <v>543</v>
      </c>
      <c r="B954" s="54" t="s">
        <v>7731</v>
      </c>
      <c r="C954" s="55">
        <v>34432</v>
      </c>
      <c r="D954" s="47" t="s">
        <v>8465</v>
      </c>
      <c r="E954" s="40" t="s">
        <v>170</v>
      </c>
      <c r="F954" s="40" t="s">
        <v>57</v>
      </c>
      <c r="G954" s="56" t="s">
        <v>543</v>
      </c>
      <c r="H954" s="67" t="s">
        <v>255</v>
      </c>
      <c r="J954" s="43"/>
      <c r="K954" s="63">
        <v>0.6</v>
      </c>
      <c r="L954" s="54">
        <v>953</v>
      </c>
      <c r="M954" s="55">
        <v>44014</v>
      </c>
      <c r="N954" s="57">
        <v>1.0900000000000001</v>
      </c>
      <c r="O954" s="18">
        <v>0</v>
      </c>
      <c r="P954" s="18">
        <v>1</v>
      </c>
      <c r="Q954" s="63"/>
      <c r="R954" s="46"/>
    </row>
    <row r="955" spans="1:18">
      <c r="A955" s="33" t="s">
        <v>7161</v>
      </c>
      <c r="B955" s="54" t="s">
        <v>7800</v>
      </c>
      <c r="C955" s="55">
        <v>39698</v>
      </c>
      <c r="D955" s="47" t="s">
        <v>8465</v>
      </c>
      <c r="E955" s="40" t="s">
        <v>4341</v>
      </c>
      <c r="F955" s="40" t="s">
        <v>4341</v>
      </c>
      <c r="G955" s="56"/>
      <c r="H955" s="67" t="s">
        <v>1061</v>
      </c>
      <c r="J955" s="43"/>
      <c r="K955" s="63">
        <v>0.4</v>
      </c>
      <c r="L955" s="54">
        <v>954</v>
      </c>
      <c r="M955" s="55">
        <v>44014</v>
      </c>
      <c r="N955" s="57"/>
      <c r="O955" s="18">
        <v>0</v>
      </c>
      <c r="P955" s="18">
        <v>0</v>
      </c>
      <c r="Q955" s="63"/>
      <c r="R955" s="46"/>
    </row>
    <row r="956" spans="1:18" ht="25.5">
      <c r="A956" s="33" t="s">
        <v>540</v>
      </c>
      <c r="B956" s="54" t="s">
        <v>7731</v>
      </c>
      <c r="C956" s="55">
        <v>34509</v>
      </c>
      <c r="D956" s="47" t="s">
        <v>8465</v>
      </c>
      <c r="E956" s="40" t="s">
        <v>170</v>
      </c>
      <c r="F956" s="40" t="s">
        <v>170</v>
      </c>
      <c r="G956" s="56"/>
      <c r="H956" s="67" t="s">
        <v>56</v>
      </c>
      <c r="J956" s="43"/>
      <c r="K956" s="63">
        <v>0.5</v>
      </c>
      <c r="L956" s="54">
        <v>955</v>
      </c>
      <c r="M956" s="55">
        <v>44014</v>
      </c>
      <c r="N956" s="57">
        <v>0.76</v>
      </c>
      <c r="O956" s="18">
        <v>0</v>
      </c>
      <c r="P956" s="18">
        <v>1</v>
      </c>
      <c r="Q956" s="63"/>
      <c r="R956" s="46"/>
    </row>
    <row r="957" spans="1:18" ht="25.5">
      <c r="A957" s="33" t="s">
        <v>4220</v>
      </c>
      <c r="B957" s="54" t="s">
        <v>7800</v>
      </c>
      <c r="C957" s="55">
        <v>40407</v>
      </c>
      <c r="D957" s="47" t="s">
        <v>8465</v>
      </c>
      <c r="E957" s="40" t="s">
        <v>1082</v>
      </c>
      <c r="F957" s="40" t="s">
        <v>4118</v>
      </c>
      <c r="G957" s="56" t="s">
        <v>4221</v>
      </c>
      <c r="H957" s="67" t="s">
        <v>1168</v>
      </c>
      <c r="J957" s="43"/>
      <c r="K957" s="63">
        <v>0.2</v>
      </c>
      <c r="L957" s="54">
        <v>956</v>
      </c>
      <c r="M957" s="55">
        <v>44014</v>
      </c>
      <c r="N957" s="57">
        <v>2.68</v>
      </c>
      <c r="O957" s="18">
        <v>0</v>
      </c>
      <c r="P957" s="18">
        <v>0</v>
      </c>
      <c r="Q957" s="63">
        <v>0.65</v>
      </c>
      <c r="R957" s="46"/>
    </row>
    <row r="958" spans="1:18" ht="51">
      <c r="A958" s="33" t="s">
        <v>8651</v>
      </c>
      <c r="B958" s="54" t="s">
        <v>7800</v>
      </c>
      <c r="C958" s="55">
        <v>44005</v>
      </c>
      <c r="D958" s="47" t="s">
        <v>8465</v>
      </c>
      <c r="E958" s="40" t="s">
        <v>1583</v>
      </c>
      <c r="F958" s="40" t="s">
        <v>8652</v>
      </c>
      <c r="G958" s="56" t="s">
        <v>8653</v>
      </c>
      <c r="H958" s="67" t="s">
        <v>1040</v>
      </c>
      <c r="J958" s="43"/>
      <c r="K958" s="63">
        <v>0.6</v>
      </c>
      <c r="L958" s="54">
        <v>957</v>
      </c>
      <c r="M958" s="55">
        <v>44017</v>
      </c>
      <c r="N958" s="57">
        <v>6.83</v>
      </c>
      <c r="O958" s="18">
        <v>0</v>
      </c>
      <c r="P958" s="18">
        <v>0</v>
      </c>
      <c r="Q958" s="63">
        <v>0.68</v>
      </c>
      <c r="R958" s="46"/>
    </row>
    <row r="959" spans="1:18">
      <c r="A959" s="33" t="s">
        <v>8988</v>
      </c>
      <c r="B959" s="54" t="s">
        <v>7783</v>
      </c>
      <c r="C959" s="55">
        <v>44008</v>
      </c>
      <c r="D959" s="47" t="s">
        <v>8465</v>
      </c>
      <c r="E959" s="40" t="s">
        <v>3372</v>
      </c>
      <c r="F959" s="40" t="s">
        <v>3372</v>
      </c>
      <c r="G959" s="56" t="s">
        <v>6919</v>
      </c>
      <c r="H959" s="67" t="s">
        <v>67</v>
      </c>
      <c r="J959" s="43"/>
      <c r="K959" s="63">
        <v>0.75</v>
      </c>
      <c r="L959" s="54">
        <v>958</v>
      </c>
      <c r="M959" s="55">
        <v>44017</v>
      </c>
      <c r="N959" s="57">
        <v>7.75</v>
      </c>
      <c r="O959" s="18">
        <v>0</v>
      </c>
      <c r="P959" s="18">
        <v>0</v>
      </c>
      <c r="Q959" s="63"/>
      <c r="R959" s="46"/>
    </row>
    <row r="960" spans="1:18" ht="38.25">
      <c r="A960" s="33" t="s">
        <v>2440</v>
      </c>
      <c r="B960" s="54" t="s">
        <v>7749</v>
      </c>
      <c r="C960" s="55">
        <v>42460</v>
      </c>
      <c r="D960" s="47" t="s">
        <v>8465</v>
      </c>
      <c r="E960" s="40" t="s">
        <v>86</v>
      </c>
      <c r="F960" s="40" t="s">
        <v>1794</v>
      </c>
      <c r="G960" s="56" t="s">
        <v>85</v>
      </c>
      <c r="H960" s="67" t="s">
        <v>78</v>
      </c>
      <c r="J960" s="43"/>
      <c r="K960" s="63">
        <v>0.7</v>
      </c>
      <c r="L960" s="54">
        <v>959</v>
      </c>
      <c r="M960" s="55">
        <v>44019</v>
      </c>
      <c r="N960" s="57">
        <v>5.8</v>
      </c>
      <c r="O960" s="18">
        <v>0</v>
      </c>
      <c r="P960" s="18">
        <v>0</v>
      </c>
      <c r="Q960" s="63">
        <v>0.75</v>
      </c>
      <c r="R960" s="46"/>
    </row>
    <row r="961" spans="1:18" ht="30">
      <c r="A961" s="33" t="s">
        <v>10029</v>
      </c>
      <c r="B961" s="54" t="s">
        <v>7800</v>
      </c>
      <c r="C961" s="55">
        <v>43987</v>
      </c>
      <c r="D961" s="47" t="s">
        <v>8465</v>
      </c>
      <c r="E961" s="40" t="s">
        <v>231</v>
      </c>
      <c r="F961" s="40" t="s">
        <v>8561</v>
      </c>
      <c r="G961" s="56" t="s">
        <v>3043</v>
      </c>
      <c r="H961" s="67" t="s">
        <v>1143</v>
      </c>
      <c r="J961" s="43" t="s">
        <v>8560</v>
      </c>
      <c r="K961" s="63">
        <v>0.6</v>
      </c>
      <c r="L961" s="54">
        <v>960</v>
      </c>
      <c r="M961" s="55">
        <v>44020</v>
      </c>
      <c r="N961" s="57">
        <v>9</v>
      </c>
      <c r="O961" s="18">
        <v>0</v>
      </c>
      <c r="P961" s="18">
        <v>0</v>
      </c>
      <c r="Q961" s="63">
        <v>0.83</v>
      </c>
      <c r="R961" s="46"/>
    </row>
    <row r="962" spans="1:18" ht="30">
      <c r="A962" s="33" t="s">
        <v>6513</v>
      </c>
      <c r="B962" s="54" t="s">
        <v>7744</v>
      </c>
      <c r="C962" s="55">
        <v>43980</v>
      </c>
      <c r="D962" s="47" t="s">
        <v>8465</v>
      </c>
      <c r="E962" s="40" t="s">
        <v>3310</v>
      </c>
      <c r="F962" s="40" t="s">
        <v>3154</v>
      </c>
      <c r="G962" s="56" t="s">
        <v>3356</v>
      </c>
      <c r="H962" s="67" t="s">
        <v>1050</v>
      </c>
      <c r="J962" s="43" t="s">
        <v>8725</v>
      </c>
      <c r="K962" s="63">
        <v>0.7</v>
      </c>
      <c r="L962" s="54">
        <v>961</v>
      </c>
      <c r="M962" s="55">
        <v>44028</v>
      </c>
      <c r="N962" s="57">
        <v>11.14</v>
      </c>
      <c r="O962" s="18">
        <v>0</v>
      </c>
      <c r="P962" s="18">
        <v>0</v>
      </c>
      <c r="Q962" s="63">
        <v>0.82</v>
      </c>
      <c r="R962" s="46"/>
    </row>
    <row r="963" spans="1:18" ht="30">
      <c r="A963" s="33" t="s">
        <v>10030</v>
      </c>
      <c r="B963" s="54" t="s">
        <v>7766</v>
      </c>
      <c r="C963" s="55">
        <v>41954</v>
      </c>
      <c r="D963" s="47" t="s">
        <v>8465</v>
      </c>
      <c r="E963" s="40" t="s">
        <v>3116</v>
      </c>
      <c r="F963" s="40" t="s">
        <v>4078</v>
      </c>
      <c r="G963" s="56" t="s">
        <v>4079</v>
      </c>
      <c r="H963" s="67" t="s">
        <v>1050</v>
      </c>
      <c r="J963" s="43" t="s">
        <v>6523</v>
      </c>
      <c r="K963" s="63">
        <v>0.7</v>
      </c>
      <c r="L963" s="54">
        <v>962</v>
      </c>
      <c r="M963" s="55">
        <v>44036</v>
      </c>
      <c r="N963" s="57"/>
      <c r="O963" s="18">
        <v>0</v>
      </c>
      <c r="P963" s="18">
        <v>0</v>
      </c>
      <c r="Q963" s="63">
        <v>0.85</v>
      </c>
      <c r="R963" s="46"/>
    </row>
    <row r="964" spans="1:18" ht="30">
      <c r="A964" s="33" t="s">
        <v>6323</v>
      </c>
      <c r="B964" s="54" t="s">
        <v>7766</v>
      </c>
      <c r="C964" s="55">
        <v>41954</v>
      </c>
      <c r="D964" s="47" t="s">
        <v>8465</v>
      </c>
      <c r="E964" s="40" t="s">
        <v>3116</v>
      </c>
      <c r="F964" s="40" t="s">
        <v>4078</v>
      </c>
      <c r="G964" s="56" t="s">
        <v>4079</v>
      </c>
      <c r="H964" s="67" t="s">
        <v>1050</v>
      </c>
      <c r="J964" s="43" t="s">
        <v>6523</v>
      </c>
      <c r="K964" s="63">
        <v>0.8</v>
      </c>
      <c r="L964" s="54">
        <v>963</v>
      </c>
      <c r="M964" s="55">
        <v>44037</v>
      </c>
      <c r="N964" s="57"/>
      <c r="O964" s="18">
        <v>0</v>
      </c>
      <c r="P964" s="18">
        <v>0</v>
      </c>
      <c r="Q964" s="63">
        <v>0.85</v>
      </c>
      <c r="R964" s="46"/>
    </row>
    <row r="965" spans="1:18" ht="30">
      <c r="A965" s="33" t="s">
        <v>9041</v>
      </c>
      <c r="B965" s="54" t="s">
        <v>7766</v>
      </c>
      <c r="C965" s="55">
        <v>42154</v>
      </c>
      <c r="D965" s="47" t="s">
        <v>8465</v>
      </c>
      <c r="E965" s="40" t="s">
        <v>3116</v>
      </c>
      <c r="F965" s="40" t="s">
        <v>4078</v>
      </c>
      <c r="G965" s="56" t="s">
        <v>4079</v>
      </c>
      <c r="H965" s="67" t="s">
        <v>1050</v>
      </c>
      <c r="J965" s="43" t="s">
        <v>6523</v>
      </c>
      <c r="K965" s="63">
        <v>0.75</v>
      </c>
      <c r="L965" s="54">
        <v>964</v>
      </c>
      <c r="M965" s="55">
        <v>44037</v>
      </c>
      <c r="N965" s="57"/>
      <c r="O965" s="18">
        <v>0</v>
      </c>
      <c r="P965" s="18">
        <v>0</v>
      </c>
      <c r="Q965" s="63">
        <v>0.85</v>
      </c>
      <c r="R965" s="46"/>
    </row>
    <row r="966" spans="1:18" ht="30">
      <c r="A966" s="33" t="s">
        <v>6361</v>
      </c>
      <c r="B966" s="54" t="s">
        <v>7766</v>
      </c>
      <c r="C966" s="55">
        <v>43802</v>
      </c>
      <c r="D966" s="47" t="s">
        <v>8465</v>
      </c>
      <c r="E966" s="40" t="s">
        <v>3116</v>
      </c>
      <c r="F966" s="40" t="s">
        <v>4078</v>
      </c>
      <c r="G966" s="56" t="s">
        <v>4079</v>
      </c>
      <c r="H966" s="67" t="s">
        <v>1050</v>
      </c>
      <c r="J966" s="43" t="s">
        <v>6523</v>
      </c>
      <c r="K966" s="63">
        <v>0.8</v>
      </c>
      <c r="L966" s="54">
        <v>965</v>
      </c>
      <c r="M966" s="55">
        <v>44038</v>
      </c>
      <c r="N966" s="57"/>
      <c r="O966" s="18">
        <v>0</v>
      </c>
      <c r="P966" s="18">
        <v>0</v>
      </c>
      <c r="Q966" s="63">
        <v>0.85</v>
      </c>
      <c r="R966" s="46"/>
    </row>
    <row r="967" spans="1:18" ht="30">
      <c r="A967" s="33" t="s">
        <v>9040</v>
      </c>
      <c r="B967" s="54" t="s">
        <v>7766</v>
      </c>
      <c r="C967" s="55">
        <v>41954</v>
      </c>
      <c r="D967" s="47" t="s">
        <v>8465</v>
      </c>
      <c r="E967" s="40" t="s">
        <v>3116</v>
      </c>
      <c r="F967" s="40" t="s">
        <v>4078</v>
      </c>
      <c r="G967" s="56" t="s">
        <v>4079</v>
      </c>
      <c r="H967" s="67" t="s">
        <v>1050</v>
      </c>
      <c r="J967" s="43" t="s">
        <v>6523</v>
      </c>
      <c r="K967" s="63">
        <v>0.7</v>
      </c>
      <c r="L967" s="54">
        <v>966</v>
      </c>
      <c r="M967" s="55">
        <v>44040</v>
      </c>
      <c r="N967" s="57"/>
      <c r="O967" s="18">
        <v>0</v>
      </c>
      <c r="P967" s="18">
        <v>0</v>
      </c>
      <c r="Q967" s="63">
        <v>0.85</v>
      </c>
      <c r="R967" s="46"/>
    </row>
    <row r="968" spans="1:18">
      <c r="A968" s="33" t="s">
        <v>8527</v>
      </c>
      <c r="B968" s="54" t="s">
        <v>7760</v>
      </c>
      <c r="C968" s="55">
        <v>43921</v>
      </c>
      <c r="D968" s="47" t="s">
        <v>8465</v>
      </c>
      <c r="E968" s="40" t="s">
        <v>2461</v>
      </c>
      <c r="F968" s="40" t="s">
        <v>2458</v>
      </c>
      <c r="G968" s="56" t="s">
        <v>1171</v>
      </c>
      <c r="H968" s="67" t="s">
        <v>149</v>
      </c>
      <c r="J968" s="43"/>
      <c r="K968" s="63">
        <v>1</v>
      </c>
      <c r="L968" s="54">
        <v>967</v>
      </c>
      <c r="M968" s="55">
        <v>44046</v>
      </c>
      <c r="N968" s="57">
        <f>114+1/60</f>
        <v>114.01666666666667</v>
      </c>
      <c r="O968" s="18">
        <v>0</v>
      </c>
      <c r="P968" s="18">
        <v>0</v>
      </c>
      <c r="Q968" s="63">
        <v>0.95</v>
      </c>
      <c r="R968" s="46"/>
    </row>
    <row r="969" spans="1:18">
      <c r="A969" s="33" t="s">
        <v>8985</v>
      </c>
      <c r="B969" s="54" t="s">
        <v>7744</v>
      </c>
      <c r="C969" s="55">
        <v>43951</v>
      </c>
      <c r="D969" s="47" t="s">
        <v>8465</v>
      </c>
      <c r="E969" s="40" t="s">
        <v>1721</v>
      </c>
      <c r="F969" s="40" t="s">
        <v>1726</v>
      </c>
      <c r="G969" s="56" t="s">
        <v>2516</v>
      </c>
      <c r="H969" s="67" t="s">
        <v>153</v>
      </c>
      <c r="J969" s="43"/>
      <c r="K969" s="63">
        <v>0.8</v>
      </c>
      <c r="L969" s="54">
        <v>968</v>
      </c>
      <c r="M969" s="55">
        <v>44047</v>
      </c>
      <c r="N969" s="57">
        <v>2</v>
      </c>
      <c r="O969" s="18">
        <v>0</v>
      </c>
      <c r="P969" s="18">
        <v>0</v>
      </c>
      <c r="Q969" s="63">
        <v>0.86</v>
      </c>
      <c r="R969" s="46"/>
    </row>
    <row r="970" spans="1:18">
      <c r="A970" s="33" t="s">
        <v>9095</v>
      </c>
      <c r="B970" s="54" t="s">
        <v>7744</v>
      </c>
      <c r="C970" s="55">
        <v>44035</v>
      </c>
      <c r="D970" s="47" t="s">
        <v>8465</v>
      </c>
      <c r="E970" s="40" t="s">
        <v>3063</v>
      </c>
      <c r="F970" s="40" t="s">
        <v>9096</v>
      </c>
      <c r="G970" s="56"/>
      <c r="H970" s="67" t="s">
        <v>151</v>
      </c>
      <c r="J970" s="43"/>
      <c r="K970" s="63">
        <v>0.7</v>
      </c>
      <c r="L970" s="54">
        <v>969</v>
      </c>
      <c r="M970" s="55">
        <v>44056</v>
      </c>
      <c r="N970" s="57"/>
      <c r="O970" s="18">
        <v>0</v>
      </c>
      <c r="P970" s="18">
        <v>0</v>
      </c>
      <c r="Q970" s="63">
        <v>0.76</v>
      </c>
      <c r="R970" s="46"/>
    </row>
    <row r="971" spans="1:18" ht="25.5">
      <c r="A971" s="33" t="s">
        <v>8727</v>
      </c>
      <c r="B971" s="54" t="s">
        <v>7760</v>
      </c>
      <c r="C971" s="55">
        <v>42878</v>
      </c>
      <c r="D971" s="47" t="s">
        <v>8465</v>
      </c>
      <c r="E971" s="40" t="s">
        <v>2461</v>
      </c>
      <c r="F971" s="40" t="s">
        <v>8708</v>
      </c>
      <c r="G971" s="56" t="s">
        <v>8709</v>
      </c>
      <c r="H971" s="67" t="s">
        <v>1057</v>
      </c>
      <c r="J971" s="43"/>
      <c r="K971" s="63">
        <v>0.65</v>
      </c>
      <c r="L971" s="54">
        <v>970</v>
      </c>
      <c r="M971" s="55">
        <v>44059</v>
      </c>
      <c r="N971" s="57">
        <v>41.84</v>
      </c>
      <c r="O971" s="18">
        <v>0</v>
      </c>
      <c r="P971" s="18">
        <v>0</v>
      </c>
      <c r="Q971" s="63">
        <v>0.68</v>
      </c>
      <c r="R971" s="46"/>
    </row>
    <row r="972" spans="1:18">
      <c r="A972" s="33" t="s">
        <v>8717</v>
      </c>
      <c r="B972" s="54" t="s">
        <v>7760</v>
      </c>
      <c r="C972" s="55">
        <v>43718</v>
      </c>
      <c r="D972" s="47" t="s">
        <v>8465</v>
      </c>
      <c r="E972" s="40" t="s">
        <v>1062</v>
      </c>
      <c r="F972" s="40" t="s">
        <v>7413</v>
      </c>
      <c r="G972" s="56" t="s">
        <v>8709</v>
      </c>
      <c r="H972" s="67" t="s">
        <v>1059</v>
      </c>
      <c r="J972" s="43"/>
      <c r="K972" s="63">
        <v>0.5</v>
      </c>
      <c r="L972" s="54">
        <v>971</v>
      </c>
      <c r="M972" s="55">
        <v>44059</v>
      </c>
      <c r="N972" s="57">
        <v>3</v>
      </c>
      <c r="O972" s="18">
        <v>0</v>
      </c>
      <c r="P972" s="18">
        <v>0</v>
      </c>
      <c r="Q972" s="63">
        <v>0.59</v>
      </c>
      <c r="R972" s="46"/>
    </row>
    <row r="973" spans="1:18">
      <c r="A973" s="33" t="s">
        <v>1090</v>
      </c>
      <c r="B973" s="54" t="s">
        <v>7743</v>
      </c>
      <c r="C973" s="55">
        <v>41936</v>
      </c>
      <c r="D973" s="47" t="s">
        <v>8465</v>
      </c>
      <c r="E973" s="40" t="s">
        <v>86</v>
      </c>
      <c r="F973" s="40" t="s">
        <v>1058</v>
      </c>
      <c r="G973" s="56" t="s">
        <v>1090</v>
      </c>
      <c r="H973" s="67" t="s">
        <v>1059</v>
      </c>
      <c r="J973" s="43"/>
      <c r="K973" s="63">
        <v>0.85</v>
      </c>
      <c r="L973" s="54">
        <v>972</v>
      </c>
      <c r="M973" s="55">
        <v>44063</v>
      </c>
      <c r="N973" s="57">
        <v>10.24</v>
      </c>
      <c r="O973" s="18">
        <v>0</v>
      </c>
      <c r="P973" s="18">
        <v>0</v>
      </c>
      <c r="Q973" s="63">
        <v>0.84</v>
      </c>
      <c r="R973" s="46"/>
    </row>
    <row r="974" spans="1:18">
      <c r="A974" s="33" t="s">
        <v>8835</v>
      </c>
      <c r="B974" s="54" t="s">
        <v>7744</v>
      </c>
      <c r="C974" s="55">
        <v>43790</v>
      </c>
      <c r="D974" s="47" t="s">
        <v>8465</v>
      </c>
      <c r="E974" s="40" t="s">
        <v>1733</v>
      </c>
      <c r="F974" s="40" t="s">
        <v>1733</v>
      </c>
      <c r="G974" s="56"/>
      <c r="H974" s="67" t="s">
        <v>80</v>
      </c>
      <c r="J974" s="43"/>
      <c r="K974" s="63">
        <v>0.6</v>
      </c>
      <c r="L974" s="54">
        <v>973</v>
      </c>
      <c r="M974" s="55">
        <v>44067</v>
      </c>
      <c r="N974" s="57">
        <v>3.38</v>
      </c>
      <c r="O974" s="18">
        <v>0</v>
      </c>
      <c r="P974" s="18">
        <v>0</v>
      </c>
      <c r="Q974" s="63">
        <v>0.79</v>
      </c>
      <c r="R974" s="46"/>
    </row>
    <row r="975" spans="1:18">
      <c r="A975" s="33" t="s">
        <v>9069</v>
      </c>
      <c r="B975" s="54" t="s">
        <v>7760</v>
      </c>
      <c r="C975" s="55">
        <v>44029</v>
      </c>
      <c r="D975" s="47" t="s">
        <v>8465</v>
      </c>
      <c r="E975" s="40" t="s">
        <v>6107</v>
      </c>
      <c r="F975" s="40" t="s">
        <v>5954</v>
      </c>
      <c r="G975" s="56"/>
      <c r="H975" s="67" t="s">
        <v>80</v>
      </c>
      <c r="J975" s="43"/>
      <c r="K975" s="63">
        <v>0.8</v>
      </c>
      <c r="L975" s="54">
        <v>974</v>
      </c>
      <c r="M975" s="55">
        <v>44072</v>
      </c>
      <c r="N975" s="57">
        <v>16</v>
      </c>
      <c r="O975" s="18">
        <v>0</v>
      </c>
      <c r="P975" s="18">
        <v>0</v>
      </c>
      <c r="Q975" s="63">
        <v>0.83</v>
      </c>
      <c r="R975" s="46"/>
    </row>
    <row r="976" spans="1:18">
      <c r="A976" s="33" t="s">
        <v>7822</v>
      </c>
      <c r="B976" s="54" t="s">
        <v>7766</v>
      </c>
      <c r="C976" s="55">
        <v>43718</v>
      </c>
      <c r="D976" s="47" t="s">
        <v>8465</v>
      </c>
      <c r="E976" s="40" t="s">
        <v>6517</v>
      </c>
      <c r="F976" s="40" t="s">
        <v>6520</v>
      </c>
      <c r="G976" s="56" t="s">
        <v>6303</v>
      </c>
      <c r="H976" s="67" t="s">
        <v>1168</v>
      </c>
      <c r="J976" s="43"/>
      <c r="K976" s="63">
        <v>0.75</v>
      </c>
      <c r="L976" s="54">
        <v>975</v>
      </c>
      <c r="M976" s="55">
        <v>44074</v>
      </c>
      <c r="N976" s="57">
        <v>8.4499999999999993</v>
      </c>
      <c r="O976" s="18">
        <v>0</v>
      </c>
      <c r="P976" s="18">
        <v>0</v>
      </c>
      <c r="Q976" s="63">
        <v>0.84</v>
      </c>
      <c r="R976" s="46"/>
    </row>
    <row r="977" spans="1:18">
      <c r="A977" s="33" t="s">
        <v>9201</v>
      </c>
      <c r="B977" s="54" t="s">
        <v>7744</v>
      </c>
      <c r="C977" s="55">
        <v>43963</v>
      </c>
      <c r="D977" s="47" t="s">
        <v>8465</v>
      </c>
      <c r="E977" s="40" t="s">
        <v>3077</v>
      </c>
      <c r="F977" s="40" t="s">
        <v>9202</v>
      </c>
      <c r="G977" s="56"/>
      <c r="H977" s="67" t="s">
        <v>56</v>
      </c>
      <c r="J977" s="43"/>
      <c r="K977" s="63">
        <v>0.7</v>
      </c>
      <c r="L977" s="54">
        <v>976</v>
      </c>
      <c r="M977" s="55">
        <v>44074</v>
      </c>
      <c r="N977" s="57"/>
      <c r="O977" s="18">
        <v>0</v>
      </c>
      <c r="P977" s="18">
        <v>0</v>
      </c>
      <c r="Q977" s="63">
        <v>0.86</v>
      </c>
      <c r="R977" s="46"/>
    </row>
    <row r="978" spans="1:18">
      <c r="A978" s="33" t="s">
        <v>1091</v>
      </c>
      <c r="B978" s="54" t="s">
        <v>7743</v>
      </c>
      <c r="C978" s="55">
        <v>41936</v>
      </c>
      <c r="D978" s="47" t="s">
        <v>8465</v>
      </c>
      <c r="E978" s="40" t="s">
        <v>86</v>
      </c>
      <c r="F978" s="40" t="s">
        <v>1058</v>
      </c>
      <c r="G978" s="56" t="s">
        <v>1090</v>
      </c>
      <c r="H978" s="67" t="s">
        <v>1059</v>
      </c>
      <c r="J978" s="43"/>
      <c r="K978" s="63">
        <v>0.9</v>
      </c>
      <c r="L978" s="54">
        <v>977</v>
      </c>
      <c r="M978" s="55">
        <v>44076</v>
      </c>
      <c r="N978" s="57">
        <v>7.01</v>
      </c>
      <c r="O978" s="18">
        <v>0</v>
      </c>
      <c r="P978" s="18">
        <v>0</v>
      </c>
      <c r="Q978" s="63">
        <v>0.91</v>
      </c>
      <c r="R978" s="46"/>
    </row>
    <row r="979" spans="1:18" ht="30">
      <c r="A979" s="33" t="s">
        <v>10031</v>
      </c>
      <c r="B979" s="54" t="s">
        <v>7760</v>
      </c>
      <c r="C979" s="55">
        <v>42136</v>
      </c>
      <c r="D979" s="47" t="s">
        <v>8465</v>
      </c>
      <c r="E979" s="40" t="s">
        <v>1082</v>
      </c>
      <c r="F979" s="40" t="s">
        <v>3892</v>
      </c>
      <c r="G979" s="56" t="s">
        <v>126</v>
      </c>
      <c r="H979" s="67" t="s">
        <v>149</v>
      </c>
      <c r="J979" s="43" t="s">
        <v>6126</v>
      </c>
      <c r="K979" s="63">
        <v>0.85</v>
      </c>
      <c r="L979" s="54">
        <v>978</v>
      </c>
      <c r="M979" s="55">
        <v>44085</v>
      </c>
      <c r="N979" s="57">
        <v>34.840000000000003</v>
      </c>
      <c r="O979" s="18">
        <v>0</v>
      </c>
      <c r="P979" s="18">
        <v>0</v>
      </c>
      <c r="Q979" s="63">
        <v>0.83</v>
      </c>
      <c r="R979" s="46"/>
    </row>
    <row r="980" spans="1:18" ht="30">
      <c r="A980" s="33" t="s">
        <v>10032</v>
      </c>
      <c r="B980" s="54" t="s">
        <v>7760</v>
      </c>
      <c r="C980" s="55">
        <v>42136</v>
      </c>
      <c r="D980" s="47" t="s">
        <v>8465</v>
      </c>
      <c r="E980" s="40" t="s">
        <v>1082</v>
      </c>
      <c r="F980" s="40" t="s">
        <v>3892</v>
      </c>
      <c r="G980" s="56" t="s">
        <v>126</v>
      </c>
      <c r="H980" s="67" t="s">
        <v>149</v>
      </c>
      <c r="J980" s="43" t="s">
        <v>6126</v>
      </c>
      <c r="K980" s="63">
        <v>0.75</v>
      </c>
      <c r="L980" s="54">
        <v>979</v>
      </c>
      <c r="M980" s="55">
        <v>44089</v>
      </c>
      <c r="N980" s="57">
        <f>20+20/60+58/3600</f>
        <v>20.349444444444444</v>
      </c>
      <c r="O980" s="18">
        <v>0</v>
      </c>
      <c r="P980" s="18">
        <v>0</v>
      </c>
      <c r="Q980" s="63">
        <v>0.83</v>
      </c>
      <c r="R980" s="46"/>
    </row>
    <row r="981" spans="1:18">
      <c r="A981" s="33" t="s">
        <v>9244</v>
      </c>
      <c r="B981" s="54" t="s">
        <v>7744</v>
      </c>
      <c r="C981" s="55">
        <v>43889</v>
      </c>
      <c r="D981" s="47" t="s">
        <v>8465</v>
      </c>
      <c r="E981" s="40" t="s">
        <v>9245</v>
      </c>
      <c r="F981" s="40" t="s">
        <v>9245</v>
      </c>
      <c r="G981" s="56"/>
      <c r="H981" s="67" t="s">
        <v>1059</v>
      </c>
      <c r="J981" s="43"/>
      <c r="K981" s="63">
        <v>0.4</v>
      </c>
      <c r="L981" s="54">
        <v>980</v>
      </c>
      <c r="M981" s="55">
        <v>44090</v>
      </c>
      <c r="N981" s="57"/>
      <c r="O981" s="18">
        <v>0</v>
      </c>
      <c r="P981" s="18">
        <v>0</v>
      </c>
      <c r="Q981" s="63">
        <v>0.75</v>
      </c>
      <c r="R981" s="46"/>
    </row>
    <row r="982" spans="1:18" ht="25.5">
      <c r="A982" s="33" t="s">
        <v>1100</v>
      </c>
      <c r="B982" s="54" t="s">
        <v>7743</v>
      </c>
      <c r="C982" s="55">
        <v>42342</v>
      </c>
      <c r="D982" s="47" t="s">
        <v>8465</v>
      </c>
      <c r="E982" s="40" t="s">
        <v>86</v>
      </c>
      <c r="F982" s="40" t="s">
        <v>1145</v>
      </c>
      <c r="G982" s="56" t="s">
        <v>1146</v>
      </c>
      <c r="H982" s="67" t="s">
        <v>171</v>
      </c>
      <c r="J982" s="43"/>
      <c r="K982" s="63">
        <v>0.9</v>
      </c>
      <c r="L982" s="54">
        <v>981</v>
      </c>
      <c r="M982" s="55">
        <v>44102</v>
      </c>
      <c r="N982" s="57">
        <v>49.94</v>
      </c>
      <c r="O982" s="18">
        <v>0</v>
      </c>
      <c r="P982" s="18">
        <v>0</v>
      </c>
      <c r="Q982" s="63">
        <v>0.84</v>
      </c>
      <c r="R982" s="46"/>
    </row>
    <row r="983" spans="1:18" ht="25.5">
      <c r="A983" s="33" t="s">
        <v>9340</v>
      </c>
      <c r="B983" s="54" t="s">
        <v>7800</v>
      </c>
      <c r="C983" s="55">
        <v>44099</v>
      </c>
      <c r="D983" s="47" t="s">
        <v>8465</v>
      </c>
      <c r="E983" s="40" t="s">
        <v>3310</v>
      </c>
      <c r="F983" s="40" t="s">
        <v>4381</v>
      </c>
      <c r="G983" s="56" t="s">
        <v>4379</v>
      </c>
      <c r="H983" s="67" t="s">
        <v>1168</v>
      </c>
      <c r="J983" s="43"/>
      <c r="K983" s="63">
        <v>0.7</v>
      </c>
      <c r="L983" s="54">
        <v>982</v>
      </c>
      <c r="M983" s="55">
        <v>44109</v>
      </c>
      <c r="N983" s="57">
        <v>9.8800000000000008</v>
      </c>
      <c r="O983" s="18">
        <v>0</v>
      </c>
      <c r="P983" s="18">
        <v>0</v>
      </c>
      <c r="Q983" s="63">
        <v>0.78</v>
      </c>
      <c r="R983" s="46"/>
    </row>
    <row r="984" spans="1:18">
      <c r="A984" s="33" t="s">
        <v>4628</v>
      </c>
      <c r="B984" s="54" t="s">
        <v>7800</v>
      </c>
      <c r="C984" s="55">
        <v>42850</v>
      </c>
      <c r="D984" s="47" t="s">
        <v>8465</v>
      </c>
      <c r="E984" s="40" t="s">
        <v>4627</v>
      </c>
      <c r="F984" s="40" t="s">
        <v>4627</v>
      </c>
      <c r="G984" s="56" t="s">
        <v>4626</v>
      </c>
      <c r="H984" s="67" t="s">
        <v>1061</v>
      </c>
      <c r="J984" s="43"/>
      <c r="K984" s="63">
        <v>0.6</v>
      </c>
      <c r="L984" s="54">
        <v>983</v>
      </c>
      <c r="M984" s="55">
        <v>44110</v>
      </c>
      <c r="N984" s="57">
        <v>5.3</v>
      </c>
      <c r="O984" s="18">
        <v>0</v>
      </c>
      <c r="P984" s="18">
        <v>0</v>
      </c>
      <c r="Q984" s="63">
        <v>0.77</v>
      </c>
      <c r="R984" s="46"/>
    </row>
    <row r="985" spans="1:18">
      <c r="A985" s="33" t="s">
        <v>4167</v>
      </c>
      <c r="B985" s="54" t="s">
        <v>7800</v>
      </c>
      <c r="C985" s="55">
        <v>42400</v>
      </c>
      <c r="D985" s="47" t="s">
        <v>8465</v>
      </c>
      <c r="E985" s="40" t="s">
        <v>4168</v>
      </c>
      <c r="F985" s="40" t="s">
        <v>4168</v>
      </c>
      <c r="G985" s="56"/>
      <c r="H985" s="67" t="s">
        <v>1061</v>
      </c>
      <c r="J985" s="43"/>
      <c r="K985" s="63">
        <v>0.6</v>
      </c>
      <c r="L985" s="54">
        <v>984</v>
      </c>
      <c r="M985" s="55">
        <v>44112</v>
      </c>
      <c r="N985" s="57">
        <f>2.45</f>
        <v>2.4500000000000002</v>
      </c>
      <c r="O985" s="18">
        <v>0</v>
      </c>
      <c r="P985" s="18">
        <v>0</v>
      </c>
      <c r="Q985" s="63"/>
      <c r="R985" s="46"/>
    </row>
    <row r="986" spans="1:18" ht="25.5">
      <c r="A986" s="33" t="s">
        <v>3518</v>
      </c>
      <c r="B986" s="54" t="s">
        <v>7800</v>
      </c>
      <c r="C986" s="55">
        <v>39927</v>
      </c>
      <c r="D986" s="47" t="s">
        <v>8465</v>
      </c>
      <c r="E986" s="40" t="s">
        <v>3047</v>
      </c>
      <c r="F986" s="40" t="s">
        <v>3519</v>
      </c>
      <c r="G986" s="56"/>
      <c r="H986" s="67" t="s">
        <v>1061</v>
      </c>
      <c r="J986" s="43"/>
      <c r="K986" s="63">
        <v>0.6</v>
      </c>
      <c r="L986" s="54">
        <v>985</v>
      </c>
      <c r="M986" s="55">
        <v>44115</v>
      </c>
      <c r="N986" s="57">
        <v>6.37</v>
      </c>
      <c r="O986" s="18">
        <v>0</v>
      </c>
      <c r="P986" s="18">
        <v>0</v>
      </c>
      <c r="Q986" s="63">
        <v>0.69</v>
      </c>
      <c r="R986" s="46"/>
    </row>
    <row r="987" spans="1:18">
      <c r="A987" s="33" t="s">
        <v>9119</v>
      </c>
      <c r="B987" s="54" t="s">
        <v>7744</v>
      </c>
      <c r="C987" s="55">
        <v>44043</v>
      </c>
      <c r="D987" s="47" t="s">
        <v>8465</v>
      </c>
      <c r="E987" s="40" t="s">
        <v>1565</v>
      </c>
      <c r="F987" s="40" t="s">
        <v>1566</v>
      </c>
      <c r="G987" s="56" t="s">
        <v>9119</v>
      </c>
      <c r="H987" s="67" t="s">
        <v>149</v>
      </c>
      <c r="J987" s="43"/>
      <c r="K987" s="63">
        <v>0.3</v>
      </c>
      <c r="L987" s="54">
        <v>986</v>
      </c>
      <c r="M987" s="55">
        <v>44115</v>
      </c>
      <c r="N987" s="57">
        <v>13.75</v>
      </c>
      <c r="O987" s="18">
        <v>0</v>
      </c>
      <c r="P987" s="18">
        <v>0</v>
      </c>
      <c r="Q987" s="63">
        <v>0.69</v>
      </c>
      <c r="R987" s="46"/>
    </row>
    <row r="988" spans="1:18">
      <c r="A988" s="33" t="s">
        <v>5059</v>
      </c>
      <c r="B988" s="54" t="s">
        <v>7800</v>
      </c>
      <c r="C988" s="55">
        <v>42268</v>
      </c>
      <c r="D988" s="47" t="s">
        <v>8465</v>
      </c>
      <c r="E988" s="40" t="s">
        <v>3171</v>
      </c>
      <c r="F988" s="40" t="s">
        <v>3171</v>
      </c>
      <c r="G988" s="56"/>
      <c r="H988" s="67" t="s">
        <v>1061</v>
      </c>
      <c r="J988" s="43"/>
      <c r="K988" s="63">
        <v>0.9</v>
      </c>
      <c r="L988" s="54">
        <v>987</v>
      </c>
      <c r="M988" s="55">
        <v>44118</v>
      </c>
      <c r="N988" s="57">
        <v>7.5</v>
      </c>
      <c r="O988" s="18">
        <v>0</v>
      </c>
      <c r="P988" s="18">
        <v>0</v>
      </c>
      <c r="Q988" s="63">
        <v>0.84</v>
      </c>
      <c r="R988" s="46"/>
    </row>
    <row r="989" spans="1:18" ht="25.5">
      <c r="A989" s="33" t="s">
        <v>1558</v>
      </c>
      <c r="B989" s="54" t="s">
        <v>7800</v>
      </c>
      <c r="C989" s="55">
        <v>43041</v>
      </c>
      <c r="D989" s="47" t="s">
        <v>8465</v>
      </c>
      <c r="E989" s="40" t="s">
        <v>1559</v>
      </c>
      <c r="F989" s="40" t="s">
        <v>1559</v>
      </c>
      <c r="G989" s="56" t="s">
        <v>1560</v>
      </c>
      <c r="H989" s="67" t="s">
        <v>1061</v>
      </c>
      <c r="J989" s="43"/>
      <c r="K989" s="63">
        <v>0.5</v>
      </c>
      <c r="L989" s="54">
        <v>988</v>
      </c>
      <c r="M989" s="55">
        <v>44118</v>
      </c>
      <c r="N989" s="57">
        <v>1.27</v>
      </c>
      <c r="O989" s="18">
        <v>0</v>
      </c>
      <c r="P989" s="18">
        <v>0</v>
      </c>
      <c r="Q989" s="63">
        <v>0.65</v>
      </c>
      <c r="R989" s="46"/>
    </row>
    <row r="990" spans="1:18" ht="25.5">
      <c r="A990" s="33" t="s">
        <v>4938</v>
      </c>
      <c r="B990" s="54" t="s">
        <v>7800</v>
      </c>
      <c r="C990" s="55">
        <v>43546</v>
      </c>
      <c r="D990" s="47" t="s">
        <v>8465</v>
      </c>
      <c r="E990" s="40" t="s">
        <v>1273</v>
      </c>
      <c r="F990" s="40" t="s">
        <v>1580</v>
      </c>
      <c r="G990" s="56"/>
      <c r="H990" s="67" t="s">
        <v>171</v>
      </c>
      <c r="J990" s="43"/>
      <c r="K990" s="63">
        <v>1</v>
      </c>
      <c r="L990" s="54">
        <v>989</v>
      </c>
      <c r="M990" s="55">
        <v>44126</v>
      </c>
      <c r="N990" s="57">
        <v>27.55</v>
      </c>
      <c r="O990" s="18">
        <v>0</v>
      </c>
      <c r="P990" s="18">
        <v>0</v>
      </c>
      <c r="Q990" s="63">
        <v>0.93</v>
      </c>
      <c r="R990" s="46"/>
    </row>
    <row r="991" spans="1:18">
      <c r="A991" s="33" t="s">
        <v>9388</v>
      </c>
      <c r="B991" s="54" t="s">
        <v>7800</v>
      </c>
      <c r="C991" s="55">
        <v>44121</v>
      </c>
      <c r="D991" s="47" t="s">
        <v>8465</v>
      </c>
      <c r="E991" s="40" t="s">
        <v>455</v>
      </c>
      <c r="F991" s="40" t="s">
        <v>5232</v>
      </c>
      <c r="G991" s="56" t="s">
        <v>5600</v>
      </c>
      <c r="H991" s="67" t="s">
        <v>153</v>
      </c>
      <c r="J991" s="43"/>
      <c r="K991" s="63">
        <v>0.5</v>
      </c>
      <c r="L991" s="54">
        <v>990</v>
      </c>
      <c r="M991" s="55">
        <v>44127</v>
      </c>
      <c r="N991" s="57">
        <v>0.13</v>
      </c>
      <c r="O991" s="18">
        <v>0</v>
      </c>
      <c r="P991" s="18">
        <v>0</v>
      </c>
      <c r="Q991" s="63"/>
      <c r="R991" s="46"/>
    </row>
    <row r="992" spans="1:18">
      <c r="A992" s="33" t="s">
        <v>9298</v>
      </c>
      <c r="B992" s="54" t="s">
        <v>7800</v>
      </c>
      <c r="C992" s="55">
        <v>44124</v>
      </c>
      <c r="D992" s="47" t="s">
        <v>8465</v>
      </c>
      <c r="E992" s="40" t="s">
        <v>3171</v>
      </c>
      <c r="F992" s="40" t="s">
        <v>3171</v>
      </c>
      <c r="G992" s="56" t="s">
        <v>3173</v>
      </c>
      <c r="H992" s="67" t="s">
        <v>1061</v>
      </c>
      <c r="J992" s="43"/>
      <c r="K992" s="63">
        <v>0.75</v>
      </c>
      <c r="L992" s="54">
        <v>991</v>
      </c>
      <c r="M992" s="55">
        <v>44143</v>
      </c>
      <c r="N992" s="57">
        <v>6.23</v>
      </c>
      <c r="O992" s="18">
        <v>0</v>
      </c>
      <c r="P992" s="18">
        <v>0</v>
      </c>
      <c r="Q992" s="63">
        <v>0.84</v>
      </c>
      <c r="R992" s="46"/>
    </row>
    <row r="993" spans="1:18">
      <c r="A993" s="33" t="s">
        <v>9410</v>
      </c>
      <c r="B993" s="54" t="s">
        <v>9440</v>
      </c>
      <c r="C993" s="55">
        <v>44145</v>
      </c>
      <c r="D993" s="47" t="s">
        <v>8465</v>
      </c>
      <c r="E993" s="40" t="s">
        <v>1047</v>
      </c>
      <c r="F993" s="40" t="s">
        <v>1671</v>
      </c>
      <c r="G993" s="56" t="s">
        <v>5546</v>
      </c>
      <c r="H993" s="67" t="s">
        <v>1168</v>
      </c>
      <c r="J993" s="43"/>
      <c r="K993" s="63">
        <v>0.75</v>
      </c>
      <c r="L993" s="54">
        <v>992</v>
      </c>
      <c r="M993" s="55">
        <v>44147</v>
      </c>
      <c r="N993" s="57">
        <v>15.67</v>
      </c>
      <c r="O993" s="18">
        <v>0</v>
      </c>
      <c r="P993" s="18">
        <v>0</v>
      </c>
      <c r="Q993" s="63">
        <v>0.74</v>
      </c>
      <c r="R993" s="46"/>
    </row>
    <row r="994" spans="1:18">
      <c r="A994" s="33" t="s">
        <v>9430</v>
      </c>
      <c r="B994" s="54" t="s">
        <v>9431</v>
      </c>
      <c r="C994" s="55">
        <v>44147</v>
      </c>
      <c r="D994" s="47" t="s">
        <v>8465</v>
      </c>
      <c r="E994" s="40" t="s">
        <v>6107</v>
      </c>
      <c r="F994" s="40" t="s">
        <v>9432</v>
      </c>
      <c r="G994" s="56" t="s">
        <v>9433</v>
      </c>
      <c r="H994" s="67" t="s">
        <v>1040</v>
      </c>
      <c r="J994" s="43"/>
      <c r="K994" s="63">
        <v>0.8</v>
      </c>
      <c r="L994" s="54">
        <v>993</v>
      </c>
      <c r="M994" s="55">
        <v>44148</v>
      </c>
      <c r="N994" s="57">
        <v>2</v>
      </c>
      <c r="O994" s="18">
        <v>0</v>
      </c>
      <c r="P994" s="18">
        <v>0</v>
      </c>
      <c r="Q994" s="63">
        <v>0.83</v>
      </c>
      <c r="R994" s="46"/>
    </row>
    <row r="995" spans="1:18" ht="25.5">
      <c r="A995" s="33" t="s">
        <v>9292</v>
      </c>
      <c r="B995" s="54" t="s">
        <v>7800</v>
      </c>
      <c r="C995" s="55">
        <v>44148</v>
      </c>
      <c r="D995" s="47" t="s">
        <v>8465</v>
      </c>
      <c r="E995" s="40" t="s">
        <v>1273</v>
      </c>
      <c r="F995" s="40" t="s">
        <v>1508</v>
      </c>
      <c r="G995" s="56" t="s">
        <v>3401</v>
      </c>
      <c r="H995" s="67" t="s">
        <v>1050</v>
      </c>
      <c r="J995" s="43"/>
      <c r="K995" s="63">
        <v>0.7</v>
      </c>
      <c r="L995" s="54">
        <v>994</v>
      </c>
      <c r="M995" s="55">
        <v>44152</v>
      </c>
      <c r="N995" s="57"/>
      <c r="O995" s="18">
        <v>0</v>
      </c>
      <c r="P995" s="18">
        <v>0</v>
      </c>
      <c r="Q995" s="63">
        <v>0.76</v>
      </c>
      <c r="R995" s="46"/>
    </row>
    <row r="996" spans="1:18">
      <c r="A996" s="33" t="s">
        <v>1449</v>
      </c>
      <c r="B996" s="54" t="s">
        <v>7757</v>
      </c>
      <c r="C996" s="55">
        <v>36191</v>
      </c>
      <c r="D996" s="47" t="s">
        <v>8465</v>
      </c>
      <c r="E996" s="40" t="s">
        <v>72</v>
      </c>
      <c r="F996" s="40" t="s">
        <v>72</v>
      </c>
      <c r="G996" s="56" t="s">
        <v>1449</v>
      </c>
      <c r="H996" s="67" t="s">
        <v>1061</v>
      </c>
      <c r="J996" s="43"/>
      <c r="K996" s="63">
        <v>0.8</v>
      </c>
      <c r="L996" s="54">
        <v>995</v>
      </c>
      <c r="M996" s="55">
        <v>44153</v>
      </c>
      <c r="N996" s="57">
        <v>5.17</v>
      </c>
      <c r="O996" s="18">
        <v>0</v>
      </c>
      <c r="P996" s="18">
        <v>1</v>
      </c>
      <c r="Q996" s="63">
        <v>0.85</v>
      </c>
      <c r="R996" s="46"/>
    </row>
    <row r="997" spans="1:18" ht="25.5">
      <c r="A997" s="33" t="s">
        <v>8628</v>
      </c>
      <c r="B997" s="54" t="s">
        <v>9440</v>
      </c>
      <c r="C997" s="55">
        <v>44145</v>
      </c>
      <c r="D997" s="47" t="s">
        <v>8465</v>
      </c>
      <c r="E997" s="40" t="s">
        <v>1047</v>
      </c>
      <c r="F997" s="40" t="s">
        <v>1048</v>
      </c>
      <c r="G997" s="56" t="s">
        <v>1563</v>
      </c>
      <c r="H997" s="67" t="s">
        <v>171</v>
      </c>
      <c r="J997" s="43"/>
      <c r="K997" s="63">
        <v>0.8</v>
      </c>
      <c r="L997" s="54">
        <v>996</v>
      </c>
      <c r="M997" s="55">
        <v>44158</v>
      </c>
      <c r="N997" s="57">
        <v>45.59</v>
      </c>
      <c r="O997" s="18">
        <v>0</v>
      </c>
      <c r="P997" s="18">
        <v>0</v>
      </c>
      <c r="Q997" s="63">
        <v>0.85</v>
      </c>
      <c r="R997" s="46"/>
    </row>
    <row r="998" spans="1:18" ht="25.5">
      <c r="A998" s="33" t="s">
        <v>9435</v>
      </c>
      <c r="B998" s="54" t="s">
        <v>9431</v>
      </c>
      <c r="C998" s="55">
        <v>44147</v>
      </c>
      <c r="D998" s="47" t="s">
        <v>8465</v>
      </c>
      <c r="E998" s="40" t="s">
        <v>6107</v>
      </c>
      <c r="F998" s="40" t="s">
        <v>3039</v>
      </c>
      <c r="G998" s="56" t="s">
        <v>1264</v>
      </c>
      <c r="H998" s="67" t="s">
        <v>80</v>
      </c>
      <c r="J998" s="43"/>
      <c r="K998" s="63">
        <v>0.85</v>
      </c>
      <c r="L998" s="54">
        <v>997</v>
      </c>
      <c r="M998" s="55">
        <v>44161</v>
      </c>
      <c r="N998" s="57">
        <v>4</v>
      </c>
      <c r="O998" s="18">
        <v>0</v>
      </c>
      <c r="P998" s="18">
        <v>0</v>
      </c>
      <c r="Q998" s="63">
        <v>0.85</v>
      </c>
      <c r="R998" s="46"/>
    </row>
    <row r="999" spans="1:18">
      <c r="A999" s="33" t="s">
        <v>5934</v>
      </c>
      <c r="B999" s="54" t="s">
        <v>7759</v>
      </c>
      <c r="C999" s="55">
        <v>40092</v>
      </c>
      <c r="D999" s="47" t="s">
        <v>8465</v>
      </c>
      <c r="E999" s="40" t="s">
        <v>2461</v>
      </c>
      <c r="F999" s="40" t="s">
        <v>1580</v>
      </c>
      <c r="G999" s="56" t="s">
        <v>3566</v>
      </c>
      <c r="H999" s="67" t="s">
        <v>171</v>
      </c>
      <c r="J999" s="43"/>
      <c r="K999" s="63">
        <v>0.8</v>
      </c>
      <c r="L999" s="54">
        <v>998</v>
      </c>
      <c r="M999" s="55">
        <v>44162</v>
      </c>
      <c r="N999" s="57">
        <v>17.37</v>
      </c>
      <c r="O999" s="18">
        <v>0</v>
      </c>
      <c r="P999" s="18">
        <v>0</v>
      </c>
      <c r="Q999" s="63">
        <v>0.9</v>
      </c>
      <c r="R999" s="46"/>
    </row>
    <row r="1000" spans="1:18" ht="25.5">
      <c r="A1000" s="33" t="s">
        <v>9436</v>
      </c>
      <c r="B1000" s="54" t="s">
        <v>9431</v>
      </c>
      <c r="C1000" s="55">
        <v>44147</v>
      </c>
      <c r="D1000" s="47" t="s">
        <v>8465</v>
      </c>
      <c r="E1000" s="40" t="s">
        <v>6107</v>
      </c>
      <c r="F1000" s="40" t="s">
        <v>1687</v>
      </c>
      <c r="G1000" s="56" t="s">
        <v>5962</v>
      </c>
      <c r="H1000" s="67" t="s">
        <v>1040</v>
      </c>
      <c r="J1000" s="43"/>
      <c r="K1000" s="63">
        <v>0.75</v>
      </c>
      <c r="L1000" s="54">
        <v>999</v>
      </c>
      <c r="M1000" s="55">
        <v>44162</v>
      </c>
      <c r="N1000" s="57">
        <v>6</v>
      </c>
      <c r="O1000" s="18">
        <v>0</v>
      </c>
      <c r="P1000" s="18">
        <v>0</v>
      </c>
      <c r="Q1000" s="63">
        <v>0.78</v>
      </c>
      <c r="R1000" s="46"/>
    </row>
    <row r="1001" spans="1:18">
      <c r="A1001" s="33" t="s">
        <v>9437</v>
      </c>
      <c r="B1001" s="54" t="s">
        <v>9431</v>
      </c>
      <c r="C1001" s="55">
        <v>44147</v>
      </c>
      <c r="D1001" s="47" t="s">
        <v>8465</v>
      </c>
      <c r="E1001" s="40" t="s">
        <v>9438</v>
      </c>
      <c r="F1001" s="40" t="s">
        <v>9439</v>
      </c>
      <c r="G1001" s="56"/>
      <c r="H1001" s="67" t="s">
        <v>171</v>
      </c>
      <c r="J1001" s="43"/>
      <c r="K1001" s="63">
        <v>0.6</v>
      </c>
      <c r="L1001" s="54">
        <v>1000</v>
      </c>
      <c r="M1001" s="55">
        <v>44166</v>
      </c>
      <c r="N1001" s="57">
        <v>7</v>
      </c>
      <c r="O1001" s="18">
        <v>0</v>
      </c>
      <c r="P1001" s="18">
        <v>0</v>
      </c>
      <c r="Q1001" s="63">
        <v>0.63</v>
      </c>
      <c r="R1001" s="46"/>
    </row>
    <row r="1002" spans="1:18">
      <c r="A1002" s="33" t="s">
        <v>8243</v>
      </c>
      <c r="B1002" s="54" t="s">
        <v>7800</v>
      </c>
      <c r="C1002" s="55">
        <v>44091</v>
      </c>
      <c r="D1002" s="47" t="s">
        <v>8465</v>
      </c>
      <c r="E1002" s="40" t="s">
        <v>3261</v>
      </c>
      <c r="F1002" s="40" t="s">
        <v>3261</v>
      </c>
      <c r="G1002" s="56"/>
      <c r="H1002" s="67" t="s">
        <v>1518</v>
      </c>
      <c r="J1002" s="43"/>
      <c r="K1002" s="63">
        <v>0.9</v>
      </c>
      <c r="L1002" s="54">
        <v>1001</v>
      </c>
      <c r="M1002" s="55">
        <v>44168</v>
      </c>
      <c r="N1002" s="57">
        <v>22.28</v>
      </c>
      <c r="O1002" s="18">
        <v>0</v>
      </c>
      <c r="P1002" s="18">
        <v>0</v>
      </c>
      <c r="Q1002" s="63">
        <v>0.92</v>
      </c>
      <c r="R1002" s="46"/>
    </row>
    <row r="1003" spans="1:18" ht="25.5">
      <c r="A1003" s="33" t="s">
        <v>9037</v>
      </c>
      <c r="B1003" s="54" t="s">
        <v>7744</v>
      </c>
      <c r="C1003" s="55">
        <v>44029</v>
      </c>
      <c r="D1003" s="47" t="s">
        <v>8465</v>
      </c>
      <c r="E1003" s="40" t="s">
        <v>86</v>
      </c>
      <c r="F1003" s="40" t="s">
        <v>1069</v>
      </c>
      <c r="G1003" s="56" t="s">
        <v>880</v>
      </c>
      <c r="H1003" s="67" t="s">
        <v>149</v>
      </c>
      <c r="J1003" s="43"/>
      <c r="K1003" s="63">
        <v>0.7</v>
      </c>
      <c r="L1003" s="54">
        <v>1002</v>
      </c>
      <c r="M1003" s="55">
        <v>44171</v>
      </c>
      <c r="N1003" s="57">
        <v>20</v>
      </c>
      <c r="O1003" s="18">
        <v>0</v>
      </c>
      <c r="P1003" s="18">
        <v>0</v>
      </c>
      <c r="Q1003" s="63">
        <v>0.81</v>
      </c>
      <c r="R1003" s="46"/>
    </row>
    <row r="1004" spans="1:18" ht="25.5">
      <c r="A1004" s="33" t="s">
        <v>9460</v>
      </c>
      <c r="B1004" s="54" t="s">
        <v>7744</v>
      </c>
      <c r="C1004" s="55">
        <v>44155</v>
      </c>
      <c r="D1004" s="47" t="s">
        <v>8465</v>
      </c>
      <c r="E1004" s="40" t="s">
        <v>86</v>
      </c>
      <c r="F1004" s="40" t="s">
        <v>1471</v>
      </c>
      <c r="G1004" s="56" t="s">
        <v>85</v>
      </c>
      <c r="H1004" s="67" t="s">
        <v>1059</v>
      </c>
      <c r="J1004" s="43"/>
      <c r="K1004" s="63">
        <v>0.7</v>
      </c>
      <c r="L1004" s="54">
        <v>1003</v>
      </c>
      <c r="M1004" s="55">
        <v>44178</v>
      </c>
      <c r="N1004" s="57">
        <v>14.43</v>
      </c>
      <c r="O1004" s="18">
        <v>0</v>
      </c>
      <c r="P1004" s="18">
        <v>0</v>
      </c>
      <c r="Q1004" s="63">
        <v>0.79</v>
      </c>
      <c r="R1004" s="46"/>
    </row>
    <row r="1005" spans="1:18">
      <c r="A1005" s="33" t="s">
        <v>3535</v>
      </c>
      <c r="B1005" s="54" t="s">
        <v>7800</v>
      </c>
      <c r="C1005" s="55">
        <v>44175</v>
      </c>
      <c r="D1005" s="47" t="s">
        <v>8465</v>
      </c>
      <c r="E1005" s="40" t="s">
        <v>3536</v>
      </c>
      <c r="F1005" s="40" t="s">
        <v>10023</v>
      </c>
      <c r="G1005" s="56" t="s">
        <v>9511</v>
      </c>
      <c r="H1005" s="67" t="s">
        <v>1050</v>
      </c>
      <c r="J1005" s="43"/>
      <c r="K1005" s="63">
        <v>0.9</v>
      </c>
      <c r="L1005" s="54">
        <v>1004</v>
      </c>
      <c r="M1005" s="55">
        <v>44179</v>
      </c>
      <c r="N1005" s="57">
        <v>25.2</v>
      </c>
      <c r="O1005" s="18">
        <v>0</v>
      </c>
      <c r="P1005" s="18">
        <v>0</v>
      </c>
      <c r="Q1005" s="63">
        <v>0.89</v>
      </c>
      <c r="R1005" s="46"/>
    </row>
    <row r="1006" spans="1:18">
      <c r="A1006" s="33" t="s">
        <v>9469</v>
      </c>
      <c r="B1006" s="54" t="s">
        <v>7744</v>
      </c>
      <c r="C1006" s="55">
        <v>44078</v>
      </c>
      <c r="D1006" s="47" t="s">
        <v>8465</v>
      </c>
      <c r="E1006" s="40" t="s">
        <v>4063</v>
      </c>
      <c r="F1006" s="40" t="s">
        <v>9470</v>
      </c>
      <c r="G1006" s="56"/>
      <c r="H1006" s="67" t="s">
        <v>67</v>
      </c>
      <c r="J1006" s="43"/>
      <c r="K1006" s="63">
        <v>0.9</v>
      </c>
      <c r="L1006" s="54">
        <v>1005</v>
      </c>
      <c r="M1006" s="55">
        <v>44181</v>
      </c>
      <c r="N1006" s="57"/>
      <c r="O1006" s="18">
        <v>0</v>
      </c>
      <c r="P1006" s="18">
        <v>0</v>
      </c>
      <c r="Q1006" s="63">
        <v>0.81</v>
      </c>
      <c r="R1006" s="46"/>
    </row>
    <row r="1007" spans="1:18">
      <c r="A1007" s="33" t="s">
        <v>9467</v>
      </c>
      <c r="B1007" s="54" t="s">
        <v>7800</v>
      </c>
      <c r="C1007" s="55">
        <v>43970</v>
      </c>
      <c r="D1007" s="47" t="s">
        <v>8465</v>
      </c>
      <c r="E1007" s="40" t="s">
        <v>7300</v>
      </c>
      <c r="F1007" s="40" t="s">
        <v>9468</v>
      </c>
      <c r="G1007" s="56"/>
      <c r="H1007" s="67" t="s">
        <v>67</v>
      </c>
      <c r="J1007" s="43"/>
      <c r="K1007" s="63">
        <v>0.8</v>
      </c>
      <c r="L1007" s="54">
        <v>1006</v>
      </c>
      <c r="M1007" s="55">
        <v>44182</v>
      </c>
      <c r="N1007" s="57">
        <v>1.65</v>
      </c>
      <c r="O1007" s="18">
        <v>0</v>
      </c>
      <c r="P1007" s="18">
        <v>0</v>
      </c>
      <c r="Q1007" s="63">
        <v>0.84</v>
      </c>
      <c r="R1007" s="46"/>
    </row>
    <row r="1008" spans="1:18">
      <c r="A1008" s="33" t="s">
        <v>9496</v>
      </c>
      <c r="B1008" s="54" t="s">
        <v>9431</v>
      </c>
      <c r="C1008" s="55">
        <v>44168</v>
      </c>
      <c r="D1008" s="47" t="s">
        <v>8465</v>
      </c>
      <c r="E1008" s="40" t="s">
        <v>1047</v>
      </c>
      <c r="F1008" s="40" t="s">
        <v>1538</v>
      </c>
      <c r="G1008" s="56"/>
      <c r="H1008" s="67" t="s">
        <v>80</v>
      </c>
      <c r="J1008" s="43"/>
      <c r="K1008" s="63">
        <v>0.7</v>
      </c>
      <c r="L1008" s="54">
        <v>1007</v>
      </c>
      <c r="M1008" s="55">
        <v>44184</v>
      </c>
      <c r="N1008" s="57">
        <v>14.17</v>
      </c>
      <c r="O1008" s="18">
        <v>0</v>
      </c>
      <c r="P1008" s="18">
        <v>0</v>
      </c>
      <c r="Q1008" s="63">
        <v>0.76</v>
      </c>
      <c r="R1008" s="46"/>
    </row>
    <row r="1009" spans="1:18" ht="25.5">
      <c r="A1009" s="33" t="s">
        <v>9457</v>
      </c>
      <c r="B1009" s="54" t="s">
        <v>7744</v>
      </c>
      <c r="C1009" s="55">
        <v>43916</v>
      </c>
      <c r="D1009" s="47" t="s">
        <v>8465</v>
      </c>
      <c r="E1009" s="40" t="s">
        <v>9458</v>
      </c>
      <c r="F1009" s="40" t="s">
        <v>9459</v>
      </c>
      <c r="G1009" s="56" t="s">
        <v>2732</v>
      </c>
      <c r="H1009" s="67" t="s">
        <v>1170</v>
      </c>
      <c r="J1009" s="43"/>
      <c r="K1009" s="63">
        <v>0.6</v>
      </c>
      <c r="L1009" s="54">
        <v>1008</v>
      </c>
      <c r="M1009" s="55">
        <v>44184</v>
      </c>
      <c r="N1009" s="57">
        <v>0.65</v>
      </c>
      <c r="O1009" s="18">
        <v>0</v>
      </c>
      <c r="P1009" s="18">
        <v>0</v>
      </c>
      <c r="Q1009" s="63">
        <v>0.63</v>
      </c>
      <c r="R1009" s="46"/>
    </row>
    <row r="1010" spans="1:18">
      <c r="A1010" s="33" t="s">
        <v>9507</v>
      </c>
      <c r="B1010" s="54" t="s">
        <v>7800</v>
      </c>
      <c r="C1010" s="55">
        <v>43962</v>
      </c>
      <c r="D1010" s="47" t="s">
        <v>8465</v>
      </c>
      <c r="E1010" s="40" t="s">
        <v>9508</v>
      </c>
      <c r="F1010" s="40" t="s">
        <v>9508</v>
      </c>
      <c r="G1010" s="56"/>
      <c r="H1010" s="67" t="s">
        <v>78</v>
      </c>
      <c r="J1010" s="43"/>
      <c r="K1010" s="63">
        <v>0.75</v>
      </c>
      <c r="L1010" s="54">
        <v>1009</v>
      </c>
      <c r="M1010" s="55">
        <v>44184</v>
      </c>
      <c r="N1010" s="57">
        <v>0.52</v>
      </c>
      <c r="O1010" s="18">
        <v>0</v>
      </c>
      <c r="P1010" s="18">
        <v>0</v>
      </c>
      <c r="Q1010" s="63"/>
      <c r="R1010" s="46"/>
    </row>
    <row r="1011" spans="1:18">
      <c r="A1011" s="33" t="s">
        <v>9339</v>
      </c>
      <c r="B1011" s="54" t="s">
        <v>7800</v>
      </c>
      <c r="C1011" s="55">
        <v>44106</v>
      </c>
      <c r="D1011" s="47" t="s">
        <v>8465</v>
      </c>
      <c r="E1011" s="40" t="s">
        <v>231</v>
      </c>
      <c r="F1011" s="40" t="s">
        <v>14628</v>
      </c>
      <c r="G1011" s="56" t="s">
        <v>1481</v>
      </c>
      <c r="H1011" s="67" t="s">
        <v>6563</v>
      </c>
      <c r="J1011" s="43"/>
      <c r="K1011" s="63">
        <v>0.8</v>
      </c>
      <c r="L1011" s="54">
        <v>1010</v>
      </c>
      <c r="M1011" s="55">
        <v>44185</v>
      </c>
      <c r="N1011" s="57">
        <v>8</v>
      </c>
      <c r="O1011" s="18">
        <v>0</v>
      </c>
      <c r="P1011" s="18">
        <v>0</v>
      </c>
      <c r="Q1011" s="63">
        <v>0.8</v>
      </c>
      <c r="R1011" s="46"/>
    </row>
    <row r="1012" spans="1:18">
      <c r="A1012" s="33" t="s">
        <v>8767</v>
      </c>
      <c r="B1012" s="54" t="s">
        <v>7800</v>
      </c>
      <c r="C1012" s="55">
        <v>43881</v>
      </c>
      <c r="D1012" s="47" t="s">
        <v>8465</v>
      </c>
      <c r="E1012" s="40" t="s">
        <v>8768</v>
      </c>
      <c r="F1012" s="40" t="s">
        <v>8768</v>
      </c>
      <c r="G1012" s="56"/>
      <c r="H1012" s="67" t="s">
        <v>67</v>
      </c>
      <c r="J1012" s="43"/>
      <c r="K1012" s="63">
        <v>0.5</v>
      </c>
      <c r="L1012" s="54">
        <v>1011</v>
      </c>
      <c r="M1012" s="55">
        <v>44185</v>
      </c>
      <c r="N1012" s="57"/>
      <c r="O1012" s="18">
        <v>0</v>
      </c>
      <c r="P1012" s="18">
        <v>0</v>
      </c>
      <c r="Q1012" s="63"/>
      <c r="R1012" s="46"/>
    </row>
    <row r="1013" spans="1:18">
      <c r="A1013" s="33" t="s">
        <v>9471</v>
      </c>
      <c r="B1013" s="54" t="s">
        <v>7800</v>
      </c>
      <c r="C1013" s="55">
        <v>44168</v>
      </c>
      <c r="D1013" s="47" t="s">
        <v>8465</v>
      </c>
      <c r="E1013" s="40" t="s">
        <v>3947</v>
      </c>
      <c r="F1013" s="40" t="s">
        <v>3947</v>
      </c>
      <c r="G1013" s="56"/>
      <c r="H1013" s="67" t="s">
        <v>80</v>
      </c>
      <c r="J1013" s="43"/>
      <c r="K1013" s="63">
        <v>0.7</v>
      </c>
      <c r="L1013" s="54">
        <v>1012</v>
      </c>
      <c r="M1013" s="55">
        <v>44188</v>
      </c>
      <c r="N1013" s="57">
        <v>6.9</v>
      </c>
      <c r="O1013" s="18">
        <v>0</v>
      </c>
      <c r="P1013" s="18">
        <v>0</v>
      </c>
      <c r="Q1013" s="63">
        <v>0.8</v>
      </c>
      <c r="R1013" s="46"/>
    </row>
    <row r="1014" spans="1:18" ht="25.5">
      <c r="A1014" s="33" t="s">
        <v>9504</v>
      </c>
      <c r="B1014" s="54" t="s">
        <v>7800</v>
      </c>
      <c r="C1014" s="55">
        <v>44110</v>
      </c>
      <c r="D1014" s="47" t="s">
        <v>8465</v>
      </c>
      <c r="E1014" s="40" t="s">
        <v>4773</v>
      </c>
      <c r="F1014" s="40" t="s">
        <v>4773</v>
      </c>
      <c r="G1014" s="56"/>
      <c r="H1014" s="67" t="s">
        <v>3411</v>
      </c>
      <c r="J1014" s="43"/>
      <c r="K1014" s="63">
        <v>0.65</v>
      </c>
      <c r="L1014" s="54">
        <v>1013</v>
      </c>
      <c r="M1014" s="55">
        <v>44189</v>
      </c>
      <c r="N1014" s="57">
        <v>2.73</v>
      </c>
      <c r="O1014" s="18">
        <v>0</v>
      </c>
      <c r="P1014" s="18">
        <v>0</v>
      </c>
      <c r="Q1014" s="63">
        <v>0.7</v>
      </c>
      <c r="R1014" s="46"/>
    </row>
    <row r="1015" spans="1:18">
      <c r="A1015" s="33" t="s">
        <v>5934</v>
      </c>
      <c r="B1015" s="54" t="s">
        <v>9431</v>
      </c>
      <c r="C1015" s="55">
        <v>44147</v>
      </c>
      <c r="D1015" s="47" t="s">
        <v>8465</v>
      </c>
      <c r="E1015" s="40" t="s">
        <v>6107</v>
      </c>
      <c r="F1015" s="40" t="s">
        <v>6158</v>
      </c>
      <c r="G1015" s="56" t="s">
        <v>3566</v>
      </c>
      <c r="H1015" s="67" t="s">
        <v>171</v>
      </c>
      <c r="J1015" s="43"/>
      <c r="K1015" s="63">
        <v>0.85</v>
      </c>
      <c r="L1015" s="54">
        <v>1014</v>
      </c>
      <c r="M1015" s="55">
        <v>44198</v>
      </c>
      <c r="N1015" s="57">
        <v>15.27</v>
      </c>
      <c r="O1015" s="18">
        <v>0</v>
      </c>
      <c r="P1015" s="18">
        <v>0</v>
      </c>
      <c r="Q1015" s="63">
        <v>0.91</v>
      </c>
      <c r="R1015" s="46"/>
    </row>
    <row r="1016" spans="1:18" ht="25.5">
      <c r="A1016" s="33" t="s">
        <v>7999</v>
      </c>
      <c r="B1016" s="54" t="s">
        <v>7800</v>
      </c>
      <c r="C1016" s="55">
        <v>43426</v>
      </c>
      <c r="D1016" s="47" t="s">
        <v>8465</v>
      </c>
      <c r="E1016" s="40" t="s">
        <v>8000</v>
      </c>
      <c r="F1016" s="40" t="s">
        <v>8001</v>
      </c>
      <c r="G1016" s="56" t="s">
        <v>8002</v>
      </c>
      <c r="H1016" s="67" t="s">
        <v>67</v>
      </c>
      <c r="J1016" s="43"/>
      <c r="K1016" s="63">
        <v>0.6</v>
      </c>
      <c r="L1016" s="54">
        <v>1015</v>
      </c>
      <c r="M1016" s="55">
        <v>44198</v>
      </c>
      <c r="N1016" s="57">
        <v>0.6</v>
      </c>
      <c r="O1016" s="18">
        <v>0</v>
      </c>
      <c r="P1016" s="18">
        <v>0</v>
      </c>
      <c r="Q1016" s="63">
        <v>0.8</v>
      </c>
      <c r="R1016" s="46"/>
    </row>
    <row r="1017" spans="1:18">
      <c r="A1017" s="33" t="s">
        <v>8268</v>
      </c>
      <c r="B1017" s="54" t="s">
        <v>7800</v>
      </c>
      <c r="C1017" s="55">
        <v>43306</v>
      </c>
      <c r="D1017" s="47" t="s">
        <v>8465</v>
      </c>
      <c r="E1017" s="40" t="s">
        <v>8269</v>
      </c>
      <c r="F1017" s="40" t="s">
        <v>8269</v>
      </c>
      <c r="G1017" s="56"/>
      <c r="H1017" s="67" t="s">
        <v>1057</v>
      </c>
      <c r="J1017" s="43"/>
      <c r="K1017" s="63">
        <v>0.4</v>
      </c>
      <c r="L1017" s="54">
        <v>1016</v>
      </c>
      <c r="M1017" s="55">
        <v>44199</v>
      </c>
      <c r="N1017" s="57">
        <v>1.33</v>
      </c>
      <c r="O1017" s="18">
        <v>0</v>
      </c>
      <c r="P1017" s="18">
        <v>0</v>
      </c>
      <c r="Q1017" s="63"/>
      <c r="R1017" s="46"/>
    </row>
    <row r="1018" spans="1:18">
      <c r="A1018" s="33" t="s">
        <v>9559</v>
      </c>
      <c r="B1018" s="54" t="s">
        <v>9440</v>
      </c>
      <c r="C1018" s="55">
        <v>44173</v>
      </c>
      <c r="D1018" s="47" t="s">
        <v>8465</v>
      </c>
      <c r="E1018" s="40" t="s">
        <v>3544</v>
      </c>
      <c r="F1018" s="40" t="s">
        <v>9560</v>
      </c>
      <c r="G1018" s="56"/>
      <c r="H1018" s="67" t="s">
        <v>67</v>
      </c>
      <c r="J1018" s="43"/>
      <c r="K1018" s="63">
        <v>0.7</v>
      </c>
      <c r="L1018" s="54">
        <v>1017</v>
      </c>
      <c r="M1018" s="55">
        <v>44200</v>
      </c>
      <c r="N1018" s="57">
        <v>4.8499999999999996</v>
      </c>
      <c r="O1018" s="18">
        <v>0</v>
      </c>
      <c r="P1018" s="18">
        <v>0</v>
      </c>
      <c r="Q1018" s="63">
        <v>0.77</v>
      </c>
      <c r="R1018" s="46"/>
    </row>
    <row r="1019" spans="1:18" ht="25.5">
      <c r="A1019" s="33" t="s">
        <v>9561</v>
      </c>
      <c r="B1019" s="54" t="s">
        <v>7766</v>
      </c>
      <c r="C1019" s="55">
        <v>42935</v>
      </c>
      <c r="D1019" s="47" t="s">
        <v>8465</v>
      </c>
      <c r="E1019" s="40" t="s">
        <v>7300</v>
      </c>
      <c r="F1019" s="40" t="s">
        <v>9372</v>
      </c>
      <c r="G1019" s="56"/>
      <c r="H1019" s="67" t="s">
        <v>67</v>
      </c>
      <c r="J1019" s="43"/>
      <c r="K1019" s="63">
        <v>0.8</v>
      </c>
      <c r="L1019" s="54">
        <v>1018</v>
      </c>
      <c r="M1019" s="55">
        <v>44200</v>
      </c>
      <c r="N1019" s="57">
        <v>2.08</v>
      </c>
      <c r="O1019" s="18">
        <v>0</v>
      </c>
      <c r="P1019" s="18">
        <v>0</v>
      </c>
      <c r="Q1019" s="63">
        <v>0.92</v>
      </c>
      <c r="R1019" s="46"/>
    </row>
    <row r="1020" spans="1:18">
      <c r="A1020" s="33" t="s">
        <v>6522</v>
      </c>
      <c r="B1020" s="54" t="s">
        <v>7766</v>
      </c>
      <c r="C1020" s="55">
        <v>42304</v>
      </c>
      <c r="D1020" s="47" t="s">
        <v>8465</v>
      </c>
      <c r="E1020" s="40" t="s">
        <v>3116</v>
      </c>
      <c r="F1020" s="40" t="s">
        <v>4078</v>
      </c>
      <c r="G1020" s="56" t="s">
        <v>4079</v>
      </c>
      <c r="H1020" s="67" t="s">
        <v>1050</v>
      </c>
      <c r="J1020" s="43"/>
      <c r="K1020" s="63">
        <v>0.6</v>
      </c>
      <c r="L1020" s="54">
        <v>1019</v>
      </c>
      <c r="M1020" s="55">
        <v>44202</v>
      </c>
      <c r="N1020" s="57">
        <v>3.58</v>
      </c>
      <c r="O1020" s="18">
        <v>0</v>
      </c>
      <c r="P1020" s="18">
        <v>0</v>
      </c>
      <c r="Q1020" s="63">
        <v>0.84</v>
      </c>
      <c r="R1020" s="46"/>
    </row>
    <row r="1021" spans="1:18">
      <c r="A1021" s="33" t="s">
        <v>127</v>
      </c>
      <c r="B1021" s="54" t="s">
        <v>7766</v>
      </c>
      <c r="C1021" s="55">
        <v>44063</v>
      </c>
      <c r="D1021" s="47" t="s">
        <v>8465</v>
      </c>
      <c r="E1021" s="40" t="s">
        <v>6517</v>
      </c>
      <c r="F1021" s="40" t="s">
        <v>9566</v>
      </c>
      <c r="G1021" s="56" t="s">
        <v>127</v>
      </c>
      <c r="H1021" s="67" t="s">
        <v>153</v>
      </c>
      <c r="J1021" s="43"/>
      <c r="K1021" s="63">
        <v>0.5</v>
      </c>
      <c r="L1021" s="54">
        <v>1020</v>
      </c>
      <c r="M1021" s="55">
        <v>44203</v>
      </c>
      <c r="N1021" s="57">
        <v>3.09</v>
      </c>
      <c r="O1021" s="18">
        <v>0</v>
      </c>
      <c r="P1021" s="18">
        <v>0</v>
      </c>
      <c r="Q1021" s="63">
        <v>0.72</v>
      </c>
      <c r="R1021" s="46"/>
    </row>
    <row r="1022" spans="1:18" ht="38.25">
      <c r="A1022" s="33" t="s">
        <v>9567</v>
      </c>
      <c r="B1022" s="54" t="s">
        <v>7800</v>
      </c>
      <c r="C1022" s="55">
        <v>44173</v>
      </c>
      <c r="D1022" s="47" t="s">
        <v>8465</v>
      </c>
      <c r="E1022" s="40" t="s">
        <v>2479</v>
      </c>
      <c r="F1022" s="40" t="s">
        <v>2479</v>
      </c>
      <c r="G1022" s="56" t="s">
        <v>2756</v>
      </c>
      <c r="H1022" s="67" t="s">
        <v>1220</v>
      </c>
      <c r="I1022" s="18">
        <v>1</v>
      </c>
      <c r="J1022" s="43"/>
      <c r="K1022" s="63">
        <v>0.4</v>
      </c>
      <c r="L1022" s="54">
        <v>1021</v>
      </c>
      <c r="M1022" s="55">
        <v>44203</v>
      </c>
      <c r="N1022" s="57"/>
      <c r="O1022" s="18">
        <v>0</v>
      </c>
      <c r="P1022" s="18">
        <v>0</v>
      </c>
      <c r="Q1022" s="63"/>
      <c r="R1022" s="46"/>
    </row>
    <row r="1023" spans="1:18" ht="25.5">
      <c r="A1023" s="33" t="s">
        <v>9429</v>
      </c>
      <c r="B1023" s="54" t="s">
        <v>7744</v>
      </c>
      <c r="C1023" s="55">
        <v>44145</v>
      </c>
      <c r="D1023" s="47" t="s">
        <v>8465</v>
      </c>
      <c r="E1023" s="40" t="s">
        <v>7422</v>
      </c>
      <c r="F1023" s="40" t="s">
        <v>3230</v>
      </c>
      <c r="G1023" s="56"/>
      <c r="H1023" s="67" t="s">
        <v>171</v>
      </c>
      <c r="J1023" s="43"/>
      <c r="K1023" s="63">
        <v>0.75</v>
      </c>
      <c r="L1023" s="54">
        <v>1022</v>
      </c>
      <c r="M1023" s="55">
        <v>44210</v>
      </c>
      <c r="N1023" s="57">
        <v>23.13</v>
      </c>
      <c r="O1023" s="18">
        <v>0</v>
      </c>
      <c r="P1023" s="18">
        <v>0</v>
      </c>
      <c r="Q1023" s="63">
        <v>0.81</v>
      </c>
      <c r="R1023" s="46"/>
    </row>
    <row r="1024" spans="1:18" ht="90">
      <c r="A1024" s="33" t="s">
        <v>9222</v>
      </c>
      <c r="B1024" s="54" t="s">
        <v>7800</v>
      </c>
      <c r="C1024" s="55">
        <v>43182</v>
      </c>
      <c r="D1024" s="47" t="s">
        <v>8465</v>
      </c>
      <c r="E1024" s="40" t="s">
        <v>231</v>
      </c>
      <c r="F1024" s="40" t="s">
        <v>9223</v>
      </c>
      <c r="G1024" s="56"/>
      <c r="H1024" s="67" t="s">
        <v>80</v>
      </c>
      <c r="J1024" s="43"/>
      <c r="K1024" s="63">
        <v>0.65</v>
      </c>
      <c r="L1024" s="54">
        <v>1023</v>
      </c>
      <c r="M1024" s="55">
        <v>44214</v>
      </c>
      <c r="N1024" s="57">
        <v>5</v>
      </c>
      <c r="O1024" s="18">
        <v>0</v>
      </c>
      <c r="P1024" s="18">
        <v>0</v>
      </c>
      <c r="Q1024" s="63">
        <v>0.78</v>
      </c>
      <c r="R1024" s="46" t="s">
        <v>10033</v>
      </c>
    </row>
    <row r="1025" spans="1:18" ht="60">
      <c r="A1025" s="33" t="s">
        <v>9569</v>
      </c>
      <c r="B1025" s="54" t="s">
        <v>7800</v>
      </c>
      <c r="C1025" s="55">
        <v>44210</v>
      </c>
      <c r="D1025" s="47" t="s">
        <v>8465</v>
      </c>
      <c r="E1025" s="40" t="s">
        <v>1047</v>
      </c>
      <c r="F1025" s="40" t="s">
        <v>1048</v>
      </c>
      <c r="G1025" s="56" t="s">
        <v>9570</v>
      </c>
      <c r="H1025" s="67" t="s">
        <v>153</v>
      </c>
      <c r="J1025" s="43"/>
      <c r="K1025" s="63">
        <v>0.7</v>
      </c>
      <c r="L1025" s="54">
        <v>1024</v>
      </c>
      <c r="M1025" s="55">
        <v>44216</v>
      </c>
      <c r="N1025" s="57">
        <f>4+43/60</f>
        <v>4.7166666666666668</v>
      </c>
      <c r="O1025" s="18">
        <v>0</v>
      </c>
      <c r="P1025" s="18">
        <v>0</v>
      </c>
      <c r="Q1025" s="63">
        <v>0.73</v>
      </c>
      <c r="R1025" s="46" t="s">
        <v>10034</v>
      </c>
    </row>
    <row r="1026" spans="1:18" ht="90">
      <c r="A1026" s="33" t="s">
        <v>9568</v>
      </c>
      <c r="B1026" s="54" t="s">
        <v>7800</v>
      </c>
      <c r="C1026" s="55">
        <v>44216</v>
      </c>
      <c r="D1026" s="47" t="s">
        <v>8465</v>
      </c>
      <c r="E1026" s="40" t="s">
        <v>4118</v>
      </c>
      <c r="F1026" s="40" t="s">
        <v>4118</v>
      </c>
      <c r="G1026" s="56" t="s">
        <v>4117</v>
      </c>
      <c r="H1026" s="67" t="s">
        <v>245</v>
      </c>
      <c r="J1026" s="43"/>
      <c r="K1026" s="63">
        <v>0.75</v>
      </c>
      <c r="L1026" s="54">
        <v>1025</v>
      </c>
      <c r="M1026" s="55">
        <v>44223</v>
      </c>
      <c r="N1026" s="57">
        <v>7.91</v>
      </c>
      <c r="O1026" s="18">
        <v>0</v>
      </c>
      <c r="P1026" s="18">
        <v>0</v>
      </c>
      <c r="Q1026" s="63">
        <v>0.88</v>
      </c>
      <c r="R1026" s="46" t="s">
        <v>10035</v>
      </c>
    </row>
    <row r="1027" spans="1:18" ht="75">
      <c r="A1027" s="33" t="s">
        <v>8714</v>
      </c>
      <c r="B1027" s="54" t="s">
        <v>7760</v>
      </c>
      <c r="C1027" s="55">
        <v>42983</v>
      </c>
      <c r="D1027" s="47" t="s">
        <v>8465</v>
      </c>
      <c r="E1027" s="40" t="s">
        <v>2461</v>
      </c>
      <c r="F1027" s="40" t="s">
        <v>8708</v>
      </c>
      <c r="G1027" s="56" t="s">
        <v>8709</v>
      </c>
      <c r="H1027" s="67" t="s">
        <v>1057</v>
      </c>
      <c r="J1027" s="43"/>
      <c r="K1027" s="63">
        <v>0.7</v>
      </c>
      <c r="L1027" s="54">
        <v>1026</v>
      </c>
      <c r="M1027" s="55">
        <v>44225</v>
      </c>
      <c r="N1027" s="57">
        <v>51.56</v>
      </c>
      <c r="O1027" s="18">
        <v>0</v>
      </c>
      <c r="P1027" s="18">
        <v>0</v>
      </c>
      <c r="Q1027" s="63">
        <v>0.75</v>
      </c>
      <c r="R1027" s="46" t="s">
        <v>10036</v>
      </c>
    </row>
    <row r="1028" spans="1:18" ht="75">
      <c r="A1028" s="33" t="s">
        <v>9557</v>
      </c>
      <c r="B1028" s="54" t="s">
        <v>7800</v>
      </c>
      <c r="C1028" s="55">
        <v>44222</v>
      </c>
      <c r="D1028" s="47" t="s">
        <v>8465</v>
      </c>
      <c r="E1028" s="40" t="s">
        <v>4989</v>
      </c>
      <c r="F1028" s="40" t="s">
        <v>9558</v>
      </c>
      <c r="G1028" s="56"/>
      <c r="H1028" s="67" t="s">
        <v>56</v>
      </c>
      <c r="J1028" s="43"/>
      <c r="K1028" s="63">
        <v>0.75</v>
      </c>
      <c r="L1028" s="54">
        <v>1027</v>
      </c>
      <c r="M1028" s="55">
        <v>44227</v>
      </c>
      <c r="N1028" s="57">
        <v>6.4</v>
      </c>
      <c r="O1028" s="18">
        <v>0</v>
      </c>
      <c r="P1028" s="18">
        <v>0</v>
      </c>
      <c r="Q1028" s="63">
        <v>0.83</v>
      </c>
      <c r="R1028" s="46" t="s">
        <v>10037</v>
      </c>
    </row>
    <row r="1029" spans="1:18" ht="75">
      <c r="A1029" s="33" t="s">
        <v>9731</v>
      </c>
      <c r="B1029" s="54" t="s">
        <v>9440</v>
      </c>
      <c r="C1029" s="55">
        <v>44224</v>
      </c>
      <c r="D1029" s="47" t="s">
        <v>8465</v>
      </c>
      <c r="E1029" s="40" t="s">
        <v>3048</v>
      </c>
      <c r="F1029" s="40" t="s">
        <v>3048</v>
      </c>
      <c r="G1029" s="56"/>
      <c r="H1029" s="67" t="s">
        <v>1061</v>
      </c>
      <c r="J1029" s="43"/>
      <c r="K1029" s="63">
        <v>0.75</v>
      </c>
      <c r="L1029" s="54">
        <v>1028</v>
      </c>
      <c r="M1029" s="55">
        <v>44228</v>
      </c>
      <c r="N1029" s="57">
        <v>6.53</v>
      </c>
      <c r="O1029" s="18">
        <v>0</v>
      </c>
      <c r="P1029" s="18">
        <v>0</v>
      </c>
      <c r="Q1029" s="63">
        <v>0.71</v>
      </c>
      <c r="R1029" s="46" t="s">
        <v>10038</v>
      </c>
    </row>
    <row r="1030" spans="1:18" ht="105">
      <c r="A1030" s="33" t="s">
        <v>9412</v>
      </c>
      <c r="B1030" s="54" t="s">
        <v>7744</v>
      </c>
      <c r="C1030" s="55">
        <v>43767</v>
      </c>
      <c r="D1030" s="47" t="s">
        <v>8465</v>
      </c>
      <c r="E1030" s="40" t="s">
        <v>1565</v>
      </c>
      <c r="F1030" s="40" t="s">
        <v>1566</v>
      </c>
      <c r="G1030" s="56" t="s">
        <v>1567</v>
      </c>
      <c r="H1030" s="67" t="s">
        <v>149</v>
      </c>
      <c r="J1030" s="43"/>
      <c r="K1030" s="63">
        <v>0.7</v>
      </c>
      <c r="L1030" s="54">
        <v>1029</v>
      </c>
      <c r="M1030" s="55">
        <v>44232</v>
      </c>
      <c r="N1030" s="57">
        <v>22.23</v>
      </c>
      <c r="O1030" s="18">
        <v>0</v>
      </c>
      <c r="P1030" s="18">
        <v>0</v>
      </c>
      <c r="Q1030" s="63">
        <v>0.84</v>
      </c>
      <c r="R1030" s="46" t="s">
        <v>10039</v>
      </c>
    </row>
    <row r="1031" spans="1:18" ht="60">
      <c r="A1031" s="33" t="s">
        <v>1890</v>
      </c>
      <c r="B1031" s="55" t="s">
        <v>7744</v>
      </c>
      <c r="C1031" s="55">
        <v>43049</v>
      </c>
      <c r="D1031" s="47" t="s">
        <v>8465</v>
      </c>
      <c r="E1031" s="40" t="s">
        <v>1690</v>
      </c>
      <c r="F1031" s="40" t="s">
        <v>1889</v>
      </c>
      <c r="G1031" s="56" t="s">
        <v>1890</v>
      </c>
      <c r="H1031" s="67" t="s">
        <v>1050</v>
      </c>
      <c r="J1031" s="43"/>
      <c r="K1031" s="63">
        <v>0.6</v>
      </c>
      <c r="L1031" s="54">
        <v>1030</v>
      </c>
      <c r="M1031" s="55">
        <v>44232</v>
      </c>
      <c r="N1031" s="57">
        <v>10</v>
      </c>
      <c r="O1031" s="18">
        <v>0</v>
      </c>
      <c r="P1031" s="18">
        <v>0</v>
      </c>
      <c r="Q1031" s="63">
        <v>0.8</v>
      </c>
      <c r="R1031" s="46" t="s">
        <v>10040</v>
      </c>
    </row>
    <row r="1032" spans="1:18" ht="60">
      <c r="A1032" s="33" t="s">
        <v>6293</v>
      </c>
      <c r="B1032" s="54" t="s">
        <v>7763</v>
      </c>
      <c r="C1032" s="55">
        <v>41205</v>
      </c>
      <c r="D1032" s="47" t="s">
        <v>8465</v>
      </c>
      <c r="E1032" s="40" t="s">
        <v>455</v>
      </c>
      <c r="F1032" s="40" t="s">
        <v>4068</v>
      </c>
      <c r="G1032" s="56" t="s">
        <v>1065</v>
      </c>
      <c r="H1032" s="67" t="s">
        <v>1040</v>
      </c>
      <c r="J1032" s="43"/>
      <c r="K1032" s="63">
        <v>0.6</v>
      </c>
      <c r="L1032" s="54">
        <v>1031</v>
      </c>
      <c r="M1032" s="55">
        <v>44234</v>
      </c>
      <c r="N1032" s="57"/>
      <c r="O1032" s="18">
        <v>0</v>
      </c>
      <c r="P1032" s="18">
        <v>0</v>
      </c>
      <c r="Q1032" s="63">
        <v>0.66</v>
      </c>
      <c r="R1032" s="46" t="s">
        <v>10041</v>
      </c>
    </row>
    <row r="1033" spans="1:18" ht="105">
      <c r="A1033" s="33" t="s">
        <v>9748</v>
      </c>
      <c r="B1033" s="54" t="s">
        <v>7800</v>
      </c>
      <c r="C1033" s="55">
        <v>41513</v>
      </c>
      <c r="D1033" s="47" t="s">
        <v>8465</v>
      </c>
      <c r="E1033" s="40" t="s">
        <v>1082</v>
      </c>
      <c r="F1033" s="40" t="s">
        <v>6119</v>
      </c>
      <c r="G1033" s="56" t="s">
        <v>126</v>
      </c>
      <c r="H1033" s="67" t="s">
        <v>9780</v>
      </c>
      <c r="J1033" s="43"/>
      <c r="K1033" s="63">
        <v>0.9</v>
      </c>
      <c r="L1033" s="54">
        <v>1032</v>
      </c>
      <c r="M1033" s="55">
        <v>44242</v>
      </c>
      <c r="N1033" s="57">
        <v>36.85</v>
      </c>
      <c r="O1033" s="18">
        <v>0</v>
      </c>
      <c r="P1033" s="18">
        <v>0</v>
      </c>
      <c r="Q1033" s="63">
        <v>0.83</v>
      </c>
      <c r="R1033" s="46" t="s">
        <v>10042</v>
      </c>
    </row>
    <row r="1034" spans="1:18" ht="45">
      <c r="A1034" s="33" t="s">
        <v>3533</v>
      </c>
      <c r="B1034" s="54" t="s">
        <v>7800</v>
      </c>
      <c r="C1034" s="55">
        <v>43007</v>
      </c>
      <c r="D1034" s="47" t="s">
        <v>8465</v>
      </c>
      <c r="E1034" s="40" t="s">
        <v>3534</v>
      </c>
      <c r="F1034" s="40" t="s">
        <v>3534</v>
      </c>
      <c r="G1034" s="56" t="s">
        <v>3533</v>
      </c>
      <c r="H1034" s="67" t="s">
        <v>56</v>
      </c>
      <c r="J1034" s="43"/>
      <c r="K1034" s="63">
        <v>0.8</v>
      </c>
      <c r="L1034" s="54">
        <v>1033</v>
      </c>
      <c r="M1034" s="55">
        <v>44246</v>
      </c>
      <c r="N1034" s="57">
        <v>22.27</v>
      </c>
      <c r="O1034" s="18">
        <v>0</v>
      </c>
      <c r="P1034" s="18">
        <v>0</v>
      </c>
      <c r="Q1034" s="63">
        <v>0.88</v>
      </c>
      <c r="R1034" s="46" t="s">
        <v>10043</v>
      </c>
    </row>
    <row r="1035" spans="1:18" ht="165">
      <c r="A1035" s="33" t="s">
        <v>9749</v>
      </c>
      <c r="B1035" s="54" t="s">
        <v>7800</v>
      </c>
      <c r="C1035" s="55">
        <v>42178</v>
      </c>
      <c r="D1035" s="47" t="s">
        <v>8465</v>
      </c>
      <c r="E1035" s="40" t="s">
        <v>1082</v>
      </c>
      <c r="F1035" s="40" t="s">
        <v>6119</v>
      </c>
      <c r="G1035" s="56" t="s">
        <v>126</v>
      </c>
      <c r="H1035" s="67" t="s">
        <v>9780</v>
      </c>
      <c r="J1035" s="43"/>
      <c r="K1035" s="63">
        <v>0.9</v>
      </c>
      <c r="L1035" s="54">
        <v>1034</v>
      </c>
      <c r="M1035" s="55">
        <v>44253</v>
      </c>
      <c r="N1035" s="57">
        <v>56.2</v>
      </c>
      <c r="O1035" s="18">
        <v>0</v>
      </c>
      <c r="P1035" s="18">
        <v>0</v>
      </c>
      <c r="Q1035" s="63">
        <v>0.86</v>
      </c>
      <c r="R1035" s="46" t="s">
        <v>10044</v>
      </c>
    </row>
    <row r="1036" spans="1:18" ht="150">
      <c r="A1036" s="33" t="s">
        <v>9750</v>
      </c>
      <c r="B1036" s="54" t="s">
        <v>7800</v>
      </c>
      <c r="C1036" s="55">
        <v>42906</v>
      </c>
      <c r="D1036" s="47" t="s">
        <v>8465</v>
      </c>
      <c r="E1036" s="40" t="s">
        <v>1082</v>
      </c>
      <c r="F1036" s="40" t="s">
        <v>6119</v>
      </c>
      <c r="G1036" s="56" t="s">
        <v>126</v>
      </c>
      <c r="H1036" s="67" t="s">
        <v>9780</v>
      </c>
      <c r="J1036" s="43"/>
      <c r="K1036" s="63">
        <v>0.85</v>
      </c>
      <c r="L1036" s="54">
        <v>1035</v>
      </c>
      <c r="M1036" s="55">
        <v>44262</v>
      </c>
      <c r="N1036" s="57">
        <v>60.7</v>
      </c>
      <c r="O1036" s="18">
        <v>0</v>
      </c>
      <c r="P1036" s="18">
        <v>0</v>
      </c>
      <c r="Q1036" s="63">
        <v>0.87</v>
      </c>
      <c r="R1036" s="46" t="s">
        <v>10045</v>
      </c>
    </row>
    <row r="1037" spans="1:18" ht="150">
      <c r="A1037" s="33" t="s">
        <v>920</v>
      </c>
      <c r="B1037" s="54" t="s">
        <v>7800</v>
      </c>
      <c r="C1037" s="55">
        <v>41697</v>
      </c>
      <c r="D1037" s="47" t="s">
        <v>8465</v>
      </c>
      <c r="E1037" s="40" t="s">
        <v>73</v>
      </c>
      <c r="F1037" s="40" t="s">
        <v>10046</v>
      </c>
      <c r="G1037" s="56" t="s">
        <v>943</v>
      </c>
      <c r="H1037" s="67" t="s">
        <v>1061</v>
      </c>
      <c r="J1037" s="43"/>
      <c r="K1037" s="63">
        <v>0.8</v>
      </c>
      <c r="L1037" s="54">
        <v>1036</v>
      </c>
      <c r="M1037" s="55">
        <v>44269</v>
      </c>
      <c r="N1037" s="57">
        <v>12.98</v>
      </c>
      <c r="O1037" s="18">
        <v>0</v>
      </c>
      <c r="P1037" s="18">
        <v>0</v>
      </c>
      <c r="Q1037" s="63">
        <v>0.83</v>
      </c>
      <c r="R1037" s="46" t="s">
        <v>10047</v>
      </c>
    </row>
    <row r="1038" spans="1:18" ht="165">
      <c r="A1038" s="33" t="s">
        <v>9751</v>
      </c>
      <c r="B1038" s="54" t="s">
        <v>7800</v>
      </c>
      <c r="C1038" s="55">
        <v>43648</v>
      </c>
      <c r="D1038" s="47" t="s">
        <v>8465</v>
      </c>
      <c r="E1038" s="40" t="s">
        <v>1082</v>
      </c>
      <c r="F1038" s="40" t="s">
        <v>9752</v>
      </c>
      <c r="G1038" s="56" t="s">
        <v>126</v>
      </c>
      <c r="H1038" s="67" t="s">
        <v>9780</v>
      </c>
      <c r="J1038" s="43"/>
      <c r="K1038" s="63">
        <v>0.95</v>
      </c>
      <c r="L1038" s="54">
        <v>1037</v>
      </c>
      <c r="M1038" s="55">
        <v>44279</v>
      </c>
      <c r="N1038" s="57">
        <v>79.099999999999994</v>
      </c>
      <c r="O1038" s="18">
        <v>0</v>
      </c>
      <c r="P1038" s="18">
        <v>0</v>
      </c>
      <c r="Q1038" s="63">
        <v>0.9</v>
      </c>
      <c r="R1038" s="46" t="s">
        <v>10048</v>
      </c>
    </row>
    <row r="1039" spans="1:18" ht="150">
      <c r="A1039" s="33" t="s">
        <v>9719</v>
      </c>
      <c r="B1039" s="54" t="s">
        <v>7744</v>
      </c>
      <c r="C1039" s="55">
        <v>44222</v>
      </c>
      <c r="D1039" s="47" t="s">
        <v>8465</v>
      </c>
      <c r="E1039" s="40" t="s">
        <v>1565</v>
      </c>
      <c r="F1039" s="40" t="s">
        <v>1566</v>
      </c>
      <c r="G1039" s="56" t="s">
        <v>1567</v>
      </c>
      <c r="H1039" s="67" t="s">
        <v>149</v>
      </c>
      <c r="J1039" s="43"/>
      <c r="K1039" s="63">
        <v>0.75</v>
      </c>
      <c r="L1039" s="54">
        <v>1038</v>
      </c>
      <c r="M1039" s="55">
        <v>44286</v>
      </c>
      <c r="N1039" s="57">
        <v>30.86</v>
      </c>
      <c r="O1039" s="18">
        <v>0</v>
      </c>
      <c r="P1039" s="18">
        <v>0</v>
      </c>
      <c r="Q1039" s="63">
        <v>0.81</v>
      </c>
      <c r="R1039" s="46" t="s">
        <v>10049</v>
      </c>
    </row>
    <row r="1040" spans="1:18" ht="195">
      <c r="A1040" s="33" t="s">
        <v>9788</v>
      </c>
      <c r="B1040" s="54" t="s">
        <v>7800</v>
      </c>
      <c r="C1040" s="55">
        <v>44054</v>
      </c>
      <c r="D1040" s="47" t="s">
        <v>8465</v>
      </c>
      <c r="E1040" s="40" t="s">
        <v>9438</v>
      </c>
      <c r="F1040" s="40" t="s">
        <v>3600</v>
      </c>
      <c r="G1040" s="56" t="s">
        <v>4849</v>
      </c>
      <c r="H1040" s="67" t="s">
        <v>1518</v>
      </c>
      <c r="J1040" s="43"/>
      <c r="K1040" s="63">
        <v>0.9</v>
      </c>
      <c r="L1040" s="54">
        <v>1039</v>
      </c>
      <c r="M1040" s="55">
        <v>44289</v>
      </c>
      <c r="N1040" s="57">
        <v>18</v>
      </c>
      <c r="O1040" s="18">
        <v>0</v>
      </c>
      <c r="P1040" s="18">
        <v>0</v>
      </c>
      <c r="Q1040" s="63">
        <v>0.85</v>
      </c>
      <c r="R1040" s="46" t="s">
        <v>10050</v>
      </c>
    </row>
    <row r="1041" spans="1:18" ht="135">
      <c r="A1041" s="33" t="s">
        <v>9791</v>
      </c>
      <c r="B1041" s="54" t="s">
        <v>7760</v>
      </c>
      <c r="C1041" s="13">
        <v>44250</v>
      </c>
      <c r="D1041" s="47" t="s">
        <v>8465</v>
      </c>
      <c r="E1041" s="40" t="s">
        <v>228</v>
      </c>
      <c r="F1041" s="40" t="s">
        <v>1471</v>
      </c>
      <c r="G1041" s="56" t="s">
        <v>1171</v>
      </c>
      <c r="H1041" s="67" t="s">
        <v>171</v>
      </c>
      <c r="K1041" s="63">
        <v>0.9</v>
      </c>
      <c r="L1041" s="54">
        <v>1040</v>
      </c>
      <c r="M1041" s="13">
        <v>44296</v>
      </c>
      <c r="N1041" s="57">
        <v>35.92</v>
      </c>
      <c r="O1041" s="18">
        <v>0</v>
      </c>
      <c r="P1041" s="18">
        <v>0</v>
      </c>
      <c r="Q1041" s="63">
        <v>0.84</v>
      </c>
      <c r="R1041" s="46" t="s">
        <v>10070</v>
      </c>
    </row>
    <row r="1042" spans="1:18" ht="300">
      <c r="A1042" s="33" t="s">
        <v>9753</v>
      </c>
      <c r="B1042" s="54" t="s">
        <v>7800</v>
      </c>
      <c r="C1042" s="13">
        <v>37922</v>
      </c>
      <c r="D1042" s="47" t="s">
        <v>8465</v>
      </c>
      <c r="E1042" s="40" t="s">
        <v>1082</v>
      </c>
      <c r="F1042" s="40" t="s">
        <v>1082</v>
      </c>
      <c r="G1042" s="56" t="s">
        <v>126</v>
      </c>
      <c r="H1042" s="67" t="s">
        <v>9780</v>
      </c>
      <c r="K1042" s="63">
        <v>0.6</v>
      </c>
      <c r="L1042" s="54">
        <v>1041</v>
      </c>
      <c r="M1042" s="13">
        <v>44302</v>
      </c>
      <c r="N1042" s="57">
        <v>75.36</v>
      </c>
      <c r="O1042" s="18">
        <v>0</v>
      </c>
      <c r="P1042" s="18">
        <v>0</v>
      </c>
      <c r="Q1042" s="63">
        <v>0.85</v>
      </c>
      <c r="R1042" s="46" t="s">
        <v>10096</v>
      </c>
    </row>
    <row r="1043" spans="1:18" ht="180">
      <c r="A1043" s="33" t="s">
        <v>10132</v>
      </c>
      <c r="B1043" s="18" t="s">
        <v>9440</v>
      </c>
      <c r="C1043" s="13">
        <v>44287</v>
      </c>
      <c r="D1043" s="47" t="s">
        <v>8465</v>
      </c>
      <c r="E1043" s="10" t="s">
        <v>1082</v>
      </c>
      <c r="F1043" s="10" t="s">
        <v>3384</v>
      </c>
      <c r="H1043" s="68" t="s">
        <v>1168</v>
      </c>
      <c r="K1043" s="60">
        <v>0.6</v>
      </c>
      <c r="L1043" s="18">
        <v>1042</v>
      </c>
      <c r="M1043" s="13">
        <v>44307</v>
      </c>
      <c r="N1043" s="21">
        <v>13.23</v>
      </c>
      <c r="O1043" s="18">
        <v>0</v>
      </c>
      <c r="P1043" s="18">
        <v>0</v>
      </c>
      <c r="Q1043" s="60">
        <v>0.74</v>
      </c>
      <c r="R1043" s="46" t="s">
        <v>10133</v>
      </c>
    </row>
    <row r="1044" spans="1:18" ht="210">
      <c r="A1044" s="33" t="s">
        <v>9735</v>
      </c>
      <c r="B1044" s="18" t="s">
        <v>7760</v>
      </c>
      <c r="C1044" s="13">
        <v>44229</v>
      </c>
      <c r="D1044" s="47" t="s">
        <v>8465</v>
      </c>
      <c r="E1044" s="10" t="s">
        <v>1062</v>
      </c>
      <c r="F1044" s="10" t="s">
        <v>1245</v>
      </c>
      <c r="G1044" s="59" t="s">
        <v>304</v>
      </c>
      <c r="H1044" s="68" t="s">
        <v>171</v>
      </c>
      <c r="K1044" s="60">
        <v>0.7</v>
      </c>
      <c r="L1044" s="18">
        <v>1043</v>
      </c>
      <c r="M1044" s="13">
        <v>44307</v>
      </c>
      <c r="N1044" s="21">
        <v>26.97</v>
      </c>
      <c r="O1044" s="18">
        <v>0</v>
      </c>
      <c r="P1044" s="18">
        <v>0</v>
      </c>
      <c r="Q1044" s="60">
        <v>0.8</v>
      </c>
      <c r="R1044" s="46" t="s">
        <v>10134</v>
      </c>
    </row>
    <row r="1045" spans="1:18" ht="135">
      <c r="A1045" s="33" t="s">
        <v>10061</v>
      </c>
      <c r="B1045" s="18" t="s">
        <v>7744</v>
      </c>
      <c r="C1045" s="13">
        <v>42831</v>
      </c>
      <c r="D1045" s="47" t="s">
        <v>8465</v>
      </c>
      <c r="E1045" s="10" t="s">
        <v>10062</v>
      </c>
      <c r="F1045" s="10" t="s">
        <v>10062</v>
      </c>
      <c r="H1045" s="68" t="s">
        <v>21</v>
      </c>
      <c r="K1045" s="60">
        <v>0.5</v>
      </c>
      <c r="L1045" s="18">
        <v>1044</v>
      </c>
      <c r="M1045" s="13">
        <v>44320</v>
      </c>
      <c r="N1045" s="21">
        <v>3</v>
      </c>
      <c r="O1045" s="18">
        <v>0</v>
      </c>
      <c r="P1045" s="18">
        <v>0</v>
      </c>
      <c r="Q1045" s="60">
        <v>0.77</v>
      </c>
      <c r="R1045" s="46" t="s">
        <v>10147</v>
      </c>
    </row>
    <row r="1046" spans="1:18" ht="165">
      <c r="A1046" s="33" t="s">
        <v>9923</v>
      </c>
      <c r="B1046" s="18" t="s">
        <v>7744</v>
      </c>
      <c r="C1046" s="13">
        <v>44316</v>
      </c>
      <c r="D1046" s="47" t="s">
        <v>8465</v>
      </c>
      <c r="E1046" s="10" t="s">
        <v>86</v>
      </c>
      <c r="F1046" s="10" t="s">
        <v>1614</v>
      </c>
      <c r="G1046" s="59" t="s">
        <v>1470</v>
      </c>
      <c r="H1046" s="68" t="s">
        <v>1170</v>
      </c>
      <c r="K1046" s="60">
        <v>0.75</v>
      </c>
      <c r="L1046" s="18">
        <v>1045</v>
      </c>
      <c r="M1046" s="13">
        <v>44326</v>
      </c>
      <c r="N1046" s="21">
        <v>7.75</v>
      </c>
      <c r="O1046" s="18">
        <v>0</v>
      </c>
      <c r="P1046" s="18">
        <v>0</v>
      </c>
      <c r="Q1046" s="60">
        <v>0.8</v>
      </c>
      <c r="R1046" s="46" t="s">
        <v>10148</v>
      </c>
    </row>
    <row r="1047" spans="1:18" ht="180">
      <c r="A1047" s="33" t="s">
        <v>9773</v>
      </c>
      <c r="B1047" s="18" t="s">
        <v>7744</v>
      </c>
      <c r="C1047" s="13">
        <v>44239</v>
      </c>
      <c r="D1047" s="47" t="s">
        <v>8465</v>
      </c>
      <c r="E1047" s="10" t="s">
        <v>86</v>
      </c>
      <c r="F1047" s="10" t="s">
        <v>1138</v>
      </c>
      <c r="G1047" s="59" t="s">
        <v>137</v>
      </c>
      <c r="H1047" s="68" t="s">
        <v>1040</v>
      </c>
      <c r="K1047" s="60">
        <v>0.8</v>
      </c>
      <c r="L1047" s="18">
        <v>1046</v>
      </c>
      <c r="M1047" s="13">
        <v>44329</v>
      </c>
      <c r="N1047" s="21">
        <v>5</v>
      </c>
      <c r="O1047" s="18">
        <v>0</v>
      </c>
      <c r="P1047" s="18">
        <v>0</v>
      </c>
      <c r="Q1047" s="60">
        <v>0.89</v>
      </c>
      <c r="R1047" s="46" t="s">
        <v>10158</v>
      </c>
    </row>
    <row r="1048" spans="1:18">
      <c r="A1048" s="33" t="s">
        <v>9766</v>
      </c>
      <c r="B1048" s="18" t="s">
        <v>7744</v>
      </c>
      <c r="C1048" s="13">
        <v>44239</v>
      </c>
      <c r="D1048" s="47" t="s">
        <v>8465</v>
      </c>
      <c r="E1048" s="10" t="s">
        <v>7877</v>
      </c>
      <c r="F1048" s="10" t="s">
        <v>1070</v>
      </c>
      <c r="G1048" s="59" t="s">
        <v>9294</v>
      </c>
      <c r="H1048" s="68" t="s">
        <v>1170</v>
      </c>
      <c r="K1048" s="60">
        <v>0.3</v>
      </c>
      <c r="L1048" s="18">
        <v>1047</v>
      </c>
      <c r="M1048" s="13">
        <v>44336</v>
      </c>
      <c r="N1048" s="21">
        <v>1</v>
      </c>
      <c r="O1048" s="18">
        <v>0</v>
      </c>
      <c r="P1048" s="18">
        <v>0</v>
      </c>
      <c r="Q1048" s="60">
        <v>0.68</v>
      </c>
      <c r="R1048" s="46" t="s">
        <v>10160</v>
      </c>
    </row>
    <row r="1049" spans="1:18" ht="75">
      <c r="A1049" s="33" t="s">
        <v>9680</v>
      </c>
      <c r="B1049" s="18" t="s">
        <v>7800</v>
      </c>
      <c r="C1049" s="13">
        <v>44323</v>
      </c>
      <c r="D1049" s="47" t="s">
        <v>8465</v>
      </c>
      <c r="E1049" s="10" t="s">
        <v>73</v>
      </c>
      <c r="F1049" s="10" t="s">
        <v>73</v>
      </c>
      <c r="G1049" s="59" t="s">
        <v>943</v>
      </c>
      <c r="H1049" s="68" t="s">
        <v>1061</v>
      </c>
      <c r="K1049" s="60">
        <v>0.85</v>
      </c>
      <c r="L1049" s="18">
        <v>1048</v>
      </c>
      <c r="M1049" s="13">
        <v>44344</v>
      </c>
      <c r="N1049" s="21">
        <v>7.56</v>
      </c>
      <c r="O1049" s="18">
        <v>0</v>
      </c>
      <c r="P1049" s="18">
        <v>0</v>
      </c>
      <c r="Q1049" s="60">
        <v>0.85</v>
      </c>
      <c r="R1049" s="46" t="s">
        <v>10161</v>
      </c>
    </row>
    <row r="1050" spans="1:18" ht="105">
      <c r="A1050" s="33" t="s">
        <v>9681</v>
      </c>
      <c r="B1050" s="18" t="s">
        <v>7800</v>
      </c>
      <c r="C1050" s="13">
        <v>44309</v>
      </c>
      <c r="D1050" s="47" t="s">
        <v>8465</v>
      </c>
      <c r="E1050" s="10" t="s">
        <v>1082</v>
      </c>
      <c r="F1050" s="10" t="s">
        <v>9682</v>
      </c>
      <c r="G1050" s="59" t="s">
        <v>4538</v>
      </c>
      <c r="H1050" s="68" t="s">
        <v>171</v>
      </c>
      <c r="K1050" s="60">
        <v>0.8</v>
      </c>
      <c r="L1050" s="18">
        <v>1049</v>
      </c>
      <c r="M1050" s="13">
        <v>44356</v>
      </c>
      <c r="N1050" s="21">
        <v>32.1</v>
      </c>
      <c r="O1050" s="18">
        <v>0</v>
      </c>
      <c r="P1050" s="18">
        <v>0</v>
      </c>
      <c r="Q1050" s="60">
        <v>0.8</v>
      </c>
      <c r="R1050" s="46" t="s">
        <v>10181</v>
      </c>
    </row>
    <row r="1051" spans="1:18" ht="240">
      <c r="A1051" s="33" t="s">
        <v>9804</v>
      </c>
      <c r="B1051" s="18" t="s">
        <v>7744</v>
      </c>
      <c r="C1051" s="13">
        <v>44330</v>
      </c>
      <c r="D1051" s="47" t="s">
        <v>8465</v>
      </c>
      <c r="E1051" s="10" t="s">
        <v>86</v>
      </c>
      <c r="F1051" s="10" t="s">
        <v>8973</v>
      </c>
      <c r="G1051" s="59" t="s">
        <v>9805</v>
      </c>
      <c r="H1051" s="68" t="s">
        <v>1057</v>
      </c>
      <c r="K1051" s="60">
        <v>0.6</v>
      </c>
      <c r="L1051" s="18">
        <v>1050</v>
      </c>
      <c r="M1051" s="13">
        <v>44356</v>
      </c>
      <c r="N1051" s="21">
        <v>5</v>
      </c>
      <c r="O1051" s="18">
        <v>0</v>
      </c>
      <c r="P1051" s="18">
        <v>0</v>
      </c>
      <c r="Q1051" s="60">
        <v>0.73</v>
      </c>
      <c r="R1051" s="46" t="s">
        <v>10182</v>
      </c>
    </row>
    <row r="1052" spans="1:18" ht="120">
      <c r="A1052" s="33" t="s">
        <v>10185</v>
      </c>
      <c r="B1052" s="18" t="s">
        <v>9431</v>
      </c>
      <c r="C1052" s="13">
        <v>44357</v>
      </c>
      <c r="D1052" s="47" t="s">
        <v>8465</v>
      </c>
      <c r="E1052" s="10" t="s">
        <v>1082</v>
      </c>
      <c r="F1052" s="10" t="s">
        <v>8559</v>
      </c>
      <c r="G1052" s="59" t="s">
        <v>126</v>
      </c>
      <c r="H1052" s="68" t="s">
        <v>171</v>
      </c>
      <c r="K1052" s="60">
        <v>0.8</v>
      </c>
      <c r="L1052" s="18">
        <v>1051</v>
      </c>
      <c r="M1052" s="13">
        <v>44359</v>
      </c>
      <c r="N1052" s="21">
        <v>4.0999999999999996</v>
      </c>
      <c r="O1052" s="18">
        <v>0</v>
      </c>
      <c r="P1052" s="18">
        <v>0</v>
      </c>
      <c r="Q1052" s="60">
        <v>0.78</v>
      </c>
      <c r="R1052" s="46" t="s">
        <v>10879</v>
      </c>
    </row>
    <row r="1053" spans="1:18" ht="135">
      <c r="A1053" s="33" t="s">
        <v>1595</v>
      </c>
      <c r="B1053" s="18" t="s">
        <v>7744</v>
      </c>
      <c r="C1053" s="13">
        <v>43585</v>
      </c>
      <c r="D1053" s="47" t="s">
        <v>8465</v>
      </c>
      <c r="E1053" s="10" t="s">
        <v>1082</v>
      </c>
      <c r="F1053" s="10" t="s">
        <v>1082</v>
      </c>
      <c r="G1053" s="59" t="s">
        <v>126</v>
      </c>
      <c r="H1053" s="68" t="s">
        <v>149</v>
      </c>
      <c r="K1053" s="60">
        <v>0.9</v>
      </c>
      <c r="L1053" s="18">
        <v>1052</v>
      </c>
      <c r="M1053" s="13">
        <v>44366</v>
      </c>
      <c r="N1053" s="21">
        <v>37.17</v>
      </c>
      <c r="O1053" s="18">
        <v>0</v>
      </c>
      <c r="P1053" s="18">
        <v>0</v>
      </c>
      <c r="Q1053" s="60">
        <v>0.87</v>
      </c>
      <c r="R1053" s="46" t="s">
        <v>10209</v>
      </c>
    </row>
    <row r="1054" spans="1:18" ht="180">
      <c r="A1054" s="33" t="s">
        <v>5802</v>
      </c>
      <c r="B1054" s="18" t="s">
        <v>7758</v>
      </c>
      <c r="C1054" s="13">
        <v>38944</v>
      </c>
      <c r="D1054" s="47" t="s">
        <v>8465</v>
      </c>
      <c r="E1054" s="10" t="s">
        <v>1082</v>
      </c>
      <c r="F1054" s="10" t="s">
        <v>1082</v>
      </c>
      <c r="G1054" s="59" t="s">
        <v>126</v>
      </c>
      <c r="H1054" s="68" t="s">
        <v>1168</v>
      </c>
      <c r="K1054" s="60">
        <v>0.6</v>
      </c>
      <c r="L1054" s="18">
        <v>1053</v>
      </c>
      <c r="M1054" s="13">
        <v>44371</v>
      </c>
      <c r="N1054" s="21">
        <v>8.83</v>
      </c>
      <c r="O1054" s="18">
        <v>0</v>
      </c>
      <c r="P1054" s="18">
        <v>1</v>
      </c>
      <c r="Q1054" s="60">
        <v>0.6</v>
      </c>
      <c r="R1054" s="46" t="s">
        <v>10212</v>
      </c>
    </row>
    <row r="1055" spans="1:18" ht="105">
      <c r="A1055" s="33" t="s">
        <v>9933</v>
      </c>
      <c r="B1055" s="18" t="s">
        <v>9431</v>
      </c>
      <c r="C1055" s="13">
        <v>44358</v>
      </c>
      <c r="D1055" s="47" t="s">
        <v>8465</v>
      </c>
      <c r="E1055" s="10" t="s">
        <v>6107</v>
      </c>
      <c r="F1055" s="10" t="s">
        <v>3039</v>
      </c>
      <c r="G1055" s="59" t="s">
        <v>5853</v>
      </c>
      <c r="H1055" s="68" t="s">
        <v>80</v>
      </c>
      <c r="K1055" s="60">
        <v>0.9</v>
      </c>
      <c r="L1055" s="18">
        <v>1054</v>
      </c>
      <c r="M1055" s="13">
        <v>44375</v>
      </c>
      <c r="N1055" s="21">
        <v>6</v>
      </c>
      <c r="O1055" s="18">
        <v>0</v>
      </c>
      <c r="P1055" s="18">
        <v>0</v>
      </c>
      <c r="Q1055" s="60">
        <v>0.89</v>
      </c>
      <c r="R1055" s="46" t="s">
        <v>10249</v>
      </c>
    </row>
    <row r="1056" spans="1:18" ht="255">
      <c r="A1056" s="33" t="s">
        <v>9806</v>
      </c>
      <c r="B1056" s="18" t="s">
        <v>7744</v>
      </c>
      <c r="C1056" s="13">
        <v>44330</v>
      </c>
      <c r="D1056" s="47" t="s">
        <v>8465</v>
      </c>
      <c r="E1056" s="10" t="s">
        <v>86</v>
      </c>
      <c r="F1056" s="10" t="s">
        <v>8973</v>
      </c>
      <c r="G1056" s="59" t="s">
        <v>9805</v>
      </c>
      <c r="H1056" s="68" t="s">
        <v>1057</v>
      </c>
      <c r="K1056" s="60">
        <v>0.7</v>
      </c>
      <c r="L1056" s="18">
        <v>1055</v>
      </c>
      <c r="M1056" s="13">
        <v>44376</v>
      </c>
      <c r="N1056" s="21">
        <v>5</v>
      </c>
      <c r="O1056" s="18">
        <v>0</v>
      </c>
      <c r="P1056" s="18">
        <v>0</v>
      </c>
      <c r="Q1056" s="60">
        <v>0.74</v>
      </c>
      <c r="R1056" s="46" t="s">
        <v>10299</v>
      </c>
    </row>
    <row r="1057" spans="1:18" ht="150">
      <c r="A1057" s="33" t="s">
        <v>6552</v>
      </c>
      <c r="B1057" s="18" t="s">
        <v>7800</v>
      </c>
      <c r="C1057" s="13">
        <v>41310</v>
      </c>
      <c r="D1057" s="47" t="s">
        <v>8465</v>
      </c>
      <c r="E1057" s="10" t="s">
        <v>231</v>
      </c>
      <c r="F1057" s="10" t="s">
        <v>1543</v>
      </c>
      <c r="G1057" s="59" t="s">
        <v>1544</v>
      </c>
      <c r="H1057" s="68" t="s">
        <v>1168</v>
      </c>
      <c r="K1057" s="60">
        <v>0.5</v>
      </c>
      <c r="L1057" s="18">
        <v>1056</v>
      </c>
      <c r="M1057" s="13">
        <v>44377</v>
      </c>
      <c r="N1057" s="21">
        <v>8.7100000000000009</v>
      </c>
      <c r="O1057" s="18">
        <v>0</v>
      </c>
      <c r="P1057" s="18">
        <v>0</v>
      </c>
      <c r="Q1057" s="60">
        <v>0.73</v>
      </c>
      <c r="R1057" s="46" t="s">
        <v>10301</v>
      </c>
    </row>
    <row r="1058" spans="1:18" ht="225">
      <c r="A1058" s="33" t="s">
        <v>6529</v>
      </c>
      <c r="B1058" s="18" t="s">
        <v>7800</v>
      </c>
      <c r="C1058" s="13">
        <v>43518</v>
      </c>
      <c r="D1058" s="47" t="s">
        <v>8465</v>
      </c>
      <c r="E1058" s="10" t="s">
        <v>231</v>
      </c>
      <c r="F1058" s="10" t="s">
        <v>1161</v>
      </c>
      <c r="H1058" s="68" t="s">
        <v>1168</v>
      </c>
      <c r="K1058" s="60">
        <v>0.55000000000000004</v>
      </c>
      <c r="L1058" s="18">
        <v>1057</v>
      </c>
      <c r="M1058" s="13">
        <v>44378</v>
      </c>
      <c r="N1058" s="21">
        <v>7</v>
      </c>
      <c r="O1058" s="18">
        <v>0</v>
      </c>
      <c r="P1058" s="18">
        <v>0</v>
      </c>
      <c r="Q1058" s="60">
        <v>0.57999999999999996</v>
      </c>
      <c r="R1058" s="46" t="s">
        <v>10302</v>
      </c>
    </row>
    <row r="1059" spans="1:18" ht="255">
      <c r="A1059" s="33" t="s">
        <v>10303</v>
      </c>
      <c r="B1059" s="18" t="s">
        <v>7744</v>
      </c>
      <c r="C1059" s="13">
        <v>44369</v>
      </c>
      <c r="D1059" s="47" t="s">
        <v>8465</v>
      </c>
      <c r="E1059" s="10" t="s">
        <v>4388</v>
      </c>
      <c r="F1059" s="10" t="s">
        <v>10304</v>
      </c>
      <c r="G1059" s="59" t="s">
        <v>2508</v>
      </c>
      <c r="H1059" s="68" t="s">
        <v>64</v>
      </c>
      <c r="K1059" s="60">
        <v>0.4</v>
      </c>
      <c r="L1059" s="18">
        <v>1058</v>
      </c>
      <c r="M1059" s="13">
        <v>44380</v>
      </c>
      <c r="N1059" s="21">
        <v>2</v>
      </c>
      <c r="O1059" s="18">
        <v>0</v>
      </c>
      <c r="P1059" s="18">
        <v>0</v>
      </c>
      <c r="Q1059" s="60">
        <v>0.64</v>
      </c>
      <c r="R1059" s="46" t="s">
        <v>10326</v>
      </c>
    </row>
    <row r="1060" spans="1:18" ht="240">
      <c r="A1060" s="33" t="s">
        <v>1074</v>
      </c>
      <c r="B1060" s="18" t="s">
        <v>7742</v>
      </c>
      <c r="C1060" s="13">
        <v>40085</v>
      </c>
      <c r="D1060" s="47" t="s">
        <v>8465</v>
      </c>
      <c r="E1060" s="10" t="s">
        <v>1082</v>
      </c>
      <c r="F1060" s="10" t="s">
        <v>1083</v>
      </c>
      <c r="G1060" s="59" t="s">
        <v>126</v>
      </c>
      <c r="H1060" s="68" t="s">
        <v>149</v>
      </c>
      <c r="K1060" s="60">
        <v>0.7</v>
      </c>
      <c r="L1060" s="18">
        <v>1059</v>
      </c>
      <c r="M1060" s="13">
        <v>44385</v>
      </c>
      <c r="N1060" s="21">
        <v>41.62</v>
      </c>
      <c r="O1060" s="18">
        <v>0</v>
      </c>
      <c r="P1060" s="18">
        <v>1</v>
      </c>
      <c r="Q1060" s="60">
        <v>0.74</v>
      </c>
      <c r="R1060" s="46" t="s">
        <v>10880</v>
      </c>
    </row>
    <row r="1061" spans="1:18" ht="180">
      <c r="A1061" s="33" t="s">
        <v>1738</v>
      </c>
      <c r="B1061" s="18" t="s">
        <v>7744</v>
      </c>
      <c r="C1061" s="13">
        <v>42822</v>
      </c>
      <c r="D1061" s="47" t="s">
        <v>8465</v>
      </c>
      <c r="E1061" s="10" t="s">
        <v>1687</v>
      </c>
      <c r="F1061" s="10" t="s">
        <v>1687</v>
      </c>
      <c r="H1061" s="68" t="s">
        <v>1040</v>
      </c>
      <c r="K1061" s="60">
        <v>0.5</v>
      </c>
      <c r="L1061" s="18">
        <v>1060</v>
      </c>
      <c r="M1061" s="13">
        <v>44385</v>
      </c>
      <c r="N1061" s="21">
        <v>4</v>
      </c>
      <c r="O1061" s="18">
        <v>0</v>
      </c>
      <c r="P1061" s="18">
        <v>0</v>
      </c>
      <c r="Q1061" s="60">
        <v>0.76</v>
      </c>
      <c r="R1061" s="46" t="s">
        <v>10340</v>
      </c>
    </row>
    <row r="1062" spans="1:18" ht="210">
      <c r="A1062" s="33" t="s">
        <v>1730</v>
      </c>
      <c r="B1062" s="18" t="s">
        <v>7744</v>
      </c>
      <c r="C1062" s="13">
        <v>42803</v>
      </c>
      <c r="D1062" s="47" t="s">
        <v>8465</v>
      </c>
      <c r="E1062" s="10" t="s">
        <v>1070</v>
      </c>
      <c r="F1062" s="10" t="s">
        <v>1070</v>
      </c>
      <c r="G1062" s="59" t="s">
        <v>208</v>
      </c>
      <c r="H1062" s="68" t="s">
        <v>151</v>
      </c>
      <c r="K1062" s="60">
        <v>0.7</v>
      </c>
      <c r="L1062" s="18">
        <v>1061</v>
      </c>
      <c r="M1062" s="13">
        <v>44386</v>
      </c>
      <c r="N1062" s="21">
        <v>5.92</v>
      </c>
      <c r="O1062" s="18">
        <v>0</v>
      </c>
      <c r="P1062" s="18">
        <v>0</v>
      </c>
      <c r="Q1062" s="60">
        <v>0.77</v>
      </c>
      <c r="R1062" s="46" t="s">
        <v>10341</v>
      </c>
    </row>
    <row r="1063" spans="1:18" ht="210">
      <c r="A1063" s="33" t="s">
        <v>2176</v>
      </c>
      <c r="B1063" s="18" t="s">
        <v>7748</v>
      </c>
      <c r="C1063" s="13">
        <v>39406</v>
      </c>
      <c r="D1063" s="47" t="s">
        <v>8465</v>
      </c>
      <c r="E1063" s="10" t="s">
        <v>1082</v>
      </c>
      <c r="F1063" s="10" t="s">
        <v>2303</v>
      </c>
      <c r="G1063" s="59" t="s">
        <v>126</v>
      </c>
      <c r="H1063" s="68" t="s">
        <v>1143</v>
      </c>
      <c r="K1063" s="60">
        <v>0.7</v>
      </c>
      <c r="L1063" s="18">
        <v>1062</v>
      </c>
      <c r="M1063" s="13">
        <v>44392</v>
      </c>
      <c r="N1063" s="21">
        <v>24.67</v>
      </c>
      <c r="O1063" s="18">
        <v>0</v>
      </c>
      <c r="P1063" s="18">
        <v>0</v>
      </c>
      <c r="Q1063" s="60">
        <v>0.8</v>
      </c>
      <c r="R1063" s="46" t="s">
        <v>10343</v>
      </c>
    </row>
    <row r="1064" spans="1:18" ht="105">
      <c r="A1064" s="33" t="s">
        <v>3486</v>
      </c>
      <c r="B1064" s="18" t="s">
        <v>7800</v>
      </c>
      <c r="C1064" s="13">
        <v>38818</v>
      </c>
      <c r="D1064" s="47" t="s">
        <v>8465</v>
      </c>
      <c r="E1064" s="10" t="s">
        <v>455</v>
      </c>
      <c r="F1064" s="10" t="s">
        <v>3487</v>
      </c>
      <c r="G1064" s="59" t="s">
        <v>3488</v>
      </c>
      <c r="H1064" s="68" t="s">
        <v>1061</v>
      </c>
      <c r="K1064" s="60">
        <v>0.6</v>
      </c>
      <c r="L1064" s="18">
        <v>1063</v>
      </c>
      <c r="M1064" s="13">
        <v>44393</v>
      </c>
      <c r="N1064" s="21">
        <v>5.37</v>
      </c>
      <c r="O1064" s="18">
        <v>0</v>
      </c>
      <c r="P1064" s="18">
        <v>0</v>
      </c>
      <c r="Q1064" s="60">
        <v>0.79</v>
      </c>
      <c r="R1064" s="46" t="s">
        <v>10345</v>
      </c>
    </row>
    <row r="1065" spans="1:18" ht="135">
      <c r="A1065" s="33" t="s">
        <v>5431</v>
      </c>
      <c r="B1065" s="18" t="s">
        <v>7800</v>
      </c>
      <c r="C1065" s="13">
        <v>42437</v>
      </c>
      <c r="D1065" s="47" t="s">
        <v>8465</v>
      </c>
      <c r="E1065" s="10" t="s">
        <v>1047</v>
      </c>
      <c r="F1065" s="10" t="s">
        <v>5432</v>
      </c>
      <c r="G1065" s="59" t="s">
        <v>5433</v>
      </c>
      <c r="H1065" s="68" t="s">
        <v>1168</v>
      </c>
      <c r="K1065" s="60">
        <v>0.5</v>
      </c>
      <c r="L1065" s="18">
        <v>1064</v>
      </c>
      <c r="M1065" s="13">
        <v>44395</v>
      </c>
      <c r="N1065" s="21">
        <v>21.82</v>
      </c>
      <c r="O1065" s="18">
        <v>0</v>
      </c>
      <c r="P1065" s="18">
        <v>0</v>
      </c>
      <c r="Q1065" s="60">
        <v>0.8</v>
      </c>
      <c r="R1065" s="46" t="s">
        <v>10346</v>
      </c>
    </row>
    <row r="1066" spans="1:18" ht="285">
      <c r="A1066" s="33" t="s">
        <v>10410</v>
      </c>
      <c r="B1066" s="18" t="s">
        <v>7783</v>
      </c>
      <c r="C1066" s="13">
        <v>44029</v>
      </c>
      <c r="D1066" s="47" t="s">
        <v>8465</v>
      </c>
      <c r="E1066" s="10" t="s">
        <v>10411</v>
      </c>
      <c r="F1066" s="10" t="s">
        <v>10411</v>
      </c>
      <c r="H1066" s="68" t="s">
        <v>1057</v>
      </c>
      <c r="K1066" s="60">
        <v>0.3</v>
      </c>
      <c r="L1066" s="18">
        <v>1065</v>
      </c>
      <c r="M1066" s="13">
        <v>44418</v>
      </c>
      <c r="O1066" s="18">
        <v>0</v>
      </c>
      <c r="P1066" s="18">
        <v>0</v>
      </c>
      <c r="R1066" s="46" t="s">
        <v>10412</v>
      </c>
    </row>
    <row r="1067" spans="1:18" ht="330">
      <c r="A1067" s="33" t="s">
        <v>3891</v>
      </c>
      <c r="B1067" s="18" t="s">
        <v>7800</v>
      </c>
      <c r="C1067" s="13">
        <v>41921</v>
      </c>
      <c r="D1067" s="47" t="s">
        <v>8465</v>
      </c>
      <c r="E1067" s="10" t="s">
        <v>1082</v>
      </c>
      <c r="F1067" s="10" t="s">
        <v>3892</v>
      </c>
      <c r="G1067" s="59" t="s">
        <v>126</v>
      </c>
      <c r="H1067" s="68" t="s">
        <v>149</v>
      </c>
      <c r="K1067" s="60">
        <v>0.9</v>
      </c>
      <c r="L1067" s="18">
        <v>1066</v>
      </c>
      <c r="M1067" s="13">
        <v>44422</v>
      </c>
      <c r="N1067" s="21">
        <v>49.88</v>
      </c>
      <c r="O1067" s="18">
        <v>0</v>
      </c>
      <c r="P1067" s="18">
        <v>0</v>
      </c>
      <c r="Q1067" s="60">
        <v>0.65</v>
      </c>
      <c r="R1067" s="46" t="s">
        <v>10881</v>
      </c>
    </row>
    <row r="1068" spans="1:18" ht="135">
      <c r="A1068" s="33" t="s">
        <v>6234</v>
      </c>
      <c r="B1068" s="18" t="s">
        <v>7762</v>
      </c>
      <c r="C1068" s="13">
        <v>39531</v>
      </c>
      <c r="D1068" s="47" t="s">
        <v>8465</v>
      </c>
      <c r="E1068" s="10" t="s">
        <v>1082</v>
      </c>
      <c r="F1068" s="10" t="s">
        <v>1082</v>
      </c>
      <c r="G1068" s="59" t="s">
        <v>126</v>
      </c>
      <c r="H1068" s="68" t="s">
        <v>171</v>
      </c>
      <c r="K1068" s="60">
        <v>0.7</v>
      </c>
      <c r="L1068" s="18">
        <v>1067</v>
      </c>
      <c r="M1068" s="13">
        <v>44431</v>
      </c>
      <c r="N1068" s="21">
        <v>17.149999999999999</v>
      </c>
      <c r="O1068" s="18">
        <v>0</v>
      </c>
      <c r="P1068" s="18">
        <v>0</v>
      </c>
      <c r="Q1068" s="60">
        <v>0.82</v>
      </c>
      <c r="R1068" s="46" t="s">
        <v>10466</v>
      </c>
    </row>
    <row r="1069" spans="1:18" ht="45">
      <c r="A1069" s="33" t="s">
        <v>10193</v>
      </c>
      <c r="B1069" s="18" t="s">
        <v>7800</v>
      </c>
      <c r="C1069" s="13">
        <v>44281</v>
      </c>
      <c r="D1069" s="47" t="s">
        <v>8465</v>
      </c>
      <c r="E1069" s="10" t="s">
        <v>231</v>
      </c>
      <c r="F1069" s="10" t="s">
        <v>9223</v>
      </c>
      <c r="H1069" s="68" t="s">
        <v>80</v>
      </c>
      <c r="K1069" s="60">
        <v>0.8</v>
      </c>
      <c r="L1069" s="18">
        <v>1068</v>
      </c>
      <c r="M1069" s="13">
        <v>44436</v>
      </c>
      <c r="N1069" s="21">
        <v>11.95</v>
      </c>
      <c r="O1069" s="18">
        <v>0</v>
      </c>
      <c r="P1069" s="18">
        <v>0</v>
      </c>
      <c r="Q1069" s="60">
        <v>0.88</v>
      </c>
      <c r="R1069" s="46" t="s">
        <v>10476</v>
      </c>
    </row>
    <row r="1070" spans="1:18" ht="45">
      <c r="A1070" s="33" t="s">
        <v>4283</v>
      </c>
      <c r="B1070" s="18" t="s">
        <v>7800</v>
      </c>
      <c r="C1070" s="13">
        <v>42416</v>
      </c>
      <c r="D1070" s="47" t="s">
        <v>8465</v>
      </c>
      <c r="E1070" s="10" t="s">
        <v>3048</v>
      </c>
      <c r="F1070" s="10" t="s">
        <v>3048</v>
      </c>
      <c r="G1070" s="59" t="s">
        <v>4283</v>
      </c>
      <c r="H1070" s="68" t="s">
        <v>1061</v>
      </c>
      <c r="K1070" s="60">
        <v>0.4</v>
      </c>
      <c r="L1070" s="18">
        <v>1069</v>
      </c>
      <c r="M1070" s="13">
        <v>44472</v>
      </c>
      <c r="N1070" s="21">
        <v>2.0299999999999998</v>
      </c>
      <c r="O1070" s="18">
        <v>0</v>
      </c>
      <c r="P1070" s="18">
        <v>0</v>
      </c>
      <c r="Q1070" s="60">
        <v>0.72</v>
      </c>
      <c r="R1070" s="46" t="s">
        <v>10477</v>
      </c>
    </row>
    <row r="1071" spans="1:18" ht="210">
      <c r="A1071" s="33" t="s">
        <v>3893</v>
      </c>
      <c r="B1071" s="18" t="s">
        <v>7800</v>
      </c>
      <c r="C1071" s="13">
        <v>41984</v>
      </c>
      <c r="D1071" s="47" t="s">
        <v>8465</v>
      </c>
      <c r="E1071" s="10" t="s">
        <v>1082</v>
      </c>
      <c r="F1071" s="10" t="s">
        <v>3892</v>
      </c>
      <c r="G1071" s="59" t="s">
        <v>126</v>
      </c>
      <c r="H1071" s="68" t="s">
        <v>149</v>
      </c>
      <c r="K1071" s="60">
        <v>0.8</v>
      </c>
      <c r="L1071" s="18">
        <v>1070</v>
      </c>
      <c r="M1071" s="13">
        <v>44483</v>
      </c>
      <c r="N1071" s="21">
        <v>23.18</v>
      </c>
      <c r="O1071" s="18">
        <v>0</v>
      </c>
      <c r="P1071" s="18">
        <v>0</v>
      </c>
      <c r="Q1071" s="60">
        <v>0.7</v>
      </c>
      <c r="R1071" s="46" t="s">
        <v>10513</v>
      </c>
    </row>
    <row r="1072" spans="1:18" ht="210">
      <c r="A1072" s="33" t="s">
        <v>10355</v>
      </c>
      <c r="B1072" s="18" t="s">
        <v>7744</v>
      </c>
      <c r="C1072" s="13">
        <v>44397</v>
      </c>
      <c r="D1072" s="47" t="s">
        <v>8465</v>
      </c>
      <c r="E1072" s="10" t="s">
        <v>7422</v>
      </c>
      <c r="F1072" s="10" t="s">
        <v>3029</v>
      </c>
      <c r="G1072" s="59" t="s">
        <v>8873</v>
      </c>
      <c r="H1072" s="68" t="s">
        <v>153</v>
      </c>
      <c r="K1072" s="60">
        <v>0.1</v>
      </c>
      <c r="L1072" s="18">
        <v>1071</v>
      </c>
      <c r="M1072" s="13">
        <v>44486</v>
      </c>
      <c r="N1072" s="21">
        <v>5</v>
      </c>
      <c r="O1072" s="18">
        <v>0</v>
      </c>
      <c r="P1072" s="18">
        <v>0</v>
      </c>
      <c r="Q1072" s="60">
        <v>0.54</v>
      </c>
      <c r="R1072" s="46" t="s">
        <v>10530</v>
      </c>
    </row>
    <row r="1073" spans="1:18" ht="135">
      <c r="A1073" s="33" t="s">
        <v>10195</v>
      </c>
      <c r="B1073" s="18" t="s">
        <v>7744</v>
      </c>
      <c r="C1073" s="13">
        <v>44477</v>
      </c>
      <c r="D1073" s="47" t="s">
        <v>8465</v>
      </c>
      <c r="E1073" s="10" t="s">
        <v>86</v>
      </c>
      <c r="F1073" s="10" t="s">
        <v>2456</v>
      </c>
      <c r="G1073" s="59" t="s">
        <v>109</v>
      </c>
      <c r="H1073" s="68" t="s">
        <v>151</v>
      </c>
      <c r="K1073" s="60">
        <v>0.9</v>
      </c>
      <c r="L1073" s="18">
        <v>1072</v>
      </c>
      <c r="M1073" s="13">
        <v>44487</v>
      </c>
      <c r="N1073" s="21">
        <v>8.1999999999999993</v>
      </c>
      <c r="O1073" s="18">
        <v>0</v>
      </c>
      <c r="P1073" s="18">
        <v>0</v>
      </c>
      <c r="Q1073" s="60">
        <v>0.89</v>
      </c>
      <c r="R1073" s="46" t="s">
        <v>10541</v>
      </c>
    </row>
    <row r="1074" spans="1:18" ht="255">
      <c r="A1074" s="33" t="s">
        <v>4324</v>
      </c>
      <c r="B1074" s="18" t="s">
        <v>7800</v>
      </c>
      <c r="C1074" s="13">
        <v>42348</v>
      </c>
      <c r="D1074" s="47" t="s">
        <v>8465</v>
      </c>
      <c r="E1074" s="10" t="s">
        <v>1082</v>
      </c>
      <c r="F1074" s="10" t="s">
        <v>3892</v>
      </c>
      <c r="G1074" s="59" t="s">
        <v>126</v>
      </c>
      <c r="H1074" s="68" t="s">
        <v>171</v>
      </c>
      <c r="K1074" s="60">
        <v>0.85</v>
      </c>
      <c r="L1074" s="18">
        <v>1073</v>
      </c>
      <c r="M1074" s="13">
        <v>44495</v>
      </c>
      <c r="N1074" s="21">
        <v>32.869999999999997</v>
      </c>
      <c r="O1074" s="18">
        <v>0</v>
      </c>
      <c r="P1074" s="18">
        <v>0</v>
      </c>
      <c r="Q1074" s="60">
        <v>0.6</v>
      </c>
      <c r="R1074" s="46" t="s">
        <v>10882</v>
      </c>
    </row>
    <row r="1075" spans="1:18" ht="150">
      <c r="A1075" s="33" t="s">
        <v>9028</v>
      </c>
      <c r="B1075" s="18" t="s">
        <v>7800</v>
      </c>
      <c r="C1075" s="13">
        <v>44476</v>
      </c>
      <c r="D1075" s="47" t="s">
        <v>8465</v>
      </c>
      <c r="E1075" s="10" t="s">
        <v>1047</v>
      </c>
      <c r="F1075" s="10" t="s">
        <v>1671</v>
      </c>
      <c r="G1075" s="59" t="s">
        <v>1049</v>
      </c>
      <c r="H1075" s="68" t="s">
        <v>1050</v>
      </c>
      <c r="K1075" s="60">
        <v>0.7</v>
      </c>
      <c r="L1075" s="18">
        <v>1074</v>
      </c>
      <c r="M1075" s="13">
        <v>44501</v>
      </c>
      <c r="N1075" s="21">
        <v>22.4</v>
      </c>
      <c r="O1075" s="18">
        <v>0</v>
      </c>
      <c r="P1075" s="18">
        <v>0</v>
      </c>
      <c r="Q1075" s="60">
        <v>0.76</v>
      </c>
      <c r="R1075" s="46" t="s">
        <v>10588</v>
      </c>
    </row>
    <row r="1076" spans="1:18" ht="105">
      <c r="A1076" s="33" t="s">
        <v>10553</v>
      </c>
      <c r="B1076" s="18" t="s">
        <v>7800</v>
      </c>
      <c r="C1076" s="13">
        <v>44481</v>
      </c>
      <c r="D1076" s="47" t="s">
        <v>8465</v>
      </c>
      <c r="E1076" s="10" t="s">
        <v>1156</v>
      </c>
      <c r="F1076" s="10" t="s">
        <v>10554</v>
      </c>
      <c r="H1076" s="68" t="s">
        <v>1050</v>
      </c>
      <c r="K1076" s="60">
        <v>0.7</v>
      </c>
      <c r="L1076" s="18">
        <v>1075</v>
      </c>
      <c r="M1076" s="13">
        <v>44504</v>
      </c>
      <c r="N1076" s="21">
        <v>9.4</v>
      </c>
      <c r="O1076" s="18">
        <v>0</v>
      </c>
      <c r="P1076" s="18">
        <v>0</v>
      </c>
      <c r="Q1076" s="60">
        <v>0.78</v>
      </c>
      <c r="R1076" s="46" t="s">
        <v>10630</v>
      </c>
    </row>
    <row r="1077" spans="1:18" ht="300">
      <c r="A1077" s="33" t="s">
        <v>10533</v>
      </c>
      <c r="B1077" s="18" t="s">
        <v>7744</v>
      </c>
      <c r="C1077" s="13">
        <v>44455</v>
      </c>
      <c r="D1077" s="47" t="s">
        <v>8465</v>
      </c>
      <c r="E1077" s="10" t="s">
        <v>4850</v>
      </c>
      <c r="F1077" s="10" t="s">
        <v>10534</v>
      </c>
      <c r="H1077" s="68" t="s">
        <v>80</v>
      </c>
      <c r="K1077" s="60">
        <v>0.75</v>
      </c>
      <c r="L1077" s="18">
        <v>1076</v>
      </c>
      <c r="M1077" s="13">
        <v>44506</v>
      </c>
      <c r="N1077" s="21">
        <v>18.71</v>
      </c>
      <c r="O1077" s="18">
        <v>0</v>
      </c>
      <c r="P1077" s="18">
        <v>0</v>
      </c>
      <c r="Q1077" s="60">
        <v>0.79</v>
      </c>
      <c r="R1077" s="46" t="s">
        <v>10633</v>
      </c>
    </row>
    <row r="1078" spans="1:18" ht="150">
      <c r="A1078" s="33" t="s">
        <v>10635</v>
      </c>
      <c r="B1078" s="18" t="s">
        <v>7800</v>
      </c>
      <c r="C1078" s="13">
        <v>44501</v>
      </c>
      <c r="D1078" s="47" t="s">
        <v>8465</v>
      </c>
      <c r="E1078" s="10" t="s">
        <v>9249</v>
      </c>
      <c r="F1078" s="10" t="s">
        <v>3228</v>
      </c>
      <c r="H1078" s="68" t="s">
        <v>78</v>
      </c>
      <c r="K1078" s="60">
        <v>0.75</v>
      </c>
      <c r="L1078" s="18">
        <v>1077</v>
      </c>
      <c r="M1078" s="13">
        <v>44507</v>
      </c>
      <c r="N1078" s="21">
        <v>2.37</v>
      </c>
      <c r="O1078" s="18">
        <v>0</v>
      </c>
      <c r="P1078" s="18">
        <v>0</v>
      </c>
      <c r="Q1078" s="60">
        <v>0.84</v>
      </c>
      <c r="R1078" s="46" t="s">
        <v>10636</v>
      </c>
    </row>
    <row r="1079" spans="1:18" ht="135">
      <c r="A1079" s="33" t="s">
        <v>2078</v>
      </c>
      <c r="B1079" s="18" t="s">
        <v>7747</v>
      </c>
      <c r="C1079" s="13">
        <v>37053</v>
      </c>
      <c r="D1079" s="47" t="s">
        <v>8465</v>
      </c>
      <c r="E1079" s="10" t="s">
        <v>72</v>
      </c>
      <c r="F1079" s="10" t="s">
        <v>72</v>
      </c>
      <c r="G1079" s="59" t="s">
        <v>113</v>
      </c>
      <c r="H1079" s="68" t="s">
        <v>151</v>
      </c>
      <c r="K1079" s="60">
        <v>0.8</v>
      </c>
      <c r="L1079" s="18">
        <v>1078</v>
      </c>
      <c r="M1079" s="13">
        <v>44510</v>
      </c>
      <c r="N1079" s="21">
        <v>7.93</v>
      </c>
      <c r="O1079" s="18">
        <v>0</v>
      </c>
      <c r="P1079" s="18">
        <v>0</v>
      </c>
      <c r="Q1079" s="60">
        <v>0.88</v>
      </c>
      <c r="R1079" s="46" t="s">
        <v>10645</v>
      </c>
    </row>
    <row r="1080" spans="1:18" ht="135">
      <c r="A1080" s="33" t="s">
        <v>10623</v>
      </c>
      <c r="B1080" s="18" t="s">
        <v>7800</v>
      </c>
      <c r="C1080" s="13">
        <v>42724</v>
      </c>
      <c r="D1080" s="47" t="s">
        <v>8465</v>
      </c>
      <c r="E1080" s="10" t="s">
        <v>3740</v>
      </c>
      <c r="F1080" s="10" t="s">
        <v>5115</v>
      </c>
      <c r="G1080" s="59" t="s">
        <v>4079</v>
      </c>
      <c r="H1080" s="68" t="s">
        <v>1143</v>
      </c>
      <c r="K1080" s="60">
        <v>0.7</v>
      </c>
      <c r="L1080" s="18">
        <v>1079</v>
      </c>
      <c r="M1080" s="13">
        <v>44510</v>
      </c>
      <c r="O1080" s="18">
        <v>0</v>
      </c>
      <c r="P1080" s="18">
        <v>0</v>
      </c>
      <c r="R1080" s="46" t="s">
        <v>10658</v>
      </c>
    </row>
    <row r="1081" spans="1:18" ht="120">
      <c r="A1081" s="33" t="s">
        <v>10548</v>
      </c>
      <c r="B1081" s="18" t="s">
        <v>7800</v>
      </c>
      <c r="C1081" s="13">
        <v>44453</v>
      </c>
      <c r="D1081" s="47" t="s">
        <v>8465</v>
      </c>
      <c r="E1081" s="10" t="s">
        <v>1690</v>
      </c>
      <c r="F1081" s="10" t="s">
        <v>3218</v>
      </c>
      <c r="H1081" s="68" t="s">
        <v>1050</v>
      </c>
      <c r="K1081" s="60">
        <v>0.8</v>
      </c>
      <c r="L1081" s="18">
        <v>1080</v>
      </c>
      <c r="M1081" s="13">
        <v>44515</v>
      </c>
      <c r="N1081" s="21">
        <v>9.85</v>
      </c>
      <c r="O1081" s="18">
        <v>0</v>
      </c>
      <c r="P1081" s="18">
        <v>0</v>
      </c>
      <c r="Q1081" s="60">
        <v>0.87</v>
      </c>
      <c r="R1081" s="46" t="s">
        <v>10665</v>
      </c>
    </row>
    <row r="1082" spans="1:18" ht="210">
      <c r="A1082" s="33" t="s">
        <v>2079</v>
      </c>
      <c r="B1082" s="18" t="s">
        <v>7747</v>
      </c>
      <c r="C1082" s="13">
        <v>37515</v>
      </c>
      <c r="D1082" s="47" t="s">
        <v>8465</v>
      </c>
      <c r="E1082" s="10" t="s">
        <v>72</v>
      </c>
      <c r="F1082" s="10" t="s">
        <v>72</v>
      </c>
      <c r="G1082" s="59" t="s">
        <v>113</v>
      </c>
      <c r="H1082" s="68" t="s">
        <v>151</v>
      </c>
      <c r="K1082" s="60">
        <v>0.8</v>
      </c>
      <c r="L1082" s="18">
        <v>1081</v>
      </c>
      <c r="M1082" s="13">
        <v>44517</v>
      </c>
      <c r="N1082" s="21">
        <v>6.59</v>
      </c>
      <c r="O1082" s="18">
        <v>0</v>
      </c>
      <c r="P1082" s="18">
        <v>0</v>
      </c>
      <c r="Q1082" s="60">
        <v>0.85</v>
      </c>
      <c r="R1082" s="46" t="s">
        <v>10689</v>
      </c>
    </row>
    <row r="1083" spans="1:18" ht="210">
      <c r="A1083" s="33" t="s">
        <v>10692</v>
      </c>
      <c r="B1083" s="18" t="s">
        <v>7800</v>
      </c>
      <c r="C1083" s="13">
        <v>44405</v>
      </c>
      <c r="D1083" s="47" t="s">
        <v>8465</v>
      </c>
      <c r="E1083" s="10" t="s">
        <v>3074</v>
      </c>
      <c r="F1083" s="10" t="s">
        <v>10694</v>
      </c>
      <c r="H1083" s="68" t="s">
        <v>80</v>
      </c>
      <c r="K1083" s="60">
        <v>0.85</v>
      </c>
      <c r="L1083" s="18">
        <v>1082</v>
      </c>
      <c r="M1083" s="13">
        <v>44518</v>
      </c>
      <c r="N1083" s="21">
        <v>5.03</v>
      </c>
      <c r="O1083" s="18">
        <v>0</v>
      </c>
      <c r="P1083" s="18">
        <v>0</v>
      </c>
      <c r="Q1083" s="60">
        <v>0.85</v>
      </c>
      <c r="R1083" s="46" t="s">
        <v>13667</v>
      </c>
    </row>
    <row r="1084" spans="1:18" ht="195">
      <c r="A1084" s="33" t="s">
        <v>2077</v>
      </c>
      <c r="B1084" s="18" t="s">
        <v>7747</v>
      </c>
      <c r="C1084" s="13">
        <v>37747</v>
      </c>
      <c r="D1084" s="47" t="s">
        <v>8465</v>
      </c>
      <c r="E1084" s="10" t="s">
        <v>72</v>
      </c>
      <c r="F1084" s="10" t="s">
        <v>72</v>
      </c>
      <c r="G1084" s="59" t="s">
        <v>113</v>
      </c>
      <c r="H1084" s="68" t="s">
        <v>151</v>
      </c>
      <c r="K1084" s="60">
        <v>0.85</v>
      </c>
      <c r="L1084" s="18">
        <v>1083</v>
      </c>
      <c r="M1084" s="13">
        <v>44521</v>
      </c>
      <c r="N1084" s="21">
        <v>6.32</v>
      </c>
      <c r="O1084" s="18">
        <v>0</v>
      </c>
      <c r="P1084" s="18">
        <v>0</v>
      </c>
      <c r="Q1084" s="60">
        <v>0.88</v>
      </c>
      <c r="R1084" s="46" t="s">
        <v>10709</v>
      </c>
    </row>
    <row r="1085" spans="1:18" ht="270">
      <c r="A1085" s="33" t="s">
        <v>8332</v>
      </c>
      <c r="B1085" s="18" t="s">
        <v>7766</v>
      </c>
      <c r="C1085" s="13">
        <v>42080</v>
      </c>
      <c r="D1085" s="47" t="s">
        <v>8465</v>
      </c>
      <c r="E1085" s="10" t="s">
        <v>1082</v>
      </c>
      <c r="F1085" s="10" t="s">
        <v>3895</v>
      </c>
      <c r="G1085" s="59" t="s">
        <v>126</v>
      </c>
      <c r="H1085" s="68" t="s">
        <v>171</v>
      </c>
      <c r="K1085" s="60">
        <v>0.7</v>
      </c>
      <c r="L1085" s="18">
        <v>1084</v>
      </c>
      <c r="M1085" s="13">
        <v>44532</v>
      </c>
      <c r="N1085" s="21">
        <v>21.32</v>
      </c>
      <c r="O1085" s="18">
        <v>0</v>
      </c>
      <c r="P1085" s="18">
        <v>0</v>
      </c>
      <c r="Q1085" s="60">
        <v>0.72</v>
      </c>
      <c r="R1085" s="46" t="s">
        <v>10749</v>
      </c>
    </row>
    <row r="1086" spans="1:18" ht="120">
      <c r="A1086" s="33" t="s">
        <v>10765</v>
      </c>
      <c r="B1086" s="18" t="s">
        <v>7800</v>
      </c>
      <c r="C1086" s="13">
        <v>43706</v>
      </c>
      <c r="D1086" s="47" t="s">
        <v>8465</v>
      </c>
      <c r="E1086" s="10" t="s">
        <v>8787</v>
      </c>
      <c r="F1086" s="10" t="s">
        <v>10766</v>
      </c>
      <c r="H1086" s="68" t="s">
        <v>78</v>
      </c>
      <c r="K1086" s="60">
        <v>0.7</v>
      </c>
      <c r="L1086" s="18">
        <v>1085</v>
      </c>
      <c r="M1086" s="13">
        <v>44535</v>
      </c>
      <c r="N1086" s="21">
        <v>5.43</v>
      </c>
      <c r="O1086" s="18">
        <v>0</v>
      </c>
      <c r="P1086" s="18">
        <v>0</v>
      </c>
      <c r="R1086" s="46" t="s">
        <v>10767</v>
      </c>
    </row>
    <row r="1087" spans="1:18" ht="210">
      <c r="A1087" s="33" t="s">
        <v>10528</v>
      </c>
      <c r="B1087" s="18" t="s">
        <v>9440</v>
      </c>
      <c r="C1087" s="13">
        <v>44505</v>
      </c>
      <c r="D1087" s="47" t="s">
        <v>8465</v>
      </c>
      <c r="E1087" s="10" t="s">
        <v>1273</v>
      </c>
      <c r="F1087" s="10" t="s">
        <v>7892</v>
      </c>
      <c r="G1087" s="59" t="s">
        <v>3401</v>
      </c>
      <c r="H1087" s="68" t="s">
        <v>1050</v>
      </c>
      <c r="K1087" s="60">
        <v>0.7</v>
      </c>
      <c r="L1087" s="18">
        <v>1086</v>
      </c>
      <c r="M1087" s="13">
        <v>44536</v>
      </c>
      <c r="N1087" s="21">
        <v>5.55</v>
      </c>
      <c r="O1087" s="18">
        <v>0</v>
      </c>
      <c r="P1087" s="18">
        <v>0</v>
      </c>
      <c r="Q1087" s="60">
        <v>0.74</v>
      </c>
      <c r="R1087" s="46" t="s">
        <v>10768</v>
      </c>
    </row>
    <row r="1088" spans="1:18" ht="135">
      <c r="A1088" s="33" t="s">
        <v>9942</v>
      </c>
      <c r="B1088" s="18" t="s">
        <v>7744</v>
      </c>
      <c r="C1088" s="13">
        <v>44519</v>
      </c>
      <c r="D1088" s="47" t="s">
        <v>8465</v>
      </c>
      <c r="E1088" s="10" t="s">
        <v>86</v>
      </c>
      <c r="F1088" s="10" t="s">
        <v>10697</v>
      </c>
      <c r="G1088" s="59" t="s">
        <v>1470</v>
      </c>
      <c r="H1088" s="68" t="s">
        <v>149</v>
      </c>
      <c r="K1088" s="60">
        <v>0.7</v>
      </c>
      <c r="L1088" s="18">
        <v>1087</v>
      </c>
      <c r="M1088" s="13">
        <v>44543</v>
      </c>
      <c r="N1088" s="21">
        <v>19.32</v>
      </c>
      <c r="O1088" s="18">
        <v>0</v>
      </c>
      <c r="P1088" s="18">
        <v>0</v>
      </c>
      <c r="Q1088" s="60">
        <v>0.77</v>
      </c>
      <c r="R1088" s="46" t="s">
        <v>10779</v>
      </c>
    </row>
    <row r="1089" spans="1:18" ht="135">
      <c r="A1089" s="33" t="s">
        <v>10750</v>
      </c>
      <c r="B1089" s="18" t="s">
        <v>7800</v>
      </c>
      <c r="C1089" s="13">
        <v>44537</v>
      </c>
      <c r="D1089" s="47" t="s">
        <v>8465</v>
      </c>
      <c r="E1089" s="10" t="s">
        <v>1082</v>
      </c>
      <c r="F1089" s="10" t="s">
        <v>9752</v>
      </c>
      <c r="G1089" s="59" t="s">
        <v>126</v>
      </c>
      <c r="H1089" s="68" t="s">
        <v>9780</v>
      </c>
      <c r="K1089" s="60">
        <v>1</v>
      </c>
      <c r="L1089" s="18">
        <v>1088</v>
      </c>
      <c r="M1089" s="13">
        <v>44550</v>
      </c>
      <c r="N1089" s="21">
        <v>120.22</v>
      </c>
      <c r="O1089" s="18">
        <v>0</v>
      </c>
      <c r="P1089" s="18">
        <v>0</v>
      </c>
      <c r="Q1089" s="60">
        <v>0.91</v>
      </c>
      <c r="R1089" s="46" t="s">
        <v>10809</v>
      </c>
    </row>
    <row r="1090" spans="1:18" ht="210">
      <c r="A1090" s="33" t="s">
        <v>10783</v>
      </c>
      <c r="B1090" s="18" t="s">
        <v>7744</v>
      </c>
      <c r="C1090" s="13">
        <v>44545</v>
      </c>
      <c r="D1090" s="47" t="s">
        <v>8465</v>
      </c>
      <c r="E1090" s="10" t="s">
        <v>8787</v>
      </c>
      <c r="F1090" s="10" t="s">
        <v>5530</v>
      </c>
      <c r="H1090" s="68" t="s">
        <v>80</v>
      </c>
      <c r="K1090" s="60">
        <v>0.75</v>
      </c>
      <c r="L1090" s="18">
        <v>1089</v>
      </c>
      <c r="M1090" s="13">
        <v>44557</v>
      </c>
      <c r="N1090" s="21">
        <v>7.47</v>
      </c>
      <c r="O1090" s="18">
        <v>0</v>
      </c>
      <c r="P1090" s="18">
        <v>0</v>
      </c>
      <c r="R1090" s="46" t="s">
        <v>10821</v>
      </c>
    </row>
    <row r="1091" spans="1:18" ht="165">
      <c r="A1091" s="33" t="s">
        <v>6133</v>
      </c>
      <c r="B1091" s="18" t="s">
        <v>7760</v>
      </c>
      <c r="C1091" s="13">
        <v>42794</v>
      </c>
      <c r="D1091" s="47" t="s">
        <v>8465</v>
      </c>
      <c r="E1091" s="10" t="s">
        <v>6107</v>
      </c>
      <c r="F1091" s="10" t="s">
        <v>5882</v>
      </c>
      <c r="G1091" s="59" t="s">
        <v>6134</v>
      </c>
      <c r="H1091" s="68" t="s">
        <v>80</v>
      </c>
      <c r="K1091" s="60">
        <v>0.9</v>
      </c>
      <c r="L1091" s="18">
        <v>1090</v>
      </c>
      <c r="M1091" s="13">
        <v>44558</v>
      </c>
      <c r="N1091" s="21">
        <v>31.9</v>
      </c>
      <c r="O1091" s="18">
        <v>0</v>
      </c>
      <c r="P1091" s="18">
        <v>0</v>
      </c>
      <c r="Q1091" s="60">
        <v>0.88</v>
      </c>
      <c r="R1091" s="46" t="s">
        <v>10831</v>
      </c>
    </row>
    <row r="1092" spans="1:18" ht="240">
      <c r="A1092" s="33" t="s">
        <v>10845</v>
      </c>
      <c r="B1092" s="18" t="s">
        <v>7800</v>
      </c>
      <c r="C1092" s="13">
        <v>44448</v>
      </c>
      <c r="D1092" s="47" t="s">
        <v>8465</v>
      </c>
      <c r="E1092" s="10" t="s">
        <v>7300</v>
      </c>
      <c r="F1092" s="10" t="s">
        <v>10846</v>
      </c>
      <c r="H1092" s="68" t="s">
        <v>64</v>
      </c>
      <c r="K1092" s="60">
        <v>0.65</v>
      </c>
      <c r="L1092" s="18">
        <v>1091</v>
      </c>
      <c r="M1092" s="13">
        <v>44559</v>
      </c>
      <c r="N1092" s="21">
        <v>3.4</v>
      </c>
      <c r="O1092" s="18">
        <v>0</v>
      </c>
      <c r="P1092" s="18">
        <v>0</v>
      </c>
      <c r="Q1092" s="60">
        <v>0.8</v>
      </c>
      <c r="R1092" s="46" t="s">
        <v>10847</v>
      </c>
    </row>
    <row r="1093" spans="1:18" ht="45">
      <c r="A1093" s="33" t="s">
        <v>10780</v>
      </c>
      <c r="B1093" s="18" t="s">
        <v>7800</v>
      </c>
      <c r="C1093" s="13">
        <v>44539</v>
      </c>
      <c r="D1093" s="47" t="s">
        <v>8465</v>
      </c>
      <c r="E1093" s="10" t="s">
        <v>1578</v>
      </c>
      <c r="F1093" s="10" t="s">
        <v>1578</v>
      </c>
      <c r="G1093" s="59" t="s">
        <v>3428</v>
      </c>
      <c r="H1093" s="68" t="s">
        <v>245</v>
      </c>
      <c r="K1093" s="60">
        <v>0.5</v>
      </c>
      <c r="L1093" s="18">
        <v>1092</v>
      </c>
      <c r="M1093" s="13">
        <v>44559</v>
      </c>
      <c r="N1093" s="21">
        <v>0.56999999999999995</v>
      </c>
      <c r="O1093" s="18">
        <v>0</v>
      </c>
      <c r="P1093" s="18">
        <v>0</v>
      </c>
      <c r="R1093" s="46" t="s">
        <v>10848</v>
      </c>
    </row>
    <row r="1094" spans="1:18" ht="165">
      <c r="A1094" s="33" t="s">
        <v>10789</v>
      </c>
      <c r="B1094" s="18" t="s">
        <v>7744</v>
      </c>
      <c r="C1094" s="13">
        <v>44497</v>
      </c>
      <c r="D1094" s="47" t="s">
        <v>8465</v>
      </c>
      <c r="E1094" s="10" t="s">
        <v>1082</v>
      </c>
      <c r="F1094" s="10" t="s">
        <v>10790</v>
      </c>
      <c r="G1094" s="59" t="s">
        <v>11138</v>
      </c>
      <c r="H1094" s="68" t="s">
        <v>149</v>
      </c>
      <c r="K1094" s="60">
        <v>0.75</v>
      </c>
      <c r="L1094" s="18">
        <v>1093</v>
      </c>
      <c r="M1094" s="13">
        <v>44562</v>
      </c>
      <c r="N1094" s="21">
        <v>14.06</v>
      </c>
      <c r="O1094" s="18">
        <v>0</v>
      </c>
      <c r="P1094" s="18">
        <v>0</v>
      </c>
      <c r="Q1094" s="60">
        <v>0.77</v>
      </c>
      <c r="R1094" s="46" t="s">
        <v>10884</v>
      </c>
    </row>
    <row r="1095" spans="1:18" ht="240">
      <c r="A1095" s="33" t="s">
        <v>10706</v>
      </c>
      <c r="B1095" s="18" t="s">
        <v>7800</v>
      </c>
      <c r="C1095" s="13">
        <v>44488</v>
      </c>
      <c r="D1095" s="47" t="s">
        <v>8465</v>
      </c>
      <c r="E1095" s="10" t="s">
        <v>3063</v>
      </c>
      <c r="F1095" s="10" t="s">
        <v>4727</v>
      </c>
      <c r="H1095" s="68" t="s">
        <v>3411</v>
      </c>
      <c r="K1095" s="60">
        <v>0.9</v>
      </c>
      <c r="L1095" s="18">
        <v>1094</v>
      </c>
      <c r="M1095" s="13">
        <v>44563</v>
      </c>
      <c r="N1095" s="21">
        <v>8.8000000000000007</v>
      </c>
      <c r="O1095" s="18">
        <v>0</v>
      </c>
      <c r="P1095" s="18">
        <v>0</v>
      </c>
      <c r="Q1095" s="60">
        <v>0.84</v>
      </c>
      <c r="R1095" s="46" t="s">
        <v>10892</v>
      </c>
    </row>
    <row r="1096" spans="1:18" ht="105">
      <c r="A1096" s="33" t="s">
        <v>10819</v>
      </c>
      <c r="B1096" s="18" t="s">
        <v>7744</v>
      </c>
      <c r="C1096" s="13">
        <v>43356</v>
      </c>
      <c r="D1096" s="47" t="s">
        <v>8465</v>
      </c>
      <c r="E1096" s="10" t="s">
        <v>7422</v>
      </c>
      <c r="F1096" s="10" t="s">
        <v>1953</v>
      </c>
      <c r="G1096" s="59" t="s">
        <v>10280</v>
      </c>
      <c r="H1096" s="68" t="s">
        <v>1057</v>
      </c>
      <c r="K1096" s="60">
        <v>0.05</v>
      </c>
      <c r="L1096" s="18">
        <v>1095</v>
      </c>
      <c r="M1096" s="13">
        <v>44568</v>
      </c>
      <c r="N1096" s="21">
        <v>2</v>
      </c>
      <c r="O1096" s="18">
        <v>0</v>
      </c>
      <c r="P1096" s="18">
        <v>0</v>
      </c>
      <c r="Q1096" s="60">
        <v>0.39</v>
      </c>
      <c r="R1096" s="46" t="s">
        <v>12019</v>
      </c>
    </row>
    <row r="1097" spans="1:18" ht="315">
      <c r="A1097" s="33" t="s">
        <v>3894</v>
      </c>
      <c r="B1097" s="18" t="s">
        <v>7800</v>
      </c>
      <c r="C1097" s="13">
        <v>43165</v>
      </c>
      <c r="D1097" s="47" t="s">
        <v>8465</v>
      </c>
      <c r="E1097" s="10" t="s">
        <v>1082</v>
      </c>
      <c r="F1097" s="10" t="s">
        <v>3895</v>
      </c>
      <c r="G1097" s="59" t="s">
        <v>126</v>
      </c>
      <c r="H1097" s="68" t="s">
        <v>171</v>
      </c>
      <c r="K1097" s="60">
        <v>0.75</v>
      </c>
      <c r="L1097" s="18">
        <v>1096</v>
      </c>
      <c r="M1097" s="13">
        <v>44569</v>
      </c>
      <c r="N1097" s="21">
        <v>33.07</v>
      </c>
      <c r="O1097" s="18">
        <v>0</v>
      </c>
      <c r="P1097" s="18">
        <v>0</v>
      </c>
      <c r="Q1097" s="60">
        <v>0.86</v>
      </c>
      <c r="R1097" s="46" t="s">
        <v>10983</v>
      </c>
    </row>
    <row r="1098" spans="1:18" ht="90">
      <c r="A1098" s="33" t="s">
        <v>8404</v>
      </c>
      <c r="B1098" s="18" t="s">
        <v>7760</v>
      </c>
      <c r="C1098" s="13">
        <v>42795</v>
      </c>
      <c r="D1098" s="47" t="s">
        <v>8465</v>
      </c>
      <c r="E1098" s="10" t="s">
        <v>1082</v>
      </c>
      <c r="F1098" s="10" t="s">
        <v>1082</v>
      </c>
      <c r="G1098" s="59" t="s">
        <v>126</v>
      </c>
      <c r="H1098" s="68" t="s">
        <v>153</v>
      </c>
      <c r="K1098" s="60">
        <v>0.5</v>
      </c>
      <c r="L1098" s="18">
        <v>1097</v>
      </c>
      <c r="M1098" s="13">
        <v>44571</v>
      </c>
      <c r="N1098" s="21">
        <v>1</v>
      </c>
      <c r="O1098" s="18">
        <v>0</v>
      </c>
      <c r="P1098" s="18">
        <v>0</v>
      </c>
      <c r="Q1098" s="60">
        <v>0.65</v>
      </c>
      <c r="R1098" s="46" t="s">
        <v>10986</v>
      </c>
    </row>
    <row r="1099" spans="1:18" ht="135">
      <c r="A1099" s="33" t="s">
        <v>10963</v>
      </c>
      <c r="B1099" s="18" t="s">
        <v>7744</v>
      </c>
      <c r="C1099" s="13">
        <v>43581</v>
      </c>
      <c r="D1099" s="18" t="s">
        <v>8465</v>
      </c>
      <c r="E1099" s="10" t="s">
        <v>86</v>
      </c>
      <c r="F1099" s="10" t="s">
        <v>30</v>
      </c>
      <c r="G1099" s="59" t="s">
        <v>10282</v>
      </c>
      <c r="H1099" s="68" t="s">
        <v>27</v>
      </c>
      <c r="K1099" s="60">
        <v>0.65</v>
      </c>
      <c r="L1099" s="18">
        <v>1098</v>
      </c>
      <c r="M1099" s="13">
        <v>44572</v>
      </c>
      <c r="N1099" s="21">
        <v>4</v>
      </c>
      <c r="O1099" s="18">
        <v>0</v>
      </c>
      <c r="P1099" s="18">
        <v>0</v>
      </c>
      <c r="Q1099" s="60">
        <v>0.81</v>
      </c>
      <c r="R1099" s="46" t="s">
        <v>10988</v>
      </c>
    </row>
    <row r="1100" spans="1:18" ht="210">
      <c r="A1100" s="33" t="s">
        <v>10818</v>
      </c>
      <c r="B1100" s="18" t="s">
        <v>7744</v>
      </c>
      <c r="C1100" s="13">
        <v>43503</v>
      </c>
      <c r="D1100" s="18" t="s">
        <v>8465</v>
      </c>
      <c r="E1100" s="10" t="s">
        <v>10820</v>
      </c>
      <c r="F1100" s="10" t="s">
        <v>10820</v>
      </c>
      <c r="H1100" s="68" t="s">
        <v>80</v>
      </c>
      <c r="K1100" s="60">
        <v>0.5</v>
      </c>
      <c r="L1100" s="18">
        <v>1099</v>
      </c>
      <c r="M1100" s="13">
        <v>44574</v>
      </c>
      <c r="N1100" s="21">
        <v>2.81</v>
      </c>
      <c r="O1100" s="18">
        <v>0</v>
      </c>
      <c r="P1100" s="18">
        <v>0</v>
      </c>
      <c r="Q1100" s="60">
        <v>0.71</v>
      </c>
      <c r="R1100" s="46" t="s">
        <v>11012</v>
      </c>
    </row>
    <row r="1101" spans="1:18" ht="105">
      <c r="A1101" s="33" t="s">
        <v>10565</v>
      </c>
      <c r="B1101" s="18" t="s">
        <v>7800</v>
      </c>
      <c r="C1101" s="13">
        <v>44431</v>
      </c>
      <c r="D1101" s="18" t="s">
        <v>8465</v>
      </c>
      <c r="E1101" s="10" t="s">
        <v>3493</v>
      </c>
      <c r="F1101" s="10" t="s">
        <v>10566</v>
      </c>
      <c r="G1101" s="59" t="s">
        <v>442</v>
      </c>
      <c r="H1101" s="68" t="s">
        <v>1168</v>
      </c>
      <c r="K1101" s="60">
        <v>0.4</v>
      </c>
      <c r="L1101" s="18">
        <v>1100</v>
      </c>
      <c r="M1101" s="13">
        <v>44577</v>
      </c>
      <c r="N1101" s="21">
        <v>5.35</v>
      </c>
      <c r="O1101" s="18">
        <v>0</v>
      </c>
      <c r="P1101" s="18">
        <v>0</v>
      </c>
      <c r="Q1101" s="60">
        <v>0.69</v>
      </c>
      <c r="R1101" s="46" t="s">
        <v>11027</v>
      </c>
    </row>
    <row r="1102" spans="1:18" ht="150">
      <c r="A1102" s="33" t="s">
        <v>1732</v>
      </c>
      <c r="B1102" s="18" t="s">
        <v>7744</v>
      </c>
      <c r="C1102" s="13">
        <v>42797</v>
      </c>
      <c r="D1102" s="18" t="s">
        <v>8465</v>
      </c>
      <c r="E1102" s="10" t="s">
        <v>1733</v>
      </c>
      <c r="F1102" s="10" t="s">
        <v>1733</v>
      </c>
      <c r="G1102" s="59" t="s">
        <v>11058</v>
      </c>
      <c r="H1102" s="68" t="s">
        <v>150</v>
      </c>
      <c r="K1102" s="60">
        <v>0.6</v>
      </c>
      <c r="L1102" s="18">
        <v>1101</v>
      </c>
      <c r="M1102" s="13">
        <v>44585</v>
      </c>
      <c r="N1102" s="21">
        <v>3</v>
      </c>
      <c r="O1102" s="18">
        <v>0</v>
      </c>
      <c r="P1102" s="18">
        <v>0</v>
      </c>
      <c r="Q1102" s="60">
        <v>0.81</v>
      </c>
      <c r="R1102" s="46" t="s">
        <v>11059</v>
      </c>
    </row>
    <row r="1103" spans="1:18" ht="225">
      <c r="A1103" s="33" t="s">
        <v>1981</v>
      </c>
      <c r="B1103" s="18" t="s">
        <v>7757</v>
      </c>
      <c r="C1103" s="13">
        <v>35823</v>
      </c>
      <c r="D1103" s="18" t="s">
        <v>8465</v>
      </c>
      <c r="E1103" s="10" t="s">
        <v>2908</v>
      </c>
      <c r="F1103" s="10" t="s">
        <v>161</v>
      </c>
      <c r="G1103" s="59" t="s">
        <v>1981</v>
      </c>
      <c r="H1103" s="68" t="s">
        <v>75</v>
      </c>
      <c r="K1103" s="60">
        <v>0.9</v>
      </c>
      <c r="L1103" s="18">
        <v>1102</v>
      </c>
      <c r="M1103" s="13">
        <v>44587</v>
      </c>
      <c r="N1103" s="21">
        <v>36.229999999999997</v>
      </c>
      <c r="O1103" s="18">
        <v>0</v>
      </c>
      <c r="P1103" s="18">
        <v>0</v>
      </c>
      <c r="Q1103" s="60">
        <v>0.83</v>
      </c>
      <c r="R1103" s="46" t="s">
        <v>11063</v>
      </c>
    </row>
    <row r="1104" spans="1:18" ht="330">
      <c r="A1104" s="33" t="s">
        <v>10419</v>
      </c>
      <c r="B1104" s="18" t="s">
        <v>7783</v>
      </c>
      <c r="C1104" s="13">
        <v>44421</v>
      </c>
      <c r="D1104" s="18" t="s">
        <v>8465</v>
      </c>
      <c r="E1104" s="10" t="s">
        <v>1548</v>
      </c>
      <c r="F1104" s="10" t="s">
        <v>1548</v>
      </c>
      <c r="H1104" s="68" t="s">
        <v>149</v>
      </c>
      <c r="K1104" s="60">
        <v>0.8</v>
      </c>
      <c r="L1104" s="18">
        <v>1103</v>
      </c>
      <c r="M1104" s="13">
        <v>44598</v>
      </c>
      <c r="N1104" s="21">
        <v>51.82</v>
      </c>
      <c r="O1104" s="18">
        <v>0</v>
      </c>
      <c r="P1104" s="18">
        <v>0</v>
      </c>
      <c r="Q1104" s="60">
        <v>0.79</v>
      </c>
      <c r="R1104" s="46" t="s">
        <v>11137</v>
      </c>
    </row>
    <row r="1105" spans="1:18" ht="270">
      <c r="A1105" s="33" t="s">
        <v>10494</v>
      </c>
      <c r="B1105" s="18" t="s">
        <v>9431</v>
      </c>
      <c r="C1105" s="13">
        <v>44399</v>
      </c>
      <c r="D1105" s="18" t="s">
        <v>8463</v>
      </c>
      <c r="E1105" s="10" t="s">
        <v>8708</v>
      </c>
      <c r="F1105" s="10" t="s">
        <v>8708</v>
      </c>
      <c r="G1105" s="59" t="s">
        <v>8709</v>
      </c>
      <c r="H1105" s="68" t="s">
        <v>1059</v>
      </c>
      <c r="K1105" s="60">
        <v>0.6</v>
      </c>
      <c r="L1105" s="18">
        <v>1104</v>
      </c>
      <c r="M1105" s="13">
        <v>44601</v>
      </c>
      <c r="N1105" s="21">
        <v>6</v>
      </c>
      <c r="O1105" s="18">
        <v>0</v>
      </c>
      <c r="P1105" s="18">
        <v>0</v>
      </c>
      <c r="R1105" s="46" t="s">
        <v>11160</v>
      </c>
    </row>
    <row r="1106" spans="1:18" ht="135">
      <c r="A1106" s="33" t="s">
        <v>9434</v>
      </c>
      <c r="B1106" s="18" t="s">
        <v>9431</v>
      </c>
      <c r="C1106" s="13">
        <v>44147</v>
      </c>
      <c r="D1106" s="18" t="s">
        <v>8465</v>
      </c>
      <c r="E1106" s="10" t="s">
        <v>4572</v>
      </c>
      <c r="F1106" s="10" t="s">
        <v>4572</v>
      </c>
      <c r="H1106" s="68" t="s">
        <v>80</v>
      </c>
      <c r="K1106" s="60">
        <v>0.75</v>
      </c>
      <c r="L1106" s="18">
        <v>1105</v>
      </c>
      <c r="M1106" s="13">
        <v>44602</v>
      </c>
      <c r="O1106" s="18">
        <v>0</v>
      </c>
      <c r="P1106" s="18">
        <v>0</v>
      </c>
      <c r="Q1106" s="60">
        <v>0.74</v>
      </c>
      <c r="R1106" s="46" t="s">
        <v>11167</v>
      </c>
    </row>
    <row r="1107" spans="1:18" ht="195">
      <c r="A1107" s="33" t="s">
        <v>9947</v>
      </c>
      <c r="B1107" s="18" t="s">
        <v>7744</v>
      </c>
      <c r="C1107" s="13">
        <v>44589</v>
      </c>
      <c r="D1107" s="18" t="s">
        <v>8465</v>
      </c>
      <c r="E1107" s="10" t="s">
        <v>86</v>
      </c>
      <c r="F1107" s="10" t="s">
        <v>1354</v>
      </c>
      <c r="G1107" s="59" t="s">
        <v>1470</v>
      </c>
      <c r="H1107" s="68" t="s">
        <v>149</v>
      </c>
      <c r="K1107" s="60">
        <v>0.8</v>
      </c>
      <c r="L1107" s="18">
        <v>1106</v>
      </c>
      <c r="M1107" s="13">
        <v>44605</v>
      </c>
      <c r="N1107" s="21">
        <v>18.38</v>
      </c>
      <c r="O1107" s="18">
        <v>0</v>
      </c>
      <c r="P1107" s="18">
        <v>0</v>
      </c>
      <c r="Q1107" s="60">
        <v>0.85</v>
      </c>
      <c r="R1107" s="46" t="s">
        <v>11171</v>
      </c>
    </row>
    <row r="1108" spans="1:18" ht="225">
      <c r="A1108" s="33" t="s">
        <v>2081</v>
      </c>
      <c r="B1108" s="18" t="s">
        <v>7747</v>
      </c>
      <c r="C1108" s="13">
        <v>38217</v>
      </c>
      <c r="D1108" s="18" t="s">
        <v>8465</v>
      </c>
      <c r="E1108" s="10" t="s">
        <v>455</v>
      </c>
      <c r="F1108" s="10" t="s">
        <v>1474</v>
      </c>
      <c r="G1108" s="59" t="s">
        <v>1415</v>
      </c>
      <c r="H1108" s="68" t="s">
        <v>153</v>
      </c>
      <c r="K1108" s="60">
        <v>0.7</v>
      </c>
      <c r="L1108" s="18">
        <v>1107</v>
      </c>
      <c r="M1108" s="13">
        <v>44607</v>
      </c>
      <c r="O1108" s="18">
        <v>0</v>
      </c>
      <c r="P1108" s="18">
        <v>0</v>
      </c>
      <c r="Q1108" s="60">
        <v>0.87</v>
      </c>
      <c r="R1108" s="46" t="s">
        <v>11173</v>
      </c>
    </row>
    <row r="1109" spans="1:18" ht="195">
      <c r="A1109" s="33" t="s">
        <v>9929</v>
      </c>
      <c r="B1109" s="18" t="s">
        <v>9440</v>
      </c>
      <c r="C1109" s="13">
        <v>44538</v>
      </c>
      <c r="D1109" s="18" t="s">
        <v>8465</v>
      </c>
      <c r="E1109" s="10" t="s">
        <v>6517</v>
      </c>
      <c r="F1109" s="10" t="s">
        <v>4078</v>
      </c>
      <c r="G1109" s="59" t="s">
        <v>4079</v>
      </c>
      <c r="H1109" s="68" t="s">
        <v>1050</v>
      </c>
      <c r="K1109" s="60">
        <v>0.85</v>
      </c>
      <c r="L1109" s="18">
        <v>1108</v>
      </c>
      <c r="M1109" s="13">
        <v>44615</v>
      </c>
      <c r="N1109" s="21">
        <v>12.7</v>
      </c>
      <c r="O1109" s="18">
        <v>0</v>
      </c>
      <c r="P1109" s="18">
        <v>0</v>
      </c>
      <c r="Q1109" s="60">
        <v>0.86</v>
      </c>
      <c r="R1109" s="46" t="s">
        <v>11203</v>
      </c>
    </row>
    <row r="1110" spans="1:18" ht="195">
      <c r="A1110" s="33" t="s">
        <v>11139</v>
      </c>
      <c r="B1110" s="18" t="s">
        <v>7744</v>
      </c>
      <c r="C1110" s="13">
        <v>44609</v>
      </c>
      <c r="D1110" s="18" t="s">
        <v>8465</v>
      </c>
      <c r="E1110" s="10" t="s">
        <v>1082</v>
      </c>
      <c r="F1110" s="10" t="s">
        <v>10790</v>
      </c>
      <c r="G1110" s="59" t="s">
        <v>11138</v>
      </c>
      <c r="H1110" s="68" t="s">
        <v>149</v>
      </c>
      <c r="K1110" s="60">
        <v>0.7</v>
      </c>
      <c r="L1110" s="18">
        <v>1109</v>
      </c>
      <c r="M1110" s="13">
        <v>44624</v>
      </c>
      <c r="N1110" s="21">
        <v>15.97</v>
      </c>
      <c r="O1110" s="18">
        <v>0</v>
      </c>
      <c r="P1110" s="18">
        <v>0</v>
      </c>
      <c r="Q1110" s="60">
        <v>0.78</v>
      </c>
      <c r="R1110" s="46" t="s">
        <v>11340</v>
      </c>
    </row>
    <row r="1111" spans="1:18" ht="120">
      <c r="A1111" s="33" t="s">
        <v>11252</v>
      </c>
      <c r="B1111" s="18" t="s">
        <v>8754</v>
      </c>
      <c r="C1111" s="13">
        <v>40364</v>
      </c>
      <c r="D1111" s="18" t="s">
        <v>8465</v>
      </c>
      <c r="E1111" s="10" t="s">
        <v>7461</v>
      </c>
      <c r="F1111" s="10" t="s">
        <v>7461</v>
      </c>
      <c r="H1111" s="68" t="s">
        <v>151</v>
      </c>
      <c r="K1111" s="60">
        <v>0.5</v>
      </c>
      <c r="L1111" s="18">
        <v>1110</v>
      </c>
      <c r="M1111" s="13">
        <v>44625</v>
      </c>
      <c r="N1111" s="21">
        <v>1.48</v>
      </c>
      <c r="O1111" s="18">
        <v>0</v>
      </c>
      <c r="P1111" s="18">
        <v>0</v>
      </c>
      <c r="Q1111" s="60">
        <v>0.78</v>
      </c>
      <c r="R1111" s="46" t="s">
        <v>11341</v>
      </c>
    </row>
    <row r="1112" spans="1:18" ht="105">
      <c r="A1112" s="33" t="s">
        <v>10260</v>
      </c>
      <c r="B1112" s="18" t="s">
        <v>7749</v>
      </c>
      <c r="C1112" s="13">
        <v>41438</v>
      </c>
      <c r="D1112" s="18" t="s">
        <v>8465</v>
      </c>
      <c r="E1112" s="10" t="s">
        <v>1794</v>
      </c>
      <c r="F1112" s="10" t="s">
        <v>1794</v>
      </c>
      <c r="G1112" s="59" t="s">
        <v>10286</v>
      </c>
      <c r="H1112" s="68" t="s">
        <v>78</v>
      </c>
      <c r="K1112" s="60">
        <v>0.8</v>
      </c>
      <c r="L1112" s="18">
        <v>1111</v>
      </c>
      <c r="M1112" s="13">
        <v>44627</v>
      </c>
      <c r="N1112" s="21">
        <v>7.53</v>
      </c>
      <c r="O1112" s="18">
        <v>0</v>
      </c>
      <c r="P1112" s="18">
        <v>0</v>
      </c>
      <c r="Q1112" s="60">
        <v>0.73</v>
      </c>
      <c r="R1112" s="46" t="s">
        <v>11360</v>
      </c>
    </row>
    <row r="1113" spans="1:18" ht="210">
      <c r="A1113" s="33" t="s">
        <v>10505</v>
      </c>
      <c r="B1113" s="18" t="s">
        <v>9431</v>
      </c>
      <c r="C1113" s="13">
        <v>44610</v>
      </c>
      <c r="D1113" s="18" t="s">
        <v>8465</v>
      </c>
      <c r="E1113" s="10" t="s">
        <v>6107</v>
      </c>
      <c r="F1113" s="10" t="s">
        <v>5882</v>
      </c>
      <c r="G1113" s="59" t="s">
        <v>6134</v>
      </c>
      <c r="H1113" s="68" t="s">
        <v>80</v>
      </c>
      <c r="K1113" s="60">
        <v>0.9</v>
      </c>
      <c r="L1113" s="18">
        <v>1112</v>
      </c>
      <c r="M1113" s="13">
        <v>44629</v>
      </c>
      <c r="N1113" s="21">
        <v>32.049999999999997</v>
      </c>
      <c r="O1113" s="18">
        <v>0</v>
      </c>
      <c r="P1113" s="18">
        <v>0</v>
      </c>
      <c r="Q1113" s="60">
        <v>0.88</v>
      </c>
      <c r="R1113" s="46" t="s">
        <v>11375</v>
      </c>
    </row>
    <row r="1114" spans="1:18" ht="90">
      <c r="A1114" s="33" t="s">
        <v>10261</v>
      </c>
      <c r="B1114" s="18" t="s">
        <v>7749</v>
      </c>
      <c r="C1114" s="13">
        <v>41480</v>
      </c>
      <c r="D1114" s="18" t="s">
        <v>8465</v>
      </c>
      <c r="E1114" s="10" t="s">
        <v>1794</v>
      </c>
      <c r="F1114" s="10" t="s">
        <v>1794</v>
      </c>
      <c r="G1114" s="59" t="s">
        <v>10286</v>
      </c>
      <c r="H1114" s="68" t="s">
        <v>78</v>
      </c>
      <c r="K1114" s="60">
        <v>0.8</v>
      </c>
      <c r="L1114" s="18">
        <v>1113</v>
      </c>
      <c r="M1114" s="13">
        <v>44630</v>
      </c>
      <c r="N1114" s="21">
        <v>5.45</v>
      </c>
      <c r="O1114" s="18">
        <v>0</v>
      </c>
      <c r="P1114" s="18">
        <v>0</v>
      </c>
      <c r="Q1114" s="60">
        <v>0.68</v>
      </c>
      <c r="R1114" s="46" t="s">
        <v>11377</v>
      </c>
    </row>
    <row r="1115" spans="1:18" ht="135">
      <c r="A1115" s="33" t="s">
        <v>1413</v>
      </c>
      <c r="B1115" s="18" t="s">
        <v>7749</v>
      </c>
      <c r="C1115" s="13">
        <v>40758</v>
      </c>
      <c r="D1115" s="18" t="s">
        <v>8465</v>
      </c>
      <c r="E1115" s="10" t="s">
        <v>86</v>
      </c>
      <c r="F1115" s="10" t="s">
        <v>86</v>
      </c>
      <c r="G1115" s="59" t="s">
        <v>1413</v>
      </c>
      <c r="H1115" s="68" t="s">
        <v>78</v>
      </c>
      <c r="K1115" s="60">
        <v>0.75</v>
      </c>
      <c r="L1115" s="18">
        <v>1114</v>
      </c>
      <c r="M1115" s="13">
        <v>44638</v>
      </c>
      <c r="N1115" s="21">
        <v>17.43</v>
      </c>
      <c r="O1115" s="18">
        <v>0</v>
      </c>
      <c r="P1115" s="18">
        <v>0</v>
      </c>
      <c r="R1115" s="46" t="s">
        <v>11398</v>
      </c>
    </row>
    <row r="1116" spans="1:18" ht="195">
      <c r="A1116" s="33" t="s">
        <v>10262</v>
      </c>
      <c r="B1116" s="18" t="s">
        <v>7749</v>
      </c>
      <c r="C1116" s="13">
        <v>41550</v>
      </c>
      <c r="D1116" s="18" t="s">
        <v>8465</v>
      </c>
      <c r="E1116" s="10" t="s">
        <v>1794</v>
      </c>
      <c r="F1116" s="10" t="s">
        <v>1794</v>
      </c>
      <c r="G1116" s="59" t="s">
        <v>10286</v>
      </c>
      <c r="H1116" s="68" t="s">
        <v>78</v>
      </c>
      <c r="K1116" s="60">
        <v>0.6</v>
      </c>
      <c r="L1116" s="18">
        <v>1115</v>
      </c>
      <c r="M1116" s="13">
        <v>44641</v>
      </c>
      <c r="N1116" s="21">
        <v>6.5</v>
      </c>
      <c r="O1116" s="18">
        <v>0</v>
      </c>
      <c r="P1116" s="18">
        <v>0</v>
      </c>
      <c r="Q1116" s="60">
        <v>0.66</v>
      </c>
      <c r="R1116" s="46" t="s">
        <v>11470</v>
      </c>
    </row>
    <row r="1117" spans="1:18" ht="165">
      <c r="A1117" s="33" t="s">
        <v>11462</v>
      </c>
      <c r="B1117" s="18" t="s">
        <v>7800</v>
      </c>
      <c r="C1117" s="13">
        <v>44285</v>
      </c>
      <c r="D1117" s="18" t="s">
        <v>8465</v>
      </c>
      <c r="E1117" s="10" t="s">
        <v>1634</v>
      </c>
      <c r="F1117" s="10" t="s">
        <v>11463</v>
      </c>
      <c r="H1117" s="68" t="s">
        <v>80</v>
      </c>
      <c r="K1117" s="60">
        <v>0.5</v>
      </c>
      <c r="L1117" s="18">
        <v>1116</v>
      </c>
      <c r="M1117" s="13">
        <v>44647</v>
      </c>
      <c r="N1117" s="21">
        <v>6.15</v>
      </c>
      <c r="O1117" s="18">
        <v>0</v>
      </c>
      <c r="P1117" s="18">
        <v>0</v>
      </c>
      <c r="Q1117" s="60">
        <v>0.74</v>
      </c>
      <c r="R1117" s="46" t="s">
        <v>11515</v>
      </c>
    </row>
    <row r="1118" spans="1:18" ht="195">
      <c r="A1118" s="33" t="s">
        <v>10503</v>
      </c>
      <c r="B1118" s="18" t="s">
        <v>7744</v>
      </c>
      <c r="C1118" s="13">
        <v>44624</v>
      </c>
      <c r="D1118" s="18" t="s">
        <v>8465</v>
      </c>
      <c r="E1118" s="10" t="s">
        <v>86</v>
      </c>
      <c r="F1118" s="10" t="s">
        <v>8933</v>
      </c>
      <c r="H1118" s="68" t="s">
        <v>75</v>
      </c>
      <c r="K1118" s="60">
        <v>0.9</v>
      </c>
      <c r="L1118" s="18">
        <v>1117</v>
      </c>
      <c r="M1118" s="13">
        <v>44649</v>
      </c>
      <c r="N1118" s="21">
        <v>34.67</v>
      </c>
      <c r="O1118" s="18">
        <v>0</v>
      </c>
      <c r="P1118" s="18">
        <v>0</v>
      </c>
      <c r="Q1118" s="60">
        <v>0.83</v>
      </c>
      <c r="R1118" s="46" t="s">
        <v>11523</v>
      </c>
    </row>
    <row r="1119" spans="1:18" ht="195">
      <c r="A1119" s="33" t="s">
        <v>10263</v>
      </c>
      <c r="B1119" s="18" t="s">
        <v>7749</v>
      </c>
      <c r="C1119" s="13">
        <v>41760</v>
      </c>
      <c r="D1119" s="18" t="s">
        <v>8465</v>
      </c>
      <c r="E1119" s="10" t="s">
        <v>1794</v>
      </c>
      <c r="F1119" s="10" t="s">
        <v>1794</v>
      </c>
      <c r="G1119" s="59" t="s">
        <v>10286</v>
      </c>
      <c r="H1119" s="68" t="s">
        <v>78</v>
      </c>
      <c r="K1119" s="60">
        <v>0.8</v>
      </c>
      <c r="L1119" s="18">
        <v>1118</v>
      </c>
      <c r="M1119" s="13">
        <v>44656</v>
      </c>
      <c r="N1119" s="21">
        <v>17.8</v>
      </c>
      <c r="O1119" s="18">
        <v>0</v>
      </c>
      <c r="P1119" s="18">
        <v>0</v>
      </c>
      <c r="Q1119" s="60">
        <v>0.68</v>
      </c>
      <c r="R1119" s="46" t="s">
        <v>11607</v>
      </c>
    </row>
    <row r="1120" spans="1:18" ht="105">
      <c r="A1120" s="33" t="s">
        <v>10504</v>
      </c>
      <c r="B1120" s="18" t="s">
        <v>7744</v>
      </c>
      <c r="C1120" s="13">
        <v>44645</v>
      </c>
      <c r="D1120" s="18" t="s">
        <v>8465</v>
      </c>
      <c r="E1120" s="10" t="s">
        <v>86</v>
      </c>
      <c r="F1120" s="10" t="s">
        <v>30</v>
      </c>
      <c r="G1120" s="59" t="s">
        <v>223</v>
      </c>
      <c r="H1120" s="68" t="s">
        <v>1040</v>
      </c>
      <c r="K1120" s="60">
        <v>0.85</v>
      </c>
      <c r="L1120" s="18">
        <v>1119</v>
      </c>
      <c r="M1120" s="13">
        <v>44656</v>
      </c>
      <c r="N1120" s="21">
        <v>5</v>
      </c>
      <c r="O1120" s="18">
        <v>0</v>
      </c>
      <c r="P1120" s="18">
        <v>0</v>
      </c>
      <c r="Q1120" s="60">
        <v>0.84</v>
      </c>
      <c r="R1120" s="46" t="s">
        <v>12026</v>
      </c>
    </row>
    <row r="1121" spans="1:18" ht="165">
      <c r="A1121" s="33" t="s">
        <v>10585</v>
      </c>
      <c r="B1121" s="18" t="s">
        <v>7744</v>
      </c>
      <c r="C1121" s="13">
        <v>44656</v>
      </c>
      <c r="D1121" s="18" t="s">
        <v>8465</v>
      </c>
      <c r="E1121" s="10" t="s">
        <v>1156</v>
      </c>
      <c r="F1121" s="10" t="s">
        <v>1309</v>
      </c>
      <c r="G1121" s="59" t="s">
        <v>4310</v>
      </c>
      <c r="H1121" s="68" t="s">
        <v>80</v>
      </c>
      <c r="K1121" s="60">
        <v>0.6</v>
      </c>
      <c r="L1121" s="18">
        <v>1120</v>
      </c>
      <c r="M1121" s="13">
        <v>44663</v>
      </c>
      <c r="N1121" s="21">
        <v>10</v>
      </c>
      <c r="O1121" s="18">
        <v>0</v>
      </c>
      <c r="P1121" s="18">
        <v>0</v>
      </c>
      <c r="Q1121" s="60">
        <v>0.81</v>
      </c>
      <c r="R1121" s="46" t="s">
        <v>11642</v>
      </c>
    </row>
    <row r="1122" spans="1:18" ht="150">
      <c r="A1122" s="33" t="s">
        <v>11464</v>
      </c>
      <c r="B1122" s="18" t="s">
        <v>7800</v>
      </c>
      <c r="C1122" s="13">
        <v>44636</v>
      </c>
      <c r="D1122" s="18" t="s">
        <v>8465</v>
      </c>
      <c r="E1122" s="10" t="s">
        <v>8787</v>
      </c>
      <c r="F1122" s="10" t="s">
        <v>11465</v>
      </c>
      <c r="H1122" s="68" t="s">
        <v>80</v>
      </c>
      <c r="K1122" s="60">
        <v>0.85</v>
      </c>
      <c r="L1122" s="18">
        <v>1121</v>
      </c>
      <c r="M1122" s="13">
        <v>44674</v>
      </c>
      <c r="N1122" s="21">
        <v>9.99</v>
      </c>
      <c r="O1122" s="18">
        <v>0</v>
      </c>
      <c r="P1122" s="18">
        <v>0</v>
      </c>
      <c r="Q1122" s="60">
        <v>0.85</v>
      </c>
      <c r="R1122" s="46" t="s">
        <v>11667</v>
      </c>
    </row>
    <row r="1123" spans="1:18" ht="180">
      <c r="A1123" s="33" t="s">
        <v>9918</v>
      </c>
      <c r="B1123" s="18" t="s">
        <v>9431</v>
      </c>
      <c r="C1123" s="13">
        <v>44617</v>
      </c>
      <c r="D1123" s="18" t="s">
        <v>8465</v>
      </c>
      <c r="E1123" s="10" t="s">
        <v>1604</v>
      </c>
      <c r="F1123" s="10" t="s">
        <v>1580</v>
      </c>
      <c r="G1123" s="59" t="s">
        <v>3566</v>
      </c>
      <c r="H1123" s="68" t="s">
        <v>171</v>
      </c>
      <c r="K1123" s="60">
        <v>1</v>
      </c>
      <c r="L1123" s="18">
        <v>1122</v>
      </c>
      <c r="M1123" s="13">
        <v>44692</v>
      </c>
      <c r="N1123" s="21">
        <v>83.45</v>
      </c>
      <c r="O1123" s="18">
        <v>0</v>
      </c>
      <c r="P1123" s="18">
        <v>0</v>
      </c>
      <c r="Q1123" s="60">
        <v>0.97</v>
      </c>
      <c r="R1123" s="46" t="s">
        <v>11703</v>
      </c>
    </row>
    <row r="1124" spans="1:18" ht="315">
      <c r="A1124" s="33" t="s">
        <v>10361</v>
      </c>
      <c r="B1124" s="18" t="s">
        <v>7744</v>
      </c>
      <c r="C1124" s="13">
        <v>44614</v>
      </c>
      <c r="D1124" s="18" t="s">
        <v>8465</v>
      </c>
      <c r="E1124" s="10" t="s">
        <v>1062</v>
      </c>
      <c r="F1124" s="10" t="s">
        <v>9775</v>
      </c>
      <c r="H1124" s="68" t="s">
        <v>75</v>
      </c>
      <c r="K1124" s="60">
        <v>0.5</v>
      </c>
      <c r="L1124" s="18">
        <v>1123</v>
      </c>
      <c r="M1124" s="13">
        <v>44699</v>
      </c>
      <c r="N1124" s="21">
        <v>52.94</v>
      </c>
      <c r="O1124" s="18">
        <v>0</v>
      </c>
      <c r="P1124" s="18">
        <v>0</v>
      </c>
      <c r="Q1124" s="60">
        <v>0.65</v>
      </c>
      <c r="R1124" s="46" t="s">
        <v>11719</v>
      </c>
    </row>
    <row r="1125" spans="1:18" ht="225">
      <c r="A1125" s="33" t="s">
        <v>10778</v>
      </c>
      <c r="B1125" s="18" t="s">
        <v>9431</v>
      </c>
      <c r="C1125" s="13">
        <v>44623</v>
      </c>
      <c r="D1125" s="18" t="s">
        <v>8465</v>
      </c>
      <c r="E1125" s="10" t="s">
        <v>1082</v>
      </c>
      <c r="F1125" s="10" t="s">
        <v>1058</v>
      </c>
      <c r="H1125" s="68" t="s">
        <v>1059</v>
      </c>
      <c r="K1125" s="60">
        <v>0.2</v>
      </c>
      <c r="L1125" s="18">
        <v>1124</v>
      </c>
      <c r="M1125" s="13">
        <v>44712</v>
      </c>
      <c r="N1125" s="21">
        <v>8.6300000000000008</v>
      </c>
      <c r="O1125" s="18">
        <v>0</v>
      </c>
      <c r="P1125" s="18">
        <v>0</v>
      </c>
      <c r="Q1125" s="60">
        <v>0.41</v>
      </c>
      <c r="R1125" s="46" t="s">
        <v>11887</v>
      </c>
    </row>
    <row r="1126" spans="1:18" ht="105">
      <c r="A1126" s="33" t="s">
        <v>9715</v>
      </c>
      <c r="B1126" s="18" t="s">
        <v>7800</v>
      </c>
      <c r="C1126" s="13">
        <v>44154</v>
      </c>
      <c r="D1126" s="18" t="s">
        <v>8465</v>
      </c>
      <c r="E1126" s="10" t="s">
        <v>9716</v>
      </c>
      <c r="F1126" s="10" t="s">
        <v>9717</v>
      </c>
      <c r="H1126" s="68" t="s">
        <v>67</v>
      </c>
      <c r="K1126" s="60">
        <v>0.5</v>
      </c>
      <c r="L1126" s="18">
        <v>1125</v>
      </c>
      <c r="M1126" s="13">
        <v>44713</v>
      </c>
      <c r="N1126" s="21">
        <v>0.28000000000000003</v>
      </c>
      <c r="O1126" s="18">
        <v>0</v>
      </c>
      <c r="P1126" s="18">
        <v>0</v>
      </c>
      <c r="R1126" s="46" t="s">
        <v>11893</v>
      </c>
    </row>
    <row r="1127" spans="1:18" ht="165">
      <c r="A1127" s="33" t="s">
        <v>10465</v>
      </c>
      <c r="B1127" s="18" t="s">
        <v>7749</v>
      </c>
      <c r="C1127" s="13">
        <v>42656</v>
      </c>
      <c r="D1127" s="18" t="s">
        <v>8465</v>
      </c>
      <c r="E1127" s="10" t="s">
        <v>1519</v>
      </c>
      <c r="F1127" s="10" t="s">
        <v>479</v>
      </c>
      <c r="H1127" s="68" t="s">
        <v>1057</v>
      </c>
      <c r="K1127" s="60">
        <v>0.5</v>
      </c>
      <c r="L1127" s="18">
        <v>1126</v>
      </c>
      <c r="M1127" s="13">
        <v>44714</v>
      </c>
      <c r="N1127" s="21">
        <v>1.33</v>
      </c>
      <c r="O1127" s="18">
        <v>0</v>
      </c>
      <c r="P1127" s="18">
        <v>0</v>
      </c>
      <c r="Q1127" s="60">
        <v>0.59</v>
      </c>
      <c r="R1127" s="46" t="s">
        <v>12020</v>
      </c>
    </row>
    <row r="1128" spans="1:18" ht="150">
      <c r="A1128" s="33" t="s">
        <v>8753</v>
      </c>
      <c r="B1128" s="18" t="s">
        <v>8754</v>
      </c>
      <c r="C1128" s="13">
        <v>40085</v>
      </c>
      <c r="D1128" s="18" t="s">
        <v>8465</v>
      </c>
      <c r="E1128" s="10" t="s">
        <v>1082</v>
      </c>
      <c r="F1128" s="10" t="s">
        <v>1069</v>
      </c>
      <c r="G1128" s="59" t="s">
        <v>140</v>
      </c>
      <c r="H1128" s="68" t="s">
        <v>3937</v>
      </c>
      <c r="K1128" s="60">
        <v>0.5</v>
      </c>
      <c r="L1128" s="18">
        <v>1127</v>
      </c>
      <c r="M1128" s="13">
        <v>44714</v>
      </c>
      <c r="N1128" s="21">
        <v>0.6</v>
      </c>
      <c r="O1128" s="18">
        <v>0</v>
      </c>
      <c r="P1128" s="18">
        <v>0</v>
      </c>
      <c r="Q1128" s="60">
        <v>0.83</v>
      </c>
      <c r="R1128" s="46" t="s">
        <v>11904</v>
      </c>
    </row>
    <row r="1129" spans="1:18" ht="105">
      <c r="A1129" s="33" t="s">
        <v>2432</v>
      </c>
      <c r="B1129" s="18" t="s">
        <v>7749</v>
      </c>
      <c r="C1129" s="13">
        <v>41277</v>
      </c>
      <c r="D1129" s="18" t="s">
        <v>8465</v>
      </c>
      <c r="E1129" s="10" t="s">
        <v>2475</v>
      </c>
      <c r="F1129" s="10" t="s">
        <v>2475</v>
      </c>
      <c r="G1129" s="59" t="s">
        <v>2432</v>
      </c>
      <c r="H1129" s="68" t="s">
        <v>56</v>
      </c>
      <c r="K1129" s="60">
        <v>0.6</v>
      </c>
      <c r="L1129" s="18">
        <v>1128</v>
      </c>
      <c r="M1129" s="13">
        <v>44714</v>
      </c>
      <c r="N1129" s="21">
        <v>1.03</v>
      </c>
      <c r="O1129" s="18">
        <v>0</v>
      </c>
      <c r="P1129" s="18">
        <v>0</v>
      </c>
      <c r="Q1129" s="60">
        <v>0.83</v>
      </c>
      <c r="R1129" s="46" t="s">
        <v>11905</v>
      </c>
    </row>
    <row r="1130" spans="1:18" ht="165">
      <c r="A1130" s="33" t="s">
        <v>2433</v>
      </c>
      <c r="B1130" s="18" t="s">
        <v>7749</v>
      </c>
      <c r="C1130" s="13">
        <v>41305</v>
      </c>
      <c r="D1130" s="18" t="s">
        <v>8465</v>
      </c>
      <c r="E1130" s="10" t="s">
        <v>1578</v>
      </c>
      <c r="F1130" s="10" t="s">
        <v>2476</v>
      </c>
      <c r="H1130" s="68" t="s">
        <v>151</v>
      </c>
      <c r="K1130" s="60">
        <v>0.7</v>
      </c>
      <c r="L1130" s="18">
        <v>1129</v>
      </c>
      <c r="M1130" s="13">
        <v>44719</v>
      </c>
      <c r="N1130" s="21">
        <v>0.97</v>
      </c>
      <c r="O1130" s="18">
        <v>0</v>
      </c>
      <c r="P1130" s="18">
        <v>0</v>
      </c>
      <c r="Q1130" s="60">
        <v>0.72</v>
      </c>
      <c r="R1130" s="46" t="s">
        <v>11906</v>
      </c>
    </row>
    <row r="1131" spans="1:18" ht="315">
      <c r="A1131" s="33" t="s">
        <v>1728</v>
      </c>
      <c r="B1131" s="18" t="s">
        <v>7744</v>
      </c>
      <c r="C1131" s="13">
        <v>43070</v>
      </c>
      <c r="D1131" s="18" t="s">
        <v>8465</v>
      </c>
      <c r="E1131" s="10" t="s">
        <v>86</v>
      </c>
      <c r="F1131" s="10" t="s">
        <v>1145</v>
      </c>
      <c r="G1131" s="59" t="s">
        <v>1146</v>
      </c>
      <c r="H1131" s="68" t="s">
        <v>171</v>
      </c>
      <c r="K1131" s="60">
        <v>0.9</v>
      </c>
      <c r="L1131" s="18">
        <v>1130</v>
      </c>
      <c r="M1131" s="13">
        <v>44725</v>
      </c>
      <c r="N1131" s="21">
        <v>54.22</v>
      </c>
      <c r="O1131" s="18">
        <v>0</v>
      </c>
      <c r="P1131" s="18">
        <v>0</v>
      </c>
      <c r="Q1131" s="60">
        <v>0.83</v>
      </c>
      <c r="R1131" s="46" t="s">
        <v>12016</v>
      </c>
    </row>
    <row r="1132" spans="1:18" ht="225">
      <c r="A1132" s="33" t="s">
        <v>9343</v>
      </c>
      <c r="B1132" s="18" t="s">
        <v>7763</v>
      </c>
      <c r="C1132" s="13">
        <v>41786</v>
      </c>
      <c r="D1132" s="18" t="s">
        <v>8465</v>
      </c>
      <c r="E1132" s="10" t="s">
        <v>1680</v>
      </c>
      <c r="F1132" s="10" t="s">
        <v>3861</v>
      </c>
      <c r="G1132" s="59" t="s">
        <v>9103</v>
      </c>
      <c r="H1132" s="68" t="s">
        <v>3411</v>
      </c>
      <c r="K1132" s="60">
        <v>0.6</v>
      </c>
      <c r="L1132" s="18">
        <v>1131</v>
      </c>
      <c r="M1132" s="13">
        <v>44730</v>
      </c>
      <c r="N1132" s="21">
        <v>16.55</v>
      </c>
      <c r="O1132" s="18">
        <v>0</v>
      </c>
      <c r="P1132" s="18">
        <v>0</v>
      </c>
      <c r="Q1132" s="60">
        <v>0.67</v>
      </c>
      <c r="R1132" s="46" t="s">
        <v>12025</v>
      </c>
    </row>
    <row r="1133" spans="1:18" ht="195">
      <c r="A1133" s="33" t="s">
        <v>11346</v>
      </c>
      <c r="B1133" s="18" t="s">
        <v>7800</v>
      </c>
      <c r="C1133" s="13">
        <v>44028</v>
      </c>
      <c r="D1133" s="18" t="s">
        <v>8465</v>
      </c>
      <c r="E1133" s="10" t="s">
        <v>11353</v>
      </c>
      <c r="F1133" s="10" t="s">
        <v>11354</v>
      </c>
      <c r="H1133" s="68" t="s">
        <v>67</v>
      </c>
      <c r="K1133" s="60">
        <v>0.65</v>
      </c>
      <c r="L1133" s="18">
        <v>1132</v>
      </c>
      <c r="M1133" s="13">
        <v>44732</v>
      </c>
      <c r="N1133" s="21">
        <v>0.24</v>
      </c>
      <c r="O1133" s="18">
        <v>0</v>
      </c>
      <c r="P1133" s="18">
        <v>0</v>
      </c>
      <c r="R1133" s="46" t="s">
        <v>12041</v>
      </c>
    </row>
    <row r="1134" spans="1:18" ht="195">
      <c r="A1134" s="33" t="s">
        <v>3660</v>
      </c>
      <c r="B1134" s="18" t="s">
        <v>7800</v>
      </c>
      <c r="C1134" s="13">
        <v>40499</v>
      </c>
      <c r="D1134" s="18" t="s">
        <v>8465</v>
      </c>
      <c r="E1134" s="10" t="s">
        <v>3661</v>
      </c>
      <c r="F1134" s="10" t="s">
        <v>3661</v>
      </c>
      <c r="H1134" s="68" t="s">
        <v>2820</v>
      </c>
      <c r="K1134" s="60">
        <v>0.1</v>
      </c>
      <c r="L1134" s="18">
        <v>1133</v>
      </c>
      <c r="M1134" s="13">
        <v>44732</v>
      </c>
      <c r="N1134" s="21">
        <v>0.33</v>
      </c>
      <c r="O1134" s="18">
        <v>0</v>
      </c>
      <c r="P1134" s="18">
        <v>0</v>
      </c>
      <c r="Q1134" s="60">
        <v>0.56999999999999995</v>
      </c>
      <c r="R1134" s="46" t="s">
        <v>12042</v>
      </c>
    </row>
    <row r="1135" spans="1:18" ht="285">
      <c r="A1135" s="33" t="s">
        <v>12048</v>
      </c>
      <c r="B1135" s="18" t="s">
        <v>7744</v>
      </c>
      <c r="C1135" s="13">
        <v>43357</v>
      </c>
      <c r="D1135" s="18" t="s">
        <v>8465</v>
      </c>
      <c r="E1135" s="10" t="s">
        <v>86</v>
      </c>
      <c r="F1135" s="10" t="s">
        <v>1145</v>
      </c>
      <c r="G1135" s="59" t="s">
        <v>1146</v>
      </c>
      <c r="H1135" s="68" t="s">
        <v>171</v>
      </c>
      <c r="K1135" s="60">
        <v>0.9</v>
      </c>
      <c r="L1135" s="18">
        <v>1134</v>
      </c>
      <c r="M1135" s="13">
        <v>44734</v>
      </c>
      <c r="N1135" s="21">
        <v>16.89</v>
      </c>
      <c r="O1135" s="18">
        <v>0</v>
      </c>
      <c r="P1135" s="18">
        <v>0</v>
      </c>
      <c r="Q1135" s="60">
        <v>0.8</v>
      </c>
      <c r="R1135" s="46" t="s">
        <v>12049</v>
      </c>
    </row>
    <row r="1136" spans="1:18" ht="360">
      <c r="A1136" s="33" t="s">
        <v>10711</v>
      </c>
      <c r="B1136" s="18" t="s">
        <v>8754</v>
      </c>
      <c r="C1136" s="13">
        <v>39965</v>
      </c>
      <c r="D1136" s="18" t="s">
        <v>8465</v>
      </c>
      <c r="E1136" s="10" t="s">
        <v>1084</v>
      </c>
      <c r="F1136" s="10" t="s">
        <v>1084</v>
      </c>
      <c r="G1136" s="59" t="s">
        <v>9995</v>
      </c>
      <c r="H1136" s="68" t="s">
        <v>27</v>
      </c>
      <c r="K1136" s="60">
        <v>0.7</v>
      </c>
      <c r="L1136" s="18">
        <v>1135</v>
      </c>
      <c r="M1136" s="13">
        <v>44735</v>
      </c>
      <c r="N1136" s="21">
        <v>3.75</v>
      </c>
      <c r="O1136" s="18">
        <v>0</v>
      </c>
      <c r="P1136" s="18">
        <v>0</v>
      </c>
      <c r="Q1136" s="60">
        <v>0.83</v>
      </c>
      <c r="R1136" s="46" t="s">
        <v>12066</v>
      </c>
    </row>
    <row r="1137" spans="1:18" ht="240">
      <c r="A1137" s="33" t="s">
        <v>1092</v>
      </c>
      <c r="B1137" s="18" t="s">
        <v>7744</v>
      </c>
      <c r="C1137" s="13">
        <v>43224</v>
      </c>
      <c r="D1137" s="18" t="s">
        <v>8465</v>
      </c>
      <c r="E1137" s="10" t="s">
        <v>86</v>
      </c>
      <c r="F1137" s="10" t="s">
        <v>1139</v>
      </c>
      <c r="G1137" s="59" t="s">
        <v>589</v>
      </c>
      <c r="H1137" s="68" t="s">
        <v>64</v>
      </c>
      <c r="K1137" s="60">
        <v>0.8</v>
      </c>
      <c r="L1137" s="18">
        <v>1136</v>
      </c>
      <c r="M1137" s="13">
        <v>44736</v>
      </c>
      <c r="N1137" s="21">
        <v>4</v>
      </c>
      <c r="O1137" s="18">
        <v>0</v>
      </c>
      <c r="P1137" s="18">
        <v>0</v>
      </c>
      <c r="Q1137" s="60">
        <v>0.86</v>
      </c>
      <c r="R1137" s="46" t="s">
        <v>12067</v>
      </c>
    </row>
    <row r="1138" spans="1:18" ht="195">
      <c r="A1138" s="33" t="s">
        <v>12037</v>
      </c>
      <c r="B1138" s="18" t="s">
        <v>7744</v>
      </c>
      <c r="C1138" s="13">
        <v>44691</v>
      </c>
      <c r="D1138" s="18" t="s">
        <v>8465</v>
      </c>
      <c r="E1138" s="10" t="s">
        <v>1571</v>
      </c>
      <c r="F1138" s="10" t="s">
        <v>7972</v>
      </c>
      <c r="G1138" s="59" t="s">
        <v>12038</v>
      </c>
      <c r="H1138" s="68" t="s">
        <v>171</v>
      </c>
      <c r="K1138" s="60">
        <v>0.5</v>
      </c>
      <c r="L1138" s="18">
        <v>1137</v>
      </c>
      <c r="M1138" s="13">
        <v>44743</v>
      </c>
      <c r="N1138" s="21">
        <v>15.62</v>
      </c>
      <c r="O1138" s="18">
        <v>0</v>
      </c>
      <c r="P1138" s="18">
        <v>0</v>
      </c>
      <c r="Q1138" s="60">
        <v>0.65</v>
      </c>
      <c r="R1138" s="46" t="s">
        <v>12076</v>
      </c>
    </row>
    <row r="1139" spans="1:18" ht="135">
      <c r="A1139" s="33" t="s">
        <v>10264</v>
      </c>
      <c r="B1139" s="18" t="s">
        <v>7749</v>
      </c>
      <c r="C1139" s="13">
        <v>41956</v>
      </c>
      <c r="D1139" s="18" t="s">
        <v>8465</v>
      </c>
      <c r="E1139" s="10" t="s">
        <v>1794</v>
      </c>
      <c r="F1139" s="10" t="s">
        <v>1794</v>
      </c>
      <c r="G1139" s="59" t="s">
        <v>10286</v>
      </c>
      <c r="H1139" s="68" t="s">
        <v>78</v>
      </c>
      <c r="K1139" s="60">
        <v>0.6</v>
      </c>
      <c r="L1139" s="18">
        <v>1138</v>
      </c>
      <c r="M1139" s="13">
        <v>44744</v>
      </c>
      <c r="N1139" s="21">
        <v>15.38</v>
      </c>
      <c r="O1139" s="18">
        <v>0</v>
      </c>
      <c r="P1139" s="18">
        <v>0</v>
      </c>
      <c r="Q1139" s="60">
        <v>0.7</v>
      </c>
      <c r="R1139" s="46" t="s">
        <v>12077</v>
      </c>
    </row>
    <row r="1140" spans="1:18" ht="255">
      <c r="A1140" s="33" t="s">
        <v>3755</v>
      </c>
      <c r="B1140" s="18" t="s">
        <v>7800</v>
      </c>
      <c r="C1140" s="13">
        <v>42030</v>
      </c>
      <c r="D1140" s="18" t="s">
        <v>8465</v>
      </c>
      <c r="E1140" s="10" t="s">
        <v>3756</v>
      </c>
      <c r="F1140" s="10" t="s">
        <v>3405</v>
      </c>
      <c r="G1140" s="59" t="s">
        <v>3755</v>
      </c>
      <c r="H1140" s="68" t="s">
        <v>80</v>
      </c>
      <c r="K1140" s="60">
        <v>0.6</v>
      </c>
      <c r="L1140" s="18">
        <v>1139</v>
      </c>
      <c r="M1140" s="13">
        <v>44749</v>
      </c>
      <c r="N1140" s="21">
        <v>11.52</v>
      </c>
      <c r="O1140" s="18">
        <v>0</v>
      </c>
      <c r="P1140" s="18">
        <v>0</v>
      </c>
      <c r="Q1140" s="60">
        <v>0.73</v>
      </c>
      <c r="R1140" s="46" t="s">
        <v>12156</v>
      </c>
    </row>
    <row r="1141" spans="1:18" ht="375">
      <c r="A1141" s="33" t="s">
        <v>12158</v>
      </c>
      <c r="B1141" s="18" t="s">
        <v>9431</v>
      </c>
      <c r="C1141" s="13">
        <v>44638</v>
      </c>
      <c r="D1141" s="18" t="s">
        <v>8465</v>
      </c>
      <c r="E1141" s="10" t="s">
        <v>1082</v>
      </c>
      <c r="F1141" s="10" t="s">
        <v>1136</v>
      </c>
      <c r="G1141" s="59" t="s">
        <v>126</v>
      </c>
      <c r="H1141" s="68" t="s">
        <v>171</v>
      </c>
      <c r="K1141" s="60">
        <v>0.8</v>
      </c>
      <c r="L1141" s="18">
        <v>1140</v>
      </c>
      <c r="M1141" s="13">
        <v>44750</v>
      </c>
      <c r="N1141" s="21">
        <v>23.96</v>
      </c>
      <c r="O1141" s="18">
        <v>0</v>
      </c>
      <c r="P1141" s="18">
        <v>0</v>
      </c>
      <c r="Q1141" s="60">
        <v>0.72</v>
      </c>
      <c r="R1141" s="46" t="s">
        <v>12159</v>
      </c>
    </row>
    <row r="1142" spans="1:18" ht="195">
      <c r="A1142" s="33" t="s">
        <v>7128</v>
      </c>
      <c r="B1142" s="18" t="s">
        <v>7800</v>
      </c>
      <c r="C1142" s="13">
        <v>40431</v>
      </c>
      <c r="D1142" s="18" t="s">
        <v>8465</v>
      </c>
      <c r="E1142" s="10" t="s">
        <v>7012</v>
      </c>
      <c r="F1142" s="10" t="s">
        <v>7012</v>
      </c>
      <c r="H1142" s="68" t="s">
        <v>151</v>
      </c>
      <c r="K1142" s="60">
        <v>0.6</v>
      </c>
      <c r="L1142" s="18">
        <v>1141</v>
      </c>
      <c r="M1142" s="13">
        <v>44750</v>
      </c>
      <c r="N1142" s="21">
        <v>0.76</v>
      </c>
      <c r="O1142" s="18">
        <v>0</v>
      </c>
      <c r="P1142" s="18">
        <v>0</v>
      </c>
      <c r="R1142" s="46" t="s">
        <v>12162</v>
      </c>
    </row>
    <row r="1143" spans="1:18" ht="150">
      <c r="A1143" s="33" t="s">
        <v>12163</v>
      </c>
      <c r="B1143" s="18" t="s">
        <v>8555</v>
      </c>
      <c r="C1143" s="13">
        <v>44510</v>
      </c>
      <c r="D1143" s="18" t="s">
        <v>8465</v>
      </c>
      <c r="E1143" s="10" t="s">
        <v>8331</v>
      </c>
      <c r="F1143" s="10" t="s">
        <v>8004</v>
      </c>
      <c r="H1143" s="68" t="s">
        <v>80</v>
      </c>
      <c r="K1143" s="60">
        <v>0.7</v>
      </c>
      <c r="L1143" s="18">
        <v>1142</v>
      </c>
      <c r="M1143" s="13">
        <v>44751</v>
      </c>
      <c r="N1143" s="21">
        <v>3.28</v>
      </c>
      <c r="O1143" s="18">
        <v>0</v>
      </c>
      <c r="P1143" s="18">
        <v>0</v>
      </c>
      <c r="R1143" s="46" t="s">
        <v>12164</v>
      </c>
    </row>
    <row r="1144" spans="1:18" ht="165">
      <c r="A1144" s="33" t="s">
        <v>11361</v>
      </c>
      <c r="B1144" s="18" t="s">
        <v>7749</v>
      </c>
      <c r="C1144" s="13">
        <v>41165</v>
      </c>
      <c r="D1144" s="18" t="s">
        <v>8463</v>
      </c>
      <c r="E1144" s="10" t="s">
        <v>86</v>
      </c>
      <c r="F1144" s="10" t="s">
        <v>1794</v>
      </c>
      <c r="G1144" s="59" t="s">
        <v>10286</v>
      </c>
      <c r="H1144" s="68" t="s">
        <v>78</v>
      </c>
      <c r="K1144" s="60">
        <v>0.7</v>
      </c>
      <c r="L1144" s="18">
        <v>1143</v>
      </c>
      <c r="M1144" s="13">
        <v>44755</v>
      </c>
      <c r="O1144" s="18">
        <v>0</v>
      </c>
      <c r="P1144" s="18">
        <v>1</v>
      </c>
      <c r="R1144" s="46" t="s">
        <v>12167</v>
      </c>
    </row>
    <row r="1145" spans="1:18" ht="255">
      <c r="A1145" s="33" t="s">
        <v>11244</v>
      </c>
      <c r="B1145" s="18" t="s">
        <v>7749</v>
      </c>
      <c r="C1145" s="13">
        <v>41732</v>
      </c>
      <c r="D1145" s="18" t="s">
        <v>8465</v>
      </c>
      <c r="E1145" s="10" t="s">
        <v>86</v>
      </c>
      <c r="F1145" s="10" t="s">
        <v>86</v>
      </c>
      <c r="H1145" s="68" t="s">
        <v>255</v>
      </c>
      <c r="K1145" s="60">
        <v>0.6</v>
      </c>
      <c r="L1145" s="18">
        <v>1144</v>
      </c>
      <c r="M1145" s="13">
        <v>44759</v>
      </c>
      <c r="N1145" s="21">
        <v>2.0699999999999998</v>
      </c>
      <c r="O1145" s="18">
        <v>0</v>
      </c>
      <c r="P1145" s="18">
        <v>0</v>
      </c>
      <c r="Q1145" s="60">
        <v>0.74</v>
      </c>
      <c r="R1145" s="46" t="s">
        <v>12197</v>
      </c>
    </row>
    <row r="1146" spans="1:18" ht="315">
      <c r="A1146" s="33" t="s">
        <v>10515</v>
      </c>
      <c r="B1146" s="18" t="s">
        <v>7800</v>
      </c>
      <c r="C1146" s="13">
        <v>44645</v>
      </c>
      <c r="D1146" s="18" t="s">
        <v>8465</v>
      </c>
      <c r="E1146" s="10" t="s">
        <v>3310</v>
      </c>
      <c r="F1146" s="10" t="s">
        <v>3154</v>
      </c>
      <c r="G1146" s="59" t="s">
        <v>3356</v>
      </c>
      <c r="H1146" s="68" t="s">
        <v>1050</v>
      </c>
      <c r="K1146" s="60">
        <v>0.75</v>
      </c>
      <c r="L1146" s="18">
        <v>1145</v>
      </c>
      <c r="M1146" s="13">
        <v>44759</v>
      </c>
      <c r="N1146" s="21">
        <v>16.809999999999999</v>
      </c>
      <c r="O1146" s="18">
        <v>0</v>
      </c>
      <c r="P1146" s="18">
        <v>0</v>
      </c>
      <c r="Q1146" s="60">
        <v>0.8</v>
      </c>
      <c r="R1146" s="46" t="s">
        <v>12201</v>
      </c>
    </row>
    <row r="1147" spans="1:18" ht="195">
      <c r="A1147" s="33" t="s">
        <v>10265</v>
      </c>
      <c r="B1147" s="18" t="s">
        <v>7749</v>
      </c>
      <c r="C1147" s="13">
        <v>42232</v>
      </c>
      <c r="D1147" s="18" t="s">
        <v>8465</v>
      </c>
      <c r="E1147" s="10" t="s">
        <v>1794</v>
      </c>
      <c r="F1147" s="10" t="s">
        <v>1794</v>
      </c>
      <c r="G1147" s="59" t="s">
        <v>10286</v>
      </c>
      <c r="H1147" s="68" t="s">
        <v>78</v>
      </c>
      <c r="K1147" s="60">
        <v>0.6</v>
      </c>
      <c r="L1147" s="18">
        <v>1146</v>
      </c>
      <c r="M1147" s="13">
        <v>44768</v>
      </c>
      <c r="N1147" s="21">
        <v>23.98</v>
      </c>
      <c r="O1147" s="18">
        <v>0</v>
      </c>
      <c r="P1147" s="18">
        <v>0</v>
      </c>
      <c r="Q1147" s="60">
        <v>0.76</v>
      </c>
      <c r="R1147" s="46" t="s">
        <v>12204</v>
      </c>
    </row>
    <row r="1148" spans="1:18" ht="225">
      <c r="A1148" s="33" t="s">
        <v>11239</v>
      </c>
      <c r="B1148" s="18" t="s">
        <v>7749</v>
      </c>
      <c r="C1148" s="13">
        <v>42432</v>
      </c>
      <c r="D1148" s="18" t="s">
        <v>8465</v>
      </c>
      <c r="E1148" s="10" t="s">
        <v>10018</v>
      </c>
      <c r="F1148" s="10" t="s">
        <v>11255</v>
      </c>
      <c r="G1148" s="59" t="s">
        <v>11256</v>
      </c>
      <c r="H1148" s="68" t="s">
        <v>1057</v>
      </c>
      <c r="K1148" s="60">
        <v>0.4</v>
      </c>
      <c r="L1148" s="18">
        <v>1147</v>
      </c>
      <c r="M1148" s="13">
        <v>44773</v>
      </c>
      <c r="N1148" s="21">
        <v>3.83</v>
      </c>
      <c r="O1148" s="18">
        <v>0</v>
      </c>
      <c r="P1148" s="18">
        <v>0</v>
      </c>
      <c r="R1148" s="46" t="s">
        <v>13110</v>
      </c>
    </row>
    <row r="1149" spans="1:18" ht="255">
      <c r="A1149" s="33" t="s">
        <v>2049</v>
      </c>
      <c r="B1149" s="18" t="s">
        <v>7747</v>
      </c>
      <c r="C1149" s="13">
        <v>37872</v>
      </c>
      <c r="D1149" s="18" t="s">
        <v>8465</v>
      </c>
      <c r="E1149" s="10" t="s">
        <v>86</v>
      </c>
      <c r="F1149" s="10" t="s">
        <v>12316</v>
      </c>
      <c r="G1149" s="59" t="s">
        <v>126</v>
      </c>
      <c r="H1149" s="68" t="s">
        <v>75</v>
      </c>
      <c r="K1149" s="60">
        <v>0.8</v>
      </c>
      <c r="L1149" s="18">
        <v>1148</v>
      </c>
      <c r="M1149" s="13">
        <v>44788</v>
      </c>
      <c r="N1149" s="21">
        <v>40.770000000000003</v>
      </c>
      <c r="O1149" s="18">
        <v>0</v>
      </c>
      <c r="P1149" s="18">
        <v>0</v>
      </c>
      <c r="Q1149" s="60">
        <v>0.88</v>
      </c>
      <c r="R1149" s="46" t="s">
        <v>12315</v>
      </c>
    </row>
    <row r="1150" spans="1:18" ht="195">
      <c r="A1150" s="33" t="s">
        <v>11240</v>
      </c>
      <c r="B1150" s="18" t="s">
        <v>7749</v>
      </c>
      <c r="C1150" s="13">
        <v>42775</v>
      </c>
      <c r="D1150" s="18" t="s">
        <v>8465</v>
      </c>
      <c r="E1150" s="10" t="s">
        <v>10018</v>
      </c>
      <c r="F1150" s="10" t="s">
        <v>11255</v>
      </c>
      <c r="G1150" s="59" t="s">
        <v>11256</v>
      </c>
      <c r="H1150" s="68" t="s">
        <v>1057</v>
      </c>
      <c r="K1150" s="60">
        <v>0.5</v>
      </c>
      <c r="L1150" s="18">
        <v>1149</v>
      </c>
      <c r="M1150" s="13">
        <v>44799</v>
      </c>
      <c r="N1150" s="21">
        <v>5.63</v>
      </c>
      <c r="O1150" s="18">
        <v>0</v>
      </c>
      <c r="P1150" s="18">
        <v>0</v>
      </c>
      <c r="R1150" s="46" t="s">
        <v>12344</v>
      </c>
    </row>
    <row r="1151" spans="1:18" ht="165">
      <c r="A1151" s="33" t="s">
        <v>1656</v>
      </c>
      <c r="B1151" s="18" t="s">
        <v>7800</v>
      </c>
      <c r="C1151" s="13">
        <v>44796</v>
      </c>
      <c r="D1151" s="18" t="s">
        <v>8465</v>
      </c>
      <c r="E1151" s="10" t="s">
        <v>1163</v>
      </c>
      <c r="F1151" s="10" t="s">
        <v>1655</v>
      </c>
      <c r="G1151" s="59" t="s">
        <v>1656</v>
      </c>
      <c r="H1151" s="68" t="s">
        <v>1168</v>
      </c>
      <c r="K1151" s="60">
        <v>0.5</v>
      </c>
      <c r="L1151" s="18">
        <v>1150</v>
      </c>
      <c r="M1151" s="13">
        <v>44803</v>
      </c>
      <c r="N1151" s="21">
        <v>12.25</v>
      </c>
      <c r="O1151" s="18">
        <v>0</v>
      </c>
      <c r="P1151" s="18">
        <v>0</v>
      </c>
      <c r="Q1151" s="60">
        <v>0.66</v>
      </c>
      <c r="R1151" s="46" t="s">
        <v>12383</v>
      </c>
    </row>
    <row r="1152" spans="1:18" ht="180">
      <c r="A1152" s="33" t="s">
        <v>11378</v>
      </c>
      <c r="B1152" s="18" t="s">
        <v>7800</v>
      </c>
      <c r="C1152" s="13">
        <v>44603</v>
      </c>
      <c r="D1152" s="18" t="s">
        <v>8465</v>
      </c>
      <c r="E1152" s="10" t="s">
        <v>10792</v>
      </c>
      <c r="F1152" s="10" t="s">
        <v>11379</v>
      </c>
      <c r="H1152" s="68" t="s">
        <v>9780</v>
      </c>
      <c r="K1152" s="60">
        <v>0.5</v>
      </c>
      <c r="L1152" s="18">
        <v>1151</v>
      </c>
      <c r="M1152" s="13">
        <v>44805</v>
      </c>
      <c r="N1152" s="21">
        <v>16.079999999999998</v>
      </c>
      <c r="O1152" s="18">
        <v>0</v>
      </c>
      <c r="P1152" s="18">
        <v>0</v>
      </c>
      <c r="Q1152" s="60">
        <v>0.81</v>
      </c>
      <c r="R1152" s="46" t="s">
        <v>12405</v>
      </c>
    </row>
    <row r="1153" spans="1:18" ht="210">
      <c r="A1153" s="33" t="s">
        <v>1646</v>
      </c>
      <c r="B1153" s="18" t="s">
        <v>7800</v>
      </c>
      <c r="C1153" s="13">
        <v>37151</v>
      </c>
      <c r="D1153" s="18" t="s">
        <v>8465</v>
      </c>
      <c r="E1153" s="10" t="s">
        <v>1342</v>
      </c>
      <c r="F1153" s="10" t="s">
        <v>1655</v>
      </c>
      <c r="G1153" s="59" t="s">
        <v>1646</v>
      </c>
      <c r="H1153" s="68" t="s">
        <v>1050</v>
      </c>
      <c r="K1153" s="60">
        <v>0.75</v>
      </c>
      <c r="L1153" s="18">
        <v>1152</v>
      </c>
      <c r="M1153" s="13">
        <v>44807</v>
      </c>
      <c r="N1153" s="21">
        <v>3.93</v>
      </c>
      <c r="O1153" s="18">
        <v>0</v>
      </c>
      <c r="P1153" s="18">
        <v>0</v>
      </c>
      <c r="Q1153" s="60">
        <v>0.78</v>
      </c>
      <c r="R1153" s="46" t="s">
        <v>12423</v>
      </c>
    </row>
    <row r="1154" spans="1:18" ht="165">
      <c r="A1154" s="33" t="s">
        <v>7978</v>
      </c>
      <c r="B1154" s="18" t="s">
        <v>7800</v>
      </c>
      <c r="C1154" s="13">
        <v>43676</v>
      </c>
      <c r="D1154" s="18" t="s">
        <v>8465</v>
      </c>
      <c r="E1154" s="10" t="s">
        <v>7979</v>
      </c>
      <c r="F1154" s="10" t="s">
        <v>7979</v>
      </c>
      <c r="H1154" s="68" t="s">
        <v>67</v>
      </c>
      <c r="K1154" s="60">
        <v>0.8</v>
      </c>
      <c r="L1154" s="18">
        <v>1153</v>
      </c>
      <c r="M1154" s="13">
        <v>44813</v>
      </c>
      <c r="N1154" s="21">
        <v>1.98</v>
      </c>
      <c r="O1154" s="18">
        <v>1</v>
      </c>
      <c r="P1154" s="18">
        <v>0</v>
      </c>
      <c r="Q1154" s="60">
        <v>0.78</v>
      </c>
      <c r="R1154" s="46" t="s">
        <v>12485</v>
      </c>
    </row>
    <row r="1155" spans="1:18" ht="165">
      <c r="A1155" s="33" t="s">
        <v>12486</v>
      </c>
      <c r="B1155" s="18" t="s">
        <v>7800</v>
      </c>
      <c r="C1155" s="13">
        <v>44621</v>
      </c>
      <c r="D1155" s="18" t="s">
        <v>8465</v>
      </c>
      <c r="E1155" s="10" t="s">
        <v>4070</v>
      </c>
      <c r="F1155" s="10" t="s">
        <v>4070</v>
      </c>
      <c r="H1155" s="68" t="s">
        <v>67</v>
      </c>
      <c r="K1155" s="60">
        <v>0.6</v>
      </c>
      <c r="L1155" s="18">
        <v>1154</v>
      </c>
      <c r="M1155" s="13">
        <v>44813</v>
      </c>
      <c r="N1155" s="21">
        <v>0.5</v>
      </c>
      <c r="O1155" s="18">
        <v>1</v>
      </c>
      <c r="P1155" s="18">
        <v>0</v>
      </c>
      <c r="R1155" s="46" t="s">
        <v>12487</v>
      </c>
    </row>
    <row r="1156" spans="1:18" ht="330">
      <c r="A1156" s="33" t="s">
        <v>12237</v>
      </c>
      <c r="B1156" s="18" t="s">
        <v>7800</v>
      </c>
      <c r="C1156" s="13">
        <v>44406</v>
      </c>
      <c r="D1156" s="18" t="s">
        <v>8465</v>
      </c>
      <c r="E1156" s="10" t="s">
        <v>10742</v>
      </c>
      <c r="F1156" s="10" t="s">
        <v>12238</v>
      </c>
      <c r="H1156" s="68" t="s">
        <v>1054</v>
      </c>
      <c r="K1156" s="60">
        <v>0.6</v>
      </c>
      <c r="L1156" s="18">
        <v>1155</v>
      </c>
      <c r="M1156" s="13">
        <v>44815</v>
      </c>
      <c r="N1156" s="21">
        <v>9.08</v>
      </c>
      <c r="O1156" s="18">
        <v>0</v>
      </c>
      <c r="P1156" s="18">
        <v>0</v>
      </c>
      <c r="Q1156" s="60">
        <v>0.74</v>
      </c>
      <c r="R1156" s="46" t="s">
        <v>12491</v>
      </c>
    </row>
    <row r="1157" spans="1:18" ht="240">
      <c r="A1157" s="33" t="s">
        <v>11658</v>
      </c>
      <c r="B1157" s="18" t="s">
        <v>7744</v>
      </c>
      <c r="C1157" s="13">
        <v>44771</v>
      </c>
      <c r="D1157" s="18" t="s">
        <v>8465</v>
      </c>
      <c r="E1157" s="10" t="s">
        <v>86</v>
      </c>
      <c r="F1157" s="10" t="s">
        <v>1145</v>
      </c>
      <c r="G1157" s="59" t="s">
        <v>1146</v>
      </c>
      <c r="H1157" s="68" t="s">
        <v>171</v>
      </c>
      <c r="K1157" s="60">
        <v>1</v>
      </c>
      <c r="L1157" s="18">
        <v>1156</v>
      </c>
      <c r="M1157" s="13">
        <v>44819</v>
      </c>
      <c r="N1157" s="21">
        <v>85.47</v>
      </c>
      <c r="O1157" s="18">
        <v>0</v>
      </c>
      <c r="P1157" s="18">
        <v>0</v>
      </c>
      <c r="Q1157" s="60">
        <v>0.89</v>
      </c>
      <c r="R1157" s="46" t="s">
        <v>12522</v>
      </c>
    </row>
    <row r="1158" spans="1:18" ht="225">
      <c r="A1158" s="33" t="s">
        <v>8853</v>
      </c>
      <c r="B1158" s="18" t="s">
        <v>7800</v>
      </c>
      <c r="C1158" s="13">
        <v>43537</v>
      </c>
      <c r="D1158" s="18" t="s">
        <v>8465</v>
      </c>
      <c r="E1158" s="10" t="s">
        <v>3802</v>
      </c>
      <c r="F1158" s="10" t="s">
        <v>3802</v>
      </c>
      <c r="H1158" s="68" t="s">
        <v>78</v>
      </c>
      <c r="K1158" s="60">
        <v>0.75</v>
      </c>
      <c r="L1158" s="18">
        <v>1157</v>
      </c>
      <c r="M1158" s="13">
        <v>44820</v>
      </c>
      <c r="N1158" s="21">
        <v>8.33</v>
      </c>
      <c r="O1158" s="18">
        <v>1</v>
      </c>
      <c r="P1158" s="18">
        <v>0</v>
      </c>
      <c r="Q1158" s="60">
        <v>0.87</v>
      </c>
      <c r="R1158" s="46" t="s">
        <v>12529</v>
      </c>
    </row>
    <row r="1159" spans="1:18" ht="195">
      <c r="A1159" s="33" t="s">
        <v>12524</v>
      </c>
      <c r="B1159" s="18" t="s">
        <v>7800</v>
      </c>
      <c r="C1159" s="13">
        <v>44679</v>
      </c>
      <c r="D1159" s="18" t="s">
        <v>8465</v>
      </c>
      <c r="E1159" s="10" t="s">
        <v>12527</v>
      </c>
      <c r="F1159" s="10" t="s">
        <v>12527</v>
      </c>
      <c r="H1159" s="68" t="s">
        <v>78</v>
      </c>
      <c r="K1159" s="60">
        <v>0.6</v>
      </c>
      <c r="L1159" s="18">
        <v>1158</v>
      </c>
      <c r="M1159" s="13">
        <v>44821</v>
      </c>
      <c r="N1159" s="21">
        <v>1.8</v>
      </c>
      <c r="O1159" s="18">
        <v>1</v>
      </c>
      <c r="P1159" s="18">
        <v>0</v>
      </c>
      <c r="R1159" s="46" t="s">
        <v>12530</v>
      </c>
    </row>
    <row r="1160" spans="1:18" ht="195">
      <c r="A1160" s="33" t="s">
        <v>4794</v>
      </c>
      <c r="B1160" s="18" t="s">
        <v>7800</v>
      </c>
      <c r="C1160" s="13">
        <v>37718</v>
      </c>
      <c r="D1160" s="18" t="s">
        <v>8465</v>
      </c>
      <c r="E1160" s="10" t="s">
        <v>1342</v>
      </c>
      <c r="F1160" s="10" t="s">
        <v>1655</v>
      </c>
      <c r="G1160" s="59" t="s">
        <v>1646</v>
      </c>
      <c r="H1160" s="68" t="s">
        <v>1050</v>
      </c>
      <c r="K1160" s="60">
        <v>0.6</v>
      </c>
      <c r="L1160" s="18">
        <v>1159</v>
      </c>
      <c r="M1160" s="13">
        <v>44822</v>
      </c>
      <c r="N1160" s="21">
        <v>4.03</v>
      </c>
      <c r="O1160" s="18">
        <v>0</v>
      </c>
      <c r="P1160" s="18">
        <v>0</v>
      </c>
      <c r="Q1160" s="60">
        <v>0.65</v>
      </c>
      <c r="R1160" s="46" t="s">
        <v>12534</v>
      </c>
    </row>
    <row r="1161" spans="1:18" ht="150">
      <c r="A1161" s="33" t="s">
        <v>12500</v>
      </c>
      <c r="B1161" s="18" t="s">
        <v>7800</v>
      </c>
      <c r="C1161" s="13">
        <v>42214</v>
      </c>
      <c r="D1161" s="18" t="s">
        <v>8465</v>
      </c>
      <c r="E1161" s="10" t="s">
        <v>6438</v>
      </c>
      <c r="F1161" s="10" t="s">
        <v>6438</v>
      </c>
      <c r="G1161" s="59" t="s">
        <v>6438</v>
      </c>
      <c r="H1161" s="68" t="s">
        <v>1054</v>
      </c>
      <c r="K1161" s="60">
        <v>0.5</v>
      </c>
      <c r="L1161" s="18">
        <v>1160</v>
      </c>
      <c r="M1161" s="13">
        <v>44822</v>
      </c>
      <c r="N1161" s="21">
        <v>3.95</v>
      </c>
      <c r="O1161" s="18">
        <v>1</v>
      </c>
      <c r="P1161" s="18">
        <v>0</v>
      </c>
      <c r="R1161" s="46" t="s">
        <v>12535</v>
      </c>
    </row>
    <row r="1162" spans="1:18" ht="285">
      <c r="A1162" s="33" t="s">
        <v>12498</v>
      </c>
      <c r="B1162" s="18" t="s">
        <v>7800</v>
      </c>
      <c r="C1162" s="13">
        <v>44462</v>
      </c>
      <c r="D1162" s="18" t="s">
        <v>8465</v>
      </c>
      <c r="E1162" s="10" t="s">
        <v>3544</v>
      </c>
      <c r="F1162" s="10" t="s">
        <v>12499</v>
      </c>
      <c r="H1162" s="68" t="s">
        <v>80</v>
      </c>
      <c r="K1162" s="60">
        <v>0.75</v>
      </c>
      <c r="L1162" s="18">
        <v>1161</v>
      </c>
      <c r="M1162" s="13">
        <v>44825</v>
      </c>
      <c r="N1162" s="21">
        <v>10.5</v>
      </c>
      <c r="O1162" s="18">
        <v>0</v>
      </c>
      <c r="P1162" s="18">
        <v>0</v>
      </c>
      <c r="Q1162" s="60">
        <v>0.76</v>
      </c>
      <c r="R1162" s="46" t="s">
        <v>12646</v>
      </c>
    </row>
    <row r="1163" spans="1:18" ht="120">
      <c r="A1163" s="33" t="s">
        <v>3068</v>
      </c>
      <c r="B1163" s="18" t="s">
        <v>7800</v>
      </c>
      <c r="C1163" s="13">
        <v>43013</v>
      </c>
      <c r="D1163" s="18" t="s">
        <v>8465</v>
      </c>
      <c r="E1163" s="10" t="s">
        <v>9249</v>
      </c>
      <c r="F1163" s="10" t="s">
        <v>3070</v>
      </c>
      <c r="H1163" s="68" t="s">
        <v>1040</v>
      </c>
      <c r="K1163" s="60">
        <v>0.8</v>
      </c>
      <c r="L1163" s="18">
        <v>1162</v>
      </c>
      <c r="M1163" s="13">
        <v>44827</v>
      </c>
      <c r="N1163" s="21">
        <v>8.5</v>
      </c>
      <c r="O1163" s="18">
        <v>1</v>
      </c>
      <c r="P1163" s="18">
        <v>0</v>
      </c>
      <c r="Q1163" s="60">
        <v>0.78</v>
      </c>
      <c r="R1163" s="46" t="s">
        <v>12674</v>
      </c>
    </row>
    <row r="1164" spans="1:18" ht="285">
      <c r="A1164" s="33" t="s">
        <v>12477</v>
      </c>
      <c r="B1164" s="18" t="s">
        <v>7800</v>
      </c>
      <c r="C1164" s="13">
        <v>44775</v>
      </c>
      <c r="D1164" s="18" t="s">
        <v>8465</v>
      </c>
      <c r="E1164" s="10" t="s">
        <v>12520</v>
      </c>
      <c r="F1164" s="10" t="s">
        <v>12521</v>
      </c>
      <c r="H1164" s="68" t="s">
        <v>1040</v>
      </c>
      <c r="K1164" s="60">
        <v>0.5</v>
      </c>
      <c r="L1164" s="18">
        <v>1163</v>
      </c>
      <c r="M1164" s="13">
        <v>44829</v>
      </c>
      <c r="N1164" s="21">
        <v>5.55</v>
      </c>
      <c r="O1164" s="18">
        <v>1</v>
      </c>
      <c r="P1164" s="18">
        <v>0</v>
      </c>
      <c r="Q1164" s="60">
        <v>0.76</v>
      </c>
      <c r="R1164" s="46" t="s">
        <v>12692</v>
      </c>
    </row>
    <row r="1165" spans="1:18" ht="180">
      <c r="A1165" s="33" t="s">
        <v>6113</v>
      </c>
      <c r="B1165" s="18" t="s">
        <v>7760</v>
      </c>
      <c r="C1165" s="13">
        <v>41891</v>
      </c>
      <c r="D1165" s="18" t="s">
        <v>8465</v>
      </c>
      <c r="E1165" s="10" t="s">
        <v>1273</v>
      </c>
      <c r="F1165" s="10" t="s">
        <v>6114</v>
      </c>
      <c r="G1165" s="59" t="s">
        <v>6113</v>
      </c>
      <c r="H1165" s="68" t="s">
        <v>1050</v>
      </c>
      <c r="K1165" s="60">
        <v>0.7</v>
      </c>
      <c r="L1165" s="18">
        <v>1164</v>
      </c>
      <c r="M1165" s="13">
        <v>44829</v>
      </c>
      <c r="N1165" s="21">
        <v>7</v>
      </c>
      <c r="O1165" s="18">
        <v>0</v>
      </c>
      <c r="P1165" s="18">
        <v>0</v>
      </c>
      <c r="Q1165" s="60">
        <v>0.77</v>
      </c>
      <c r="R1165" s="46" t="s">
        <v>12693</v>
      </c>
    </row>
    <row r="1166" spans="1:18" ht="165">
      <c r="A1166" s="33" t="s">
        <v>11957</v>
      </c>
      <c r="B1166" s="18" t="s">
        <v>7800</v>
      </c>
      <c r="C1166" s="13">
        <v>44728</v>
      </c>
      <c r="D1166" s="18" t="s">
        <v>8465</v>
      </c>
      <c r="E1166" s="10" t="s">
        <v>12675</v>
      </c>
      <c r="F1166" s="10" t="s">
        <v>12694</v>
      </c>
      <c r="G1166" s="59" t="s">
        <v>215</v>
      </c>
      <c r="H1166" s="68" t="s">
        <v>153</v>
      </c>
      <c r="K1166" s="60">
        <v>0.8</v>
      </c>
      <c r="L1166" s="18">
        <v>1165</v>
      </c>
      <c r="M1166" s="13">
        <v>44830</v>
      </c>
      <c r="N1166" s="21">
        <v>1.92</v>
      </c>
      <c r="O1166" s="18">
        <v>1</v>
      </c>
      <c r="P1166" s="18">
        <v>0</v>
      </c>
      <c r="Q1166" s="60">
        <v>0.84</v>
      </c>
      <c r="R1166" s="46" t="s">
        <v>12695</v>
      </c>
    </row>
    <row r="1167" spans="1:18" ht="165">
      <c r="A1167" s="33" t="s">
        <v>12254</v>
      </c>
      <c r="B1167" s="18" t="s">
        <v>9431</v>
      </c>
      <c r="C1167" s="13">
        <v>44761</v>
      </c>
      <c r="D1167" s="18" t="s">
        <v>8465</v>
      </c>
      <c r="E1167" s="10" t="s">
        <v>7300</v>
      </c>
      <c r="F1167" s="10" t="s">
        <v>12648</v>
      </c>
      <c r="H1167" s="68" t="s">
        <v>80</v>
      </c>
      <c r="K1167" s="60">
        <v>0.8</v>
      </c>
      <c r="L1167" s="18">
        <v>1166</v>
      </c>
      <c r="M1167" s="13">
        <v>44831</v>
      </c>
      <c r="N1167" s="21">
        <v>4</v>
      </c>
      <c r="O1167" s="18">
        <v>0</v>
      </c>
      <c r="P1167" s="18">
        <v>0</v>
      </c>
      <c r="Q1167" s="60">
        <v>0.83</v>
      </c>
      <c r="R1167" s="46" t="s">
        <v>12707</v>
      </c>
    </row>
    <row r="1168" spans="1:18" ht="195">
      <c r="A1168" s="33" t="s">
        <v>9930</v>
      </c>
      <c r="B1168" s="18" t="s">
        <v>9431</v>
      </c>
      <c r="C1168" s="13">
        <v>44316</v>
      </c>
      <c r="D1168" s="18" t="s">
        <v>8465</v>
      </c>
      <c r="E1168" s="10" t="s">
        <v>6107</v>
      </c>
      <c r="F1168" s="10" t="s">
        <v>4535</v>
      </c>
      <c r="H1168" s="68" t="s">
        <v>1518</v>
      </c>
      <c r="K1168" s="60">
        <v>0.9</v>
      </c>
      <c r="L1168" s="18">
        <v>1167</v>
      </c>
      <c r="M1168" s="13">
        <v>44837</v>
      </c>
      <c r="N1168" s="21">
        <v>10.06</v>
      </c>
      <c r="O1168" s="18">
        <v>0</v>
      </c>
      <c r="P1168" s="18">
        <v>0</v>
      </c>
      <c r="Q1168" s="60">
        <v>0.86</v>
      </c>
      <c r="R1168" s="46" t="s">
        <v>12715</v>
      </c>
    </row>
    <row r="1169" spans="1:18" ht="270">
      <c r="A1169" s="33" t="s">
        <v>4754</v>
      </c>
      <c r="B1169" s="18" t="s">
        <v>7800</v>
      </c>
      <c r="C1169" s="13">
        <v>38461</v>
      </c>
      <c r="D1169" s="18" t="s">
        <v>8465</v>
      </c>
      <c r="E1169" s="10" t="s">
        <v>1551</v>
      </c>
      <c r="F1169" s="10" t="s">
        <v>3370</v>
      </c>
      <c r="G1169" s="59" t="s">
        <v>4754</v>
      </c>
      <c r="H1169" s="68" t="s">
        <v>1040</v>
      </c>
      <c r="K1169" s="60">
        <v>0.6</v>
      </c>
      <c r="L1169" s="18">
        <v>1168</v>
      </c>
      <c r="M1169" s="13">
        <v>44839</v>
      </c>
      <c r="N1169" s="21">
        <v>9.43</v>
      </c>
      <c r="O1169" s="18">
        <v>1</v>
      </c>
      <c r="P1169" s="18">
        <v>0</v>
      </c>
      <c r="Q1169" s="60">
        <v>0.88</v>
      </c>
      <c r="R1169" s="46" t="s">
        <v>12782</v>
      </c>
    </row>
    <row r="1170" spans="1:18" ht="120">
      <c r="A1170" s="33" t="s">
        <v>11499</v>
      </c>
      <c r="B1170" s="18" t="s">
        <v>7800</v>
      </c>
      <c r="C1170" s="13">
        <v>44628</v>
      </c>
      <c r="D1170" s="18" t="s">
        <v>8465</v>
      </c>
      <c r="E1170" s="10" t="s">
        <v>1690</v>
      </c>
      <c r="F1170" s="10" t="s">
        <v>5306</v>
      </c>
      <c r="G1170" s="59" t="s">
        <v>11162</v>
      </c>
      <c r="H1170" s="68" t="s">
        <v>1057</v>
      </c>
      <c r="K1170" s="60">
        <v>0.4</v>
      </c>
      <c r="L1170" s="18">
        <v>1169</v>
      </c>
      <c r="M1170" s="13">
        <v>44840</v>
      </c>
      <c r="N1170" s="21">
        <v>0.52</v>
      </c>
      <c r="O1170" s="18">
        <v>1</v>
      </c>
      <c r="P1170" s="18">
        <v>0</v>
      </c>
      <c r="R1170" s="46" t="s">
        <v>12783</v>
      </c>
    </row>
    <row r="1171" spans="1:18" ht="345">
      <c r="A1171" s="33" t="s">
        <v>11284</v>
      </c>
      <c r="B1171" s="18" t="s">
        <v>7744</v>
      </c>
      <c r="C1171" s="13">
        <v>44764</v>
      </c>
      <c r="D1171" s="18" t="s">
        <v>8465</v>
      </c>
      <c r="E1171" s="10" t="s">
        <v>86</v>
      </c>
      <c r="F1171" s="10" t="s">
        <v>1082</v>
      </c>
      <c r="G1171" s="59" t="s">
        <v>11284</v>
      </c>
      <c r="H1171" s="68" t="s">
        <v>149</v>
      </c>
      <c r="K1171" s="60">
        <v>0.7</v>
      </c>
      <c r="L1171" s="18">
        <v>1170</v>
      </c>
      <c r="M1171" s="13">
        <v>44840</v>
      </c>
      <c r="N1171" s="21">
        <v>22.05</v>
      </c>
      <c r="O1171" s="18">
        <v>0</v>
      </c>
      <c r="P1171" s="18">
        <v>0</v>
      </c>
      <c r="Q1171" s="60">
        <v>0.82</v>
      </c>
      <c r="R1171" s="46" t="s">
        <v>12793</v>
      </c>
    </row>
    <row r="1172" spans="1:18" ht="315">
      <c r="A1172" s="33" t="s">
        <v>11162</v>
      </c>
      <c r="B1172" s="18" t="s">
        <v>9431</v>
      </c>
      <c r="C1172" s="13">
        <v>44645</v>
      </c>
      <c r="D1172" s="18" t="s">
        <v>8465</v>
      </c>
      <c r="E1172" s="10" t="s">
        <v>1690</v>
      </c>
      <c r="F1172" s="10" t="s">
        <v>5306</v>
      </c>
      <c r="G1172" s="59" t="s">
        <v>11162</v>
      </c>
      <c r="H1172" s="68" t="s">
        <v>80</v>
      </c>
      <c r="K1172" s="60">
        <v>0.7</v>
      </c>
      <c r="L1172" s="18">
        <v>1171</v>
      </c>
      <c r="M1172" s="13">
        <v>44842</v>
      </c>
      <c r="N1172" s="21">
        <v>10.02</v>
      </c>
      <c r="O1172" s="18">
        <v>0</v>
      </c>
      <c r="P1172" s="18">
        <v>0</v>
      </c>
      <c r="Q1172" s="60">
        <v>0.75</v>
      </c>
      <c r="R1172" s="46" t="s">
        <v>12799</v>
      </c>
    </row>
    <row r="1173" spans="1:18" ht="120">
      <c r="A1173" s="33" t="s">
        <v>11662</v>
      </c>
      <c r="B1173" s="18" t="s">
        <v>7800</v>
      </c>
      <c r="C1173" s="13">
        <v>44456</v>
      </c>
      <c r="D1173" s="18" t="s">
        <v>8465</v>
      </c>
      <c r="E1173" s="10" t="s">
        <v>11663</v>
      </c>
      <c r="F1173" s="10" t="s">
        <v>11663</v>
      </c>
      <c r="H1173" s="68" t="s">
        <v>67</v>
      </c>
      <c r="K1173" s="60">
        <v>0.8</v>
      </c>
      <c r="L1173" s="18">
        <v>1172</v>
      </c>
      <c r="M1173" s="13">
        <v>44843</v>
      </c>
      <c r="N1173" s="21">
        <v>2.0699999999999998</v>
      </c>
      <c r="O1173" s="18">
        <v>1</v>
      </c>
      <c r="P1173" s="18">
        <v>0</v>
      </c>
      <c r="Q1173" s="60">
        <v>0.79</v>
      </c>
      <c r="R1173" s="46" t="s">
        <v>12800</v>
      </c>
    </row>
    <row r="1174" spans="1:18" ht="285">
      <c r="A1174" s="33" t="s">
        <v>12794</v>
      </c>
      <c r="B1174" s="18" t="s">
        <v>7744</v>
      </c>
      <c r="C1174" s="13">
        <v>44826</v>
      </c>
      <c r="D1174" s="18" t="s">
        <v>8465</v>
      </c>
      <c r="E1174" s="10" t="s">
        <v>1082</v>
      </c>
      <c r="F1174" s="10" t="s">
        <v>9775</v>
      </c>
      <c r="H1174" s="68" t="s">
        <v>75</v>
      </c>
      <c r="K1174" s="60">
        <v>0.5</v>
      </c>
      <c r="L1174" s="18">
        <v>1173</v>
      </c>
      <c r="M1174" s="13">
        <v>44850</v>
      </c>
      <c r="N1174" s="21">
        <v>15</v>
      </c>
      <c r="O1174" s="18">
        <v>0</v>
      </c>
      <c r="P1174" s="18">
        <v>0</v>
      </c>
      <c r="Q1174" s="60">
        <v>0.74</v>
      </c>
      <c r="R1174" s="46" t="s">
        <v>12819</v>
      </c>
    </row>
    <row r="1175" spans="1:18" ht="165">
      <c r="A1175" s="33" t="s">
        <v>10422</v>
      </c>
      <c r="B1175" s="18" t="s">
        <v>7783</v>
      </c>
      <c r="C1175" s="13">
        <v>43818</v>
      </c>
      <c r="D1175" s="18" t="s">
        <v>8465</v>
      </c>
      <c r="E1175" s="10" t="s">
        <v>10438</v>
      </c>
      <c r="F1175" s="10" t="s">
        <v>10438</v>
      </c>
      <c r="G1175" s="59" t="s">
        <v>4305</v>
      </c>
      <c r="H1175" s="68" t="s">
        <v>78</v>
      </c>
      <c r="K1175" s="60">
        <v>0.75</v>
      </c>
      <c r="L1175" s="18">
        <v>1174</v>
      </c>
      <c r="M1175" s="13">
        <v>44851</v>
      </c>
      <c r="N1175" s="21">
        <v>1.78</v>
      </c>
      <c r="O1175" s="18">
        <v>0</v>
      </c>
      <c r="P1175" s="18">
        <v>0</v>
      </c>
      <c r="Q1175" s="60">
        <v>0.8</v>
      </c>
      <c r="R1175" s="46" t="s">
        <v>12820</v>
      </c>
    </row>
    <row r="1176" spans="1:18" ht="270">
      <c r="A1176" s="33" t="s">
        <v>9393</v>
      </c>
      <c r="B1176" s="18" t="s">
        <v>7800</v>
      </c>
      <c r="C1176" s="13">
        <v>43613</v>
      </c>
      <c r="D1176" s="18" t="s">
        <v>8465</v>
      </c>
      <c r="E1176" s="10" t="s">
        <v>9394</v>
      </c>
      <c r="F1176" s="10" t="s">
        <v>3048</v>
      </c>
      <c r="G1176" s="59" t="s">
        <v>4283</v>
      </c>
      <c r="H1176" s="68" t="s">
        <v>1061</v>
      </c>
      <c r="K1176" s="60">
        <v>0.4</v>
      </c>
      <c r="L1176" s="18">
        <v>1175</v>
      </c>
      <c r="M1176" s="13">
        <v>44853</v>
      </c>
      <c r="N1176" s="21">
        <v>3.33</v>
      </c>
      <c r="O1176" s="18">
        <v>0</v>
      </c>
      <c r="P1176" s="18">
        <v>0</v>
      </c>
      <c r="Q1176" s="60">
        <v>0.7</v>
      </c>
      <c r="R1176" s="46" t="s">
        <v>12823</v>
      </c>
    </row>
    <row r="1177" spans="1:18" ht="150">
      <c r="A1177" s="33" t="s">
        <v>12273</v>
      </c>
      <c r="B1177" s="18" t="s">
        <v>9431</v>
      </c>
      <c r="C1177" s="13">
        <v>44649</v>
      </c>
      <c r="D1177" s="18" t="s">
        <v>8465</v>
      </c>
      <c r="E1177" s="10" t="s">
        <v>12317</v>
      </c>
      <c r="F1177" s="10" t="s">
        <v>12318</v>
      </c>
      <c r="H1177" s="68" t="s">
        <v>1061</v>
      </c>
      <c r="K1177" s="60">
        <v>0.3</v>
      </c>
      <c r="L1177" s="18">
        <v>1176</v>
      </c>
      <c r="M1177" s="13">
        <v>44856</v>
      </c>
      <c r="N1177" s="21">
        <v>1</v>
      </c>
      <c r="O1177" s="18">
        <v>0</v>
      </c>
      <c r="P1177" s="18">
        <v>0</v>
      </c>
      <c r="Q1177" s="60">
        <v>0.64</v>
      </c>
      <c r="R1177" s="46" t="s">
        <v>12829</v>
      </c>
    </row>
    <row r="1178" spans="1:18" ht="210">
      <c r="A1178" s="33" t="s">
        <v>12627</v>
      </c>
      <c r="B1178" s="18" t="s">
        <v>7800</v>
      </c>
      <c r="C1178" s="13">
        <v>44854</v>
      </c>
      <c r="D1178" s="18" t="s">
        <v>8465</v>
      </c>
      <c r="E1178" s="10" t="s">
        <v>12636</v>
      </c>
      <c r="F1178" s="10" t="s">
        <v>12636</v>
      </c>
      <c r="G1178" s="59" t="s">
        <v>12627</v>
      </c>
      <c r="H1178" s="68" t="s">
        <v>1518</v>
      </c>
      <c r="K1178" s="60">
        <v>0.8</v>
      </c>
      <c r="L1178" s="18">
        <v>1177</v>
      </c>
      <c r="M1178" s="13">
        <v>44857</v>
      </c>
      <c r="N1178" s="21">
        <v>28.88</v>
      </c>
      <c r="O1178" s="18">
        <v>1</v>
      </c>
      <c r="P1178" s="18">
        <v>0</v>
      </c>
      <c r="R1178" s="46" t="s">
        <v>12832</v>
      </c>
    </row>
    <row r="1179" spans="1:18" ht="409.5">
      <c r="A1179" s="33" t="s">
        <v>12422</v>
      </c>
      <c r="B1179" s="18" t="s">
        <v>7744</v>
      </c>
      <c r="C1179" s="13">
        <v>44817</v>
      </c>
      <c r="D1179" s="18" t="s">
        <v>8465</v>
      </c>
      <c r="E1179" s="10" t="s">
        <v>1082</v>
      </c>
      <c r="F1179" s="10" t="s">
        <v>10790</v>
      </c>
      <c r="G1179" s="59" t="s">
        <v>11138</v>
      </c>
      <c r="H1179" s="68" t="s">
        <v>149</v>
      </c>
      <c r="K1179" s="60">
        <v>0.5</v>
      </c>
      <c r="L1179" s="18">
        <v>1178</v>
      </c>
      <c r="M1179" s="13">
        <v>44862</v>
      </c>
      <c r="N1179" s="21">
        <v>10.5</v>
      </c>
      <c r="O1179" s="18">
        <v>0</v>
      </c>
      <c r="P1179" s="18">
        <v>0</v>
      </c>
      <c r="Q1179" s="60">
        <v>0.76</v>
      </c>
      <c r="R1179" s="46" t="s">
        <v>12857</v>
      </c>
    </row>
    <row r="1180" spans="1:18" ht="180">
      <c r="A1180" s="33" t="s">
        <v>12822</v>
      </c>
      <c r="B1180" s="18" t="s">
        <v>7800</v>
      </c>
      <c r="C1180" s="13">
        <v>44862</v>
      </c>
      <c r="D1180" s="18" t="s">
        <v>8465</v>
      </c>
      <c r="E1180" s="10" t="s">
        <v>73</v>
      </c>
      <c r="F1180" s="10" t="s">
        <v>73</v>
      </c>
      <c r="G1180" s="59" t="s">
        <v>12861</v>
      </c>
      <c r="H1180" s="68" t="s">
        <v>1061</v>
      </c>
      <c r="K1180" s="60">
        <v>0.7</v>
      </c>
      <c r="L1180" s="18">
        <v>1179</v>
      </c>
      <c r="M1180" s="13">
        <v>44864</v>
      </c>
      <c r="N1180" s="21">
        <v>2.72</v>
      </c>
      <c r="O1180" s="18">
        <v>0</v>
      </c>
      <c r="P1180" s="18">
        <v>0</v>
      </c>
      <c r="Q1180" s="60">
        <v>0.67</v>
      </c>
      <c r="R1180" s="46" t="s">
        <v>12862</v>
      </c>
    </row>
    <row r="1181" spans="1:18" ht="210">
      <c r="A1181" s="33" t="s">
        <v>12390</v>
      </c>
      <c r="B1181" s="18" t="s">
        <v>7759</v>
      </c>
      <c r="C1181" s="13">
        <v>40637</v>
      </c>
      <c r="D1181" s="18" t="s">
        <v>8465</v>
      </c>
      <c r="E1181" s="10" t="s">
        <v>1342</v>
      </c>
      <c r="F1181" s="10" t="s">
        <v>1342</v>
      </c>
      <c r="G1181" s="59" t="s">
        <v>1646</v>
      </c>
      <c r="H1181" s="68" t="s">
        <v>1054</v>
      </c>
      <c r="K1181" s="60">
        <v>0.2</v>
      </c>
      <c r="L1181" s="18">
        <v>1180</v>
      </c>
      <c r="M1181" s="13">
        <v>44864</v>
      </c>
      <c r="N1181" s="21">
        <v>1.07</v>
      </c>
      <c r="O1181" s="18">
        <v>0</v>
      </c>
      <c r="P1181" s="18">
        <v>1</v>
      </c>
      <c r="Q1181" s="60">
        <v>0.49</v>
      </c>
      <c r="R1181" s="46" t="s">
        <v>12863</v>
      </c>
    </row>
    <row r="1182" spans="1:18" ht="285">
      <c r="A1182" s="33" t="s">
        <v>3646</v>
      </c>
      <c r="B1182" s="18" t="s">
        <v>7800</v>
      </c>
      <c r="C1182" s="13">
        <v>40778</v>
      </c>
      <c r="D1182" s="18" t="s">
        <v>8465</v>
      </c>
      <c r="E1182" s="10" t="s">
        <v>1082</v>
      </c>
      <c r="F1182" s="10" t="s">
        <v>3647</v>
      </c>
      <c r="G1182" s="59" t="s">
        <v>3645</v>
      </c>
      <c r="H1182" s="68" t="s">
        <v>245</v>
      </c>
      <c r="K1182" s="60">
        <v>0.8</v>
      </c>
      <c r="L1182" s="18">
        <v>1181</v>
      </c>
      <c r="M1182" s="13">
        <v>44868</v>
      </c>
      <c r="N1182" s="21">
        <v>18</v>
      </c>
      <c r="O1182" s="18">
        <v>0</v>
      </c>
      <c r="P1182" s="18">
        <v>0</v>
      </c>
      <c r="Q1182" s="60">
        <v>0.9</v>
      </c>
      <c r="R1182" s="46" t="s">
        <v>12886</v>
      </c>
    </row>
    <row r="1183" spans="1:18" ht="255">
      <c r="A1183" s="33" t="s">
        <v>12887</v>
      </c>
      <c r="B1183" s="18" t="s">
        <v>7800</v>
      </c>
      <c r="C1183" s="13">
        <v>40834</v>
      </c>
      <c r="D1183" s="18" t="s">
        <v>8465</v>
      </c>
      <c r="E1183" s="10" t="s">
        <v>1082</v>
      </c>
      <c r="F1183" s="10" t="s">
        <v>3647</v>
      </c>
      <c r="G1183" s="59" t="s">
        <v>3645</v>
      </c>
      <c r="H1183" s="68" t="s">
        <v>245</v>
      </c>
      <c r="K1183" s="60">
        <v>0.7</v>
      </c>
      <c r="L1183" s="18">
        <v>1182</v>
      </c>
      <c r="M1183" s="13">
        <v>44869</v>
      </c>
      <c r="N1183" s="21">
        <v>3.33</v>
      </c>
      <c r="O1183" s="18">
        <v>0</v>
      </c>
      <c r="P1183" s="18">
        <v>0</v>
      </c>
      <c r="Q1183" s="60">
        <v>0.73</v>
      </c>
      <c r="R1183" s="46" t="s">
        <v>12890</v>
      </c>
    </row>
    <row r="1184" spans="1:18" ht="300">
      <c r="A1184" s="33" t="s">
        <v>9455</v>
      </c>
      <c r="B1184" s="18" t="s">
        <v>8555</v>
      </c>
      <c r="C1184" s="13">
        <v>44013</v>
      </c>
      <c r="D1184" s="18" t="s">
        <v>8465</v>
      </c>
      <c r="E1184" s="10" t="s">
        <v>4566</v>
      </c>
      <c r="F1184" s="10" t="s">
        <v>4566</v>
      </c>
      <c r="G1184" s="59" t="s">
        <v>1727</v>
      </c>
      <c r="H1184" s="68" t="s">
        <v>151</v>
      </c>
      <c r="K1184" s="60">
        <v>0.7</v>
      </c>
      <c r="L1184" s="18">
        <v>1183</v>
      </c>
      <c r="M1184" s="13">
        <v>44878</v>
      </c>
      <c r="N1184" s="21">
        <v>16.13</v>
      </c>
      <c r="O1184" s="18">
        <v>0</v>
      </c>
      <c r="P1184" s="18">
        <v>0</v>
      </c>
      <c r="R1184" s="46" t="s">
        <v>12947</v>
      </c>
    </row>
    <row r="1185" spans="1:18" ht="240">
      <c r="A1185" s="33" t="s">
        <v>12803</v>
      </c>
      <c r="B1185" s="18" t="s">
        <v>9440</v>
      </c>
      <c r="C1185" s="13">
        <v>44433</v>
      </c>
      <c r="D1185" s="18" t="s">
        <v>8465</v>
      </c>
      <c r="E1185" s="10" t="s">
        <v>6517</v>
      </c>
      <c r="F1185" s="10" t="s">
        <v>3370</v>
      </c>
      <c r="G1185" s="59" t="s">
        <v>4754</v>
      </c>
      <c r="H1185" s="68" t="s">
        <v>1040</v>
      </c>
      <c r="K1185" s="60">
        <v>0.8</v>
      </c>
      <c r="L1185" s="18">
        <v>1184</v>
      </c>
      <c r="M1185" s="13">
        <v>44881</v>
      </c>
      <c r="N1185" s="21">
        <v>12.85</v>
      </c>
      <c r="O1185" s="18">
        <v>0</v>
      </c>
      <c r="P1185" s="18">
        <v>0</v>
      </c>
      <c r="Q1185" s="60">
        <v>0.87</v>
      </c>
      <c r="R1185" s="46" t="s">
        <v>12961</v>
      </c>
    </row>
    <row r="1186" spans="1:18" ht="210">
      <c r="A1186" s="33" t="s">
        <v>12850</v>
      </c>
      <c r="B1186" s="18" t="s">
        <v>9440</v>
      </c>
      <c r="C1186" s="13">
        <v>44862</v>
      </c>
      <c r="D1186" s="18" t="s">
        <v>8465</v>
      </c>
      <c r="E1186" s="10" t="s">
        <v>1273</v>
      </c>
      <c r="F1186" s="10" t="s">
        <v>3400</v>
      </c>
      <c r="G1186" s="59" t="s">
        <v>3401</v>
      </c>
      <c r="H1186" s="68" t="s">
        <v>1050</v>
      </c>
      <c r="K1186" s="60">
        <v>0.75</v>
      </c>
      <c r="L1186" s="18">
        <v>1185</v>
      </c>
      <c r="M1186" s="13">
        <v>44885</v>
      </c>
      <c r="N1186" s="21">
        <v>8.2799999999999994</v>
      </c>
      <c r="O1186" s="18">
        <v>0</v>
      </c>
      <c r="P1186" s="18">
        <v>0</v>
      </c>
      <c r="Q1186" s="60">
        <v>0.77</v>
      </c>
      <c r="R1186" s="46" t="s">
        <v>12963</v>
      </c>
    </row>
    <row r="1187" spans="1:18" ht="165">
      <c r="A1187" s="33" t="s">
        <v>12831</v>
      </c>
      <c r="B1187" s="18" t="s">
        <v>7744</v>
      </c>
      <c r="C1187" s="13">
        <v>44854</v>
      </c>
      <c r="D1187" s="18" t="s">
        <v>8465</v>
      </c>
      <c r="E1187" s="10" t="s">
        <v>1047</v>
      </c>
      <c r="F1187" s="10" t="s">
        <v>7459</v>
      </c>
      <c r="G1187" s="59" t="s">
        <v>137</v>
      </c>
      <c r="H1187" s="68" t="s">
        <v>75</v>
      </c>
      <c r="K1187" s="60">
        <v>0.75</v>
      </c>
      <c r="L1187" s="18">
        <v>1186</v>
      </c>
      <c r="M1187" s="13">
        <v>44897</v>
      </c>
      <c r="N1187" s="21">
        <v>15.86</v>
      </c>
      <c r="O1187" s="18">
        <v>0</v>
      </c>
      <c r="P1187" s="18">
        <v>0</v>
      </c>
      <c r="Q1187" s="60">
        <v>0.86</v>
      </c>
      <c r="R1187" s="46" t="s">
        <v>12985</v>
      </c>
    </row>
    <row r="1188" spans="1:18" ht="300">
      <c r="A1188" s="33" t="s">
        <v>11318</v>
      </c>
      <c r="B1188" s="18" t="s">
        <v>7744</v>
      </c>
      <c r="C1188" s="13">
        <v>44883</v>
      </c>
      <c r="D1188" s="18" t="s">
        <v>8465</v>
      </c>
      <c r="E1188" s="10" t="s">
        <v>86</v>
      </c>
      <c r="F1188" s="10" t="s">
        <v>1354</v>
      </c>
      <c r="G1188" s="59" t="s">
        <v>1470</v>
      </c>
      <c r="H1188" s="68" t="s">
        <v>149</v>
      </c>
      <c r="K1188" s="60">
        <v>0.75</v>
      </c>
      <c r="L1188" s="18">
        <v>1187</v>
      </c>
      <c r="M1188" s="13">
        <v>44914</v>
      </c>
      <c r="N1188" s="21">
        <v>26.65</v>
      </c>
      <c r="O1188" s="18">
        <v>0</v>
      </c>
      <c r="P1188" s="18">
        <v>0</v>
      </c>
      <c r="Q1188" s="60">
        <v>0.76</v>
      </c>
      <c r="R1188" s="46" t="s">
        <v>13007</v>
      </c>
    </row>
    <row r="1189" spans="1:18" ht="210">
      <c r="A1189" s="33" t="s">
        <v>12999</v>
      </c>
      <c r="B1189" s="18" t="s">
        <v>7800</v>
      </c>
      <c r="C1189" s="13">
        <v>44910</v>
      </c>
      <c r="D1189" s="18" t="s">
        <v>8465</v>
      </c>
      <c r="E1189" s="10" t="s">
        <v>12636</v>
      </c>
      <c r="F1189" s="10" t="s">
        <v>12636</v>
      </c>
      <c r="G1189" s="59" t="s">
        <v>12627</v>
      </c>
      <c r="H1189" s="68" t="s">
        <v>1518</v>
      </c>
      <c r="K1189" s="60">
        <v>0.6</v>
      </c>
      <c r="L1189" s="18">
        <v>1188</v>
      </c>
      <c r="M1189" s="13">
        <v>44915</v>
      </c>
      <c r="N1189" s="21">
        <v>5.03</v>
      </c>
      <c r="O1189" s="18">
        <v>0</v>
      </c>
      <c r="P1189" s="18">
        <v>0</v>
      </c>
      <c r="R1189" s="46" t="s">
        <v>13008</v>
      </c>
    </row>
    <row r="1190" spans="1:18" ht="165">
      <c r="A1190" s="33" t="s">
        <v>10417</v>
      </c>
      <c r="B1190" s="18" t="s">
        <v>7783</v>
      </c>
      <c r="C1190" s="13">
        <v>44022</v>
      </c>
      <c r="D1190" s="18" t="s">
        <v>8465</v>
      </c>
      <c r="E1190" s="10" t="s">
        <v>1625</v>
      </c>
      <c r="F1190" s="10" t="s">
        <v>1625</v>
      </c>
      <c r="H1190" s="68" t="s">
        <v>78</v>
      </c>
      <c r="K1190" s="60">
        <v>0.6</v>
      </c>
      <c r="L1190" s="18">
        <v>1189</v>
      </c>
      <c r="M1190" s="13">
        <v>44920</v>
      </c>
      <c r="O1190" s="18">
        <v>0</v>
      </c>
      <c r="P1190" s="18">
        <v>0</v>
      </c>
      <c r="R1190" s="46" t="s">
        <v>13028</v>
      </c>
    </row>
    <row r="1191" spans="1:18" ht="120">
      <c r="A1191" s="33" t="s">
        <v>11227</v>
      </c>
      <c r="B1191" s="18" t="s">
        <v>7749</v>
      </c>
      <c r="C1191" s="13">
        <v>42208</v>
      </c>
      <c r="D1191" s="18" t="s">
        <v>8465</v>
      </c>
      <c r="E1191" s="10" t="s">
        <v>455</v>
      </c>
      <c r="F1191" s="10" t="s">
        <v>455</v>
      </c>
      <c r="G1191" s="59" t="s">
        <v>2516</v>
      </c>
      <c r="H1191" s="68" t="s">
        <v>153</v>
      </c>
      <c r="K1191" s="60">
        <v>0.7</v>
      </c>
      <c r="L1191" s="18">
        <v>1190</v>
      </c>
      <c r="M1191" s="13">
        <v>44922</v>
      </c>
      <c r="N1191" s="21">
        <v>1.77</v>
      </c>
      <c r="O1191" s="18">
        <v>0</v>
      </c>
      <c r="P1191" s="18">
        <v>0</v>
      </c>
      <c r="Q1191" s="60">
        <v>0.89</v>
      </c>
      <c r="R1191" s="46" t="s">
        <v>13029</v>
      </c>
    </row>
    <row r="1192" spans="1:18" ht="180">
      <c r="A1192" s="33" t="s">
        <v>2242</v>
      </c>
      <c r="B1192" s="18" t="s">
        <v>7748</v>
      </c>
      <c r="C1192" s="13">
        <v>39623</v>
      </c>
      <c r="D1192" s="18" t="s">
        <v>8465</v>
      </c>
      <c r="E1192" s="10" t="s">
        <v>1082</v>
      </c>
      <c r="F1192" s="10" t="s">
        <v>1082</v>
      </c>
      <c r="G1192" s="59" t="s">
        <v>1981</v>
      </c>
      <c r="H1192" s="68" t="s">
        <v>75</v>
      </c>
      <c r="K1192" s="60">
        <v>0.85</v>
      </c>
      <c r="L1192" s="18">
        <v>1191</v>
      </c>
      <c r="M1192" s="13">
        <v>44930</v>
      </c>
      <c r="N1192" s="21">
        <v>48.99</v>
      </c>
      <c r="O1192" s="18">
        <v>0</v>
      </c>
      <c r="P1192" s="18">
        <v>0</v>
      </c>
      <c r="Q1192" s="60">
        <v>0.81</v>
      </c>
      <c r="R1192" s="46" t="s">
        <v>13122</v>
      </c>
    </row>
    <row r="1193" spans="1:18" ht="285">
      <c r="A1193" s="33" t="s">
        <v>5630</v>
      </c>
      <c r="B1193" s="18" t="s">
        <v>7800</v>
      </c>
      <c r="C1193" s="13">
        <v>43089</v>
      </c>
      <c r="D1193" s="18" t="s">
        <v>8465</v>
      </c>
      <c r="E1193" s="10" t="s">
        <v>5631</v>
      </c>
      <c r="F1193" s="10" t="s">
        <v>5631</v>
      </c>
      <c r="H1193" s="68" t="s">
        <v>21</v>
      </c>
      <c r="K1193" s="60">
        <v>0.8</v>
      </c>
      <c r="L1193" s="18">
        <v>1192</v>
      </c>
      <c r="M1193" s="13">
        <v>44930</v>
      </c>
      <c r="N1193" s="21">
        <v>4.55</v>
      </c>
      <c r="O1193" s="18">
        <v>1</v>
      </c>
      <c r="P1193" s="18">
        <v>0</v>
      </c>
      <c r="Q1193" s="60">
        <v>0.87</v>
      </c>
      <c r="R1193" s="46" t="s">
        <v>13123</v>
      </c>
    </row>
    <row r="1194" spans="1:18" ht="180">
      <c r="A1194" s="33" t="s">
        <v>13086</v>
      </c>
      <c r="B1194" s="18" t="s">
        <v>7800</v>
      </c>
      <c r="C1194" s="13">
        <v>44295</v>
      </c>
      <c r="D1194" s="18" t="s">
        <v>8465</v>
      </c>
      <c r="E1194" s="10" t="s">
        <v>12127</v>
      </c>
      <c r="F1194" s="10" t="s">
        <v>12127</v>
      </c>
      <c r="G1194" s="59" t="s">
        <v>13087</v>
      </c>
      <c r="H1194" s="68" t="s">
        <v>1040</v>
      </c>
      <c r="K1194" s="60">
        <v>0.6</v>
      </c>
      <c r="L1194" s="18">
        <v>1193</v>
      </c>
      <c r="M1194" s="13">
        <v>44931</v>
      </c>
      <c r="N1194" s="21">
        <v>0.5</v>
      </c>
      <c r="O1194" s="18">
        <v>1</v>
      </c>
      <c r="P1194" s="18">
        <v>0</v>
      </c>
      <c r="R1194" s="46" t="s">
        <v>13128</v>
      </c>
    </row>
    <row r="1195" spans="1:18" ht="120">
      <c r="A1195" s="33" t="s">
        <v>13088</v>
      </c>
      <c r="B1195" s="18" t="s">
        <v>7800</v>
      </c>
      <c r="C1195" s="13">
        <v>44469</v>
      </c>
      <c r="D1195" s="18" t="s">
        <v>8465</v>
      </c>
      <c r="E1195" s="10" t="s">
        <v>12127</v>
      </c>
      <c r="F1195" s="10" t="s">
        <v>12127</v>
      </c>
      <c r="G1195" s="59" t="s">
        <v>13087</v>
      </c>
      <c r="H1195" s="68" t="s">
        <v>1040</v>
      </c>
      <c r="K1195" s="60">
        <v>0.6</v>
      </c>
      <c r="L1195" s="18">
        <v>1194</v>
      </c>
      <c r="M1195" s="13">
        <v>44931</v>
      </c>
      <c r="N1195" s="21">
        <v>0.38</v>
      </c>
      <c r="O1195" s="18">
        <v>1</v>
      </c>
      <c r="P1195" s="18">
        <v>0</v>
      </c>
      <c r="R1195" s="46" t="s">
        <v>13136</v>
      </c>
    </row>
    <row r="1196" spans="1:18" ht="195">
      <c r="A1196" s="33" t="s">
        <v>13091</v>
      </c>
      <c r="B1196" s="18" t="s">
        <v>7800</v>
      </c>
      <c r="C1196" s="13">
        <v>44849</v>
      </c>
      <c r="D1196" s="18" t="s">
        <v>8465</v>
      </c>
      <c r="E1196" s="10" t="s">
        <v>12127</v>
      </c>
      <c r="F1196" s="10" t="s">
        <v>12127</v>
      </c>
      <c r="G1196" s="59" t="s">
        <v>13138</v>
      </c>
      <c r="H1196" s="68" t="s">
        <v>64</v>
      </c>
      <c r="K1196" s="60">
        <v>0.4</v>
      </c>
      <c r="L1196" s="18">
        <v>1195</v>
      </c>
      <c r="M1196" s="13">
        <v>44931</v>
      </c>
      <c r="N1196" s="21">
        <v>0.25</v>
      </c>
      <c r="O1196" s="18">
        <v>1</v>
      </c>
      <c r="P1196" s="18">
        <v>0</v>
      </c>
      <c r="R1196" s="46" t="s">
        <v>13137</v>
      </c>
    </row>
    <row r="1197" spans="1:18" ht="210">
      <c r="A1197" s="33" t="s">
        <v>13035</v>
      </c>
      <c r="B1197" s="18" t="s">
        <v>7800</v>
      </c>
      <c r="C1197" s="13">
        <v>44803</v>
      </c>
      <c r="D1197" s="18" t="s">
        <v>8465</v>
      </c>
      <c r="E1197" s="10" t="s">
        <v>11982</v>
      </c>
      <c r="F1197" s="10" t="s">
        <v>8288</v>
      </c>
      <c r="H1197" s="68" t="s">
        <v>1040</v>
      </c>
      <c r="K1197" s="60">
        <v>0.8</v>
      </c>
      <c r="L1197" s="18">
        <v>1196</v>
      </c>
      <c r="M1197" s="13">
        <v>44932</v>
      </c>
      <c r="N1197" s="21">
        <v>5.43</v>
      </c>
      <c r="O1197" s="18">
        <v>1</v>
      </c>
      <c r="P1197" s="18">
        <v>0</v>
      </c>
      <c r="Q1197" s="60">
        <v>0.77</v>
      </c>
      <c r="R1197" s="46" t="s">
        <v>13237</v>
      </c>
    </row>
    <row r="1198" spans="1:18" ht="75">
      <c r="A1198" s="33" t="s">
        <v>13089</v>
      </c>
      <c r="B1198" s="18" t="s">
        <v>7800</v>
      </c>
      <c r="C1198" s="13">
        <v>44484</v>
      </c>
      <c r="D1198" s="18" t="s">
        <v>8465</v>
      </c>
      <c r="E1198" s="10" t="s">
        <v>12127</v>
      </c>
      <c r="F1198" s="10" t="s">
        <v>12127</v>
      </c>
      <c r="G1198" s="59" t="s">
        <v>13087</v>
      </c>
      <c r="H1198" s="68" t="s">
        <v>1040</v>
      </c>
      <c r="K1198" s="60">
        <v>0.5</v>
      </c>
      <c r="L1198" s="18">
        <v>1197</v>
      </c>
      <c r="M1198" s="13">
        <v>44932</v>
      </c>
      <c r="N1198" s="21">
        <v>0.47</v>
      </c>
      <c r="O1198" s="18">
        <v>0</v>
      </c>
      <c r="P1198" s="18">
        <v>0</v>
      </c>
      <c r="R1198" s="46" t="s">
        <v>13238</v>
      </c>
    </row>
    <row r="1199" spans="1:18" ht="105">
      <c r="A1199" s="33" t="s">
        <v>13090</v>
      </c>
      <c r="B1199" s="18" t="s">
        <v>7800</v>
      </c>
      <c r="C1199" s="13">
        <v>44735</v>
      </c>
      <c r="D1199" s="18" t="s">
        <v>8465</v>
      </c>
      <c r="E1199" s="10" t="s">
        <v>12127</v>
      </c>
      <c r="F1199" s="10" t="s">
        <v>12127</v>
      </c>
      <c r="G1199" s="59" t="s">
        <v>13087</v>
      </c>
      <c r="H1199" s="68" t="s">
        <v>1040</v>
      </c>
      <c r="K1199" s="60">
        <v>0.5</v>
      </c>
      <c r="L1199" s="18">
        <v>1198</v>
      </c>
      <c r="M1199" s="13">
        <v>44932</v>
      </c>
      <c r="N1199" s="21">
        <v>0.25</v>
      </c>
      <c r="O1199" s="18">
        <v>0</v>
      </c>
      <c r="P1199" s="18">
        <v>0</v>
      </c>
      <c r="R1199" s="46" t="s">
        <v>13239</v>
      </c>
    </row>
    <row r="1200" spans="1:18" ht="225">
      <c r="A1200" s="33" t="s">
        <v>12069</v>
      </c>
      <c r="B1200" s="18" t="s">
        <v>9431</v>
      </c>
      <c r="C1200" s="13">
        <v>44908</v>
      </c>
      <c r="D1200" s="18" t="s">
        <v>8465</v>
      </c>
      <c r="E1200" s="10" t="s">
        <v>1082</v>
      </c>
      <c r="F1200" s="10" t="s">
        <v>7406</v>
      </c>
      <c r="G1200" s="59" t="s">
        <v>126</v>
      </c>
      <c r="H1200" s="68" t="s">
        <v>171</v>
      </c>
      <c r="K1200" s="60">
        <v>0.75</v>
      </c>
      <c r="L1200" s="18">
        <v>1199</v>
      </c>
      <c r="M1200" s="13">
        <v>44934</v>
      </c>
      <c r="N1200" s="21">
        <v>12.6</v>
      </c>
      <c r="O1200" s="18">
        <v>0</v>
      </c>
      <c r="P1200" s="18">
        <v>0</v>
      </c>
      <c r="Q1200" s="60">
        <v>0.78</v>
      </c>
      <c r="R1200" s="46" t="s">
        <v>13276</v>
      </c>
    </row>
    <row r="1201" spans="1:18" ht="255">
      <c r="A1201" s="33" t="s">
        <v>4322</v>
      </c>
      <c r="B1201" s="18" t="s">
        <v>7800</v>
      </c>
      <c r="C1201" s="13">
        <v>43089</v>
      </c>
      <c r="D1201" s="18" t="s">
        <v>8465</v>
      </c>
      <c r="E1201" s="10" t="s">
        <v>1082</v>
      </c>
      <c r="F1201" s="10" t="s">
        <v>4323</v>
      </c>
      <c r="G1201" s="59" t="s">
        <v>4320</v>
      </c>
      <c r="H1201" s="68" t="s">
        <v>67</v>
      </c>
      <c r="K1201" s="60">
        <v>0.5</v>
      </c>
      <c r="L1201" s="18">
        <v>1200</v>
      </c>
      <c r="M1201" s="13">
        <v>44935</v>
      </c>
      <c r="N1201" s="21">
        <v>8.82</v>
      </c>
      <c r="O1201" s="18">
        <v>0</v>
      </c>
      <c r="P1201" s="18">
        <v>0</v>
      </c>
      <c r="Q1201" s="60">
        <v>0.73</v>
      </c>
      <c r="R1201" s="46" t="s">
        <v>13319</v>
      </c>
    </row>
    <row r="1202" spans="1:18" ht="150">
      <c r="A1202" s="33" t="s">
        <v>13038</v>
      </c>
      <c r="B1202" s="18" t="s">
        <v>7800</v>
      </c>
      <c r="C1202" s="13">
        <v>43573</v>
      </c>
      <c r="D1202" s="18" t="s">
        <v>8465</v>
      </c>
      <c r="E1202" s="10" t="s">
        <v>3063</v>
      </c>
      <c r="F1202" s="10" t="s">
        <v>2823</v>
      </c>
      <c r="H1202" s="68" t="s">
        <v>56</v>
      </c>
      <c r="K1202" s="60">
        <v>0.8</v>
      </c>
      <c r="L1202" s="18">
        <v>1201</v>
      </c>
      <c r="M1202" s="13">
        <v>44935</v>
      </c>
      <c r="N1202" s="21">
        <v>3.43</v>
      </c>
      <c r="O1202" s="18">
        <v>1</v>
      </c>
      <c r="P1202" s="18">
        <v>0</v>
      </c>
      <c r="Q1202" s="60">
        <v>0.83</v>
      </c>
      <c r="R1202" s="46" t="s">
        <v>13320</v>
      </c>
    </row>
    <row r="1203" spans="1:18" ht="210">
      <c r="A1203" s="33" t="s">
        <v>8267</v>
      </c>
      <c r="B1203" s="18" t="s">
        <v>7800</v>
      </c>
      <c r="C1203" s="13">
        <v>42765</v>
      </c>
      <c r="D1203" s="18" t="s">
        <v>8465</v>
      </c>
      <c r="E1203" s="10" t="s">
        <v>479</v>
      </c>
      <c r="F1203" s="10" t="s">
        <v>479</v>
      </c>
      <c r="G1203" s="59" t="s">
        <v>111</v>
      </c>
      <c r="H1203" s="68" t="s">
        <v>153</v>
      </c>
      <c r="K1203" s="60">
        <v>0.2</v>
      </c>
      <c r="L1203" s="18">
        <v>1202</v>
      </c>
      <c r="M1203" s="13">
        <v>44936</v>
      </c>
      <c r="N1203" s="21">
        <v>1.1000000000000001</v>
      </c>
      <c r="O1203" s="18">
        <v>1</v>
      </c>
      <c r="P1203" s="18">
        <v>0</v>
      </c>
      <c r="Q1203" s="60">
        <v>0.5</v>
      </c>
      <c r="R1203" s="46" t="s">
        <v>13324</v>
      </c>
    </row>
    <row r="1204" spans="1:18" ht="285">
      <c r="A1204" s="33" t="s">
        <v>8202</v>
      </c>
      <c r="B1204" s="18" t="s">
        <v>7744</v>
      </c>
      <c r="C1204" s="13">
        <v>43447</v>
      </c>
      <c r="D1204" s="18" t="s">
        <v>8465</v>
      </c>
      <c r="E1204" s="10" t="s">
        <v>3063</v>
      </c>
      <c r="F1204" s="10" t="s">
        <v>8203</v>
      </c>
      <c r="H1204" s="68" t="s">
        <v>1267</v>
      </c>
      <c r="K1204" s="60">
        <v>0.7</v>
      </c>
      <c r="L1204" s="18">
        <v>1203</v>
      </c>
      <c r="M1204" s="13">
        <v>44938</v>
      </c>
      <c r="N1204" s="21">
        <v>2</v>
      </c>
      <c r="O1204" s="18">
        <v>0</v>
      </c>
      <c r="P1204" s="18">
        <v>0</v>
      </c>
      <c r="Q1204" s="60">
        <v>0.85</v>
      </c>
      <c r="R1204" s="46" t="s">
        <v>13329</v>
      </c>
    </row>
    <row r="1205" spans="1:18" ht="210">
      <c r="A1205" s="33" t="s">
        <v>8599</v>
      </c>
      <c r="B1205" s="18" t="s">
        <v>7744</v>
      </c>
      <c r="C1205" s="13">
        <v>43090</v>
      </c>
      <c r="D1205" s="18" t="s">
        <v>8465</v>
      </c>
      <c r="E1205" s="10" t="s">
        <v>4566</v>
      </c>
      <c r="F1205" s="10" t="s">
        <v>4836</v>
      </c>
      <c r="G1205" s="59" t="s">
        <v>13332</v>
      </c>
      <c r="H1205" s="68" t="s">
        <v>80</v>
      </c>
      <c r="K1205" s="60">
        <v>0.6</v>
      </c>
      <c r="L1205" s="18">
        <v>1204</v>
      </c>
      <c r="M1205" s="13">
        <v>44943</v>
      </c>
      <c r="N1205" s="21">
        <v>6.11</v>
      </c>
      <c r="O1205" s="18">
        <v>0</v>
      </c>
      <c r="P1205" s="18">
        <v>0</v>
      </c>
      <c r="Q1205" s="60">
        <v>0.8</v>
      </c>
      <c r="R1205" s="46" t="s">
        <v>13333</v>
      </c>
    </row>
    <row r="1206" spans="1:18" ht="180">
      <c r="A1206" s="33" t="s">
        <v>5718</v>
      </c>
      <c r="B1206" s="18" t="s">
        <v>7760</v>
      </c>
      <c r="C1206" s="13">
        <v>43210</v>
      </c>
      <c r="D1206" s="18" t="s">
        <v>8465</v>
      </c>
      <c r="E1206" s="10" t="s">
        <v>6107</v>
      </c>
      <c r="F1206" s="10" t="s">
        <v>6130</v>
      </c>
      <c r="G1206" s="59" t="s">
        <v>5718</v>
      </c>
      <c r="H1206" s="68" t="s">
        <v>80</v>
      </c>
      <c r="K1206" s="60">
        <v>0.9</v>
      </c>
      <c r="L1206" s="18">
        <v>1205</v>
      </c>
      <c r="M1206" s="13">
        <v>44947</v>
      </c>
      <c r="N1206" s="21">
        <v>13</v>
      </c>
      <c r="O1206" s="18">
        <v>0</v>
      </c>
      <c r="P1206" s="18">
        <v>0</v>
      </c>
      <c r="Q1206" s="60">
        <v>0.94</v>
      </c>
      <c r="R1206" s="46" t="s">
        <v>13347</v>
      </c>
    </row>
    <row r="1207" spans="1:18" ht="270">
      <c r="A1207" s="33" t="s">
        <v>13039</v>
      </c>
      <c r="B1207" s="18" t="s">
        <v>7800</v>
      </c>
      <c r="C1207" s="13">
        <v>44419</v>
      </c>
      <c r="D1207" s="18" t="s">
        <v>8465</v>
      </c>
      <c r="E1207" s="10" t="s">
        <v>9452</v>
      </c>
      <c r="F1207" s="10" t="s">
        <v>13040</v>
      </c>
      <c r="H1207" s="68" t="s">
        <v>80</v>
      </c>
      <c r="K1207" s="60">
        <v>0.5</v>
      </c>
      <c r="L1207" s="18">
        <v>1206</v>
      </c>
      <c r="M1207" s="13">
        <v>44950</v>
      </c>
      <c r="N1207" s="21">
        <v>10.23</v>
      </c>
      <c r="O1207" s="18">
        <v>1</v>
      </c>
      <c r="P1207" s="18">
        <v>0</v>
      </c>
      <c r="Q1207" s="60">
        <v>0.7</v>
      </c>
      <c r="R1207" s="46" t="s">
        <v>13352</v>
      </c>
    </row>
    <row r="1208" spans="1:18" ht="300">
      <c r="A1208" s="33" t="s">
        <v>8850</v>
      </c>
      <c r="B1208" s="13" t="s">
        <v>7800</v>
      </c>
      <c r="C1208" s="13">
        <v>43611</v>
      </c>
      <c r="D1208" s="18" t="s">
        <v>8465</v>
      </c>
      <c r="E1208" s="10" t="s">
        <v>3410</v>
      </c>
      <c r="F1208" s="10" t="s">
        <v>3410</v>
      </c>
      <c r="G1208" s="59" t="s">
        <v>4192</v>
      </c>
      <c r="H1208" s="68" t="s">
        <v>80</v>
      </c>
      <c r="K1208" s="60">
        <v>0.5</v>
      </c>
      <c r="L1208" s="18">
        <v>1207</v>
      </c>
      <c r="M1208" s="13">
        <v>44963</v>
      </c>
      <c r="N1208" s="21">
        <v>4.6500000000000004</v>
      </c>
      <c r="O1208" s="18">
        <v>1</v>
      </c>
      <c r="P1208" s="18">
        <v>0</v>
      </c>
      <c r="R1208" s="46" t="s">
        <v>13411</v>
      </c>
    </row>
    <row r="1209" spans="1:18" ht="255">
      <c r="A1209" s="33" t="s">
        <v>13427</v>
      </c>
      <c r="B1209" s="18" t="s">
        <v>9440</v>
      </c>
      <c r="C1209" s="13">
        <v>44602</v>
      </c>
      <c r="D1209" s="18" t="s">
        <v>8465</v>
      </c>
      <c r="E1209" s="10" t="s">
        <v>13428</v>
      </c>
      <c r="F1209" s="10" t="s">
        <v>3130</v>
      </c>
      <c r="G1209" s="59" t="s">
        <v>7348</v>
      </c>
      <c r="H1209" s="68" t="s">
        <v>1050</v>
      </c>
      <c r="K1209" s="60">
        <v>0.3</v>
      </c>
      <c r="L1209" s="18">
        <v>1208</v>
      </c>
      <c r="M1209" s="13">
        <v>44963</v>
      </c>
      <c r="N1209" s="21">
        <v>2.17</v>
      </c>
      <c r="O1209" s="18">
        <v>0</v>
      </c>
      <c r="P1209" s="18">
        <v>0</v>
      </c>
      <c r="Q1209" s="60">
        <v>0.38</v>
      </c>
      <c r="R1209" s="46" t="s">
        <v>13429</v>
      </c>
    </row>
    <row r="1210" spans="1:18" ht="330">
      <c r="A1210" s="33" t="s">
        <v>12959</v>
      </c>
      <c r="B1210" s="18" t="s">
        <v>7800</v>
      </c>
      <c r="C1210" s="13">
        <v>44881</v>
      </c>
      <c r="D1210" s="18" t="s">
        <v>8465</v>
      </c>
      <c r="E1210" s="10" t="s">
        <v>12960</v>
      </c>
      <c r="F1210" s="10" t="s">
        <v>8708</v>
      </c>
      <c r="G1210" s="59" t="s">
        <v>8709</v>
      </c>
      <c r="H1210" s="68" t="s">
        <v>149</v>
      </c>
      <c r="K1210" s="60">
        <v>0.6</v>
      </c>
      <c r="L1210" s="18">
        <v>1209</v>
      </c>
      <c r="M1210" s="13">
        <v>44966</v>
      </c>
      <c r="N1210" s="21">
        <v>40.25</v>
      </c>
      <c r="O1210" s="18">
        <v>1</v>
      </c>
      <c r="P1210" s="18">
        <v>0</v>
      </c>
      <c r="R1210" s="46" t="s">
        <v>13498</v>
      </c>
    </row>
    <row r="1211" spans="1:18" ht="409.5">
      <c r="A1211" s="33" t="s">
        <v>9488</v>
      </c>
      <c r="B1211" s="18" t="s">
        <v>7800</v>
      </c>
      <c r="C1211" s="13">
        <v>43808</v>
      </c>
      <c r="D1211" s="18" t="s">
        <v>8465</v>
      </c>
      <c r="E1211" s="10" t="s">
        <v>8000</v>
      </c>
      <c r="F1211" s="10" t="s">
        <v>8001</v>
      </c>
      <c r="G1211" s="59" t="s">
        <v>8002</v>
      </c>
      <c r="H1211" s="68" t="s">
        <v>67</v>
      </c>
      <c r="K1211" s="60">
        <v>0.6</v>
      </c>
      <c r="L1211" s="18">
        <v>1210</v>
      </c>
      <c r="M1211" s="13">
        <v>44967</v>
      </c>
      <c r="N1211" s="21">
        <v>1.1000000000000001</v>
      </c>
      <c r="O1211" s="18">
        <v>1</v>
      </c>
      <c r="P1211" s="18">
        <v>0</v>
      </c>
      <c r="Q1211" s="60">
        <v>0.81</v>
      </c>
      <c r="R1211" s="46" t="s">
        <v>13515</v>
      </c>
    </row>
    <row r="1212" spans="1:18" ht="315">
      <c r="A1212" s="33" t="s">
        <v>5043</v>
      </c>
      <c r="B1212" s="18" t="s">
        <v>7800</v>
      </c>
      <c r="C1212" s="13">
        <v>43241</v>
      </c>
      <c r="D1212" s="18" t="s">
        <v>8465</v>
      </c>
      <c r="E1212" s="10" t="s">
        <v>5044</v>
      </c>
      <c r="F1212" s="10" t="s">
        <v>5044</v>
      </c>
      <c r="H1212" s="68" t="s">
        <v>150</v>
      </c>
      <c r="K1212" s="60">
        <v>0.8</v>
      </c>
      <c r="L1212" s="18">
        <v>1211</v>
      </c>
      <c r="M1212" s="13">
        <v>44967</v>
      </c>
      <c r="N1212" s="21">
        <v>2.2799999999999998</v>
      </c>
      <c r="O1212" s="18">
        <v>1</v>
      </c>
      <c r="P1212" s="18">
        <v>0</v>
      </c>
      <c r="Q1212" s="60">
        <v>0.7</v>
      </c>
      <c r="R1212" s="46" t="s">
        <v>13519</v>
      </c>
    </row>
    <row r="1213" spans="1:18" ht="255">
      <c r="A1213" s="33" t="s">
        <v>13520</v>
      </c>
      <c r="B1213" s="18" t="s">
        <v>7800</v>
      </c>
      <c r="C1213" s="13">
        <v>44644</v>
      </c>
      <c r="D1213" s="18" t="s">
        <v>8465</v>
      </c>
      <c r="E1213" s="10" t="s">
        <v>7300</v>
      </c>
      <c r="F1213" s="10" t="s">
        <v>13521</v>
      </c>
      <c r="H1213" s="68" t="s">
        <v>67</v>
      </c>
      <c r="K1213" s="60">
        <v>0.6</v>
      </c>
      <c r="L1213" s="18">
        <v>1212</v>
      </c>
      <c r="M1213" s="13">
        <v>44968</v>
      </c>
      <c r="N1213" s="21">
        <v>1.02</v>
      </c>
      <c r="O1213" s="18">
        <v>0</v>
      </c>
      <c r="P1213" s="18">
        <v>0</v>
      </c>
      <c r="R1213" s="46" t="s">
        <v>13522</v>
      </c>
    </row>
    <row r="1214" spans="1:18" ht="375">
      <c r="A1214" s="33" t="s">
        <v>13535</v>
      </c>
      <c r="B1214" s="18" t="s">
        <v>9440</v>
      </c>
      <c r="C1214" s="13">
        <v>44951</v>
      </c>
      <c r="D1214" s="18" t="s">
        <v>8465</v>
      </c>
      <c r="E1214" s="10" t="s">
        <v>1690</v>
      </c>
      <c r="F1214" s="10" t="s">
        <v>5306</v>
      </c>
      <c r="H1214" s="68" t="s">
        <v>1059</v>
      </c>
      <c r="K1214" s="60">
        <v>0.8</v>
      </c>
      <c r="L1214" s="18">
        <v>1213</v>
      </c>
      <c r="M1214" s="13">
        <v>44969</v>
      </c>
      <c r="N1214" s="21">
        <v>9.5500000000000007</v>
      </c>
      <c r="O1214" s="18">
        <v>0</v>
      </c>
      <c r="P1214" s="18">
        <v>0</v>
      </c>
      <c r="Q1214" s="60">
        <v>0.88</v>
      </c>
      <c r="R1214" s="46" t="s">
        <v>13536</v>
      </c>
    </row>
    <row r="1215" spans="1:18" ht="409.5">
      <c r="A1215" s="33" t="s">
        <v>12911</v>
      </c>
      <c r="B1215" s="18" t="s">
        <v>7800</v>
      </c>
      <c r="C1215" s="13">
        <v>44875</v>
      </c>
      <c r="D1215" s="18" t="s">
        <v>8465</v>
      </c>
      <c r="E1215" s="10" t="s">
        <v>12912</v>
      </c>
      <c r="F1215" s="10" t="s">
        <v>12912</v>
      </c>
      <c r="H1215" s="68" t="s">
        <v>149</v>
      </c>
      <c r="K1215" s="60">
        <v>0.5</v>
      </c>
      <c r="L1215" s="18">
        <v>1214</v>
      </c>
      <c r="M1215" s="13">
        <v>44970</v>
      </c>
      <c r="N1215" s="21">
        <v>5.68</v>
      </c>
      <c r="O1215" s="18">
        <v>1</v>
      </c>
      <c r="P1215" s="18">
        <v>0</v>
      </c>
      <c r="Q1215" s="60">
        <v>0.86</v>
      </c>
      <c r="R1215" s="46" t="s">
        <v>13537</v>
      </c>
    </row>
    <row r="1216" spans="1:18" ht="195">
      <c r="A1216" s="33" t="s">
        <v>897</v>
      </c>
      <c r="B1216" s="18" t="s">
        <v>9440</v>
      </c>
      <c r="C1216" s="13">
        <v>44953</v>
      </c>
      <c r="D1216" s="18" t="s">
        <v>8465</v>
      </c>
      <c r="E1216" s="10" t="s">
        <v>163</v>
      </c>
      <c r="F1216" s="10" t="s">
        <v>8356</v>
      </c>
      <c r="G1216" s="59" t="s">
        <v>1482</v>
      </c>
      <c r="H1216" s="68" t="s">
        <v>1050</v>
      </c>
      <c r="J1216" s="10" t="s">
        <v>6525</v>
      </c>
      <c r="K1216" s="60">
        <v>0.6</v>
      </c>
      <c r="L1216" s="18">
        <v>1215</v>
      </c>
      <c r="M1216" s="13">
        <v>44970</v>
      </c>
      <c r="N1216" s="21">
        <v>7.65</v>
      </c>
      <c r="O1216" s="18">
        <v>0</v>
      </c>
      <c r="P1216" s="18">
        <v>0</v>
      </c>
      <c r="R1216" s="46" t="s">
        <v>13538</v>
      </c>
    </row>
    <row r="1217" spans="1:18" ht="165">
      <c r="A1217" s="33" t="s">
        <v>13540</v>
      </c>
      <c r="B1217" s="18" t="s">
        <v>7800</v>
      </c>
      <c r="C1217" s="13">
        <v>44875</v>
      </c>
      <c r="D1217" s="18" t="s">
        <v>8465</v>
      </c>
      <c r="E1217" s="10" t="s">
        <v>3511</v>
      </c>
      <c r="F1217" s="10" t="s">
        <v>13541</v>
      </c>
      <c r="H1217" s="68" t="s">
        <v>1040</v>
      </c>
      <c r="K1217" s="60">
        <v>0.8</v>
      </c>
      <c r="L1217" s="18">
        <v>1216</v>
      </c>
      <c r="M1217" s="13">
        <v>44973</v>
      </c>
      <c r="N1217" s="21">
        <v>2.5499999999999998</v>
      </c>
      <c r="O1217" s="18">
        <v>1</v>
      </c>
      <c r="P1217" s="18">
        <v>0</v>
      </c>
      <c r="R1217" s="46" t="s">
        <v>13564</v>
      </c>
    </row>
    <row r="1218" spans="1:18" ht="195">
      <c r="A1218" s="33" t="s">
        <v>13119</v>
      </c>
      <c r="B1218" s="18" t="s">
        <v>7800</v>
      </c>
      <c r="C1218" s="13">
        <v>44599</v>
      </c>
      <c r="D1218" s="18" t="s">
        <v>8465</v>
      </c>
      <c r="E1218" s="10" t="s">
        <v>8205</v>
      </c>
      <c r="F1218" s="10" t="s">
        <v>2478</v>
      </c>
      <c r="G1218" s="59" t="s">
        <v>2441</v>
      </c>
      <c r="H1218" s="68" t="s">
        <v>255</v>
      </c>
      <c r="K1218" s="60">
        <v>0.75</v>
      </c>
      <c r="L1218" s="18">
        <v>1217</v>
      </c>
      <c r="M1218" s="13">
        <v>44975</v>
      </c>
      <c r="N1218" s="21">
        <v>4.7</v>
      </c>
      <c r="O1218" s="18">
        <v>1</v>
      </c>
      <c r="P1218" s="18">
        <v>0</v>
      </c>
      <c r="Q1218" s="60">
        <v>0.87</v>
      </c>
      <c r="R1218" s="46" t="s">
        <v>13570</v>
      </c>
    </row>
    <row r="1219" spans="1:18" ht="345">
      <c r="A1219" s="33" t="s">
        <v>13576</v>
      </c>
      <c r="B1219" s="18" t="s">
        <v>7800</v>
      </c>
      <c r="C1219" s="13">
        <v>44908</v>
      </c>
      <c r="D1219" s="18" t="s">
        <v>8465</v>
      </c>
      <c r="E1219" s="10" t="s">
        <v>8668</v>
      </c>
      <c r="F1219" s="10" t="s">
        <v>8668</v>
      </c>
      <c r="H1219" s="68" t="s">
        <v>1050</v>
      </c>
      <c r="K1219" s="60">
        <v>0.4</v>
      </c>
      <c r="L1219" s="18">
        <v>1218</v>
      </c>
      <c r="M1219" s="13">
        <v>44976</v>
      </c>
      <c r="N1219" s="21">
        <v>7.73</v>
      </c>
      <c r="O1219" s="18">
        <v>0</v>
      </c>
      <c r="P1219" s="18">
        <v>0</v>
      </c>
      <c r="Q1219" s="60">
        <v>0.69</v>
      </c>
      <c r="R1219" s="46" t="s">
        <v>13577</v>
      </c>
    </row>
    <row r="1220" spans="1:18" ht="285">
      <c r="A1220" s="33" t="s">
        <v>13323</v>
      </c>
      <c r="B1220" s="18" t="s">
        <v>7765</v>
      </c>
      <c r="C1220" s="13">
        <v>40464</v>
      </c>
      <c r="D1220" s="18" t="s">
        <v>8465</v>
      </c>
      <c r="E1220" s="10" t="s">
        <v>231</v>
      </c>
      <c r="F1220" s="10" t="s">
        <v>1543</v>
      </c>
      <c r="G1220" s="59" t="s">
        <v>1544</v>
      </c>
      <c r="H1220" s="68" t="s">
        <v>31</v>
      </c>
      <c r="K1220" s="60">
        <v>0.2</v>
      </c>
      <c r="L1220" s="18">
        <v>1219</v>
      </c>
      <c r="M1220" s="13">
        <v>44976</v>
      </c>
      <c r="N1220" s="21">
        <v>1.07</v>
      </c>
      <c r="O1220" s="18">
        <v>0</v>
      </c>
      <c r="P1220" s="18">
        <v>0</v>
      </c>
      <c r="Q1220" s="60">
        <v>0.35</v>
      </c>
      <c r="R1220" s="46" t="s">
        <v>13579</v>
      </c>
    </row>
    <row r="1221" spans="1:18" ht="285">
      <c r="A1221" s="33" t="s">
        <v>12115</v>
      </c>
      <c r="B1221" s="18" t="s">
        <v>7800</v>
      </c>
      <c r="C1221" s="13">
        <v>44742</v>
      </c>
      <c r="D1221" s="18" t="s">
        <v>8465</v>
      </c>
      <c r="E1221" s="10" t="s">
        <v>3534</v>
      </c>
      <c r="F1221" s="10" t="s">
        <v>3534</v>
      </c>
      <c r="G1221" s="59" t="s">
        <v>3533</v>
      </c>
      <c r="H1221" s="68" t="s">
        <v>56</v>
      </c>
      <c r="K1221" s="60">
        <v>0.8</v>
      </c>
      <c r="L1221" s="18">
        <v>1220</v>
      </c>
      <c r="M1221" s="13">
        <v>44977</v>
      </c>
      <c r="N1221" s="21">
        <v>11.2</v>
      </c>
      <c r="O1221" s="18">
        <v>1</v>
      </c>
      <c r="P1221" s="18">
        <v>0</v>
      </c>
      <c r="Q1221" s="60">
        <v>0.88</v>
      </c>
      <c r="R1221" s="46" t="s">
        <v>13581</v>
      </c>
    </row>
    <row r="1222" spans="1:18" ht="270">
      <c r="A1222" s="33" t="s">
        <v>13580</v>
      </c>
      <c r="B1222" s="18" t="s">
        <v>9440</v>
      </c>
      <c r="C1222" s="13">
        <v>44546</v>
      </c>
      <c r="D1222" s="18" t="s">
        <v>8465</v>
      </c>
      <c r="E1222" s="10" t="s">
        <v>8331</v>
      </c>
      <c r="F1222" s="10" t="s">
        <v>2480</v>
      </c>
      <c r="H1222" s="68" t="s">
        <v>80</v>
      </c>
      <c r="K1222" s="60">
        <v>0.7</v>
      </c>
      <c r="L1222" s="18">
        <v>1221</v>
      </c>
      <c r="M1222" s="13">
        <v>44977</v>
      </c>
      <c r="N1222" s="21">
        <v>4.03</v>
      </c>
      <c r="O1222" s="18">
        <v>0</v>
      </c>
      <c r="P1222" s="18">
        <v>0</v>
      </c>
      <c r="Q1222" s="60">
        <v>0.7</v>
      </c>
      <c r="R1222" s="46" t="s">
        <v>13582</v>
      </c>
    </row>
    <row r="1223" spans="1:18" ht="255">
      <c r="A1223" s="33" t="s">
        <v>11431</v>
      </c>
      <c r="B1223" s="18" t="s">
        <v>7744</v>
      </c>
      <c r="C1223" s="13">
        <v>44862</v>
      </c>
      <c r="D1223" s="18" t="s">
        <v>8465</v>
      </c>
      <c r="E1223" s="10" t="s">
        <v>86</v>
      </c>
      <c r="F1223" s="10" t="s">
        <v>1058</v>
      </c>
      <c r="G1223" s="59" t="s">
        <v>1090</v>
      </c>
      <c r="H1223" s="68" t="s">
        <v>1059</v>
      </c>
      <c r="K1223" s="60">
        <v>0.8</v>
      </c>
      <c r="L1223" s="18">
        <v>1222</v>
      </c>
      <c r="M1223" s="13">
        <v>44980</v>
      </c>
      <c r="N1223" s="21">
        <v>10.73</v>
      </c>
      <c r="O1223" s="18">
        <v>0</v>
      </c>
      <c r="P1223" s="18">
        <v>0</v>
      </c>
      <c r="Q1223" s="60">
        <v>0.88</v>
      </c>
      <c r="R1223" s="46" t="s">
        <v>13591</v>
      </c>
    </row>
    <row r="1224" spans="1:18" ht="165">
      <c r="A1224" s="33" t="s">
        <v>12855</v>
      </c>
      <c r="B1224" s="18" t="s">
        <v>7744</v>
      </c>
      <c r="C1224" s="13">
        <v>44770</v>
      </c>
      <c r="D1224" s="18" t="s">
        <v>8463</v>
      </c>
      <c r="E1224" s="10" t="s">
        <v>12972</v>
      </c>
      <c r="F1224" s="10" t="s">
        <v>12997</v>
      </c>
      <c r="G1224" s="59" t="s">
        <v>13598</v>
      </c>
      <c r="H1224" s="68" t="s">
        <v>56</v>
      </c>
      <c r="K1224" s="60">
        <v>0.3</v>
      </c>
      <c r="L1224" s="18">
        <v>1223</v>
      </c>
      <c r="M1224" s="13">
        <v>44981</v>
      </c>
      <c r="N1224" s="21">
        <v>1</v>
      </c>
      <c r="O1224" s="18">
        <v>0</v>
      </c>
      <c r="P1224" s="18">
        <v>0</v>
      </c>
      <c r="R1224" s="46" t="s">
        <v>13599</v>
      </c>
    </row>
    <row r="1225" spans="1:18" ht="409.5">
      <c r="A1225" s="33" t="s">
        <v>13588</v>
      </c>
      <c r="B1225" s="18" t="s">
        <v>7800</v>
      </c>
      <c r="C1225" s="13">
        <v>44978</v>
      </c>
      <c r="D1225" s="18" t="s">
        <v>8465</v>
      </c>
      <c r="E1225" s="10" t="s">
        <v>12148</v>
      </c>
      <c r="F1225" s="10" t="s">
        <v>13589</v>
      </c>
      <c r="H1225" s="68" t="s">
        <v>1050</v>
      </c>
      <c r="K1225" s="60">
        <v>0.5</v>
      </c>
      <c r="L1225" s="18">
        <v>1224</v>
      </c>
      <c r="M1225" s="13">
        <v>44981</v>
      </c>
      <c r="N1225" s="21">
        <v>13.4</v>
      </c>
      <c r="O1225" s="18">
        <v>0</v>
      </c>
      <c r="P1225" s="18">
        <v>0</v>
      </c>
      <c r="Q1225" s="60">
        <v>0.77</v>
      </c>
      <c r="R1225" s="46" t="s">
        <v>13606</v>
      </c>
    </row>
    <row r="1226" spans="1:18" ht="255">
      <c r="A1226" s="33" t="s">
        <v>11364</v>
      </c>
      <c r="B1226" s="18" t="s">
        <v>7749</v>
      </c>
      <c r="C1226" s="13">
        <v>42928</v>
      </c>
      <c r="D1226" s="18" t="s">
        <v>8463</v>
      </c>
      <c r="E1226" s="10" t="s">
        <v>1082</v>
      </c>
      <c r="F1226" s="10" t="s">
        <v>1794</v>
      </c>
      <c r="G1226" s="59" t="s">
        <v>126</v>
      </c>
      <c r="H1226" s="68" t="s">
        <v>78</v>
      </c>
      <c r="K1226" s="60">
        <v>0.7</v>
      </c>
      <c r="L1226" s="18">
        <v>1225</v>
      </c>
      <c r="M1226" s="13">
        <v>44981</v>
      </c>
      <c r="O1226" s="18">
        <v>0</v>
      </c>
      <c r="P1226" s="18">
        <v>1</v>
      </c>
      <c r="R1226" s="46" t="s">
        <v>13605</v>
      </c>
    </row>
    <row r="1227" spans="1:18" ht="315">
      <c r="A1227" s="33" t="s">
        <v>13607</v>
      </c>
      <c r="B1227" s="18" t="s">
        <v>7800</v>
      </c>
      <c r="C1227" s="13">
        <v>44887</v>
      </c>
      <c r="D1227" s="18" t="s">
        <v>8465</v>
      </c>
      <c r="E1227" s="10" t="s">
        <v>13022</v>
      </c>
      <c r="F1227" s="10" t="s">
        <v>13608</v>
      </c>
      <c r="G1227" s="59" t="s">
        <v>5749</v>
      </c>
      <c r="H1227" s="68" t="s">
        <v>1168</v>
      </c>
      <c r="K1227" s="60">
        <v>0.3</v>
      </c>
      <c r="L1227" s="18">
        <v>1226</v>
      </c>
      <c r="M1227" s="13">
        <v>44983</v>
      </c>
      <c r="N1227" s="21">
        <v>7.67</v>
      </c>
      <c r="O1227" s="18">
        <v>0</v>
      </c>
      <c r="P1227" s="18">
        <v>0</v>
      </c>
      <c r="Q1227" s="60">
        <v>0.56999999999999995</v>
      </c>
      <c r="R1227" s="46" t="s">
        <v>13615</v>
      </c>
    </row>
    <row r="1228" spans="1:18" ht="255">
      <c r="A1228" s="33" t="s">
        <v>13616</v>
      </c>
      <c r="B1228" s="18" t="s">
        <v>7800</v>
      </c>
      <c r="C1228" s="13">
        <v>44860</v>
      </c>
      <c r="D1228" s="18" t="s">
        <v>8465</v>
      </c>
      <c r="E1228" s="10" t="s">
        <v>8000</v>
      </c>
      <c r="F1228" s="10" t="s">
        <v>8001</v>
      </c>
      <c r="G1228" s="59" t="s">
        <v>8002</v>
      </c>
      <c r="H1228" s="68" t="s">
        <v>67</v>
      </c>
      <c r="K1228" s="60">
        <v>0.65</v>
      </c>
      <c r="L1228" s="18">
        <v>1227</v>
      </c>
      <c r="M1228" s="13">
        <v>44983</v>
      </c>
      <c r="N1228" s="21">
        <v>2.2799999999999998</v>
      </c>
      <c r="O1228" s="18">
        <v>0</v>
      </c>
      <c r="P1228" s="18">
        <v>0</v>
      </c>
      <c r="R1228" s="46" t="s">
        <v>13617</v>
      </c>
    </row>
    <row r="1229" spans="1:18" ht="270">
      <c r="A1229" s="33" t="s">
        <v>11958</v>
      </c>
      <c r="B1229" s="18" t="s">
        <v>9431</v>
      </c>
      <c r="C1229" s="13">
        <v>44806</v>
      </c>
      <c r="D1229" s="18" t="s">
        <v>8465</v>
      </c>
      <c r="E1229" s="10" t="s">
        <v>6107</v>
      </c>
      <c r="F1229" s="10" t="s">
        <v>2646</v>
      </c>
      <c r="G1229" s="59" t="s">
        <v>6064</v>
      </c>
      <c r="H1229" s="68" t="s">
        <v>1168</v>
      </c>
      <c r="K1229" s="60">
        <v>0.9</v>
      </c>
      <c r="L1229" s="18">
        <v>1228</v>
      </c>
      <c r="M1229" s="13">
        <v>44985</v>
      </c>
      <c r="N1229" s="21">
        <v>13.72</v>
      </c>
      <c r="O1229" s="18">
        <v>0</v>
      </c>
      <c r="P1229" s="18">
        <v>0</v>
      </c>
      <c r="Q1229" s="60">
        <v>0.89</v>
      </c>
      <c r="R1229" s="46" t="s">
        <v>13620</v>
      </c>
    </row>
    <row r="1230" spans="1:18" ht="225">
      <c r="A1230" s="33" t="s">
        <v>5718</v>
      </c>
      <c r="B1230" s="18" t="s">
        <v>7758</v>
      </c>
      <c r="C1230" s="13">
        <v>38433</v>
      </c>
      <c r="D1230" s="18" t="s">
        <v>8465</v>
      </c>
      <c r="E1230" s="10" t="s">
        <v>2908</v>
      </c>
      <c r="F1230" s="10" t="s">
        <v>5719</v>
      </c>
      <c r="G1230" s="59" t="s">
        <v>5718</v>
      </c>
      <c r="H1230" s="68" t="s">
        <v>1059</v>
      </c>
      <c r="K1230" s="60">
        <v>0.75</v>
      </c>
      <c r="L1230" s="18">
        <v>1229</v>
      </c>
      <c r="M1230" s="13">
        <v>44986</v>
      </c>
      <c r="N1230" s="21">
        <v>7.29</v>
      </c>
      <c r="O1230" s="18">
        <v>1</v>
      </c>
      <c r="P1230" s="18">
        <v>1</v>
      </c>
      <c r="Q1230" s="60">
        <v>0.94</v>
      </c>
      <c r="R1230" s="46" t="s">
        <v>13621</v>
      </c>
    </row>
    <row r="1231" spans="1:18" ht="409.5">
      <c r="A1231" s="33" t="s">
        <v>13665</v>
      </c>
      <c r="B1231" s="18" t="s">
        <v>9440</v>
      </c>
      <c r="C1231" s="13">
        <v>44988</v>
      </c>
      <c r="D1231" s="18" t="s">
        <v>8465</v>
      </c>
      <c r="E1231" s="10" t="s">
        <v>1565</v>
      </c>
      <c r="F1231" s="10" t="s">
        <v>1136</v>
      </c>
      <c r="H1231" s="68" t="s">
        <v>171</v>
      </c>
      <c r="K1231" s="60">
        <v>0.85</v>
      </c>
      <c r="L1231" s="18">
        <v>1230</v>
      </c>
      <c r="M1231" s="13">
        <v>44990</v>
      </c>
      <c r="N1231" s="21">
        <v>23.17</v>
      </c>
      <c r="O1231" s="18">
        <v>0</v>
      </c>
      <c r="P1231" s="18">
        <v>0</v>
      </c>
      <c r="Q1231" s="60">
        <v>0.81</v>
      </c>
      <c r="R1231" s="46" t="s">
        <v>13666</v>
      </c>
    </row>
    <row r="1232" spans="1:18" ht="225">
      <c r="A1232" s="33" t="s">
        <v>12678</v>
      </c>
      <c r="B1232" s="18" t="s">
        <v>7744</v>
      </c>
      <c r="C1232" s="13">
        <v>44981</v>
      </c>
      <c r="D1232" s="18" t="s">
        <v>8465</v>
      </c>
      <c r="E1232" s="10" t="s">
        <v>86</v>
      </c>
      <c r="F1232" s="10" t="s">
        <v>30</v>
      </c>
      <c r="G1232" s="59" t="s">
        <v>223</v>
      </c>
      <c r="H1232" s="68" t="s">
        <v>64</v>
      </c>
      <c r="K1232" s="60">
        <v>0.7</v>
      </c>
      <c r="L1232" s="18">
        <v>1231</v>
      </c>
      <c r="M1232" s="13">
        <v>44991</v>
      </c>
      <c r="N1232" s="21">
        <v>5</v>
      </c>
      <c r="O1232" s="18">
        <v>0</v>
      </c>
      <c r="P1232" s="18">
        <v>0</v>
      </c>
      <c r="Q1232" s="60">
        <v>0.8</v>
      </c>
      <c r="R1232" s="46" t="s">
        <v>13682</v>
      </c>
    </row>
    <row r="1233" spans="1:18" ht="345">
      <c r="A1233" s="33" t="s">
        <v>11196</v>
      </c>
      <c r="B1233" s="18" t="s">
        <v>7800</v>
      </c>
      <c r="C1233" s="13">
        <v>43209</v>
      </c>
      <c r="D1233" s="18" t="s">
        <v>8465</v>
      </c>
      <c r="E1233" s="10" t="s">
        <v>3370</v>
      </c>
      <c r="F1233" s="10" t="s">
        <v>3370</v>
      </c>
      <c r="G1233" s="59" t="s">
        <v>4754</v>
      </c>
      <c r="H1233" s="68" t="s">
        <v>67</v>
      </c>
      <c r="I1233" s="18">
        <v>1</v>
      </c>
      <c r="K1233" s="60">
        <v>0.5</v>
      </c>
      <c r="L1233" s="18">
        <v>1232</v>
      </c>
      <c r="M1233" s="13">
        <v>44991</v>
      </c>
      <c r="N1233" s="21">
        <v>1.88</v>
      </c>
      <c r="O1233" s="18">
        <v>0</v>
      </c>
      <c r="P1233" s="18">
        <v>0</v>
      </c>
      <c r="R1233" s="46" t="s">
        <v>13688</v>
      </c>
    </row>
    <row r="1234" spans="1:18" ht="240">
      <c r="A1234" s="33" t="s">
        <v>4041</v>
      </c>
      <c r="B1234" s="18" t="s">
        <v>7800</v>
      </c>
      <c r="C1234" s="13">
        <v>42039</v>
      </c>
      <c r="D1234" s="18" t="s">
        <v>8465</v>
      </c>
      <c r="E1234" s="10" t="s">
        <v>1047</v>
      </c>
      <c r="F1234" s="10" t="s">
        <v>4042</v>
      </c>
      <c r="G1234" s="59" t="s">
        <v>4041</v>
      </c>
      <c r="H1234" s="68" t="s">
        <v>1040</v>
      </c>
      <c r="K1234" s="60">
        <v>0.6</v>
      </c>
      <c r="L1234" s="18">
        <v>1233</v>
      </c>
      <c r="M1234" s="13">
        <v>44991</v>
      </c>
      <c r="N1234" s="21">
        <v>1.58</v>
      </c>
      <c r="O1234" s="18">
        <v>1</v>
      </c>
      <c r="P1234" s="18">
        <v>0</v>
      </c>
      <c r="Q1234" s="60">
        <v>0.75</v>
      </c>
      <c r="R1234" s="46" t="s">
        <v>13689</v>
      </c>
    </row>
    <row r="1235" spans="1:18" ht="165">
      <c r="A1235" s="33" t="s">
        <v>1767</v>
      </c>
      <c r="B1235" s="18" t="s">
        <v>7744</v>
      </c>
      <c r="C1235" s="13">
        <v>44965</v>
      </c>
      <c r="D1235" s="18" t="s">
        <v>8465</v>
      </c>
      <c r="E1235" s="10" t="s">
        <v>86</v>
      </c>
      <c r="F1235" s="10" t="s">
        <v>30</v>
      </c>
      <c r="G1235" s="59" t="s">
        <v>223</v>
      </c>
      <c r="H1235" s="68" t="s">
        <v>64</v>
      </c>
      <c r="K1235" s="60">
        <v>0.6</v>
      </c>
      <c r="L1235" s="18">
        <v>1234</v>
      </c>
      <c r="M1235" s="13">
        <v>44993</v>
      </c>
      <c r="N1235" s="21">
        <v>0.56999999999999995</v>
      </c>
      <c r="O1235" s="18">
        <v>0</v>
      </c>
      <c r="P1235" s="18">
        <v>0</v>
      </c>
      <c r="R1235" s="46" t="s">
        <v>13694</v>
      </c>
    </row>
    <row r="1236" spans="1:18" ht="255">
      <c r="A1236" s="33" t="s">
        <v>1766</v>
      </c>
      <c r="B1236" s="18" t="s">
        <v>7744</v>
      </c>
      <c r="C1236" s="13">
        <v>44965</v>
      </c>
      <c r="D1236" s="18" t="s">
        <v>8465</v>
      </c>
      <c r="E1236" s="10" t="s">
        <v>86</v>
      </c>
      <c r="F1236" s="10" t="s">
        <v>86</v>
      </c>
      <c r="G1236" s="59" t="s">
        <v>137</v>
      </c>
      <c r="H1236" s="68" t="s">
        <v>64</v>
      </c>
      <c r="K1236" s="60">
        <v>0.6</v>
      </c>
      <c r="L1236" s="18">
        <v>1235</v>
      </c>
      <c r="M1236" s="13">
        <v>45000</v>
      </c>
      <c r="N1236" s="21">
        <v>1.68</v>
      </c>
      <c r="O1236" s="18">
        <v>0</v>
      </c>
      <c r="P1236" s="18">
        <v>0</v>
      </c>
      <c r="R1236" s="46" t="s">
        <v>13712</v>
      </c>
    </row>
    <row r="1237" spans="1:18" ht="240">
      <c r="A1237" s="33" t="s">
        <v>1597</v>
      </c>
      <c r="B1237" s="18" t="s">
        <v>7744</v>
      </c>
      <c r="C1237" s="13">
        <v>43672</v>
      </c>
      <c r="D1237" s="18" t="s">
        <v>8465</v>
      </c>
      <c r="E1237" s="10" t="s">
        <v>86</v>
      </c>
      <c r="F1237" s="10" t="s">
        <v>1069</v>
      </c>
      <c r="G1237" s="59" t="s">
        <v>305</v>
      </c>
      <c r="H1237" s="68" t="s">
        <v>75</v>
      </c>
      <c r="K1237" s="60">
        <v>0.9</v>
      </c>
      <c r="L1237" s="18">
        <v>1236</v>
      </c>
      <c r="M1237" s="13">
        <v>45005</v>
      </c>
      <c r="N1237" s="21">
        <v>46.43</v>
      </c>
      <c r="O1237" s="18">
        <v>0</v>
      </c>
      <c r="P1237" s="18">
        <v>0</v>
      </c>
      <c r="Q1237" s="60">
        <v>0.89</v>
      </c>
      <c r="R1237" s="46" t="s">
        <v>13810</v>
      </c>
    </row>
    <row r="1238" spans="1:18" ht="195">
      <c r="A1238" s="33" t="s">
        <v>446</v>
      </c>
      <c r="B1238" s="18" t="s">
        <v>7751</v>
      </c>
      <c r="C1238" s="13">
        <v>32844</v>
      </c>
      <c r="D1238" s="18" t="s">
        <v>8465</v>
      </c>
      <c r="E1238" s="10" t="s">
        <v>455</v>
      </c>
      <c r="F1238" s="10" t="s">
        <v>455</v>
      </c>
      <c r="G1238" s="59" t="s">
        <v>446</v>
      </c>
      <c r="H1238" s="68" t="s">
        <v>153</v>
      </c>
      <c r="K1238" s="60">
        <v>0.4</v>
      </c>
      <c r="L1238" s="18">
        <v>1237</v>
      </c>
      <c r="M1238" s="13">
        <v>45006</v>
      </c>
      <c r="N1238" s="21">
        <v>1.21</v>
      </c>
      <c r="O1238" s="18">
        <v>1</v>
      </c>
      <c r="P1238" s="18">
        <v>1</v>
      </c>
      <c r="Q1238" s="60">
        <v>0.69</v>
      </c>
      <c r="R1238" s="46" t="s">
        <v>13811</v>
      </c>
    </row>
    <row r="1239" spans="1:18" ht="90">
      <c r="A1239" s="33" t="s">
        <v>13349</v>
      </c>
      <c r="B1239" s="18" t="s">
        <v>7800</v>
      </c>
      <c r="C1239" s="13">
        <v>44581</v>
      </c>
      <c r="D1239" s="18" t="s">
        <v>8465</v>
      </c>
      <c r="E1239" s="10" t="s">
        <v>1680</v>
      </c>
      <c r="F1239" s="10" t="s">
        <v>3113</v>
      </c>
      <c r="G1239" s="59" t="s">
        <v>1682</v>
      </c>
      <c r="H1239" s="68" t="s">
        <v>1170</v>
      </c>
      <c r="K1239" s="60">
        <v>0.5</v>
      </c>
      <c r="L1239" s="18">
        <v>1238</v>
      </c>
      <c r="M1239" s="13">
        <v>45007</v>
      </c>
      <c r="N1239" s="21">
        <v>0.25</v>
      </c>
      <c r="O1239" s="18">
        <v>1</v>
      </c>
      <c r="P1239" s="18">
        <v>0</v>
      </c>
      <c r="Q1239" s="60">
        <v>0.75</v>
      </c>
      <c r="R1239" s="46" t="s">
        <v>13812</v>
      </c>
    </row>
    <row r="1240" spans="1:18" ht="270">
      <c r="A1240" s="33" t="s">
        <v>5268</v>
      </c>
      <c r="B1240" s="18" t="s">
        <v>7800</v>
      </c>
      <c r="C1240" s="13">
        <v>43276</v>
      </c>
      <c r="D1240" s="18" t="s">
        <v>8465</v>
      </c>
      <c r="E1240" s="10" t="s">
        <v>1082</v>
      </c>
      <c r="F1240" s="10" t="s">
        <v>4321</v>
      </c>
      <c r="G1240" s="59" t="s">
        <v>4320</v>
      </c>
      <c r="H1240" s="68" t="s">
        <v>67</v>
      </c>
      <c r="K1240" s="60">
        <v>0.6</v>
      </c>
      <c r="L1240" s="18">
        <v>1239</v>
      </c>
      <c r="M1240" s="13">
        <v>45007</v>
      </c>
      <c r="N1240" s="21">
        <v>1.47</v>
      </c>
      <c r="O1240" s="18">
        <v>1</v>
      </c>
      <c r="P1240" s="18">
        <v>0</v>
      </c>
      <c r="Q1240" s="60">
        <v>0.88</v>
      </c>
      <c r="R1240" s="46" t="s">
        <v>13813</v>
      </c>
    </row>
    <row r="1241" spans="1:18" ht="255">
      <c r="A1241" s="33" t="s">
        <v>439</v>
      </c>
      <c r="B1241" s="18" t="s">
        <v>6317</v>
      </c>
      <c r="C1241" s="13">
        <v>33301</v>
      </c>
      <c r="D1241" s="18" t="s">
        <v>8465</v>
      </c>
      <c r="E1241" s="10" t="s">
        <v>72</v>
      </c>
      <c r="F1241" s="10" t="s">
        <v>72</v>
      </c>
      <c r="G1241" s="59" t="s">
        <v>452</v>
      </c>
      <c r="H1241" s="68" t="s">
        <v>153</v>
      </c>
      <c r="K1241" s="60">
        <v>0.6</v>
      </c>
      <c r="L1241" s="18">
        <v>1240</v>
      </c>
      <c r="M1241" s="13">
        <v>45007</v>
      </c>
      <c r="N1241" s="21">
        <v>0.73</v>
      </c>
      <c r="O1241" s="18">
        <v>1</v>
      </c>
      <c r="P1241" s="18">
        <v>1</v>
      </c>
      <c r="R1241" s="46" t="s">
        <v>13814</v>
      </c>
    </row>
    <row r="1242" spans="1:18" ht="285">
      <c r="A1242" s="33" t="s">
        <v>13505</v>
      </c>
      <c r="B1242" s="18" t="s">
        <v>7744</v>
      </c>
      <c r="C1242" s="13">
        <v>44965</v>
      </c>
      <c r="D1242" s="18" t="s">
        <v>8465</v>
      </c>
      <c r="E1242" s="10" t="s">
        <v>86</v>
      </c>
      <c r="F1242" s="10" t="s">
        <v>1139</v>
      </c>
      <c r="G1242" s="59" t="s">
        <v>109</v>
      </c>
      <c r="H1242" s="68" t="s">
        <v>1050</v>
      </c>
      <c r="K1242" s="60">
        <v>0.8</v>
      </c>
      <c r="L1242" s="18">
        <v>1241</v>
      </c>
      <c r="M1242" s="13">
        <v>45011</v>
      </c>
      <c r="N1242" s="21">
        <v>10.92</v>
      </c>
      <c r="O1242" s="18">
        <v>0</v>
      </c>
      <c r="P1242" s="18">
        <v>0</v>
      </c>
      <c r="Q1242" s="60">
        <v>0.95</v>
      </c>
      <c r="R1242" s="46" t="s">
        <v>13950</v>
      </c>
    </row>
    <row r="1243" spans="1:18" ht="300">
      <c r="A1243" s="33" t="s">
        <v>13524</v>
      </c>
      <c r="B1243" s="18" t="s">
        <v>7783</v>
      </c>
      <c r="C1243" s="13">
        <v>43382</v>
      </c>
      <c r="D1243" s="18" t="s">
        <v>8465</v>
      </c>
      <c r="E1243" s="10" t="s">
        <v>72</v>
      </c>
      <c r="F1243" s="10" t="s">
        <v>72</v>
      </c>
      <c r="H1243" s="68" t="s">
        <v>78</v>
      </c>
      <c r="K1243" s="60">
        <v>0.8</v>
      </c>
      <c r="L1243" s="18">
        <v>1242</v>
      </c>
      <c r="M1243" s="13">
        <v>45013</v>
      </c>
      <c r="N1243" s="21">
        <v>41.1</v>
      </c>
      <c r="O1243" s="18">
        <v>0</v>
      </c>
      <c r="P1243" s="18">
        <v>0</v>
      </c>
      <c r="R1243" s="46" t="s">
        <v>13970</v>
      </c>
    </row>
    <row r="1244" spans="1:18" ht="285">
      <c r="A1244" s="33" t="s">
        <v>1607</v>
      </c>
      <c r="B1244" s="18" t="s">
        <v>7800</v>
      </c>
      <c r="C1244" s="13">
        <v>42790</v>
      </c>
      <c r="D1244" s="18" t="s">
        <v>8465</v>
      </c>
      <c r="E1244" s="10" t="s">
        <v>1608</v>
      </c>
      <c r="F1244" s="10" t="s">
        <v>1608</v>
      </c>
      <c r="G1244" s="59" t="s">
        <v>1607</v>
      </c>
      <c r="H1244" s="68" t="s">
        <v>151</v>
      </c>
      <c r="K1244" s="60">
        <v>0.95</v>
      </c>
      <c r="L1244" s="18">
        <v>1243</v>
      </c>
      <c r="M1244" s="13">
        <v>45016</v>
      </c>
      <c r="N1244" s="21">
        <v>26.07</v>
      </c>
      <c r="O1244" s="18">
        <v>1</v>
      </c>
      <c r="P1244" s="18">
        <v>0</v>
      </c>
      <c r="Q1244" s="60">
        <v>0.85</v>
      </c>
      <c r="R1244" s="46" t="s">
        <v>14009</v>
      </c>
    </row>
    <row r="1245" spans="1:18" ht="300">
      <c r="A1245" s="33" t="s">
        <v>10660</v>
      </c>
      <c r="B1245" s="18" t="s">
        <v>7781</v>
      </c>
      <c r="C1245" s="13">
        <v>43502</v>
      </c>
      <c r="D1245" s="18" t="s">
        <v>8465</v>
      </c>
      <c r="E1245" s="10" t="s">
        <v>10661</v>
      </c>
      <c r="F1245" s="10" t="s">
        <v>10661</v>
      </c>
      <c r="H1245" s="68" t="s">
        <v>1334</v>
      </c>
      <c r="K1245" s="60">
        <v>0.5</v>
      </c>
      <c r="L1245" s="18">
        <v>1244</v>
      </c>
      <c r="M1245" s="13">
        <v>45023</v>
      </c>
      <c r="O1245" s="18">
        <v>0</v>
      </c>
      <c r="P1245" s="18">
        <v>0</v>
      </c>
      <c r="R1245" s="46" t="s">
        <v>14225</v>
      </c>
    </row>
    <row r="1246" spans="1:18" ht="409.5">
      <c r="A1246" s="33" t="s">
        <v>13508</v>
      </c>
      <c r="B1246" s="18" t="s">
        <v>9431</v>
      </c>
      <c r="C1246" s="13">
        <v>44967</v>
      </c>
      <c r="D1246" s="18" t="s">
        <v>8465</v>
      </c>
      <c r="E1246" s="10" t="s">
        <v>13523</v>
      </c>
      <c r="F1246" s="10" t="s">
        <v>11989</v>
      </c>
      <c r="G1246" s="59" t="s">
        <v>13449</v>
      </c>
      <c r="H1246" s="68" t="s">
        <v>171</v>
      </c>
      <c r="K1246" s="60">
        <v>0.5</v>
      </c>
      <c r="L1246" s="18">
        <v>1245</v>
      </c>
      <c r="M1246" s="13">
        <v>45026</v>
      </c>
      <c r="N1246" s="21">
        <v>21</v>
      </c>
      <c r="O1246" s="18">
        <v>0</v>
      </c>
      <c r="P1246" s="18">
        <v>0</v>
      </c>
      <c r="Q1246" s="60">
        <v>0.85</v>
      </c>
      <c r="R1246" s="46" t="s">
        <v>14301</v>
      </c>
    </row>
    <row r="1247" spans="1:18" ht="255">
      <c r="A1247" s="33" t="s">
        <v>14136</v>
      </c>
      <c r="B1247" s="18" t="s">
        <v>7800</v>
      </c>
      <c r="C1247" s="13">
        <v>44440</v>
      </c>
      <c r="D1247" s="18" t="s">
        <v>8465</v>
      </c>
      <c r="E1247" s="10" t="s">
        <v>14137</v>
      </c>
      <c r="F1247" s="10" t="s">
        <v>14137</v>
      </c>
      <c r="H1247" s="68" t="s">
        <v>67</v>
      </c>
      <c r="K1247" s="60">
        <v>0.2</v>
      </c>
      <c r="L1247" s="18">
        <v>1246</v>
      </c>
      <c r="M1247" s="13">
        <v>45027</v>
      </c>
      <c r="N1247" s="21">
        <v>0.12</v>
      </c>
      <c r="O1247" s="18">
        <v>0</v>
      </c>
      <c r="P1247" s="18">
        <v>0</v>
      </c>
      <c r="R1247" s="46" t="s">
        <v>14305</v>
      </c>
    </row>
    <row r="1248" spans="1:18" ht="285">
      <c r="A1248" s="33" t="s">
        <v>9258</v>
      </c>
      <c r="B1248" s="18" t="s">
        <v>7760</v>
      </c>
      <c r="C1248" s="13">
        <v>44078</v>
      </c>
      <c r="D1248" s="18" t="s">
        <v>8465</v>
      </c>
      <c r="E1248" s="10" t="s">
        <v>1082</v>
      </c>
      <c r="F1248" s="10" t="s">
        <v>1198</v>
      </c>
      <c r="G1248" s="59" t="s">
        <v>1308</v>
      </c>
      <c r="H1248" s="68" t="s">
        <v>80</v>
      </c>
      <c r="K1248" s="60">
        <v>0.6</v>
      </c>
      <c r="L1248" s="18">
        <v>1247</v>
      </c>
      <c r="M1248" s="13">
        <v>45030</v>
      </c>
      <c r="N1248" s="21">
        <v>9</v>
      </c>
      <c r="O1248" s="18">
        <v>0</v>
      </c>
      <c r="P1248" s="18">
        <v>0</v>
      </c>
      <c r="Q1248" s="60">
        <v>0.75</v>
      </c>
      <c r="R1248" s="46" t="s">
        <v>14309</v>
      </c>
    </row>
    <row r="1249" spans="1:18" ht="375">
      <c r="A1249" s="33" t="s">
        <v>13713</v>
      </c>
      <c r="B1249" s="18" t="s">
        <v>7783</v>
      </c>
      <c r="C1249" s="13">
        <v>43890</v>
      </c>
      <c r="D1249" s="18" t="s">
        <v>8465</v>
      </c>
      <c r="E1249" s="10" t="s">
        <v>13714</v>
      </c>
      <c r="F1249" s="10" t="s">
        <v>13714</v>
      </c>
      <c r="G1249" s="59" t="s">
        <v>13715</v>
      </c>
      <c r="H1249" s="68" t="s">
        <v>78</v>
      </c>
      <c r="K1249" s="60">
        <v>0.5</v>
      </c>
      <c r="L1249" s="18">
        <v>1248</v>
      </c>
      <c r="M1249" s="13">
        <v>45032</v>
      </c>
      <c r="N1249" s="21">
        <v>10.98</v>
      </c>
      <c r="O1249" s="18">
        <v>0</v>
      </c>
      <c r="P1249" s="18">
        <v>0</v>
      </c>
      <c r="R1249" s="46" t="s">
        <v>14312</v>
      </c>
    </row>
    <row r="1250" spans="1:18" ht="240">
      <c r="A1250" s="33" t="s">
        <v>14438</v>
      </c>
      <c r="B1250" s="18" t="s">
        <v>7781</v>
      </c>
      <c r="C1250" s="13">
        <v>44633</v>
      </c>
      <c r="D1250" s="18" t="s">
        <v>8465</v>
      </c>
      <c r="E1250" s="10" t="s">
        <v>14439</v>
      </c>
      <c r="F1250" s="10" t="s">
        <v>14439</v>
      </c>
      <c r="H1250" s="68" t="s">
        <v>78</v>
      </c>
      <c r="K1250" s="60">
        <v>0.5</v>
      </c>
      <c r="L1250" s="18">
        <v>1249</v>
      </c>
      <c r="M1250" s="13">
        <v>45039</v>
      </c>
      <c r="O1250" s="18">
        <v>0</v>
      </c>
      <c r="P1250" s="18">
        <v>0</v>
      </c>
      <c r="R1250" s="46" t="s">
        <v>14440</v>
      </c>
    </row>
    <row r="1251" spans="1:18" ht="270">
      <c r="A1251" s="33" t="s">
        <v>12502</v>
      </c>
      <c r="B1251" s="18" t="s">
        <v>7744</v>
      </c>
      <c r="C1251" s="13">
        <v>44981</v>
      </c>
      <c r="D1251" s="18" t="s">
        <v>8465</v>
      </c>
      <c r="E1251" s="10" t="s">
        <v>1082</v>
      </c>
      <c r="F1251" s="10" t="s">
        <v>1082</v>
      </c>
      <c r="G1251" s="59" t="s">
        <v>1637</v>
      </c>
      <c r="H1251" s="68" t="s">
        <v>149</v>
      </c>
      <c r="K1251" s="60">
        <v>0.9</v>
      </c>
      <c r="L1251" s="18">
        <v>1250</v>
      </c>
      <c r="M1251" s="13">
        <v>45041</v>
      </c>
      <c r="N1251" s="21">
        <v>63.33</v>
      </c>
      <c r="O1251" s="18">
        <v>0</v>
      </c>
      <c r="P1251" s="18">
        <v>0</v>
      </c>
      <c r="Q1251" s="60">
        <v>0.84</v>
      </c>
      <c r="R1251" s="46" t="s">
        <v>14549</v>
      </c>
    </row>
    <row r="1252" spans="1:18" ht="180">
      <c r="A1252" s="33" t="s">
        <v>6196</v>
      </c>
      <c r="B1252" s="18" t="s">
        <v>7763</v>
      </c>
      <c r="C1252" s="13">
        <v>41600</v>
      </c>
      <c r="D1252" s="18" t="s">
        <v>8465</v>
      </c>
      <c r="E1252" s="10" t="s">
        <v>2908</v>
      </c>
      <c r="F1252" s="10" t="s">
        <v>5963</v>
      </c>
      <c r="G1252" s="59" t="s">
        <v>6196</v>
      </c>
      <c r="H1252" s="68" t="s">
        <v>1040</v>
      </c>
      <c r="K1252" s="60">
        <v>0.6</v>
      </c>
      <c r="L1252" s="18">
        <v>1251</v>
      </c>
      <c r="M1252" s="13">
        <v>45043</v>
      </c>
      <c r="O1252" s="18">
        <v>0</v>
      </c>
      <c r="P1252" s="18">
        <v>0</v>
      </c>
      <c r="Q1252" s="60">
        <v>0.88</v>
      </c>
      <c r="R1252" s="46" t="s">
        <v>14567</v>
      </c>
    </row>
    <row r="1253" spans="1:18" ht="180">
      <c r="A1253" s="33" t="s">
        <v>14308</v>
      </c>
      <c r="B1253" s="18" t="s">
        <v>7800</v>
      </c>
      <c r="C1253" s="13">
        <v>45029</v>
      </c>
      <c r="D1253" s="18" t="s">
        <v>8465</v>
      </c>
      <c r="E1253" s="10" t="s">
        <v>12636</v>
      </c>
      <c r="F1253" s="10" t="s">
        <v>12636</v>
      </c>
      <c r="G1253" s="59" t="s">
        <v>12627</v>
      </c>
      <c r="H1253" s="68" t="s">
        <v>1518</v>
      </c>
      <c r="K1253" s="60">
        <v>0.7</v>
      </c>
      <c r="L1253" s="18">
        <v>1252</v>
      </c>
      <c r="M1253" s="13">
        <v>45046</v>
      </c>
      <c r="N1253" s="21">
        <v>8.3000000000000007</v>
      </c>
      <c r="O1253" s="18">
        <v>1</v>
      </c>
      <c r="P1253" s="18">
        <v>0</v>
      </c>
      <c r="R1253" s="46" t="s">
        <v>14590</v>
      </c>
    </row>
    <row r="1254" spans="1:18" ht="409.5">
      <c r="A1254" s="33" t="s">
        <v>13030</v>
      </c>
      <c r="B1254" s="18" t="s">
        <v>7783</v>
      </c>
      <c r="C1254" s="13">
        <v>44827</v>
      </c>
      <c r="D1254" s="18" t="s">
        <v>8465</v>
      </c>
      <c r="E1254" s="10" t="s">
        <v>4989</v>
      </c>
      <c r="F1254" s="10" t="s">
        <v>13031</v>
      </c>
      <c r="G1254" s="59" t="s">
        <v>4988</v>
      </c>
      <c r="H1254" s="68" t="s">
        <v>1518</v>
      </c>
      <c r="K1254" s="60">
        <v>0.5</v>
      </c>
      <c r="L1254" s="18">
        <v>1253</v>
      </c>
      <c r="M1254" s="13">
        <v>45046</v>
      </c>
      <c r="N1254" s="21">
        <v>9.75</v>
      </c>
      <c r="O1254" s="18">
        <v>0</v>
      </c>
      <c r="P1254" s="18">
        <v>0</v>
      </c>
      <c r="Q1254" s="60">
        <v>0.79</v>
      </c>
      <c r="R1254" s="46" t="s">
        <v>14612</v>
      </c>
    </row>
    <row r="1255" spans="1:18" ht="150">
      <c r="A1255" s="33" t="s">
        <v>10455</v>
      </c>
      <c r="B1255" s="18" t="s">
        <v>7783</v>
      </c>
      <c r="C1255" s="13">
        <v>44120</v>
      </c>
      <c r="D1255" s="18" t="s">
        <v>8465</v>
      </c>
      <c r="E1255" s="10" t="s">
        <v>10456</v>
      </c>
      <c r="F1255" s="10" t="s">
        <v>14595</v>
      </c>
      <c r="H1255" s="68" t="s">
        <v>67</v>
      </c>
      <c r="K1255" s="60">
        <v>0.2</v>
      </c>
      <c r="L1255" s="18">
        <v>1254</v>
      </c>
      <c r="M1255" s="13">
        <v>45047</v>
      </c>
      <c r="N1255" s="21">
        <v>1.22</v>
      </c>
      <c r="O1255" s="18">
        <v>0</v>
      </c>
      <c r="P1255" s="18">
        <v>0</v>
      </c>
      <c r="R1255" s="46" t="s">
        <v>14596</v>
      </c>
    </row>
    <row r="1256" spans="1:18" ht="120">
      <c r="A1256" s="33" t="s">
        <v>10431</v>
      </c>
      <c r="B1256" s="18" t="s">
        <v>7783</v>
      </c>
      <c r="C1256" s="13">
        <v>43910</v>
      </c>
      <c r="D1256" s="18" t="s">
        <v>8465</v>
      </c>
      <c r="E1256" s="10" t="s">
        <v>1687</v>
      </c>
      <c r="F1256" s="10" t="s">
        <v>1687</v>
      </c>
      <c r="H1256" s="68" t="s">
        <v>80</v>
      </c>
      <c r="K1256" s="60">
        <v>0.6</v>
      </c>
      <c r="L1256" s="18">
        <v>1255</v>
      </c>
      <c r="M1256" s="13">
        <v>45047</v>
      </c>
      <c r="N1256" s="21">
        <v>1.65</v>
      </c>
      <c r="O1256" s="18">
        <v>0</v>
      </c>
      <c r="P1256" s="18">
        <v>0</v>
      </c>
      <c r="Q1256" s="60">
        <v>0.75</v>
      </c>
      <c r="R1256" s="46" t="s">
        <v>14607</v>
      </c>
    </row>
    <row r="1257" spans="1:18" ht="165">
      <c r="A1257" s="33" t="s">
        <v>14609</v>
      </c>
      <c r="B1257" s="18" t="s">
        <v>7783</v>
      </c>
      <c r="C1257" s="13">
        <v>43727</v>
      </c>
      <c r="D1257" s="18" t="s">
        <v>8465</v>
      </c>
      <c r="E1257" s="10" t="s">
        <v>14610</v>
      </c>
      <c r="F1257" s="10" t="s">
        <v>14610</v>
      </c>
      <c r="H1257" s="68" t="s">
        <v>67</v>
      </c>
      <c r="K1257" s="60">
        <v>0.5</v>
      </c>
      <c r="L1257" s="18">
        <v>1256</v>
      </c>
      <c r="M1257" s="13">
        <v>45048</v>
      </c>
      <c r="N1257" s="21">
        <v>1.35</v>
      </c>
      <c r="O1257" s="18">
        <v>0</v>
      </c>
      <c r="P1257" s="18">
        <v>0</v>
      </c>
      <c r="R1257" s="46" t="s">
        <v>14611</v>
      </c>
    </row>
    <row r="1258" spans="1:18" ht="300">
      <c r="A1258" s="33" t="s">
        <v>1544</v>
      </c>
      <c r="B1258" s="18" t="s">
        <v>7800</v>
      </c>
      <c r="C1258" s="13">
        <v>44953</v>
      </c>
      <c r="D1258" s="18" t="s">
        <v>8465</v>
      </c>
      <c r="E1258" s="10" t="s">
        <v>231</v>
      </c>
      <c r="F1258" s="10" t="s">
        <v>14628</v>
      </c>
      <c r="G1258" s="59" t="s">
        <v>1544</v>
      </c>
      <c r="H1258" s="68" t="s">
        <v>1061</v>
      </c>
      <c r="K1258" s="60">
        <v>0.8</v>
      </c>
      <c r="L1258" s="18">
        <v>1257</v>
      </c>
      <c r="M1258" s="13">
        <v>45049</v>
      </c>
      <c r="N1258" s="21">
        <v>11.43</v>
      </c>
      <c r="O1258" s="18">
        <v>0</v>
      </c>
      <c r="P1258" s="18">
        <v>0</v>
      </c>
      <c r="Q1258" s="60">
        <v>0.87</v>
      </c>
      <c r="R1258" s="46" t="s">
        <v>14629</v>
      </c>
    </row>
    <row r="1259" spans="1:18" ht="409.5">
      <c r="A1259" s="33" t="s">
        <v>14631</v>
      </c>
      <c r="B1259" s="18" t="s">
        <v>7783</v>
      </c>
      <c r="C1259" s="13">
        <v>44617</v>
      </c>
      <c r="D1259" s="18" t="s">
        <v>8465</v>
      </c>
      <c r="E1259" s="10" t="s">
        <v>3181</v>
      </c>
      <c r="F1259" s="10" t="s">
        <v>3181</v>
      </c>
      <c r="H1259" s="68" t="s">
        <v>64</v>
      </c>
      <c r="K1259" s="60">
        <v>0.6</v>
      </c>
      <c r="L1259" s="18">
        <v>1258</v>
      </c>
      <c r="M1259" s="13">
        <v>45051</v>
      </c>
      <c r="N1259" s="21">
        <v>1.21</v>
      </c>
      <c r="O1259" s="18">
        <v>0</v>
      </c>
      <c r="P1259" s="18">
        <v>0</v>
      </c>
      <c r="R1259" s="46" t="s">
        <v>14632</v>
      </c>
    </row>
    <row r="1260" spans="1:18" ht="409.5">
      <c r="A1260" s="33" t="s">
        <v>14649</v>
      </c>
      <c r="B1260" s="18" t="s">
        <v>7783</v>
      </c>
      <c r="C1260" s="13">
        <v>44812</v>
      </c>
      <c r="D1260" s="18" t="s">
        <v>8465</v>
      </c>
      <c r="E1260" s="10" t="s">
        <v>14650</v>
      </c>
      <c r="F1260" s="10" t="s">
        <v>14651</v>
      </c>
      <c r="H1260" s="68" t="s">
        <v>56</v>
      </c>
      <c r="K1260" s="60">
        <v>0.4</v>
      </c>
      <c r="L1260" s="18">
        <v>1259</v>
      </c>
      <c r="M1260" s="13">
        <v>45052</v>
      </c>
      <c r="N1260" s="21">
        <v>1.18</v>
      </c>
      <c r="O1260" s="18">
        <v>0</v>
      </c>
      <c r="P1260" s="18">
        <v>0</v>
      </c>
      <c r="R1260" s="46" t="s">
        <v>14680</v>
      </c>
    </row>
    <row r="1261" spans="1:18" ht="285">
      <c r="A1261" s="33" t="s">
        <v>11316</v>
      </c>
      <c r="B1261" s="18" t="s">
        <v>7744</v>
      </c>
      <c r="C1261" s="13">
        <v>44729</v>
      </c>
      <c r="D1261" s="18" t="s">
        <v>8465</v>
      </c>
      <c r="E1261" s="10" t="s">
        <v>12083</v>
      </c>
      <c r="F1261" s="10" t="s">
        <v>12083</v>
      </c>
      <c r="H1261" s="68" t="s">
        <v>149</v>
      </c>
      <c r="K1261" s="60">
        <v>0.8</v>
      </c>
      <c r="L1261" s="18">
        <v>1260</v>
      </c>
      <c r="M1261" s="13">
        <v>45053</v>
      </c>
      <c r="N1261" s="21">
        <v>18.62</v>
      </c>
      <c r="O1261" s="18">
        <v>0</v>
      </c>
      <c r="P1261" s="18">
        <v>0</v>
      </c>
      <c r="R1261" s="46" t="s">
        <v>14684</v>
      </c>
    </row>
    <row r="1262" spans="1:18" ht="300">
      <c r="A1262" s="33" t="s">
        <v>10432</v>
      </c>
      <c r="B1262" s="18" t="s">
        <v>7783</v>
      </c>
      <c r="C1262" s="13">
        <v>43749</v>
      </c>
      <c r="D1262" s="18" t="s">
        <v>8465</v>
      </c>
      <c r="E1262" s="10" t="s">
        <v>10443</v>
      </c>
      <c r="F1262" s="10" t="s">
        <v>10443</v>
      </c>
      <c r="H1262" s="68" t="s">
        <v>1267</v>
      </c>
      <c r="K1262" s="60">
        <v>0.4</v>
      </c>
      <c r="L1262" s="18">
        <v>1261</v>
      </c>
      <c r="M1262" s="13">
        <v>45054</v>
      </c>
      <c r="N1262" s="21">
        <v>2.17</v>
      </c>
      <c r="O1262" s="18">
        <v>0</v>
      </c>
      <c r="P1262" s="18">
        <v>0</v>
      </c>
      <c r="Q1262" s="60">
        <v>0.7</v>
      </c>
      <c r="R1262" s="46" t="s">
        <v>14740</v>
      </c>
    </row>
    <row r="1263" spans="1:18" ht="409.5">
      <c r="A1263" s="33" t="s">
        <v>10433</v>
      </c>
      <c r="B1263" s="18" t="s">
        <v>7783</v>
      </c>
      <c r="C1263" s="13">
        <v>43777</v>
      </c>
      <c r="D1263" s="18" t="s">
        <v>8465</v>
      </c>
      <c r="E1263" s="10" t="s">
        <v>10444</v>
      </c>
      <c r="F1263" s="10" t="s">
        <v>10444</v>
      </c>
      <c r="H1263" s="68" t="s">
        <v>67</v>
      </c>
      <c r="K1263" s="60">
        <v>0.3</v>
      </c>
      <c r="L1263" s="18">
        <v>1262</v>
      </c>
      <c r="M1263" s="13">
        <v>45055</v>
      </c>
      <c r="N1263" s="21">
        <v>1.65</v>
      </c>
      <c r="O1263" s="18">
        <v>0</v>
      </c>
      <c r="P1263" s="18">
        <v>0</v>
      </c>
      <c r="R1263" s="46" t="s">
        <v>14742</v>
      </c>
    </row>
    <row r="1264" spans="1:18" ht="315">
      <c r="A1264" s="33" t="s">
        <v>10416</v>
      </c>
      <c r="B1264" s="18" t="s">
        <v>7783</v>
      </c>
      <c r="C1264" s="13">
        <v>43727</v>
      </c>
      <c r="D1264" s="18" t="s">
        <v>8465</v>
      </c>
      <c r="E1264" s="10" t="s">
        <v>3063</v>
      </c>
      <c r="F1264" s="10" t="s">
        <v>10436</v>
      </c>
      <c r="H1264" s="68" t="s">
        <v>171</v>
      </c>
      <c r="K1264" s="60">
        <v>0.7</v>
      </c>
      <c r="L1264" s="18">
        <v>1263</v>
      </c>
      <c r="M1264" s="13">
        <v>45057</v>
      </c>
      <c r="N1264" s="21">
        <v>2.65</v>
      </c>
      <c r="O1264" s="18">
        <v>0</v>
      </c>
      <c r="P1264" s="18">
        <v>0</v>
      </c>
      <c r="R1264" s="46" t="s">
        <v>14760</v>
      </c>
    </row>
    <row r="1265" spans="1:18" ht="255">
      <c r="A1265" s="33" t="s">
        <v>14593</v>
      </c>
      <c r="B1265" s="18" t="s">
        <v>7800</v>
      </c>
      <c r="C1265" s="13">
        <v>44993</v>
      </c>
      <c r="D1265" s="18" t="s">
        <v>8465</v>
      </c>
      <c r="E1265" s="10" t="s">
        <v>1082</v>
      </c>
      <c r="F1265" s="10" t="s">
        <v>8609</v>
      </c>
      <c r="H1265" s="68" t="s">
        <v>1057</v>
      </c>
      <c r="K1265" s="60">
        <v>0.85</v>
      </c>
      <c r="L1265" s="18">
        <v>1264</v>
      </c>
      <c r="M1265" s="13">
        <v>45058</v>
      </c>
      <c r="N1265" s="21">
        <v>11.33</v>
      </c>
      <c r="O1265" s="18">
        <v>1</v>
      </c>
      <c r="P1265" s="18">
        <v>0</v>
      </c>
      <c r="R1265" s="46" t="s">
        <v>14762</v>
      </c>
    </row>
    <row r="1266" spans="1:18" ht="135">
      <c r="A1266" s="33" t="s">
        <v>14681</v>
      </c>
      <c r="B1266" s="18" t="s">
        <v>7744</v>
      </c>
      <c r="C1266" s="13">
        <v>44835</v>
      </c>
      <c r="D1266" s="18" t="s">
        <v>8465</v>
      </c>
      <c r="E1266" s="10" t="s">
        <v>14682</v>
      </c>
      <c r="F1266" s="10" t="s">
        <v>14682</v>
      </c>
      <c r="H1266" s="68" t="s">
        <v>21</v>
      </c>
      <c r="K1266" s="60">
        <v>0.5</v>
      </c>
      <c r="L1266" s="18">
        <v>1265</v>
      </c>
      <c r="M1266" s="13">
        <v>45058</v>
      </c>
      <c r="O1266" s="18">
        <v>0</v>
      </c>
      <c r="P1266" s="18">
        <v>0</v>
      </c>
      <c r="R1266" s="46" t="s">
        <v>14763</v>
      </c>
    </row>
    <row r="1267" spans="1:18" ht="105">
      <c r="A1267" s="33" t="s">
        <v>6161</v>
      </c>
      <c r="B1267" s="18" t="s">
        <v>6317</v>
      </c>
      <c r="C1267" s="13">
        <v>36006</v>
      </c>
      <c r="D1267" s="18" t="s">
        <v>8465</v>
      </c>
      <c r="E1267" s="10" t="s">
        <v>158</v>
      </c>
      <c r="F1267" s="10" t="s">
        <v>6724</v>
      </c>
      <c r="G1267" s="59" t="s">
        <v>6161</v>
      </c>
      <c r="H1267" s="68" t="s">
        <v>459</v>
      </c>
      <c r="K1267" s="60">
        <v>0.5</v>
      </c>
      <c r="L1267" s="18">
        <v>1266</v>
      </c>
      <c r="M1267" s="13">
        <v>45060</v>
      </c>
      <c r="O1267" s="18">
        <v>0</v>
      </c>
      <c r="P1267" s="18">
        <v>0</v>
      </c>
      <c r="R1267" s="46" t="s">
        <v>14764</v>
      </c>
    </row>
    <row r="1268" spans="1:18" ht="240">
      <c r="A1268" s="33" t="s">
        <v>14765</v>
      </c>
      <c r="B1268" s="18" t="s">
        <v>7783</v>
      </c>
      <c r="C1268" s="13">
        <v>43732</v>
      </c>
      <c r="D1268" s="18" t="s">
        <v>8465</v>
      </c>
      <c r="E1268" s="10" t="s">
        <v>7877</v>
      </c>
      <c r="F1268" s="10" t="s">
        <v>7717</v>
      </c>
      <c r="G1268" s="59" t="s">
        <v>7716</v>
      </c>
      <c r="H1268" s="68" t="s">
        <v>171</v>
      </c>
      <c r="K1268" s="60">
        <v>0.7</v>
      </c>
      <c r="L1268" s="18">
        <v>1267</v>
      </c>
      <c r="M1268" s="13">
        <v>45062</v>
      </c>
      <c r="N1268" s="21">
        <v>4.67</v>
      </c>
      <c r="O1268" s="18">
        <v>0</v>
      </c>
      <c r="P1268" s="18">
        <v>0</v>
      </c>
      <c r="R1268" s="46" t="s">
        <v>14766</v>
      </c>
    </row>
    <row r="1269" spans="1:18" ht="255">
      <c r="A1269" s="33" t="s">
        <v>4732</v>
      </c>
      <c r="B1269" s="18" t="s">
        <v>7800</v>
      </c>
      <c r="C1269" s="13">
        <v>39365</v>
      </c>
      <c r="D1269" s="18" t="s">
        <v>8465</v>
      </c>
      <c r="E1269" s="10" t="s">
        <v>4070</v>
      </c>
      <c r="F1269" s="10" t="s">
        <v>4070</v>
      </c>
      <c r="G1269" s="59" t="s">
        <v>4732</v>
      </c>
      <c r="H1269" s="68" t="s">
        <v>27</v>
      </c>
      <c r="K1269" s="60">
        <v>0.8</v>
      </c>
      <c r="L1269" s="18">
        <v>1268</v>
      </c>
      <c r="M1269" s="13">
        <v>45062</v>
      </c>
      <c r="N1269" s="21">
        <v>2.2999999999999998</v>
      </c>
      <c r="O1269" s="18">
        <v>1</v>
      </c>
      <c r="P1269" s="18">
        <v>0</v>
      </c>
      <c r="Q1269" s="60">
        <v>0.89</v>
      </c>
      <c r="R1269" s="46" t="s">
        <v>14767</v>
      </c>
    </row>
    <row r="1270" spans="1:18" ht="285">
      <c r="A1270" s="33" t="s">
        <v>920</v>
      </c>
      <c r="B1270" s="18" t="s">
        <v>7800</v>
      </c>
      <c r="C1270" s="13">
        <v>45009</v>
      </c>
      <c r="D1270" s="18" t="s">
        <v>8465</v>
      </c>
      <c r="E1270" s="10" t="s">
        <v>73</v>
      </c>
      <c r="F1270" s="10" t="s">
        <v>73</v>
      </c>
      <c r="G1270" s="59" t="s">
        <v>943</v>
      </c>
      <c r="H1270" s="68" t="s">
        <v>1061</v>
      </c>
      <c r="K1270" s="60">
        <v>0.9</v>
      </c>
      <c r="L1270" s="18">
        <v>1269</v>
      </c>
      <c r="M1270" s="13">
        <v>45066</v>
      </c>
      <c r="N1270" s="21">
        <v>15.02</v>
      </c>
      <c r="O1270" s="18">
        <v>0</v>
      </c>
      <c r="P1270" s="18">
        <v>0</v>
      </c>
      <c r="Q1270" s="60">
        <v>0.92</v>
      </c>
      <c r="R1270" s="46" t="s">
        <v>14814</v>
      </c>
    </row>
    <row r="1271" spans="1:18" ht="150">
      <c r="A1271" s="33" t="s">
        <v>14815</v>
      </c>
      <c r="B1271" s="18" t="s">
        <v>7783</v>
      </c>
      <c r="C1271" s="13">
        <v>43770</v>
      </c>
      <c r="D1271" s="18" t="s">
        <v>8465</v>
      </c>
      <c r="E1271" s="10" t="s">
        <v>3544</v>
      </c>
      <c r="F1271" s="10" t="s">
        <v>1559</v>
      </c>
      <c r="H1271" s="68" t="s">
        <v>67</v>
      </c>
      <c r="K1271" s="60">
        <v>0.3</v>
      </c>
      <c r="L1271" s="18">
        <v>1270</v>
      </c>
      <c r="M1271" s="13">
        <v>45067</v>
      </c>
      <c r="N1271" s="21">
        <v>2.38</v>
      </c>
      <c r="O1271" s="18">
        <v>0</v>
      </c>
      <c r="P1271" s="18">
        <v>0</v>
      </c>
      <c r="R1271" s="46" t="s">
        <v>14816</v>
      </c>
    </row>
    <row r="1272" spans="1:18" ht="255">
      <c r="A1272" s="33" t="s">
        <v>943</v>
      </c>
      <c r="B1272" s="18" t="s">
        <v>7800</v>
      </c>
      <c r="C1272" s="13">
        <v>42024</v>
      </c>
      <c r="D1272" s="18" t="s">
        <v>8465</v>
      </c>
      <c r="E1272" s="10" t="s">
        <v>73</v>
      </c>
      <c r="F1272" s="10" t="s">
        <v>73</v>
      </c>
      <c r="G1272" s="59" t="s">
        <v>943</v>
      </c>
      <c r="H1272" s="68" t="s">
        <v>1061</v>
      </c>
      <c r="K1272" s="60">
        <v>0.8</v>
      </c>
      <c r="L1272" s="18">
        <v>1271</v>
      </c>
      <c r="M1272" s="13">
        <v>45075</v>
      </c>
      <c r="N1272" s="21">
        <v>8.8699999999999992</v>
      </c>
      <c r="O1272" s="18">
        <v>1</v>
      </c>
      <c r="P1272" s="18">
        <v>0</v>
      </c>
      <c r="Q1272" s="60">
        <v>0.83</v>
      </c>
      <c r="R1272" s="46" t="s">
        <v>14975</v>
      </c>
    </row>
    <row r="1273" spans="1:18" ht="300">
      <c r="A1273" s="33" t="s">
        <v>14810</v>
      </c>
      <c r="B1273" s="18" t="s">
        <v>7744</v>
      </c>
      <c r="C1273" s="13">
        <v>45058</v>
      </c>
      <c r="D1273" s="18" t="s">
        <v>8465</v>
      </c>
      <c r="E1273" s="10" t="s">
        <v>86</v>
      </c>
      <c r="F1273" s="10" t="s">
        <v>1138</v>
      </c>
      <c r="G1273" s="59" t="s">
        <v>85</v>
      </c>
      <c r="H1273" s="68" t="s">
        <v>80</v>
      </c>
      <c r="K1273" s="60">
        <v>1</v>
      </c>
      <c r="L1273" s="18">
        <v>1272</v>
      </c>
      <c r="M1273" s="13">
        <v>45077</v>
      </c>
      <c r="N1273" s="21">
        <v>50</v>
      </c>
      <c r="O1273" s="18">
        <v>0</v>
      </c>
      <c r="P1273" s="18">
        <v>0</v>
      </c>
      <c r="Q1273" s="60">
        <v>0.96</v>
      </c>
      <c r="R1273" s="46" t="s">
        <v>14987</v>
      </c>
    </row>
    <row r="1274" spans="1:18" ht="255">
      <c r="A1274" s="33" t="s">
        <v>11894</v>
      </c>
      <c r="B1274" s="18" t="s">
        <v>7800</v>
      </c>
      <c r="C1274" s="13">
        <v>44621</v>
      </c>
      <c r="D1274" s="18" t="s">
        <v>8465</v>
      </c>
      <c r="E1274" s="10" t="s">
        <v>9438</v>
      </c>
      <c r="F1274" s="10" t="s">
        <v>3600</v>
      </c>
      <c r="G1274" s="59" t="s">
        <v>4849</v>
      </c>
      <c r="H1274" s="68" t="s">
        <v>1518</v>
      </c>
      <c r="K1274" s="60">
        <v>0.9</v>
      </c>
      <c r="L1274" s="18">
        <v>1273</v>
      </c>
      <c r="M1274" s="13">
        <v>45078</v>
      </c>
      <c r="N1274" s="21">
        <v>54.28</v>
      </c>
      <c r="O1274" s="18">
        <v>0</v>
      </c>
      <c r="P1274" s="18">
        <v>0</v>
      </c>
      <c r="R1274" s="46" t="s">
        <v>15017</v>
      </c>
    </row>
    <row r="1275" spans="1:18" ht="240">
      <c r="A1275" s="33" t="s">
        <v>5136</v>
      </c>
      <c r="B1275" s="18" t="s">
        <v>7800</v>
      </c>
      <c r="C1275" s="13">
        <v>41730</v>
      </c>
      <c r="D1275" s="18" t="s">
        <v>8465</v>
      </c>
      <c r="E1275" s="10" t="s">
        <v>3905</v>
      </c>
      <c r="F1275" s="10" t="s">
        <v>5137</v>
      </c>
      <c r="H1275" s="68" t="s">
        <v>78</v>
      </c>
      <c r="K1275" s="60">
        <v>0.2</v>
      </c>
      <c r="L1275" s="18">
        <v>1274</v>
      </c>
      <c r="M1275" s="13">
        <v>45079</v>
      </c>
      <c r="N1275" s="21">
        <v>0.73</v>
      </c>
      <c r="O1275" s="18">
        <v>1</v>
      </c>
      <c r="P1275" s="18">
        <v>0</v>
      </c>
      <c r="R1275" s="46" t="s">
        <v>15019</v>
      </c>
    </row>
    <row r="1276" spans="1:18" ht="210">
      <c r="A1276" s="33" t="s">
        <v>13512</v>
      </c>
      <c r="B1276" s="18" t="s">
        <v>7744</v>
      </c>
      <c r="C1276" s="13">
        <v>45002</v>
      </c>
      <c r="D1276" s="18" t="s">
        <v>8465</v>
      </c>
      <c r="E1276" s="10" t="s">
        <v>86</v>
      </c>
      <c r="F1276" s="10" t="s">
        <v>1058</v>
      </c>
      <c r="G1276" s="59" t="s">
        <v>1090</v>
      </c>
      <c r="H1276" s="68" t="s">
        <v>80</v>
      </c>
      <c r="K1276" s="60">
        <v>0.75</v>
      </c>
      <c r="L1276" s="18">
        <v>1275</v>
      </c>
      <c r="M1276" s="13">
        <v>45080</v>
      </c>
      <c r="N1276" s="21">
        <v>10</v>
      </c>
      <c r="O1276" s="18">
        <v>0</v>
      </c>
      <c r="P1276" s="18">
        <v>0</v>
      </c>
      <c r="Q1276" s="60">
        <v>0.8</v>
      </c>
      <c r="R1276" s="46" t="s">
        <v>15024</v>
      </c>
    </row>
    <row r="1277" spans="1:18" ht="135">
      <c r="A1277" s="33" t="s">
        <v>3209</v>
      </c>
      <c r="B1277" s="18" t="s">
        <v>7800</v>
      </c>
      <c r="C1277" s="13">
        <v>42069</v>
      </c>
      <c r="D1277" s="18" t="s">
        <v>8465</v>
      </c>
      <c r="E1277" s="10" t="s">
        <v>3159</v>
      </c>
      <c r="F1277" s="10" t="s">
        <v>3210</v>
      </c>
      <c r="H1277" s="68" t="s">
        <v>21</v>
      </c>
      <c r="K1277" s="60">
        <v>0.5</v>
      </c>
      <c r="L1277" s="18">
        <v>1276</v>
      </c>
      <c r="M1277" s="13">
        <v>45080</v>
      </c>
      <c r="N1277" s="21">
        <v>0.53</v>
      </c>
      <c r="O1277" s="18">
        <v>1</v>
      </c>
      <c r="P1277" s="18">
        <v>0</v>
      </c>
      <c r="Q1277" s="60">
        <v>0.71</v>
      </c>
      <c r="R1277" s="46" t="s">
        <v>15026</v>
      </c>
    </row>
    <row r="1278" spans="1:18" ht="330">
      <c r="A1278" s="33" t="s">
        <v>13344</v>
      </c>
      <c r="B1278" s="18" t="s">
        <v>7800</v>
      </c>
      <c r="C1278" s="13">
        <v>44679</v>
      </c>
      <c r="D1278" s="18" t="s">
        <v>8465</v>
      </c>
      <c r="E1278" s="10" t="s">
        <v>13345</v>
      </c>
      <c r="F1278" s="10" t="s">
        <v>13345</v>
      </c>
      <c r="H1278" s="68" t="s">
        <v>151</v>
      </c>
      <c r="K1278" s="60">
        <v>0.75</v>
      </c>
      <c r="L1278" s="18">
        <v>1277</v>
      </c>
      <c r="M1278" s="13">
        <v>45083</v>
      </c>
      <c r="N1278" s="21">
        <v>8.25</v>
      </c>
      <c r="O1278" s="18">
        <v>1</v>
      </c>
      <c r="P1278" s="18">
        <v>0</v>
      </c>
      <c r="R1278" s="46" t="s">
        <v>15030</v>
      </c>
    </row>
    <row r="1279" spans="1:18" ht="195">
      <c r="A1279" s="33" t="s">
        <v>8260</v>
      </c>
      <c r="B1279" s="18" t="s">
        <v>7800</v>
      </c>
      <c r="C1279" s="13">
        <v>43615</v>
      </c>
      <c r="D1279" s="18" t="s">
        <v>8465</v>
      </c>
      <c r="E1279" s="10" t="s">
        <v>3063</v>
      </c>
      <c r="F1279" s="10" t="s">
        <v>8262</v>
      </c>
      <c r="H1279" s="68" t="s">
        <v>151</v>
      </c>
      <c r="K1279" s="60">
        <v>0.7</v>
      </c>
      <c r="L1279" s="18">
        <v>1278</v>
      </c>
      <c r="M1279" s="13">
        <v>45084</v>
      </c>
      <c r="N1279" s="21">
        <v>3.13</v>
      </c>
      <c r="O1279" s="18">
        <v>1</v>
      </c>
      <c r="P1279" s="18">
        <v>0</v>
      </c>
      <c r="Q1279" s="60">
        <v>0.79</v>
      </c>
      <c r="R1279" s="46" t="s">
        <v>15050</v>
      </c>
    </row>
    <row r="1280" spans="1:18" ht="120">
      <c r="A1280" s="33" t="s">
        <v>14302</v>
      </c>
      <c r="B1280" s="18" t="s">
        <v>7800</v>
      </c>
      <c r="C1280" s="13">
        <v>44406</v>
      </c>
      <c r="D1280" s="18" t="s">
        <v>8465</v>
      </c>
      <c r="E1280" s="10" t="s">
        <v>14303</v>
      </c>
      <c r="F1280" s="10" t="s">
        <v>14304</v>
      </c>
      <c r="H1280" s="68" t="s">
        <v>1040</v>
      </c>
      <c r="K1280" s="60">
        <v>0.3</v>
      </c>
      <c r="L1280" s="18">
        <v>1279</v>
      </c>
      <c r="M1280" s="13">
        <v>45084</v>
      </c>
      <c r="N1280" s="21">
        <v>0.12</v>
      </c>
      <c r="O1280" s="18">
        <v>1</v>
      </c>
      <c r="P1280" s="18">
        <v>0</v>
      </c>
      <c r="R1280" s="46" t="s">
        <v>15051</v>
      </c>
    </row>
    <row r="1281" spans="1:18" ht="360">
      <c r="A1281" s="33" t="s">
        <v>15052</v>
      </c>
      <c r="B1281" s="18" t="s">
        <v>7783</v>
      </c>
      <c r="C1281" s="13">
        <v>43727</v>
      </c>
      <c r="D1281" s="18" t="s">
        <v>8465</v>
      </c>
      <c r="E1281" s="10" t="s">
        <v>15053</v>
      </c>
      <c r="F1281" s="10" t="s">
        <v>15053</v>
      </c>
      <c r="H1281" s="68" t="s">
        <v>78</v>
      </c>
      <c r="K1281" s="60">
        <v>0.7</v>
      </c>
      <c r="L1281" s="18">
        <v>1280</v>
      </c>
      <c r="M1281" s="13">
        <v>45085</v>
      </c>
      <c r="N1281" s="21">
        <v>28.72</v>
      </c>
      <c r="O1281" s="18">
        <v>0</v>
      </c>
      <c r="P1281" s="18">
        <v>0</v>
      </c>
      <c r="Q1281" s="60">
        <v>0.88</v>
      </c>
      <c r="R1281" s="46" t="s">
        <v>15054</v>
      </c>
    </row>
    <row r="1282" spans="1:18" ht="240">
      <c r="A1282" s="33" t="s">
        <v>5812</v>
      </c>
      <c r="B1282" s="18" t="s">
        <v>7758</v>
      </c>
      <c r="C1282" s="13">
        <v>39154</v>
      </c>
      <c r="D1282" s="18" t="s">
        <v>8465</v>
      </c>
      <c r="E1282" s="10" t="s">
        <v>2908</v>
      </c>
      <c r="F1282" s="10" t="s">
        <v>5719</v>
      </c>
      <c r="G1282" s="59" t="s">
        <v>5718</v>
      </c>
      <c r="H1282" s="68" t="s">
        <v>1059</v>
      </c>
      <c r="K1282" s="60">
        <v>0.8</v>
      </c>
      <c r="L1282" s="18">
        <v>1281</v>
      </c>
      <c r="M1282" s="13">
        <v>45087</v>
      </c>
      <c r="N1282" s="21">
        <v>11.49</v>
      </c>
      <c r="O1282" s="18">
        <v>1</v>
      </c>
      <c r="P1282" s="18">
        <v>1</v>
      </c>
      <c r="Q1282" s="60">
        <v>0.93</v>
      </c>
      <c r="R1282" s="46" t="s">
        <v>15064</v>
      </c>
    </row>
    <row r="1283" spans="1:18" ht="270">
      <c r="A1283" s="33" t="s">
        <v>7268</v>
      </c>
      <c r="B1283" s="18" t="s">
        <v>7782</v>
      </c>
      <c r="C1283" s="13">
        <v>39253</v>
      </c>
      <c r="D1283" s="18" t="s">
        <v>8465</v>
      </c>
      <c r="E1283" s="10" t="s">
        <v>7269</v>
      </c>
      <c r="F1283" s="10" t="s">
        <v>7270</v>
      </c>
      <c r="G1283" s="59" t="s">
        <v>5718</v>
      </c>
      <c r="H1283" s="68" t="s">
        <v>1059</v>
      </c>
      <c r="K1283" s="60">
        <v>0.3</v>
      </c>
      <c r="L1283" s="18">
        <v>1282</v>
      </c>
      <c r="M1283" s="13">
        <v>45088</v>
      </c>
      <c r="O1283" s="18">
        <v>0</v>
      </c>
      <c r="P1283" s="18">
        <v>1</v>
      </c>
      <c r="R1283" s="46" t="s">
        <v>15065</v>
      </c>
    </row>
    <row r="1284" spans="1:18" ht="315">
      <c r="A1284" s="33" t="s">
        <v>4044</v>
      </c>
      <c r="B1284" s="18" t="s">
        <v>7800</v>
      </c>
      <c r="C1284" s="13">
        <v>41872</v>
      </c>
      <c r="D1284" s="18" t="s">
        <v>8465</v>
      </c>
      <c r="E1284" s="10" t="s">
        <v>4045</v>
      </c>
      <c r="F1284" s="10" t="s">
        <v>4045</v>
      </c>
      <c r="G1284" s="59" t="s">
        <v>4046</v>
      </c>
      <c r="H1284" s="68" t="s">
        <v>151</v>
      </c>
      <c r="K1284" s="60">
        <v>0.7</v>
      </c>
      <c r="L1284" s="18">
        <v>1283</v>
      </c>
      <c r="M1284" s="13">
        <v>45089</v>
      </c>
      <c r="N1284" s="21">
        <v>5.95</v>
      </c>
      <c r="O1284" s="18">
        <v>1</v>
      </c>
      <c r="P1284" s="18">
        <v>0</v>
      </c>
      <c r="Q1284" s="60">
        <v>0.8</v>
      </c>
      <c r="R1284" s="46" t="s">
        <v>15068</v>
      </c>
    </row>
    <row r="1285" spans="1:18" ht="255">
      <c r="A1285" s="33" t="s">
        <v>12910</v>
      </c>
      <c r="B1285" s="18" t="s">
        <v>9431</v>
      </c>
      <c r="C1285" s="13">
        <v>44874</v>
      </c>
      <c r="D1285" s="18" t="s">
        <v>8465</v>
      </c>
      <c r="E1285" s="10" t="s">
        <v>6107</v>
      </c>
      <c r="F1285" s="10" t="s">
        <v>5719</v>
      </c>
      <c r="G1285" s="59" t="s">
        <v>5718</v>
      </c>
      <c r="H1285" s="68" t="s">
        <v>80</v>
      </c>
      <c r="K1285" s="60">
        <v>0.9</v>
      </c>
      <c r="L1285" s="18">
        <v>1284</v>
      </c>
      <c r="M1285" s="13">
        <v>45093</v>
      </c>
      <c r="N1285" s="21">
        <v>21.65</v>
      </c>
      <c r="O1285" s="18">
        <v>0</v>
      </c>
      <c r="P1285" s="18">
        <v>0</v>
      </c>
      <c r="Q1285" s="60">
        <v>0.94</v>
      </c>
      <c r="R1285" s="46" t="s">
        <v>15531</v>
      </c>
    </row>
    <row r="1286" spans="1:18" ht="255">
      <c r="A1286" s="33" t="s">
        <v>5932</v>
      </c>
      <c r="B1286" s="18" t="s">
        <v>7759</v>
      </c>
      <c r="C1286" s="13">
        <v>39525</v>
      </c>
      <c r="D1286" s="18" t="s">
        <v>8465</v>
      </c>
      <c r="E1286" s="10" t="s">
        <v>455</v>
      </c>
      <c r="F1286" s="10" t="s">
        <v>3487</v>
      </c>
      <c r="G1286" s="59" t="s">
        <v>3488</v>
      </c>
      <c r="H1286" s="68" t="s">
        <v>1061</v>
      </c>
      <c r="K1286" s="60">
        <v>0.4</v>
      </c>
      <c r="L1286" s="18">
        <v>1285</v>
      </c>
      <c r="M1286" s="13">
        <v>45094</v>
      </c>
      <c r="O1286" s="18">
        <v>0</v>
      </c>
      <c r="P1286" s="18">
        <v>0</v>
      </c>
      <c r="Q1286" s="60">
        <v>0.83</v>
      </c>
      <c r="R1286" s="46" t="s">
        <v>15141</v>
      </c>
    </row>
    <row r="1287" spans="1:18" ht="345">
      <c r="A1287" s="33" t="s">
        <v>2284</v>
      </c>
      <c r="B1287" s="18" t="s">
        <v>7748</v>
      </c>
      <c r="C1287" s="13">
        <v>39742</v>
      </c>
      <c r="D1287" s="18" t="s">
        <v>8465</v>
      </c>
      <c r="E1287" s="10" t="s">
        <v>72</v>
      </c>
      <c r="F1287" s="10" t="s">
        <v>72</v>
      </c>
      <c r="G1287" s="59" t="s">
        <v>113</v>
      </c>
      <c r="H1287" s="68" t="s">
        <v>151</v>
      </c>
      <c r="K1287" s="60">
        <v>0.75</v>
      </c>
      <c r="L1287" s="18">
        <v>1286</v>
      </c>
      <c r="M1287" s="13">
        <v>45095</v>
      </c>
      <c r="N1287" s="21">
        <v>7.94</v>
      </c>
      <c r="O1287" s="18">
        <v>0</v>
      </c>
      <c r="P1287" s="18">
        <v>0</v>
      </c>
      <c r="Q1287" s="60">
        <v>0.86</v>
      </c>
      <c r="R1287" s="46" t="s">
        <v>15143</v>
      </c>
    </row>
    <row r="1288" spans="1:18" ht="409.5">
      <c r="A1288" s="33" t="s">
        <v>15146</v>
      </c>
      <c r="B1288" s="18" t="s">
        <v>7783</v>
      </c>
      <c r="C1288" s="13">
        <v>44831</v>
      </c>
      <c r="D1288" s="18" t="s">
        <v>8465</v>
      </c>
      <c r="E1288" s="10" t="s">
        <v>14650</v>
      </c>
      <c r="F1288" s="10" t="s">
        <v>8573</v>
      </c>
      <c r="H1288" s="68" t="s">
        <v>3937</v>
      </c>
      <c r="K1288" s="60">
        <v>0.6</v>
      </c>
      <c r="L1288" s="18">
        <v>1287</v>
      </c>
      <c r="M1288" s="13">
        <v>45096</v>
      </c>
      <c r="N1288" s="21">
        <v>2.62</v>
      </c>
      <c r="O1288" s="18">
        <v>0</v>
      </c>
      <c r="P1288" s="18">
        <v>0</v>
      </c>
      <c r="Q1288" s="60">
        <v>0.73</v>
      </c>
      <c r="R1288" s="46" t="s">
        <v>15147</v>
      </c>
    </row>
    <row r="1289" spans="1:18" ht="285">
      <c r="A1289" s="33" t="s">
        <v>6241</v>
      </c>
      <c r="B1289" s="18" t="s">
        <v>7759</v>
      </c>
      <c r="C1289" s="13">
        <v>40799</v>
      </c>
      <c r="D1289" s="18" t="s">
        <v>8465</v>
      </c>
      <c r="E1289" s="10" t="s">
        <v>2908</v>
      </c>
      <c r="F1289" s="10" t="s">
        <v>1555</v>
      </c>
      <c r="G1289" s="59" t="s">
        <v>5718</v>
      </c>
      <c r="H1289" s="68" t="s">
        <v>1059</v>
      </c>
      <c r="J1289" s="10" t="s">
        <v>5950</v>
      </c>
      <c r="K1289" s="60">
        <v>0.7</v>
      </c>
      <c r="L1289" s="18">
        <v>1288</v>
      </c>
      <c r="M1289" s="13">
        <v>45096</v>
      </c>
      <c r="N1289" s="21">
        <v>3.76</v>
      </c>
      <c r="O1289" s="18">
        <v>0</v>
      </c>
      <c r="P1289" s="18">
        <v>0</v>
      </c>
      <c r="Q1289" s="60">
        <v>0.87</v>
      </c>
      <c r="R1289" s="46" t="s">
        <v>15196</v>
      </c>
    </row>
    <row r="1290" spans="1:18" ht="300">
      <c r="A1290" s="33" t="s">
        <v>15140</v>
      </c>
      <c r="B1290" s="18" t="s">
        <v>9440</v>
      </c>
      <c r="C1290" s="13">
        <v>44259</v>
      </c>
      <c r="D1290" s="18" t="s">
        <v>8465</v>
      </c>
      <c r="E1290" s="10" t="s">
        <v>9417</v>
      </c>
      <c r="F1290" s="10" t="s">
        <v>9418</v>
      </c>
      <c r="H1290" s="68" t="s">
        <v>171</v>
      </c>
      <c r="K1290" s="60">
        <v>0.6</v>
      </c>
      <c r="L1290" s="18">
        <v>1289</v>
      </c>
      <c r="M1290" s="13">
        <v>45097</v>
      </c>
      <c r="N1290" s="21">
        <v>8.19</v>
      </c>
      <c r="O1290" s="18">
        <v>0</v>
      </c>
      <c r="P1290" s="18">
        <v>0</v>
      </c>
      <c r="Q1290" s="60">
        <v>0.75</v>
      </c>
      <c r="R1290" s="46" t="s">
        <v>15220</v>
      </c>
    </row>
    <row r="1291" spans="1:18" ht="255">
      <c r="A1291" s="33" t="s">
        <v>15225</v>
      </c>
      <c r="B1291" s="18" t="s">
        <v>7783</v>
      </c>
      <c r="C1291" s="13">
        <v>43727</v>
      </c>
      <c r="D1291" s="18" t="s">
        <v>8465</v>
      </c>
      <c r="E1291" s="10" t="s">
        <v>10440</v>
      </c>
      <c r="F1291" s="10" t="s">
        <v>15226</v>
      </c>
      <c r="H1291" s="68" t="s">
        <v>78</v>
      </c>
      <c r="K1291" s="60">
        <v>0.4</v>
      </c>
      <c r="L1291" s="18">
        <v>1290</v>
      </c>
      <c r="M1291" s="13">
        <v>45099</v>
      </c>
      <c r="N1291" s="21">
        <v>0.7</v>
      </c>
      <c r="O1291" s="18">
        <v>0</v>
      </c>
      <c r="P1291" s="18">
        <v>0</v>
      </c>
      <c r="R1291" s="46" t="s">
        <v>15227</v>
      </c>
    </row>
    <row r="1292" spans="1:18" ht="409.5">
      <c r="A1292" s="33" t="s">
        <v>2030</v>
      </c>
      <c r="B1292" s="18" t="s">
        <v>7747</v>
      </c>
      <c r="C1292" s="13">
        <v>39021</v>
      </c>
      <c r="D1292" s="18" t="s">
        <v>8465</v>
      </c>
      <c r="E1292" s="10" t="s">
        <v>2136</v>
      </c>
      <c r="F1292" s="10" t="s">
        <v>1973</v>
      </c>
      <c r="H1292" s="68" t="s">
        <v>151</v>
      </c>
      <c r="K1292" s="60">
        <v>0.4</v>
      </c>
      <c r="L1292" s="18">
        <v>1291</v>
      </c>
      <c r="M1292" s="13">
        <v>45100</v>
      </c>
      <c r="N1292" s="21">
        <v>12</v>
      </c>
      <c r="O1292" s="18">
        <v>0</v>
      </c>
      <c r="P1292" s="18">
        <v>0</v>
      </c>
      <c r="Q1292" s="60">
        <v>0.76</v>
      </c>
      <c r="R1292" s="46" t="s">
        <v>15278</v>
      </c>
    </row>
    <row r="1293" spans="1:18" ht="315">
      <c r="A1293" s="33" t="s">
        <v>6242</v>
      </c>
      <c r="B1293" s="18" t="s">
        <v>7759</v>
      </c>
      <c r="C1293" s="13">
        <v>40799</v>
      </c>
      <c r="D1293" s="18" t="s">
        <v>8465</v>
      </c>
      <c r="E1293" s="10" t="s">
        <v>2908</v>
      </c>
      <c r="F1293" s="10" t="s">
        <v>1555</v>
      </c>
      <c r="G1293" s="59" t="s">
        <v>5718</v>
      </c>
      <c r="H1293" s="68" t="s">
        <v>1059</v>
      </c>
      <c r="J1293" s="10" t="s">
        <v>5950</v>
      </c>
      <c r="K1293" s="60">
        <v>0.7</v>
      </c>
      <c r="L1293" s="18">
        <v>1292</v>
      </c>
      <c r="M1293" s="13">
        <v>45102</v>
      </c>
      <c r="N1293" s="21">
        <f>4+36/60+8/3600</f>
        <v>4.6022222222222222</v>
      </c>
      <c r="O1293" s="18">
        <v>0</v>
      </c>
      <c r="P1293" s="18">
        <v>0</v>
      </c>
      <c r="Q1293" s="60">
        <v>0.87</v>
      </c>
      <c r="R1293" s="46" t="s">
        <v>15282</v>
      </c>
    </row>
    <row r="1294" spans="1:18" ht="225">
      <c r="A1294" s="33" t="s">
        <v>15273</v>
      </c>
      <c r="B1294" s="18" t="s">
        <v>7800</v>
      </c>
      <c r="C1294" s="13">
        <v>44909</v>
      </c>
      <c r="D1294" s="18" t="s">
        <v>8465</v>
      </c>
      <c r="E1294" s="10" t="s">
        <v>10620</v>
      </c>
      <c r="F1294" s="10" t="s">
        <v>15274</v>
      </c>
      <c r="H1294" s="68" t="s">
        <v>80</v>
      </c>
      <c r="K1294" s="60">
        <v>0.8</v>
      </c>
      <c r="L1294" s="18">
        <v>1293</v>
      </c>
      <c r="M1294" s="13">
        <v>45103</v>
      </c>
      <c r="N1294" s="21">
        <v>2.7</v>
      </c>
      <c r="O1294" s="18">
        <v>1</v>
      </c>
      <c r="P1294" s="18">
        <v>0</v>
      </c>
      <c r="R1294" s="46" t="s">
        <v>15283</v>
      </c>
    </row>
    <row r="1295" spans="1:18" ht="360">
      <c r="A1295" s="33" t="s">
        <v>10426</v>
      </c>
      <c r="B1295" s="18" t="s">
        <v>7783</v>
      </c>
      <c r="C1295" s="13">
        <v>44057</v>
      </c>
      <c r="D1295" s="18" t="s">
        <v>8465</v>
      </c>
      <c r="E1295" s="10" t="s">
        <v>4636</v>
      </c>
      <c r="F1295" s="10" t="s">
        <v>4636</v>
      </c>
      <c r="H1295" s="68" t="s">
        <v>67</v>
      </c>
      <c r="K1295" s="60">
        <v>0.3</v>
      </c>
      <c r="L1295" s="18">
        <v>1294</v>
      </c>
      <c r="M1295" s="13">
        <v>45107</v>
      </c>
      <c r="N1295" s="21">
        <v>3.77</v>
      </c>
      <c r="O1295" s="18">
        <v>0</v>
      </c>
      <c r="P1295" s="18">
        <v>0</v>
      </c>
      <c r="R1295" s="46" t="s">
        <v>15318</v>
      </c>
    </row>
    <row r="1296" spans="1:18" ht="240">
      <c r="A1296" s="33" t="s">
        <v>14146</v>
      </c>
      <c r="B1296" s="18" t="s">
        <v>7800</v>
      </c>
      <c r="C1296" s="13">
        <v>44091</v>
      </c>
      <c r="D1296" s="18" t="s">
        <v>8465</v>
      </c>
      <c r="E1296" s="10" t="s">
        <v>14147</v>
      </c>
      <c r="F1296" s="10" t="s">
        <v>14147</v>
      </c>
      <c r="H1296" s="68" t="s">
        <v>151</v>
      </c>
      <c r="K1296" s="60">
        <v>0.4</v>
      </c>
      <c r="L1296" s="18">
        <v>1295</v>
      </c>
      <c r="M1296" s="13">
        <v>45108</v>
      </c>
      <c r="N1296" s="21">
        <v>0.55000000000000004</v>
      </c>
      <c r="O1296" s="18">
        <v>0</v>
      </c>
      <c r="P1296" s="18">
        <v>0</v>
      </c>
      <c r="R1296" s="46" t="s">
        <v>15332</v>
      </c>
    </row>
    <row r="1297" spans="1:18" ht="240">
      <c r="A1297" s="33" t="s">
        <v>13138</v>
      </c>
      <c r="B1297" s="18" t="s">
        <v>7800</v>
      </c>
      <c r="C1297" s="13">
        <v>44897</v>
      </c>
      <c r="D1297" s="18" t="s">
        <v>8465</v>
      </c>
      <c r="E1297" s="10" t="s">
        <v>12127</v>
      </c>
      <c r="F1297" s="10" t="s">
        <v>12127</v>
      </c>
      <c r="G1297" s="59" t="s">
        <v>13138</v>
      </c>
      <c r="H1297" s="68" t="s">
        <v>1040</v>
      </c>
      <c r="K1297" s="60">
        <v>0.7</v>
      </c>
      <c r="L1297" s="18">
        <v>1296</v>
      </c>
      <c r="M1297" s="13">
        <v>45109</v>
      </c>
      <c r="N1297" s="21">
        <v>0.78</v>
      </c>
      <c r="O1297" s="18">
        <v>1</v>
      </c>
      <c r="P1297" s="18">
        <v>0</v>
      </c>
      <c r="R1297" s="46" t="s">
        <v>15333</v>
      </c>
    </row>
    <row r="1298" spans="1:18" ht="409.5">
      <c r="A1298" s="33" t="s">
        <v>15326</v>
      </c>
      <c r="B1298" s="18" t="s">
        <v>7800</v>
      </c>
      <c r="C1298" s="13">
        <v>45040</v>
      </c>
      <c r="D1298" s="18" t="s">
        <v>8465</v>
      </c>
      <c r="E1298" s="10" t="s">
        <v>15327</v>
      </c>
      <c r="F1298" s="10" t="s">
        <v>15327</v>
      </c>
      <c r="H1298" s="68" t="s">
        <v>1040</v>
      </c>
      <c r="K1298" s="60">
        <v>0.2</v>
      </c>
      <c r="L1298" s="18">
        <v>1297</v>
      </c>
      <c r="M1298" s="13">
        <v>45111</v>
      </c>
      <c r="N1298" s="21">
        <v>1.01</v>
      </c>
      <c r="O1298" s="18">
        <v>1</v>
      </c>
      <c r="P1298" s="18">
        <v>0</v>
      </c>
      <c r="R1298" s="46" t="s">
        <v>15344</v>
      </c>
    </row>
    <row r="1299" spans="1:18" ht="180">
      <c r="A1299" s="33" t="s">
        <v>440</v>
      </c>
      <c r="B1299" s="18" t="s">
        <v>6317</v>
      </c>
      <c r="C1299" s="12">
        <v>33604</v>
      </c>
      <c r="D1299" s="18" t="s">
        <v>8465</v>
      </c>
      <c r="E1299" s="10" t="s">
        <v>72</v>
      </c>
      <c r="F1299" s="10" t="s">
        <v>72</v>
      </c>
      <c r="G1299" s="59" t="s">
        <v>440</v>
      </c>
      <c r="H1299" s="68" t="s">
        <v>153</v>
      </c>
      <c r="K1299" s="60">
        <v>0.6</v>
      </c>
      <c r="L1299" s="18">
        <v>1298</v>
      </c>
      <c r="M1299" s="13">
        <v>45111</v>
      </c>
      <c r="N1299" s="21">
        <v>0.63</v>
      </c>
      <c r="O1299" s="18">
        <v>1</v>
      </c>
      <c r="P1299" s="18">
        <v>1</v>
      </c>
      <c r="R1299" s="46" t="s">
        <v>15346</v>
      </c>
    </row>
    <row r="1300" spans="1:18" ht="240">
      <c r="A1300" s="33" t="s">
        <v>10414</v>
      </c>
      <c r="B1300" s="18" t="s">
        <v>7783</v>
      </c>
      <c r="C1300" s="13">
        <v>44084</v>
      </c>
      <c r="D1300" s="18" t="s">
        <v>8465</v>
      </c>
      <c r="E1300" s="10" t="s">
        <v>10435</v>
      </c>
      <c r="F1300" s="10" t="s">
        <v>10435</v>
      </c>
      <c r="H1300" s="68" t="s">
        <v>78</v>
      </c>
      <c r="K1300" s="60">
        <v>0.7</v>
      </c>
      <c r="L1300" s="18">
        <v>1299</v>
      </c>
      <c r="M1300" s="13">
        <v>45113</v>
      </c>
      <c r="N1300" s="21">
        <v>5.0999999999999996</v>
      </c>
      <c r="O1300" s="18">
        <v>0</v>
      </c>
      <c r="P1300" s="18">
        <v>0</v>
      </c>
      <c r="R1300" s="46" t="s">
        <v>15352</v>
      </c>
    </row>
    <row r="1301" spans="1:18" ht="345">
      <c r="A1301" s="33" t="s">
        <v>7297</v>
      </c>
      <c r="B1301" s="18" t="s">
        <v>7783</v>
      </c>
      <c r="C1301" s="13">
        <v>40842</v>
      </c>
      <c r="D1301" s="18" t="s">
        <v>8465</v>
      </c>
      <c r="E1301" s="10" t="s">
        <v>5175</v>
      </c>
      <c r="F1301" s="10" t="s">
        <v>5175</v>
      </c>
      <c r="G1301" s="59" t="s">
        <v>7297</v>
      </c>
      <c r="H1301" s="68" t="s">
        <v>1170</v>
      </c>
      <c r="K1301" s="60">
        <v>0.2</v>
      </c>
      <c r="L1301" s="18">
        <v>1300</v>
      </c>
      <c r="M1301" s="13">
        <v>45115</v>
      </c>
      <c r="N1301" s="21">
        <v>0.85</v>
      </c>
      <c r="O1301" s="18">
        <v>0</v>
      </c>
      <c r="P1301" s="18">
        <v>0</v>
      </c>
      <c r="Q1301" s="60">
        <v>0.81</v>
      </c>
      <c r="R1301" s="46" t="s">
        <v>15472</v>
      </c>
    </row>
    <row r="1302" spans="1:18" ht="240">
      <c r="A1302" s="33" t="s">
        <v>2386</v>
      </c>
      <c r="B1302" s="18" t="s">
        <v>7749</v>
      </c>
      <c r="C1302" s="13">
        <v>42993</v>
      </c>
      <c r="D1302" s="18" t="s">
        <v>8465</v>
      </c>
      <c r="E1302" s="10" t="s">
        <v>86</v>
      </c>
      <c r="F1302" s="10" t="s">
        <v>2456</v>
      </c>
      <c r="G1302" s="59" t="s">
        <v>109</v>
      </c>
      <c r="H1302" s="68" t="s">
        <v>151</v>
      </c>
      <c r="K1302" s="60">
        <v>0.8</v>
      </c>
      <c r="L1302" s="18">
        <v>1301</v>
      </c>
      <c r="M1302" s="13">
        <v>45116</v>
      </c>
      <c r="N1302" s="21">
        <v>11.11</v>
      </c>
      <c r="O1302" s="18">
        <v>0</v>
      </c>
      <c r="P1302" s="18">
        <v>0</v>
      </c>
      <c r="Q1302" s="60">
        <v>0.87</v>
      </c>
      <c r="R1302" s="46" t="s">
        <v>15357</v>
      </c>
    </row>
    <row r="1303" spans="1:18" ht="409.5">
      <c r="A1303" s="33" t="s">
        <v>13004</v>
      </c>
      <c r="B1303" s="18" t="s">
        <v>9431</v>
      </c>
      <c r="C1303" s="13">
        <v>45099</v>
      </c>
      <c r="D1303" s="18" t="s">
        <v>8465</v>
      </c>
      <c r="E1303" s="10" t="s">
        <v>1082</v>
      </c>
      <c r="F1303" s="10" t="s">
        <v>9752</v>
      </c>
      <c r="G1303" s="59" t="s">
        <v>126</v>
      </c>
      <c r="H1303" s="68" t="s">
        <v>171</v>
      </c>
      <c r="K1303" s="60">
        <v>0.9</v>
      </c>
      <c r="L1303" s="18">
        <v>1302</v>
      </c>
      <c r="M1303" s="13">
        <v>45117</v>
      </c>
      <c r="N1303" s="21">
        <v>49</v>
      </c>
      <c r="O1303" s="18">
        <v>0</v>
      </c>
      <c r="P1303" s="18">
        <v>0</v>
      </c>
      <c r="Q1303" s="60">
        <v>0.88</v>
      </c>
      <c r="R1303" s="46" t="s">
        <v>15373</v>
      </c>
    </row>
    <row r="1304" spans="1:18" ht="285">
      <c r="A1304" s="33" t="s">
        <v>392</v>
      </c>
      <c r="B1304" s="18" t="s">
        <v>6317</v>
      </c>
      <c r="C1304" s="12">
        <v>33970</v>
      </c>
      <c r="D1304" s="18" t="s">
        <v>8465</v>
      </c>
      <c r="E1304" s="10" t="s">
        <v>57</v>
      </c>
      <c r="F1304" s="10" t="s">
        <v>57</v>
      </c>
      <c r="H1304" s="68" t="s">
        <v>153</v>
      </c>
      <c r="K1304" s="60">
        <v>0.5</v>
      </c>
      <c r="L1304" s="18">
        <v>1303</v>
      </c>
      <c r="M1304" s="13">
        <v>45119</v>
      </c>
      <c r="N1304" s="21">
        <v>0.7</v>
      </c>
      <c r="O1304" s="18">
        <v>1</v>
      </c>
      <c r="P1304" s="18">
        <v>1</v>
      </c>
      <c r="R1304" s="46" t="s">
        <v>15376</v>
      </c>
    </row>
    <row r="1305" spans="1:18" ht="285">
      <c r="A1305" s="33" t="s">
        <v>15383</v>
      </c>
      <c r="B1305" s="18" t="s">
        <v>7800</v>
      </c>
      <c r="C1305" s="13">
        <v>45034</v>
      </c>
      <c r="D1305" s="18" t="s">
        <v>8465</v>
      </c>
      <c r="E1305" s="10" t="s">
        <v>6517</v>
      </c>
      <c r="F1305" s="10" t="s">
        <v>8711</v>
      </c>
      <c r="G1305" s="59" t="s">
        <v>5660</v>
      </c>
      <c r="H1305" s="68" t="s">
        <v>1143</v>
      </c>
      <c r="K1305" s="60">
        <v>0.4</v>
      </c>
      <c r="L1305" s="18">
        <v>1304</v>
      </c>
      <c r="M1305" s="13">
        <v>45124</v>
      </c>
      <c r="N1305" s="21">
        <v>9.44</v>
      </c>
      <c r="O1305" s="18">
        <v>0</v>
      </c>
      <c r="P1305" s="18">
        <v>0</v>
      </c>
      <c r="Q1305" s="60">
        <v>0.65</v>
      </c>
      <c r="R1305" s="46" t="s">
        <v>15384</v>
      </c>
    </row>
    <row r="1306" spans="1:18" ht="135">
      <c r="A1306" s="33" t="s">
        <v>14214</v>
      </c>
      <c r="B1306" s="18" t="s">
        <v>7781</v>
      </c>
      <c r="C1306" s="13">
        <v>42426</v>
      </c>
      <c r="D1306" s="18" t="s">
        <v>8465</v>
      </c>
      <c r="E1306" s="10" t="s">
        <v>5696</v>
      </c>
      <c r="F1306" s="10" t="s">
        <v>5696</v>
      </c>
      <c r="H1306" s="68" t="s">
        <v>151</v>
      </c>
      <c r="K1306" s="60">
        <v>0.5</v>
      </c>
      <c r="L1306" s="18">
        <v>1305</v>
      </c>
      <c r="M1306" s="13">
        <v>45124</v>
      </c>
      <c r="O1306" s="18">
        <v>0</v>
      </c>
      <c r="P1306" s="18">
        <v>0</v>
      </c>
      <c r="R1306" s="46" t="s">
        <v>15387</v>
      </c>
    </row>
    <row r="1307" spans="1:18" ht="225">
      <c r="A1307" s="33" t="s">
        <v>15388</v>
      </c>
      <c r="B1307" s="18" t="s">
        <v>7800</v>
      </c>
      <c r="C1307" s="13">
        <v>45083</v>
      </c>
      <c r="D1307" s="18" t="s">
        <v>8465</v>
      </c>
      <c r="E1307" s="10" t="s">
        <v>3171</v>
      </c>
      <c r="F1307" s="10" t="s">
        <v>3171</v>
      </c>
      <c r="G1307" s="59" t="s">
        <v>3173</v>
      </c>
      <c r="H1307" s="68" t="s">
        <v>1061</v>
      </c>
      <c r="K1307" s="60">
        <v>0.8</v>
      </c>
      <c r="L1307" s="18">
        <v>1306</v>
      </c>
      <c r="M1307" s="13">
        <v>45124</v>
      </c>
      <c r="N1307" s="21">
        <v>2.85</v>
      </c>
      <c r="O1307" s="18">
        <v>0</v>
      </c>
      <c r="P1307" s="18">
        <v>0</v>
      </c>
      <c r="Q1307" s="60">
        <v>0.77</v>
      </c>
      <c r="R1307" s="46" t="s">
        <v>15389</v>
      </c>
    </row>
    <row r="1308" spans="1:18" ht="300">
      <c r="A1308" s="33" t="s">
        <v>5546</v>
      </c>
      <c r="B1308" s="18" t="s">
        <v>7800</v>
      </c>
      <c r="C1308" s="13">
        <v>41786</v>
      </c>
      <c r="D1308" s="18" t="s">
        <v>8465</v>
      </c>
      <c r="E1308" s="10" t="s">
        <v>1047</v>
      </c>
      <c r="F1308" s="10" t="s">
        <v>1048</v>
      </c>
      <c r="G1308" s="59" t="s">
        <v>5546</v>
      </c>
      <c r="H1308" s="68" t="s">
        <v>80</v>
      </c>
      <c r="K1308" s="60">
        <v>0.4</v>
      </c>
      <c r="L1308" s="18">
        <v>1307</v>
      </c>
      <c r="M1308" s="13">
        <v>45125</v>
      </c>
      <c r="O1308" s="18">
        <v>0</v>
      </c>
      <c r="P1308" s="18">
        <v>0</v>
      </c>
      <c r="Q1308" s="60">
        <v>0.76</v>
      </c>
      <c r="R1308" s="46" t="s">
        <v>15390</v>
      </c>
    </row>
    <row r="1309" spans="1:18" ht="285">
      <c r="A1309" s="33" t="s">
        <v>9930</v>
      </c>
      <c r="B1309" s="18" t="s">
        <v>7800</v>
      </c>
      <c r="C1309" s="13">
        <v>44972</v>
      </c>
      <c r="D1309" s="18" t="s">
        <v>8465</v>
      </c>
      <c r="E1309" s="10" t="s">
        <v>6107</v>
      </c>
      <c r="F1309" s="10" t="s">
        <v>4535</v>
      </c>
      <c r="H1309" s="68" t="s">
        <v>1518</v>
      </c>
      <c r="K1309" s="60">
        <v>0.85</v>
      </c>
      <c r="L1309" s="18">
        <v>1308</v>
      </c>
      <c r="M1309" s="13">
        <v>45127</v>
      </c>
      <c r="N1309" s="21">
        <v>10.67</v>
      </c>
      <c r="O1309" s="18">
        <v>0</v>
      </c>
      <c r="P1309" s="18">
        <v>0</v>
      </c>
      <c r="Q1309" s="60">
        <v>0.86</v>
      </c>
      <c r="R1309" s="46" t="s">
        <v>15399</v>
      </c>
    </row>
    <row r="1310" spans="1:18" ht="270">
      <c r="A1310" s="33" t="s">
        <v>13387</v>
      </c>
      <c r="B1310" s="18" t="s">
        <v>7800</v>
      </c>
      <c r="C1310" s="13">
        <v>42397</v>
      </c>
      <c r="D1310" s="18" t="s">
        <v>8465</v>
      </c>
      <c r="E1310" s="10" t="s">
        <v>13388</v>
      </c>
      <c r="F1310" s="10" t="s">
        <v>13389</v>
      </c>
      <c r="H1310" s="68" t="s">
        <v>151</v>
      </c>
      <c r="K1310" s="60">
        <v>0.5</v>
      </c>
      <c r="L1310" s="18">
        <v>1309</v>
      </c>
      <c r="M1310" s="13">
        <v>45131</v>
      </c>
      <c r="N1310" s="21">
        <v>10.28</v>
      </c>
      <c r="O1310" s="18">
        <v>1</v>
      </c>
      <c r="P1310" s="18">
        <v>0</v>
      </c>
      <c r="R1310" s="46" t="s">
        <v>15426</v>
      </c>
    </row>
    <row r="1311" spans="1:18" ht="165">
      <c r="A1311" s="33" t="s">
        <v>15430</v>
      </c>
      <c r="B1311" s="18" t="s">
        <v>7800</v>
      </c>
      <c r="C1311" s="13">
        <v>44728</v>
      </c>
      <c r="D1311" s="18" t="s">
        <v>8465</v>
      </c>
      <c r="E1311" s="10" t="s">
        <v>15350</v>
      </c>
      <c r="F1311" s="10" t="s">
        <v>15431</v>
      </c>
      <c r="H1311" s="68" t="s">
        <v>153</v>
      </c>
      <c r="K1311" s="60">
        <v>0.6</v>
      </c>
      <c r="L1311" s="18">
        <v>1310</v>
      </c>
      <c r="M1311" s="13">
        <v>45132</v>
      </c>
      <c r="N1311" s="21">
        <v>1.1299999999999999</v>
      </c>
      <c r="O1311" s="18">
        <v>1</v>
      </c>
      <c r="P1311" s="18">
        <v>0</v>
      </c>
      <c r="R1311" s="46" t="s">
        <v>15433</v>
      </c>
    </row>
    <row r="1312" spans="1:18" ht="225">
      <c r="A1312" s="33" t="s">
        <v>15434</v>
      </c>
      <c r="B1312" s="18" t="s">
        <v>7783</v>
      </c>
      <c r="C1312" s="13">
        <v>43727</v>
      </c>
      <c r="D1312" s="18" t="s">
        <v>8465</v>
      </c>
      <c r="E1312" s="10" t="s">
        <v>15435</v>
      </c>
      <c r="F1312" s="10" t="s">
        <v>15435</v>
      </c>
      <c r="H1312" s="68" t="s">
        <v>3411</v>
      </c>
      <c r="K1312" s="60">
        <v>0.6</v>
      </c>
      <c r="L1312" s="18">
        <v>1311</v>
      </c>
      <c r="M1312" s="13">
        <v>45133</v>
      </c>
      <c r="N1312" s="21">
        <v>8.33</v>
      </c>
      <c r="O1312" s="18">
        <v>0</v>
      </c>
      <c r="P1312" s="18">
        <v>0</v>
      </c>
      <c r="R1312" s="46" t="s">
        <v>15436</v>
      </c>
    </row>
    <row r="1313" spans="1:18" ht="210">
      <c r="A1313" s="33" t="s">
        <v>9851</v>
      </c>
      <c r="B1313" s="18" t="s">
        <v>7760</v>
      </c>
      <c r="C1313" s="13">
        <v>43375</v>
      </c>
      <c r="D1313" s="18" t="s">
        <v>8465</v>
      </c>
      <c r="E1313" s="10" t="s">
        <v>6107</v>
      </c>
      <c r="F1313" s="10" t="s">
        <v>5862</v>
      </c>
      <c r="G1313" s="59" t="s">
        <v>9433</v>
      </c>
      <c r="H1313" s="68" t="s">
        <v>1040</v>
      </c>
      <c r="I1313" s="18">
        <v>1</v>
      </c>
      <c r="K1313" s="60">
        <v>0.8</v>
      </c>
      <c r="L1313" s="18">
        <v>1312</v>
      </c>
      <c r="M1313" s="13">
        <v>45136</v>
      </c>
      <c r="N1313" s="21">
        <v>4</v>
      </c>
      <c r="O1313" s="18">
        <v>0</v>
      </c>
      <c r="P1313" s="18">
        <v>0</v>
      </c>
      <c r="Q1313" s="60">
        <v>0.9</v>
      </c>
      <c r="R1313" s="46" t="s">
        <v>15469</v>
      </c>
    </row>
    <row r="1314" spans="1:18" ht="255">
      <c r="A1314" s="33" t="s">
        <v>5610</v>
      </c>
      <c r="B1314" s="18" t="s">
        <v>7800</v>
      </c>
      <c r="C1314" s="13">
        <v>42836</v>
      </c>
      <c r="D1314" s="18" t="s">
        <v>8465</v>
      </c>
      <c r="E1314" s="10" t="s">
        <v>1634</v>
      </c>
      <c r="F1314" s="10" t="s">
        <v>5611</v>
      </c>
      <c r="G1314" s="59" t="s">
        <v>5610</v>
      </c>
      <c r="H1314" s="68" t="s">
        <v>1040</v>
      </c>
      <c r="K1314" s="60">
        <v>0.4</v>
      </c>
      <c r="L1314" s="18">
        <v>1313</v>
      </c>
      <c r="M1314" s="13">
        <v>45137</v>
      </c>
      <c r="N1314" s="21">
        <v>12.52</v>
      </c>
      <c r="O1314" s="18">
        <v>1</v>
      </c>
      <c r="P1314" s="18">
        <v>0</v>
      </c>
      <c r="Q1314" s="60">
        <v>0.75</v>
      </c>
      <c r="R1314" s="46" t="s">
        <v>15471</v>
      </c>
    </row>
    <row r="1315" spans="1:18" ht="150">
      <c r="A1315" s="33" t="s">
        <v>15307</v>
      </c>
      <c r="B1315" s="18" t="s">
        <v>7800</v>
      </c>
      <c r="C1315" s="13">
        <v>44952</v>
      </c>
      <c r="D1315" s="18" t="s">
        <v>8465</v>
      </c>
      <c r="E1315" s="10" t="s">
        <v>15308</v>
      </c>
      <c r="F1315" s="10" t="s">
        <v>15308</v>
      </c>
      <c r="H1315" s="68" t="s">
        <v>64</v>
      </c>
      <c r="K1315" s="60">
        <v>0.85</v>
      </c>
      <c r="L1315" s="18">
        <v>1314</v>
      </c>
      <c r="M1315" s="13">
        <v>45139</v>
      </c>
      <c r="N1315" s="21">
        <v>5.0199999999999996</v>
      </c>
      <c r="O1315" s="18">
        <v>1</v>
      </c>
      <c r="P1315" s="18">
        <v>0</v>
      </c>
      <c r="Q1315" s="60">
        <v>0.89</v>
      </c>
      <c r="R1315" s="46" t="s">
        <v>15477</v>
      </c>
    </row>
    <row r="1316" spans="1:18" ht="225">
      <c r="A1316" s="33" t="s">
        <v>15475</v>
      </c>
      <c r="B1316" s="18" t="s">
        <v>7800</v>
      </c>
      <c r="C1316" s="13">
        <v>44683</v>
      </c>
      <c r="D1316" s="18" t="s">
        <v>8465</v>
      </c>
      <c r="E1316" s="10" t="s">
        <v>15476</v>
      </c>
      <c r="F1316" s="10" t="s">
        <v>15476</v>
      </c>
      <c r="H1316" s="68" t="s">
        <v>80</v>
      </c>
      <c r="K1316" s="60">
        <v>0.2</v>
      </c>
      <c r="L1316" s="18">
        <v>1315</v>
      </c>
      <c r="M1316" s="13">
        <v>45139</v>
      </c>
      <c r="N1316" s="21">
        <v>0.23</v>
      </c>
      <c r="O1316" s="18">
        <v>1</v>
      </c>
      <c r="P1316" s="18">
        <v>0</v>
      </c>
      <c r="R1316" s="46" t="s">
        <v>15478</v>
      </c>
    </row>
    <row r="1317" spans="1:18" ht="330">
      <c r="A1317" s="33" t="s">
        <v>12676</v>
      </c>
      <c r="B1317" s="18" t="s">
        <v>7744</v>
      </c>
      <c r="C1317" s="13">
        <v>45009</v>
      </c>
      <c r="D1317" s="18" t="s">
        <v>8465</v>
      </c>
      <c r="E1317" s="10" t="s">
        <v>1565</v>
      </c>
      <c r="F1317" s="10" t="s">
        <v>1566</v>
      </c>
      <c r="G1317" s="59" t="s">
        <v>1567</v>
      </c>
      <c r="H1317" s="68" t="s">
        <v>149</v>
      </c>
      <c r="K1317" s="60">
        <v>0.6</v>
      </c>
      <c r="L1317" s="18">
        <v>1316</v>
      </c>
      <c r="M1317" s="13">
        <v>45145</v>
      </c>
      <c r="N1317" s="21">
        <v>34.840000000000003</v>
      </c>
      <c r="O1317" s="18">
        <v>0</v>
      </c>
      <c r="P1317" s="18">
        <v>0</v>
      </c>
      <c r="Q1317" s="60">
        <v>0.84</v>
      </c>
      <c r="R1317" s="46" t="s">
        <v>15500</v>
      </c>
    </row>
    <row r="1318" spans="1:18" ht="255">
      <c r="A1318" s="33" t="s">
        <v>15413</v>
      </c>
      <c r="B1318" s="18" t="s">
        <v>7800</v>
      </c>
      <c r="C1318" s="13">
        <v>44411</v>
      </c>
      <c r="D1318" s="18" t="s">
        <v>8465</v>
      </c>
      <c r="E1318" s="10" t="s">
        <v>3070</v>
      </c>
      <c r="F1318" s="10" t="s">
        <v>15414</v>
      </c>
      <c r="H1318" s="68" t="s">
        <v>1040</v>
      </c>
      <c r="K1318" s="60">
        <v>0.7</v>
      </c>
      <c r="L1318" s="18">
        <v>1317</v>
      </c>
      <c r="M1318" s="13">
        <v>45146</v>
      </c>
      <c r="N1318" s="21">
        <v>6.35</v>
      </c>
      <c r="O1318" s="18">
        <v>1</v>
      </c>
      <c r="P1318" s="18">
        <v>0</v>
      </c>
      <c r="R1318" s="46" t="s">
        <v>15505</v>
      </c>
    </row>
    <row r="1319" spans="1:18" ht="240">
      <c r="A1319" s="33" t="s">
        <v>12126</v>
      </c>
      <c r="B1319" s="18" t="s">
        <v>7800</v>
      </c>
      <c r="C1319" s="13">
        <v>42811</v>
      </c>
      <c r="D1319" s="18" t="s">
        <v>8465</v>
      </c>
      <c r="E1319" s="10" t="s">
        <v>12127</v>
      </c>
      <c r="F1319" s="10" t="s">
        <v>12127</v>
      </c>
      <c r="H1319" s="68" t="s">
        <v>1040</v>
      </c>
      <c r="K1319" s="60">
        <v>0.7</v>
      </c>
      <c r="L1319" s="18">
        <v>1318</v>
      </c>
      <c r="M1319" s="13">
        <v>45147</v>
      </c>
      <c r="O1319" s="18">
        <v>1</v>
      </c>
      <c r="P1319" s="18">
        <v>0</v>
      </c>
      <c r="R1319" s="46" t="s">
        <v>15506</v>
      </c>
    </row>
    <row r="1320" spans="1:18" ht="135">
      <c r="A1320" s="33" t="s">
        <v>13228</v>
      </c>
      <c r="B1320" s="18" t="s">
        <v>7800</v>
      </c>
      <c r="C1320" s="13">
        <v>42293</v>
      </c>
      <c r="D1320" s="18" t="s">
        <v>8465</v>
      </c>
      <c r="E1320" s="10" t="s">
        <v>13229</v>
      </c>
      <c r="F1320" s="10" t="s">
        <v>13229</v>
      </c>
      <c r="H1320" s="68" t="s">
        <v>1040</v>
      </c>
      <c r="K1320" s="60">
        <v>0.6</v>
      </c>
      <c r="L1320" s="18">
        <v>1319</v>
      </c>
      <c r="M1320" s="13">
        <v>45148</v>
      </c>
      <c r="N1320" s="21">
        <v>0.28000000000000003</v>
      </c>
      <c r="O1320" s="18">
        <v>1</v>
      </c>
      <c r="P1320" s="18">
        <v>0</v>
      </c>
      <c r="R1320" s="46" t="s">
        <v>15518</v>
      </c>
    </row>
    <row r="1321" spans="1:18" ht="330">
      <c r="A1321" s="33" t="s">
        <v>8223</v>
      </c>
      <c r="B1321" s="18" t="s">
        <v>7744</v>
      </c>
      <c r="C1321" s="13">
        <v>43718</v>
      </c>
      <c r="D1321" s="18" t="s">
        <v>8465</v>
      </c>
      <c r="E1321" s="10" t="s">
        <v>1634</v>
      </c>
      <c r="F1321" s="10" t="s">
        <v>5331</v>
      </c>
      <c r="G1321" s="59" t="s">
        <v>8223</v>
      </c>
      <c r="H1321" s="68" t="s">
        <v>151</v>
      </c>
      <c r="K1321" s="60">
        <v>0.8</v>
      </c>
      <c r="L1321" s="18">
        <v>1320</v>
      </c>
      <c r="M1321" s="13">
        <v>45156</v>
      </c>
      <c r="N1321" s="21">
        <v>14.95</v>
      </c>
      <c r="O1321" s="18">
        <v>0</v>
      </c>
      <c r="P1321" s="18">
        <v>0</v>
      </c>
      <c r="Q1321" s="60">
        <v>0.76</v>
      </c>
      <c r="R1321" s="46" t="s">
        <v>15527</v>
      </c>
    </row>
    <row r="1322" spans="1:18" ht="375">
      <c r="A1322" s="33" t="s">
        <v>6186</v>
      </c>
      <c r="B1322" s="18" t="s">
        <v>7760</v>
      </c>
      <c r="C1322" s="13">
        <v>42199</v>
      </c>
      <c r="D1322" s="18" t="s">
        <v>8465</v>
      </c>
      <c r="E1322" s="10" t="s">
        <v>2908</v>
      </c>
      <c r="F1322" s="10" t="s">
        <v>5719</v>
      </c>
      <c r="G1322" s="59" t="s">
        <v>5718</v>
      </c>
      <c r="H1322" s="68" t="s">
        <v>1059</v>
      </c>
      <c r="K1322" s="60">
        <v>0.8</v>
      </c>
      <c r="L1322" s="18">
        <v>1321</v>
      </c>
      <c r="M1322" s="13">
        <v>45157</v>
      </c>
      <c r="N1322" s="21">
        <v>7.68</v>
      </c>
      <c r="O1322" s="18">
        <v>0</v>
      </c>
      <c r="P1322" s="18">
        <v>0</v>
      </c>
      <c r="Q1322" s="60">
        <v>0.8</v>
      </c>
      <c r="R1322" s="46" t="s">
        <v>15530</v>
      </c>
    </row>
    <row r="1323" spans="1:18" ht="210">
      <c r="A1323" s="33" t="s">
        <v>11897</v>
      </c>
      <c r="B1323" s="18" t="s">
        <v>7800</v>
      </c>
      <c r="C1323" s="13">
        <v>44127</v>
      </c>
      <c r="D1323" s="18" t="s">
        <v>8465</v>
      </c>
      <c r="E1323" s="10" t="s">
        <v>1707</v>
      </c>
      <c r="F1323" s="10" t="s">
        <v>11898</v>
      </c>
      <c r="H1323" s="68" t="s">
        <v>1040</v>
      </c>
      <c r="K1323" s="60">
        <v>0.5</v>
      </c>
      <c r="L1323" s="18">
        <v>1322</v>
      </c>
      <c r="M1323" s="13">
        <v>45158</v>
      </c>
      <c r="N1323" s="21">
        <v>4.17</v>
      </c>
      <c r="O1323" s="18">
        <v>1</v>
      </c>
      <c r="P1323" s="18">
        <v>0</v>
      </c>
      <c r="Q1323" s="60">
        <v>0.71</v>
      </c>
      <c r="R1323" s="46" t="s">
        <v>15537</v>
      </c>
    </row>
    <row r="1324" spans="1:18" ht="330">
      <c r="A1324" s="33" t="s">
        <v>5409</v>
      </c>
      <c r="B1324" s="18" t="s">
        <v>7800</v>
      </c>
      <c r="C1324" s="13">
        <v>43368</v>
      </c>
      <c r="D1324" s="18" t="s">
        <v>8465</v>
      </c>
      <c r="E1324" s="10" t="s">
        <v>4850</v>
      </c>
      <c r="F1324" s="10" t="s">
        <v>5410</v>
      </c>
      <c r="H1324" s="68" t="s">
        <v>151</v>
      </c>
      <c r="K1324" s="60">
        <v>0.7</v>
      </c>
      <c r="L1324" s="18">
        <v>1323</v>
      </c>
      <c r="M1324" s="13">
        <v>45159</v>
      </c>
      <c r="N1324" s="21">
        <v>4.99</v>
      </c>
      <c r="O1324" s="18">
        <v>1</v>
      </c>
      <c r="P1324" s="18">
        <v>0</v>
      </c>
      <c r="Q1324" s="60">
        <v>0.73</v>
      </c>
      <c r="R1324" s="46" t="s">
        <v>15538</v>
      </c>
    </row>
    <row r="1325" spans="1:18" ht="300">
      <c r="A1325" s="33" t="s">
        <v>12661</v>
      </c>
      <c r="B1325" s="18" t="s">
        <v>7800</v>
      </c>
      <c r="C1325" s="13">
        <v>43220</v>
      </c>
      <c r="D1325" s="18" t="s">
        <v>8465</v>
      </c>
      <c r="E1325" s="10" t="s">
        <v>12662</v>
      </c>
      <c r="F1325" s="10" t="s">
        <v>12662</v>
      </c>
      <c r="G1325" s="59" t="s">
        <v>12661</v>
      </c>
      <c r="H1325" s="68" t="s">
        <v>1699</v>
      </c>
      <c r="K1325" s="60">
        <v>0.6</v>
      </c>
      <c r="L1325" s="18">
        <v>1324</v>
      </c>
      <c r="M1325" s="13">
        <v>45166</v>
      </c>
      <c r="N1325" s="21">
        <v>11.95</v>
      </c>
      <c r="O1325" s="18">
        <v>0</v>
      </c>
      <c r="P1325" s="18">
        <v>0</v>
      </c>
      <c r="Q1325" s="60">
        <v>0.83</v>
      </c>
      <c r="R1325" s="46" t="s">
        <v>15672</v>
      </c>
    </row>
    <row r="1326" spans="1:18" ht="255">
      <c r="A1326" s="33" t="s">
        <v>12679</v>
      </c>
      <c r="B1326" s="18" t="s">
        <v>7744</v>
      </c>
      <c r="C1326" s="13">
        <v>44946</v>
      </c>
      <c r="D1326" s="18" t="s">
        <v>8465</v>
      </c>
      <c r="E1326" s="10" t="s">
        <v>86</v>
      </c>
      <c r="F1326" s="10" t="s">
        <v>1069</v>
      </c>
      <c r="G1326" s="59" t="s">
        <v>305</v>
      </c>
      <c r="H1326" s="68" t="s">
        <v>75</v>
      </c>
      <c r="K1326" s="60">
        <v>0.9</v>
      </c>
      <c r="L1326" s="18">
        <v>1325</v>
      </c>
      <c r="M1326" s="13">
        <v>45180</v>
      </c>
      <c r="N1326" s="21">
        <v>39.5</v>
      </c>
      <c r="O1326" s="18">
        <v>0</v>
      </c>
      <c r="P1326" s="18">
        <v>0</v>
      </c>
      <c r="Q1326" s="60">
        <v>0.82</v>
      </c>
      <c r="R1326" s="46" t="s">
        <v>15806</v>
      </c>
    </row>
    <row r="1327" spans="1:18" ht="120">
      <c r="A1327" s="33" t="s">
        <v>5212</v>
      </c>
      <c r="B1327" s="18" t="s">
        <v>7800</v>
      </c>
      <c r="C1327" s="13">
        <v>42159</v>
      </c>
      <c r="D1327" s="18" t="s">
        <v>8465</v>
      </c>
      <c r="E1327" s="10" t="s">
        <v>3159</v>
      </c>
      <c r="F1327" s="10" t="s">
        <v>3210</v>
      </c>
      <c r="H1327" s="68" t="s">
        <v>21</v>
      </c>
      <c r="K1327" s="60">
        <v>0.5</v>
      </c>
      <c r="L1327" s="18">
        <v>1326</v>
      </c>
      <c r="M1327" s="13">
        <v>45186</v>
      </c>
      <c r="N1327" s="21">
        <v>0.33</v>
      </c>
      <c r="O1327" s="18">
        <v>1</v>
      </c>
      <c r="P1327" s="18">
        <v>0</v>
      </c>
      <c r="Q1327" s="60">
        <v>0.69</v>
      </c>
      <c r="R1327" s="46" t="s">
        <v>15843</v>
      </c>
    </row>
    <row r="1328" spans="1:18" ht="135">
      <c r="A1328" s="33" t="s">
        <v>14219</v>
      </c>
      <c r="B1328" s="18" t="s">
        <v>13799</v>
      </c>
      <c r="C1328" s="13">
        <v>44663</v>
      </c>
      <c r="D1328" s="18" t="s">
        <v>8465</v>
      </c>
      <c r="E1328" s="10" t="s">
        <v>14220</v>
      </c>
      <c r="F1328" s="10" t="s">
        <v>14220</v>
      </c>
      <c r="H1328" s="68" t="s">
        <v>1057</v>
      </c>
      <c r="K1328" s="60">
        <v>0.4</v>
      </c>
      <c r="L1328" s="18">
        <v>1327</v>
      </c>
      <c r="M1328" s="13">
        <v>45193</v>
      </c>
      <c r="O1328" s="18">
        <v>0</v>
      </c>
      <c r="P1328" s="18">
        <v>0</v>
      </c>
      <c r="R1328" s="46" t="s">
        <v>15859</v>
      </c>
    </row>
    <row r="1329" spans="1:18" ht="240">
      <c r="A1329" s="33" t="s">
        <v>15860</v>
      </c>
      <c r="B1329" s="18" t="s">
        <v>13799</v>
      </c>
      <c r="C1329" s="13">
        <v>44669</v>
      </c>
      <c r="D1329" s="18" t="s">
        <v>8465</v>
      </c>
      <c r="E1329" s="10" t="s">
        <v>15861</v>
      </c>
      <c r="F1329" s="10" t="s">
        <v>15861</v>
      </c>
      <c r="H1329" s="68" t="s">
        <v>67</v>
      </c>
      <c r="K1329" s="60">
        <v>0.7</v>
      </c>
      <c r="L1329" s="18">
        <v>1328</v>
      </c>
      <c r="M1329" s="13">
        <v>45196</v>
      </c>
      <c r="O1329" s="18">
        <v>0</v>
      </c>
      <c r="P1329" s="18">
        <v>0</v>
      </c>
      <c r="R1329" s="46" t="s">
        <v>15976</v>
      </c>
    </row>
    <row r="1330" spans="1:18" ht="165">
      <c r="A1330" s="33" t="s">
        <v>13802</v>
      </c>
      <c r="B1330" s="18" t="s">
        <v>13799</v>
      </c>
      <c r="C1330" s="13">
        <v>44941</v>
      </c>
      <c r="D1330" s="18" t="s">
        <v>8465</v>
      </c>
      <c r="E1330" s="10" t="s">
        <v>13803</v>
      </c>
      <c r="F1330" s="10" t="s">
        <v>13803</v>
      </c>
      <c r="H1330" s="68" t="s">
        <v>143</v>
      </c>
      <c r="K1330" s="60">
        <v>0.3</v>
      </c>
      <c r="L1330" s="18">
        <v>1329</v>
      </c>
      <c r="M1330" s="13">
        <v>45196</v>
      </c>
      <c r="O1330" s="18">
        <v>0</v>
      </c>
      <c r="P1330" s="18">
        <v>0</v>
      </c>
      <c r="R1330" s="46" t="s">
        <v>15983</v>
      </c>
    </row>
    <row r="1331" spans="1:18" ht="255">
      <c r="A1331" s="33" t="s">
        <v>15706</v>
      </c>
      <c r="B1331" s="18" t="s">
        <v>7800</v>
      </c>
      <c r="C1331" s="13">
        <v>45082</v>
      </c>
      <c r="D1331" s="18" t="s">
        <v>8465</v>
      </c>
      <c r="E1331" s="10" t="s">
        <v>1296</v>
      </c>
      <c r="F1331" s="10" t="s">
        <v>1296</v>
      </c>
      <c r="G1331" s="59" t="s">
        <v>1589</v>
      </c>
      <c r="H1331" s="68" t="s">
        <v>171</v>
      </c>
      <c r="K1331" s="60">
        <v>0.75</v>
      </c>
      <c r="L1331" s="18">
        <v>1330</v>
      </c>
      <c r="M1331" s="13">
        <v>45199</v>
      </c>
      <c r="N1331" s="21">
        <v>28.57</v>
      </c>
      <c r="O1331" s="18">
        <v>1</v>
      </c>
      <c r="P1331" s="18">
        <v>0</v>
      </c>
      <c r="Q1331" s="60">
        <v>0.86</v>
      </c>
      <c r="R1331" s="46" t="s">
        <v>16006</v>
      </c>
    </row>
    <row r="1332" spans="1:18" ht="165">
      <c r="A1332" s="33" t="s">
        <v>10352</v>
      </c>
      <c r="B1332" s="18" t="s">
        <v>7800</v>
      </c>
      <c r="C1332" s="13">
        <v>44139</v>
      </c>
      <c r="D1332" s="18" t="s">
        <v>8465</v>
      </c>
      <c r="E1332" s="10" t="s">
        <v>10353</v>
      </c>
      <c r="F1332" s="10" t="s">
        <v>10353</v>
      </c>
      <c r="H1332" s="68" t="s">
        <v>1061</v>
      </c>
      <c r="K1332" s="60">
        <v>0.5</v>
      </c>
      <c r="L1332" s="18">
        <v>1331</v>
      </c>
      <c r="M1332" s="13">
        <v>45202</v>
      </c>
      <c r="N1332" s="21">
        <v>1.1299999999999999</v>
      </c>
      <c r="O1332" s="18">
        <v>0</v>
      </c>
      <c r="P1332" s="18">
        <v>0</v>
      </c>
      <c r="R1332" s="46" t="s">
        <v>16008</v>
      </c>
    </row>
    <row r="1333" spans="1:18" ht="225">
      <c r="A1333" s="33" t="s">
        <v>15322</v>
      </c>
      <c r="B1333" s="18" t="s">
        <v>7800</v>
      </c>
      <c r="C1333" s="13">
        <v>44532</v>
      </c>
      <c r="D1333" s="18" t="s">
        <v>8465</v>
      </c>
      <c r="E1333" s="10" t="s">
        <v>12392</v>
      </c>
      <c r="F1333" s="10" t="s">
        <v>15323</v>
      </c>
      <c r="H1333" s="68" t="s">
        <v>1040</v>
      </c>
      <c r="K1333" s="60">
        <v>0.5</v>
      </c>
      <c r="L1333" s="18">
        <v>1332</v>
      </c>
      <c r="M1333" s="13">
        <v>45205</v>
      </c>
      <c r="N1333" s="21">
        <v>3.62</v>
      </c>
      <c r="O1333" s="18">
        <v>1</v>
      </c>
      <c r="P1333" s="18">
        <v>0</v>
      </c>
      <c r="R1333" s="46" t="s">
        <v>16012</v>
      </c>
    </row>
    <row r="1334" spans="1:18" ht="195">
      <c r="A1334" s="33" t="s">
        <v>4354</v>
      </c>
      <c r="B1334" s="18" t="s">
        <v>7800</v>
      </c>
      <c r="C1334" s="13">
        <v>41677</v>
      </c>
      <c r="D1334" s="18" t="s">
        <v>8465</v>
      </c>
      <c r="E1334" s="10" t="s">
        <v>4355</v>
      </c>
      <c r="F1334" s="10" t="s">
        <v>4355</v>
      </c>
      <c r="G1334" s="59" t="s">
        <v>4354</v>
      </c>
      <c r="H1334" s="68" t="s">
        <v>64</v>
      </c>
      <c r="K1334" s="60">
        <v>0.5</v>
      </c>
      <c r="L1334" s="18">
        <v>1333</v>
      </c>
      <c r="M1334" s="13">
        <v>45206</v>
      </c>
      <c r="N1334" s="21">
        <v>0.37</v>
      </c>
      <c r="O1334" s="18">
        <v>1</v>
      </c>
      <c r="P1334" s="18">
        <v>0</v>
      </c>
      <c r="Q1334" s="60">
        <v>0.6</v>
      </c>
      <c r="R1334" s="46" t="s">
        <v>16015</v>
      </c>
    </row>
    <row r="1335" spans="1:18" ht="375">
      <c r="A1335" s="33" t="s">
        <v>13036</v>
      </c>
      <c r="B1335" s="18" t="s">
        <v>7800</v>
      </c>
      <c r="C1335" s="13">
        <v>44728</v>
      </c>
      <c r="D1335" s="18" t="s">
        <v>8465</v>
      </c>
      <c r="E1335" s="10" t="s">
        <v>7300</v>
      </c>
      <c r="F1335" s="10" t="s">
        <v>13037</v>
      </c>
      <c r="H1335" s="68" t="s">
        <v>56</v>
      </c>
      <c r="K1335" s="60">
        <v>0.8</v>
      </c>
      <c r="L1335" s="18">
        <v>1334</v>
      </c>
      <c r="M1335" s="13">
        <v>45206</v>
      </c>
      <c r="N1335" s="21">
        <v>11.63</v>
      </c>
      <c r="O1335" s="18">
        <v>0</v>
      </c>
      <c r="P1335" s="18">
        <v>0</v>
      </c>
      <c r="Q1335" s="60">
        <v>0.9</v>
      </c>
      <c r="R1335" s="46" t="s">
        <v>16016</v>
      </c>
    </row>
    <row r="1336" spans="1:18" ht="165">
      <c r="A1336" s="33" t="s">
        <v>15842</v>
      </c>
      <c r="B1336" s="18" t="s">
        <v>7800</v>
      </c>
      <c r="C1336" s="13">
        <v>44907</v>
      </c>
      <c r="D1336" s="18" t="s">
        <v>8465</v>
      </c>
      <c r="E1336" s="10" t="s">
        <v>11323</v>
      </c>
      <c r="F1336" s="10" t="s">
        <v>11323</v>
      </c>
      <c r="H1336" s="68" t="s">
        <v>1050</v>
      </c>
      <c r="K1336" s="60">
        <v>0.7</v>
      </c>
      <c r="L1336" s="18">
        <v>1335</v>
      </c>
      <c r="M1336" s="13">
        <v>45207</v>
      </c>
      <c r="N1336" s="21">
        <v>1.3</v>
      </c>
      <c r="O1336" s="18">
        <v>0</v>
      </c>
      <c r="P1336" s="18">
        <v>0</v>
      </c>
      <c r="R1336" s="46" t="s">
        <v>16017</v>
      </c>
    </row>
    <row r="1337" spans="1:18" ht="375">
      <c r="A1337" s="33" t="s">
        <v>5471</v>
      </c>
      <c r="B1337" s="18" t="s">
        <v>7800</v>
      </c>
      <c r="C1337" s="13">
        <v>42236</v>
      </c>
      <c r="D1337" s="18" t="s">
        <v>8465</v>
      </c>
      <c r="E1337" s="10" t="s">
        <v>4544</v>
      </c>
      <c r="F1337" s="10" t="s">
        <v>4544</v>
      </c>
      <c r="G1337" s="59" t="s">
        <v>5469</v>
      </c>
      <c r="H1337" s="68" t="s">
        <v>27</v>
      </c>
      <c r="K1337" s="60">
        <v>0.4</v>
      </c>
      <c r="L1337" s="18">
        <v>1336</v>
      </c>
      <c r="M1337" s="13">
        <v>45207</v>
      </c>
      <c r="N1337" s="21">
        <v>3.83</v>
      </c>
      <c r="O1337" s="18">
        <v>0</v>
      </c>
      <c r="P1337" s="18">
        <v>0</v>
      </c>
      <c r="Q1337" s="60">
        <v>0.7</v>
      </c>
      <c r="R1337" s="46" t="s">
        <v>16019</v>
      </c>
    </row>
    <row r="1338" spans="1:18" ht="135">
      <c r="A1338" s="33" t="s">
        <v>15950</v>
      </c>
      <c r="B1338" s="18" t="s">
        <v>13799</v>
      </c>
      <c r="C1338" s="13">
        <v>44455</v>
      </c>
      <c r="D1338" s="18" t="s">
        <v>8465</v>
      </c>
      <c r="E1338" s="10" t="s">
        <v>15951</v>
      </c>
      <c r="F1338" s="10" t="s">
        <v>15951</v>
      </c>
      <c r="H1338" s="68" t="s">
        <v>78</v>
      </c>
      <c r="K1338" s="60">
        <v>0.6</v>
      </c>
      <c r="L1338" s="18">
        <v>1337</v>
      </c>
      <c r="M1338" s="13">
        <v>45208</v>
      </c>
      <c r="O1338" s="18">
        <v>0</v>
      </c>
      <c r="P1338" s="18">
        <v>0</v>
      </c>
      <c r="R1338" s="46" t="s">
        <v>16020</v>
      </c>
    </row>
    <row r="1339" spans="1:18" ht="210">
      <c r="A1339" s="33" t="s">
        <v>10764</v>
      </c>
      <c r="B1339" s="18" t="s">
        <v>7800</v>
      </c>
      <c r="C1339" s="13">
        <v>44210</v>
      </c>
      <c r="D1339" s="18" t="s">
        <v>8465</v>
      </c>
      <c r="E1339" s="10" t="s">
        <v>1559</v>
      </c>
      <c r="F1339" s="10" t="s">
        <v>1559</v>
      </c>
      <c r="H1339" s="68" t="s">
        <v>67</v>
      </c>
      <c r="K1339" s="60">
        <v>0.2</v>
      </c>
      <c r="L1339" s="18">
        <v>1338</v>
      </c>
      <c r="M1339" s="13">
        <v>45209</v>
      </c>
      <c r="N1339" s="21">
        <v>0.55000000000000004</v>
      </c>
      <c r="O1339" s="18">
        <v>1</v>
      </c>
      <c r="P1339" s="18">
        <v>0</v>
      </c>
      <c r="Q1339" s="60">
        <v>0.83</v>
      </c>
      <c r="R1339" s="46" t="s">
        <v>16021</v>
      </c>
    </row>
    <row r="1340" spans="1:18" ht="195">
      <c r="A1340" s="33" t="s">
        <v>15975</v>
      </c>
      <c r="B1340" s="18" t="s">
        <v>7800</v>
      </c>
      <c r="C1340" s="13">
        <v>45189</v>
      </c>
      <c r="D1340" s="18" t="s">
        <v>8465</v>
      </c>
      <c r="E1340" s="10" t="s">
        <v>73</v>
      </c>
      <c r="F1340" s="10" t="s">
        <v>73</v>
      </c>
      <c r="G1340" s="59" t="s">
        <v>943</v>
      </c>
      <c r="H1340" s="68" t="s">
        <v>1061</v>
      </c>
      <c r="K1340" s="60">
        <v>0.8</v>
      </c>
      <c r="L1340" s="18">
        <v>1339</v>
      </c>
      <c r="M1340" s="13">
        <v>45209</v>
      </c>
      <c r="N1340" s="21">
        <v>3.79</v>
      </c>
      <c r="O1340" s="18">
        <v>0</v>
      </c>
      <c r="P1340" s="18">
        <v>0</v>
      </c>
      <c r="Q1340" s="60">
        <v>0.91</v>
      </c>
      <c r="R1340" s="46" t="s">
        <v>16022</v>
      </c>
    </row>
    <row r="1341" spans="1:18" ht="300">
      <c r="A1341" s="33" t="s">
        <v>12519</v>
      </c>
      <c r="B1341" s="18" t="s">
        <v>7800</v>
      </c>
      <c r="C1341" s="13">
        <v>42992</v>
      </c>
      <c r="D1341" s="18" t="s">
        <v>8465</v>
      </c>
      <c r="E1341" s="10" t="s">
        <v>3298</v>
      </c>
      <c r="F1341" s="10" t="s">
        <v>3298</v>
      </c>
      <c r="G1341" s="59" t="s">
        <v>3299</v>
      </c>
      <c r="H1341" s="68" t="s">
        <v>1720</v>
      </c>
      <c r="K1341" s="60">
        <v>1</v>
      </c>
      <c r="L1341" s="18">
        <v>1340</v>
      </c>
      <c r="M1341" s="13">
        <v>45210</v>
      </c>
      <c r="N1341" s="21">
        <v>67.599999999999994</v>
      </c>
      <c r="O1341" s="18">
        <v>0</v>
      </c>
      <c r="P1341" s="18">
        <v>0</v>
      </c>
      <c r="Q1341" s="60">
        <v>0.93</v>
      </c>
      <c r="R1341" s="46" t="s">
        <v>16023</v>
      </c>
    </row>
    <row r="1342" spans="1:18" ht="330">
      <c r="A1342" s="33" t="s">
        <v>5545</v>
      </c>
      <c r="B1342" s="18" t="s">
        <v>7800</v>
      </c>
      <c r="C1342" s="13">
        <v>42703</v>
      </c>
      <c r="D1342" s="18" t="s">
        <v>8465</v>
      </c>
      <c r="E1342" s="10" t="s">
        <v>1047</v>
      </c>
      <c r="F1342" s="10" t="s">
        <v>1048</v>
      </c>
      <c r="G1342" s="59" t="s">
        <v>5546</v>
      </c>
      <c r="H1342" s="68" t="s">
        <v>80</v>
      </c>
      <c r="K1342" s="60">
        <v>0.5</v>
      </c>
      <c r="L1342" s="18">
        <v>1341</v>
      </c>
      <c r="M1342" s="13">
        <v>45214</v>
      </c>
      <c r="N1342" s="21">
        <v>12.87</v>
      </c>
      <c r="O1342" s="18">
        <v>1</v>
      </c>
      <c r="P1342" s="18">
        <v>0</v>
      </c>
      <c r="Q1342" s="60">
        <v>0.75</v>
      </c>
      <c r="R1342" s="46" t="s">
        <v>16030</v>
      </c>
    </row>
    <row r="1343" spans="1:18" ht="240">
      <c r="A1343" s="33" t="s">
        <v>15493</v>
      </c>
      <c r="B1343" s="18" t="s">
        <v>7800</v>
      </c>
      <c r="C1343" s="13">
        <v>44124</v>
      </c>
      <c r="D1343" s="18" t="s">
        <v>8465</v>
      </c>
      <c r="E1343" s="10" t="s">
        <v>1690</v>
      </c>
      <c r="F1343" s="10" t="s">
        <v>1889</v>
      </c>
      <c r="G1343" s="59" t="s">
        <v>1890</v>
      </c>
      <c r="H1343" s="68" t="s">
        <v>1050</v>
      </c>
      <c r="K1343" s="60">
        <v>0.8</v>
      </c>
      <c r="L1343" s="18">
        <v>1342</v>
      </c>
      <c r="M1343" s="13">
        <v>45214</v>
      </c>
      <c r="N1343" s="21">
        <v>4.2699999999999996</v>
      </c>
      <c r="O1343" s="18">
        <v>0</v>
      </c>
      <c r="P1343" s="18">
        <v>0</v>
      </c>
      <c r="Q1343" s="60">
        <v>0.79</v>
      </c>
      <c r="R1343" s="46" t="s">
        <v>16031</v>
      </c>
    </row>
    <row r="1344" spans="1:18" ht="165">
      <c r="A1344" s="33" t="s">
        <v>15494</v>
      </c>
      <c r="B1344" s="18" t="s">
        <v>7800</v>
      </c>
      <c r="C1344" s="13">
        <v>44273</v>
      </c>
      <c r="D1344" s="18" t="s">
        <v>8465</v>
      </c>
      <c r="E1344" s="10" t="s">
        <v>1690</v>
      </c>
      <c r="F1344" s="10" t="s">
        <v>1889</v>
      </c>
      <c r="G1344" s="59" t="s">
        <v>1890</v>
      </c>
      <c r="H1344" s="68" t="s">
        <v>1050</v>
      </c>
      <c r="K1344" s="60">
        <v>0.75</v>
      </c>
      <c r="L1344" s="18">
        <v>1343</v>
      </c>
      <c r="M1344" s="13">
        <v>45214</v>
      </c>
      <c r="N1344" s="21">
        <v>2.83</v>
      </c>
      <c r="O1344" s="18">
        <v>0</v>
      </c>
      <c r="P1344" s="18">
        <v>0</v>
      </c>
      <c r="Q1344" s="60">
        <v>0.78</v>
      </c>
      <c r="R1344" s="46" t="s">
        <v>16032</v>
      </c>
    </row>
    <row r="1345" spans="1:18" ht="409.5">
      <c r="A1345" s="33" t="s">
        <v>11421</v>
      </c>
      <c r="B1345" s="18" t="s">
        <v>7744</v>
      </c>
      <c r="C1345" s="13">
        <v>45167</v>
      </c>
      <c r="D1345" s="18" t="s">
        <v>8465</v>
      </c>
      <c r="E1345" s="10" t="s">
        <v>7078</v>
      </c>
      <c r="F1345" s="10" t="s">
        <v>7078</v>
      </c>
      <c r="H1345" s="68" t="s">
        <v>149</v>
      </c>
      <c r="K1345" s="60">
        <v>0.8</v>
      </c>
      <c r="L1345" s="18">
        <v>1344</v>
      </c>
      <c r="M1345" s="13">
        <v>45217</v>
      </c>
      <c r="N1345" s="21">
        <v>23.77</v>
      </c>
      <c r="O1345" s="18">
        <v>0</v>
      </c>
      <c r="P1345" s="18">
        <v>0</v>
      </c>
      <c r="Q1345" s="60">
        <v>0.91</v>
      </c>
      <c r="R1345" s="46" t="s">
        <v>16071</v>
      </c>
    </row>
    <row r="1346" spans="1:18" ht="409.5">
      <c r="A1346" s="33" t="s">
        <v>13725</v>
      </c>
      <c r="B1346" s="18" t="s">
        <v>9431</v>
      </c>
      <c r="C1346" s="13">
        <v>45163</v>
      </c>
      <c r="D1346" s="18" t="s">
        <v>8465</v>
      </c>
      <c r="E1346" s="10" t="s">
        <v>1604</v>
      </c>
      <c r="F1346" s="10" t="s">
        <v>1580</v>
      </c>
      <c r="G1346" s="59" t="s">
        <v>5915</v>
      </c>
      <c r="H1346" s="68" t="s">
        <v>1204</v>
      </c>
      <c r="K1346" s="60">
        <v>0.8</v>
      </c>
      <c r="L1346" s="18">
        <v>1345</v>
      </c>
      <c r="M1346" s="13">
        <v>45217</v>
      </c>
      <c r="N1346" s="21">
        <v>11</v>
      </c>
      <c r="O1346" s="18">
        <v>0</v>
      </c>
      <c r="P1346" s="18">
        <v>0</v>
      </c>
      <c r="Q1346" s="60">
        <v>0.87</v>
      </c>
      <c r="R1346" s="46" t="s">
        <v>16072</v>
      </c>
    </row>
    <row r="1347" spans="1:18" ht="285">
      <c r="A1347" s="33" t="s">
        <v>15222</v>
      </c>
      <c r="B1347" s="18" t="s">
        <v>7744</v>
      </c>
      <c r="C1347" s="13">
        <v>44544</v>
      </c>
      <c r="D1347" s="18" t="s">
        <v>8465</v>
      </c>
      <c r="E1347" s="10" t="s">
        <v>7971</v>
      </c>
      <c r="F1347" s="10" t="s">
        <v>8445</v>
      </c>
      <c r="H1347" s="68" t="s">
        <v>56</v>
      </c>
      <c r="K1347" s="60">
        <v>0.4</v>
      </c>
      <c r="L1347" s="18">
        <v>1346</v>
      </c>
      <c r="M1347" s="13">
        <v>45219</v>
      </c>
      <c r="N1347" s="21">
        <v>1</v>
      </c>
      <c r="O1347" s="18">
        <v>0</v>
      </c>
      <c r="P1347" s="18">
        <v>0</v>
      </c>
      <c r="Q1347" s="60">
        <v>0.7</v>
      </c>
      <c r="R1347" s="46" t="s">
        <v>16079</v>
      </c>
    </row>
    <row r="1348" spans="1:18" ht="150">
      <c r="A1348" s="33" t="s">
        <v>15948</v>
      </c>
      <c r="B1348" s="18" t="s">
        <v>13799</v>
      </c>
      <c r="C1348" s="13">
        <v>44454</v>
      </c>
      <c r="D1348" s="18" t="s">
        <v>8465</v>
      </c>
      <c r="E1348" s="10" t="s">
        <v>13803</v>
      </c>
      <c r="F1348" s="10" t="s">
        <v>13803</v>
      </c>
      <c r="H1348" s="68" t="s">
        <v>1057</v>
      </c>
      <c r="K1348" s="60">
        <v>0.6</v>
      </c>
      <c r="L1348" s="18">
        <v>1347</v>
      </c>
      <c r="M1348" s="13">
        <v>45220</v>
      </c>
      <c r="N1348" s="21">
        <v>1.22</v>
      </c>
      <c r="O1348" s="18">
        <v>0</v>
      </c>
      <c r="P1348" s="18">
        <v>0</v>
      </c>
      <c r="R1348" s="46" t="s">
        <v>16080</v>
      </c>
    </row>
    <row r="1349" spans="1:18" ht="240">
      <c r="A1349" s="33" t="s">
        <v>6060</v>
      </c>
      <c r="B1349" s="18" t="s">
        <v>7759</v>
      </c>
      <c r="C1349" s="13">
        <v>41345</v>
      </c>
      <c r="D1349" s="18" t="s">
        <v>8465</v>
      </c>
      <c r="E1349" s="10" t="s">
        <v>2908</v>
      </c>
      <c r="F1349" s="10" t="s">
        <v>5719</v>
      </c>
      <c r="G1349" s="59" t="s">
        <v>5718</v>
      </c>
      <c r="H1349" s="68" t="s">
        <v>1059</v>
      </c>
      <c r="K1349" s="60">
        <v>0.6</v>
      </c>
      <c r="L1349" s="18">
        <v>1348</v>
      </c>
      <c r="M1349" s="13">
        <v>45220</v>
      </c>
      <c r="N1349" s="21">
        <v>7.28</v>
      </c>
      <c r="O1349" s="18">
        <v>0</v>
      </c>
      <c r="P1349" s="18">
        <v>0</v>
      </c>
      <c r="Q1349" s="60">
        <v>0.79</v>
      </c>
      <c r="R1349" s="46" t="s">
        <v>16083</v>
      </c>
    </row>
    <row r="1350" spans="1:18" ht="210">
      <c r="A1350" s="33" t="s">
        <v>12998</v>
      </c>
      <c r="B1350" s="18" t="s">
        <v>7760</v>
      </c>
      <c r="C1350" s="13">
        <v>43060</v>
      </c>
      <c r="D1350" s="18" t="s">
        <v>8465</v>
      </c>
      <c r="E1350" s="10" t="s">
        <v>1082</v>
      </c>
      <c r="F1350" s="10" t="s">
        <v>3895</v>
      </c>
      <c r="G1350" s="59" t="s">
        <v>126</v>
      </c>
      <c r="H1350" s="68" t="s">
        <v>255</v>
      </c>
      <c r="I1350" s="18">
        <v>1</v>
      </c>
      <c r="K1350" s="60">
        <v>0.3</v>
      </c>
      <c r="L1350" s="18">
        <v>1349</v>
      </c>
      <c r="M1350" s="13">
        <v>45220</v>
      </c>
      <c r="N1350" s="21">
        <v>2.25</v>
      </c>
      <c r="O1350" s="18">
        <v>0</v>
      </c>
      <c r="P1350" s="18">
        <v>0</v>
      </c>
      <c r="Q1350" s="60">
        <v>0.62</v>
      </c>
      <c r="R1350" s="46" t="s">
        <v>16081</v>
      </c>
    </row>
    <row r="1351" spans="1:18" ht="195">
      <c r="A1351" s="33" t="s">
        <v>10413</v>
      </c>
      <c r="B1351" s="18" t="s">
        <v>7800</v>
      </c>
      <c r="C1351" s="13">
        <v>44176</v>
      </c>
      <c r="D1351" s="18" t="s">
        <v>8465</v>
      </c>
      <c r="E1351" s="10" t="s">
        <v>8573</v>
      </c>
      <c r="F1351" s="10" t="s">
        <v>8573</v>
      </c>
      <c r="H1351" s="68" t="s">
        <v>80</v>
      </c>
      <c r="K1351" s="60">
        <v>0.7</v>
      </c>
      <c r="L1351" s="18">
        <v>1350</v>
      </c>
      <c r="M1351" s="13">
        <v>45224</v>
      </c>
      <c r="N1351" s="21">
        <v>2.88</v>
      </c>
      <c r="O1351" s="18">
        <v>1</v>
      </c>
      <c r="P1351" s="18">
        <v>0</v>
      </c>
      <c r="Q1351" s="60">
        <v>0.79</v>
      </c>
      <c r="R1351" s="46" t="s">
        <v>16082</v>
      </c>
    </row>
    <row r="1352" spans="1:18" ht="375">
      <c r="A1352" s="33" t="s">
        <v>10696</v>
      </c>
      <c r="B1352" s="18" t="s">
        <v>7800</v>
      </c>
      <c r="C1352" s="13">
        <v>44462</v>
      </c>
      <c r="D1352" s="18" t="s">
        <v>8465</v>
      </c>
      <c r="E1352" s="10" t="s">
        <v>1296</v>
      </c>
      <c r="F1352" s="10" t="s">
        <v>1296</v>
      </c>
      <c r="G1352" s="59" t="s">
        <v>1589</v>
      </c>
      <c r="H1352" s="68" t="s">
        <v>171</v>
      </c>
      <c r="K1352" s="60">
        <v>0.75</v>
      </c>
      <c r="L1352" s="18">
        <v>1351</v>
      </c>
      <c r="M1352" s="13">
        <v>45225</v>
      </c>
      <c r="O1352" s="18">
        <v>0</v>
      </c>
      <c r="P1352" s="18">
        <v>0</v>
      </c>
      <c r="Q1352" s="60">
        <v>0.8</v>
      </c>
      <c r="R1352" s="46" t="s">
        <v>16091</v>
      </c>
    </row>
    <row r="1353" spans="1:18" ht="300">
      <c r="A1353" s="33" t="s">
        <v>8588</v>
      </c>
      <c r="B1353" s="18" t="s">
        <v>7800</v>
      </c>
      <c r="C1353" s="13">
        <v>40855</v>
      </c>
      <c r="D1353" s="18" t="s">
        <v>8465</v>
      </c>
      <c r="E1353" s="10" t="s">
        <v>1273</v>
      </c>
      <c r="F1353" s="10" t="s">
        <v>3400</v>
      </c>
      <c r="G1353" s="59" t="s">
        <v>3401</v>
      </c>
      <c r="H1353" s="68" t="s">
        <v>1050</v>
      </c>
      <c r="K1353" s="60">
        <v>0.5</v>
      </c>
      <c r="L1353" s="18">
        <v>1352</v>
      </c>
      <c r="M1353" s="13">
        <v>45227</v>
      </c>
      <c r="N1353" s="21">
        <v>5.63</v>
      </c>
      <c r="O1353" s="18">
        <v>0</v>
      </c>
      <c r="P1353" s="18">
        <v>0</v>
      </c>
      <c r="Q1353" s="60">
        <v>0.78</v>
      </c>
      <c r="R1353" s="46" t="s">
        <v>16095</v>
      </c>
    </row>
    <row r="1354" spans="1:18" ht="300">
      <c r="A1354" s="33" t="s">
        <v>15249</v>
      </c>
      <c r="B1354" s="18" t="s">
        <v>9431</v>
      </c>
      <c r="C1354" s="13">
        <v>45204</v>
      </c>
      <c r="D1354" s="18" t="s">
        <v>8465</v>
      </c>
      <c r="E1354" s="10" t="s">
        <v>1047</v>
      </c>
      <c r="F1354" s="10" t="s">
        <v>16018</v>
      </c>
      <c r="G1354" s="59" t="s">
        <v>1563</v>
      </c>
      <c r="H1354" s="68" t="s">
        <v>80</v>
      </c>
      <c r="K1354" s="60">
        <v>0.6</v>
      </c>
      <c r="L1354" s="18">
        <v>1353</v>
      </c>
      <c r="M1354" s="13">
        <v>45228</v>
      </c>
      <c r="N1354" s="21">
        <v>15.73</v>
      </c>
      <c r="O1354" s="18">
        <v>0</v>
      </c>
      <c r="P1354" s="18">
        <v>0</v>
      </c>
      <c r="Q1354" s="60">
        <v>0.77</v>
      </c>
      <c r="R1354" s="46" t="s">
        <v>16100</v>
      </c>
    </row>
    <row r="1355" spans="1:18" ht="210">
      <c r="A1355" s="33" t="s">
        <v>12779</v>
      </c>
      <c r="B1355" s="18" t="s">
        <v>7800</v>
      </c>
      <c r="C1355" s="13">
        <v>42957</v>
      </c>
      <c r="D1355" s="18" t="s">
        <v>8465</v>
      </c>
      <c r="E1355" s="10" t="s">
        <v>12780</v>
      </c>
      <c r="F1355" s="10" t="s">
        <v>12780</v>
      </c>
      <c r="G1355" s="59" t="s">
        <v>12781</v>
      </c>
      <c r="H1355" s="68" t="s">
        <v>149</v>
      </c>
      <c r="K1355" s="60">
        <v>0.75</v>
      </c>
      <c r="L1355" s="18">
        <v>1354</v>
      </c>
      <c r="M1355" s="13">
        <v>45229</v>
      </c>
      <c r="N1355" s="21">
        <v>7.23</v>
      </c>
      <c r="O1355" s="18">
        <v>1</v>
      </c>
      <c r="P1355" s="18">
        <v>0</v>
      </c>
      <c r="Q1355" s="60">
        <v>0.87</v>
      </c>
      <c r="R1355" s="46" t="s">
        <v>16101</v>
      </c>
    </row>
    <row r="1356" spans="1:18" ht="409.5">
      <c r="A1356" s="33" t="s">
        <v>15240</v>
      </c>
      <c r="B1356" s="18" t="s">
        <v>7744</v>
      </c>
      <c r="C1356" s="13">
        <v>45219</v>
      </c>
      <c r="D1356" s="18" t="s">
        <v>8465</v>
      </c>
      <c r="E1356" s="10" t="s">
        <v>86</v>
      </c>
      <c r="F1356" s="10" t="s">
        <v>1138</v>
      </c>
      <c r="G1356" s="59" t="s">
        <v>137</v>
      </c>
      <c r="H1356" s="68" t="s">
        <v>64</v>
      </c>
      <c r="K1356" s="60">
        <v>0.8</v>
      </c>
      <c r="L1356" s="18">
        <v>1355</v>
      </c>
      <c r="M1356" s="13">
        <v>45232</v>
      </c>
      <c r="N1356" s="21">
        <v>10</v>
      </c>
      <c r="O1356" s="18">
        <v>0</v>
      </c>
      <c r="P1356" s="18">
        <v>0</v>
      </c>
      <c r="Q1356" s="60">
        <v>0.92</v>
      </c>
      <c r="R1356" s="46" t="s">
        <v>16104</v>
      </c>
    </row>
    <row r="1357" spans="1:18" ht="255">
      <c r="A1357" s="33" t="s">
        <v>16092</v>
      </c>
      <c r="B1357" s="18" t="s">
        <v>7800</v>
      </c>
      <c r="C1357" s="13">
        <v>45226</v>
      </c>
      <c r="D1357" s="18" t="s">
        <v>8465</v>
      </c>
      <c r="E1357" s="10" t="s">
        <v>16093</v>
      </c>
      <c r="F1357" s="10" t="s">
        <v>3130</v>
      </c>
      <c r="G1357" s="59" t="s">
        <v>3131</v>
      </c>
      <c r="H1357" s="68" t="s">
        <v>1061</v>
      </c>
      <c r="K1357" s="60">
        <v>0.9</v>
      </c>
      <c r="L1357" s="18">
        <v>1356</v>
      </c>
      <c r="M1357" s="13">
        <v>45234</v>
      </c>
      <c r="N1357" s="21">
        <v>20.18</v>
      </c>
      <c r="O1357" s="18">
        <v>0</v>
      </c>
      <c r="P1357" s="18">
        <v>0</v>
      </c>
      <c r="Q1357" s="60">
        <v>0.92</v>
      </c>
      <c r="R1357" s="46" t="s">
        <v>16105</v>
      </c>
    </row>
    <row r="1358" spans="1:18" ht="180">
      <c r="A1358" s="33" t="s">
        <v>4739</v>
      </c>
      <c r="B1358" s="18" t="s">
        <v>7800</v>
      </c>
      <c r="C1358" s="13">
        <v>41976</v>
      </c>
      <c r="D1358" s="18" t="s">
        <v>8465</v>
      </c>
      <c r="E1358" s="10" t="s">
        <v>4740</v>
      </c>
      <c r="F1358" s="10" t="s">
        <v>4740</v>
      </c>
      <c r="H1358" s="68" t="s">
        <v>64</v>
      </c>
      <c r="K1358" s="60">
        <v>0.4</v>
      </c>
      <c r="L1358" s="18">
        <v>1357</v>
      </c>
      <c r="M1358" s="13">
        <v>45236</v>
      </c>
      <c r="N1358" s="21">
        <v>0.68</v>
      </c>
      <c r="O1358" s="18">
        <v>1</v>
      </c>
      <c r="P1358" s="18">
        <v>0</v>
      </c>
      <c r="R1358" s="46" t="s">
        <v>16109</v>
      </c>
    </row>
    <row r="1359" spans="1:18" ht="150">
      <c r="A1359" s="33" t="s">
        <v>5399</v>
      </c>
      <c r="B1359" s="18" t="s">
        <v>7800</v>
      </c>
      <c r="C1359" s="13">
        <v>41782</v>
      </c>
      <c r="D1359" s="18" t="s">
        <v>8465</v>
      </c>
      <c r="E1359" s="10" t="s">
        <v>5400</v>
      </c>
      <c r="F1359" s="10" t="s">
        <v>5400</v>
      </c>
      <c r="H1359" s="68" t="s">
        <v>143</v>
      </c>
      <c r="K1359" s="60">
        <v>0.2</v>
      </c>
      <c r="L1359" s="18">
        <v>1358</v>
      </c>
      <c r="M1359" s="13">
        <v>45236</v>
      </c>
      <c r="N1359" s="21">
        <v>0.45</v>
      </c>
      <c r="O1359" s="18">
        <v>1</v>
      </c>
      <c r="P1359" s="18">
        <v>0</v>
      </c>
      <c r="Q1359" s="60">
        <v>0.7</v>
      </c>
      <c r="R1359" s="46" t="s">
        <v>16110</v>
      </c>
    </row>
    <row r="1360" spans="1:18" ht="240">
      <c r="A1360" s="33" t="s">
        <v>7647</v>
      </c>
      <c r="B1360" s="18" t="s">
        <v>7744</v>
      </c>
      <c r="C1360" s="13">
        <v>43124</v>
      </c>
      <c r="D1360" s="18" t="s">
        <v>8465</v>
      </c>
      <c r="E1360" s="10" t="s">
        <v>5458</v>
      </c>
      <c r="F1360" s="10" t="s">
        <v>5458</v>
      </c>
      <c r="G1360" s="59" t="s">
        <v>7647</v>
      </c>
      <c r="H1360" s="68" t="s">
        <v>64</v>
      </c>
      <c r="K1360" s="60">
        <v>0.8</v>
      </c>
      <c r="L1360" s="18">
        <v>1359</v>
      </c>
      <c r="M1360" s="13">
        <v>45240</v>
      </c>
      <c r="N1360" s="21">
        <v>6.18</v>
      </c>
      <c r="O1360" s="18">
        <v>0</v>
      </c>
      <c r="P1360" s="18">
        <v>0</v>
      </c>
      <c r="Q1360" s="60">
        <v>0.92</v>
      </c>
      <c r="R1360" s="46" t="s">
        <v>16157</v>
      </c>
    </row>
    <row r="1361" spans="1:18" ht="315">
      <c r="A1361" s="33" t="s">
        <v>903</v>
      </c>
      <c r="B1361" s="18" t="s">
        <v>9431</v>
      </c>
      <c r="C1361" s="13">
        <v>45219</v>
      </c>
      <c r="D1361" s="18" t="s">
        <v>8465</v>
      </c>
      <c r="E1361" s="10" t="s">
        <v>6107</v>
      </c>
      <c r="F1361" s="10" t="s">
        <v>3039</v>
      </c>
      <c r="G1361" s="59" t="s">
        <v>1264</v>
      </c>
      <c r="H1361" s="68" t="s">
        <v>80</v>
      </c>
      <c r="K1361" s="60">
        <v>0.9</v>
      </c>
      <c r="L1361" s="18">
        <v>1360</v>
      </c>
      <c r="M1361" s="13">
        <v>45242</v>
      </c>
      <c r="N1361" s="21">
        <v>17</v>
      </c>
      <c r="O1361" s="18">
        <v>0</v>
      </c>
      <c r="P1361" s="18">
        <v>0</v>
      </c>
      <c r="Q1361" s="60">
        <v>0.9</v>
      </c>
      <c r="R1361" s="46" t="s">
        <v>16162</v>
      </c>
    </row>
    <row r="1362" spans="1:18" ht="285">
      <c r="A1362" s="33" t="s">
        <v>15974</v>
      </c>
      <c r="B1362" s="18" t="s">
        <v>9431</v>
      </c>
      <c r="C1362" s="13">
        <v>45035</v>
      </c>
      <c r="D1362" s="18" t="s">
        <v>8465</v>
      </c>
      <c r="E1362" s="10" t="s">
        <v>6107</v>
      </c>
      <c r="F1362" s="10" t="s">
        <v>5882</v>
      </c>
      <c r="G1362" s="59" t="s">
        <v>6134</v>
      </c>
      <c r="H1362" s="68" t="s">
        <v>80</v>
      </c>
      <c r="K1362" s="60">
        <v>0.8</v>
      </c>
      <c r="L1362" s="18">
        <v>1361</v>
      </c>
      <c r="M1362" s="13">
        <v>45244</v>
      </c>
      <c r="N1362" s="21">
        <v>7.55</v>
      </c>
      <c r="O1362" s="18">
        <v>0</v>
      </c>
      <c r="P1362" s="18">
        <v>0</v>
      </c>
      <c r="Q1362" s="60">
        <v>0.82</v>
      </c>
      <c r="R1362" s="46" t="s">
        <v>16164</v>
      </c>
    </row>
    <row r="1363" spans="1:18" ht="315">
      <c r="A1363" s="33" t="s">
        <v>7077</v>
      </c>
      <c r="B1363" s="18" t="s">
        <v>7744</v>
      </c>
      <c r="C1363" s="13">
        <v>43342</v>
      </c>
      <c r="D1363" s="18" t="s">
        <v>8465</v>
      </c>
      <c r="E1363" s="10" t="s">
        <v>3063</v>
      </c>
      <c r="F1363" s="10" t="s">
        <v>7078</v>
      </c>
      <c r="H1363" s="68" t="s">
        <v>56</v>
      </c>
      <c r="K1363" s="60">
        <v>0.8</v>
      </c>
      <c r="L1363" s="18">
        <v>1362</v>
      </c>
      <c r="M1363" s="13">
        <v>45247</v>
      </c>
      <c r="N1363" s="21">
        <v>9.84</v>
      </c>
      <c r="O1363" s="18">
        <v>0</v>
      </c>
      <c r="P1363" s="18">
        <v>0</v>
      </c>
      <c r="Q1363" s="60">
        <v>0.87</v>
      </c>
      <c r="R1363" s="46" t="s">
        <v>16165</v>
      </c>
    </row>
    <row r="1364" spans="1:18" ht="210">
      <c r="A1364" s="33" t="s">
        <v>15239</v>
      </c>
      <c r="B1364" s="18" t="s">
        <v>7744</v>
      </c>
      <c r="C1364" s="13">
        <v>45247</v>
      </c>
      <c r="D1364" s="18" t="s">
        <v>8465</v>
      </c>
      <c r="E1364" s="10" t="s">
        <v>86</v>
      </c>
      <c r="F1364" s="10" t="s">
        <v>1537</v>
      </c>
      <c r="G1364" s="59" t="s">
        <v>137</v>
      </c>
      <c r="H1364" s="68" t="s">
        <v>149</v>
      </c>
      <c r="K1364" s="60">
        <v>0.8</v>
      </c>
      <c r="L1364" s="18">
        <v>1363</v>
      </c>
      <c r="M1364" s="13">
        <v>45254</v>
      </c>
      <c r="N1364" s="21">
        <v>10.45</v>
      </c>
      <c r="O1364" s="18">
        <v>0</v>
      </c>
      <c r="P1364" s="18">
        <v>0</v>
      </c>
      <c r="Q1364" s="60">
        <v>0.83</v>
      </c>
      <c r="R1364" s="46" t="s">
        <v>16166</v>
      </c>
    </row>
    <row r="1365" spans="1:18" ht="330">
      <c r="A1365" s="33" t="s">
        <v>6150</v>
      </c>
      <c r="B1365" s="18" t="s">
        <v>7800</v>
      </c>
      <c r="C1365" s="13">
        <v>43081</v>
      </c>
      <c r="D1365" s="18" t="s">
        <v>8465</v>
      </c>
      <c r="E1365" s="10" t="s">
        <v>73</v>
      </c>
      <c r="F1365" s="10" t="s">
        <v>73</v>
      </c>
      <c r="G1365" s="59" t="s">
        <v>1014</v>
      </c>
      <c r="H1365" s="68" t="s">
        <v>80</v>
      </c>
      <c r="K1365" s="60">
        <v>0.75</v>
      </c>
      <c r="L1365" s="18">
        <v>1364</v>
      </c>
      <c r="M1365" s="13">
        <v>45255</v>
      </c>
      <c r="N1365" s="21">
        <v>26.94</v>
      </c>
      <c r="O1365" s="18">
        <v>1</v>
      </c>
      <c r="P1365" s="18">
        <v>0</v>
      </c>
      <c r="Q1365" s="60">
        <v>0.92</v>
      </c>
      <c r="R1365" s="46" t="s">
        <v>16167</v>
      </c>
    </row>
    <row r="1366" spans="1:18" ht="165">
      <c r="A1366" s="33" t="s">
        <v>3346</v>
      </c>
      <c r="B1366" s="18" t="s">
        <v>7800</v>
      </c>
      <c r="C1366" s="13">
        <v>42774</v>
      </c>
      <c r="D1366" s="18" t="s">
        <v>8465</v>
      </c>
      <c r="E1366" s="10" t="s">
        <v>3345</v>
      </c>
      <c r="F1366" s="10" t="s">
        <v>3345</v>
      </c>
      <c r="G1366" s="59" t="s">
        <v>3344</v>
      </c>
      <c r="H1366" s="68" t="s">
        <v>147</v>
      </c>
      <c r="K1366" s="60">
        <v>0.5</v>
      </c>
      <c r="L1366" s="18">
        <v>1365</v>
      </c>
      <c r="M1366" s="13">
        <v>45256</v>
      </c>
      <c r="N1366" s="21">
        <v>0.88</v>
      </c>
      <c r="O1366" s="18">
        <v>1</v>
      </c>
      <c r="P1366" s="18">
        <v>0</v>
      </c>
      <c r="Q1366" s="60">
        <v>0.85</v>
      </c>
      <c r="R1366" s="46" t="s">
        <v>16179</v>
      </c>
    </row>
    <row r="1367" spans="1:18" ht="240">
      <c r="A1367" s="33" t="s">
        <v>15967</v>
      </c>
      <c r="B1367" s="18" t="s">
        <v>13799</v>
      </c>
      <c r="C1367" s="13">
        <v>44725</v>
      </c>
      <c r="D1367" s="18" t="s">
        <v>8465</v>
      </c>
      <c r="E1367" s="10" t="s">
        <v>9400</v>
      </c>
      <c r="F1367" s="10" t="s">
        <v>9400</v>
      </c>
      <c r="H1367" s="68" t="s">
        <v>171</v>
      </c>
      <c r="K1367" s="60">
        <v>0.4</v>
      </c>
      <c r="L1367" s="18">
        <v>1366</v>
      </c>
      <c r="M1367" s="13">
        <v>45256</v>
      </c>
      <c r="O1367" s="18">
        <v>0</v>
      </c>
      <c r="P1367" s="18">
        <v>0</v>
      </c>
      <c r="R1367" s="46" t="s">
        <v>16180</v>
      </c>
    </row>
    <row r="1368" spans="1:18" ht="195">
      <c r="A1368" s="33" t="s">
        <v>9124</v>
      </c>
      <c r="B1368" s="18" t="s">
        <v>7800</v>
      </c>
      <c r="C1368" s="13">
        <v>43657</v>
      </c>
      <c r="D1368" s="18" t="s">
        <v>8465</v>
      </c>
      <c r="E1368" s="10" t="s">
        <v>8982</v>
      </c>
      <c r="F1368" s="10" t="s">
        <v>4574</v>
      </c>
      <c r="H1368" s="68" t="s">
        <v>147</v>
      </c>
      <c r="K1368" s="60">
        <v>0.7</v>
      </c>
      <c r="L1368" s="18">
        <v>1367</v>
      </c>
      <c r="M1368" s="13">
        <v>45256</v>
      </c>
      <c r="N1368" s="21">
        <v>2.5</v>
      </c>
      <c r="O1368" s="18">
        <v>1</v>
      </c>
      <c r="P1368" s="18">
        <v>0</v>
      </c>
      <c r="Q1368" s="60">
        <v>0.79</v>
      </c>
      <c r="R1368" s="46" t="s">
        <v>16181</v>
      </c>
    </row>
    <row r="1369" spans="1:18">
      <c r="A1369" s="33"/>
      <c r="M1369" s="13"/>
    </row>
    <row r="1370" spans="1:18">
      <c r="A1370" s="33"/>
      <c r="M1370" s="13"/>
    </row>
    <row r="1371" spans="1:18">
      <c r="A1371" s="33"/>
      <c r="M1371" s="13"/>
    </row>
    <row r="1372" spans="1:18">
      <c r="A1372" s="33"/>
      <c r="M1372" s="13"/>
    </row>
    <row r="1373" spans="1:18">
      <c r="A1373" s="33"/>
      <c r="M1373" s="13"/>
    </row>
    <row r="1374" spans="1:18">
      <c r="A1374" s="33"/>
      <c r="M1374" s="13"/>
    </row>
    <row r="1375" spans="1:18">
      <c r="A1375" s="33"/>
      <c r="M1375" s="13"/>
    </row>
    <row r="1376" spans="1:18">
      <c r="A1376" s="33"/>
      <c r="M1376" s="13"/>
    </row>
    <row r="1377" spans="1:13">
      <c r="A1377" s="33"/>
      <c r="M1377" s="13"/>
    </row>
    <row r="1378" spans="1:13">
      <c r="A1378" s="33"/>
      <c r="M1378" s="13"/>
    </row>
    <row r="1379" spans="1:13">
      <c r="A1379" s="33"/>
      <c r="M1379" s="13"/>
    </row>
    <row r="1380" spans="1:13">
      <c r="A1380" s="33"/>
      <c r="M1380" s="13"/>
    </row>
    <row r="1381" spans="1:13">
      <c r="A1381" s="33"/>
      <c r="M1381" s="13"/>
    </row>
    <row r="1382" spans="1:13">
      <c r="A1382" s="33"/>
      <c r="M1382" s="13"/>
    </row>
    <row r="1383" spans="1:13">
      <c r="A1383" s="33"/>
      <c r="M1383" s="13"/>
    </row>
    <row r="1384" spans="1:13">
      <c r="A1384" s="33"/>
      <c r="M1384" s="13"/>
    </row>
    <row r="1385" spans="1:13">
      <c r="A1385" s="33"/>
      <c r="M1385" s="13"/>
    </row>
    <row r="1386" spans="1:13">
      <c r="A1386" s="33"/>
      <c r="M1386" s="13"/>
    </row>
    <row r="1387" spans="1:13">
      <c r="A1387" s="33"/>
      <c r="M1387" s="13"/>
    </row>
    <row r="1388" spans="1:13">
      <c r="A1388" s="33"/>
      <c r="M1388" s="13"/>
    </row>
    <row r="1389" spans="1:13">
      <c r="A1389" s="33"/>
      <c r="M1389" s="13"/>
    </row>
    <row r="1390" spans="1:13">
      <c r="A1390" s="33"/>
      <c r="M1390" s="13"/>
    </row>
    <row r="1391" spans="1:13">
      <c r="A1391" s="33"/>
      <c r="M1391" s="13"/>
    </row>
    <row r="1392" spans="1:13">
      <c r="A1392" s="33"/>
      <c r="M1392" s="13"/>
    </row>
    <row r="1393" spans="1:13">
      <c r="A1393" s="33"/>
      <c r="M1393" s="13"/>
    </row>
    <row r="1394" spans="1:13">
      <c r="A1394" s="33"/>
      <c r="M1394" s="13"/>
    </row>
    <row r="1395" spans="1:13">
      <c r="A1395" s="33"/>
      <c r="M1395" s="13"/>
    </row>
    <row r="1396" spans="1:13">
      <c r="A1396" s="33"/>
      <c r="M1396" s="13"/>
    </row>
    <row r="1397" spans="1:13">
      <c r="A1397" s="33"/>
      <c r="M1397" s="13"/>
    </row>
    <row r="1398" spans="1:13">
      <c r="A1398" s="33"/>
      <c r="M1398" s="13"/>
    </row>
    <row r="1399" spans="1:13">
      <c r="A1399" s="33"/>
      <c r="M1399" s="13"/>
    </row>
    <row r="1400" spans="1:13">
      <c r="A1400" s="33"/>
      <c r="M1400" s="13"/>
    </row>
    <row r="1401" spans="1:13">
      <c r="A1401" s="33"/>
      <c r="M1401" s="13"/>
    </row>
    <row r="1402" spans="1:13">
      <c r="A1402" s="33"/>
      <c r="M1402" s="13"/>
    </row>
    <row r="1403" spans="1:13">
      <c r="A1403" s="33"/>
      <c r="M1403" s="13"/>
    </row>
    <row r="1404" spans="1:13">
      <c r="A1404" s="33"/>
      <c r="M1404" s="13"/>
    </row>
    <row r="1405" spans="1:13">
      <c r="A1405" s="33"/>
      <c r="M1405" s="13"/>
    </row>
    <row r="1406" spans="1:13">
      <c r="A1406" s="33"/>
      <c r="M1406" s="13"/>
    </row>
    <row r="1407" spans="1:13">
      <c r="A1407" s="33"/>
      <c r="M1407" s="13"/>
    </row>
    <row r="1408" spans="1:13">
      <c r="A1408" s="33"/>
      <c r="M1408" s="13"/>
    </row>
    <row r="1409" spans="1:13">
      <c r="A1409" s="33"/>
      <c r="M1409" s="13"/>
    </row>
    <row r="1410" spans="1:13">
      <c r="A1410" s="33"/>
      <c r="M1410" s="13"/>
    </row>
    <row r="1411" spans="1:13">
      <c r="A1411" s="33"/>
      <c r="M1411" s="13"/>
    </row>
    <row r="1412" spans="1:13">
      <c r="A1412" s="33"/>
      <c r="M1412" s="13"/>
    </row>
    <row r="1413" spans="1:13">
      <c r="A1413" s="33"/>
      <c r="M1413" s="13"/>
    </row>
    <row r="1414" spans="1:13">
      <c r="A1414" s="33"/>
      <c r="M1414" s="13"/>
    </row>
    <row r="1415" spans="1:13">
      <c r="A1415" s="33"/>
      <c r="M1415" s="13"/>
    </row>
    <row r="1416" spans="1:13">
      <c r="A1416" s="33"/>
      <c r="M1416" s="13"/>
    </row>
    <row r="1417" spans="1:13">
      <c r="A1417" s="33"/>
      <c r="M1417" s="13"/>
    </row>
    <row r="1418" spans="1:13">
      <c r="A1418" s="33"/>
      <c r="M1418" s="13"/>
    </row>
    <row r="1419" spans="1:13">
      <c r="A1419" s="33"/>
      <c r="M1419" s="13"/>
    </row>
    <row r="1420" spans="1:13">
      <c r="A1420" s="33"/>
      <c r="M1420" s="13"/>
    </row>
    <row r="1421" spans="1:13">
      <c r="A1421" s="33"/>
      <c r="M1421" s="13"/>
    </row>
    <row r="1422" spans="1:13">
      <c r="A1422" s="33"/>
      <c r="M1422" s="13"/>
    </row>
    <row r="1423" spans="1:13">
      <c r="A1423" s="33"/>
      <c r="M1423" s="13"/>
    </row>
    <row r="1424" spans="1:13">
      <c r="A1424" s="33"/>
      <c r="M1424" s="13"/>
    </row>
    <row r="1425" spans="1:13">
      <c r="A1425" s="33"/>
      <c r="M1425" s="13"/>
    </row>
    <row r="1426" spans="1:13">
      <c r="A1426" s="33"/>
      <c r="M1426" s="13"/>
    </row>
    <row r="1427" spans="1:13">
      <c r="A1427" s="33"/>
      <c r="M1427" s="13"/>
    </row>
    <row r="1428" spans="1:13">
      <c r="A1428" s="33"/>
      <c r="M1428" s="13"/>
    </row>
    <row r="1429" spans="1:13">
      <c r="A1429" s="33"/>
      <c r="M1429" s="13"/>
    </row>
    <row r="1430" spans="1:13">
      <c r="A1430" s="33"/>
      <c r="M1430" s="13"/>
    </row>
    <row r="1431" spans="1:13">
      <c r="A1431" s="33"/>
      <c r="M1431" s="13"/>
    </row>
    <row r="1432" spans="1:13">
      <c r="A1432" s="33"/>
      <c r="M1432" s="13"/>
    </row>
    <row r="1433" spans="1:13">
      <c r="A1433" s="33"/>
      <c r="M1433" s="13"/>
    </row>
    <row r="1434" spans="1:13">
      <c r="A1434" s="33"/>
      <c r="M1434" s="13"/>
    </row>
    <row r="1435" spans="1:13">
      <c r="A1435" s="33"/>
      <c r="M1435" s="13"/>
    </row>
    <row r="1436" spans="1:13">
      <c r="A1436" s="33"/>
      <c r="M1436" s="13"/>
    </row>
    <row r="1437" spans="1:13">
      <c r="A1437" s="33"/>
      <c r="M1437" s="13"/>
    </row>
    <row r="1438" spans="1:13">
      <c r="A1438" s="33"/>
      <c r="M1438" s="13"/>
    </row>
    <row r="1439" spans="1:13">
      <c r="A1439" s="33"/>
      <c r="M1439" s="13"/>
    </row>
    <row r="1440" spans="1:13">
      <c r="A1440" s="33"/>
      <c r="M1440" s="13"/>
    </row>
    <row r="1441" spans="1:13">
      <c r="A1441" s="33"/>
      <c r="M1441" s="13"/>
    </row>
    <row r="1442" spans="1:13">
      <c r="A1442" s="33"/>
      <c r="M1442" s="13"/>
    </row>
    <row r="1443" spans="1:13">
      <c r="A1443" s="33"/>
      <c r="M1443" s="13"/>
    </row>
    <row r="1444" spans="1:13">
      <c r="A1444" s="33"/>
      <c r="M1444" s="13"/>
    </row>
    <row r="1445" spans="1:13">
      <c r="A1445" s="33"/>
      <c r="M1445" s="13"/>
    </row>
    <row r="1446" spans="1:13">
      <c r="A1446" s="33"/>
      <c r="M1446" s="13"/>
    </row>
    <row r="1447" spans="1:13">
      <c r="A1447" s="33"/>
      <c r="M1447" s="13"/>
    </row>
    <row r="1448" spans="1:13">
      <c r="A1448" s="33"/>
      <c r="M1448" s="13"/>
    </row>
    <row r="1449" spans="1:13">
      <c r="A1449" s="33"/>
      <c r="M1449" s="13"/>
    </row>
    <row r="1450" spans="1:13">
      <c r="A1450" s="33"/>
      <c r="M1450" s="13"/>
    </row>
    <row r="1451" spans="1:13">
      <c r="A1451" s="33"/>
      <c r="M1451" s="13"/>
    </row>
    <row r="1452" spans="1:13">
      <c r="A1452" s="33"/>
      <c r="M1452" s="13"/>
    </row>
    <row r="1453" spans="1:13">
      <c r="A1453" s="33"/>
      <c r="M1453" s="13"/>
    </row>
    <row r="1454" spans="1:13">
      <c r="A1454" s="33"/>
      <c r="M1454" s="13"/>
    </row>
    <row r="1455" spans="1:13">
      <c r="A1455" s="33"/>
      <c r="M1455" s="13"/>
    </row>
    <row r="1456" spans="1:13">
      <c r="A1456" s="33"/>
      <c r="M1456" s="13"/>
    </row>
    <row r="1457" spans="1:13">
      <c r="A1457" s="33"/>
      <c r="M1457" s="13"/>
    </row>
    <row r="1458" spans="1:13">
      <c r="A1458" s="33"/>
      <c r="M1458" s="13"/>
    </row>
    <row r="1459" spans="1:13">
      <c r="A1459" s="33"/>
      <c r="M1459" s="13"/>
    </row>
    <row r="1460" spans="1:13">
      <c r="A1460" s="33"/>
      <c r="M1460" s="13"/>
    </row>
    <row r="1461" spans="1:13">
      <c r="A1461" s="33"/>
      <c r="M1461" s="13"/>
    </row>
    <row r="1462" spans="1:13">
      <c r="A1462" s="33"/>
      <c r="M1462" s="13"/>
    </row>
    <row r="1463" spans="1:13">
      <c r="A1463" s="33"/>
      <c r="M1463" s="13"/>
    </row>
    <row r="1464" spans="1:13">
      <c r="A1464" s="33"/>
      <c r="M1464" s="13"/>
    </row>
    <row r="1465" spans="1:13">
      <c r="A1465" s="33"/>
      <c r="M1465" s="13"/>
    </row>
    <row r="1466" spans="1:13">
      <c r="A1466" s="33"/>
      <c r="M1466" s="13"/>
    </row>
    <row r="1467" spans="1:13">
      <c r="A1467" s="33"/>
      <c r="M1467" s="13"/>
    </row>
    <row r="1468" spans="1:13">
      <c r="A1468" s="33"/>
      <c r="M1468" s="13"/>
    </row>
    <row r="1469" spans="1:13">
      <c r="A1469" s="33"/>
      <c r="M1469" s="13"/>
    </row>
    <row r="1470" spans="1:13">
      <c r="A1470" s="33"/>
      <c r="M1470" s="13"/>
    </row>
    <row r="1471" spans="1:13">
      <c r="A1471" s="33"/>
      <c r="M1471" s="13"/>
    </row>
    <row r="1472" spans="1:13">
      <c r="A1472" s="33"/>
      <c r="M1472" s="13"/>
    </row>
    <row r="1473" spans="1:13">
      <c r="A1473" s="33"/>
      <c r="M1473" s="13"/>
    </row>
    <row r="1474" spans="1:13">
      <c r="A1474" s="33"/>
      <c r="M1474" s="13"/>
    </row>
    <row r="1475" spans="1:13">
      <c r="A1475" s="33"/>
      <c r="M1475" s="13"/>
    </row>
    <row r="1476" spans="1:13">
      <c r="A1476" s="33"/>
      <c r="M1476" s="13"/>
    </row>
    <row r="1477" spans="1:13">
      <c r="A1477" s="33"/>
      <c r="M1477" s="13"/>
    </row>
    <row r="1478" spans="1:13">
      <c r="A1478" s="33"/>
      <c r="M1478" s="13"/>
    </row>
    <row r="1479" spans="1:13">
      <c r="A1479" s="33"/>
      <c r="M1479" s="13"/>
    </row>
    <row r="1480" spans="1:13">
      <c r="A1480" s="33"/>
      <c r="M1480" s="13"/>
    </row>
    <row r="1481" spans="1:13">
      <c r="A1481" s="33"/>
      <c r="M1481" s="13"/>
    </row>
    <row r="1482" spans="1:13">
      <c r="A1482" s="33"/>
      <c r="M1482" s="13"/>
    </row>
    <row r="1483" spans="1:13">
      <c r="A1483" s="33"/>
      <c r="M1483" s="13"/>
    </row>
    <row r="1484" spans="1:13">
      <c r="A1484" s="33"/>
      <c r="M1484" s="13"/>
    </row>
    <row r="1485" spans="1:13">
      <c r="A1485" s="33"/>
      <c r="M1485" s="13"/>
    </row>
    <row r="1486" spans="1:13">
      <c r="A1486" s="33"/>
      <c r="M1486" s="13"/>
    </row>
    <row r="1487" spans="1:13">
      <c r="A1487" s="33"/>
      <c r="M1487" s="13"/>
    </row>
    <row r="1488" spans="1:13">
      <c r="A1488" s="33"/>
      <c r="M1488" s="13"/>
    </row>
    <row r="1489" spans="1:13">
      <c r="A1489" s="33"/>
      <c r="M1489" s="13"/>
    </row>
    <row r="1490" spans="1:13">
      <c r="A1490" s="33"/>
      <c r="M1490" s="13"/>
    </row>
    <row r="1491" spans="1:13">
      <c r="A1491" s="33"/>
      <c r="M1491" s="13"/>
    </row>
    <row r="1492" spans="1:13">
      <c r="A1492" s="33"/>
      <c r="M1492" s="13"/>
    </row>
    <row r="1493" spans="1:13">
      <c r="A1493" s="33"/>
      <c r="M1493" s="13"/>
    </row>
    <row r="1494" spans="1:13">
      <c r="A1494" s="33"/>
      <c r="M1494" s="13"/>
    </row>
    <row r="1495" spans="1:13">
      <c r="A1495" s="33"/>
      <c r="M1495" s="13"/>
    </row>
    <row r="1496" spans="1:13">
      <c r="A1496" s="33"/>
      <c r="M1496" s="13"/>
    </row>
    <row r="1497" spans="1:13">
      <c r="A1497" s="33"/>
      <c r="M1497" s="13"/>
    </row>
    <row r="1498" spans="1:13">
      <c r="A1498" s="33"/>
      <c r="M1498" s="13"/>
    </row>
    <row r="1499" spans="1:13">
      <c r="A1499" s="33"/>
      <c r="M1499" s="13"/>
    </row>
    <row r="1500" spans="1:13">
      <c r="A1500" s="33"/>
      <c r="M1500" s="13"/>
    </row>
    <row r="1501" spans="1:13">
      <c r="M1501" s="13"/>
    </row>
    <row r="1502" spans="1:13">
      <c r="M1502" s="13"/>
    </row>
    <row r="1503" spans="1:13">
      <c r="M1503" s="13"/>
    </row>
    <row r="1504" spans="1:13">
      <c r="M1504" s="13"/>
    </row>
    <row r="1505" spans="13:13">
      <c r="M1505" s="13"/>
    </row>
    <row r="1506" spans="13:13">
      <c r="M1506" s="13"/>
    </row>
    <row r="1507" spans="13:13">
      <c r="M1507" s="13"/>
    </row>
    <row r="1508" spans="13:13">
      <c r="M1508" s="13"/>
    </row>
    <row r="1509" spans="13:13">
      <c r="M1509" s="13"/>
    </row>
    <row r="1510" spans="13:13">
      <c r="M1510" s="13"/>
    </row>
    <row r="1511" spans="13:13">
      <c r="M1511" s="13"/>
    </row>
    <row r="1512" spans="13:13">
      <c r="M1512" s="13"/>
    </row>
    <row r="1513" spans="13:13">
      <c r="M1513" s="13"/>
    </row>
    <row r="1514" spans="13:13">
      <c r="M1514" s="13"/>
    </row>
    <row r="1515" spans="13:13">
      <c r="M1515" s="13"/>
    </row>
    <row r="1516" spans="13:13">
      <c r="M1516" s="13"/>
    </row>
    <row r="1517" spans="13:13">
      <c r="M1517" s="13"/>
    </row>
    <row r="1518" spans="13:13">
      <c r="M1518" s="13"/>
    </row>
    <row r="1519" spans="13:13">
      <c r="M1519" s="13"/>
    </row>
    <row r="1520" spans="13:13">
      <c r="M1520" s="13"/>
    </row>
    <row r="1521" spans="13:13">
      <c r="M1521" s="13"/>
    </row>
    <row r="1522" spans="13:13">
      <c r="M1522" s="13"/>
    </row>
    <row r="1523" spans="13:13">
      <c r="M1523" s="13"/>
    </row>
    <row r="1524" spans="13:13">
      <c r="M1524" s="13"/>
    </row>
    <row r="1525" spans="13:13">
      <c r="M1525" s="13"/>
    </row>
    <row r="1526" spans="13:13">
      <c r="M1526" s="13"/>
    </row>
    <row r="1527" spans="13:13">
      <c r="M1527" s="13"/>
    </row>
    <row r="1528" spans="13:13">
      <c r="M1528" s="13"/>
    </row>
    <row r="1529" spans="13:13">
      <c r="M1529" s="13"/>
    </row>
    <row r="1530" spans="13:13">
      <c r="M1530" s="13"/>
    </row>
    <row r="1531" spans="13:13">
      <c r="M1531" s="13"/>
    </row>
    <row r="1532" spans="13:13">
      <c r="M1532" s="13"/>
    </row>
    <row r="1533" spans="13:13">
      <c r="M1533" s="13"/>
    </row>
    <row r="1534" spans="13:13">
      <c r="M1534" s="13"/>
    </row>
    <row r="1535" spans="13:13">
      <c r="M1535" s="13"/>
    </row>
    <row r="1536" spans="13:13">
      <c r="M1536" s="13"/>
    </row>
    <row r="1537" spans="13:13">
      <c r="M1537" s="13"/>
    </row>
    <row r="1538" spans="13:13">
      <c r="M1538" s="13"/>
    </row>
    <row r="1539" spans="13:13">
      <c r="M1539" s="13"/>
    </row>
    <row r="1540" spans="13:13">
      <c r="M1540" s="13"/>
    </row>
    <row r="1541" spans="13:13">
      <c r="M1541" s="13"/>
    </row>
    <row r="1542" spans="13:13">
      <c r="M1542" s="13"/>
    </row>
    <row r="1543" spans="13:13">
      <c r="M1543" s="13"/>
    </row>
    <row r="1544" spans="13:13">
      <c r="M1544" s="13"/>
    </row>
    <row r="1545" spans="13:13">
      <c r="M1545" s="13"/>
    </row>
    <row r="1546" spans="13:13">
      <c r="M1546" s="13"/>
    </row>
    <row r="1547" spans="13:13">
      <c r="M1547" s="13"/>
    </row>
    <row r="1548" spans="13:13">
      <c r="M1548" s="13"/>
    </row>
    <row r="1549" spans="13:13">
      <c r="M1549" s="13"/>
    </row>
    <row r="1550" spans="13:13">
      <c r="M1550" s="13"/>
    </row>
    <row r="1551" spans="13:13">
      <c r="M1551" s="13"/>
    </row>
    <row r="1552" spans="13:13">
      <c r="M1552" s="13"/>
    </row>
    <row r="1553" spans="13:13">
      <c r="M1553" s="13"/>
    </row>
    <row r="1554" spans="13:13">
      <c r="M1554" s="13"/>
    </row>
    <row r="1555" spans="13:13">
      <c r="M1555" s="13"/>
    </row>
    <row r="1556" spans="13:13">
      <c r="M1556" s="13"/>
    </row>
    <row r="1557" spans="13:13">
      <c r="M1557" s="13"/>
    </row>
    <row r="1558" spans="13:13">
      <c r="M1558" s="13"/>
    </row>
    <row r="1559" spans="13:13">
      <c r="M1559" s="13"/>
    </row>
    <row r="1560" spans="13:13">
      <c r="M1560" s="13"/>
    </row>
    <row r="1561" spans="13:13">
      <c r="M1561" s="13"/>
    </row>
    <row r="1562" spans="13:13">
      <c r="M1562" s="13"/>
    </row>
    <row r="1563" spans="13:13">
      <c r="M1563" s="13"/>
    </row>
    <row r="1564" spans="13:13">
      <c r="M1564" s="13"/>
    </row>
    <row r="1565" spans="13:13">
      <c r="M1565" s="13"/>
    </row>
    <row r="1566" spans="13:13">
      <c r="M1566" s="13"/>
    </row>
    <row r="1567" spans="13:13">
      <c r="M1567" s="13"/>
    </row>
    <row r="1568" spans="13:13">
      <c r="M1568" s="13"/>
    </row>
    <row r="1569" spans="13:13">
      <c r="M1569" s="13"/>
    </row>
    <row r="1570" spans="13:13">
      <c r="M1570" s="13"/>
    </row>
    <row r="1571" spans="13:13">
      <c r="M1571" s="13"/>
    </row>
    <row r="1572" spans="13:13">
      <c r="M1572" s="13"/>
    </row>
    <row r="1573" spans="13:13">
      <c r="M1573" s="13"/>
    </row>
    <row r="1574" spans="13:13">
      <c r="M1574" s="13"/>
    </row>
    <row r="1575" spans="13:13">
      <c r="M1575" s="13"/>
    </row>
    <row r="1576" spans="13:13">
      <c r="M1576" s="13"/>
    </row>
    <row r="1577" spans="13:13">
      <c r="M1577" s="13"/>
    </row>
    <row r="1578" spans="13:13">
      <c r="M1578" s="13"/>
    </row>
    <row r="1579" spans="13:13">
      <c r="M1579" s="13"/>
    </row>
    <row r="1580" spans="13:13">
      <c r="M1580" s="13"/>
    </row>
    <row r="1581" spans="13:13">
      <c r="M1581" s="13"/>
    </row>
    <row r="1582" spans="13:13">
      <c r="M1582" s="13"/>
    </row>
    <row r="1583" spans="13:13">
      <c r="M1583" s="13"/>
    </row>
    <row r="1584" spans="13:13">
      <c r="M1584" s="13"/>
    </row>
    <row r="1585" spans="13:13">
      <c r="M1585" s="13"/>
    </row>
    <row r="1586" spans="13:13">
      <c r="M1586" s="13"/>
    </row>
    <row r="1587" spans="13:13">
      <c r="M1587" s="13"/>
    </row>
    <row r="1588" spans="13:13">
      <c r="M1588" s="13"/>
    </row>
    <row r="1589" spans="13:13">
      <c r="M1589" s="13"/>
    </row>
    <row r="1590" spans="13:13">
      <c r="M1590" s="13"/>
    </row>
    <row r="1591" spans="13:13">
      <c r="M1591" s="13"/>
    </row>
    <row r="1592" spans="13:13">
      <c r="M1592" s="13"/>
    </row>
    <row r="1593" spans="13:13">
      <c r="M1593" s="13"/>
    </row>
    <row r="1594" spans="13:13">
      <c r="M1594" s="13"/>
    </row>
    <row r="1595" spans="13:13">
      <c r="M1595" s="13"/>
    </row>
    <row r="1596" spans="13:13">
      <c r="M1596" s="13"/>
    </row>
    <row r="1597" spans="13:13">
      <c r="M1597" s="13"/>
    </row>
    <row r="1598" spans="13:13">
      <c r="M1598" s="13"/>
    </row>
    <row r="1599" spans="13:13">
      <c r="M1599" s="13"/>
    </row>
    <row r="1600" spans="13:13">
      <c r="M1600" s="13"/>
    </row>
    <row r="1601" spans="13:13">
      <c r="M1601" s="13"/>
    </row>
    <row r="1602" spans="13:13">
      <c r="M1602" s="13"/>
    </row>
    <row r="1603" spans="13:13">
      <c r="M1603" s="13"/>
    </row>
    <row r="1604" spans="13:13">
      <c r="M1604" s="13"/>
    </row>
    <row r="1605" spans="13:13">
      <c r="M1605" s="13"/>
    </row>
    <row r="1606" spans="13:13">
      <c r="M1606" s="13"/>
    </row>
    <row r="1607" spans="13:13">
      <c r="M1607" s="13"/>
    </row>
    <row r="1608" spans="13:13">
      <c r="M1608" s="13"/>
    </row>
    <row r="1609" spans="13:13">
      <c r="M1609" s="13"/>
    </row>
    <row r="1610" spans="13:13">
      <c r="M1610" s="13"/>
    </row>
    <row r="1611" spans="13:13">
      <c r="M1611" s="13"/>
    </row>
    <row r="1612" spans="13:13">
      <c r="M1612" s="13"/>
    </row>
    <row r="1613" spans="13:13">
      <c r="M1613" s="13"/>
    </row>
    <row r="1614" spans="13:13">
      <c r="M1614" s="13"/>
    </row>
    <row r="1615" spans="13:13">
      <c r="M1615" s="13"/>
    </row>
    <row r="1616" spans="13:13">
      <c r="M1616" s="13"/>
    </row>
    <row r="1617" spans="13:13">
      <c r="M1617" s="13"/>
    </row>
    <row r="1618" spans="13:13">
      <c r="M1618" s="13"/>
    </row>
    <row r="1619" spans="13:13">
      <c r="M1619" s="13"/>
    </row>
    <row r="1620" spans="13:13">
      <c r="M1620" s="13"/>
    </row>
    <row r="1621" spans="13:13">
      <c r="M1621" s="13"/>
    </row>
    <row r="1622" spans="13:13">
      <c r="M1622" s="13"/>
    </row>
    <row r="1623" spans="13:13">
      <c r="M1623" s="13"/>
    </row>
    <row r="1624" spans="13:13">
      <c r="M1624" s="13"/>
    </row>
    <row r="1625" spans="13:13">
      <c r="M1625" s="13"/>
    </row>
    <row r="1626" spans="13:13">
      <c r="M1626" s="13"/>
    </row>
    <row r="1627" spans="13:13">
      <c r="M1627" s="13"/>
    </row>
    <row r="1628" spans="13:13">
      <c r="M1628" s="13"/>
    </row>
    <row r="1629" spans="13:13">
      <c r="M1629" s="13"/>
    </row>
    <row r="1630" spans="13:13">
      <c r="M1630" s="13"/>
    </row>
    <row r="1631" spans="13:13">
      <c r="M1631" s="13"/>
    </row>
    <row r="1632" spans="13:13">
      <c r="M1632" s="13"/>
    </row>
    <row r="1633" spans="13:13">
      <c r="M1633" s="13"/>
    </row>
    <row r="1634" spans="13:13">
      <c r="M1634" s="13"/>
    </row>
    <row r="1635" spans="13:13">
      <c r="M1635" s="13"/>
    </row>
    <row r="1636" spans="13:13">
      <c r="M1636" s="13"/>
    </row>
    <row r="1637" spans="13:13">
      <c r="M1637" s="13"/>
    </row>
    <row r="1638" spans="13:13">
      <c r="M1638" s="13"/>
    </row>
    <row r="1639" spans="13:13">
      <c r="M1639" s="13"/>
    </row>
    <row r="1640" spans="13:13">
      <c r="M1640" s="13"/>
    </row>
    <row r="1641" spans="13:13">
      <c r="M1641" s="13"/>
    </row>
    <row r="1642" spans="13:13">
      <c r="M1642" s="13"/>
    </row>
    <row r="1643" spans="13:13">
      <c r="M1643" s="13"/>
    </row>
    <row r="1644" spans="13:13">
      <c r="M1644" s="13"/>
    </row>
    <row r="1645" spans="13:13">
      <c r="M1645" s="13"/>
    </row>
    <row r="1646" spans="13:13">
      <c r="M1646" s="13"/>
    </row>
    <row r="1647" spans="13:13">
      <c r="M1647" s="13"/>
    </row>
    <row r="1648" spans="13:13">
      <c r="M1648" s="13"/>
    </row>
    <row r="1649" spans="13:13">
      <c r="M1649" s="13"/>
    </row>
    <row r="1650" spans="13:13">
      <c r="M1650" s="13"/>
    </row>
    <row r="1651" spans="13:13">
      <c r="M1651" s="13"/>
    </row>
    <row r="1652" spans="13:13">
      <c r="M1652" s="13"/>
    </row>
    <row r="1653" spans="13:13">
      <c r="M1653" s="13"/>
    </row>
    <row r="1654" spans="13:13">
      <c r="M1654" s="13"/>
    </row>
    <row r="1655" spans="13:13">
      <c r="M1655" s="13"/>
    </row>
    <row r="1656" spans="13:13">
      <c r="M1656" s="13"/>
    </row>
    <row r="1657" spans="13:13">
      <c r="M1657" s="13"/>
    </row>
    <row r="1658" spans="13:13">
      <c r="M1658" s="13"/>
    </row>
    <row r="1659" spans="13:13">
      <c r="M1659" s="13"/>
    </row>
    <row r="1660" spans="13:13">
      <c r="M1660" s="13"/>
    </row>
    <row r="1661" spans="13:13">
      <c r="M1661" s="13"/>
    </row>
    <row r="1662" spans="13:13">
      <c r="M1662" s="13"/>
    </row>
    <row r="1663" spans="13:13">
      <c r="M1663" s="13"/>
    </row>
    <row r="1664" spans="13:13">
      <c r="M1664" s="13"/>
    </row>
    <row r="1665" spans="13:13">
      <c r="M1665" s="13"/>
    </row>
    <row r="1666" spans="13:13">
      <c r="M1666" s="13"/>
    </row>
    <row r="1667" spans="13:13">
      <c r="M1667" s="13"/>
    </row>
    <row r="1668" spans="13:13">
      <c r="M1668" s="13"/>
    </row>
    <row r="1669" spans="13:13">
      <c r="M1669" s="13"/>
    </row>
    <row r="1670" spans="13:13">
      <c r="M1670" s="13"/>
    </row>
    <row r="1671" spans="13:13">
      <c r="M1671" s="13"/>
    </row>
    <row r="1672" spans="13:13">
      <c r="M1672" s="13"/>
    </row>
    <row r="1673" spans="13:13">
      <c r="M1673" s="13"/>
    </row>
    <row r="1674" spans="13:13">
      <c r="M1674" s="13"/>
    </row>
    <row r="1675" spans="13:13">
      <c r="M1675" s="13"/>
    </row>
    <row r="1676" spans="13:13">
      <c r="M1676" s="13"/>
    </row>
    <row r="1677" spans="13:13">
      <c r="M1677" s="13"/>
    </row>
    <row r="1678" spans="13:13">
      <c r="M1678" s="13"/>
    </row>
    <row r="1679" spans="13:13">
      <c r="M1679" s="13"/>
    </row>
    <row r="1680" spans="13:13">
      <c r="M1680" s="13"/>
    </row>
    <row r="1681" spans="13:13">
      <c r="M1681" s="13"/>
    </row>
    <row r="1682" spans="13:13">
      <c r="M1682" s="13"/>
    </row>
    <row r="1683" spans="13:13">
      <c r="M1683" s="13"/>
    </row>
    <row r="1684" spans="13:13">
      <c r="M1684" s="13"/>
    </row>
    <row r="1685" spans="13:13">
      <c r="M1685" s="13"/>
    </row>
    <row r="1686" spans="13:13">
      <c r="M1686" s="13"/>
    </row>
    <row r="1687" spans="13:13">
      <c r="M1687" s="13"/>
    </row>
    <row r="1688" spans="13:13">
      <c r="M1688" s="13"/>
    </row>
    <row r="1689" spans="13:13">
      <c r="M1689" s="13"/>
    </row>
    <row r="1690" spans="13:13">
      <c r="M1690" s="13"/>
    </row>
    <row r="1691" spans="13:13">
      <c r="M1691" s="13"/>
    </row>
    <row r="1692" spans="13:13">
      <c r="M1692" s="13"/>
    </row>
    <row r="1693" spans="13:13">
      <c r="M1693" s="13"/>
    </row>
    <row r="1694" spans="13:13">
      <c r="M1694" s="13"/>
    </row>
    <row r="1695" spans="13:13">
      <c r="M1695" s="13"/>
    </row>
    <row r="1696" spans="13:13">
      <c r="M1696" s="13"/>
    </row>
    <row r="1697" spans="13:13">
      <c r="M1697" s="13"/>
    </row>
    <row r="1698" spans="13:13">
      <c r="M1698" s="13"/>
    </row>
    <row r="1699" spans="13:13">
      <c r="M1699" s="13"/>
    </row>
    <row r="1700" spans="13:13">
      <c r="M1700" s="13"/>
    </row>
    <row r="1701" spans="13:13">
      <c r="M1701" s="13"/>
    </row>
    <row r="1702" spans="13:13">
      <c r="M1702" s="13"/>
    </row>
    <row r="1703" spans="13:13">
      <c r="M1703" s="13"/>
    </row>
    <row r="1704" spans="13:13">
      <c r="M1704" s="13"/>
    </row>
    <row r="1705" spans="13:13">
      <c r="M1705" s="13"/>
    </row>
    <row r="1706" spans="13:13">
      <c r="M1706" s="13"/>
    </row>
    <row r="1707" spans="13:13">
      <c r="M1707" s="13"/>
    </row>
    <row r="1708" spans="13:13">
      <c r="M1708" s="13"/>
    </row>
    <row r="1709" spans="13:13">
      <c r="M1709" s="13"/>
    </row>
    <row r="1710" spans="13:13">
      <c r="M1710" s="13"/>
    </row>
    <row r="1711" spans="13:13">
      <c r="M1711" s="13"/>
    </row>
    <row r="1712" spans="13:13">
      <c r="M1712" s="13"/>
    </row>
    <row r="1713" spans="13:13">
      <c r="M1713" s="13"/>
    </row>
    <row r="1714" spans="13:13">
      <c r="M1714" s="13"/>
    </row>
    <row r="1715" spans="13:13">
      <c r="M1715" s="13"/>
    </row>
    <row r="1716" spans="13:13">
      <c r="M1716" s="13"/>
    </row>
    <row r="1717" spans="13:13">
      <c r="M1717" s="13"/>
    </row>
    <row r="1718" spans="13:13">
      <c r="M1718" s="13"/>
    </row>
    <row r="1719" spans="13:13">
      <c r="M1719" s="13"/>
    </row>
    <row r="1720" spans="13:13">
      <c r="M1720" s="13"/>
    </row>
    <row r="1721" spans="13:13">
      <c r="M1721" s="13"/>
    </row>
    <row r="1722" spans="13:13">
      <c r="M1722" s="13"/>
    </row>
    <row r="1723" spans="13:13">
      <c r="M1723" s="13"/>
    </row>
    <row r="1724" spans="13:13">
      <c r="M1724" s="13"/>
    </row>
    <row r="1725" spans="13:13">
      <c r="M1725" s="13"/>
    </row>
    <row r="1726" spans="13:13">
      <c r="M1726" s="13"/>
    </row>
    <row r="1727" spans="13:13">
      <c r="M1727" s="13"/>
    </row>
    <row r="1728" spans="13:13">
      <c r="M1728" s="13"/>
    </row>
    <row r="1729" spans="13:13">
      <c r="M1729" s="13"/>
    </row>
    <row r="1730" spans="13:13">
      <c r="M1730" s="13"/>
    </row>
    <row r="1731" spans="13:13">
      <c r="M1731" s="13"/>
    </row>
    <row r="1732" spans="13:13">
      <c r="M1732" s="13"/>
    </row>
    <row r="1733" spans="13:13">
      <c r="M1733" s="13"/>
    </row>
    <row r="1734" spans="13:13">
      <c r="M1734" s="13"/>
    </row>
    <row r="1735" spans="13:13">
      <c r="M1735" s="13"/>
    </row>
    <row r="1736" spans="13:13">
      <c r="M1736" s="13"/>
    </row>
    <row r="1737" spans="13:13">
      <c r="M1737" s="13"/>
    </row>
    <row r="1738" spans="13:13">
      <c r="M1738" s="13"/>
    </row>
    <row r="1739" spans="13:13">
      <c r="M1739" s="13"/>
    </row>
    <row r="1740" spans="13:13">
      <c r="M1740" s="13"/>
    </row>
    <row r="1741" spans="13:13">
      <c r="M1741" s="13"/>
    </row>
    <row r="1742" spans="13:13">
      <c r="M1742" s="13"/>
    </row>
    <row r="1743" spans="13:13">
      <c r="M1743" s="13"/>
    </row>
    <row r="1744" spans="13:13">
      <c r="M1744" s="13"/>
    </row>
    <row r="1745" spans="13:13">
      <c r="M1745" s="13"/>
    </row>
    <row r="1746" spans="13:13">
      <c r="M1746" s="13"/>
    </row>
    <row r="1747" spans="13:13">
      <c r="M1747" s="13"/>
    </row>
    <row r="1748" spans="13:13">
      <c r="M1748" s="13"/>
    </row>
    <row r="1749" spans="13:13">
      <c r="M1749" s="13"/>
    </row>
    <row r="1750" spans="13:13">
      <c r="M1750" s="13"/>
    </row>
    <row r="1751" spans="13:13">
      <c r="M1751" s="13"/>
    </row>
    <row r="1752" spans="13:13">
      <c r="M1752" s="13"/>
    </row>
    <row r="1753" spans="13:13">
      <c r="M1753" s="13"/>
    </row>
    <row r="1754" spans="13:13">
      <c r="M1754" s="13"/>
    </row>
    <row r="1755" spans="13:13">
      <c r="M1755" s="13"/>
    </row>
    <row r="1756" spans="13:13">
      <c r="M1756" s="13"/>
    </row>
    <row r="1757" spans="13:13">
      <c r="M1757" s="13"/>
    </row>
    <row r="1758" spans="13:13">
      <c r="M1758" s="13"/>
    </row>
    <row r="1759" spans="13:13">
      <c r="M1759" s="13"/>
    </row>
    <row r="1760" spans="13:13">
      <c r="M1760" s="13"/>
    </row>
    <row r="1761" spans="13:13">
      <c r="M1761" s="13"/>
    </row>
    <row r="1762" spans="13:13">
      <c r="M1762" s="13"/>
    </row>
    <row r="1763" spans="13:13">
      <c r="M1763" s="13"/>
    </row>
    <row r="1764" spans="13:13">
      <c r="M1764" s="13"/>
    </row>
    <row r="1765" spans="13:13">
      <c r="M1765" s="13"/>
    </row>
    <row r="1766" spans="13:13">
      <c r="M1766" s="13"/>
    </row>
    <row r="1767" spans="13:13">
      <c r="M1767" s="13"/>
    </row>
    <row r="1768" spans="13:13">
      <c r="M1768" s="13"/>
    </row>
    <row r="1769" spans="13:13">
      <c r="M1769" s="13"/>
    </row>
    <row r="1770" spans="13:13">
      <c r="M1770" s="13"/>
    </row>
    <row r="1771" spans="13:13">
      <c r="M1771" s="13"/>
    </row>
    <row r="1772" spans="13:13">
      <c r="M1772" s="13"/>
    </row>
    <row r="1773" spans="13:13">
      <c r="M1773" s="13"/>
    </row>
    <row r="1774" spans="13:13">
      <c r="M1774" s="13"/>
    </row>
    <row r="1775" spans="13:13">
      <c r="M1775" s="13"/>
    </row>
    <row r="1776" spans="13:13">
      <c r="M1776" s="13"/>
    </row>
    <row r="1777" spans="13:13">
      <c r="M1777" s="13"/>
    </row>
    <row r="1778" spans="13:13">
      <c r="M1778" s="13"/>
    </row>
    <row r="1779" spans="13:13">
      <c r="M1779" s="13"/>
    </row>
    <row r="1780" spans="13:13">
      <c r="M1780" s="13"/>
    </row>
    <row r="1781" spans="13:13">
      <c r="M1781" s="13"/>
    </row>
    <row r="1782" spans="13:13">
      <c r="M1782" s="13"/>
    </row>
    <row r="1783" spans="13:13">
      <c r="M1783" s="13"/>
    </row>
    <row r="1784" spans="13:13">
      <c r="M1784" s="13"/>
    </row>
    <row r="1785" spans="13:13">
      <c r="M1785" s="13"/>
    </row>
    <row r="1786" spans="13:13">
      <c r="M1786" s="13"/>
    </row>
    <row r="1787" spans="13:13">
      <c r="M1787" s="13"/>
    </row>
    <row r="1788" spans="13:13">
      <c r="M1788" s="13"/>
    </row>
    <row r="1789" spans="13:13">
      <c r="M1789" s="13"/>
    </row>
    <row r="1790" spans="13:13">
      <c r="M1790" s="13"/>
    </row>
    <row r="1791" spans="13:13">
      <c r="M1791" s="13"/>
    </row>
    <row r="1792" spans="13:13">
      <c r="M1792" s="13"/>
    </row>
    <row r="1793" spans="13:13">
      <c r="M1793" s="13"/>
    </row>
    <row r="1794" spans="13:13">
      <c r="M1794" s="13"/>
    </row>
    <row r="1795" spans="13:13">
      <c r="M1795" s="13"/>
    </row>
    <row r="1796" spans="13:13">
      <c r="M1796" s="13"/>
    </row>
    <row r="1797" spans="13:13">
      <c r="M1797" s="13"/>
    </row>
    <row r="1798" spans="13:13">
      <c r="M1798" s="13"/>
    </row>
    <row r="1799" spans="13:13">
      <c r="M1799" s="13"/>
    </row>
    <row r="1800" spans="13:13">
      <c r="M1800" s="13"/>
    </row>
  </sheetData>
  <autoFilter ref="A1:R1222" xr:uid="{41B7D531-A770-4A64-816A-10D9D4F09BC0}">
    <sortState xmlns:xlrd2="http://schemas.microsoft.com/office/spreadsheetml/2017/richdata2" ref="A2:R1186">
      <sortCondition ref="L1:L1186"/>
    </sortState>
  </autoFilter>
  <customSheetViews>
    <customSheetView guid="{27CD999D-077E-4AAD-9B12-102015DE6011}">
      <pane ySplit="1" topLeftCell="A1079" activePane="bottomLeft" state="frozen"/>
      <selection pane="bottomLeft" activeCell="M1084" sqref="M1084"/>
      <pageMargins left="0.7" right="0.7" top="0.75" bottom="0.75" header="0.3" footer="0.3"/>
      <pageSetup orientation="portrait" r:id="rId1"/>
    </customSheetView>
    <customSheetView guid="{E19BF558-CF7A-4C36-981A-080DBBE265DE}">
      <pane ySplit="1" topLeftCell="A1079" activePane="bottomLeft" state="frozen"/>
      <selection pane="bottomLeft" activeCell="M1084" sqref="M1084"/>
      <pageMargins left="0.7" right="0.7" top="0.75" bottom="0.75" header="0.3" footer="0.3"/>
      <pageSetup orientation="portrait" r:id="rId2"/>
    </customSheetView>
  </customSheetViews>
  <conditionalFormatting sqref="I2:I2000">
    <cfRule type="iconSet" priority="3">
      <iconSet iconSet="3Symbols2" showValue="0">
        <cfvo type="percent" val="0"/>
        <cfvo type="num" val="1"/>
        <cfvo type="num" val="1"/>
      </iconSet>
    </cfRule>
  </conditionalFormatting>
  <conditionalFormatting sqref="I2:J216">
    <cfRule type="iconSet" priority="5">
      <iconSet iconSet="3Symbols2">
        <cfvo type="percent" val="0"/>
        <cfvo type="percent" val="33"/>
        <cfvo type="percent" val="67"/>
      </iconSet>
    </cfRule>
  </conditionalFormatting>
  <conditionalFormatting sqref="I2:J1040">
    <cfRule type="iconSet" priority="4">
      <iconSet iconSet="3Symbols2">
        <cfvo type="percent" val="0"/>
        <cfvo type="percent" val="33"/>
        <cfvo type="percent" val="67"/>
      </iconSet>
    </cfRule>
  </conditionalFormatting>
  <conditionalFormatting sqref="K1:K2000 Q1:Q2000">
    <cfRule type="colorScale" priority="9">
      <colorScale>
        <cfvo type="num" val="0"/>
        <cfvo type="num" val="0.5"/>
        <cfvo type="num" val="1"/>
        <color rgb="FFF8696B"/>
        <color rgb="FFFFEB84"/>
        <color rgb="FF63BE7B"/>
      </colorScale>
    </cfRule>
  </conditionalFormatting>
  <conditionalFormatting sqref="O2:O2000">
    <cfRule type="iconSet" priority="1">
      <iconSet iconSet="3Symbols2" showValue="0">
        <cfvo type="percent" val="0"/>
        <cfvo type="num" val="1"/>
        <cfvo type="num" val="1"/>
      </iconSet>
    </cfRule>
  </conditionalFormatting>
  <conditionalFormatting sqref="P2:P2000">
    <cfRule type="iconSet" priority="6">
      <iconSet iconSet="3Symbols2" showValue="0">
        <cfvo type="percent" val="0"/>
        <cfvo type="num" val="1"/>
        <cfvo type="num" val="1"/>
      </iconSet>
    </cfRule>
  </conditionalFormatting>
  <conditionalFormatting sqref="R1">
    <cfRule type="colorScale" priority="2">
      <colorScale>
        <cfvo type="num" val="0"/>
        <cfvo type="num" val="0.5"/>
        <cfvo type="num" val="1"/>
        <color rgb="FFF8696B"/>
        <color rgb="FFFFEB84"/>
        <color rgb="FF63BE7B"/>
      </colorScale>
    </cfRule>
  </conditionalFormatting>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Games</vt:lpstr>
      <vt:lpstr>Games On Order</vt:lpstr>
      <vt:lpstr>Finished Games (Adtl 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Zach Diemer</dc:creator>
  <cp:lastModifiedBy>Zachary Diemer</cp:lastModifiedBy>
  <cp:lastPrinted>2020-12-30T21:26:03Z</cp:lastPrinted>
  <dcterms:created xsi:type="dcterms:W3CDTF">2019-08-06T05:39:07Z</dcterms:created>
  <dcterms:modified xsi:type="dcterms:W3CDTF">2023-11-28T05:19:30Z</dcterms:modified>
</cp:coreProperties>
</file>